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240" yWindow="1728" windowWidth="14808" windowHeight="6396"/>
  </bookViews>
  <sheets>
    <sheet name="Приложение № 1" sheetId="4" r:id="rId1"/>
    <sheet name="Приложение № 2" sheetId="1" r:id="rId2"/>
    <sheet name="Приложение № 5" sheetId="2" r:id="rId3"/>
    <sheet name="Приложение № 8" sheetId="5" state="hidden" r:id="rId4"/>
    <sheet name="5. подк.неподк.план" sheetId="6" state="hidden" r:id="rId5"/>
    <sheet name="1.6." sheetId="11" state="hidden" r:id="rId6"/>
    <sheet name="1.6" sheetId="7" state="hidden" r:id="rId7"/>
    <sheet name="1.3" sheetId="8" state="hidden" r:id="rId8"/>
    <sheet name="8.Бюджет на 2015" sheetId="9" state="hidden" r:id="rId9"/>
    <sheet name="1. подк.неподк. факт" sheetId="10" state="hidden"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s>
  <definedNames>
    <definedName name="\a" localSheetId="9">#REF!</definedName>
    <definedName name="\a" localSheetId="4">#REF!</definedName>
    <definedName name="\a">#REF!</definedName>
    <definedName name="\m" localSheetId="9">#REF!</definedName>
    <definedName name="\m" localSheetId="4">#REF!</definedName>
    <definedName name="\m">#REF!</definedName>
    <definedName name="\n" localSheetId="9">#REF!</definedName>
    <definedName name="\n" localSheetId="4">#REF!</definedName>
    <definedName name="\n">#REF!</definedName>
    <definedName name="\o" localSheetId="9">#REF!</definedName>
    <definedName name="\o" localSheetId="4">#REF!</definedName>
    <definedName name="\o">#REF!</definedName>
    <definedName name="__123Graph_AGRAPH1" localSheetId="9" hidden="1">'[1]на 1 тут'!#REF!</definedName>
    <definedName name="__123Graph_AGRAPH1" localSheetId="4" hidden="1">'[1]на 1 тут'!#REF!</definedName>
    <definedName name="__123Graph_AGRAPH1" hidden="1">'[1]на 1 тут'!#REF!</definedName>
    <definedName name="__123Graph_AGRAPH2" localSheetId="9" hidden="1">'[1]на 1 тут'!#REF!</definedName>
    <definedName name="__123Graph_AGRAPH2" localSheetId="4" hidden="1">'[1]на 1 тут'!#REF!</definedName>
    <definedName name="__123Graph_AGRAPH2" hidden="1">'[1]на 1 тут'!#REF!</definedName>
    <definedName name="__123Graph_BGRAPH1" localSheetId="9" hidden="1">'[1]на 1 тут'!#REF!</definedName>
    <definedName name="__123Graph_BGRAPH1" localSheetId="4" hidden="1">'[1]на 1 тут'!#REF!</definedName>
    <definedName name="__123Graph_BGRAPH1" hidden="1">'[1]на 1 тут'!#REF!</definedName>
    <definedName name="__123Graph_BGRAPH2" localSheetId="9" hidden="1">'[1]на 1 тут'!#REF!</definedName>
    <definedName name="__123Graph_BGRAPH2" localSheetId="4" hidden="1">'[1]на 1 тут'!#REF!</definedName>
    <definedName name="__123Graph_BGRAPH2" hidden="1">'[1]на 1 тут'!#REF!</definedName>
    <definedName name="__123Graph_CGRAPH1" localSheetId="9" hidden="1">'[1]на 1 тут'!#REF!</definedName>
    <definedName name="__123Graph_CGRAPH1" localSheetId="4" hidden="1">'[1]на 1 тут'!#REF!</definedName>
    <definedName name="__123Graph_CGRAPH1" hidden="1">'[1]на 1 тут'!#REF!</definedName>
    <definedName name="__123Graph_CGRAPH2" localSheetId="9" hidden="1">'[1]на 1 тут'!#REF!</definedName>
    <definedName name="__123Graph_CGRAPH2" localSheetId="4" hidden="1">'[1]на 1 тут'!#REF!</definedName>
    <definedName name="__123Graph_CGRAPH2" hidden="1">'[1]на 1 тут'!#REF!</definedName>
    <definedName name="__123Graph_LBL_AGRAPH1" localSheetId="9" hidden="1">'[1]на 1 тут'!#REF!</definedName>
    <definedName name="__123Graph_LBL_AGRAPH1" localSheetId="4" hidden="1">'[1]на 1 тут'!#REF!</definedName>
    <definedName name="__123Graph_LBL_AGRAPH1" hidden="1">'[1]на 1 тут'!#REF!</definedName>
    <definedName name="__123Graph_XGRAPH1" localSheetId="9" hidden="1">'[1]на 1 тут'!#REF!</definedName>
    <definedName name="__123Graph_XGRAPH1" localSheetId="4" hidden="1">'[1]на 1 тут'!#REF!</definedName>
    <definedName name="__123Graph_XGRAPH1" hidden="1">'[1]на 1 тут'!#REF!</definedName>
    <definedName name="__123Graph_XGRAPH2" localSheetId="9" hidden="1">'[1]на 1 тут'!#REF!</definedName>
    <definedName name="__123Graph_XGRAPH2" localSheetId="4" hidden="1">'[1]на 1 тут'!#REF!</definedName>
    <definedName name="__123Graph_XGRAPH2" hidden="1">'[1]на 1 тут'!#REF!</definedName>
    <definedName name="_dat1" localSheetId="9">#REF!</definedName>
    <definedName name="_dat1" localSheetId="4">#REF!</definedName>
    <definedName name="_dat1">#REF!</definedName>
    <definedName name="_dat10" localSheetId="9">#REF!</definedName>
    <definedName name="_dat10" localSheetId="4">#REF!</definedName>
    <definedName name="_dat10">#REF!</definedName>
    <definedName name="_dat11" localSheetId="9">#REF!</definedName>
    <definedName name="_dat11" localSheetId="4">#REF!</definedName>
    <definedName name="_dat11">#REF!</definedName>
    <definedName name="_dat12" localSheetId="9">#REF!</definedName>
    <definedName name="_dat12" localSheetId="4">#REF!</definedName>
    <definedName name="_dat12">#REF!</definedName>
    <definedName name="_dat13" localSheetId="9">#REF!</definedName>
    <definedName name="_dat13" localSheetId="4">#REF!</definedName>
    <definedName name="_dat13">#REF!</definedName>
    <definedName name="_dat14" localSheetId="9">#REF!</definedName>
    <definedName name="_dat14" localSheetId="4">#REF!</definedName>
    <definedName name="_dat14">#REF!</definedName>
    <definedName name="_dat15" localSheetId="9">#REF!</definedName>
    <definedName name="_dat15" localSheetId="4">#REF!</definedName>
    <definedName name="_dat15">#REF!</definedName>
    <definedName name="_dat16" localSheetId="9">#REF!</definedName>
    <definedName name="_dat16" localSheetId="4">#REF!</definedName>
    <definedName name="_dat16">#REF!</definedName>
    <definedName name="_dat17" localSheetId="9">#REF!</definedName>
    <definedName name="_dat17" localSheetId="4">#REF!</definedName>
    <definedName name="_dat17">#REF!</definedName>
    <definedName name="_dat18" localSheetId="9">#REF!</definedName>
    <definedName name="_dat18" localSheetId="4">#REF!</definedName>
    <definedName name="_dat18">#REF!</definedName>
    <definedName name="_dat19" localSheetId="9">#REF!</definedName>
    <definedName name="_dat19" localSheetId="4">#REF!</definedName>
    <definedName name="_dat19">#REF!</definedName>
    <definedName name="_dat2" localSheetId="9">#REF!</definedName>
    <definedName name="_dat2" localSheetId="4">#REF!</definedName>
    <definedName name="_dat2">#REF!</definedName>
    <definedName name="_dat20" localSheetId="9">#REF!</definedName>
    <definedName name="_dat20" localSheetId="4">#REF!</definedName>
    <definedName name="_dat20">#REF!</definedName>
    <definedName name="_dat21" localSheetId="9">#REF!</definedName>
    <definedName name="_dat21" localSheetId="4">#REF!</definedName>
    <definedName name="_dat21">#REF!</definedName>
    <definedName name="_dat22" localSheetId="9">#REF!</definedName>
    <definedName name="_dat22" localSheetId="4">#REF!</definedName>
    <definedName name="_dat22">#REF!</definedName>
    <definedName name="_dat23" localSheetId="9">#REF!</definedName>
    <definedName name="_dat23" localSheetId="4">#REF!</definedName>
    <definedName name="_dat23">#REF!</definedName>
    <definedName name="_dat24" localSheetId="9">#REF!</definedName>
    <definedName name="_dat24" localSheetId="4">#REF!</definedName>
    <definedName name="_dat24">#REF!</definedName>
    <definedName name="_dat3" localSheetId="9">#REF!</definedName>
    <definedName name="_dat3" localSheetId="4">#REF!</definedName>
    <definedName name="_dat3">#REF!</definedName>
    <definedName name="_dat4" localSheetId="9">#REF!</definedName>
    <definedName name="_dat4" localSheetId="4">#REF!</definedName>
    <definedName name="_dat4">#REF!</definedName>
    <definedName name="_dat5" localSheetId="9">#REF!</definedName>
    <definedName name="_dat5" localSheetId="4">#REF!</definedName>
    <definedName name="_dat5">#REF!</definedName>
    <definedName name="_dat6" localSheetId="9">#REF!</definedName>
    <definedName name="_dat6" localSheetId="4">#REF!</definedName>
    <definedName name="_dat6">#REF!</definedName>
    <definedName name="_dat7" localSheetId="9">#REF!</definedName>
    <definedName name="_dat7" localSheetId="4">#REF!</definedName>
    <definedName name="_dat7">#REF!</definedName>
    <definedName name="_dat8" localSheetId="9">#REF!</definedName>
    <definedName name="_dat8" localSheetId="4">#REF!</definedName>
    <definedName name="_dat8">#REF!</definedName>
    <definedName name="_dat9" localSheetId="9">#REF!</definedName>
    <definedName name="_dat9" localSheetId="4">#REF!</definedName>
    <definedName name="_dat9">#REF!</definedName>
    <definedName name="_def2000г">#REF!</definedName>
    <definedName name="_def2001г">#REF!</definedName>
    <definedName name="_def2002г">#REF!</definedName>
    <definedName name="_FY1">#N/A</definedName>
    <definedName name="_inf2000" localSheetId="9">#REF!</definedName>
    <definedName name="_inf2000">#REF!</definedName>
    <definedName name="_inf2001" localSheetId="9">#REF!</definedName>
    <definedName name="_inf2001">#REF!</definedName>
    <definedName name="_inf2002" localSheetId="9">#REF!</definedName>
    <definedName name="_inf2002">#REF!</definedName>
    <definedName name="_inf2003">#REF!</definedName>
    <definedName name="_inf2004">#REF!</definedName>
    <definedName name="_inf2005">#REF!</definedName>
    <definedName name="_inf2006">#REF!</definedName>
    <definedName name="_M8">#N/A</definedName>
    <definedName name="_M9">#N/A</definedName>
    <definedName name="_mm1">[2]ПРОГНОЗ_1!#REF!</definedName>
    <definedName name="_Num2" localSheetId="9">#REF!</definedName>
    <definedName name="_Num2" localSheetId="4">#REF!</definedName>
    <definedName name="_Num2">#REF!</definedName>
    <definedName name="_prd2">[3]Титульный!$G$8</definedName>
    <definedName name="_q11">#N/A</definedName>
    <definedName name="_q15">#N/A</definedName>
    <definedName name="_q17">#N/A</definedName>
    <definedName name="_q2">#N/A</definedName>
    <definedName name="_q3">#N/A</definedName>
    <definedName name="_q4">#N/A</definedName>
    <definedName name="_q5">#N/A</definedName>
    <definedName name="_q6">#N/A</definedName>
    <definedName name="_q7">#N/A</definedName>
    <definedName name="_q8">#N/A</definedName>
    <definedName name="_q9">#N/A</definedName>
    <definedName name="_r" localSheetId="9">#N/A</definedName>
    <definedName name="_r" localSheetId="4">#N/A</definedName>
    <definedName name="_r">#N/A</definedName>
    <definedName name="_SP1" localSheetId="9">[4]FES!#REF!</definedName>
    <definedName name="_SP1" localSheetId="4">[4]FES!#REF!</definedName>
    <definedName name="_SP1">[5]FES!#REF!</definedName>
    <definedName name="_SP10" localSheetId="9">[4]FES!#REF!</definedName>
    <definedName name="_SP10" localSheetId="4">[4]FES!#REF!</definedName>
    <definedName name="_SP10">[5]FES!#REF!</definedName>
    <definedName name="_SP11" localSheetId="9">[4]FES!#REF!</definedName>
    <definedName name="_SP11" localSheetId="4">[4]FES!#REF!</definedName>
    <definedName name="_SP11">[5]FES!#REF!</definedName>
    <definedName name="_SP12" localSheetId="9">[4]FES!#REF!</definedName>
    <definedName name="_SP12" localSheetId="4">[4]FES!#REF!</definedName>
    <definedName name="_SP12">[5]FES!#REF!</definedName>
    <definedName name="_SP13" localSheetId="9">[4]FES!#REF!</definedName>
    <definedName name="_SP13" localSheetId="4">[4]FES!#REF!</definedName>
    <definedName name="_SP13">[5]FES!#REF!</definedName>
    <definedName name="_SP14" localSheetId="9">[4]FES!#REF!</definedName>
    <definedName name="_SP14" localSheetId="4">[4]FES!#REF!</definedName>
    <definedName name="_SP14">[5]FES!#REF!</definedName>
    <definedName name="_SP15" localSheetId="9">[4]FES!#REF!</definedName>
    <definedName name="_SP15" localSheetId="4">[4]FES!#REF!</definedName>
    <definedName name="_SP15">[5]FES!#REF!</definedName>
    <definedName name="_SP16" localSheetId="9">[4]FES!#REF!</definedName>
    <definedName name="_SP16" localSheetId="4">[4]FES!#REF!</definedName>
    <definedName name="_SP16">[5]FES!#REF!</definedName>
    <definedName name="_SP17" localSheetId="9">[4]FES!#REF!</definedName>
    <definedName name="_SP17" localSheetId="4">[4]FES!#REF!</definedName>
    <definedName name="_SP17">[5]FES!#REF!</definedName>
    <definedName name="_SP18" localSheetId="9">[4]FES!#REF!</definedName>
    <definedName name="_SP18" localSheetId="4">[4]FES!#REF!</definedName>
    <definedName name="_SP18">[5]FES!#REF!</definedName>
    <definedName name="_SP19" localSheetId="9">[4]FES!#REF!</definedName>
    <definedName name="_SP19" localSheetId="4">[4]FES!#REF!</definedName>
    <definedName name="_SP19">[5]FES!#REF!</definedName>
    <definedName name="_SP2" localSheetId="9">[4]FES!#REF!</definedName>
    <definedName name="_SP2" localSheetId="4">[4]FES!#REF!</definedName>
    <definedName name="_SP2">[5]FES!#REF!</definedName>
    <definedName name="_SP20" localSheetId="9">[4]FES!#REF!</definedName>
    <definedName name="_SP20" localSheetId="4">[4]FES!#REF!</definedName>
    <definedName name="_SP20">[5]FES!#REF!</definedName>
    <definedName name="_SP3" localSheetId="9">[4]FES!#REF!</definedName>
    <definedName name="_SP3" localSheetId="4">[4]FES!#REF!</definedName>
    <definedName name="_SP3">[5]FES!#REF!</definedName>
    <definedName name="_SP4" localSheetId="9">[4]FES!#REF!</definedName>
    <definedName name="_SP4" localSheetId="4">[4]FES!#REF!</definedName>
    <definedName name="_SP4">[5]FES!#REF!</definedName>
    <definedName name="_SP5" localSheetId="9">[4]FES!#REF!</definedName>
    <definedName name="_SP5" localSheetId="4">[4]FES!#REF!</definedName>
    <definedName name="_SP5">[5]FES!#REF!</definedName>
    <definedName name="_SP7" localSheetId="9">[4]FES!#REF!</definedName>
    <definedName name="_SP7" localSheetId="4">[4]FES!#REF!</definedName>
    <definedName name="_SP7">[5]FES!#REF!</definedName>
    <definedName name="_SP8" localSheetId="9">[4]FES!#REF!</definedName>
    <definedName name="_SP8" localSheetId="4">[4]FES!#REF!</definedName>
    <definedName name="_SP8">[5]FES!#REF!</definedName>
    <definedName name="_SP9" localSheetId="9">[4]FES!#REF!</definedName>
    <definedName name="_SP9" localSheetId="4">[4]FES!#REF!</definedName>
    <definedName name="_SP9">[5]FES!#REF!</definedName>
    <definedName name="_xlnm._FilterDatabase" localSheetId="9" hidden="1">'1. подк.неподк. факт'!$AH$26:$AK$325</definedName>
    <definedName name="_xlnm._FilterDatabase" localSheetId="4" hidden="1">'5. подк.неподк.план'!$A$27:$AA$322</definedName>
    <definedName name="_xlnm._FilterDatabase" localSheetId="8" hidden="1">'8.Бюджет на 2015'!$V$2:$AX$3</definedName>
    <definedName name="÷ĺňâĺđňűé" localSheetId="9">#REF!</definedName>
    <definedName name="÷ĺňâĺđňűé" localSheetId="4">#REF!</definedName>
    <definedName name="÷ĺňâĺđňűé">#REF!</definedName>
    <definedName name="a">[6]Параметры!$E$37</definedName>
    <definedName name="a04t" localSheetId="9">#REF!</definedName>
    <definedName name="a04t">#REF!</definedName>
    <definedName name="ACCURACY_RANGE" localSheetId="9">#REF!</definedName>
    <definedName name="ACCURACY_RANGE" localSheetId="4">#REF!</definedName>
    <definedName name="ACCURACY_RANGE">#REF!</definedName>
    <definedName name="AES" localSheetId="9">#REF!</definedName>
    <definedName name="AES" localSheetId="4">#REF!</definedName>
    <definedName name="AES">#REF!</definedName>
    <definedName name="àî">#N/A</definedName>
    <definedName name="ALL_ORG" localSheetId="9">#REF!</definedName>
    <definedName name="ALL_ORG" localSheetId="4">#REF!</definedName>
    <definedName name="ALL_ORG">#REF!</definedName>
    <definedName name="AN">#N/A</definedName>
    <definedName name="âňîđîé" localSheetId="9">#REF!</definedName>
    <definedName name="âňîđîé" localSheetId="4">#REF!</definedName>
    <definedName name="âňîđîé">#REF!</definedName>
    <definedName name="anscount" hidden="1">1</definedName>
    <definedName name="AOE" localSheetId="9">#REF!</definedName>
    <definedName name="AOE" localSheetId="4">#REF!</definedName>
    <definedName name="AOE">#REF!</definedName>
    <definedName name="APR" localSheetId="9">#REF!</definedName>
    <definedName name="APR" localSheetId="4">#REF!</definedName>
    <definedName name="APR">#REF!</definedName>
    <definedName name="asdas">[7]Титульный!$G$8</definedName>
    <definedName name="asdasd" localSheetId="9" hidden="1">#N/A</definedName>
    <definedName name="asdasd" localSheetId="4" hidden="1">#N/A</definedName>
    <definedName name="asdasd" localSheetId="8" hidden="1">'8.Бюджет на 2015'!P5_T1_Protect,'8.Бюджет на 2015'!P6_T1_Protect,'8.Бюджет на 2015'!P7_T1_Protect,'8.Бюджет на 2015'!P8_T1_Protect,'8.Бюджет на 2015'!P9_T1_Protect,'8.Бюджет на 2015'!P10_T1_Protect,'8.Бюджет на 2015'!P11_T1_Protect,'8.Бюджет на 2015'!P12_T1_Protect,'8.Бюджет на 2015'!P13_T1_Protect,'8.Бюджет на 2015'!P14_T1_Protect</definedName>
    <definedName name="asdasd" hidden="1">#N/A</definedName>
    <definedName name="asdasda" localSheetId="9" hidden="1">[8]Регионы!#REF!,[8]Регионы!#REF!,[8]Регионы!#REF!,[8]Регионы!#REF!,[8]Регионы!#REF!,[8]Регионы!#REF!</definedName>
    <definedName name="asdasda" localSheetId="4" hidden="1">[8]Регионы!#REF!,[8]Регионы!#REF!,[8]Регионы!#REF!,[8]Регионы!#REF!,[8]Регионы!#REF!,[8]Регионы!#REF!</definedName>
    <definedName name="asdasda" localSheetId="8" hidden="1">[8]Регионы!#REF!,[8]Регионы!#REF!,[8]Регионы!#REF!,[8]Регионы!#REF!,[8]Регионы!#REF!,[8]Регионы!#REF!</definedName>
    <definedName name="asdasda" hidden="1">[8]Регионы!#REF!,[8]Регионы!#REF!,[8]Регионы!#REF!,[8]Регионы!#REF!,[8]Регионы!#REF!,[8]Регионы!#REF!</definedName>
    <definedName name="AUG" localSheetId="9">#REF!</definedName>
    <definedName name="AUG" localSheetId="4">#REF!</definedName>
    <definedName name="AUG">#REF!</definedName>
    <definedName name="b">[6]Параметры!$F$37</definedName>
    <definedName name="B490_02" localSheetId="9">'[9]УФ-61'!#REF!</definedName>
    <definedName name="B490_02" localSheetId="4">'[9]УФ-61'!#REF!</definedName>
    <definedName name="B490_02">'[9]УФ-61'!#REF!</definedName>
    <definedName name="BALEE_FLOAD" localSheetId="9">#REF!</definedName>
    <definedName name="BALEE_FLOAD" localSheetId="4">#REF!</definedName>
    <definedName name="BALEE_FLOAD">#REF!</definedName>
    <definedName name="BALEE_PROT" localSheetId="9">#REF!,#REF!,#REF!,#REF!</definedName>
    <definedName name="BALEE_PROT" localSheetId="4">#REF!,#REF!,#REF!,#REF!</definedName>
    <definedName name="BALEE_PROT">#REF!,#REF!,#REF!,#REF!</definedName>
    <definedName name="BALM_FLOAD" localSheetId="9">#REF!</definedName>
    <definedName name="BALM_FLOAD" localSheetId="4">#REF!</definedName>
    <definedName name="BALM_FLOAD">#REF!</definedName>
    <definedName name="BALM_PROT" localSheetId="9">#REF!,#REF!,#REF!,#REF!</definedName>
    <definedName name="BALM_PROT" localSheetId="4">#REF!,#REF!,#REF!,#REF!</definedName>
    <definedName name="BALM_PROT">#REF!,#REF!,#REF!,#REF!</definedName>
    <definedName name="C_STAT">[10]TEHSHEET!#REF!</definedName>
    <definedName name="cd">#N/A</definedName>
    <definedName name="com">#N/A</definedName>
    <definedName name="CompOt" localSheetId="9">#N/A</definedName>
    <definedName name="CompOt" localSheetId="4">#N/A</definedName>
    <definedName name="CompOt">#N/A</definedName>
    <definedName name="CompOt2">#N/A</definedName>
    <definedName name="CompRas" localSheetId="9">#N/A</definedName>
    <definedName name="CompRas" localSheetId="4">#N/A</definedName>
    <definedName name="CompRas">#N/A</definedName>
    <definedName name="Contents" localSheetId="9">#REF!</definedName>
    <definedName name="Contents" localSheetId="4">#REF!</definedName>
    <definedName name="Contents">#REF!</definedName>
    <definedName name="COPY_DIAP" localSheetId="9">#REF!</definedName>
    <definedName name="COPY_DIAP" localSheetId="4">#REF!</definedName>
    <definedName name="COPY_DIAP">#REF!</definedName>
    <definedName name="ct">#N/A</definedName>
    <definedName name="CUR_VER">[11]Заголовок!$B$21</definedName>
    <definedName name="d">[6]Параметры!$G$37</definedName>
    <definedName name="ď">#N/A</definedName>
    <definedName name="DaNet" localSheetId="9">[12]TEHSHEET!#REF!</definedName>
    <definedName name="DaNet" localSheetId="4">[12]TEHSHEET!#REF!</definedName>
    <definedName name="DaNet">[12]TEHSHEET!#REF!</definedName>
    <definedName name="DATA" localSheetId="9">#REF!</definedName>
    <definedName name="DATA" localSheetId="4">#REF!</definedName>
    <definedName name="DATA">#REF!</definedName>
    <definedName name="DATE" localSheetId="9">#REF!</definedName>
    <definedName name="DATE" localSheetId="4">#REF!</definedName>
    <definedName name="DATE">#REF!</definedName>
    <definedName name="ďď">#N/A</definedName>
    <definedName name="đđ">#N/A</definedName>
    <definedName name="ddd">[13]ПРОГНОЗ_1!#REF!</definedName>
    <definedName name="đđđ">#N/A</definedName>
    <definedName name="DEC" localSheetId="9">#REF!</definedName>
    <definedName name="DEC" localSheetId="4">#REF!</definedName>
    <definedName name="DEC">#REF!</definedName>
    <definedName name="DELETE_HL_COLUMN_MARKER" localSheetId="9">#REF!</definedName>
    <definedName name="DELETE_HL_COLUMN_MARKER" localSheetId="4">#REF!</definedName>
    <definedName name="DELETE_HL_COLUMN_MARKER">#REF!</definedName>
    <definedName name="DELETE_LOSTS_HL_COLUMN_MARKER" localSheetId="9">#REF!</definedName>
    <definedName name="DELETE_LOSTS_HL_COLUMN_MARKER" localSheetId="4">#REF!</definedName>
    <definedName name="DELETE_LOSTS_HL_COLUMN_MARKER">#REF!</definedName>
    <definedName name="dip" localSheetId="9">[14]FST5!$G$149:$G$165,[0]!P1_dip,[0]!P2_dip,[0]!P3_dip,[0]!P4_dip</definedName>
    <definedName name="dip" localSheetId="4">[14]FST5!$G$149:$G$165,[0]!P1_dip,[0]!P2_dip,[0]!P3_dip,[0]!P4_dip</definedName>
    <definedName name="dip">[14]FST5!$G$149:$G$165,P1_dip,P2_dip,P3_dip,P4_dip</definedName>
    <definedName name="ďĺđâűé" localSheetId="9">#REF!</definedName>
    <definedName name="ďĺđâűé" localSheetId="4">#REF!</definedName>
    <definedName name="ďĺđâűé">#REF!</definedName>
    <definedName name="DOC" localSheetId="9">#REF!</definedName>
    <definedName name="DOC" localSheetId="4">#REF!</definedName>
    <definedName name="DOC">#REF!</definedName>
    <definedName name="DOLL">#REF!</definedName>
    <definedName name="Down_range" localSheetId="9">#REF!</definedName>
    <definedName name="Down_range" localSheetId="4">#REF!</definedName>
    <definedName name="Down_range">#REF!</definedName>
    <definedName name="dsfsdf" hidden="1">[15]свод!$E$70:$M$79,[15]свод!$E$81:$M$81,[15]свод!$E$83:$M$88,[15]свод!$E$90:$M$90,[15]свод!$E$92:$M$96,[15]свод!$E$98:$M$98,[15]свод!$E$101:$M$102</definedName>
    <definedName name="dsragh">#N/A</definedName>
    <definedName name="e" localSheetId="9">[6]Параметры!#REF!</definedName>
    <definedName name="e" localSheetId="4">[6]Параметры!#REF!</definedName>
    <definedName name="e">[6]Параметры!#REF!</definedName>
    <definedName name="EE_DISBALANCE" localSheetId="9">#REF!</definedName>
    <definedName name="EE_DISBALANCE" localSheetId="4">#REF!</definedName>
    <definedName name="EE_DISBALANCE">#REF!</definedName>
    <definedName name="EE_TOTAL_DISBALANCE" localSheetId="9">#REF!</definedName>
    <definedName name="EE_TOTAL_DISBALANCE" localSheetId="4">#REF!</definedName>
    <definedName name="EE_TOTAL_DISBALANCE">#REF!</definedName>
    <definedName name="ęĺ">#N/A</definedName>
    <definedName name="eso" localSheetId="9">[14]FST5!$G$149:$G$165,[0]!P1_eso</definedName>
    <definedName name="eso" localSheetId="4">[14]FST5!$G$149:$G$165,[0]!P1_eso</definedName>
    <definedName name="eso">[14]FST5!$G$149:$G$165,P1_eso</definedName>
    <definedName name="ESO_ET" localSheetId="9">#REF!</definedName>
    <definedName name="ESO_ET" localSheetId="4">#REF!</definedName>
    <definedName name="ESO_ET">#REF!</definedName>
    <definedName name="ESO_PROT">#N/A</definedName>
    <definedName name="ESOcom" localSheetId="9">#REF!</definedName>
    <definedName name="ESOcom" localSheetId="4">#REF!</definedName>
    <definedName name="ESOcom">#REF!</definedName>
    <definedName name="ew" localSheetId="9">#N/A</definedName>
    <definedName name="ew" localSheetId="4">#N/A</definedName>
    <definedName name="ew">#N/A</definedName>
    <definedName name="f" localSheetId="9">[6]Параметры!#REF!</definedName>
    <definedName name="f" localSheetId="4">[6]Параметры!#REF!</definedName>
    <definedName name="f">[6]Параметры!#REF!</definedName>
    <definedName name="F_ST_ET" localSheetId="9">#REF!</definedName>
    <definedName name="F_ST_ET" localSheetId="4">#REF!</definedName>
    <definedName name="F_ST_ET">#REF!</definedName>
    <definedName name="F10_FST_OPT" localSheetId="9">#REF!</definedName>
    <definedName name="F10_FST_OPT" localSheetId="4">#REF!</definedName>
    <definedName name="F10_FST_OPT">#REF!</definedName>
    <definedName name="F10_FST_OPT_1" localSheetId="9">#REF!</definedName>
    <definedName name="F10_FST_OPT_1" localSheetId="4">#REF!</definedName>
    <definedName name="F10_FST_OPT_1">#REF!</definedName>
    <definedName name="F10_FST_OPT_2" localSheetId="9">#REF!</definedName>
    <definedName name="F10_FST_OPT_2" localSheetId="4">#REF!</definedName>
    <definedName name="F10_FST_OPT_2">#REF!</definedName>
    <definedName name="F10_FST_OPT_3" localSheetId="9">#REF!</definedName>
    <definedName name="F10_FST_OPT_3" localSheetId="4">#REF!</definedName>
    <definedName name="F10_FST_OPT_3">#REF!</definedName>
    <definedName name="F10_FST_ROZN" localSheetId="9">#REF!</definedName>
    <definedName name="F10_FST_ROZN" localSheetId="4">#REF!</definedName>
    <definedName name="F10_FST_ROZN">#REF!</definedName>
    <definedName name="F10_FST_ROZN_1" localSheetId="9">#REF!</definedName>
    <definedName name="F10_FST_ROZN_1" localSheetId="4">#REF!</definedName>
    <definedName name="F10_FST_ROZN_1">#REF!</definedName>
    <definedName name="F10_FST_ROZN_2" localSheetId="9">#REF!</definedName>
    <definedName name="F10_FST_ROZN_2" localSheetId="4">#REF!</definedName>
    <definedName name="F10_FST_ROZN_2">#REF!</definedName>
    <definedName name="F10_MAX_OPT" localSheetId="9">#REF!</definedName>
    <definedName name="F10_MAX_OPT" localSheetId="4">#REF!</definedName>
    <definedName name="F10_MAX_OPT">#REF!</definedName>
    <definedName name="F10_MAX_OPT_1" localSheetId="9">#REF!</definedName>
    <definedName name="F10_MAX_OPT_1" localSheetId="4">#REF!</definedName>
    <definedName name="F10_MAX_OPT_1">#REF!</definedName>
    <definedName name="F10_MAX_OPT_2" localSheetId="9">#REF!</definedName>
    <definedName name="F10_MAX_OPT_2" localSheetId="4">#REF!</definedName>
    <definedName name="F10_MAX_OPT_2">#REF!</definedName>
    <definedName name="F10_MAX_OPT_3" localSheetId="9">#REF!</definedName>
    <definedName name="F10_MAX_OPT_3" localSheetId="4">#REF!</definedName>
    <definedName name="F10_MAX_OPT_3">#REF!</definedName>
    <definedName name="F10_MAX_ROZN" localSheetId="9">#REF!</definedName>
    <definedName name="F10_MAX_ROZN" localSheetId="4">#REF!</definedName>
    <definedName name="F10_MAX_ROZN">#REF!</definedName>
    <definedName name="F10_MAX_ROZN_1" localSheetId="9">#REF!</definedName>
    <definedName name="F10_MAX_ROZN_1" localSheetId="4">#REF!</definedName>
    <definedName name="F10_MAX_ROZN_1">#REF!</definedName>
    <definedName name="F10_MAX_ROZN_2" localSheetId="9">#REF!</definedName>
    <definedName name="F10_MAX_ROZN_2" localSheetId="4">#REF!</definedName>
    <definedName name="F10_MAX_ROZN_2">#REF!</definedName>
    <definedName name="F10_MIN_OPT" localSheetId="9">#REF!</definedName>
    <definedName name="F10_MIN_OPT" localSheetId="4">#REF!</definedName>
    <definedName name="F10_MIN_OPT">#REF!</definedName>
    <definedName name="F10_MIN_OPT_1" localSheetId="9">#REF!</definedName>
    <definedName name="F10_MIN_OPT_1" localSheetId="4">#REF!</definedName>
    <definedName name="F10_MIN_OPT_1">#REF!</definedName>
    <definedName name="F10_MIN_OPT_2" localSheetId="9">#REF!</definedName>
    <definedName name="F10_MIN_OPT_2" localSheetId="4">#REF!</definedName>
    <definedName name="F10_MIN_OPT_2">#REF!</definedName>
    <definedName name="F10_MIN_OPT_3" localSheetId="9">#REF!</definedName>
    <definedName name="F10_MIN_OPT_3" localSheetId="4">#REF!</definedName>
    <definedName name="F10_MIN_OPT_3">#REF!</definedName>
    <definedName name="F10_MIN_ROZN" localSheetId="9">#REF!</definedName>
    <definedName name="F10_MIN_ROZN" localSheetId="4">#REF!</definedName>
    <definedName name="F10_MIN_ROZN">#REF!</definedName>
    <definedName name="F10_MIN_ROZN_1" localSheetId="9">#REF!</definedName>
    <definedName name="F10_MIN_ROZN_1" localSheetId="4">#REF!</definedName>
    <definedName name="F10_MIN_ROZN_1">#REF!</definedName>
    <definedName name="F10_MIN_ROZN_2" localSheetId="9">#REF!</definedName>
    <definedName name="F10_MIN_ROZN_2" localSheetId="4">#REF!</definedName>
    <definedName name="F10_MIN_ROZN_2">#REF!</definedName>
    <definedName name="F10_SCOPE" localSheetId="9">#REF!</definedName>
    <definedName name="F10_SCOPE" localSheetId="4">#REF!</definedName>
    <definedName name="F10_SCOPE">#REF!</definedName>
    <definedName name="F9_OPT" localSheetId="9">#REF!</definedName>
    <definedName name="F9_OPT" localSheetId="4">#REF!</definedName>
    <definedName name="F9_OPT">#REF!</definedName>
    <definedName name="F9_OPT_1" localSheetId="9">#REF!</definedName>
    <definedName name="F9_OPT_1" localSheetId="4">#REF!</definedName>
    <definedName name="F9_OPT_1">#REF!</definedName>
    <definedName name="F9_OPT_2" localSheetId="9">#REF!</definedName>
    <definedName name="F9_OPT_2" localSheetId="4">#REF!</definedName>
    <definedName name="F9_OPT_2">#REF!</definedName>
    <definedName name="F9_OPT_3" localSheetId="9">#REF!</definedName>
    <definedName name="F9_OPT_3" localSheetId="4">#REF!</definedName>
    <definedName name="F9_OPT_3">#REF!</definedName>
    <definedName name="F9_ROZN" localSheetId="9">#REF!</definedName>
    <definedName name="F9_ROZN" localSheetId="4">#REF!</definedName>
    <definedName name="F9_ROZN">#REF!</definedName>
    <definedName name="F9_ROZN_1" localSheetId="9">#REF!</definedName>
    <definedName name="F9_ROZN_1" localSheetId="4">#REF!</definedName>
    <definedName name="F9_ROZN_1">#REF!</definedName>
    <definedName name="F9_ROZN_2" localSheetId="9">#REF!</definedName>
    <definedName name="F9_ROZN_2" localSheetId="4">#REF!</definedName>
    <definedName name="F9_ROZN_2">#REF!</definedName>
    <definedName name="F9_SC_1" localSheetId="9">[12]Топливо2009!#REF!</definedName>
    <definedName name="F9_SC_1" localSheetId="4">[12]Топливо2009!#REF!</definedName>
    <definedName name="F9_SC_1">[12]Топливо2009!#REF!</definedName>
    <definedName name="F9_SC_2" localSheetId="9">[12]Топливо2009!#REF!</definedName>
    <definedName name="F9_SC_2" localSheetId="4">[12]Топливо2009!#REF!</definedName>
    <definedName name="F9_SC_2">[12]Топливо2009!#REF!</definedName>
    <definedName name="F9_SC_3" localSheetId="9">[12]Топливо2009!#REF!</definedName>
    <definedName name="F9_SC_3" localSheetId="4">[12]Топливо2009!#REF!</definedName>
    <definedName name="F9_SC_3">[12]Топливо2009!#REF!</definedName>
    <definedName name="F9_SC_4" localSheetId="9">[12]Топливо2009!#REF!</definedName>
    <definedName name="F9_SC_4" localSheetId="4">[12]Топливо2009!#REF!</definedName>
    <definedName name="F9_SC_4">[12]Топливо2009!#REF!</definedName>
    <definedName name="F9_SC_5" localSheetId="9">[12]Топливо2009!#REF!</definedName>
    <definedName name="F9_SC_5" localSheetId="4">[12]Топливо2009!#REF!</definedName>
    <definedName name="F9_SC_5">[12]Топливо2009!#REF!</definedName>
    <definedName name="F9_SC_6" localSheetId="9">[12]Топливо2009!#REF!</definedName>
    <definedName name="F9_SC_6" localSheetId="4">[12]Топливо2009!#REF!</definedName>
    <definedName name="F9_SC_6">[12]Топливо2009!#REF!</definedName>
    <definedName name="F9_SCOPE" localSheetId="9">#REF!</definedName>
    <definedName name="F9_SCOPE" localSheetId="4">#REF!</definedName>
    <definedName name="F9_SCOPE">#REF!</definedName>
    <definedName name="fbgffnjfgg">#N/A</definedName>
    <definedName name="FEB" localSheetId="9">#REF!</definedName>
    <definedName name="FEB" localSheetId="4">#REF!</definedName>
    <definedName name="FEB">#REF!</definedName>
    <definedName name="ff" localSheetId="9">#REF!</definedName>
    <definedName name="ff">#REF!</definedName>
    <definedName name="fff" localSheetId="9">#REF!</definedName>
    <definedName name="fff" localSheetId="4">#REF!</definedName>
    <definedName name="fff">#REF!</definedName>
    <definedName name="fffff">'[16]Гр5(о)'!#REF!</definedName>
    <definedName name="fg" localSheetId="9">#N/A</definedName>
    <definedName name="fg" localSheetId="4">#N/A</definedName>
    <definedName name="fg">#N/A</definedName>
    <definedName name="ForIns" localSheetId="9">[17]Регионы!#REF!</definedName>
    <definedName name="ForIns" localSheetId="4">[17]Регионы!#REF!</definedName>
    <definedName name="ForIns">[17]Регионы!#REF!</definedName>
    <definedName name="FUEL" localSheetId="9">#REF!</definedName>
    <definedName name="FUEL" localSheetId="4">#REF!</definedName>
    <definedName name="FUEL">#REF!</definedName>
    <definedName name="FUEL_ET" localSheetId="9">#REF!</definedName>
    <definedName name="FUEL_ET" localSheetId="4">#REF!</definedName>
    <definedName name="FUEL_ET">#REF!</definedName>
    <definedName name="FUELLIST" localSheetId="9">#REF!</definedName>
    <definedName name="FUELLIST" localSheetId="4">#REF!</definedName>
    <definedName name="FUELLIST">#REF!</definedName>
    <definedName name="g" localSheetId="9">[6]Параметры!#REF!</definedName>
    <definedName name="g" localSheetId="4">[6]Параметры!#REF!</definedName>
    <definedName name="g">[6]Параметры!#REF!</definedName>
    <definedName name="GES" localSheetId="9">#REF!</definedName>
    <definedName name="GES" localSheetId="4">#REF!</definedName>
    <definedName name="GES">#REF!</definedName>
    <definedName name="GES_DATA" localSheetId="9">#REF!</definedName>
    <definedName name="GES_DATA" localSheetId="4">#REF!</definedName>
    <definedName name="GES_DATA">#REF!</definedName>
    <definedName name="GES_LIST" localSheetId="9">#REF!</definedName>
    <definedName name="GES_LIST" localSheetId="4">#REF!</definedName>
    <definedName name="GES_LIST">#REF!</definedName>
    <definedName name="GES3_DATA" localSheetId="9">#REF!</definedName>
    <definedName name="GES3_DATA" localSheetId="4">#REF!</definedName>
    <definedName name="GES3_DATA">#REF!</definedName>
    <definedName name="gfg">#N/A</definedName>
    <definedName name="gggg" localSheetId="9">#REF!</definedName>
    <definedName name="gggg">#REF!</definedName>
    <definedName name="gh">#N/A</definedName>
    <definedName name="ghfgh" localSheetId="9">[0]!P1_T28_Protection,[0]!P2_T28_Protection,[0]!P3_T28_Protection,[0]!P4_T28_Protection,[0]!P5_T28_Protection,[0]!P6_T28_Protection,[0]!P7_T28_Protection,[0]!P8_T28_Protection</definedName>
    <definedName name="ghfgh" localSheetId="4">[0]!P1_T28_Protection,[0]!P2_T28_Protection,[0]!P3_T28_Protection,[0]!P4_T28_Protection,[0]!P5_T28_Protection,[0]!P6_T28_Protection,[0]!P7_T28_Protection,[0]!P8_T28_Protection</definedName>
    <definedName name="ghfgh">P1_T28_Protection,P2_T28_Protection,P3_T28_Protection,P4_T28_Protection,P5_T28_Protection,P6_T28_Protection,P7_T28_Protection,P8_T28_Protection</definedName>
    <definedName name="ghhktyi">#N/A</definedName>
    <definedName name="god">[18]Титульный!$F$8</definedName>
    <definedName name="GRES" localSheetId="9">#REF!</definedName>
    <definedName name="GRES" localSheetId="4">#REF!</definedName>
    <definedName name="GRES">#REF!</definedName>
    <definedName name="GRES_DATA" localSheetId="9">#REF!</definedName>
    <definedName name="GRES_DATA" localSheetId="4">#REF!</definedName>
    <definedName name="GRES_DATA">#REF!</definedName>
    <definedName name="GRES_LIST" localSheetId="9">#REF!</definedName>
    <definedName name="GRES_LIST" localSheetId="4">#REF!</definedName>
    <definedName name="GRES_LIST">#REF!</definedName>
    <definedName name="grety5e">#N/A</definedName>
    <definedName name="gtty">#N/A</definedName>
    <definedName name="h">#N/A</definedName>
    <definedName name="Helper_Котельные">[19]Справочники!$A$9:$A$12</definedName>
    <definedName name="Helper_ТЭС">[19]Справочники!$A$2:$A$5</definedName>
    <definedName name="Helper_ТЭС_Котельные">[20]Справочники!$A$2:$A$4,[20]Справочники!$A$16:$A$18</definedName>
    <definedName name="Helper_ФОРЭМ">[19]Справочники!$A$30:$A$35</definedName>
    <definedName name="hfte">#N/A</definedName>
    <definedName name="hhh">#N/A</definedName>
    <definedName name="hhy">#N/A</definedName>
    <definedName name="îî">#N/A</definedName>
    <definedName name="INN" localSheetId="9">#REF!</definedName>
    <definedName name="INN" localSheetId="4">#REF!</definedName>
    <definedName name="INN">#REF!</definedName>
    <definedName name="j">#N/A</definedName>
    <definedName name="JAN" localSheetId="9">#REF!</definedName>
    <definedName name="JAN" localSheetId="4">#REF!</definedName>
    <definedName name="JAN">#REF!</definedName>
    <definedName name="jjjj" localSheetId="9">'[21]Гр5(о)'!#REF!</definedName>
    <definedName name="jjjj">'[21]Гр5(о)'!#REF!</definedName>
    <definedName name="JUL" localSheetId="9">#REF!</definedName>
    <definedName name="JUL" localSheetId="4">#REF!</definedName>
    <definedName name="JUL">#REF!</definedName>
    <definedName name="JUN" localSheetId="9">#REF!</definedName>
    <definedName name="JUN" localSheetId="4">#REF!</definedName>
    <definedName name="JUN">#REF!</definedName>
    <definedName name="k" localSheetId="9">#N/A</definedName>
    <definedName name="k" localSheetId="4">#N/A</definedName>
    <definedName name="k">#N/A</definedName>
    <definedName name="knkn.n.">#N/A</definedName>
    <definedName name="kpp">[22]Титульный!$F$16</definedName>
    <definedName name="kvartal">[18]Титульный!$G$8</definedName>
    <definedName name="l" localSheetId="9">#N/A</definedName>
    <definedName name="l" localSheetId="4">#N/A</definedName>
    <definedName name="l">#N/A</definedName>
    <definedName name="M7.3">#N/A</definedName>
    <definedName name="MAR" localSheetId="9">#REF!</definedName>
    <definedName name="MAR" localSheetId="4">#REF!</definedName>
    <definedName name="MAR">#REF!</definedName>
    <definedName name="MAY" localSheetId="9">#REF!</definedName>
    <definedName name="MAY" localSheetId="4">#REF!</definedName>
    <definedName name="MAY">#REF!</definedName>
    <definedName name="MmExcelLinker_6E24F10A_D93B_4197_A91F_1E8C46B84DD5" localSheetId="9">РТ передача [23]ээ!$I$76:$I$76</definedName>
    <definedName name="MmExcelLinker_6E24F10A_D93B_4197_A91F_1E8C46B84DD5" localSheetId="4">РТ передача [23]ээ!$I$76:$I$76</definedName>
    <definedName name="MmExcelLinker_6E24F10A_D93B_4197_A91F_1E8C46B84DD5">РТ передача [23]ээ!$I$76:$I$76</definedName>
    <definedName name="MO" localSheetId="9">#REF!</definedName>
    <definedName name="MO" localSheetId="4">#REF!</definedName>
    <definedName name="MO">#REF!</definedName>
    <definedName name="MONTH" localSheetId="9">#REF!</definedName>
    <definedName name="MONTH" localSheetId="4">#REF!</definedName>
    <definedName name="MONTH">#REF!</definedName>
    <definedName name="MR_LIST">[22]REESTR_MO!$D$2:$D$45</definedName>
    <definedName name="ňđĺňčé" localSheetId="9">#REF!</definedName>
    <definedName name="ňđĺňčé" localSheetId="4">#REF!</definedName>
    <definedName name="ňđĺňčé">#REF!</definedName>
    <definedName name="net" localSheetId="9">[14]FST5!$G$100:$G$116,[0]!P1_net</definedName>
    <definedName name="net" localSheetId="4">[14]FST5!$G$100:$G$116,[0]!P1_net</definedName>
    <definedName name="net">[14]FST5!$G$100:$G$116,P1_net</definedName>
    <definedName name="nfyz">#N/A</definedName>
    <definedName name="NOM" localSheetId="9">#REF!</definedName>
    <definedName name="NOM" localSheetId="4">#REF!</definedName>
    <definedName name="NOM">#REF!</definedName>
    <definedName name="NOV" localSheetId="9">#REF!</definedName>
    <definedName name="NOV" localSheetId="4">#REF!</definedName>
    <definedName name="NOV">#REF!</definedName>
    <definedName name="NSRF" localSheetId="9">#REF!</definedName>
    <definedName name="NSRF" localSheetId="4">#REF!</definedName>
    <definedName name="NSRF">#REF!</definedName>
    <definedName name="Num" localSheetId="9">#REF!</definedName>
    <definedName name="Num" localSheetId="4">#REF!</definedName>
    <definedName name="Num">#REF!</definedName>
    <definedName name="NUM_COLUMN_MARKER" localSheetId="9">#REF!</definedName>
    <definedName name="NUM_COLUMN_MARKER" localSheetId="4">#REF!</definedName>
    <definedName name="NUM_COLUMN_MARKER">#REF!</definedName>
    <definedName name="o">#N/A</definedName>
    <definedName name="OCT" localSheetId="9">#REF!</definedName>
    <definedName name="OCT" localSheetId="4">#REF!</definedName>
    <definedName name="OCT">#REF!</definedName>
    <definedName name="OKTMO" localSheetId="9">#REF!</definedName>
    <definedName name="OKTMO" localSheetId="4">#REF!</definedName>
    <definedName name="OKTMO">#REF!</definedName>
    <definedName name="öó">#N/A</definedName>
    <definedName name="opa" hidden="1">'[15]17'!$E$13:$H$21,'[15]17'!$J$9:$J$11,'[15]17'!$J$13:$J$21,'[15]17'!$E$24:$H$26,'[15]17'!$E$28:$H$36,'[15]17'!$J$24:$M$26,'[15]17'!$J$28:$M$36,'[15]17'!$E$39:$H$41</definedName>
    <definedName name="ORE" localSheetId="9">#REF!</definedName>
    <definedName name="ORE" localSheetId="4">#REF!</definedName>
    <definedName name="ORE">#REF!</definedName>
    <definedName name="ORG" localSheetId="9">[17]Справочники!#REF!</definedName>
    <definedName name="ORG" localSheetId="4">[17]Справочники!#REF!</definedName>
    <definedName name="ORG">[17]Справочники!#REF!</definedName>
    <definedName name="Org_list" localSheetId="9">#REF!</definedName>
    <definedName name="Org_list" localSheetId="4">#REF!</definedName>
    <definedName name="Org_list">#REF!</definedName>
    <definedName name="OTH_DATA" localSheetId="9">#REF!</definedName>
    <definedName name="OTH_DATA" localSheetId="4">#REF!</definedName>
    <definedName name="OTH_DATA">#REF!</definedName>
    <definedName name="OTH_LIST" localSheetId="9">#REF!</definedName>
    <definedName name="OTH_LIST" localSheetId="4">#REF!</definedName>
    <definedName name="OTH_LIST">#REF!</definedName>
    <definedName name="p" localSheetId="9">'[24]Вводные данные систем'!#REF!</definedName>
    <definedName name="p" localSheetId="4">'[24]Вводные данные систем'!#REF!</definedName>
    <definedName name="p">'[24]Вводные данные систем'!#REF!</definedName>
    <definedName name="P1_dip" hidden="1">[14]FST5!$G$167:$G$172,[14]FST5!$G$174:$G$175,[14]FST5!$G$177:$G$180,[14]FST5!$G$182,[14]FST5!$G$184:$G$188,[14]FST5!$G$190,[14]FST5!$G$192:$G$194</definedName>
    <definedName name="P1_eso" hidden="1">[14]FST5!$G$167:$G$172,[14]FST5!$G$174:$G$175,[14]FST5!$G$177:$G$180,[14]FST5!$G$182,[14]FST5!$G$184:$G$188,[14]FST5!$G$190,[14]FST5!$G$192:$G$194</definedName>
    <definedName name="P1_ESO_PROT" localSheetId="9" hidden="1">#REF!,#REF!,#REF!,#REF!,#REF!,#REF!,#REF!,#REF!</definedName>
    <definedName name="P1_ESO_PROT" localSheetId="4" hidden="1">#REF!,#REF!,#REF!,#REF!,#REF!,#REF!,#REF!,#REF!</definedName>
    <definedName name="P1_ESO_PROT" localSheetId="8" hidden="1">#REF!,#REF!,#REF!,#REF!,#REF!,#REF!,#REF!,#REF!</definedName>
    <definedName name="P1_ESO_PROT" hidden="1">#REF!,#REF!,#REF!,#REF!,#REF!,#REF!,#REF!,#REF!</definedName>
    <definedName name="P1_net" hidden="1">[14]FST5!$G$118:$G$123,[14]FST5!$G$125:$G$126,[14]FST5!$G$128:$G$131,[14]FST5!$G$133,[14]FST5!$G$135:$G$139,[14]FST5!$G$141,[14]FST5!$G$143:$G$145</definedName>
    <definedName name="P1_SBT_PROT" localSheetId="9" hidden="1">#REF!,#REF!,#REF!,#REF!,#REF!,#REF!,#REF!</definedName>
    <definedName name="P1_SBT_PROT" localSheetId="4" hidden="1">#REF!,#REF!,#REF!,#REF!,#REF!,#REF!,#REF!</definedName>
    <definedName name="P1_SBT_PROT" localSheetId="8" hidden="1">#REF!,#REF!,#REF!,#REF!,#REF!,#REF!,#REF!</definedName>
    <definedName name="P1_SBT_PROT" hidden="1">#REF!,#REF!,#REF!,#REF!,#REF!,#REF!,#REF!</definedName>
    <definedName name="P1_SC22" localSheetId="9" hidden="1">#REF!,#REF!,#REF!,#REF!,#REF!,#REF!</definedName>
    <definedName name="P1_SC22" localSheetId="4" hidden="1">#REF!,#REF!,#REF!,#REF!,#REF!,#REF!</definedName>
    <definedName name="P1_SC22" localSheetId="8" hidden="1">#REF!,#REF!,#REF!,#REF!,#REF!,#REF!</definedName>
    <definedName name="P1_SC22" hidden="1">#REF!,#REF!,#REF!,#REF!,#REF!,#REF!</definedName>
    <definedName name="P1_SCOPE_16_PRT" hidden="1">'[15]16'!$E$15:$I$16,'[15]16'!$E$18:$I$20,'[15]16'!$E$23:$I$23,'[15]16'!$E$26:$I$26,'[15]16'!$E$29:$I$29,'[15]16'!$E$32:$I$32,'[15]16'!$E$35:$I$35,'[15]16'!$B$34,'[15]16'!$B$37</definedName>
    <definedName name="P1_SCOPE_17_PRT" hidden="1">'[15]17'!$E$13:$H$21,'[15]17'!$J$9:$J$11,'[15]17'!$J$13:$J$21,'[15]17'!$E$24:$H$26,'[15]17'!$E$28:$H$36,'[15]17'!$J$24:$M$26,'[15]17'!$J$28:$M$36,'[15]17'!$E$39:$H$41</definedName>
    <definedName name="P1_SCOPE_4_PRT" hidden="1">'[15]4'!$F$23:$I$23,'[15]4'!$F$25:$I$25,'[15]4'!$F$27:$I$31,'[15]4'!$K$14:$N$20,'[15]4'!$K$23:$N$23,'[15]4'!$K$25:$N$25,'[15]4'!$K$27:$N$31,'[15]4'!$P$14:$S$20,'[15]4'!$P$23:$S$23</definedName>
    <definedName name="P1_SCOPE_5_PRT" hidden="1">'[15]5'!$F$23:$I$23,'[15]5'!$F$25:$I$25,'[15]5'!$F$27:$I$31,'[15]5'!$K$14:$N$21,'[15]5'!$K$23:$N$23,'[15]5'!$K$25:$N$25,'[15]5'!$K$27:$N$31,'[15]5'!$P$14:$S$21,'[15]5'!$P$23:$S$23</definedName>
    <definedName name="P1_SCOPE_CORR" localSheetId="9" hidden="1">#REF!,#REF!,#REF!,#REF!,#REF!,#REF!,#REF!</definedName>
    <definedName name="P1_SCOPE_CORR" localSheetId="4" hidden="1">#REF!,#REF!,#REF!,#REF!,#REF!,#REF!,#REF!</definedName>
    <definedName name="P1_SCOPE_CORR" localSheetId="8" hidden="1">#REF!,#REF!,#REF!,#REF!,#REF!,#REF!,#REF!</definedName>
    <definedName name="P1_SCOPE_CORR" hidden="1">#REF!,#REF!,#REF!,#REF!,#REF!,#REF!,#REF!</definedName>
    <definedName name="P1_SCOPE_DOP" localSheetId="9" hidden="1">[8]Регионы!#REF!,[8]Регионы!#REF!,[8]Регионы!#REF!,[8]Регионы!#REF!,[8]Регионы!#REF!,[8]Регионы!#REF!</definedName>
    <definedName name="P1_SCOPE_DOP" localSheetId="4" hidden="1">[8]Регионы!#REF!,[8]Регионы!#REF!,[8]Регионы!#REF!,[8]Регионы!#REF!,[8]Регионы!#REF!,[8]Регионы!#REF!</definedName>
    <definedName name="P1_SCOPE_DOP" localSheetId="8" hidden="1">[8]Регионы!#REF!,[8]Регионы!#REF!,[8]Регионы!#REF!,[8]Регионы!#REF!,[8]Регионы!#REF!,[8]Регионы!#REF!</definedName>
    <definedName name="P1_SCOPE_DOP" hidden="1">[8]Регионы!#REF!,[8]Регионы!#REF!,[8]Регионы!#REF!,[8]Регионы!#REF!,[8]Регионы!#REF!,[8]Регионы!#REF!</definedName>
    <definedName name="P1_SCOPE_F1_PRT" localSheetId="9" hidden="1">#REF!,#REF!,#REF!,#REF!</definedName>
    <definedName name="P1_SCOPE_F1_PRT" localSheetId="4" hidden="1">#REF!,#REF!,#REF!,#REF!</definedName>
    <definedName name="P1_SCOPE_F1_PRT" localSheetId="8" hidden="1">#REF!,#REF!,#REF!,#REF!</definedName>
    <definedName name="P1_SCOPE_F1_PRT" hidden="1">#REF!,#REF!,#REF!,#REF!</definedName>
    <definedName name="P1_SCOPE_F2_PRT" localSheetId="9" hidden="1">#REF!,#REF!,#REF!,#REF!</definedName>
    <definedName name="P1_SCOPE_F2_PRT" localSheetId="4" hidden="1">#REF!,#REF!,#REF!,#REF!</definedName>
    <definedName name="P1_SCOPE_F2_PRT" hidden="1">#REF!,#REF!,#REF!,#REF!</definedName>
    <definedName name="P1_SCOPE_FLOAD" localSheetId="9" hidden="1">#REF!,#REF!,#REF!,#REF!,#REF!,#REF!</definedName>
    <definedName name="P1_SCOPE_FLOAD" localSheetId="4" hidden="1">#REF!,#REF!,#REF!,#REF!,#REF!,#REF!</definedName>
    <definedName name="P1_SCOPE_FLOAD" localSheetId="8" hidden="1">#REF!,#REF!,#REF!,#REF!,#REF!,#REF!</definedName>
    <definedName name="P1_SCOPE_FLOAD" hidden="1">#REF!,#REF!,#REF!,#REF!,#REF!,#REF!</definedName>
    <definedName name="P1_SCOPE_FRML" localSheetId="9" hidden="1">#REF!,#REF!,#REF!,#REF!,#REF!,#REF!</definedName>
    <definedName name="P1_SCOPE_FRML" localSheetId="4" hidden="1">#REF!,#REF!,#REF!,#REF!,#REF!,#REF!</definedName>
    <definedName name="P1_SCOPE_FRML" hidden="1">#REF!,#REF!,#REF!,#REF!,#REF!,#REF!</definedName>
    <definedName name="P1_SCOPE_FST7" localSheetId="9" hidden="1">#REF!,#REF!,#REF!,#REF!,#REF!,#REF!</definedName>
    <definedName name="P1_SCOPE_FST7" localSheetId="4" hidden="1">#REF!,#REF!,#REF!,#REF!,#REF!,#REF!</definedName>
    <definedName name="P1_SCOPE_FST7" hidden="1">#REF!,#REF!,#REF!,#REF!,#REF!,#REF!</definedName>
    <definedName name="P1_SCOPE_FULL_LOAD" localSheetId="9" hidden="1">#REF!,#REF!,#REF!,#REF!,#REF!,#REF!</definedName>
    <definedName name="P1_SCOPE_FULL_LOAD" localSheetId="4" hidden="1">#REF!,#REF!,#REF!,#REF!,#REF!,#REF!</definedName>
    <definedName name="P1_SCOPE_FULL_LOAD" hidden="1">#REF!,#REF!,#REF!,#REF!,#REF!,#REF!</definedName>
    <definedName name="P1_SCOPE_IND" localSheetId="9" hidden="1">#REF!,#REF!,#REF!,#REF!,#REF!,#REF!</definedName>
    <definedName name="P1_SCOPE_IND" localSheetId="4" hidden="1">#REF!,#REF!,#REF!,#REF!,#REF!,#REF!</definedName>
    <definedName name="P1_SCOPE_IND" hidden="1">#REF!,#REF!,#REF!,#REF!,#REF!,#REF!</definedName>
    <definedName name="P1_SCOPE_IND2" localSheetId="9" hidden="1">#REF!,#REF!,#REF!,#REF!,#REF!</definedName>
    <definedName name="P1_SCOPE_IND2" localSheetId="4" hidden="1">#REF!,#REF!,#REF!,#REF!,#REF!</definedName>
    <definedName name="P1_SCOPE_IND2" localSheetId="8" hidden="1">#REF!,#REF!,#REF!,#REF!,#REF!</definedName>
    <definedName name="P1_SCOPE_IND2" hidden="1">#REF!,#REF!,#REF!,#REF!,#REF!</definedName>
    <definedName name="P1_SCOPE_NOTIND" localSheetId="9" hidden="1">#REF!,#REF!,#REF!,#REF!,#REF!,#REF!</definedName>
    <definedName name="P1_SCOPE_NOTIND" localSheetId="4" hidden="1">#REF!,#REF!,#REF!,#REF!,#REF!,#REF!</definedName>
    <definedName name="P1_SCOPE_NOTIND" localSheetId="8" hidden="1">#REF!,#REF!,#REF!,#REF!,#REF!,#REF!</definedName>
    <definedName name="P1_SCOPE_NOTIND" hidden="1">#REF!,#REF!,#REF!,#REF!,#REF!,#REF!</definedName>
    <definedName name="P1_SCOPE_NotInd2" localSheetId="9" hidden="1">#REF!,#REF!,#REF!,#REF!,#REF!,#REF!,#REF!</definedName>
    <definedName name="P1_SCOPE_NotInd2" localSheetId="4" hidden="1">#REF!,#REF!,#REF!,#REF!,#REF!,#REF!,#REF!</definedName>
    <definedName name="P1_SCOPE_NotInd2" localSheetId="8" hidden="1">#REF!,#REF!,#REF!,#REF!,#REF!,#REF!,#REF!</definedName>
    <definedName name="P1_SCOPE_NotInd2" hidden="1">#REF!,#REF!,#REF!,#REF!,#REF!,#REF!,#REF!</definedName>
    <definedName name="P1_SCOPE_NotInd3" localSheetId="9" hidden="1">#REF!,#REF!,#REF!,#REF!,#REF!,#REF!,#REF!</definedName>
    <definedName name="P1_SCOPE_NotInd3" localSheetId="4" hidden="1">#REF!,#REF!,#REF!,#REF!,#REF!,#REF!,#REF!</definedName>
    <definedName name="P1_SCOPE_NotInd3" hidden="1">#REF!,#REF!,#REF!,#REF!,#REF!,#REF!,#REF!</definedName>
    <definedName name="P1_SCOPE_NotInt" localSheetId="9" hidden="1">#REF!,#REF!,#REF!,#REF!,#REF!,#REF!</definedName>
    <definedName name="P1_SCOPE_NotInt" localSheetId="4" hidden="1">#REF!,#REF!,#REF!,#REF!,#REF!,#REF!</definedName>
    <definedName name="P1_SCOPE_NotInt" localSheetId="8" hidden="1">#REF!,#REF!,#REF!,#REF!,#REF!,#REF!</definedName>
    <definedName name="P1_SCOPE_NotInt" hidden="1">#REF!,#REF!,#REF!,#REF!,#REF!,#REF!</definedName>
    <definedName name="P1_SCOPE_PER_PRT" hidden="1">[15]перекрестка!$H$15:$H$19,[15]перекрестка!$H$21:$H$25,[15]перекрестка!$J$14:$J$25,[15]перекрестка!$K$15:$K$19,[15]перекрестка!$K$21:$K$25</definedName>
    <definedName name="P1_SCOPE_SAVE2" localSheetId="9" hidden="1">#REF!,#REF!,#REF!,#REF!,#REF!,#REF!,#REF!</definedName>
    <definedName name="P1_SCOPE_SAVE2" localSheetId="4" hidden="1">#REF!,#REF!,#REF!,#REF!,#REF!,#REF!,#REF!</definedName>
    <definedName name="P1_SCOPE_SAVE2" localSheetId="8" hidden="1">#REF!,#REF!,#REF!,#REF!,#REF!,#REF!,#REF!</definedName>
    <definedName name="P1_SCOPE_SAVE2" hidden="1">#REF!,#REF!,#REF!,#REF!,#REF!,#REF!,#REF!</definedName>
    <definedName name="P1_SCOPE_SV_LD" localSheetId="9" hidden="1">#REF!,#REF!,#REF!,#REF!,#REF!,#REF!,#REF!</definedName>
    <definedName name="P1_SCOPE_SV_LD" localSheetId="4" hidden="1">#REF!,#REF!,#REF!,#REF!,#REF!,#REF!,#REF!</definedName>
    <definedName name="P1_SCOPE_SV_LD" hidden="1">#REF!,#REF!,#REF!,#REF!,#REF!,#REF!,#REF!</definedName>
    <definedName name="P1_SCOPE_SV_LD1" hidden="1">[15]свод!$E$70:$M$79,[15]свод!$E$81:$M$81,[15]свод!$E$83:$M$88,[15]свод!$E$90:$M$90,[15]свод!$E$92:$M$96,[15]свод!$E$98:$M$98,[15]свод!$E$101:$M$102</definedName>
    <definedName name="P1_SCOPE_SV_PRT" hidden="1">[15]свод!$E$23:$H$26,[15]свод!$E$28:$I$29,[15]свод!$E$32:$I$36,[15]свод!$E$38:$I$40,[15]свод!$E$42:$I$53,[15]свод!$E$55:$I$56,[15]свод!$E$58:$I$63</definedName>
    <definedName name="P1_SET_PROT" localSheetId="9" hidden="1">#REF!,#REF!,#REF!,#REF!,#REF!,#REF!,#REF!</definedName>
    <definedName name="P1_SET_PROT" localSheetId="4" hidden="1">#REF!,#REF!,#REF!,#REF!,#REF!,#REF!,#REF!</definedName>
    <definedName name="P1_SET_PROT" hidden="1">#REF!,#REF!,#REF!,#REF!,#REF!,#REF!,#REF!</definedName>
    <definedName name="P1_SET_PRT" localSheetId="9" hidden="1">#REF!,#REF!,#REF!,#REF!,#REF!,#REF!,#REF!</definedName>
    <definedName name="P1_SET_PRT" localSheetId="4" hidden="1">#REF!,#REF!,#REF!,#REF!,#REF!,#REF!,#REF!</definedName>
    <definedName name="P1_SET_PRT" hidden="1">#REF!,#REF!,#REF!,#REF!,#REF!,#REF!,#REF!</definedName>
    <definedName name="P1_T1_Protect" localSheetId="9" hidden="1">[25]перекрестка!$J$42:$K$46,[25]перекрестка!$J$49,[25]перекрестка!$J$50:$K$54,[25]перекрестка!$J$55,[25]перекрестка!$J$56:$K$60,[25]перекрестка!$J$62:$K$66</definedName>
    <definedName name="P1_T1_Protect" localSheetId="4" hidden="1">[25]перекрестка!$J$42:$K$46,[25]перекрестка!$J$49,[25]перекрестка!$J$50:$K$54,[25]перекрестка!$J$55,[25]перекрестка!$J$56:$K$60,[25]перекрестка!$J$62:$K$66</definedName>
    <definedName name="P1_T1_Protect" localSheetId="8" hidden="1">#REF!,#REF!,#REF!,#REF!,#REF!,#REF!</definedName>
    <definedName name="P1_T1_Protect" hidden="1">#REF!,#REF!,#REF!,#REF!,#REF!,#REF!</definedName>
    <definedName name="P1_T16?axis?R?ДОГОВОР" hidden="1">'[26]16'!$E$76:$M$76,'[26]16'!$E$8:$M$8,'[26]16'!$E$12:$M$12,'[26]16'!$E$52:$M$52,'[26]16'!$E$16:$M$16,'[26]16'!$E$64:$M$64,'[26]16'!$E$84:$M$85,'[26]16'!$E$48:$M$48,'[26]16'!$E$80:$M$80,'[26]16'!$E$72:$M$72,'[26]16'!$E$44:$M$44</definedName>
    <definedName name="P1_T16?axis?R?ДОГОВОР?" hidden="1">'[26]16'!$A$76,'[26]16'!$A$84:$A$85,'[26]16'!$A$72,'[26]16'!$A$80,'[26]16'!$A$68,'[26]16'!$A$64,'[26]16'!$A$60,'[26]16'!$A$56,'[26]16'!$A$52,'[26]16'!$A$48,'[26]16'!$A$44,'[26]16'!$A$40,'[26]16'!$A$36,'[26]16'!$A$32,'[26]16'!$A$28,'[26]16'!$A$24,'[26]16'!$A$20</definedName>
    <definedName name="P1_T16?L1" hidden="1">'[26]16'!$A$74:$M$74,'[26]16'!$A$14:$M$14,'[26]16'!$A$10:$M$10,'[26]16'!$A$50:$M$50,'[26]16'!$A$6:$M$6,'[26]16'!$A$62:$M$62,'[26]16'!$A$78:$M$78,'[26]16'!$A$46:$M$46,'[26]16'!$A$82:$M$82,'[26]16'!$A$70:$M$70,'[26]16'!$A$42:$M$42</definedName>
    <definedName name="P1_T16?L1.x" hidden="1">'[26]16'!$A$76:$M$76,'[26]16'!$A$16:$M$16,'[26]16'!$A$12:$M$12,'[26]16'!$A$52:$M$52,'[26]16'!$A$8:$M$8,'[26]16'!$A$64:$M$64,'[26]16'!$A$80:$M$80,'[26]16'!$A$48:$M$48,'[26]16'!$A$84:$M$85,'[26]16'!$A$72:$M$72,'[26]16'!$A$44:$M$44</definedName>
    <definedName name="P1_T16_Protect" localSheetId="9" hidden="1">'[25]16'!$G$10:$K$14,'[25]16'!$G$17:$K$17,'[25]16'!$G$20:$K$20,'[25]16'!$G$23:$K$23,'[25]16'!$G$26:$K$26,'[25]16'!$G$29:$K$29,'[25]16'!$G$33:$K$34,'[25]16'!$G$38:$K$40</definedName>
    <definedName name="P1_T16_Protect" localSheetId="4" hidden="1">'[25]16'!$G$10:$K$14,'[25]16'!$G$17:$K$17,'[25]16'!$G$20:$K$20,'[25]16'!$G$23:$K$23,'[25]16'!$G$26:$K$26,'[25]16'!$G$29:$K$29,'[25]16'!$G$33:$K$34,'[25]16'!$G$38:$K$40</definedName>
    <definedName name="P1_T16_Protect" localSheetId="8" hidden="1">#REF!,#REF!,#REF!,#REF!,#REF!,#REF!,#REF!,#REF!</definedName>
    <definedName name="P1_T16_Protect" hidden="1">#REF!,#REF!,#REF!,#REF!,#REF!,#REF!,#REF!,#REF!</definedName>
    <definedName name="P1_T17?L4">'[20]29'!$J$18:$J$25,'[20]29'!$G$18:$G$25,'[20]29'!$G$35:$G$42,'[20]29'!$J$35:$J$42,'[20]29'!$G$60,'[20]29'!$J$60,'[20]29'!$M$60,'[20]29'!$P$60,'[20]29'!$P$18:$P$25,'[20]29'!$G$9:$G$16</definedName>
    <definedName name="P1_T17?unit?РУБ.ГКАЛ">'[20]29'!$F$44:$F$51,'[20]29'!$I$44:$I$51,'[20]29'!$L$44:$L$51,'[20]29'!$F$18:$F$25,'[20]29'!$I$60,'[20]29'!$L$60,'[20]29'!$O$60,'[20]29'!$F$60,'[20]29'!$F$9:$F$16,'[20]29'!$I$9:$I$16</definedName>
    <definedName name="P1_T17?unit?ТГКАЛ">'[20]29'!$M$18:$M$25,'[20]29'!$J$18:$J$25,'[20]29'!$G$18:$G$25,'[20]29'!$G$35:$G$42,'[20]29'!$J$35:$J$42,'[20]29'!$G$60,'[20]29'!$J$60,'[20]29'!$M$60,'[20]29'!$P$60,'[20]29'!$G$9:$G$16</definedName>
    <definedName name="P1_T17_Protection">'[20]29'!$O$47:$P$51,'[20]29'!$L$47:$M$51,'[20]29'!$L$53:$M$53,'[20]29'!$L$55:$M$59,'[20]29'!$O$53:$P$53,'[20]29'!$O$55:$P$59,'[20]29'!$F$12:$G$16,'[20]29'!$F$10:$G$10</definedName>
    <definedName name="P1_T18.2_Protect" localSheetId="9" hidden="1">'[25]18.2'!$F$12:$J$19,'[25]18.2'!$F$22:$J$25,'[25]18.2'!$B$28:$J$30,'[25]18.2'!$F$32:$J$32,'[25]18.2'!$B$34:$J$38,'[25]18.2'!$F$42:$J$47,'[25]18.2'!$F$54:$J$54</definedName>
    <definedName name="P1_T18.2_Protect" localSheetId="4" hidden="1">'[25]18.2'!$F$12:$J$19,'[25]18.2'!$F$22:$J$25,'[25]18.2'!$B$28:$J$30,'[25]18.2'!$F$32:$J$32,'[25]18.2'!$B$34:$J$38,'[25]18.2'!$F$42:$J$47,'[25]18.2'!$F$54:$J$54</definedName>
    <definedName name="P1_T18.2_Protect" localSheetId="8" hidden="1">#REF!,#REF!,#REF!,#REF!,#REF!,#REF!,#REF!</definedName>
    <definedName name="P1_T18.2_Protect" hidden="1">#REF!,#REF!,#REF!,#REF!,#REF!,#REF!,#REF!</definedName>
    <definedName name="P1_T20_Protection" hidden="1">'[20]20'!$E$4:$H$4,'[20]20'!$E$13:$H$13,'[20]20'!$E$16:$H$17,'[20]20'!$E$19:$H$19,'[20]20'!$J$4:$M$4,'[20]20'!$J$8:$M$11,'[20]20'!$J$13:$M$13,'[20]20'!$J$16:$M$17,'[20]20'!$J$19:$M$19</definedName>
    <definedName name="P1_T21_Protection">'[20]21'!$O$31:$S$33,'[20]21'!$E$11,'[20]21'!$G$11:$K$11,'[20]21'!$M$11,'[20]21'!$O$11:$S$11,'[20]21'!$E$14:$E$16,'[20]21'!$G$14:$K$16,'[20]21'!$M$14:$M$16,'[20]21'!$O$14:$S$16</definedName>
    <definedName name="P1_T23_Protection">'[20]23'!$F$9:$J$25,'[20]23'!$O$9:$P$25,'[20]23'!$A$32:$A$34,'[20]23'!$F$32:$J$34,'[20]23'!$O$32:$P$34,'[20]23'!$A$37:$A$53,'[20]23'!$F$37:$J$53,'[20]23'!$O$37:$P$53</definedName>
    <definedName name="P1_T25_protection">'[20]25'!$G$8:$J$21,'[20]25'!$G$24:$J$28,'[20]25'!$G$30:$J$33,'[20]25'!$G$35:$J$37,'[20]25'!$G$41:$J$42,'[20]25'!$L$8:$O$21,'[20]25'!$L$24:$O$28,'[20]25'!$L$30:$O$33</definedName>
    <definedName name="P1_T26_Protection">'[20]26'!$B$34:$B$36,'[20]26'!$F$8:$I$8,'[20]26'!$F$10:$I$11,'[20]26'!$F$13:$I$15,'[20]26'!$F$18:$I$19,'[20]26'!$F$22:$I$24,'[20]26'!$F$26:$I$26,'[20]26'!$F$29:$I$32</definedName>
    <definedName name="P1_T27_Protection">'[20]27'!$B$34:$B$36,'[20]27'!$F$8:$I$8,'[20]27'!$F$10:$I$11,'[20]27'!$F$13:$I$15,'[20]27'!$F$18:$I$19,'[20]27'!$F$22:$I$24,'[20]27'!$F$26:$I$26,'[20]27'!$F$29:$I$32</definedName>
    <definedName name="P1_T28?axis?R?ПЭ">'[20]28'!$D$16:$I$18,'[20]28'!$D$22:$I$24,'[20]28'!$D$28:$I$30,'[20]28'!$D$37:$I$39,'[20]28'!$D$42:$I$44,'[20]28'!$D$48:$I$50,'[20]28'!$D$54:$I$56,'[20]28'!$D$63:$I$65</definedName>
    <definedName name="P1_T28?axis?R?ПЭ?">'[20]28'!$B$16:$B$18,'[20]28'!$B$22:$B$24,'[20]28'!$B$28:$B$30,'[20]28'!$B$37:$B$39,'[20]28'!$B$42:$B$44,'[20]28'!$B$48:$B$50,'[20]28'!$B$54:$B$56,'[20]28'!$B$63:$B$65</definedName>
    <definedName name="P1_T28?Data">'[20]28'!$G$242:$H$265,'[20]28'!$D$242:$E$265,'[20]28'!$G$216:$H$239,'[20]28'!$D$268:$E$292,'[20]28'!$G$268:$H$292,'[20]28'!$D$216:$E$239,'[20]28'!$G$190:$H$213</definedName>
    <definedName name="P1_T28_Protection">'[20]28'!$B$74:$B$76,'[20]28'!$B$80:$B$82,'[20]28'!$B$89:$B$91,'[20]28'!$B$94:$B$96,'[20]28'!$B$100:$B$102,'[20]28'!$B$106:$B$108,'[20]28'!$B$115:$B$117,'[20]28'!$B$120:$B$122</definedName>
    <definedName name="P1_T4_Protect" localSheetId="9" hidden="1">'[25]4'!$G$20:$J$20,'[25]4'!$G$22:$J$22,'[25]4'!$G$24:$J$28,'[25]4'!$L$11:$O$17,'[25]4'!$L$20:$O$20,'[25]4'!$L$22:$O$22,'[25]4'!$L$24:$O$28,'[25]4'!$Q$11:$T$17,'[25]4'!$Q$20:$T$20</definedName>
    <definedName name="P1_T4_Protect" localSheetId="4" hidden="1">'[25]4'!$G$20:$J$20,'[25]4'!$G$22:$J$22,'[25]4'!$G$24:$J$28,'[25]4'!$L$11:$O$17,'[25]4'!$L$20:$O$20,'[25]4'!$L$22:$O$22,'[25]4'!$L$24:$O$28,'[25]4'!$Q$11:$T$17,'[25]4'!$Q$20:$T$20</definedName>
    <definedName name="P1_T4_Protect" hidden="1">'[27]4'!$G$20:$J$20,'[27]4'!$G$22:$J$22,'[27]4'!$G$24:$J$28,'[27]4'!$L$11:$O$17,'[27]4'!$L$20:$O$20,'[27]4'!$L$22:$O$22,'[27]4'!$L$24:$O$28,'[27]4'!$Q$11:$T$17,'[27]4'!$Q$20:$T$20</definedName>
    <definedName name="P1_T6_Protect" localSheetId="9" hidden="1">'[25]6'!$D$46:$H$55,'[25]6'!$J$46:$N$55,'[25]6'!$D$57:$H$59,'[25]6'!$J$57:$N$59,'[25]6'!$B$10:$B$19,'[25]6'!$D$10:$H$19,'[25]6'!$J$10:$N$19,'[25]6'!$D$21:$H$23,'[25]6'!$J$21:$N$23</definedName>
    <definedName name="P1_T6_Protect" localSheetId="4" hidden="1">'[25]6'!$D$46:$H$55,'[25]6'!$J$46:$N$55,'[25]6'!$D$57:$H$59,'[25]6'!$J$57:$N$59,'[25]6'!$B$10:$B$19,'[25]6'!$D$10:$H$19,'[25]6'!$J$10:$N$19,'[25]6'!$D$21:$H$23,'[25]6'!$J$21:$N$23</definedName>
    <definedName name="P1_T6_Protect" localSheetId="8" hidden="1">#REF!,#REF!,#REF!,#REF!,#REF!,#REF!,#REF!,#REF!,#REF!</definedName>
    <definedName name="P1_T6_Protect" hidden="1">#REF!,#REF!,#REF!,#REF!,#REF!,#REF!,#REF!,#REF!,#REF!</definedName>
    <definedName name="P10_SCOPE_FULL_LOAD" localSheetId="9" hidden="1">#REF!,#REF!,#REF!,#REF!,#REF!,#REF!</definedName>
    <definedName name="P10_SCOPE_FULL_LOAD" localSheetId="4" hidden="1">#REF!,#REF!,#REF!,#REF!,#REF!,#REF!</definedName>
    <definedName name="P10_SCOPE_FULL_LOAD" localSheetId="8" hidden="1">#REF!,#REF!,#REF!,#REF!,#REF!,#REF!</definedName>
    <definedName name="P10_SCOPE_FULL_LOAD" hidden="1">#REF!,#REF!,#REF!,#REF!,#REF!,#REF!</definedName>
    <definedName name="P10_T1_Protect" localSheetId="9" hidden="1">[25]перекрестка!$F$42:$H$46,[25]перекрестка!$F$49:$G$49,[25]перекрестка!$F$50:$H$54,[25]перекрестка!$F$55:$G$55,[25]перекрестка!$F$56:$H$60</definedName>
    <definedName name="P10_T1_Protect" localSheetId="4" hidden="1">[25]перекрестка!$F$42:$H$46,[25]перекрестка!$F$49:$G$49,[25]перекрестка!$F$50:$H$54,[25]перекрестка!$F$55:$G$55,[25]перекрестка!$F$56:$H$60</definedName>
    <definedName name="P10_T1_Protect" localSheetId="8" hidden="1">#REF!,#REF!,#REF!,#REF!,#REF!</definedName>
    <definedName name="P10_T1_Protect" hidden="1">#REF!,#REF!,#REF!,#REF!,#REF!</definedName>
    <definedName name="P10_T28_Protection">'[20]28'!$G$167:$H$169,'[20]28'!$D$172:$E$174,'[20]28'!$G$172:$H$174,'[20]28'!$D$178:$E$180,'[20]28'!$G$178:$H$181,'[20]28'!$D$184:$E$186,'[20]28'!$G$184:$H$186</definedName>
    <definedName name="P11_SCOPE_FULL_LOAD" localSheetId="9" hidden="1">#REF!,#REF!,#REF!,#REF!,#REF!</definedName>
    <definedName name="P11_SCOPE_FULL_LOAD" localSheetId="4" hidden="1">#REF!,#REF!,#REF!,#REF!,#REF!</definedName>
    <definedName name="P11_SCOPE_FULL_LOAD" localSheetId="8" hidden="1">#REF!,#REF!,#REF!,#REF!,#REF!</definedName>
    <definedName name="P11_SCOPE_FULL_LOAD" hidden="1">#REF!,#REF!,#REF!,#REF!,#REF!</definedName>
    <definedName name="P11_T1_Protect" localSheetId="9" hidden="1">[25]перекрестка!$F$62:$H$66,[25]перекрестка!$F$68:$H$72,[25]перекрестка!$F$74:$H$78,[25]перекрестка!$F$80:$H$84,[25]перекрестка!$F$89:$G$89</definedName>
    <definedName name="P11_T1_Protect" localSheetId="4" hidden="1">[25]перекрестка!$F$62:$H$66,[25]перекрестка!$F$68:$H$72,[25]перекрестка!$F$74:$H$78,[25]перекрестка!$F$80:$H$84,[25]перекрестка!$F$89:$G$89</definedName>
    <definedName name="P11_T1_Protect" localSheetId="8" hidden="1">#REF!,#REF!,#REF!,#REF!,#REF!</definedName>
    <definedName name="P11_T1_Protect" hidden="1">#REF!,#REF!,#REF!,#REF!,#REF!</definedName>
    <definedName name="P11_T28_Protection">'[20]28'!$D$193:$E$195,'[20]28'!$G$193:$H$195,'[20]28'!$D$198:$E$200,'[20]28'!$G$198:$H$200,'[20]28'!$D$204:$E$206,'[20]28'!$G$204:$H$206,'[20]28'!$D$210:$E$212,'[20]28'!$B$68:$B$70</definedName>
    <definedName name="P12_SCOPE_FULL_LOAD" localSheetId="9" hidden="1">#REF!,#REF!,#REF!,#REF!,#REF!,#REF!</definedName>
    <definedName name="P12_SCOPE_FULL_LOAD" localSheetId="4" hidden="1">#REF!,#REF!,#REF!,#REF!,#REF!,#REF!</definedName>
    <definedName name="P12_SCOPE_FULL_LOAD" localSheetId="8" hidden="1">#REF!,#REF!,#REF!,#REF!,#REF!,#REF!</definedName>
    <definedName name="P12_SCOPE_FULL_LOAD" hidden="1">#REF!,#REF!,#REF!,#REF!,#REF!,#REF!</definedName>
    <definedName name="P12_T1_Protect" localSheetId="9" hidden="1">[25]перекрестка!$F$90:$H$94,[25]перекрестка!$F$95:$G$95,[25]перекрестка!$F$96:$H$100,[25]перекрестка!$F$102:$H$106,[25]перекрестка!$F$108:$H$112</definedName>
    <definedName name="P12_T1_Protect" localSheetId="4" hidden="1">[25]перекрестка!$F$90:$H$94,[25]перекрестка!$F$95:$G$95,[25]перекрестка!$F$96:$H$100,[25]перекрестка!$F$102:$H$106,[25]перекрестка!$F$108:$H$112</definedName>
    <definedName name="P12_T1_Protect" localSheetId="8" hidden="1">#REF!,#REF!,#REF!,#REF!,#REF!</definedName>
    <definedName name="P12_T1_Protect" hidden="1">#REF!,#REF!,#REF!,#REF!,#REF!</definedName>
    <definedName name="P12_T28_Protection" localSheetId="9">[0]!P1_T28_Protection,[0]!P2_T28_Protection,[0]!P3_T28_Protection,[0]!P4_T28_Protection,[0]!P5_T28_Protection,[0]!P6_T28_Protection,[0]!P7_T28_Protection,[0]!P8_T28_Protection</definedName>
    <definedName name="P12_T28_Protection" localSheetId="4">[0]!P1_T28_Protection,[0]!P2_T28_Protection,[0]!P3_T28_Protection,[0]!P4_T28_Protection,[0]!P5_T28_Protection,[0]!P6_T28_Protection,[0]!P7_T28_Protection,[0]!P8_T28_Protection</definedName>
    <definedName name="P12_T28_Protection">P1_T28_Protection,P2_T28_Protection,P3_T28_Protection,P4_T28_Protection,P5_T28_Protection,P6_T28_Protection,P7_T28_Protection,P8_T28_Protection</definedName>
    <definedName name="P13_SCOPE_FULL_LOAD" localSheetId="9" hidden="1">#REF!,#REF!,#REF!,#REF!,#REF!,#REF!</definedName>
    <definedName name="P13_SCOPE_FULL_LOAD" localSheetId="4" hidden="1">#REF!,#REF!,#REF!,#REF!,#REF!,#REF!</definedName>
    <definedName name="P13_SCOPE_FULL_LOAD" localSheetId="8" hidden="1">#REF!,#REF!,#REF!,#REF!,#REF!,#REF!</definedName>
    <definedName name="P13_SCOPE_FULL_LOAD" hidden="1">#REF!,#REF!,#REF!,#REF!,#REF!,#REF!</definedName>
    <definedName name="P13_T1_Protect" localSheetId="9" hidden="1">[25]перекрестка!$F$114:$H$118,[25]перекрестка!$F$120:$H$124,[25]перекрестка!$F$127:$G$127,[25]перекрестка!$F$128:$H$132,[25]перекрестка!$F$133:$G$133</definedName>
    <definedName name="P13_T1_Protect" localSheetId="4" hidden="1">[25]перекрестка!$F$114:$H$118,[25]перекрестка!$F$120:$H$124,[25]перекрестка!$F$127:$G$127,[25]перекрестка!$F$128:$H$132,[25]перекрестка!$F$133:$G$133</definedName>
    <definedName name="P13_T1_Protect" localSheetId="8" hidden="1">#REF!,#REF!,#REF!,#REF!,#REF!</definedName>
    <definedName name="P13_T1_Protect" hidden="1">#REF!,#REF!,#REF!,#REF!,#REF!</definedName>
    <definedName name="P14_SCOPE_FULL_LOAD" localSheetId="9" hidden="1">#REF!,#REF!,#REF!,#REF!,#REF!,#REF!</definedName>
    <definedName name="P14_SCOPE_FULL_LOAD" localSheetId="4" hidden="1">#REF!,#REF!,#REF!,#REF!,#REF!,#REF!</definedName>
    <definedName name="P14_SCOPE_FULL_LOAD" localSheetId="8" hidden="1">#REF!,#REF!,#REF!,#REF!,#REF!,#REF!</definedName>
    <definedName name="P14_SCOPE_FULL_LOAD" hidden="1">#REF!,#REF!,#REF!,#REF!,#REF!,#REF!</definedName>
    <definedName name="P14_T1_Protect" localSheetId="9" hidden="1">[25]перекрестка!$F$134:$H$138,[25]перекрестка!$F$140:$H$144,[25]перекрестка!$F$146:$H$150,[25]перекрестка!$F$152:$H$156,[25]перекрестка!$F$158:$H$162</definedName>
    <definedName name="P14_T1_Protect" localSheetId="4" hidden="1">[25]перекрестка!$F$134:$H$138,[25]перекрестка!$F$140:$H$144,[25]перекрестка!$F$146:$H$150,[25]перекрестка!$F$152:$H$156,[25]перекрестка!$F$158:$H$162</definedName>
    <definedName name="P14_T1_Protect" localSheetId="8" hidden="1">#REF!,#REF!,#REF!,#REF!,#REF!</definedName>
    <definedName name="P14_T1_Protect" hidden="1">#REF!,#REF!,#REF!,#REF!,#REF!</definedName>
    <definedName name="P15_SCOPE_FULL_LOAD" localSheetId="9" hidden="1">#REF!,#REF!,#REF!,#REF!,#REF!,'1. подк.неподк. факт'!P1_SCOPE_FULL_LOAD</definedName>
    <definedName name="P15_SCOPE_FULL_LOAD" localSheetId="4" hidden="1">#REF!,#REF!,#REF!,#REF!,#REF!,'5. подк.неподк.план'!P1_SCOPE_FULL_LOAD</definedName>
    <definedName name="P15_SCOPE_FULL_LOAD" localSheetId="8" hidden="1">#REF!,#REF!,#REF!,#REF!,#REF!,P1_SCOPE_FULL_LOAD</definedName>
    <definedName name="P15_SCOPE_FULL_LOAD" hidden="1">#REF!,#REF!,#REF!,#REF!,#REF!,P1_SCOPE_FULL_LOAD</definedName>
    <definedName name="P15_T1_Protect" localSheetId="9" hidden="1">[25]перекрестка!$J$158:$K$162,[25]перекрестка!$J$152:$K$156,[25]перекрестка!$J$146:$K$150,[25]перекрестка!$J$140:$K$144,[25]перекрестка!$J$11</definedName>
    <definedName name="P15_T1_Protect" localSheetId="4" hidden="1">[25]перекрестка!$J$158:$K$162,[25]перекрестка!$J$152:$K$156,[25]перекрестка!$J$146:$K$150,[25]перекрестка!$J$140:$K$144,[25]перекрестка!$J$11</definedName>
    <definedName name="P15_T1_Protect" localSheetId="8" hidden="1">#REF!,#REF!,#REF!,#REF!,#REF!</definedName>
    <definedName name="P15_T1_Protect" hidden="1">#REF!,#REF!,#REF!,#REF!,#REF!</definedName>
    <definedName name="P16_SCOPE_FULL_LOAD" hidden="1">#N/A</definedName>
    <definedName name="P16_T1_Protect" localSheetId="9" hidden="1">[25]перекрестка!$J$12:$K$16,[25]перекрестка!$J$17,[25]перекрестка!$J$18:$K$22,[25]перекрестка!$J$24:$K$28,[25]перекрестка!$J$30:$K$34,[25]перекрестка!$F$23:$G$23</definedName>
    <definedName name="P16_T1_Protect" localSheetId="4" hidden="1">[25]перекрестка!$J$12:$K$16,[25]перекрестка!$J$17,[25]перекрестка!$J$18:$K$22,[25]перекрестка!$J$24:$K$28,[25]перекрестка!$J$30:$K$34,[25]перекрестка!$F$23:$G$23</definedName>
    <definedName name="P16_T1_Protect" localSheetId="8" hidden="1">#REF!,#REF!,#REF!,#REF!,#REF!,#REF!</definedName>
    <definedName name="P16_T1_Protect" hidden="1">#REF!,#REF!,#REF!,#REF!,#REF!,#REF!</definedName>
    <definedName name="P17_SCOPE_FULL_LOAD" hidden="1">#N/A</definedName>
    <definedName name="P17_T1_Protect" localSheetId="9" hidden="1">[25]перекрестка!$F$29:$G$29,[25]перекрестка!$F$61:$G$61,[25]перекрестка!$F$67:$G$67,[25]перекрестка!$F$101:$G$101,[25]перекрестка!$F$107:$G$107</definedName>
    <definedName name="P17_T1_Protect" localSheetId="4" hidden="1">[25]перекрестка!$F$29:$G$29,[25]перекрестка!$F$61:$G$61,[25]перекрестка!$F$67:$G$67,[25]перекрестка!$F$101:$G$101,[25]перекрестка!$F$107:$G$107</definedName>
    <definedName name="P17_T1_Protect" localSheetId="8" hidden="1">#REF!,#REF!,#REF!,#REF!,#REF!</definedName>
    <definedName name="P17_T1_Protect" hidden="1">#REF!,#REF!,#REF!,#REF!,#REF!</definedName>
    <definedName name="P18_T1_Protect" localSheetId="9" hidden="1">#N/A</definedName>
    <definedName name="P18_T1_Protect" localSheetId="4" hidden="1">#N/A</definedName>
    <definedName name="P18_T1_Protect" localSheetId="8" hidden="1">#REF!,#REF!,#REF!,'8.Бюджет на 2015'!P1_T1_Protect,'8.Бюджет на 2015'!P2_T1_Protect,'8.Бюджет на 2015'!P3_T1_Protect,'8.Бюджет на 2015'!P4_T1_Protect</definedName>
    <definedName name="P18_T1_Protect" hidden="1">#N/A</definedName>
    <definedName name="P19_T1_Protect" localSheetId="9" hidden="1">#N/A</definedName>
    <definedName name="P19_T1_Protect" localSheetId="4" hidden="1">#N/A</definedName>
    <definedName name="P19_T1_Protect" localSheetId="8" hidden="1">'8.Бюджет на 2015'!P5_T1_Protect,'8.Бюджет на 2015'!P6_T1_Protect,'8.Бюджет на 2015'!P7_T1_Protect,'8.Бюджет на 2015'!P8_T1_Protect,'8.Бюджет на 2015'!P9_T1_Protect,'8.Бюджет на 2015'!P10_T1_Protect,'8.Бюджет на 2015'!P11_T1_Protect,'8.Бюджет на 2015'!P12_T1_Protect,'8.Бюджет на 2015'!P13_T1_Protect,'8.Бюджет на 2015'!P14_T1_Protect</definedName>
    <definedName name="P19_T1_Protect" hidden="1">#N/A</definedName>
    <definedName name="P2_dip" hidden="1">[14]FST5!$G$100:$G$116,[14]FST5!$G$118:$G$123,[14]FST5!$G$125:$G$126,[14]FST5!$G$128:$G$131,[14]FST5!$G$133,[14]FST5!$G$135:$G$139,[14]FST5!$G$141</definedName>
    <definedName name="P2_SC22" localSheetId="9" hidden="1">#REF!,#REF!,#REF!,#REF!,#REF!,#REF!,#REF!</definedName>
    <definedName name="P2_SC22" localSheetId="4" hidden="1">#REF!,#REF!,#REF!,#REF!,#REF!,#REF!,#REF!</definedName>
    <definedName name="P2_SC22" localSheetId="8" hidden="1">#REF!,#REF!,#REF!,#REF!,#REF!,#REF!,#REF!</definedName>
    <definedName name="P2_SC22" hidden="1">#REF!,#REF!,#REF!,#REF!,#REF!,#REF!,#REF!</definedName>
    <definedName name="P2_SCOPE_16_PRT" hidden="1">'[15]16'!$E$38:$I$38,'[15]16'!$E$41:$I$41,'[15]16'!$E$45:$I$47,'[15]16'!$E$49:$I$49,'[15]16'!$E$53:$I$54,'[15]16'!$E$56:$I$57,'[15]16'!$E$59:$I$59,'[15]16'!$E$9:$I$13</definedName>
    <definedName name="P2_SCOPE_4_PRT" hidden="1">'[15]4'!$P$25:$S$25,'[15]4'!$P$27:$S$31,'[15]4'!$U$14:$X$20,'[15]4'!$U$23:$X$23,'[15]4'!$U$25:$X$25,'[15]4'!$U$27:$X$31,'[15]4'!$Z$14:$AC$20,'[15]4'!$Z$23:$AC$23,'[15]4'!$Z$25:$AC$25</definedName>
    <definedName name="P2_SCOPE_5_PRT" hidden="1">'[15]5'!$P$25:$S$25,'[15]5'!$P$27:$S$31,'[15]5'!$U$14:$X$21,'[15]5'!$U$23:$X$23,'[15]5'!$U$25:$X$25,'[15]5'!$U$27:$X$31,'[15]5'!$Z$14:$AC$21,'[15]5'!$Z$23:$AC$23,'[15]5'!$Z$25:$AC$25</definedName>
    <definedName name="P2_SCOPE_CORR" localSheetId="9" hidden="1">#REF!,#REF!,#REF!,#REF!,#REF!,#REF!,#REF!,#REF!</definedName>
    <definedName name="P2_SCOPE_CORR" localSheetId="4" hidden="1">#REF!,#REF!,#REF!,#REF!,#REF!,#REF!,#REF!,#REF!</definedName>
    <definedName name="P2_SCOPE_CORR" localSheetId="8" hidden="1">#REF!,#REF!,#REF!,#REF!,#REF!,#REF!,#REF!,#REF!</definedName>
    <definedName name="P2_SCOPE_CORR" hidden="1">#REF!,#REF!,#REF!,#REF!,#REF!,#REF!,#REF!,#REF!</definedName>
    <definedName name="P2_SCOPE_F1_PRT" localSheetId="9" hidden="1">#REF!,#REF!,#REF!,#REF!</definedName>
    <definedName name="P2_SCOPE_F1_PRT" localSheetId="4" hidden="1">#REF!,#REF!,#REF!,#REF!</definedName>
    <definedName name="P2_SCOPE_F1_PRT" localSheetId="8" hidden="1">#REF!,#REF!,#REF!,#REF!</definedName>
    <definedName name="P2_SCOPE_F1_PRT" hidden="1">#REF!,#REF!,#REF!,#REF!</definedName>
    <definedName name="P2_SCOPE_F2_PRT" localSheetId="9" hidden="1">#REF!,#REF!,#REF!,#REF!</definedName>
    <definedName name="P2_SCOPE_F2_PRT" localSheetId="4" hidden="1">#REF!,#REF!,#REF!,#REF!</definedName>
    <definedName name="P2_SCOPE_F2_PRT" hidden="1">#REF!,#REF!,#REF!,#REF!</definedName>
    <definedName name="P2_SCOPE_FULL_LOAD" localSheetId="9" hidden="1">#REF!,#REF!,#REF!,#REF!,#REF!,#REF!</definedName>
    <definedName name="P2_SCOPE_FULL_LOAD" localSheetId="4" hidden="1">#REF!,#REF!,#REF!,#REF!,#REF!,#REF!</definedName>
    <definedName name="P2_SCOPE_FULL_LOAD" localSheetId="8" hidden="1">#REF!,#REF!,#REF!,#REF!,#REF!,#REF!</definedName>
    <definedName name="P2_SCOPE_FULL_LOAD" hidden="1">#REF!,#REF!,#REF!,#REF!,#REF!,#REF!</definedName>
    <definedName name="P2_SCOPE_IND" localSheetId="9" hidden="1">#REF!,#REF!,#REF!,#REF!,#REF!,#REF!</definedName>
    <definedName name="P2_SCOPE_IND" localSheetId="4" hidden="1">#REF!,#REF!,#REF!,#REF!,#REF!,#REF!</definedName>
    <definedName name="P2_SCOPE_IND" hidden="1">#REF!,#REF!,#REF!,#REF!,#REF!,#REF!</definedName>
    <definedName name="P2_SCOPE_IND2" localSheetId="9" hidden="1">#REF!,#REF!,#REF!,#REF!,#REF!</definedName>
    <definedName name="P2_SCOPE_IND2" localSheetId="4" hidden="1">#REF!,#REF!,#REF!,#REF!,#REF!</definedName>
    <definedName name="P2_SCOPE_IND2" localSheetId="8" hidden="1">#REF!,#REF!,#REF!,#REF!,#REF!</definedName>
    <definedName name="P2_SCOPE_IND2" hidden="1">#REF!,#REF!,#REF!,#REF!,#REF!</definedName>
    <definedName name="P2_SCOPE_NOTIND" localSheetId="9" hidden="1">#REF!,#REF!,#REF!,#REF!,#REF!,#REF!,#REF!</definedName>
    <definedName name="P2_SCOPE_NOTIND" localSheetId="4" hidden="1">#REF!,#REF!,#REF!,#REF!,#REF!,#REF!,#REF!</definedName>
    <definedName name="P2_SCOPE_NOTIND" localSheetId="8" hidden="1">#REF!,#REF!,#REF!,#REF!,#REF!,#REF!,#REF!</definedName>
    <definedName name="P2_SCOPE_NOTIND" hidden="1">#REF!,#REF!,#REF!,#REF!,#REF!,#REF!,#REF!</definedName>
    <definedName name="P2_SCOPE_NotInd2" localSheetId="9" hidden="1">#REF!,#REF!,#REF!,#REF!,#REF!,#REF!</definedName>
    <definedName name="P2_SCOPE_NotInd2" localSheetId="4" hidden="1">#REF!,#REF!,#REF!,#REF!,#REF!,#REF!</definedName>
    <definedName name="P2_SCOPE_NotInd2" localSheetId="8" hidden="1">#REF!,#REF!,#REF!,#REF!,#REF!,#REF!</definedName>
    <definedName name="P2_SCOPE_NotInd2" hidden="1">#REF!,#REF!,#REF!,#REF!,#REF!,#REF!</definedName>
    <definedName name="P2_SCOPE_NotInd3" localSheetId="9" hidden="1">#REF!,#REF!,#REF!,#REF!,#REF!,#REF!,#REF!</definedName>
    <definedName name="P2_SCOPE_NotInd3" localSheetId="4" hidden="1">#REF!,#REF!,#REF!,#REF!,#REF!,#REF!,#REF!</definedName>
    <definedName name="P2_SCOPE_NotInd3" localSheetId="8" hidden="1">#REF!,#REF!,#REF!,#REF!,#REF!,#REF!,#REF!</definedName>
    <definedName name="P2_SCOPE_NotInd3" hidden="1">#REF!,#REF!,#REF!,#REF!,#REF!,#REF!,#REF!</definedName>
    <definedName name="P2_SCOPE_NotInt" localSheetId="9" hidden="1">#REF!,#REF!,#REF!,#REF!,#REF!,#REF!,#REF!</definedName>
    <definedName name="P2_SCOPE_NotInt" localSheetId="4" hidden="1">#REF!,#REF!,#REF!,#REF!,#REF!,#REF!,#REF!</definedName>
    <definedName name="P2_SCOPE_NotInt" hidden="1">#REF!,#REF!,#REF!,#REF!,#REF!,#REF!,#REF!</definedName>
    <definedName name="P2_SCOPE_PER_PRT" hidden="1">[15]перекрестка!$N$14:$N$25,[15]перекрестка!$N$27:$N$31,[15]перекрестка!$J$27:$K$31,[15]перекрестка!$F$27:$H$31,[15]перекрестка!$F$33:$H$37</definedName>
    <definedName name="P2_SCOPE_SAVE2" localSheetId="9" hidden="1">#REF!,#REF!,#REF!,#REF!,#REF!,#REF!</definedName>
    <definedName name="P2_SCOPE_SAVE2" localSheetId="4" hidden="1">#REF!,#REF!,#REF!,#REF!,#REF!,#REF!</definedName>
    <definedName name="P2_SCOPE_SAVE2" localSheetId="8" hidden="1">#REF!,#REF!,#REF!,#REF!,#REF!,#REF!</definedName>
    <definedName name="P2_SCOPE_SAVE2" hidden="1">#REF!,#REF!,#REF!,#REF!,#REF!,#REF!</definedName>
    <definedName name="P2_SCOPE_SV_PRT" hidden="1">[15]свод!$E$72:$I$79,[15]свод!$E$81:$I$81,[15]свод!$E$85:$H$88,[15]свод!$E$90:$I$90,[15]свод!$E$107:$I$112,[15]свод!$E$114:$I$117,[15]свод!$E$124:$H$127</definedName>
    <definedName name="P2_T1_Protect" localSheetId="9" hidden="1">[25]перекрестка!$J$68:$K$72,[25]перекрестка!$J$74:$K$78,[25]перекрестка!$J$80:$K$84,[25]перекрестка!$J$89,[25]перекрестка!$J$90:$K$94,[25]перекрестка!$J$95</definedName>
    <definedName name="P2_T1_Protect" localSheetId="4" hidden="1">[25]перекрестка!$J$68:$K$72,[25]перекрестка!$J$74:$K$78,[25]перекрестка!$J$80:$K$84,[25]перекрестка!$J$89,[25]перекрестка!$J$90:$K$94,[25]перекрестка!$J$95</definedName>
    <definedName name="P2_T1_Protect" localSheetId="8" hidden="1">#REF!,#REF!,#REF!,#REF!,#REF!,#REF!</definedName>
    <definedName name="P2_T1_Protect" hidden="1">#REF!,#REF!,#REF!,#REF!,#REF!,#REF!</definedName>
    <definedName name="P2_T17?L4">'[20]29'!$J$9:$J$16,'[20]29'!$M$9:$M$16,'[20]29'!$P$9:$P$16,'[20]29'!$G$44:$G$51,'[20]29'!$J$44:$J$51,'[20]29'!$M$44:$M$51,'[20]29'!$M$35:$M$42,'[20]29'!$P$35:$P$42,'[20]29'!$P$44:$P$51</definedName>
    <definedName name="P2_T17?unit?РУБ.ГКАЛ">'[20]29'!$I$18:$I$25,'[20]29'!$L$9:$L$16,'[20]29'!$L$18:$L$25,'[20]29'!$O$9:$O$16,'[20]29'!$F$35:$F$42,'[20]29'!$I$35:$I$42,'[20]29'!$L$35:$L$42,'[20]29'!$O$35:$O$51</definedName>
    <definedName name="P2_T17?unit?ТГКАЛ">'[20]29'!$J$9:$J$16,'[20]29'!$M$9:$M$16,'[20]29'!$P$9:$P$16,'[20]29'!$M$35:$M$42,'[20]29'!$P$35:$P$42,'[20]29'!$G$44:$G$51,'[20]29'!$J$44:$J$51,'[20]29'!$M$44:$M$51,'[20]29'!$P$44:$P$51</definedName>
    <definedName name="P2_T17_Protection">'[20]29'!$F$19:$G$19,'[20]29'!$F$21:$G$25,'[20]29'!$F$27:$G$27,'[20]29'!$F$29:$G$33,'[20]29'!$F$36:$G$36,'[20]29'!$F$38:$G$42,'[20]29'!$F$45:$G$45,'[20]29'!$F$47:$G$51</definedName>
    <definedName name="P2_T21_Protection">'[20]21'!$E$20:$E$22,'[20]21'!$G$20:$K$22,'[20]21'!$M$20:$M$22,'[20]21'!$O$20:$S$22,'[20]21'!$E$26:$E$28,'[20]21'!$G$26:$K$28,'[20]21'!$M$26:$M$28,'[20]21'!$O$26:$S$28</definedName>
    <definedName name="P2_T25_protection">'[20]25'!$L$35:$O$37,'[20]25'!$L$41:$O$42,'[20]25'!$Q$8:$T$21,'[20]25'!$Q$24:$T$28,'[20]25'!$Q$30:$T$33,'[20]25'!$Q$35:$T$37,'[20]25'!$Q$41:$T$42,'[20]25'!$B$35:$B$37</definedName>
    <definedName name="P2_T26_Protection">'[20]26'!$F$34:$I$36,'[20]26'!$K$8:$N$8,'[20]26'!$K$10:$N$11,'[20]26'!$K$13:$N$15,'[20]26'!$K$18:$N$19,'[20]26'!$K$22:$N$24,'[20]26'!$K$26:$N$26,'[20]26'!$K$29:$N$32</definedName>
    <definedName name="P2_T27_Protection">'[20]27'!$F$34:$I$36,'[20]27'!$K$8:$N$8,'[20]27'!$K$10:$N$11,'[20]27'!$K$13:$N$15,'[20]27'!$K$18:$N$19,'[20]27'!$K$22:$N$24,'[20]27'!$K$26:$N$26,'[20]27'!$K$29:$N$32</definedName>
    <definedName name="P2_T28?axis?R?ПЭ">'[20]28'!$D$68:$I$70,'[20]28'!$D$74:$I$76,'[20]28'!$D$80:$I$82,'[20]28'!$D$89:$I$91,'[20]28'!$D$94:$I$96,'[20]28'!$D$100:$I$102,'[20]28'!$D$106:$I$108,'[20]28'!$D$115:$I$117</definedName>
    <definedName name="P2_T28?axis?R?ПЭ?">'[20]28'!$B$68:$B$70,'[20]28'!$B$74:$B$76,'[20]28'!$B$80:$B$82,'[20]28'!$B$89:$B$91,'[20]28'!$B$94:$B$96,'[20]28'!$B$100:$B$102,'[20]28'!$B$106:$B$108,'[20]28'!$B$115:$B$117</definedName>
    <definedName name="P2_T28_Protection">'[20]28'!$B$126:$B$128,'[20]28'!$B$132:$B$134,'[20]28'!$B$141:$B$143,'[20]28'!$B$146:$B$148,'[20]28'!$B$152:$B$154,'[20]28'!$B$158:$B$160,'[20]28'!$B$167:$B$169</definedName>
    <definedName name="P2_T4_Protect" localSheetId="9" hidden="1">'[25]4'!$Q$22:$T$22,'[25]4'!$Q$24:$T$28,'[25]4'!$V$24:$Y$28,'[25]4'!$V$22:$Y$22,'[25]4'!$V$20:$Y$20,'[25]4'!$V$11:$Y$17,'[25]4'!$AA$11:$AD$17,'[25]4'!$AA$20:$AD$20,'[25]4'!$AA$22:$AD$22</definedName>
    <definedName name="P2_T4_Protect" localSheetId="4" hidden="1">'[25]4'!$Q$22:$T$22,'[25]4'!$Q$24:$T$28,'[25]4'!$V$24:$Y$28,'[25]4'!$V$22:$Y$22,'[25]4'!$V$20:$Y$20,'[25]4'!$V$11:$Y$17,'[25]4'!$AA$11:$AD$17,'[25]4'!$AA$20:$AD$20,'[25]4'!$AA$22:$AD$22</definedName>
    <definedName name="P2_T4_Protect" hidden="1">'[27]4'!$Q$22:$T$22,'[27]4'!$Q$24:$T$28,'[27]4'!$V$24:$Y$28,'[27]4'!$V$22:$Y$22,'[27]4'!$V$20:$Y$20,'[27]4'!$V$11:$Y$17,'[27]4'!$AA$11:$AD$17,'[27]4'!$AA$20:$AD$20,'[27]4'!$AA$22:$AD$22</definedName>
    <definedName name="P3_dip" hidden="1">[14]FST5!$G$143:$G$145,[14]FST5!$G$214:$G$217,[14]FST5!$G$219:$G$224,[14]FST5!$G$226,[14]FST5!$G$228,[14]FST5!$G$230,[14]FST5!$G$232,[14]FST5!$G$197:$G$212</definedName>
    <definedName name="P3_SC22" localSheetId="9" hidden="1">#REF!,#REF!,#REF!,#REF!,#REF!,#REF!</definedName>
    <definedName name="P3_SC22" localSheetId="4" hidden="1">#REF!,#REF!,#REF!,#REF!,#REF!,#REF!</definedName>
    <definedName name="P3_SC22" localSheetId="8" hidden="1">#REF!,#REF!,#REF!,#REF!,#REF!,#REF!</definedName>
    <definedName name="P3_SC22" hidden="1">#REF!,#REF!,#REF!,#REF!,#REF!,#REF!</definedName>
    <definedName name="P3_SCOPE_F1_PRT" localSheetId="9" hidden="1">#REF!,#REF!,#REF!,#REF!</definedName>
    <definedName name="P3_SCOPE_F1_PRT" localSheetId="4" hidden="1">#REF!,#REF!,#REF!,#REF!</definedName>
    <definedName name="P3_SCOPE_F1_PRT" localSheetId="8" hidden="1">#REF!,#REF!,#REF!,#REF!</definedName>
    <definedName name="P3_SCOPE_F1_PRT" hidden="1">#REF!,#REF!,#REF!,#REF!</definedName>
    <definedName name="P3_SCOPE_FULL_LOAD" localSheetId="9" hidden="1">#REF!,#REF!,#REF!,#REF!,#REF!,#REF!</definedName>
    <definedName name="P3_SCOPE_FULL_LOAD" localSheetId="4" hidden="1">#REF!,#REF!,#REF!,#REF!,#REF!,#REF!</definedName>
    <definedName name="P3_SCOPE_FULL_LOAD" localSheetId="8" hidden="1">#REF!,#REF!,#REF!,#REF!,#REF!,#REF!</definedName>
    <definedName name="P3_SCOPE_FULL_LOAD" hidden="1">#REF!,#REF!,#REF!,#REF!,#REF!,#REF!</definedName>
    <definedName name="P3_SCOPE_IND" localSheetId="9" hidden="1">#REF!,#REF!,#REF!,#REF!,#REF!</definedName>
    <definedName name="P3_SCOPE_IND" localSheetId="4" hidden="1">#REF!,#REF!,#REF!,#REF!,#REF!</definedName>
    <definedName name="P3_SCOPE_IND" localSheetId="8" hidden="1">#REF!,#REF!,#REF!,#REF!,#REF!</definedName>
    <definedName name="P3_SCOPE_IND" hidden="1">#REF!,#REF!,#REF!,#REF!,#REF!</definedName>
    <definedName name="P3_SCOPE_IND2" localSheetId="9" hidden="1">#REF!,#REF!,#REF!,#REF!,#REF!</definedName>
    <definedName name="P3_SCOPE_IND2" localSheetId="4" hidden="1">#REF!,#REF!,#REF!,#REF!,#REF!</definedName>
    <definedName name="P3_SCOPE_IND2" hidden="1">#REF!,#REF!,#REF!,#REF!,#REF!</definedName>
    <definedName name="P3_SCOPE_NOTIND" localSheetId="9" hidden="1">#REF!,#REF!,#REF!,#REF!,#REF!,#REF!,#REF!</definedName>
    <definedName name="P3_SCOPE_NOTIND" localSheetId="4" hidden="1">#REF!,#REF!,#REF!,#REF!,#REF!,#REF!,#REF!</definedName>
    <definedName name="P3_SCOPE_NOTIND" localSheetId="8" hidden="1">#REF!,#REF!,#REF!,#REF!,#REF!,#REF!,#REF!</definedName>
    <definedName name="P3_SCOPE_NOTIND" hidden="1">#REF!,#REF!,#REF!,#REF!,#REF!,#REF!,#REF!</definedName>
    <definedName name="P3_SCOPE_NotInd2" localSheetId="9" hidden="1">#REF!,#REF!,#REF!,#REF!,#REF!,#REF!,#REF!</definedName>
    <definedName name="P3_SCOPE_NotInd2" localSheetId="4" hidden="1">#REF!,#REF!,#REF!,#REF!,#REF!,#REF!,#REF!</definedName>
    <definedName name="P3_SCOPE_NotInd2" hidden="1">#REF!,#REF!,#REF!,#REF!,#REF!,#REF!,#REF!</definedName>
    <definedName name="P3_SCOPE_NotInt" localSheetId="9" hidden="1">#REF!,#REF!,#REF!,#REF!,#REF!,#REF!</definedName>
    <definedName name="P3_SCOPE_NotInt" localSheetId="4" hidden="1">#REF!,#REF!,#REF!,#REF!,#REF!,#REF!</definedName>
    <definedName name="P3_SCOPE_NotInt" localSheetId="8" hidden="1">#REF!,#REF!,#REF!,#REF!,#REF!,#REF!</definedName>
    <definedName name="P3_SCOPE_NotInt" hidden="1">#REF!,#REF!,#REF!,#REF!,#REF!,#REF!</definedName>
    <definedName name="P3_SCOPE_PER_PRT" hidden="1">[15]перекрестка!$J$33:$K$37,[15]перекрестка!$N$33:$N$37,[15]перекрестка!$F$39:$H$43,[15]перекрестка!$J$39:$K$43,[15]перекрестка!$N$39:$N$43</definedName>
    <definedName name="P3_SCOPE_SV_PRT" hidden="1">[15]свод!$D$135:$G$135,[15]свод!$I$135:$I$141,[15]свод!$H$137:$H$141,[15]свод!$D$138:$G$141,[15]свод!$E$15:$I$16,[15]свод!$E$120:$I$121,[15]свод!$E$18:$I$19</definedName>
    <definedName name="P3_T1_Protect" localSheetId="9" hidden="1">[25]перекрестка!$J$96:$K$100,[25]перекрестка!$J$102:$K$106,[25]перекрестка!$J$108:$K$112,[25]перекрестка!$J$114:$K$118,[25]перекрестка!$J$120:$K$124</definedName>
    <definedName name="P3_T1_Protect" localSheetId="4" hidden="1">[25]перекрестка!$J$96:$K$100,[25]перекрестка!$J$102:$K$106,[25]перекрестка!$J$108:$K$112,[25]перекрестка!$J$114:$K$118,[25]перекрестка!$J$120:$K$124</definedName>
    <definedName name="P3_T1_Protect" localSheetId="8" hidden="1">#REF!,#REF!,#REF!,#REF!,#REF!</definedName>
    <definedName name="P3_T1_Protect" hidden="1">#REF!,#REF!,#REF!,#REF!,#REF!</definedName>
    <definedName name="P3_T17_Protection">'[20]29'!$F$53:$G$53,'[20]29'!$F$55:$G$59,'[20]29'!$I$55:$J$59,'[20]29'!$I$53:$J$53,'[20]29'!$I$47:$J$51,'[20]29'!$I$45:$J$45,'[20]29'!$I$38:$J$42,'[20]29'!$I$36:$J$36</definedName>
    <definedName name="P3_T21_Protection" localSheetId="9">'[20]21'!$E$31:$E$33,'[20]21'!$G$31:$K$33,'[20]21'!$B$14:$B$16,'[20]21'!$B$20:$B$22,'[20]21'!$B$26:$B$28,'[20]21'!$B$31:$B$33,'[20]21'!$M$31:$M$33,[0]!P1_T21_Protection</definedName>
    <definedName name="P3_T21_Protection" localSheetId="4">'[20]21'!$E$31:$E$33,'[20]21'!$G$31:$K$33,'[20]21'!$B$14:$B$16,'[20]21'!$B$20:$B$22,'[20]21'!$B$26:$B$28,'[20]21'!$B$31:$B$33,'[20]21'!$M$31:$M$33,[0]!P1_T21_Protection</definedName>
    <definedName name="P3_T21_Protection">'[20]21'!$E$31:$E$33,'[20]21'!$G$31:$K$33,'[20]21'!$B$14:$B$16,'[20]21'!$B$20:$B$22,'[20]21'!$B$26:$B$28,'[20]21'!$B$31:$B$33,'[20]21'!$M$31:$M$33,P1_T21_Protection</definedName>
    <definedName name="P3_T27_Protection">'[20]27'!$K$34:$N$36,'[20]27'!$P$8:$S$8,'[20]27'!$P$10:$S$11,'[20]27'!$P$13:$S$15,'[20]27'!$P$18:$S$19,'[20]27'!$P$22:$S$24,'[20]27'!$P$26:$S$26,'[20]27'!$P$29:$S$32</definedName>
    <definedName name="P3_T28?axis?R?ПЭ">'[20]28'!$D$120:$I$122,'[20]28'!$D$126:$I$128,'[20]28'!$D$132:$I$134,'[20]28'!$D$141:$I$143,'[20]28'!$D$146:$I$148,'[20]28'!$D$152:$I$154,'[20]28'!$D$158:$I$160</definedName>
    <definedName name="P3_T28?axis?R?ПЭ?">'[20]28'!$B$120:$B$122,'[20]28'!$B$126:$B$128,'[20]28'!$B$132:$B$134,'[20]28'!$B$141:$B$143,'[20]28'!$B$146:$B$148,'[20]28'!$B$152:$B$154,'[20]28'!$B$158:$B$160</definedName>
    <definedName name="P3_T28_Protection">'[20]28'!$B$172:$B$174,'[20]28'!$B$178:$B$180,'[20]28'!$B$184:$B$186,'[20]28'!$B$193:$B$195,'[20]28'!$B$198:$B$200,'[20]28'!$B$204:$B$206,'[20]28'!$B$210:$B$212</definedName>
    <definedName name="P4_dip" hidden="1">[14]FST5!$G$70:$G$75,[14]FST5!$G$77:$G$78,[14]FST5!$G$80:$G$83,[14]FST5!$G$85,[14]FST5!$G$87:$G$91,[14]FST5!$G$93,[14]FST5!$G$95:$G$97,[14]FST5!$G$52:$G$68</definedName>
    <definedName name="P4_SCOPE_F1_PRT" localSheetId="9" hidden="1">#REF!,#REF!,#REF!,#REF!</definedName>
    <definedName name="P4_SCOPE_F1_PRT" localSheetId="4" hidden="1">#REF!,#REF!,#REF!,#REF!</definedName>
    <definedName name="P4_SCOPE_F1_PRT" localSheetId="8" hidden="1">#REF!,#REF!,#REF!,#REF!</definedName>
    <definedName name="P4_SCOPE_F1_PRT" hidden="1">#REF!,#REF!,#REF!,#REF!</definedName>
    <definedName name="P4_SCOPE_FULL_LOAD" localSheetId="9" hidden="1">#REF!,#REF!,#REF!,#REF!,#REF!,#REF!</definedName>
    <definedName name="P4_SCOPE_FULL_LOAD" localSheetId="4" hidden="1">#REF!,#REF!,#REF!,#REF!,#REF!,#REF!</definedName>
    <definedName name="P4_SCOPE_FULL_LOAD" localSheetId="8" hidden="1">#REF!,#REF!,#REF!,#REF!,#REF!,#REF!</definedName>
    <definedName name="P4_SCOPE_FULL_LOAD" hidden="1">#REF!,#REF!,#REF!,#REF!,#REF!,#REF!</definedName>
    <definedName name="P4_SCOPE_IND" localSheetId="9" hidden="1">#REF!,#REF!,#REF!,#REF!,#REF!</definedName>
    <definedName name="P4_SCOPE_IND" localSheetId="4" hidden="1">#REF!,#REF!,#REF!,#REF!,#REF!</definedName>
    <definedName name="P4_SCOPE_IND" localSheetId="8" hidden="1">#REF!,#REF!,#REF!,#REF!,#REF!</definedName>
    <definedName name="P4_SCOPE_IND" hidden="1">#REF!,#REF!,#REF!,#REF!,#REF!</definedName>
    <definedName name="P4_SCOPE_IND2" localSheetId="9" hidden="1">#REF!,#REF!,#REF!,#REF!,#REF!,#REF!</definedName>
    <definedName name="P4_SCOPE_IND2" localSheetId="4" hidden="1">#REF!,#REF!,#REF!,#REF!,#REF!,#REF!</definedName>
    <definedName name="P4_SCOPE_IND2" localSheetId="8" hidden="1">#REF!,#REF!,#REF!,#REF!,#REF!,#REF!</definedName>
    <definedName name="P4_SCOPE_IND2" hidden="1">#REF!,#REF!,#REF!,#REF!,#REF!,#REF!</definedName>
    <definedName name="P4_SCOPE_NOTIND" localSheetId="9" hidden="1">#REF!,#REF!,#REF!,#REF!,#REF!,#REF!,#REF!</definedName>
    <definedName name="P4_SCOPE_NOTIND" localSheetId="4" hidden="1">#REF!,#REF!,#REF!,#REF!,#REF!,#REF!,#REF!</definedName>
    <definedName name="P4_SCOPE_NOTIND" localSheetId="8" hidden="1">#REF!,#REF!,#REF!,#REF!,#REF!,#REF!,#REF!</definedName>
    <definedName name="P4_SCOPE_NOTIND" hidden="1">#REF!,#REF!,#REF!,#REF!,#REF!,#REF!,#REF!</definedName>
    <definedName name="P4_SCOPE_NotInd2" localSheetId="9" hidden="1">#REF!,#REF!,#REF!,#REF!,#REF!,#REF!,#REF!</definedName>
    <definedName name="P4_SCOPE_NotInd2" localSheetId="4" hidden="1">#REF!,#REF!,#REF!,#REF!,#REF!,#REF!,#REF!</definedName>
    <definedName name="P4_SCOPE_NotInd2" hidden="1">#REF!,#REF!,#REF!,#REF!,#REF!,#REF!,#REF!</definedName>
    <definedName name="P4_SCOPE_PER_PRT" hidden="1">[15]перекрестка!$F$45:$H$49,[15]перекрестка!$J$45:$K$49,[15]перекрестка!$N$45:$N$49,[15]перекрестка!$F$53:$G$64,[15]перекрестка!$H$54:$H$58</definedName>
    <definedName name="P4_T1_Protect" localSheetId="9" hidden="1">[25]перекрестка!$J$127,[25]перекрестка!$J$128:$K$132,[25]перекрестка!$J$133,[25]перекрестка!$J$134:$K$138,[25]перекрестка!$N$11:$N$22,[25]перекрестка!$N$24:$N$28</definedName>
    <definedName name="P4_T1_Protect" localSheetId="4" hidden="1">[25]перекрестка!$J$127,[25]перекрестка!$J$128:$K$132,[25]перекрестка!$J$133,[25]перекрестка!$J$134:$K$138,[25]перекрестка!$N$11:$N$22,[25]перекрестка!$N$24:$N$28</definedName>
    <definedName name="P4_T1_Protect" localSheetId="8" hidden="1">#REF!,#REF!,#REF!,#REF!,#REF!,#REF!</definedName>
    <definedName name="P4_T1_Protect" hidden="1">#REF!,#REF!,#REF!,#REF!,#REF!,#REF!</definedName>
    <definedName name="P4_T17_Protection">'[20]29'!$I$29:$J$33,'[20]29'!$I$27:$J$27,'[20]29'!$I$21:$J$25,'[20]29'!$I$19:$J$19,'[20]29'!$I$12:$J$16,'[20]29'!$I$10:$J$10,'[20]29'!$L$10:$M$10,'[20]29'!$L$12:$M$16</definedName>
    <definedName name="P4_T28?axis?R?ПЭ">'[20]28'!$D$167:$I$169,'[20]28'!$D$172:$I$174,'[20]28'!$D$178:$I$180,'[20]28'!$D$184:$I$186,'[20]28'!$D$193:$I$195,'[20]28'!$D$198:$I$200,'[20]28'!$D$204:$I$206</definedName>
    <definedName name="P4_T28?axis?R?ПЭ?">'[20]28'!$B$167:$B$169,'[20]28'!$B$172:$B$174,'[20]28'!$B$178:$B$180,'[20]28'!$B$184:$B$186,'[20]28'!$B$193:$B$195,'[20]28'!$B$198:$B$200,'[20]28'!$B$204:$B$206</definedName>
    <definedName name="P4_T28_Protection">'[20]28'!$B$219:$B$221,'[20]28'!$B$224:$B$226,'[20]28'!$B$230:$B$232,'[20]28'!$B$236:$B$238,'[20]28'!$B$245:$B$247,'[20]28'!$B$250:$B$252,'[20]28'!$B$256:$B$258</definedName>
    <definedName name="P5_SCOPE_FULL_LOAD" localSheetId="9" hidden="1">#REF!,#REF!,#REF!,#REF!,#REF!,#REF!</definedName>
    <definedName name="P5_SCOPE_FULL_LOAD" localSheetId="4" hidden="1">#REF!,#REF!,#REF!,#REF!,#REF!,#REF!</definedName>
    <definedName name="P5_SCOPE_FULL_LOAD" localSheetId="8" hidden="1">#REF!,#REF!,#REF!,#REF!,#REF!,#REF!</definedName>
    <definedName name="P5_SCOPE_FULL_LOAD" hidden="1">#REF!,#REF!,#REF!,#REF!,#REF!,#REF!</definedName>
    <definedName name="P5_SCOPE_NOTIND" localSheetId="9" hidden="1">#REF!,#REF!,#REF!,#REF!,#REF!,#REF!,#REF!</definedName>
    <definedName name="P5_SCOPE_NOTIND" localSheetId="4" hidden="1">#REF!,#REF!,#REF!,#REF!,#REF!,#REF!,#REF!</definedName>
    <definedName name="P5_SCOPE_NOTIND" localSheetId="8" hidden="1">#REF!,#REF!,#REF!,#REF!,#REF!,#REF!,#REF!</definedName>
    <definedName name="P5_SCOPE_NOTIND" hidden="1">#REF!,#REF!,#REF!,#REF!,#REF!,#REF!,#REF!</definedName>
    <definedName name="P5_SCOPE_NotInd2" localSheetId="9" hidden="1">#REF!,#REF!,#REF!,#REF!,#REF!,#REF!,#REF!</definedName>
    <definedName name="P5_SCOPE_NotInd2" localSheetId="4" hidden="1">#REF!,#REF!,#REF!,#REF!,#REF!,#REF!,#REF!</definedName>
    <definedName name="P5_SCOPE_NotInd2" hidden="1">#REF!,#REF!,#REF!,#REF!,#REF!,#REF!,#REF!</definedName>
    <definedName name="P5_SCOPE_PER_PRT" hidden="1">[15]перекрестка!$H$60:$H$64,[15]перекрестка!$J$53:$J$64,[15]перекрестка!$K$54:$K$58,[15]перекрестка!$K$60:$K$64,[15]перекрестка!$N$53:$N$64</definedName>
    <definedName name="P5_T1_Protect" localSheetId="9" hidden="1">[25]перекрестка!$N$30:$N$34,[25]перекрестка!$N$36:$N$40,[25]перекрестка!$N$42:$N$46,[25]перекрестка!$N$49:$N$60,[25]перекрестка!$N$62:$N$66</definedName>
    <definedName name="P5_T1_Protect" localSheetId="4" hidden="1">[25]перекрестка!$N$30:$N$34,[25]перекрестка!$N$36:$N$40,[25]перекрестка!$N$42:$N$46,[25]перекрестка!$N$49:$N$60,[25]перекрестка!$N$62:$N$66</definedName>
    <definedName name="P5_T1_Protect" localSheetId="8" hidden="1">#REF!,#REF!,#REF!,#REF!,#REF!</definedName>
    <definedName name="P5_T1_Protect" hidden="1">#REF!,#REF!,#REF!,#REF!,#REF!</definedName>
    <definedName name="P5_T17_Protection">'[20]29'!$L$19:$M$19,'[20]29'!$L$21:$M$27,'[20]29'!$L$29:$M$33,'[20]29'!$L$36:$M$36,'[20]29'!$L$38:$M$42,'[20]29'!$L$45:$M$45,'[20]29'!$O$10:$P$10,'[20]29'!$O$12:$P$16</definedName>
    <definedName name="P5_T28?axis?R?ПЭ">'[20]28'!$D$210:$I$212,'[20]28'!$D$219:$I$221,'[20]28'!$D$224:$I$226,'[20]28'!$D$230:$I$232,'[20]28'!$D$236:$I$238,'[20]28'!$D$245:$I$247,'[20]28'!$D$250:$I$252</definedName>
    <definedName name="P5_T28?axis?R?ПЭ?">'[20]28'!$B$210:$B$212,'[20]28'!$B$219:$B$221,'[20]28'!$B$224:$B$226,'[20]28'!$B$230:$B$232,'[20]28'!$B$236:$B$238,'[20]28'!$B$245:$B$247,'[20]28'!$B$250:$B$252</definedName>
    <definedName name="P5_T28_Protection">'[20]28'!$B$262:$B$264,'[20]28'!$B$271:$B$273,'[20]28'!$B$276:$B$278,'[20]28'!$B$282:$B$284,'[20]28'!$B$288:$B$291,'[20]28'!$B$11:$B$13,'[20]28'!$B$16:$B$18,'[20]28'!$B$22:$B$24</definedName>
    <definedName name="P6_SCOPE_FULL_LOAD" localSheetId="9" hidden="1">#REF!,#REF!,#REF!,#REF!,#REF!,#REF!</definedName>
    <definedName name="P6_SCOPE_FULL_LOAD" localSheetId="4" hidden="1">#REF!,#REF!,#REF!,#REF!,#REF!,#REF!</definedName>
    <definedName name="P6_SCOPE_FULL_LOAD" localSheetId="8" hidden="1">#REF!,#REF!,#REF!,#REF!,#REF!,#REF!</definedName>
    <definedName name="P6_SCOPE_FULL_LOAD" hidden="1">#REF!,#REF!,#REF!,#REF!,#REF!,#REF!</definedName>
    <definedName name="P6_SCOPE_NOTIND" localSheetId="9" hidden="1">#REF!,#REF!,#REF!,#REF!,#REF!,#REF!,#REF!</definedName>
    <definedName name="P6_SCOPE_NOTIND" localSheetId="4" hidden="1">#REF!,#REF!,#REF!,#REF!,#REF!,#REF!,#REF!</definedName>
    <definedName name="P6_SCOPE_NOTIND" localSheetId="8" hidden="1">#REF!,#REF!,#REF!,#REF!,#REF!,#REF!,#REF!</definedName>
    <definedName name="P6_SCOPE_NOTIND" hidden="1">#REF!,#REF!,#REF!,#REF!,#REF!,#REF!,#REF!</definedName>
    <definedName name="P6_SCOPE_NotInd2" localSheetId="9" hidden="1">#REF!,#REF!,#REF!,#REF!,#REF!,#REF!,#REF!</definedName>
    <definedName name="P6_SCOPE_NotInd2" localSheetId="4" hidden="1">#REF!,#REF!,#REF!,#REF!,#REF!,#REF!,#REF!</definedName>
    <definedName name="P6_SCOPE_NotInd2" hidden="1">#REF!,#REF!,#REF!,#REF!,#REF!,#REF!,#REF!</definedName>
    <definedName name="P6_SCOPE_PER_PRT" hidden="1">[15]перекрестка!$F$66:$H$70,[15]перекрестка!$J$66:$K$70,[15]перекрестка!$N$66:$N$70,[15]перекрестка!$F$72:$H$76,[15]перекрестка!$J$72:$K$76</definedName>
    <definedName name="P6_T1_Protect" localSheetId="9" hidden="1">[25]перекрестка!$N$68:$N$72,[25]перекрестка!$N$74:$N$78,[25]перекрестка!$N$80:$N$84,[25]перекрестка!$N$89:$N$100,[25]перекрестка!$N$102:$N$106</definedName>
    <definedName name="P6_T1_Protect" localSheetId="4" hidden="1">[25]перекрестка!$N$68:$N$72,[25]перекрестка!$N$74:$N$78,[25]перекрестка!$N$80:$N$84,[25]перекрестка!$N$89:$N$100,[25]перекрестка!$N$102:$N$106</definedName>
    <definedName name="P6_T1_Protect" localSheetId="8" hidden="1">#REF!,#REF!,#REF!,#REF!,#REF!</definedName>
    <definedName name="P6_T1_Protect" hidden="1">#REF!,#REF!,#REF!,#REF!,#REF!</definedName>
    <definedName name="P6_T17_Protection" localSheetId="9">'[20]29'!$O$19:$P$19,'[20]29'!$O$21:$P$25,'[20]29'!$O$27:$P$27,'[20]29'!$O$29:$P$33,'[20]29'!$O$36:$P$36,'[20]29'!$O$38:$P$42,'[20]29'!$O$45:$P$45,[0]!P1_T17_Protection</definedName>
    <definedName name="P6_T17_Protection" localSheetId="4">'[20]29'!$O$19:$P$19,'[20]29'!$O$21:$P$25,'[20]29'!$O$27:$P$27,'[20]29'!$O$29:$P$33,'[20]29'!$O$36:$P$36,'[20]29'!$O$38:$P$42,'[20]29'!$O$45:$P$45,[0]!P1_T17_Protection</definedName>
    <definedName name="P6_T17_Protection">'[20]29'!$O$19:$P$19,'[20]29'!$O$21:$P$25,'[20]29'!$O$27:$P$27,'[20]29'!$O$29:$P$33,'[20]29'!$O$36:$P$36,'[20]29'!$O$38:$P$42,'[20]29'!$O$45:$P$45,P1_T17_Protection</definedName>
    <definedName name="P6_T2.1?Protection" localSheetId="9">P1_T2.1?Protection</definedName>
    <definedName name="P6_T2.1?Protection" localSheetId="4">P1_T2.1?Protection</definedName>
    <definedName name="P6_T2.1?Protection">P1_T2.1?Protection</definedName>
    <definedName name="P6_T28?axis?R?ПЭ" localSheetId="9">'[20]28'!$D$256:$I$258,'[20]28'!$D$262:$I$264,'[20]28'!$D$271:$I$273,'[20]28'!$D$276:$I$278,'[20]28'!$D$282:$I$284,'[20]28'!$D$288:$I$291,'[20]28'!$D$11:$I$13,[0]!P1_T28?axis?R?ПЭ</definedName>
    <definedName name="P6_T28?axis?R?ПЭ" localSheetId="4">'[20]28'!$D$256:$I$258,'[20]28'!$D$262:$I$264,'[20]28'!$D$271:$I$273,'[20]28'!$D$276:$I$278,'[20]28'!$D$282:$I$284,'[20]28'!$D$288:$I$291,'[20]28'!$D$11:$I$13,[0]!P1_T28?axis?R?ПЭ</definedName>
    <definedName name="P6_T28?axis?R?ПЭ">'[20]28'!$D$256:$I$258,'[20]28'!$D$262:$I$264,'[20]28'!$D$271:$I$273,'[20]28'!$D$276:$I$278,'[20]28'!$D$282:$I$284,'[20]28'!$D$288:$I$291,'[20]28'!$D$11:$I$13,P1_T28?axis?R?ПЭ</definedName>
    <definedName name="P6_T28?axis?R?ПЭ?" localSheetId="9">'[20]28'!$B$256:$B$258,'[20]28'!$B$262:$B$264,'[20]28'!$B$271:$B$273,'[20]28'!$B$276:$B$278,'[20]28'!$B$282:$B$284,'[20]28'!$B$288:$B$291,'[20]28'!$B$11:$B$13,[0]!P1_T28?axis?R?ПЭ?</definedName>
    <definedName name="P6_T28?axis?R?ПЭ?" localSheetId="4">'[20]28'!$B$256:$B$258,'[20]28'!$B$262:$B$264,'[20]28'!$B$271:$B$273,'[20]28'!$B$276:$B$278,'[20]28'!$B$282:$B$284,'[20]28'!$B$288:$B$291,'[20]28'!$B$11:$B$13,[0]!P1_T28?axis?R?ПЭ?</definedName>
    <definedName name="P6_T28?axis?R?ПЭ?">'[20]28'!$B$256:$B$258,'[20]28'!$B$262:$B$264,'[20]28'!$B$271:$B$273,'[20]28'!$B$276:$B$278,'[20]28'!$B$282:$B$284,'[20]28'!$B$288:$B$291,'[20]28'!$B$11:$B$13,P1_T28?axis?R?ПЭ?</definedName>
    <definedName name="P6_T28_Protection">'[20]28'!$B$28:$B$30,'[20]28'!$B$37:$B$39,'[20]28'!$B$42:$B$44,'[20]28'!$B$48:$B$50,'[20]28'!$B$54:$B$56,'[20]28'!$B$63:$B$65,'[20]28'!$G$210:$H$212,'[20]28'!$D$11:$E$13</definedName>
    <definedName name="P7_SCOPE_FULL_LOAD" localSheetId="9" hidden="1">#REF!,#REF!,#REF!,#REF!,#REF!,#REF!</definedName>
    <definedName name="P7_SCOPE_FULL_LOAD" localSheetId="4" hidden="1">#REF!,#REF!,#REF!,#REF!,#REF!,#REF!</definedName>
    <definedName name="P7_SCOPE_FULL_LOAD" localSheetId="8" hidden="1">#REF!,#REF!,#REF!,#REF!,#REF!,#REF!</definedName>
    <definedName name="P7_SCOPE_FULL_LOAD" hidden="1">#REF!,#REF!,#REF!,#REF!,#REF!,#REF!</definedName>
    <definedName name="P7_SCOPE_NOTIND" localSheetId="9" hidden="1">#REF!,#REF!,#REF!,#REF!,#REF!,#REF!</definedName>
    <definedName name="P7_SCOPE_NOTIND" localSheetId="4" hidden="1">#REF!,#REF!,#REF!,#REF!,#REF!,#REF!</definedName>
    <definedName name="P7_SCOPE_NOTIND" hidden="1">#REF!,#REF!,#REF!,#REF!,#REF!,#REF!</definedName>
    <definedName name="P7_SCOPE_NotInd2" localSheetId="9" hidden="1">#REF!,#REF!,#REF!,#REF!,#REF!,'1. подк.неподк. факт'!P1_SCOPE_NotInd2,'1. подк.неподк. факт'!P2_SCOPE_NotInd2,'1. подк.неподк. факт'!P3_SCOPE_NotInd2</definedName>
    <definedName name="P7_SCOPE_NotInd2" localSheetId="4" hidden="1">#REF!,#REF!,#REF!,#REF!,#REF!,'5. подк.неподк.план'!P1_SCOPE_NotInd2,'5. подк.неподк.план'!P2_SCOPE_NotInd2,'5. подк.неподк.план'!P3_SCOPE_NotInd2</definedName>
    <definedName name="P7_SCOPE_NotInd2" localSheetId="8" hidden="1">#REF!,#REF!,#REF!,#REF!,#REF!,'8.Бюджет на 2015'!P1_SCOPE_NotInd2,'8.Бюджет на 2015'!P2_SCOPE_NotInd2,P3_SCOPE_NotInd2</definedName>
    <definedName name="P7_SCOPE_NotInd2" hidden="1">#REF!,#REF!,#REF!,#REF!,#REF!,P1_SCOPE_NotInd2,P2_SCOPE_NotInd2,P3_SCOPE_NotInd2</definedName>
    <definedName name="P7_SCOPE_PER_PRT" hidden="1">[15]перекрестка!$N$72:$N$76,[15]перекрестка!$F$78:$H$82,[15]перекрестка!$J$78:$K$82,[15]перекрестка!$N$78:$N$82,[15]перекрестка!$F$84:$H$88</definedName>
    <definedName name="P7_T1_Protect" localSheetId="9" hidden="1">[25]перекрестка!$N$108:$N$112,[25]перекрестка!$N$114:$N$118,[25]перекрестка!$N$120:$N$124,[25]перекрестка!$N$127:$N$138,[25]перекрестка!$N$140:$N$144</definedName>
    <definedName name="P7_T1_Protect" localSheetId="4" hidden="1">[25]перекрестка!$N$108:$N$112,[25]перекрестка!$N$114:$N$118,[25]перекрестка!$N$120:$N$124,[25]перекрестка!$N$127:$N$138,[25]перекрестка!$N$140:$N$144</definedName>
    <definedName name="P7_T1_Protect" localSheetId="8" hidden="1">#REF!,#REF!,#REF!,#REF!,#REF!</definedName>
    <definedName name="P7_T1_Protect" hidden="1">#REF!,#REF!,#REF!,#REF!,#REF!</definedName>
    <definedName name="P7_T28_Protection">'[20]28'!$G$11:$H$13,'[20]28'!$D$16:$E$18,'[20]28'!$G$16:$H$18,'[20]28'!$D$22:$E$24,'[20]28'!$G$22:$H$24,'[20]28'!$D$28:$E$30,'[20]28'!$G$28:$H$30,'[20]28'!$D$37:$E$39</definedName>
    <definedName name="P8_SCOPE_FULL_LOAD" localSheetId="9" hidden="1">#REF!,#REF!,#REF!,#REF!,#REF!,#REF!</definedName>
    <definedName name="P8_SCOPE_FULL_LOAD" localSheetId="4" hidden="1">#REF!,#REF!,#REF!,#REF!,#REF!,#REF!</definedName>
    <definedName name="P8_SCOPE_FULL_LOAD" localSheetId="8" hidden="1">#REF!,#REF!,#REF!,#REF!,#REF!,#REF!</definedName>
    <definedName name="P8_SCOPE_FULL_LOAD" hidden="1">#REF!,#REF!,#REF!,#REF!,#REF!,#REF!</definedName>
    <definedName name="P8_SCOPE_NOTIND" localSheetId="9" hidden="1">#REF!,#REF!,#REF!,#REF!,#REF!,#REF!</definedName>
    <definedName name="P8_SCOPE_NOTIND" localSheetId="4" hidden="1">#REF!,#REF!,#REF!,#REF!,#REF!,#REF!</definedName>
    <definedName name="P8_SCOPE_NOTIND" hidden="1">#REF!,#REF!,#REF!,#REF!,#REF!,#REF!</definedName>
    <definedName name="P8_SCOPE_PER_PRT" localSheetId="9">[15]перекрестка!$J$84:$K$88,[15]перекрестка!$N$84:$N$88,[15]перекрестка!$F$14:$G$25,P1_SCOPE_PER_PRT,P2_SCOPE_PER_PRT,P3_SCOPE_PER_PRT,P4_SCOPE_PER_PRT</definedName>
    <definedName name="P8_SCOPE_PER_PRT" hidden="1">[15]перекрестка!$J$84:$K$88,[15]перекрестка!$N$84:$N$88,[15]перекрестка!$F$14:$G$25,P1_SCOPE_PER_PRT,P2_SCOPE_PER_PRT,P3_SCOPE_PER_PRT,P4_SCOPE_PER_PRT</definedName>
    <definedName name="P8_T1_Protect" localSheetId="9" hidden="1">[25]перекрестка!$N$146:$N$150,[25]перекрестка!$N$152:$N$156,[25]перекрестка!$N$158:$N$162,[25]перекрестка!$F$11:$G$11,[25]перекрестка!$F$12:$H$16</definedName>
    <definedName name="P8_T1_Protect" localSheetId="4" hidden="1">[25]перекрестка!$N$146:$N$150,[25]перекрестка!$N$152:$N$156,[25]перекрестка!$N$158:$N$162,[25]перекрестка!$F$11:$G$11,[25]перекрестка!$F$12:$H$16</definedName>
    <definedName name="P8_T1_Protect" localSheetId="8" hidden="1">#REF!,#REF!,#REF!,#REF!,#REF!</definedName>
    <definedName name="P8_T1_Protect" hidden="1">#REF!,#REF!,#REF!,#REF!,#REF!</definedName>
    <definedName name="P8_T28_Protection">'[20]28'!$G$37:$H$39,'[20]28'!$D$42:$E$44,'[20]28'!$G$42:$H$44,'[20]28'!$D$48:$E$50,'[20]28'!$G$48:$H$50,'[20]28'!$D$54:$E$56,'[20]28'!$G$54:$H$56,'[20]28'!$D$89:$E$91</definedName>
    <definedName name="P9_SCOPE_FULL_LOAD" localSheetId="9" hidden="1">#REF!,#REF!,#REF!,#REF!,#REF!,#REF!</definedName>
    <definedName name="P9_SCOPE_FULL_LOAD" localSheetId="4" hidden="1">#REF!,#REF!,#REF!,#REF!,#REF!,#REF!</definedName>
    <definedName name="P9_SCOPE_FULL_LOAD" localSheetId="8" hidden="1">#REF!,#REF!,#REF!,#REF!,#REF!,#REF!</definedName>
    <definedName name="P9_SCOPE_FULL_LOAD" hidden="1">#REF!,#REF!,#REF!,#REF!,#REF!,#REF!</definedName>
    <definedName name="P9_SCOPE_NotInd" localSheetId="9" hidden="1">#REF!,'1. подк.неподк. факт'!P1_SCOPE_NOTIND,'1. подк.неподк. факт'!P2_SCOPE_NOTIND,'1. подк.неподк. факт'!P3_SCOPE_NOTIND,'1. подк.неподк. факт'!P4_SCOPE_NOTIND,'1. подк.неподк. факт'!P5_SCOPE_NOTIND,'1. подк.неподк. факт'!P6_SCOPE_NOTIND,'1. подк.неподк. факт'!P7_SCOPE_NOTIND</definedName>
    <definedName name="P9_SCOPE_NotInd" localSheetId="4" hidden="1">#REF!,'5. подк.неподк.план'!P1_SCOPE_NOTIND,'5. подк.неподк.план'!P2_SCOPE_NOTIND,'5. подк.неподк.план'!P3_SCOPE_NOTIND,'5. подк.неподк.план'!P4_SCOPE_NOTIND,'5. подк.неподк.план'!P5_SCOPE_NOTIND,'5. подк.неподк.план'!P6_SCOPE_NOTIND,'5. подк.неподк.план'!P7_SCOPE_NOTIND</definedName>
    <definedName name="P9_SCOPE_NotInd" localSheetId="8" hidden="1">#REF!,'8.Бюджет на 2015'!P1_SCOPE_NOTIND,'8.Бюджет на 2015'!P2_SCOPE_NOTIND,'8.Бюджет на 2015'!P3_SCOPE_NOTIND,'8.Бюджет на 2015'!P4_SCOPE_NOTIND,'8.Бюджет на 2015'!P5_SCOPE_NOTIND,'8.Бюджет на 2015'!P6_SCOPE_NOTIND,P7_SCOPE_NOTIND</definedName>
    <definedName name="P9_SCOPE_NotInd" hidden="1">#REF!,P1_SCOPE_NOTIND,P2_SCOPE_NOTIND,P3_SCOPE_NOTIND,P4_SCOPE_NOTIND,P5_SCOPE_NOTIND,P6_SCOPE_NOTIND,P7_SCOPE_NOTIND</definedName>
    <definedName name="P9_T1_Protect" localSheetId="9" hidden="1">[25]перекрестка!$F$17:$G$17,[25]перекрестка!$F$18:$H$22,[25]перекрестка!$F$24:$H$28,[25]перекрестка!$F$30:$H$34,[25]перекрестка!$F$36:$H$40</definedName>
    <definedName name="P9_T1_Protect" localSheetId="4" hidden="1">[25]перекрестка!$F$17:$G$17,[25]перекрестка!$F$18:$H$22,[25]перекрестка!$F$24:$H$28,[25]перекрестка!$F$30:$H$34,[25]перекрестка!$F$36:$H$40</definedName>
    <definedName name="P9_T1_Protect" localSheetId="8" hidden="1">#REF!,#REF!,#REF!,#REF!,#REF!</definedName>
    <definedName name="P9_T1_Protect" hidden="1">#REF!,#REF!,#REF!,#REF!,#REF!</definedName>
    <definedName name="P9_T28_Protection">'[20]28'!$G$89:$H$91,'[20]28'!$G$94:$H$96,'[20]28'!$D$94:$E$96,'[20]28'!$D$100:$E$102,'[20]28'!$G$100:$H$102,'[20]28'!$D$106:$E$108,'[20]28'!$G$106:$H$108,'[20]28'!$D$167:$E$169</definedName>
    <definedName name="PER_ET" localSheetId="9">#REF!</definedName>
    <definedName name="PER_ET" localSheetId="4">#REF!</definedName>
    <definedName name="PER_ET">#REF!</definedName>
    <definedName name="Personal">'[28]6 Списки'!$A$2:$A$20</definedName>
    <definedName name="polta" localSheetId="9">#REF!</definedName>
    <definedName name="polta" localSheetId="4">#REF!</definedName>
    <definedName name="polta">#REF!</definedName>
    <definedName name="post_without_enes_name">[18]REESTR_ORG!$X$156:$X$189</definedName>
    <definedName name="POWER_DISBALANCE" localSheetId="9">#REF!</definedName>
    <definedName name="POWER_DISBALANCE" localSheetId="4">#REF!</definedName>
    <definedName name="POWER_DISBALANCE">#REF!</definedName>
    <definedName name="POWER_TOTAL_DISBALANCE" localSheetId="9">#REF!</definedName>
    <definedName name="POWER_TOTAL_DISBALANCE" localSheetId="4">#REF!</definedName>
    <definedName name="POWER_TOTAL_DISBALANCE">#REF!</definedName>
    <definedName name="PR_ET">[10]TEHSHEET!#REF!</definedName>
    <definedName name="PR_OBJ_ET">[10]TEHSHEET!#REF!</definedName>
    <definedName name="PR_OPT" localSheetId="9">#REF!</definedName>
    <definedName name="PR_OPT" localSheetId="4">#REF!</definedName>
    <definedName name="PR_OPT">#REF!</definedName>
    <definedName name="PR_ROZN" localSheetId="9">#REF!</definedName>
    <definedName name="PR_ROZN" localSheetId="4">#REF!</definedName>
    <definedName name="PR_ROZN">#REF!</definedName>
    <definedName name="Project">[29]Списки!$B$2:$B$21</definedName>
    <definedName name="PROT" localSheetId="9">#REF!,#REF!,#REF!,#REF!,#REF!,#REF!</definedName>
    <definedName name="PROT" localSheetId="4">#REF!,#REF!,#REF!,#REF!,#REF!,#REF!</definedName>
    <definedName name="PROT">#REF!,#REF!,#REF!,#REF!,#REF!,#REF!</definedName>
    <definedName name="qweqweq" localSheetId="9" hidden="1">[25]перекрестка!$F$139:$G$139,[25]перекрестка!$F$145:$G$145,[25]перекрестка!$J$36:$K$40,'1. подк.неподк. факт'!P1_T1_Protect,'1. подк.неподк. факт'!P2_T1_Protect,'1. подк.неподк. факт'!P3_T1_Protect,'1. подк.неподк. факт'!P4_T1_Protect</definedName>
    <definedName name="qweqweq" localSheetId="4" hidden="1">[25]перекрестка!$F$139:$G$139,[25]перекрестка!$F$145:$G$145,[25]перекрестка!$J$36:$K$40,'5. подк.неподк.план'!P1_T1_Protect,'5. подк.неподк.план'!P2_T1_Protect,'5. подк.неподк.план'!P3_T1_Protect,'5. подк.неподк.план'!P4_T1_Protect</definedName>
    <definedName name="qweqweq" localSheetId="8" hidden="1">[25]перекрестка!$F$139:$G$139,[25]перекрестка!$F$145:$G$145,[25]перекрестка!$J$36:$K$40,'8.Бюджет на 2015'!P1_T1_Protect,'8.Бюджет на 2015'!P2_T1_Protect,'8.Бюджет на 2015'!P3_T1_Protect,'8.Бюджет на 2015'!P4_T1_Protect</definedName>
    <definedName name="qweqweq" hidden="1">[25]перекрестка!$F$139:$G$139,[25]перекрестка!$F$145:$G$145,[25]перекрестка!$J$36:$K$40,[0]!P1_T1_Protect,[0]!P2_T1_Protect,[0]!P3_T1_Protect,[0]!P4_T1_Protect</definedName>
    <definedName name="REG_ET" localSheetId="9">#REF!</definedName>
    <definedName name="REG_ET" localSheetId="4">#REF!</definedName>
    <definedName name="REG_ET">#REF!</definedName>
    <definedName name="reg_name">[18]Титульный!$F$6</definedName>
    <definedName name="REG_PROT" localSheetId="9">#REF!,#REF!,#REF!,#REF!,#REF!,#REF!,#REF!</definedName>
    <definedName name="REG_PROT" localSheetId="4">#REF!,#REF!,#REF!,#REF!,#REF!,#REF!,#REF!</definedName>
    <definedName name="REG_PROT">#REF!,#REF!,#REF!,#REF!,#REF!,#REF!,#REF!</definedName>
    <definedName name="REGcom" localSheetId="9">#REF!</definedName>
    <definedName name="REGcom" localSheetId="4">#REF!</definedName>
    <definedName name="REGcom">#REF!</definedName>
    <definedName name="REGION">[30]TEHSHEET!$B$2:$B$86</definedName>
    <definedName name="region_name">[22]Титульный!$F$8</definedName>
    <definedName name="REGIONS">[15]TEHSHEET!$C$6:$C$89</definedName>
    <definedName name="REGUL" localSheetId="9">#REF!</definedName>
    <definedName name="REGUL" localSheetId="4">#REF!</definedName>
    <definedName name="REGUL">#REF!</definedName>
    <definedName name="rgk">[14]FST5!$G$214:$G$217,[14]FST5!$G$219:$G$224,[14]FST5!$G$226,[14]FST5!$G$228,[14]FST5!$G$230,[14]FST5!$G$232,[14]FST5!$G$197:$G$212</definedName>
    <definedName name="ROW_MARKER_1" localSheetId="9">#REF!</definedName>
    <definedName name="ROW_MARKER_1" localSheetId="4">#REF!</definedName>
    <definedName name="ROW_MARKER_1">#REF!</definedName>
    <definedName name="ROW_MARKER_2" localSheetId="9">#REF!</definedName>
    <definedName name="ROW_MARKER_2" localSheetId="4">#REF!</definedName>
    <definedName name="ROW_MARKER_2">#REF!</definedName>
    <definedName name="ROZN_09" localSheetId="9">'[12]2009'!#REF!</definedName>
    <definedName name="ROZN_09" localSheetId="4">'[12]2009'!#REF!</definedName>
    <definedName name="ROZN_09">'[12]2009'!#REF!</definedName>
    <definedName name="rr">#N/A</definedName>
    <definedName name="ŕŕ">#N/A</definedName>
    <definedName name="RRE" localSheetId="9">#REF!</definedName>
    <definedName name="RRE" localSheetId="4">#REF!</definedName>
    <definedName name="RRE">#REF!</definedName>
    <definedName name="rrtget6">#N/A</definedName>
    <definedName name="S1_" localSheetId="9">#REF!</definedName>
    <definedName name="S1_" localSheetId="4">#REF!</definedName>
    <definedName name="S1_">#REF!</definedName>
    <definedName name="S10_" localSheetId="9">#REF!</definedName>
    <definedName name="S10_" localSheetId="4">#REF!</definedName>
    <definedName name="S10_">#REF!</definedName>
    <definedName name="S11_" localSheetId="9">#REF!</definedName>
    <definedName name="S11_" localSheetId="4">#REF!</definedName>
    <definedName name="S11_">#REF!</definedName>
    <definedName name="S12_" localSheetId="9">#REF!</definedName>
    <definedName name="S12_" localSheetId="4">#REF!</definedName>
    <definedName name="S12_">#REF!</definedName>
    <definedName name="S13_" localSheetId="9">#REF!</definedName>
    <definedName name="S13_" localSheetId="4">#REF!</definedName>
    <definedName name="S13_">#REF!</definedName>
    <definedName name="S14_" localSheetId="9">#REF!</definedName>
    <definedName name="S14_" localSheetId="4">#REF!</definedName>
    <definedName name="S14_">#REF!</definedName>
    <definedName name="S15_" localSheetId="9">#REF!</definedName>
    <definedName name="S15_" localSheetId="4">#REF!</definedName>
    <definedName name="S15_">#REF!</definedName>
    <definedName name="S16_" localSheetId="9">#REF!</definedName>
    <definedName name="S16_" localSheetId="4">#REF!</definedName>
    <definedName name="S16_">#REF!</definedName>
    <definedName name="S17_" localSheetId="9">#REF!</definedName>
    <definedName name="S17_" localSheetId="4">#REF!</definedName>
    <definedName name="S17_">#REF!</definedName>
    <definedName name="S18_" localSheetId="9">#REF!</definedName>
    <definedName name="S18_" localSheetId="4">#REF!</definedName>
    <definedName name="S18_">#REF!</definedName>
    <definedName name="S19_" localSheetId="9">#REF!</definedName>
    <definedName name="S19_" localSheetId="4">#REF!</definedName>
    <definedName name="S19_">#REF!</definedName>
    <definedName name="S2_" localSheetId="9">#REF!</definedName>
    <definedName name="S2_" localSheetId="4">#REF!</definedName>
    <definedName name="S2_">#REF!</definedName>
    <definedName name="S20_" localSheetId="9">#REF!</definedName>
    <definedName name="S20_" localSheetId="4">#REF!</definedName>
    <definedName name="S20_">#REF!</definedName>
    <definedName name="S3_" localSheetId="9">#REF!</definedName>
    <definedName name="S3_" localSheetId="4">#REF!</definedName>
    <definedName name="S3_">#REF!</definedName>
    <definedName name="S4_" localSheetId="9">#REF!</definedName>
    <definedName name="S4_" localSheetId="4">#REF!</definedName>
    <definedName name="S4_">#REF!</definedName>
    <definedName name="S5_" localSheetId="9">#REF!</definedName>
    <definedName name="S5_" localSheetId="4">#REF!</definedName>
    <definedName name="S5_">#REF!</definedName>
    <definedName name="S6_" localSheetId="9">#REF!</definedName>
    <definedName name="S6_" localSheetId="4">#REF!</definedName>
    <definedName name="S6_">#REF!</definedName>
    <definedName name="S7_" localSheetId="9">#REF!</definedName>
    <definedName name="S7_" localSheetId="4">#REF!</definedName>
    <definedName name="S7_">#REF!</definedName>
    <definedName name="S8_" localSheetId="9">#REF!</definedName>
    <definedName name="S8_" localSheetId="4">#REF!</definedName>
    <definedName name="S8_">#REF!</definedName>
    <definedName name="S9_" localSheetId="9">#REF!</definedName>
    <definedName name="S9_" localSheetId="4">#REF!</definedName>
    <definedName name="S9_">#REF!</definedName>
    <definedName name="SAPBEXrevision" hidden="1">1</definedName>
    <definedName name="SAPBEXsysID" hidden="1">"BW2"</definedName>
    <definedName name="SAPBEXwbID" hidden="1">"479GSPMTNK9HM4ZSIVE5K2SH6"</definedName>
    <definedName name="SBT_ET" localSheetId="9">#REF!</definedName>
    <definedName name="SBT_ET" localSheetId="4">#REF!</definedName>
    <definedName name="SBT_ET">#REF!</definedName>
    <definedName name="SBT_PROT">#N/A</definedName>
    <definedName name="SBTcom" localSheetId="9">#REF!</definedName>
    <definedName name="SBTcom" localSheetId="4">#REF!</definedName>
    <definedName name="SBTcom">#REF!</definedName>
    <definedName name="sbwt_name">[18]REESTR_ORG!$H$156:$H$185</definedName>
    <definedName name="sbyt">[14]FST5!$G$70:$G$75,[14]FST5!$G$77:$G$78,[14]FST5!$G$80:$G$83,[14]FST5!$G$85,[14]FST5!$G$87:$G$91,[14]FST5!$G$93,[14]FST5!$G$95:$G$97,[14]FST5!$G$52:$G$68</definedName>
    <definedName name="sch" localSheetId="9">#REF!</definedName>
    <definedName name="sch" localSheetId="4">#REF!</definedName>
    <definedName name="sch">#REF!</definedName>
    <definedName name="SCOPE" localSheetId="9">#REF!</definedName>
    <definedName name="SCOPE" localSheetId="4">#REF!</definedName>
    <definedName name="SCOPE">#REF!</definedName>
    <definedName name="SCOPE_16_PRT" localSheetId="9">#N/A</definedName>
    <definedName name="SCOPE_16_PRT" localSheetId="4">#N/A</definedName>
    <definedName name="SCOPE_16_PRT">#N/A</definedName>
    <definedName name="SCOPE_17.1_LD" localSheetId="9">#REF!</definedName>
    <definedName name="SCOPE_17.1_LD" localSheetId="4">#REF!</definedName>
    <definedName name="SCOPE_17.1_LD">#REF!</definedName>
    <definedName name="SCOPE_17.1_PRT" localSheetId="9">#REF!,#REF!,#REF!,#REF!,#REF!,#REF!</definedName>
    <definedName name="SCOPE_17.1_PRT" localSheetId="4">#REF!,#REF!,#REF!,#REF!,#REF!,#REF!</definedName>
    <definedName name="SCOPE_17.1_PRT">#REF!,#REF!,#REF!,#REF!,#REF!,#REF!</definedName>
    <definedName name="SCOPE_17_LD" localSheetId="9">#REF!</definedName>
    <definedName name="SCOPE_17_LD" localSheetId="4">#REF!</definedName>
    <definedName name="SCOPE_17_LD">#REF!</definedName>
    <definedName name="SCOPE_17_PRT">'[15]17'!$J$39:$M$41,'[15]17'!$E$43:$H$51,'[15]17'!$J$43:$M$51,'[15]17'!$E$54:$H$56,'[15]17'!$E$58:$H$66,'[15]17'!$E$69:$M$81,'[15]17'!$E$9:$H$11,P1_SCOPE_17_PRT</definedName>
    <definedName name="SCOPE_2" localSheetId="9">#REF!</definedName>
    <definedName name="SCOPE_2" localSheetId="4">#REF!</definedName>
    <definedName name="SCOPE_2">#REF!</definedName>
    <definedName name="SCOPE_2_1" localSheetId="9">#REF!</definedName>
    <definedName name="SCOPE_2_1" localSheetId="4">#REF!</definedName>
    <definedName name="SCOPE_2_1">#REF!</definedName>
    <definedName name="SCOPE_2_DR1" localSheetId="9">#REF!</definedName>
    <definedName name="SCOPE_2_DR1" localSheetId="4">#REF!</definedName>
    <definedName name="SCOPE_2_DR1">#REF!</definedName>
    <definedName name="SCOPE_2_DR10" localSheetId="9">#REF!</definedName>
    <definedName name="SCOPE_2_DR10" localSheetId="4">#REF!</definedName>
    <definedName name="SCOPE_2_DR10">#REF!</definedName>
    <definedName name="SCOPE_2_DR11" localSheetId="9">#REF!</definedName>
    <definedName name="SCOPE_2_DR11" localSheetId="4">#REF!</definedName>
    <definedName name="SCOPE_2_DR11">#REF!</definedName>
    <definedName name="SCOPE_2_DR2" localSheetId="9">#REF!</definedName>
    <definedName name="SCOPE_2_DR2" localSheetId="4">#REF!</definedName>
    <definedName name="SCOPE_2_DR2">#REF!</definedName>
    <definedName name="SCOPE_2_DR3" localSheetId="9">#REF!</definedName>
    <definedName name="SCOPE_2_DR3" localSheetId="4">#REF!</definedName>
    <definedName name="SCOPE_2_DR3">#REF!</definedName>
    <definedName name="SCOPE_2_DR4" localSheetId="9">#REF!</definedName>
    <definedName name="SCOPE_2_DR4" localSheetId="4">#REF!</definedName>
    <definedName name="SCOPE_2_DR4">#REF!</definedName>
    <definedName name="SCOPE_2_DR5" localSheetId="9">#REF!</definedName>
    <definedName name="SCOPE_2_DR5" localSheetId="4">#REF!</definedName>
    <definedName name="SCOPE_2_DR5">#REF!</definedName>
    <definedName name="SCOPE_2_DR6" localSheetId="9">#REF!</definedName>
    <definedName name="SCOPE_2_DR6" localSheetId="4">#REF!</definedName>
    <definedName name="SCOPE_2_DR6">#REF!</definedName>
    <definedName name="SCOPE_2_DR7" localSheetId="9">#REF!</definedName>
    <definedName name="SCOPE_2_DR7" localSheetId="4">#REF!</definedName>
    <definedName name="SCOPE_2_DR7">#REF!</definedName>
    <definedName name="SCOPE_2_DR8" localSheetId="9">#REF!</definedName>
    <definedName name="SCOPE_2_DR8" localSheetId="4">#REF!</definedName>
    <definedName name="SCOPE_2_DR8">#REF!</definedName>
    <definedName name="SCOPE_2_DR9" localSheetId="9">#REF!</definedName>
    <definedName name="SCOPE_2_DR9" localSheetId="4">#REF!</definedName>
    <definedName name="SCOPE_2_DR9">#REF!</definedName>
    <definedName name="SCOPE_24_LD">'[15]24'!$E$8:$J$47,'[15]24'!$E$49:$J$66</definedName>
    <definedName name="SCOPE_24_PRT">'[15]24'!$E$41:$I$41,'[15]24'!$E$34:$I$34,'[15]24'!$E$36:$I$36,'[15]24'!$E$43:$I$43</definedName>
    <definedName name="SCOPE_25_PRT">'[15]25'!$E$20:$I$20,'[15]25'!$E$34:$I$34,'[15]25'!$E$41:$I$41,'[15]25'!$E$8:$I$10</definedName>
    <definedName name="SCOPE_3_DR1" localSheetId="9">#REF!</definedName>
    <definedName name="SCOPE_3_DR1" localSheetId="4">#REF!</definedName>
    <definedName name="SCOPE_3_DR1">#REF!</definedName>
    <definedName name="SCOPE_3_DR10" localSheetId="9">#REF!</definedName>
    <definedName name="SCOPE_3_DR10" localSheetId="4">#REF!</definedName>
    <definedName name="SCOPE_3_DR10">#REF!</definedName>
    <definedName name="SCOPE_3_DR11" localSheetId="9">#REF!</definedName>
    <definedName name="SCOPE_3_DR11" localSheetId="4">#REF!</definedName>
    <definedName name="SCOPE_3_DR11">#REF!</definedName>
    <definedName name="SCOPE_3_DR2" localSheetId="9">#REF!</definedName>
    <definedName name="SCOPE_3_DR2" localSheetId="4">#REF!</definedName>
    <definedName name="SCOPE_3_DR2">#REF!</definedName>
    <definedName name="SCOPE_3_DR3" localSheetId="9">#REF!</definedName>
    <definedName name="SCOPE_3_DR3" localSheetId="4">#REF!</definedName>
    <definedName name="SCOPE_3_DR3">#REF!</definedName>
    <definedName name="SCOPE_3_DR4" localSheetId="9">#REF!</definedName>
    <definedName name="SCOPE_3_DR4" localSheetId="4">#REF!</definedName>
    <definedName name="SCOPE_3_DR4">#REF!</definedName>
    <definedName name="SCOPE_3_DR5" localSheetId="9">#REF!</definedName>
    <definedName name="SCOPE_3_DR5" localSheetId="4">#REF!</definedName>
    <definedName name="SCOPE_3_DR5">#REF!</definedName>
    <definedName name="SCOPE_3_DR6" localSheetId="9">#REF!</definedName>
    <definedName name="SCOPE_3_DR6" localSheetId="4">#REF!</definedName>
    <definedName name="SCOPE_3_DR6">#REF!</definedName>
    <definedName name="SCOPE_3_DR7" localSheetId="9">#REF!</definedName>
    <definedName name="SCOPE_3_DR7" localSheetId="4">#REF!</definedName>
    <definedName name="SCOPE_3_DR7">#REF!</definedName>
    <definedName name="SCOPE_3_DR8" localSheetId="9">#REF!</definedName>
    <definedName name="SCOPE_3_DR8" localSheetId="4">#REF!</definedName>
    <definedName name="SCOPE_3_DR8">#REF!</definedName>
    <definedName name="SCOPE_3_DR9" localSheetId="9">#REF!</definedName>
    <definedName name="SCOPE_3_DR9" localSheetId="4">#REF!</definedName>
    <definedName name="SCOPE_3_DR9">#REF!</definedName>
    <definedName name="SCOPE_4_PRT">'[15]4'!$Z$27:$AC$31,'[15]4'!$F$14:$I$20,P1_SCOPE_4_PRT,P2_SCOPE_4_PRT</definedName>
    <definedName name="SCOPE_5_PRT">'[15]5'!$Z$27:$AC$31,'[15]5'!$F$14:$I$21,P1_SCOPE_5_PRT,P2_SCOPE_5_PRT</definedName>
    <definedName name="SCOPE_APR" localSheetId="9">#REF!</definedName>
    <definedName name="SCOPE_APR" localSheetId="4">#REF!</definedName>
    <definedName name="SCOPE_APR">#REF!</definedName>
    <definedName name="SCOPE_AUG" localSheetId="9">#REF!</definedName>
    <definedName name="SCOPE_AUG" localSheetId="4">#REF!</definedName>
    <definedName name="SCOPE_AUG">#REF!</definedName>
    <definedName name="SCOPE_BAL_EN" localSheetId="9">#REF!</definedName>
    <definedName name="SCOPE_BAL_EN" localSheetId="4">#REF!</definedName>
    <definedName name="SCOPE_BAL_EN">#REF!</definedName>
    <definedName name="SCOPE_BAL_PW" localSheetId="9">[31]мощность!$D$18:$P$21,[31]мощность!$S$18:$AE$21,[31]мощность!$AH$18:$AT$21,[31]мощность!$AW$18:$BI$21,[31]мощность!$BL$18:$BX$21,[31]мощность!$CA$18:$CM$21,[31]мощность!$CP$18:$DB$21,[31]мощность!$DE$18:$DQ$21,[31]мощность!$DT$18:$EF$21,[31]мощность!$EI$18:$EU$21,[31]мощность!$EX$18:$FJ$21,[31]мощность!$FM$18:$FY$21,[31]мощность!$GD$18:$GP$21</definedName>
    <definedName name="SCOPE_BAL_PW" localSheetId="4">[31]мощность!$D$18:$P$21,[31]мощность!$S$18:$AE$21,[31]мощность!$AH$18:$AT$21,[31]мощность!$AW$18:$BI$21,[31]мощность!$BL$18:$BX$21,[31]мощность!$CA$18:$CM$21,[31]мощность!$CP$18:$DB$21,[31]мощность!$DE$18:$DQ$21,[31]мощность!$DT$18:$EF$21,[31]мощность!$EI$18:$EU$21,[31]мощность!$EX$18:$FJ$21,[31]мощность!$FM$18:$FY$21,[31]мощность!$GD$18:$GP$21</definedName>
    <definedName name="SCOPE_BAL_PW">[32]мощность!$D$18:$P$21,[32]мощность!$S$18:$AE$21,[32]мощность!$AH$18:$AT$21,[32]мощность!$AW$18:$BI$21,[32]мощность!$BL$18:$BX$21,[32]мощность!$CA$18:$CM$21,[32]мощность!$CP$18:$DB$21,[32]мощность!$DE$18:$DQ$21,[32]мощность!$DT$18:$EF$21,[32]мощность!$EI$18:$EU$21,[32]мощность!$EX$18:$FJ$21,[32]мощность!$FM$18:$FY$21,[32]мощность!$GD$18:$GP$21</definedName>
    <definedName name="SCOPE_CL">[33]Справочники!$F$11:$F$11</definedName>
    <definedName name="SCOPE_CORR" localSheetId="9">#REF!,#REF!,#REF!,#REF!,#REF!,'1. подк.неподк. факт'!P1_SCOPE_CORR,'1. подк.неподк. факт'!P2_SCOPE_CORR</definedName>
    <definedName name="SCOPE_CORR" localSheetId="4">#REF!,#REF!,#REF!,#REF!,#REF!,'5. подк.неподк.план'!P1_SCOPE_CORR,'5. подк.неподк.план'!P2_SCOPE_CORR</definedName>
    <definedName name="SCOPE_CORR">#REF!,#REF!,#REF!,#REF!,#REF!,P1_SCOPE_CORR,P2_SCOPE_CORR</definedName>
    <definedName name="SCOPE_CPR" localSheetId="9">#REF!</definedName>
    <definedName name="SCOPE_CPR" localSheetId="4">#REF!</definedName>
    <definedName name="SCOPE_CPR">#REF!</definedName>
    <definedName name="SCOPE_DEC" localSheetId="9">#REF!</definedName>
    <definedName name="SCOPE_DEC" localSheetId="4">#REF!</definedName>
    <definedName name="SCOPE_DEC">#REF!</definedName>
    <definedName name="SCOPE_DOP" localSheetId="9">[8]Регионы!#REF!,'1. подк.неподк. факт'!P1_SCOPE_DOP</definedName>
    <definedName name="SCOPE_DOP" localSheetId="4">[8]Регионы!#REF!,'5. подк.неподк.план'!P1_SCOPE_DOP</definedName>
    <definedName name="SCOPE_DOP">[8]Регионы!#REF!,P1_SCOPE_DOP</definedName>
    <definedName name="SCOPE_DOP2" localSheetId="9">#REF!,#REF!,#REF!,#REF!,#REF!,#REF!</definedName>
    <definedName name="SCOPE_DOP2" localSheetId="4">#REF!,#REF!,#REF!,#REF!,#REF!,#REF!</definedName>
    <definedName name="SCOPE_DOP2">#REF!,#REF!,#REF!,#REF!,#REF!,#REF!</definedName>
    <definedName name="SCOPE_DOP3" localSheetId="9">#REF!,#REF!,#REF!,#REF!,#REF!,#REF!</definedName>
    <definedName name="SCOPE_DOP3" localSheetId="4">#REF!,#REF!,#REF!,#REF!,#REF!,#REF!</definedName>
    <definedName name="SCOPE_DOP3">#REF!,#REF!,#REF!,#REF!,#REF!,#REF!</definedName>
    <definedName name="SCOPE_ESOLD" localSheetId="9">#REF!</definedName>
    <definedName name="SCOPE_ESOLD" localSheetId="4">#REF!</definedName>
    <definedName name="SCOPE_ESOLD">#REF!</definedName>
    <definedName name="SCOPE_ETALON" localSheetId="9">#REF!</definedName>
    <definedName name="SCOPE_ETALON" localSheetId="4">#REF!</definedName>
    <definedName name="SCOPE_ETALON">#REF!</definedName>
    <definedName name="SCOPE_ETALON2" localSheetId="9">#REF!</definedName>
    <definedName name="SCOPE_ETALON2" localSheetId="4">#REF!</definedName>
    <definedName name="SCOPE_ETALON2">#REF!</definedName>
    <definedName name="SCOPE_F1_PRT" localSheetId="9">#REF!,'1. подк.неподк. факт'!P1_SCOPE_F1_PRT,'1. подк.неподк. факт'!P2_SCOPE_F1_PRT,'1. подк.неподк. факт'!P3_SCOPE_F1_PRT,'1. подк.неподк. факт'!P4_SCOPE_F1_PRT</definedName>
    <definedName name="SCOPE_F1_PRT" localSheetId="4">#REF!,'5. подк.неподк.план'!P1_SCOPE_F1_PRT,'5. подк.неподк.план'!P2_SCOPE_F1_PRT,'5. подк.неподк.план'!P3_SCOPE_F1_PRT,'5. подк.неподк.план'!P4_SCOPE_F1_PRT</definedName>
    <definedName name="SCOPE_F1_PRT">#REF!,P1_SCOPE_F1_PRT,P2_SCOPE_F1_PRT,P3_SCOPE_F1_PRT,P4_SCOPE_F1_PRT</definedName>
    <definedName name="SCOPE_F2_LD1" localSheetId="9">#REF!</definedName>
    <definedName name="SCOPE_F2_LD1" localSheetId="4">#REF!</definedName>
    <definedName name="SCOPE_F2_LD1">#REF!</definedName>
    <definedName name="SCOPE_F2_LD2" localSheetId="9">#REF!</definedName>
    <definedName name="SCOPE_F2_LD2" localSheetId="4">#REF!</definedName>
    <definedName name="SCOPE_F2_LD2">#REF!</definedName>
    <definedName name="SCOPE_F2_PRT" localSheetId="9">#REF!,#REF!,#REF!,'1. подк.неподк. факт'!P1_SCOPE_F2_PRT,'1. подк.неподк. факт'!P2_SCOPE_F2_PRT</definedName>
    <definedName name="SCOPE_F2_PRT" localSheetId="4">#REF!,#REF!,#REF!,'5. подк.неподк.план'!P1_SCOPE_F2_PRT,'5. подк.неподк.план'!P2_SCOPE_F2_PRT</definedName>
    <definedName name="SCOPE_F2_PRT">#REF!,#REF!,#REF!,P1_SCOPE_F2_PRT,P2_SCOPE_F2_PRT</definedName>
    <definedName name="SCOPE_FEB" localSheetId="9">#REF!</definedName>
    <definedName name="SCOPE_FEB" localSheetId="4">#REF!</definedName>
    <definedName name="SCOPE_FEB">#REF!</definedName>
    <definedName name="SCOPE_FL">[33]Справочники!$H$11:$H$14</definedName>
    <definedName name="SCOPE_FLOAD">#N/A</definedName>
    <definedName name="SCOPE_FORM46_EE1" localSheetId="9">#REF!</definedName>
    <definedName name="SCOPE_FORM46_EE1" localSheetId="4">#REF!</definedName>
    <definedName name="SCOPE_FORM46_EE1">#REF!</definedName>
    <definedName name="SCOPE_FORM46_EE1_ZAG_KOD">[10]Заголовок!#REF!</definedName>
    <definedName name="SCOPE_FRML">#N/A</definedName>
    <definedName name="SCOPE_FST7" localSheetId="9">#REF!,#REF!,#REF!,#REF!,'1. подк.неподк. факт'!P1_SCOPE_FST7</definedName>
    <definedName name="SCOPE_FST7" localSheetId="4">#REF!,#REF!,#REF!,#REF!,'5. подк.неподк.план'!P1_SCOPE_FST7</definedName>
    <definedName name="SCOPE_FST7">#REF!,#REF!,#REF!,#REF!,P1_SCOPE_FST7</definedName>
    <definedName name="SCOPE_FULL_LOAD" localSheetId="9">[0]!P16_SCOPE_FULL_LOAD,[0]!P17_SCOPE_FULL_LOAD</definedName>
    <definedName name="SCOPE_FULL_LOAD" localSheetId="4">[0]!P16_SCOPE_FULL_LOAD,[0]!P17_SCOPE_FULL_LOAD</definedName>
    <definedName name="SCOPE_FULL_LOAD">P16_SCOPE_FULL_LOAD,P17_SCOPE_FULL_LOAD</definedName>
    <definedName name="SCOPE_IND" localSheetId="9">#REF!,#REF!,'1. подк.неподк. факт'!P1_SCOPE_IND,'1. подк.неподк. факт'!P2_SCOPE_IND,'1. подк.неподк. факт'!P3_SCOPE_IND,'1. подк.неподк. факт'!P4_SCOPE_IND</definedName>
    <definedName name="SCOPE_IND" localSheetId="4">#REF!,#REF!,'5. подк.неподк.план'!P1_SCOPE_IND,'5. подк.неподк.план'!P2_SCOPE_IND,'5. подк.неподк.план'!P3_SCOPE_IND,'5. подк.неподк.план'!P4_SCOPE_IND</definedName>
    <definedName name="SCOPE_IND">#REF!,#REF!,P1_SCOPE_IND,P2_SCOPE_IND,P3_SCOPE_IND,P4_SCOPE_IND</definedName>
    <definedName name="SCOPE_IND2" localSheetId="9">#REF!,#REF!,#REF!,'1. подк.неподк. факт'!P1_SCOPE_IND2,'1. подк.неподк. факт'!P2_SCOPE_IND2,'1. подк.неподк. факт'!P3_SCOPE_IND2,'1. подк.неподк. факт'!P4_SCOPE_IND2</definedName>
    <definedName name="SCOPE_IND2" localSheetId="4">#REF!,#REF!,#REF!,'5. подк.неподк.план'!P1_SCOPE_IND2,'5. подк.неподк.план'!P2_SCOPE_IND2,'5. подк.неподк.план'!P3_SCOPE_IND2,'5. подк.неподк.план'!P4_SCOPE_IND2</definedName>
    <definedName name="SCOPE_IND2">#REF!,#REF!,#REF!,P1_SCOPE_IND2,P2_SCOPE_IND2,P3_SCOPE_IND2,P4_SCOPE_IND2</definedName>
    <definedName name="SCOPE_JAN" localSheetId="9">#REF!</definedName>
    <definedName name="SCOPE_JAN" localSheetId="4">#REF!</definedName>
    <definedName name="SCOPE_JAN">#REF!</definedName>
    <definedName name="SCOPE_JUL" localSheetId="9">#REF!</definedName>
    <definedName name="SCOPE_JUL" localSheetId="4">#REF!</definedName>
    <definedName name="SCOPE_JUL">#REF!</definedName>
    <definedName name="SCOPE_JUN" localSheetId="9">#REF!</definedName>
    <definedName name="SCOPE_JUN" localSheetId="4">#REF!</definedName>
    <definedName name="SCOPE_JUN">#REF!</definedName>
    <definedName name="scope_ld" localSheetId="9">#REF!</definedName>
    <definedName name="scope_ld" localSheetId="4">#REF!</definedName>
    <definedName name="scope_ld">#REF!</definedName>
    <definedName name="SCOPE_LOAD" localSheetId="9">#REF!</definedName>
    <definedName name="SCOPE_LOAD" localSheetId="4">#REF!</definedName>
    <definedName name="SCOPE_LOAD">#REF!</definedName>
    <definedName name="SCOPE_LOAD_FUEL" localSheetId="9">#REF!</definedName>
    <definedName name="SCOPE_LOAD_FUEL" localSheetId="4">#REF!</definedName>
    <definedName name="SCOPE_LOAD_FUEL">#REF!</definedName>
    <definedName name="SCOPE_LOAD1" localSheetId="9">#REF!</definedName>
    <definedName name="SCOPE_LOAD1" localSheetId="4">#REF!</definedName>
    <definedName name="SCOPE_LOAD1">#REF!</definedName>
    <definedName name="SCOPE_LOAD2">'[34]Стоимость ЭЭ'!$G$111:$AN$113,'[34]Стоимость ЭЭ'!$G$93:$AN$95,'[34]Стоимость ЭЭ'!$G$51:$AN$53</definedName>
    <definedName name="SCOPE_MAR" localSheetId="9">#REF!</definedName>
    <definedName name="SCOPE_MAR" localSheetId="4">#REF!</definedName>
    <definedName name="SCOPE_MAR">#REF!</definedName>
    <definedName name="SCOPE_MAY" localSheetId="9">#REF!</definedName>
    <definedName name="SCOPE_MAY" localSheetId="4">#REF!</definedName>
    <definedName name="SCOPE_MAY">#REF!</definedName>
    <definedName name="SCOPE_MO" localSheetId="9">[35]Справочники!$K$6:$K$742,[35]Справочники!#REF!</definedName>
    <definedName name="SCOPE_MO" localSheetId="4">[35]Справочники!$K$6:$K$742,[35]Справочники!#REF!</definedName>
    <definedName name="SCOPE_MO">[35]Справочники!$K$6:$K$742,[35]Справочники!#REF!</definedName>
    <definedName name="SCOPE_MUPS" localSheetId="9">[35]Свод!#REF!,[35]Свод!#REF!</definedName>
    <definedName name="SCOPE_MUPS" localSheetId="4">[35]Свод!#REF!,[35]Свод!#REF!</definedName>
    <definedName name="SCOPE_MUPS">[35]Свод!#REF!,[35]Свод!#REF!</definedName>
    <definedName name="SCOPE_MUPS_NAMES" localSheetId="9">[35]Свод!#REF!,[35]Свод!#REF!</definedName>
    <definedName name="SCOPE_MUPS_NAMES" localSheetId="4">[35]Свод!#REF!,[35]Свод!#REF!</definedName>
    <definedName name="SCOPE_MUPS_NAMES">[35]Свод!#REF!,[35]Свод!#REF!</definedName>
    <definedName name="SCOPE_NALOG">[36]Справочники!$R$3:$R$4</definedName>
    <definedName name="SCOPE_NOTIND" localSheetId="9">'1. подк.неподк. факт'!P1_SCOPE_NOTIND,'1. подк.неподк. факт'!P2_SCOPE_NOTIND,'1. подк.неподк. факт'!P3_SCOPE_NOTIND,'1. подк.неподк. факт'!P4_SCOPE_NOTIND,'1. подк.неподк. факт'!P5_SCOPE_NOTIND,'1. подк.неподк. факт'!P6_SCOPE_NOTIND,'1. подк.неподк. факт'!P7_SCOPE_NOTIND,'1. подк.неподк. факт'!P8_SCOPE_NOTIND</definedName>
    <definedName name="SCOPE_NOTIND" localSheetId="4">'5. подк.неподк.план'!P1_SCOPE_NOTIND,'5. подк.неподк.план'!P2_SCOPE_NOTIND,'5. подк.неподк.план'!P3_SCOPE_NOTIND,'5. подк.неподк.план'!P4_SCOPE_NOTIND,'5. подк.неподк.план'!P5_SCOPE_NOTIND,'5. подк.неподк.план'!P6_SCOPE_NOTIND,'5. подк.неподк.план'!P7_SCOPE_NOTIND,'5. подк.неподк.план'!P8_SCOPE_NOTIND</definedName>
    <definedName name="SCOPE_NOTIND">P1_SCOPE_NOTIND,P2_SCOPE_NOTIND,P3_SCOPE_NOTIND,P4_SCOPE_NOTIND,P5_SCOPE_NOTIND,P6_SCOPE_NOTIND,P7_SCOPE_NOTIND,P8_SCOPE_NOTIND</definedName>
    <definedName name="SCOPE_NotInd2" localSheetId="9">'1. подк.неподк. факт'!P4_SCOPE_NotInd2,'1. подк.неподк. факт'!P5_SCOPE_NotInd2,'1. подк.неподк. факт'!P6_SCOPE_NotInd2,'1. подк.неподк. факт'!P7_SCOPE_NotInd2</definedName>
    <definedName name="SCOPE_NotInd2" localSheetId="4">'5. подк.неподк.план'!P4_SCOPE_NotInd2,'5. подк.неподк.план'!P5_SCOPE_NotInd2,'5. подк.неподк.план'!P6_SCOPE_NotInd2,'5. подк.неподк.план'!P7_SCOPE_NotInd2</definedName>
    <definedName name="SCOPE_NotInd2">P4_SCOPE_NotInd2,P5_SCOPE_NotInd2,P6_SCOPE_NotInd2,P7_SCOPE_NotInd2</definedName>
    <definedName name="SCOPE_NotInd3" localSheetId="9">#REF!,#REF!,#REF!,'1. подк.неподк. факт'!P1_SCOPE_NotInd3,'1. подк.неподк. факт'!P2_SCOPE_NotInd3</definedName>
    <definedName name="SCOPE_NotInd3" localSheetId="4">#REF!,#REF!,#REF!,'5. подк.неподк.план'!P1_SCOPE_NotInd3,'5. подк.неподк.план'!P2_SCOPE_NotInd3</definedName>
    <definedName name="SCOPE_NotInd3">#REF!,#REF!,#REF!,P1_SCOPE_NotInd3,P2_SCOPE_NotInd3</definedName>
    <definedName name="SCOPE_NOV" localSheetId="9">#REF!</definedName>
    <definedName name="SCOPE_NOV" localSheetId="4">#REF!</definedName>
    <definedName name="SCOPE_NOV">#REF!</definedName>
    <definedName name="SCOPE_OCT" localSheetId="9">#REF!</definedName>
    <definedName name="SCOPE_OCT" localSheetId="4">#REF!</definedName>
    <definedName name="SCOPE_OCT">#REF!</definedName>
    <definedName name="SCOPE_ORE" localSheetId="9">#REF!</definedName>
    <definedName name="SCOPE_ORE" localSheetId="4">#REF!</definedName>
    <definedName name="SCOPE_ORE">#REF!</definedName>
    <definedName name="SCOPE_OUTD">[14]FST5!$G$23:$G$30,[14]FST5!$G$32:$G$35,[14]FST5!$G$37,[14]FST5!$G$39:$G$45,[14]FST5!$G$47,[14]FST5!$G$49,[14]FST5!$G$5:$G$21</definedName>
    <definedName name="SCOPE_PER_PRT" localSheetId="9">#N/A</definedName>
    <definedName name="SCOPE_PER_PRT" localSheetId="4">#N/A</definedName>
    <definedName name="SCOPE_PER_PRT">#N/A</definedName>
    <definedName name="SCOPE_PRD" localSheetId="9">#REF!</definedName>
    <definedName name="SCOPE_PRD" localSheetId="4">#REF!</definedName>
    <definedName name="SCOPE_PRD">#REF!</definedName>
    <definedName name="SCOPE_PRD_ET" localSheetId="9">#REF!</definedName>
    <definedName name="SCOPE_PRD_ET" localSheetId="4">#REF!</definedName>
    <definedName name="SCOPE_PRD_ET">#REF!</definedName>
    <definedName name="SCOPE_PRD_ET2" localSheetId="9">#REF!</definedName>
    <definedName name="SCOPE_PRD_ET2" localSheetId="4">#REF!</definedName>
    <definedName name="SCOPE_PRD_ET2">#REF!</definedName>
    <definedName name="SCOPE_PRT" localSheetId="9">#REF!,#REF!,#REF!,#REF!,#REF!,#REF!</definedName>
    <definedName name="SCOPE_PRT" localSheetId="4">#REF!,#REF!,#REF!,#REF!,#REF!,#REF!</definedName>
    <definedName name="SCOPE_PRT">#REF!,#REF!,#REF!,#REF!,#REF!,#REF!</definedName>
    <definedName name="SCOPE_PRZ" localSheetId="9">#REF!</definedName>
    <definedName name="SCOPE_PRZ" localSheetId="4">#REF!</definedName>
    <definedName name="SCOPE_PRZ">#REF!</definedName>
    <definedName name="SCOPE_PRZ_ET" localSheetId="9">#REF!</definedName>
    <definedName name="SCOPE_PRZ_ET" localSheetId="4">#REF!</definedName>
    <definedName name="SCOPE_PRZ_ET">#REF!</definedName>
    <definedName name="SCOPE_PRZ_ET2" localSheetId="9">#REF!</definedName>
    <definedName name="SCOPE_PRZ_ET2" localSheetId="4">#REF!</definedName>
    <definedName name="SCOPE_PRZ_ET2">#REF!</definedName>
    <definedName name="SCOPE_REGIONS" localSheetId="9">#REF!</definedName>
    <definedName name="SCOPE_REGIONS" localSheetId="4">#REF!</definedName>
    <definedName name="SCOPE_REGIONS">#REF!</definedName>
    <definedName name="SCOPE_REGLD" localSheetId="9">#REF!</definedName>
    <definedName name="SCOPE_REGLD" localSheetId="4">#REF!</definedName>
    <definedName name="SCOPE_REGLD">#REF!</definedName>
    <definedName name="SCOPE_RG" localSheetId="9">#REF!</definedName>
    <definedName name="SCOPE_RG" localSheetId="4">#REF!</definedName>
    <definedName name="SCOPE_RG">#REF!</definedName>
    <definedName name="SCOPE_SAVE2" localSheetId="9">#REF!,#REF!,#REF!,#REF!,#REF!,'1. подк.неподк. факт'!P1_SCOPE_SAVE2,'1. подк.неподк. факт'!P2_SCOPE_SAVE2</definedName>
    <definedName name="SCOPE_SAVE2" localSheetId="4">#REF!,#REF!,#REF!,#REF!,#REF!,'5. подк.неподк.план'!P1_SCOPE_SAVE2,'5. подк.неподк.план'!P2_SCOPE_SAVE2</definedName>
    <definedName name="SCOPE_SAVE2">#REF!,#REF!,#REF!,#REF!,#REF!,P1_SCOPE_SAVE2,P2_SCOPE_SAVE2</definedName>
    <definedName name="SCOPE_SBTLD" localSheetId="9">#REF!</definedName>
    <definedName name="SCOPE_SBTLD" localSheetId="4">#REF!</definedName>
    <definedName name="SCOPE_SBTLD">#REF!</definedName>
    <definedName name="SCOPE_SEP" localSheetId="9">#REF!</definedName>
    <definedName name="SCOPE_SEP" localSheetId="4">#REF!</definedName>
    <definedName name="SCOPE_SEP">#REF!</definedName>
    <definedName name="SCOPE_SETLD" localSheetId="9">#REF!</definedName>
    <definedName name="SCOPE_SETLD" localSheetId="4">#REF!</definedName>
    <definedName name="SCOPE_SETLD">#REF!</definedName>
    <definedName name="SCOPE_SPR_PRT">[15]Справочники!$D$21:$J$22,[15]Справочники!$E$13:$I$14,[15]Справочники!$F$27:$H$28</definedName>
    <definedName name="SCOPE_SS" localSheetId="9">#REF!,#REF!,#REF!,#REF!,#REF!,#REF!</definedName>
    <definedName name="SCOPE_SS" localSheetId="4">#REF!,#REF!,#REF!,#REF!,#REF!,#REF!</definedName>
    <definedName name="SCOPE_SS">#REF!,#REF!,#REF!,#REF!,#REF!,#REF!</definedName>
    <definedName name="SCOPE_SS2" localSheetId="9">#REF!</definedName>
    <definedName name="SCOPE_SS2" localSheetId="4">#REF!</definedName>
    <definedName name="SCOPE_SS2">#REF!</definedName>
    <definedName name="SCOPE_SV_LD1">[15]свод!$E$104:$M$104,[15]свод!$E$106:$M$117,[15]свод!$E$120:$M$121,[15]свод!$E$123:$M$127,[15]свод!$E$10:$M$68,P1_SCOPE_SV_LD1</definedName>
    <definedName name="SCOPE_SV_PRT" localSheetId="9">#N/A</definedName>
    <definedName name="SCOPE_SV_PRT" localSheetId="4">#N/A</definedName>
    <definedName name="SCOPE_SV_PRT">#N/A</definedName>
    <definedName name="SCOPE_TEST" localSheetId="9">#REF!</definedName>
    <definedName name="SCOPE_TEST" localSheetId="4">#REF!</definedName>
    <definedName name="SCOPE_TEST">#REF!</definedName>
    <definedName name="SCOPE_TP">[14]FST5!$L$12:$L$23,[14]FST5!$L$5:$L$8</definedName>
    <definedName name="SCOPE_YEAR" localSheetId="9">#REF!</definedName>
    <definedName name="SCOPE_YEAR" localSheetId="4">#REF!</definedName>
    <definedName name="SCOPE_YEAR">#REF!</definedName>
    <definedName name="SCOPE10" localSheetId="9">#REF!</definedName>
    <definedName name="SCOPE10" localSheetId="4">#REF!</definedName>
    <definedName name="SCOPE10">#REF!</definedName>
    <definedName name="SCOPE11" localSheetId="9">#REF!</definedName>
    <definedName name="SCOPE11" localSheetId="4">#REF!</definedName>
    <definedName name="SCOPE11">#REF!</definedName>
    <definedName name="SCOPE12" localSheetId="9">#REF!</definedName>
    <definedName name="SCOPE12" localSheetId="4">#REF!</definedName>
    <definedName name="SCOPE12">#REF!</definedName>
    <definedName name="SCOPE2" localSheetId="9">#REF!</definedName>
    <definedName name="SCOPE2" localSheetId="4">#REF!</definedName>
    <definedName name="SCOPE2">#REF!</definedName>
    <definedName name="SCOPE3" localSheetId="9">#REF!</definedName>
    <definedName name="SCOPE3" localSheetId="4">#REF!</definedName>
    <definedName name="SCOPE3">#REF!</definedName>
    <definedName name="SCOPE4" localSheetId="9">#REF!</definedName>
    <definedName name="SCOPE4" localSheetId="4">#REF!</definedName>
    <definedName name="SCOPE4">#REF!</definedName>
    <definedName name="SCOPE5" localSheetId="9">#REF!</definedName>
    <definedName name="SCOPE5" localSheetId="4">#REF!</definedName>
    <definedName name="SCOPE5">#REF!</definedName>
    <definedName name="SCOPE6" localSheetId="9">#REF!</definedName>
    <definedName name="SCOPE6" localSheetId="4">#REF!</definedName>
    <definedName name="SCOPE6">#REF!</definedName>
    <definedName name="SCOPE7" localSheetId="9">#REF!</definedName>
    <definedName name="SCOPE7" localSheetId="4">#REF!</definedName>
    <definedName name="SCOPE7">#REF!</definedName>
    <definedName name="SCOPE8" localSheetId="9">#REF!</definedName>
    <definedName name="SCOPE8" localSheetId="4">#REF!</definedName>
    <definedName name="SCOPE8">#REF!</definedName>
    <definedName name="SCOPE9" localSheetId="9">#REF!</definedName>
    <definedName name="SCOPE9" localSheetId="4">#REF!</definedName>
    <definedName name="SCOPE9">#REF!</definedName>
    <definedName name="SEP" localSheetId="9">#REF!</definedName>
    <definedName name="SEP" localSheetId="4">#REF!</definedName>
    <definedName name="SEP">#REF!</definedName>
    <definedName name="SET_ET" localSheetId="9">#REF!</definedName>
    <definedName name="SET_ET" localSheetId="4">#REF!</definedName>
    <definedName name="SET_ET">#REF!</definedName>
    <definedName name="SET_PROT">#N/A</definedName>
    <definedName name="SET_PRT">#N/A</definedName>
    <definedName name="SETcom" localSheetId="9">#REF!</definedName>
    <definedName name="SETcom" localSheetId="4">#REF!</definedName>
    <definedName name="SETcom">#REF!</definedName>
    <definedName name="Sheet2?prefix?">"H"</definedName>
    <definedName name="SP_OPT" localSheetId="9">#REF!</definedName>
    <definedName name="SP_OPT" localSheetId="4">#REF!</definedName>
    <definedName name="SP_OPT">#REF!</definedName>
    <definedName name="SP_OPT_ET">[10]TEHSHEET!#REF!</definedName>
    <definedName name="SP_ROZN" localSheetId="9">#REF!</definedName>
    <definedName name="SP_ROZN" localSheetId="4">#REF!</definedName>
    <definedName name="SP_ROZN">#REF!</definedName>
    <definedName name="SP_ROZN_ET">[10]TEHSHEET!#REF!</definedName>
    <definedName name="SP_SC_1" localSheetId="9">#REF!</definedName>
    <definedName name="SP_SC_1" localSheetId="4">#REF!</definedName>
    <definedName name="SP_SC_1">#REF!</definedName>
    <definedName name="SP_SC_2" localSheetId="9">#REF!</definedName>
    <definedName name="SP_SC_2" localSheetId="4">#REF!</definedName>
    <definedName name="SP_SC_2">#REF!</definedName>
    <definedName name="SP_SC_3" localSheetId="9">#REF!</definedName>
    <definedName name="SP_SC_3" localSheetId="4">#REF!</definedName>
    <definedName name="SP_SC_3">#REF!</definedName>
    <definedName name="SP_SC_4" localSheetId="9">#REF!</definedName>
    <definedName name="SP_SC_4" localSheetId="4">#REF!</definedName>
    <definedName name="SP_SC_4">#REF!</definedName>
    <definedName name="SP_SC_5" localSheetId="9">#REF!</definedName>
    <definedName name="SP_SC_5" localSheetId="4">#REF!</definedName>
    <definedName name="SP_SC_5">#REF!</definedName>
    <definedName name="SP_ST_OPT">[10]TEHSHEET!#REF!</definedName>
    <definedName name="SP_ST_ROZN">[10]TEHSHEET!#REF!</definedName>
    <definedName name="SPR_ET">[10]TEHSHEET!#REF!</definedName>
    <definedName name="SPR_GES_ET" localSheetId="9">#REF!</definedName>
    <definedName name="SPR_GES_ET" localSheetId="4">#REF!</definedName>
    <definedName name="SPR_GES_ET">#REF!</definedName>
    <definedName name="SPR_GRES_ET" localSheetId="9">#REF!</definedName>
    <definedName name="SPR_GRES_ET" localSheetId="4">#REF!</definedName>
    <definedName name="SPR_GRES_ET">#REF!</definedName>
    <definedName name="SPR_OTH_ET" localSheetId="9">#REF!</definedName>
    <definedName name="SPR_OTH_ET" localSheetId="4">#REF!</definedName>
    <definedName name="SPR_OTH_ET">#REF!</definedName>
    <definedName name="SPR_PROT" localSheetId="9">#REF!,#REF!</definedName>
    <definedName name="SPR_PROT" localSheetId="4">#REF!,#REF!</definedName>
    <definedName name="SPR_PROT">#REF!,#REF!</definedName>
    <definedName name="SPR_SCOPE" localSheetId="9">#REF!</definedName>
    <definedName name="SPR_SCOPE" localSheetId="4">#REF!</definedName>
    <definedName name="SPR_SCOPE">#REF!</definedName>
    <definedName name="SPR_TES_ET" localSheetId="9">#REF!</definedName>
    <definedName name="SPR_TES_ET" localSheetId="4">#REF!</definedName>
    <definedName name="SPR_TES_ET">#REF!</definedName>
    <definedName name="SPRAV_PROT">[35]Справочники!$E$6,[35]Справочники!$D$11:$D$902,[35]Справочники!$E$3</definedName>
    <definedName name="sq" localSheetId="9">#REF!</definedName>
    <definedName name="sq" localSheetId="4">#REF!</definedName>
    <definedName name="sq">#REF!</definedName>
    <definedName name="T0?axis?ПРД?БАЗ">'[26]0'!$I$7:$J$112,'[26]0'!$F$7:$G$112</definedName>
    <definedName name="T0?axis?ПРД?ПРЕД">'[26]0'!$K$7:$L$112,'[26]0'!$D$7:$E$112</definedName>
    <definedName name="T0?axis?ПРД?РЕГ" localSheetId="9">#REF!</definedName>
    <definedName name="T0?axis?ПРД?РЕГ" localSheetId="4">#REF!</definedName>
    <definedName name="T0?axis?ПРД?РЕГ">#REF!</definedName>
    <definedName name="T0?axis?ПФ?ПЛАН">'[26]0'!$I$7:$I$112,'[26]0'!$D$7:$D$112,'[26]0'!$K$7:$K$112,'[26]0'!$F$7:$F$112</definedName>
    <definedName name="T0?axis?ПФ?ФАКТ">'[26]0'!$J$7:$J$112,'[26]0'!$E$7:$E$112,'[26]0'!$L$7:$L$112,'[26]0'!$G$7:$G$112</definedName>
    <definedName name="T0?Data">'[26]0'!$D$8:$L$52,   '[26]0'!$D$54:$L$59,   '[26]0'!$D$63:$L$64,   '[26]0'!$D$68:$L$70,   '[26]0'!$D$72:$L$74,   '[26]0'!$D$77:$L$92,   '[26]0'!$D$95:$L$97,   '[26]0'!$D$99:$L$104,   '[26]0'!$D$107:$L$108,   '[26]0'!$D$111:$L$112</definedName>
    <definedName name="T0?item_ext?РОСТ" localSheetId="9">#REF!</definedName>
    <definedName name="T0?item_ext?РОСТ" localSheetId="4">#REF!</definedName>
    <definedName name="T0?item_ext?РОСТ">#REF!</definedName>
    <definedName name="T0?L0.1" localSheetId="9">#REF!</definedName>
    <definedName name="T0?L0.1" localSheetId="4">#REF!</definedName>
    <definedName name="T0?L0.1">#REF!</definedName>
    <definedName name="T0?L0.2" localSheetId="9">#REF!</definedName>
    <definedName name="T0?L0.2" localSheetId="4">#REF!</definedName>
    <definedName name="T0?L0.2">#REF!</definedName>
    <definedName name="T0?L1" localSheetId="9">#REF!</definedName>
    <definedName name="T0?L1" localSheetId="4">#REF!</definedName>
    <definedName name="T0?L1">#REF!</definedName>
    <definedName name="T0?L10" localSheetId="9">#REF!</definedName>
    <definedName name="T0?L10" localSheetId="4">#REF!</definedName>
    <definedName name="T0?L10">#REF!</definedName>
    <definedName name="T0?L10.1" localSheetId="9">#REF!</definedName>
    <definedName name="T0?L10.1" localSheetId="4">#REF!</definedName>
    <definedName name="T0?L10.1">#REF!</definedName>
    <definedName name="T0?L10.2" localSheetId="9">#REF!</definedName>
    <definedName name="T0?L10.2" localSheetId="4">#REF!</definedName>
    <definedName name="T0?L10.2">#REF!</definedName>
    <definedName name="T0?L10.3" localSheetId="9">#REF!</definedName>
    <definedName name="T0?L10.3" localSheetId="4">#REF!</definedName>
    <definedName name="T0?L10.3">#REF!</definedName>
    <definedName name="T0?L10.4" localSheetId="9">#REF!</definedName>
    <definedName name="T0?L10.4" localSheetId="4">#REF!</definedName>
    <definedName name="T0?L10.4">#REF!</definedName>
    <definedName name="T0?L10.5" localSheetId="9">#REF!</definedName>
    <definedName name="T0?L10.5" localSheetId="4">#REF!</definedName>
    <definedName name="T0?L10.5">#REF!</definedName>
    <definedName name="T0?L11" localSheetId="9">#REF!</definedName>
    <definedName name="T0?L11" localSheetId="4">#REF!</definedName>
    <definedName name="T0?L11">#REF!</definedName>
    <definedName name="T0?L12" localSheetId="9">#REF!</definedName>
    <definedName name="T0?L12" localSheetId="4">#REF!</definedName>
    <definedName name="T0?L12">#REF!</definedName>
    <definedName name="T0?L13" localSheetId="9">#REF!</definedName>
    <definedName name="T0?L13" localSheetId="4">#REF!</definedName>
    <definedName name="T0?L13">#REF!</definedName>
    <definedName name="T0?L13.1" localSheetId="9">#REF!</definedName>
    <definedName name="T0?L13.1" localSheetId="4">#REF!</definedName>
    <definedName name="T0?L13.1">#REF!</definedName>
    <definedName name="T0?L13.2" localSheetId="9">#REF!</definedName>
    <definedName name="T0?L13.2" localSheetId="4">#REF!</definedName>
    <definedName name="T0?L13.2">#REF!</definedName>
    <definedName name="T0?L14" localSheetId="9">#REF!</definedName>
    <definedName name="T0?L14" localSheetId="4">#REF!</definedName>
    <definedName name="T0?L14">#REF!</definedName>
    <definedName name="T0?L14.1" localSheetId="9">#REF!</definedName>
    <definedName name="T0?L14.1" localSheetId="4">#REF!</definedName>
    <definedName name="T0?L14.1">#REF!</definedName>
    <definedName name="T0?L14.2" localSheetId="9">#REF!</definedName>
    <definedName name="T0?L14.2" localSheetId="4">#REF!</definedName>
    <definedName name="T0?L14.2">#REF!</definedName>
    <definedName name="T0?L15" localSheetId="9">#REF!</definedName>
    <definedName name="T0?L15" localSheetId="4">#REF!</definedName>
    <definedName name="T0?L15">#REF!</definedName>
    <definedName name="T0?L15.1" localSheetId="9">#REF!</definedName>
    <definedName name="T0?L15.1" localSheetId="4">#REF!</definedName>
    <definedName name="T0?L15.1">#REF!</definedName>
    <definedName name="T0?L15.2" localSheetId="9">#REF!</definedName>
    <definedName name="T0?L15.2" localSheetId="4">#REF!</definedName>
    <definedName name="T0?L15.2">#REF!</definedName>
    <definedName name="T0?L15.2.1" localSheetId="9">#REF!</definedName>
    <definedName name="T0?L15.2.1" localSheetId="4">#REF!</definedName>
    <definedName name="T0?L15.2.1">#REF!</definedName>
    <definedName name="T0?L15.2.2" localSheetId="9">#REF!</definedName>
    <definedName name="T0?L15.2.2" localSheetId="4">#REF!</definedName>
    <definedName name="T0?L15.2.2">#REF!</definedName>
    <definedName name="T0?L16" localSheetId="9">#REF!</definedName>
    <definedName name="T0?L16" localSheetId="4">#REF!</definedName>
    <definedName name="T0?L16">#REF!</definedName>
    <definedName name="T0?L17" localSheetId="9">#REF!</definedName>
    <definedName name="T0?L17" localSheetId="4">#REF!</definedName>
    <definedName name="T0?L17">#REF!</definedName>
    <definedName name="T0?L17.1" localSheetId="9">#REF!</definedName>
    <definedName name="T0?L17.1" localSheetId="4">#REF!</definedName>
    <definedName name="T0?L17.1">#REF!</definedName>
    <definedName name="T0?L18" localSheetId="9">#REF!</definedName>
    <definedName name="T0?L18" localSheetId="4">#REF!</definedName>
    <definedName name="T0?L18">#REF!</definedName>
    <definedName name="T0?L19" localSheetId="9">#REF!</definedName>
    <definedName name="T0?L19" localSheetId="4">#REF!</definedName>
    <definedName name="T0?L19">#REF!</definedName>
    <definedName name="T0?L2" localSheetId="9">#REF!</definedName>
    <definedName name="T0?L2" localSheetId="4">#REF!</definedName>
    <definedName name="T0?L2">#REF!</definedName>
    <definedName name="T0?L20" localSheetId="9">#REF!</definedName>
    <definedName name="T0?L20" localSheetId="4">#REF!</definedName>
    <definedName name="T0?L20">#REF!</definedName>
    <definedName name="T0?L21" localSheetId="9">#REF!</definedName>
    <definedName name="T0?L21" localSheetId="4">#REF!</definedName>
    <definedName name="T0?L21">#REF!</definedName>
    <definedName name="T0?L22" localSheetId="9">#REF!</definedName>
    <definedName name="T0?L22" localSheetId="4">#REF!</definedName>
    <definedName name="T0?L22">#REF!</definedName>
    <definedName name="T0?L22.1" localSheetId="9">#REF!</definedName>
    <definedName name="T0?L22.1" localSheetId="4">#REF!</definedName>
    <definedName name="T0?L22.1">#REF!</definedName>
    <definedName name="T0?L22.2" localSheetId="9">#REF!</definedName>
    <definedName name="T0?L22.2" localSheetId="4">#REF!</definedName>
    <definedName name="T0?L22.2">#REF!</definedName>
    <definedName name="T0?L23" localSheetId="9">#REF!</definedName>
    <definedName name="T0?L23" localSheetId="4">#REF!</definedName>
    <definedName name="T0?L23">#REF!</definedName>
    <definedName name="T0?L24" localSheetId="9">#REF!</definedName>
    <definedName name="T0?L24" localSheetId="4">#REF!</definedName>
    <definedName name="T0?L24">#REF!</definedName>
    <definedName name="T0?L24.1" localSheetId="9">#REF!</definedName>
    <definedName name="T0?L24.1" localSheetId="4">#REF!</definedName>
    <definedName name="T0?L24.1">#REF!</definedName>
    <definedName name="T0?L24.2" localSheetId="9">#REF!</definedName>
    <definedName name="T0?L24.2" localSheetId="4">#REF!</definedName>
    <definedName name="T0?L24.2">#REF!</definedName>
    <definedName name="T0?L25" localSheetId="9">#REF!</definedName>
    <definedName name="T0?L25" localSheetId="4">#REF!</definedName>
    <definedName name="T0?L25">#REF!</definedName>
    <definedName name="T0?L25.1" localSheetId="9">#REF!</definedName>
    <definedName name="T0?L25.1" localSheetId="4">#REF!</definedName>
    <definedName name="T0?L25.1">#REF!</definedName>
    <definedName name="T0?L25.1.1" localSheetId="9">#REF!</definedName>
    <definedName name="T0?L25.1.1" localSheetId="4">#REF!</definedName>
    <definedName name="T0?L25.1.1">#REF!</definedName>
    <definedName name="T0?L25.1.2" localSheetId="9">#REF!</definedName>
    <definedName name="T0?L25.1.2" localSheetId="4">#REF!</definedName>
    <definedName name="T0?L25.1.2">#REF!</definedName>
    <definedName name="T0?L25.2" localSheetId="9">#REF!</definedName>
    <definedName name="T0?L25.2" localSheetId="4">#REF!</definedName>
    <definedName name="T0?L25.2">#REF!</definedName>
    <definedName name="T0?L25.3" localSheetId="9">#REF!</definedName>
    <definedName name="T0?L25.3" localSheetId="4">#REF!</definedName>
    <definedName name="T0?L25.3">#REF!</definedName>
    <definedName name="T0?L26.1" localSheetId="9">#REF!</definedName>
    <definedName name="T0?L26.1" localSheetId="4">#REF!</definedName>
    <definedName name="T0?L26.1">#REF!</definedName>
    <definedName name="T0?L26.2" localSheetId="9">#REF!</definedName>
    <definedName name="T0?L26.2" localSheetId="4">#REF!</definedName>
    <definedName name="T0?L26.2">#REF!</definedName>
    <definedName name="T0?L27.1" localSheetId="9">#REF!</definedName>
    <definedName name="T0?L27.1" localSheetId="4">#REF!</definedName>
    <definedName name="T0?L27.1">#REF!</definedName>
    <definedName name="T0?L27.2" localSheetId="9">#REF!</definedName>
    <definedName name="T0?L27.2" localSheetId="4">#REF!</definedName>
    <definedName name="T0?L27.2">#REF!</definedName>
    <definedName name="T0?L3" localSheetId="9">#REF!</definedName>
    <definedName name="T0?L3" localSheetId="4">#REF!</definedName>
    <definedName name="T0?L3">#REF!</definedName>
    <definedName name="T0?L4" localSheetId="9">#REF!</definedName>
    <definedName name="T0?L4" localSheetId="4">#REF!</definedName>
    <definedName name="T0?L4">#REF!</definedName>
    <definedName name="T0?L5" localSheetId="9">#REF!</definedName>
    <definedName name="T0?L5" localSheetId="4">#REF!</definedName>
    <definedName name="T0?L5">#REF!</definedName>
    <definedName name="T0?L6" localSheetId="9">#REF!</definedName>
    <definedName name="T0?L6" localSheetId="4">#REF!</definedName>
    <definedName name="T0?L6">#REF!</definedName>
    <definedName name="T0?L7" localSheetId="9">#REF!</definedName>
    <definedName name="T0?L7" localSheetId="4">#REF!</definedName>
    <definedName name="T0?L7">#REF!</definedName>
    <definedName name="T0?L7.1" localSheetId="9">#REF!</definedName>
    <definedName name="T0?L7.1" localSheetId="4">#REF!</definedName>
    <definedName name="T0?L7.1">#REF!</definedName>
    <definedName name="T0?L7.1.2" localSheetId="9">#REF!</definedName>
    <definedName name="T0?L7.1.2" localSheetId="4">#REF!</definedName>
    <definedName name="T0?L7.1.2">#REF!</definedName>
    <definedName name="T0?L7.1.3" localSheetId="9">#REF!</definedName>
    <definedName name="T0?L7.1.3" localSheetId="4">#REF!</definedName>
    <definedName name="T0?L7.1.3">#REF!</definedName>
    <definedName name="T0?L7.2" localSheetId="9">#REF!</definedName>
    <definedName name="T0?L7.2" localSheetId="4">#REF!</definedName>
    <definedName name="T0?L7.2">#REF!</definedName>
    <definedName name="T0?L7.3" localSheetId="9">#REF!</definedName>
    <definedName name="T0?L7.3" localSheetId="4">#REF!</definedName>
    <definedName name="T0?L7.3">#REF!</definedName>
    <definedName name="T0?L7.4" localSheetId="9">#REF!</definedName>
    <definedName name="T0?L7.4" localSheetId="4">#REF!</definedName>
    <definedName name="T0?L7.4">#REF!</definedName>
    <definedName name="T0?L7.5" localSheetId="9">#REF!</definedName>
    <definedName name="T0?L7.5" localSheetId="4">#REF!</definedName>
    <definedName name="T0?L7.5">#REF!</definedName>
    <definedName name="T0?L7.6" localSheetId="9">#REF!</definedName>
    <definedName name="T0?L7.6" localSheetId="4">#REF!</definedName>
    <definedName name="T0?L7.6">#REF!</definedName>
    <definedName name="T0?L7.7" localSheetId="9">#REF!</definedName>
    <definedName name="T0?L7.7" localSheetId="4">#REF!</definedName>
    <definedName name="T0?L7.7">#REF!</definedName>
    <definedName name="T0?L7.7.1" localSheetId="9">#REF!</definedName>
    <definedName name="T0?L7.7.1" localSheetId="4">#REF!</definedName>
    <definedName name="T0?L7.7.1">#REF!</definedName>
    <definedName name="T0?L7.7.10" localSheetId="9">#REF!</definedName>
    <definedName name="T0?L7.7.10" localSheetId="4">#REF!</definedName>
    <definedName name="T0?L7.7.10">#REF!</definedName>
    <definedName name="T0?L7.7.11" localSheetId="9">#REF!</definedName>
    <definedName name="T0?L7.7.11" localSheetId="4">#REF!</definedName>
    <definedName name="T0?L7.7.11">#REF!</definedName>
    <definedName name="T0?L7.7.12" localSheetId="9">#REF!</definedName>
    <definedName name="T0?L7.7.12" localSheetId="4">#REF!</definedName>
    <definedName name="T0?L7.7.12">#REF!</definedName>
    <definedName name="T0?L7.7.2" localSheetId="9">#REF!</definedName>
    <definedName name="T0?L7.7.2" localSheetId="4">#REF!</definedName>
    <definedName name="T0?L7.7.2">#REF!</definedName>
    <definedName name="T0?L7.7.3" localSheetId="9">#REF!</definedName>
    <definedName name="T0?L7.7.3" localSheetId="4">#REF!</definedName>
    <definedName name="T0?L7.7.3">#REF!</definedName>
    <definedName name="T0?L7.7.4" localSheetId="9">#REF!</definedName>
    <definedName name="T0?L7.7.4" localSheetId="4">#REF!</definedName>
    <definedName name="T0?L7.7.4">#REF!</definedName>
    <definedName name="T0?L7.7.4.1" localSheetId="9">#REF!</definedName>
    <definedName name="T0?L7.7.4.1" localSheetId="4">#REF!</definedName>
    <definedName name="T0?L7.7.4.1">#REF!</definedName>
    <definedName name="T0?L7.7.4.3" localSheetId="9">#REF!</definedName>
    <definedName name="T0?L7.7.4.3" localSheetId="4">#REF!</definedName>
    <definedName name="T0?L7.7.4.3">#REF!</definedName>
    <definedName name="T0?L7.7.4.4" localSheetId="9">#REF!</definedName>
    <definedName name="T0?L7.7.4.4" localSheetId="4">#REF!</definedName>
    <definedName name="T0?L7.7.4.4">#REF!</definedName>
    <definedName name="T0?L7.7.4.5" localSheetId="9">#REF!</definedName>
    <definedName name="T0?L7.7.4.5" localSheetId="4">#REF!</definedName>
    <definedName name="T0?L7.7.4.5">#REF!</definedName>
    <definedName name="T0?L7.7.5" localSheetId="9">#REF!</definedName>
    <definedName name="T0?L7.7.5" localSheetId="4">#REF!</definedName>
    <definedName name="T0?L7.7.5">#REF!</definedName>
    <definedName name="T0?L7.7.6" localSheetId="9">#REF!</definedName>
    <definedName name="T0?L7.7.6" localSheetId="4">#REF!</definedName>
    <definedName name="T0?L7.7.6">#REF!</definedName>
    <definedName name="T0?L7.7.7" localSheetId="9">#REF!</definedName>
    <definedName name="T0?L7.7.7" localSheetId="4">#REF!</definedName>
    <definedName name="T0?L7.7.7">#REF!</definedName>
    <definedName name="T0?L7.7.8" localSheetId="9">#REF!</definedName>
    <definedName name="T0?L7.7.8" localSheetId="4">#REF!</definedName>
    <definedName name="T0?L7.7.8">#REF!</definedName>
    <definedName name="T0?L7.7.9" localSheetId="9">#REF!</definedName>
    <definedName name="T0?L7.7.9" localSheetId="4">#REF!</definedName>
    <definedName name="T0?L7.7.9">#REF!</definedName>
    <definedName name="T0?L8" localSheetId="9">#REF!</definedName>
    <definedName name="T0?L8" localSheetId="4">#REF!</definedName>
    <definedName name="T0?L8">#REF!</definedName>
    <definedName name="T0?L8.1" localSheetId="9">#REF!</definedName>
    <definedName name="T0?L8.1" localSheetId="4">#REF!</definedName>
    <definedName name="T0?L8.1">#REF!</definedName>
    <definedName name="T0?L8.2" localSheetId="9">#REF!</definedName>
    <definedName name="T0?L8.2" localSheetId="4">#REF!</definedName>
    <definedName name="T0?L8.2">#REF!</definedName>
    <definedName name="T0?L8.3" localSheetId="9">#REF!</definedName>
    <definedName name="T0?L8.3" localSheetId="4">#REF!</definedName>
    <definedName name="T0?L8.3">#REF!</definedName>
    <definedName name="T0?L8.4" localSheetId="9">#REF!</definedName>
    <definedName name="T0?L8.4" localSheetId="4">#REF!</definedName>
    <definedName name="T0?L8.4">#REF!</definedName>
    <definedName name="T0?L8.5" localSheetId="9">#REF!</definedName>
    <definedName name="T0?L8.5" localSheetId="4">#REF!</definedName>
    <definedName name="T0?L8.5">#REF!</definedName>
    <definedName name="T0?L8.6" localSheetId="9">#REF!</definedName>
    <definedName name="T0?L8.6" localSheetId="4">#REF!</definedName>
    <definedName name="T0?L8.6">#REF!</definedName>
    <definedName name="T0?L9" localSheetId="9">#REF!</definedName>
    <definedName name="T0?L9" localSheetId="4">#REF!</definedName>
    <definedName name="T0?L9">#REF!</definedName>
    <definedName name="T0?L9.1" localSheetId="9">#REF!</definedName>
    <definedName name="T0?L9.1" localSheetId="4">#REF!</definedName>
    <definedName name="T0?L9.1">#REF!</definedName>
    <definedName name="T0?L9.2" localSheetId="9">#REF!</definedName>
    <definedName name="T0?L9.2" localSheetId="4">#REF!</definedName>
    <definedName name="T0?L9.2">#REF!</definedName>
    <definedName name="T0?L9.3" localSheetId="9">#REF!</definedName>
    <definedName name="T0?L9.3" localSheetId="4">#REF!</definedName>
    <definedName name="T0?L9.3">#REF!</definedName>
    <definedName name="T0?L9.3.1" localSheetId="9">#REF!</definedName>
    <definedName name="T0?L9.3.1" localSheetId="4">#REF!</definedName>
    <definedName name="T0?L9.3.1">#REF!</definedName>
    <definedName name="T0?L9.3.2" localSheetId="9">#REF!</definedName>
    <definedName name="T0?L9.3.2" localSheetId="4">#REF!</definedName>
    <definedName name="T0?L9.3.2">#REF!</definedName>
    <definedName name="T0?Name" localSheetId="9">#REF!</definedName>
    <definedName name="T0?Name" localSheetId="4">#REF!</definedName>
    <definedName name="T0?Name">#REF!</definedName>
    <definedName name="T0?Table" localSheetId="9">#REF!</definedName>
    <definedName name="T0?Table" localSheetId="4">#REF!</definedName>
    <definedName name="T0?Table">#REF!</definedName>
    <definedName name="T0?Title" localSheetId="9">#REF!</definedName>
    <definedName name="T0?Title" localSheetId="4">#REF!</definedName>
    <definedName name="T0?Title">#REF!</definedName>
    <definedName name="T0?unit?МВТ">'[26]0'!$D$8:$H$8,   '[26]0'!$D$86:$H$86</definedName>
    <definedName name="T0?unit?МКВТЧ" localSheetId="9">#REF!</definedName>
    <definedName name="T0?unit?МКВТЧ" localSheetId="4">#REF!</definedName>
    <definedName name="T0?unit?МКВТЧ">#REF!</definedName>
    <definedName name="T0?unit?ПРЦ">'[26]0'!$D$87:$H$88,   '[26]0'!$D$96:$H$97,   '[26]0'!$D$107:$H$108,   '[26]0'!$D$111:$H$112,   '[26]0'!$I$7:$L$112</definedName>
    <definedName name="T0?unit?РУБ.ГКАЛ">'[26]0'!$D$89:$H$89,   '[26]0'!$D$92:$H$92</definedName>
    <definedName name="T0?unit?РУБ.МВТ.МЕС" localSheetId="9">#REF!</definedName>
    <definedName name="T0?unit?РУБ.МВТ.МЕС" localSheetId="4">#REF!</definedName>
    <definedName name="T0?unit?РУБ.МВТ.МЕС">#REF!</definedName>
    <definedName name="T0?unit?РУБ.ТКВТЧ" localSheetId="9">#REF!</definedName>
    <definedName name="T0?unit?РУБ.ТКВТЧ" localSheetId="4">#REF!</definedName>
    <definedName name="T0?unit?РУБ.ТКВТЧ">#REF!</definedName>
    <definedName name="T0?unit?ТГКАЛ" localSheetId="9">#REF!</definedName>
    <definedName name="T0?unit?ТГКАЛ" localSheetId="4">#REF!</definedName>
    <definedName name="T0?unit?ТГКАЛ">#REF!</definedName>
    <definedName name="T0?unit?ТРУБ">'[26]0'!$D$14:$H$52,   '[26]0'!$D$54:$H$59,   '[26]0'!$D$63:$H$64,   '[26]0'!$D$68:$H$70,   '[26]0'!$D$72:$H$74,   '[26]0'!$D$77:$H$77,   '[26]0'!$D$79:$H$81,   '[26]0'!$D$90:$H$91,   '[26]0'!$D$99:$H$104,   '[26]0'!$D$78:$H$78</definedName>
    <definedName name="T1?axis?ПРД?БАЗ">'[26]1'!$I$6:$J$23,'[26]1'!$F$6:$G$23</definedName>
    <definedName name="T1?axis?ПРД?ПРЕД">'[26]1'!$K$6:$L$23,'[26]1'!$D$6:$E$23</definedName>
    <definedName name="T1?axis?ПРД?РЕГ" localSheetId="9">#REF!</definedName>
    <definedName name="T1?axis?ПРД?РЕГ" localSheetId="4">#REF!</definedName>
    <definedName name="T1?axis?ПРД?РЕГ">#REF!</definedName>
    <definedName name="T1?axis?ПФ?ПЛАН">'[26]1'!$I$6:$I$23,'[26]1'!$D$6:$D$23,'[26]1'!$K$6:$K$23,'[26]1'!$F$6:$F$23</definedName>
    <definedName name="T1?axis?ПФ?ФАКТ">'[26]1'!$J$6:$J$23,'[26]1'!$E$6:$E$23,'[26]1'!$L$6:$L$23,'[26]1'!$G$6:$G$23</definedName>
    <definedName name="T1?Columns" localSheetId="9">#REF!</definedName>
    <definedName name="T1?Columns" localSheetId="4">#REF!</definedName>
    <definedName name="T1?Columns">#REF!</definedName>
    <definedName name="T1?Data">'[26]1'!$D$6:$L$12,   '[26]1'!$D$14:$L$18,   '[26]1'!$D$20:$L$23</definedName>
    <definedName name="T1?item_ext?РОСТ" localSheetId="9">#REF!</definedName>
    <definedName name="T1?item_ext?РОСТ" localSheetId="4">#REF!</definedName>
    <definedName name="T1?item_ext?РОСТ">#REF!</definedName>
    <definedName name="T1?L1" localSheetId="9">#REF!</definedName>
    <definedName name="T1?L1" localSheetId="4">#REF!</definedName>
    <definedName name="T1?L1">#REF!</definedName>
    <definedName name="T1?L2" localSheetId="9">#REF!</definedName>
    <definedName name="T1?L2" localSheetId="4">#REF!</definedName>
    <definedName name="T1?L2">#REF!</definedName>
    <definedName name="T1?L3" localSheetId="9">#REF!</definedName>
    <definedName name="T1?L3" localSheetId="4">#REF!</definedName>
    <definedName name="T1?L3">#REF!</definedName>
    <definedName name="T1?L4" localSheetId="9">#REF!</definedName>
    <definedName name="T1?L4" localSheetId="4">#REF!</definedName>
    <definedName name="T1?L4">#REF!</definedName>
    <definedName name="T1?L5" localSheetId="9">#REF!</definedName>
    <definedName name="T1?L5" localSheetId="4">#REF!</definedName>
    <definedName name="T1?L5">#REF!</definedName>
    <definedName name="T1?L6" localSheetId="9">#REF!</definedName>
    <definedName name="T1?L6" localSheetId="4">#REF!</definedName>
    <definedName name="T1?L6">#REF!</definedName>
    <definedName name="T1?L7" localSheetId="9">#REF!</definedName>
    <definedName name="T1?L7" localSheetId="4">#REF!</definedName>
    <definedName name="T1?L7">#REF!</definedName>
    <definedName name="T1?L7.1" localSheetId="9">#REF!</definedName>
    <definedName name="T1?L7.1" localSheetId="4">#REF!</definedName>
    <definedName name="T1?L7.1">#REF!</definedName>
    <definedName name="T1?L7.2" localSheetId="9">#REF!</definedName>
    <definedName name="T1?L7.2" localSheetId="4">#REF!</definedName>
    <definedName name="T1?L7.2">#REF!</definedName>
    <definedName name="T1?L7.3" localSheetId="9">#REF!</definedName>
    <definedName name="T1?L7.3" localSheetId="4">#REF!</definedName>
    <definedName name="T1?L7.3">#REF!</definedName>
    <definedName name="T1?L7.4" localSheetId="9">#REF!</definedName>
    <definedName name="T1?L7.4" localSheetId="4">#REF!</definedName>
    <definedName name="T1?L7.4">#REF!</definedName>
    <definedName name="T1?L8" localSheetId="9">#REF!</definedName>
    <definedName name="T1?L8" localSheetId="4">#REF!</definedName>
    <definedName name="T1?L8">#REF!</definedName>
    <definedName name="T1?L8.1" localSheetId="9">#REF!</definedName>
    <definedName name="T1?L8.1" localSheetId="4">#REF!</definedName>
    <definedName name="T1?L8.1">#REF!</definedName>
    <definedName name="T1?L8.2" localSheetId="9">#REF!</definedName>
    <definedName name="T1?L8.2" localSheetId="4">#REF!</definedName>
    <definedName name="T1?L8.2">#REF!</definedName>
    <definedName name="T1?L8.3" localSheetId="9">#REF!</definedName>
    <definedName name="T1?L8.3" localSheetId="4">#REF!</definedName>
    <definedName name="T1?L8.3">#REF!</definedName>
    <definedName name="T1?L9" localSheetId="9">#REF!</definedName>
    <definedName name="T1?L9" localSheetId="4">#REF!</definedName>
    <definedName name="T1?L9">#REF!</definedName>
    <definedName name="T1?Name" localSheetId="9">#REF!</definedName>
    <definedName name="T1?Name" localSheetId="4">#REF!</definedName>
    <definedName name="T1?Name">#REF!</definedName>
    <definedName name="T1?Scope" localSheetId="9">#REF!</definedName>
    <definedName name="T1?Scope" localSheetId="4">#REF!</definedName>
    <definedName name="T1?Scope">#REF!</definedName>
    <definedName name="T1?Table" localSheetId="9">#REF!</definedName>
    <definedName name="T1?Table" localSheetId="4">#REF!</definedName>
    <definedName name="T1?Table">#REF!</definedName>
    <definedName name="T1?Title" localSheetId="9">#REF!</definedName>
    <definedName name="T1?Title" localSheetId="4">#REF!</definedName>
    <definedName name="T1?Title">#REF!</definedName>
    <definedName name="T1?unit?МВТ" localSheetId="9">#REF!</definedName>
    <definedName name="T1?unit?МВТ" localSheetId="4">#REF!</definedName>
    <definedName name="T1?unit?МВТ">#REF!</definedName>
    <definedName name="T1?unit?ПРЦ" localSheetId="9">#REF!</definedName>
    <definedName name="T1?unit?ПРЦ" localSheetId="4">#REF!</definedName>
    <definedName name="T1?unit?ПРЦ">#REF!</definedName>
    <definedName name="T1_" localSheetId="9">#REF!</definedName>
    <definedName name="T1_" localSheetId="4">#REF!</definedName>
    <definedName name="T1_">#REF!</definedName>
    <definedName name="T1_Protect" localSheetId="9">'1. подк.неподк. факт'!P15_T1_Protect,'1. подк.неподк. факт'!P16_T1_Protect,'1. подк.неподк. факт'!P17_T1_Protect,'1. подк.неподк. факт'!P18_T1_Protect,'1. подк.неподк. факт'!P19_T1_Protect</definedName>
    <definedName name="T1_Protect" localSheetId="4">'5. подк.неподк.план'!P15_T1_Protect,'5. подк.неподк.план'!P16_T1_Protect,'5. подк.неподк.план'!P17_T1_Protect,'5. подк.неподк.план'!P18_T1_Protect,'5. подк.неподк.план'!P19_T1_Protect</definedName>
    <definedName name="T1_Protect">P15_T1_Protect,P16_T1_Protect,P17_T1_Protect,P18_T1_Protect,P19_T1_Protect</definedName>
    <definedName name="T10?axis?R?ДОГОВОР">'[26]10'!$D$9:$L$11, '[26]10'!$D$15:$L$17, '[26]10'!$D$21:$L$23, '[26]10'!$D$27:$L$29</definedName>
    <definedName name="T10?axis?R?ДОГОВОР?">'[26]10'!$B$9:$B$11, '[26]10'!$B$15:$B$17, '[26]10'!$B$21:$B$23, '[26]10'!$B$27:$B$29</definedName>
    <definedName name="T10?axis?ПРД?БАЗ">'[26]10'!$I$6:$J$31,'[26]10'!$F$6:$G$31</definedName>
    <definedName name="T10?axis?ПРД?ПРЕД">'[26]10'!$K$6:$L$31,'[26]10'!$D$6:$E$31</definedName>
    <definedName name="T10?axis?ПРД?РЕГ" localSheetId="9">#REF!</definedName>
    <definedName name="T10?axis?ПРД?РЕГ" localSheetId="4">#REF!</definedName>
    <definedName name="T10?axis?ПРД?РЕГ">#REF!</definedName>
    <definedName name="T10?axis?ПФ?ПЛАН">'[26]10'!$I$6:$I$31,'[26]10'!$D$6:$D$31,'[26]10'!$K$6:$K$31,'[26]10'!$F$6:$F$31</definedName>
    <definedName name="T10?axis?ПФ?ФАКТ">'[26]10'!$J$6:$J$31,'[26]10'!$E$6:$E$31,'[26]10'!$L$6:$L$31,'[26]10'!$G$6:$G$31</definedName>
    <definedName name="T10?Data">'[26]10'!$D$6:$L$7, '[26]10'!$D$9:$L$11, '[26]10'!$D$13:$L$13, '[26]10'!$D$15:$L$17, '[26]10'!$D$19:$L$19, '[26]10'!$D$21:$L$23, '[26]10'!$D$25:$L$25, '[26]10'!$D$27:$L$29, '[26]10'!$D$31:$L$31</definedName>
    <definedName name="T10?item_ext?РОСТ" localSheetId="9">#REF!</definedName>
    <definedName name="T10?item_ext?РОСТ" localSheetId="4">#REF!</definedName>
    <definedName name="T10?item_ext?РОСТ">#REF!</definedName>
    <definedName name="T10?L1" localSheetId="9">#REF!</definedName>
    <definedName name="T10?L1" localSheetId="4">#REF!</definedName>
    <definedName name="T10?L1">#REF!</definedName>
    <definedName name="T10?L1.1" localSheetId="9">#REF!</definedName>
    <definedName name="T10?L1.1" localSheetId="4">#REF!</definedName>
    <definedName name="T10?L1.1">#REF!</definedName>
    <definedName name="T10?L1.1.x" localSheetId="9">#REF!</definedName>
    <definedName name="T10?L1.1.x" localSheetId="4">#REF!</definedName>
    <definedName name="T10?L1.1.x">#REF!</definedName>
    <definedName name="T10?L1.2" localSheetId="9">#REF!</definedName>
    <definedName name="T10?L1.2" localSheetId="4">#REF!</definedName>
    <definedName name="T10?L1.2">#REF!</definedName>
    <definedName name="T10?L1.2.x" localSheetId="9">#REF!</definedName>
    <definedName name="T10?L1.2.x" localSheetId="4">#REF!</definedName>
    <definedName name="T10?L1.2.x">#REF!</definedName>
    <definedName name="T10?L2" localSheetId="9">#REF!</definedName>
    <definedName name="T10?L2" localSheetId="4">#REF!</definedName>
    <definedName name="T10?L2">#REF!</definedName>
    <definedName name="T10?L2.x" localSheetId="9">#REF!</definedName>
    <definedName name="T10?L2.x" localSheetId="4">#REF!</definedName>
    <definedName name="T10?L2.x">#REF!</definedName>
    <definedName name="T10?L3" localSheetId="9">#REF!</definedName>
    <definedName name="T10?L3" localSheetId="4">#REF!</definedName>
    <definedName name="T10?L3">#REF!</definedName>
    <definedName name="T10?L3.x" localSheetId="9">#REF!</definedName>
    <definedName name="T10?L3.x" localSheetId="4">#REF!</definedName>
    <definedName name="T10?L3.x">#REF!</definedName>
    <definedName name="T10?L4" localSheetId="9">#REF!</definedName>
    <definedName name="T10?L4" localSheetId="4">#REF!</definedName>
    <definedName name="T10?L4">#REF!</definedName>
    <definedName name="T10?Name" localSheetId="9">#REF!</definedName>
    <definedName name="T10?Name" localSheetId="4">#REF!</definedName>
    <definedName name="T10?Name">#REF!</definedName>
    <definedName name="T10?Table" localSheetId="9">#REF!</definedName>
    <definedName name="T10?Table" localSheetId="4">#REF!</definedName>
    <definedName name="T10?Table">#REF!</definedName>
    <definedName name="T10?Title" localSheetId="9">#REF!</definedName>
    <definedName name="T10?Title" localSheetId="4">#REF!</definedName>
    <definedName name="T10?Title">#REF!</definedName>
    <definedName name="T10?unit?ПРЦ" localSheetId="9">#REF!</definedName>
    <definedName name="T10?unit?ПРЦ" localSheetId="4">#REF!</definedName>
    <definedName name="T10?unit?ПРЦ">#REF!</definedName>
    <definedName name="T10?unit?ТРУБ" localSheetId="9">#REF!</definedName>
    <definedName name="T10?unit?ТРУБ" localSheetId="4">#REF!</definedName>
    <definedName name="T10?unit?ТРУБ">#REF!</definedName>
    <definedName name="T10_Copy1" localSheetId="9">#REF!</definedName>
    <definedName name="T10_Copy1" localSheetId="4">#REF!</definedName>
    <definedName name="T10_Copy1">#REF!</definedName>
    <definedName name="T10_Copy2" localSheetId="9">#REF!</definedName>
    <definedName name="T10_Copy2" localSheetId="4">#REF!</definedName>
    <definedName name="T10_Copy2">#REF!</definedName>
    <definedName name="T10_Copy3" localSheetId="9">#REF!</definedName>
    <definedName name="T10_Copy3" localSheetId="4">#REF!</definedName>
    <definedName name="T10_Copy3">#REF!</definedName>
    <definedName name="T10_Copy4" localSheetId="9">#REF!</definedName>
    <definedName name="T10_Copy4" localSheetId="4">#REF!</definedName>
    <definedName name="T10_Copy4">#REF!</definedName>
    <definedName name="T10_ET">[10]TEHSHEET!#REF!</definedName>
    <definedName name="T10_OPT" localSheetId="9">#REF!</definedName>
    <definedName name="T10_OPT" localSheetId="4">#REF!</definedName>
    <definedName name="T10_OPT">#REF!</definedName>
    <definedName name="T10_ROZN" localSheetId="9">#REF!</definedName>
    <definedName name="T10_ROZN" localSheetId="4">#REF!</definedName>
    <definedName name="T10_ROZN">#REF!</definedName>
    <definedName name="T11?axis?R?ДОГОВОР">'[26]11'!$D$8:$L$11, '[26]11'!$D$15:$L$18, '[26]11'!$D$22:$L$23, '[26]11'!$D$29:$L$32, '[26]11'!$D$36:$L$39, '[26]11'!$D$43:$L$46, '[26]11'!$D$51:$L$54, '[26]11'!$D$58:$L$61, '[26]11'!$D$65:$L$68, '[26]11'!$D$72:$L$82</definedName>
    <definedName name="T11?axis?R?ДОГОВОР?">'[26]11'!$B$72:$B$82, '[26]11'!$B$65:$B$68, '[26]11'!$B$58:$B$61, '[26]11'!$B$51:$B$54, '[26]11'!$B$43:$B$46, '[26]11'!$B$36:$B$39, '[26]11'!$B$29:$B$33, '[26]11'!$B$22:$B$25, '[26]11'!$B$15:$B$18, '[26]11'!$B$8:$B$11</definedName>
    <definedName name="T11?axis?ПРД?БАЗ">'[26]11'!$I$6:$J$84,'[26]11'!$F$6:$G$84</definedName>
    <definedName name="T11?axis?ПРД?ПРЕД">'[26]11'!$K$6:$L$84,'[26]11'!$D$6:$E$84</definedName>
    <definedName name="T11?axis?ПРД?РЕГ" localSheetId="9">'[37]услуги непроизводств.'!#REF!</definedName>
    <definedName name="T11?axis?ПРД?РЕГ" localSheetId="4">'[37]услуги непроизводств.'!#REF!</definedName>
    <definedName name="T11?axis?ПРД?РЕГ">'[37]услуги непроизводств.'!#REF!</definedName>
    <definedName name="T11?axis?ПФ?ПЛАН">'[26]11'!$I$6:$I$84,'[26]11'!$D$6:$D$84,'[26]11'!$K$6:$K$84,'[26]11'!$F$6:$F$84</definedName>
    <definedName name="T11?axis?ПФ?ФАКТ">'[26]11'!$J$6:$J$84,'[26]11'!$E$6:$E$84,'[26]11'!$L$6:$L$84,'[26]11'!$G$6:$G$84</definedName>
    <definedName name="T11?Data">#N/A</definedName>
    <definedName name="T11?Name" localSheetId="9">'[37]услуги непроизводств.'!#REF!</definedName>
    <definedName name="T11?Name" localSheetId="4">'[37]услуги непроизводств.'!#REF!</definedName>
    <definedName name="T11?Name">'[37]услуги непроизводств.'!#REF!</definedName>
    <definedName name="T11_Copy1" localSheetId="9">'[37]услуги непроизводств.'!#REF!</definedName>
    <definedName name="T11_Copy1" localSheetId="4">'[37]услуги непроизводств.'!#REF!</definedName>
    <definedName name="T11_Copy1">'[37]услуги непроизводств.'!#REF!</definedName>
    <definedName name="T11_Copy2" localSheetId="9">'[37]услуги непроизводств.'!#REF!</definedName>
    <definedName name="T11_Copy2" localSheetId="4">'[37]услуги непроизводств.'!#REF!</definedName>
    <definedName name="T11_Copy2">'[37]услуги непроизводств.'!#REF!</definedName>
    <definedName name="T11_Copy3" localSheetId="9">'[37]услуги непроизводств.'!#REF!</definedName>
    <definedName name="T11_Copy3" localSheetId="4">'[37]услуги непроизводств.'!#REF!</definedName>
    <definedName name="T11_Copy3">'[37]услуги непроизводств.'!#REF!</definedName>
    <definedName name="T11_Copy4" localSheetId="9">'[37]услуги непроизводств.'!#REF!</definedName>
    <definedName name="T11_Copy4" localSheetId="4">'[37]услуги непроизводств.'!#REF!</definedName>
    <definedName name="T11_Copy4">'[37]услуги непроизводств.'!#REF!</definedName>
    <definedName name="T11_Copy5" localSheetId="9">'[37]услуги непроизводств.'!#REF!</definedName>
    <definedName name="T11_Copy5" localSheetId="4">'[37]услуги непроизводств.'!#REF!</definedName>
    <definedName name="T11_Copy5">'[37]услуги непроизводств.'!#REF!</definedName>
    <definedName name="T11_Copy6" localSheetId="9">'[37]услуги непроизводств.'!#REF!</definedName>
    <definedName name="T11_Copy6" localSheetId="4">'[37]услуги непроизводств.'!#REF!</definedName>
    <definedName name="T11_Copy6">'[37]услуги непроизводств.'!#REF!</definedName>
    <definedName name="T11_Copy7.1" localSheetId="9">'[37]услуги непроизводств.'!#REF!</definedName>
    <definedName name="T11_Copy7.1" localSheetId="4">'[37]услуги непроизводств.'!#REF!</definedName>
    <definedName name="T11_Copy7.1">'[37]услуги непроизводств.'!#REF!</definedName>
    <definedName name="T11_Copy7.2" localSheetId="9">'[37]услуги непроизводств.'!#REF!</definedName>
    <definedName name="T11_Copy7.2" localSheetId="4">'[37]услуги непроизводств.'!#REF!</definedName>
    <definedName name="T11_Copy7.2">'[37]услуги непроизводств.'!#REF!</definedName>
    <definedName name="T11_Copy8" localSheetId="9">'[37]услуги непроизводств.'!#REF!</definedName>
    <definedName name="T11_Copy8" localSheetId="4">'[37]услуги непроизводств.'!#REF!</definedName>
    <definedName name="T11_Copy8">'[37]услуги непроизводств.'!#REF!</definedName>
    <definedName name="T11_Copy9" localSheetId="9">'[37]услуги непроизводств.'!#REF!</definedName>
    <definedName name="T11_Copy9" localSheetId="4">'[37]услуги непроизводств.'!#REF!</definedName>
    <definedName name="T11_Copy9">'[37]услуги непроизводств.'!#REF!</definedName>
    <definedName name="T12?axis?R?ДОГОВОР" localSheetId="9">#REF!</definedName>
    <definedName name="T12?axis?R?ДОГОВОР" localSheetId="4">#REF!</definedName>
    <definedName name="T12?axis?R?ДОГОВОР">#REF!</definedName>
    <definedName name="T12?axis?R?ДОГОВОР?" localSheetId="9">#REF!</definedName>
    <definedName name="T12?axis?R?ДОГОВОР?" localSheetId="4">#REF!</definedName>
    <definedName name="T12?axis?R?ДОГОВОР?">#REF!</definedName>
    <definedName name="T12?axis?ПРД?БАЗ">'[26]12'!$J$6:$K$20,'[26]12'!$G$6:$H$20</definedName>
    <definedName name="T12?axis?ПРД?ПРЕД">'[26]12'!$L$6:$M$20,'[26]12'!$E$6:$F$20</definedName>
    <definedName name="T12?axis?ПРД?РЕГ" localSheetId="9">#REF!</definedName>
    <definedName name="T12?axis?ПРД?РЕГ" localSheetId="4">#REF!</definedName>
    <definedName name="T12?axis?ПРД?РЕГ">#REF!</definedName>
    <definedName name="T12?axis?ПФ?ПЛАН">'[26]12'!$J$6:$J$20,'[26]12'!$E$6:$E$20,'[26]12'!$L$6:$L$20,'[26]12'!$G$6:$G$20</definedName>
    <definedName name="T12?axis?ПФ?ФАКТ">'[26]12'!$K$6:$K$20,'[26]12'!$F$6:$F$20,'[26]12'!$M$6:$M$20,'[26]12'!$H$6:$H$20</definedName>
    <definedName name="T12?Data">'[26]12'!$E$6:$M$9,  '[26]12'!$E$11:$M$18,  '[26]12'!$E$20:$M$20</definedName>
    <definedName name="T12?item_ext?РОСТ" localSheetId="9">#REF!</definedName>
    <definedName name="T12?item_ext?РОСТ" localSheetId="4">#REF!</definedName>
    <definedName name="T12?item_ext?РОСТ">#REF!</definedName>
    <definedName name="T12?L1" localSheetId="9">#REF!</definedName>
    <definedName name="T12?L1" localSheetId="4">#REF!</definedName>
    <definedName name="T12?L1">#REF!</definedName>
    <definedName name="T12?L1.1" localSheetId="9">#REF!</definedName>
    <definedName name="T12?L1.1" localSheetId="4">#REF!</definedName>
    <definedName name="T12?L1.1">#REF!</definedName>
    <definedName name="T12?L2" localSheetId="9">#REF!</definedName>
    <definedName name="T12?L2" localSheetId="4">#REF!</definedName>
    <definedName name="T12?L2">#REF!</definedName>
    <definedName name="T12?L2.1" localSheetId="9">#REF!</definedName>
    <definedName name="T12?L2.1" localSheetId="4">#REF!</definedName>
    <definedName name="T12?L2.1">#REF!</definedName>
    <definedName name="T12?L2.1.x">'[26]12'!$A$16:$M$16, '[26]12'!$A$14:$M$14, '[26]12'!$A$12:$M$12, '[26]12'!$A$18:$M$18</definedName>
    <definedName name="T12?L2.x">'[26]12'!$A$15:$M$15, '[26]12'!$A$13:$M$13, '[26]12'!$A$11:$M$11, '[26]12'!$A$17:$M$17</definedName>
    <definedName name="T12?L3" localSheetId="9">#REF!</definedName>
    <definedName name="T12?L3" localSheetId="4">#REF!</definedName>
    <definedName name="T12?L3">#REF!</definedName>
    <definedName name="T12?Name" localSheetId="9">#REF!</definedName>
    <definedName name="T12?Name" localSheetId="4">#REF!</definedName>
    <definedName name="T12?Name">#REF!</definedName>
    <definedName name="T12?Table" localSheetId="9">#REF!</definedName>
    <definedName name="T12?Table" localSheetId="4">#REF!</definedName>
    <definedName name="T12?Table">#REF!</definedName>
    <definedName name="T12?Title" localSheetId="9">#REF!</definedName>
    <definedName name="T12?Title" localSheetId="4">#REF!</definedName>
    <definedName name="T12?Title">#REF!</definedName>
    <definedName name="T12?unit?ГА">'[26]12'!$E$16:$I$16, '[26]12'!$E$14:$I$14, '[26]12'!$E$9:$I$9, '[26]12'!$E$12:$I$12, '[26]12'!$E$18:$I$18, '[26]12'!$E$7:$I$7</definedName>
    <definedName name="T12?unit?ПРЦ" localSheetId="9">#REF!</definedName>
    <definedName name="T12?unit?ПРЦ" localSheetId="4">#REF!</definedName>
    <definedName name="T12?unit?ПРЦ">#REF!</definedName>
    <definedName name="T12?unit?ТРУБ">'[26]12'!$E$15:$I$15, '[26]12'!$E$13:$I$13, '[26]12'!$E$6:$I$6, '[26]12'!$E$8:$I$8, '[26]12'!$E$11:$I$11, '[26]12'!$E$17:$I$17, '[26]12'!$E$20:$I$20</definedName>
    <definedName name="T12_Copy" localSheetId="9">#REF!</definedName>
    <definedName name="T12_Copy" localSheetId="4">#REF!</definedName>
    <definedName name="T12_Copy">#REF!</definedName>
    <definedName name="T13?axis?ПРД?БАЗ">'[26]13'!$I$6:$J$16,'[26]13'!$F$6:$G$16</definedName>
    <definedName name="T13?axis?ПРД?ПРЕД">'[26]13'!$K$6:$L$16,'[26]13'!$D$6:$E$16</definedName>
    <definedName name="T13?axis?ПРД?РЕГ" localSheetId="9">#REF!</definedName>
    <definedName name="T13?axis?ПРД?РЕГ" localSheetId="4">#REF!</definedName>
    <definedName name="T13?axis?ПРД?РЕГ">#REF!</definedName>
    <definedName name="T13?axis?ПФ?ПЛАН">'[26]13'!$I$6:$I$16,'[26]13'!$D$6:$D$16,'[26]13'!$K$6:$K$16,'[26]13'!$F$6:$F$16</definedName>
    <definedName name="T13?axis?ПФ?ФАКТ">'[26]13'!$J$6:$J$16,'[26]13'!$E$6:$E$16,'[26]13'!$L$6:$L$16,'[26]13'!$G$6:$G$16</definedName>
    <definedName name="T13?Data">'[26]13'!$D$6:$L$7, '[26]13'!$D$8:$L$8, '[26]13'!$D$9:$L$16</definedName>
    <definedName name="T13?item_ext?РОСТ" localSheetId="9">#REF!</definedName>
    <definedName name="T13?item_ext?РОСТ" localSheetId="4">#REF!</definedName>
    <definedName name="T13?item_ext?РОСТ">#REF!</definedName>
    <definedName name="T13?L1.1" localSheetId="9">#REF!</definedName>
    <definedName name="T13?L1.1" localSheetId="4">#REF!</definedName>
    <definedName name="T13?L1.1">#REF!</definedName>
    <definedName name="T13?L1.2" localSheetId="9">#REF!</definedName>
    <definedName name="T13?L1.2" localSheetId="4">#REF!</definedName>
    <definedName name="T13?L1.2">#REF!</definedName>
    <definedName name="T13?L2" localSheetId="9">#REF!</definedName>
    <definedName name="T13?L2" localSheetId="4">#REF!</definedName>
    <definedName name="T13?L2">#REF!</definedName>
    <definedName name="T13?L2.1" localSheetId="9">#REF!</definedName>
    <definedName name="T13?L2.1" localSheetId="4">#REF!</definedName>
    <definedName name="T13?L2.1">#REF!</definedName>
    <definedName name="T13?L2.1.1" localSheetId="9">#REF!</definedName>
    <definedName name="T13?L2.1.1" localSheetId="4">#REF!</definedName>
    <definedName name="T13?L2.1.1">#REF!</definedName>
    <definedName name="T13?L2.1.2" localSheetId="9">#REF!</definedName>
    <definedName name="T13?L2.1.2" localSheetId="4">#REF!</definedName>
    <definedName name="T13?L2.1.2">#REF!</definedName>
    <definedName name="T13?L2.2" localSheetId="9">#REF!</definedName>
    <definedName name="T13?L2.2" localSheetId="4">#REF!</definedName>
    <definedName name="T13?L2.2">#REF!</definedName>
    <definedName name="T13?L2.2.1" localSheetId="9">#REF!</definedName>
    <definedName name="T13?L2.2.1" localSheetId="4">#REF!</definedName>
    <definedName name="T13?L2.2.1">#REF!</definedName>
    <definedName name="T13?L2.2.2" localSheetId="9">#REF!</definedName>
    <definedName name="T13?L2.2.2" localSheetId="4">#REF!</definedName>
    <definedName name="T13?L2.2.2">#REF!</definedName>
    <definedName name="T13?L3" localSheetId="9">#REF!</definedName>
    <definedName name="T13?L3" localSheetId="4">#REF!</definedName>
    <definedName name="T13?L3">#REF!</definedName>
    <definedName name="T13?L4" localSheetId="9">#REF!</definedName>
    <definedName name="T13?L4" localSheetId="4">#REF!</definedName>
    <definedName name="T13?L4">#REF!</definedName>
    <definedName name="T13?Name" localSheetId="9">#REF!</definedName>
    <definedName name="T13?Name" localSheetId="4">#REF!</definedName>
    <definedName name="T13?Name">#REF!</definedName>
    <definedName name="T13?Table" localSheetId="9">#REF!</definedName>
    <definedName name="T13?Table" localSheetId="4">#REF!</definedName>
    <definedName name="T13?Table">#REF!</definedName>
    <definedName name="T13?Title" localSheetId="9">#REF!</definedName>
    <definedName name="T13?Title" localSheetId="4">#REF!</definedName>
    <definedName name="T13?Title">#REF!</definedName>
    <definedName name="T13?unit?МКВТЧ" localSheetId="9">#REF!</definedName>
    <definedName name="T13?unit?МКВТЧ" localSheetId="4">#REF!</definedName>
    <definedName name="T13?unit?МКВТЧ">#REF!</definedName>
    <definedName name="T13?unit?ПРЦ" localSheetId="9">#REF!</definedName>
    <definedName name="T13?unit?ПРЦ" localSheetId="4">#REF!</definedName>
    <definedName name="T13?unit?ПРЦ">#REF!</definedName>
    <definedName name="T13?unit?РУБ.ТМКБ">'[26]13'!$D$14:$H$14,'[26]13'!$D$11:$H$11</definedName>
    <definedName name="T13?unit?ТГКАЛ" localSheetId="9">#REF!</definedName>
    <definedName name="T13?unit?ТГКАЛ" localSheetId="4">#REF!</definedName>
    <definedName name="T13?unit?ТГКАЛ">#REF!</definedName>
    <definedName name="T13?unit?ТМКБ">'[26]13'!$D$13:$H$13,'[26]13'!$D$10:$H$10</definedName>
    <definedName name="T13?unit?ТРУБ">'[26]13'!$D$12:$H$12,'[26]13'!$D$15:$H$16,'[26]13'!$D$8:$H$9</definedName>
    <definedName name="T14?axis?R?ВРАС" localSheetId="9">#REF!</definedName>
    <definedName name="T14?axis?R?ВРАС" localSheetId="4">#REF!</definedName>
    <definedName name="T14?axis?R?ВРАС">#REF!</definedName>
    <definedName name="T14?axis?R?ВРАС?" localSheetId="9">#REF!</definedName>
    <definedName name="T14?axis?R?ВРАС?" localSheetId="4">#REF!</definedName>
    <definedName name="T14?axis?R?ВРАС?">#REF!</definedName>
    <definedName name="T14?axis?ПРД?БАЗ">'[26]14'!$J$6:$K$20,'[26]14'!$G$6:$H$20</definedName>
    <definedName name="T14?axis?ПРД?ПРЕД">'[26]14'!$L$6:$M$20,'[26]14'!$E$6:$F$20</definedName>
    <definedName name="T14?axis?ПРД?РЕГ" localSheetId="9">#REF!</definedName>
    <definedName name="T14?axis?ПРД?РЕГ" localSheetId="4">#REF!</definedName>
    <definedName name="T14?axis?ПРД?РЕГ">#REF!</definedName>
    <definedName name="T14?axis?ПФ?ПЛАН">'[26]14'!$G$6:$G$20,'[26]14'!$J$6:$J$20,'[26]14'!$L$6:$L$20,'[26]14'!$E$6:$E$20</definedName>
    <definedName name="T14?axis?ПФ?ФАКТ">'[26]14'!$H$6:$H$20,'[26]14'!$K$6:$K$20,'[26]14'!$M$6:$M$20,'[26]14'!$F$6:$F$20</definedName>
    <definedName name="T14?Data">'[26]14'!$E$7:$M$18,  '[26]14'!$E$20:$M$20</definedName>
    <definedName name="T14?item_ext?РОСТ" localSheetId="9">#REF!</definedName>
    <definedName name="T14?item_ext?РОСТ" localSheetId="4">#REF!</definedName>
    <definedName name="T14?item_ext?РОСТ">#REF!</definedName>
    <definedName name="T14?L1">'[26]14'!$A$13:$M$13, '[26]14'!$A$10:$M$10, '[26]14'!$A$7:$M$7, '[26]14'!$A$16:$M$16</definedName>
    <definedName name="T14?L1.1">'[26]14'!$A$14:$M$14, '[26]14'!$A$11:$M$11, '[26]14'!$A$8:$M$8, '[26]14'!$A$17:$M$17</definedName>
    <definedName name="T14?L1.2">'[26]14'!$A$15:$M$15, '[26]14'!$A$12:$M$12, '[26]14'!$A$9:$M$9, '[26]14'!$A$18:$M$18</definedName>
    <definedName name="T14?L2" localSheetId="9">#REF!</definedName>
    <definedName name="T14?L2" localSheetId="4">#REF!</definedName>
    <definedName name="T14?L2">#REF!</definedName>
    <definedName name="T14?Name" localSheetId="9">#REF!</definedName>
    <definedName name="T14?Name" localSheetId="4">#REF!</definedName>
    <definedName name="T14?Name">#REF!</definedName>
    <definedName name="T14?Table" localSheetId="9">#REF!</definedName>
    <definedName name="T14?Table" localSheetId="4">#REF!</definedName>
    <definedName name="T14?Table">#REF!</definedName>
    <definedName name="T14?Title" localSheetId="9">#REF!</definedName>
    <definedName name="T14?Title" localSheetId="4">#REF!</definedName>
    <definedName name="T14?Title">#REF!</definedName>
    <definedName name="T14?unit?ПРЦ">'[26]14'!$E$15:$I$15, '[26]14'!$E$12:$I$12, '[26]14'!$E$9:$I$9, '[26]14'!$E$18:$I$18, '[26]14'!$J$6:$M$20</definedName>
    <definedName name="T14?unit?ТРУБ">'[26]14'!$E$13:$I$14, '[26]14'!$E$10:$I$11, '[26]14'!$E$7:$I$8, '[26]14'!$E$16:$I$17, '[26]14'!$E$20:$I$20</definedName>
    <definedName name="T14_Copy" localSheetId="9">#REF!</definedName>
    <definedName name="T14_Copy" localSheetId="4">#REF!</definedName>
    <definedName name="T14_Copy">#REF!</definedName>
    <definedName name="T15?axis?ПРД?БАЗ">'[26]15'!$I$6:$J$11,'[26]15'!$F$6:$G$11</definedName>
    <definedName name="T15?axis?ПРД?ПРЕД">'[26]15'!$K$6:$L$11,'[26]15'!$D$6:$E$11</definedName>
    <definedName name="T15?axis?ПФ?ПЛАН">'[26]15'!$I$6:$I$11,'[26]15'!$D$6:$D$11,'[26]15'!$K$6:$K$11,'[26]15'!$F$6:$F$11</definedName>
    <definedName name="T15?axis?ПФ?ФАКТ">'[26]15'!$J$6:$J$11,'[26]15'!$E$6:$E$11,'[26]15'!$L$6:$L$11,'[26]15'!$G$6:$G$11</definedName>
    <definedName name="T15?Columns" localSheetId="9">#REF!</definedName>
    <definedName name="T15?Columns" localSheetId="4">#REF!</definedName>
    <definedName name="T15?Columns">#REF!</definedName>
    <definedName name="T15?item_ext?РОСТ" localSheetId="9">[37]экология!#REF!</definedName>
    <definedName name="T15?item_ext?РОСТ" localSheetId="4">[37]экология!#REF!</definedName>
    <definedName name="T15?item_ext?РОСТ">[37]экология!#REF!</definedName>
    <definedName name="T15?ItemComments" localSheetId="9">#REF!</definedName>
    <definedName name="T15?ItemComments" localSheetId="4">#REF!</definedName>
    <definedName name="T15?ItemComments">#REF!</definedName>
    <definedName name="T15?Items" localSheetId="9">#REF!</definedName>
    <definedName name="T15?Items" localSheetId="4">#REF!</definedName>
    <definedName name="T15?Items">#REF!</definedName>
    <definedName name="T15?Name" localSheetId="9">[37]экология!#REF!</definedName>
    <definedName name="T15?Name" localSheetId="4">[37]экология!#REF!</definedName>
    <definedName name="T15?Name">[37]экология!#REF!</definedName>
    <definedName name="T15?Scope" localSheetId="9">#REF!</definedName>
    <definedName name="T15?Scope" localSheetId="4">#REF!</definedName>
    <definedName name="T15?Scope">#REF!</definedName>
    <definedName name="T15?unit?ПРЦ" localSheetId="9">[37]экология!#REF!</definedName>
    <definedName name="T15?unit?ПРЦ" localSheetId="4">[37]экология!#REF!</definedName>
    <definedName name="T15?unit?ПРЦ">[37]экология!#REF!</definedName>
    <definedName name="T15?ВРАС" localSheetId="9">#REF!</definedName>
    <definedName name="T15?ВРАС" localSheetId="4">#REF!</definedName>
    <definedName name="T15?ВРАС">#REF!</definedName>
    <definedName name="T15_Protect" localSheetId="9">'[25]15'!$E$25:$I$29,'[25]15'!$E$31:$I$34,'[25]15'!$E$36:$I$40,'[25]15'!$E$44:$I$45,'[25]15'!$E$9:$I$17,'[25]15'!$B$36:$B$40,'[25]15'!$E$19:$I$21</definedName>
    <definedName name="T15_Protect" localSheetId="4">'[25]15'!$E$25:$I$29,'[25]15'!$E$31:$I$34,'[25]15'!$E$36:$I$40,'[25]15'!$E$44:$I$45,'[25]15'!$E$9:$I$17,'[25]15'!$B$36:$B$40,'[25]15'!$E$19:$I$21</definedName>
    <definedName name="T15_Protect">#REF!,#REF!,#REF!,#REF!,#REF!,#REF!,#REF!</definedName>
    <definedName name="T16?axis?R?ДОГОВОР" localSheetId="9">'[26]16'!$E$40:$M$40,'[26]16'!$E$60:$M$60,'[26]16'!$E$36:$M$36,'[26]16'!$E$32:$M$32,'[26]16'!$E$28:$M$28,'[26]16'!$E$24:$M$24,'[26]16'!$E$68:$M$68,'[26]16'!$E$56:$M$56,'[26]16'!$E$20:$M$20,[0]!P1_T16?axis?R?ДОГОВОР</definedName>
    <definedName name="T16?axis?R?ДОГОВОР" localSheetId="4">'[26]16'!$E$40:$M$40,'[26]16'!$E$60:$M$60,'[26]16'!$E$36:$M$36,'[26]16'!$E$32:$M$32,'[26]16'!$E$28:$M$28,'[26]16'!$E$24:$M$24,'[26]16'!$E$68:$M$68,'[26]16'!$E$56:$M$56,'[26]16'!$E$20:$M$20,[0]!P1_T16?axis?R?ДОГОВОР</definedName>
    <definedName name="T16?axis?R?ДОГОВОР">'[26]16'!$E$40:$M$40,'[26]16'!$E$60:$M$60,'[26]16'!$E$36:$M$36,'[26]16'!$E$32:$M$32,'[26]16'!$E$28:$M$28,'[26]16'!$E$24:$M$24,'[26]16'!$E$68:$M$68,'[26]16'!$E$56:$M$56,'[26]16'!$E$20:$M$20,P1_T16?axis?R?ДОГОВОР</definedName>
    <definedName name="T16?axis?R?ДОГОВОР?" localSheetId="9">'[26]16'!$A$8,'[26]16'!$A$12,'[26]16'!$A$16,[0]!P1_T16?axis?R?ДОГОВОР?</definedName>
    <definedName name="T16?axis?R?ДОГОВОР?" localSheetId="4">'[26]16'!$A$8,'[26]16'!$A$12,'[26]16'!$A$16,[0]!P1_T16?axis?R?ДОГОВОР?</definedName>
    <definedName name="T16?axis?R?ДОГОВОР?">'[26]16'!$A$8,'[26]16'!$A$12,'[26]16'!$A$16,P1_T16?axis?R?ДОГОВОР?</definedName>
    <definedName name="T16?axis?R?ОРГ" localSheetId="9">#REF!</definedName>
    <definedName name="T16?axis?R?ОРГ" localSheetId="4">#REF!</definedName>
    <definedName name="T16?axis?R?ОРГ">#REF!</definedName>
    <definedName name="T16?axis?R?ОРГ?" localSheetId="9">#REF!</definedName>
    <definedName name="T16?axis?R?ОРГ?" localSheetId="4">#REF!</definedName>
    <definedName name="T16?axis?R?ОРГ?">#REF!</definedName>
    <definedName name="T16?axis?ПРД?БАЗ">'[26]16'!$J$6:$K$88,               '[26]16'!$G$6:$H$88</definedName>
    <definedName name="T16?axis?ПРД?ПРЕД">'[26]16'!$L$6:$M$88,               '[26]16'!$E$6:$F$88</definedName>
    <definedName name="T16?axis?ПРД?РЕГ" localSheetId="9">#REF!</definedName>
    <definedName name="T16?axis?ПРД?РЕГ" localSheetId="4">#REF!</definedName>
    <definedName name="T16?axis?ПРД?РЕГ">#REF!</definedName>
    <definedName name="T16?axis?ПФ?ПЛАН">'[26]16'!$J$6:$J$88,               '[26]16'!$E$6:$E$88,               '[26]16'!$L$6:$L$88,               '[26]16'!$G$6:$G$88</definedName>
    <definedName name="T16?axis?ПФ?ФАКТ">'[26]16'!$K$6:$K$88,               '[26]16'!$F$6:$F$88,               '[26]16'!$M$6:$M$88,               '[26]16'!$H$6:$H$88</definedName>
    <definedName name="T16?Columns" localSheetId="9">#REF!</definedName>
    <definedName name="T16?Columns" localSheetId="4">#REF!</definedName>
    <definedName name="T16?Columns">#REF!</definedName>
    <definedName name="T16?Data" localSheetId="9">#REF!</definedName>
    <definedName name="T16?Data" localSheetId="4">#REF!</definedName>
    <definedName name="T16?Data">#REF!</definedName>
    <definedName name="T16?item_ext?РОСТ" localSheetId="9">#REF!</definedName>
    <definedName name="T16?item_ext?РОСТ" localSheetId="4">#REF!</definedName>
    <definedName name="T16?item_ext?РОСТ">#REF!</definedName>
    <definedName name="T16?ItemComments" localSheetId="9">#REF!</definedName>
    <definedName name="T16?ItemComments" localSheetId="4">#REF!</definedName>
    <definedName name="T16?ItemComments">#REF!</definedName>
    <definedName name="T16?Items" localSheetId="9">#REF!</definedName>
    <definedName name="T16?Items" localSheetId="4">#REF!</definedName>
    <definedName name="T16?Items">#REF!</definedName>
    <definedName name="T16?L1" localSheetId="9">'[26]16'!$A$38:$M$38,'[26]16'!$A$58:$M$58,'[26]16'!$A$34:$M$34,'[26]16'!$A$30:$M$30,'[26]16'!$A$26:$M$26,'[26]16'!$A$22:$M$22,'[26]16'!$A$66:$M$66,'[26]16'!$A$54:$M$54,'[26]16'!$A$18:$M$18,[0]!P1_T16?L1</definedName>
    <definedName name="T16?L1" localSheetId="4">'[26]16'!$A$38:$M$38,'[26]16'!$A$58:$M$58,'[26]16'!$A$34:$M$34,'[26]16'!$A$30:$M$30,'[26]16'!$A$26:$M$26,'[26]16'!$A$22:$M$22,'[26]16'!$A$66:$M$66,'[26]16'!$A$54:$M$54,'[26]16'!$A$18:$M$18,[0]!P1_T16?L1</definedName>
    <definedName name="T16?L1">'[26]16'!$A$38:$M$38,'[26]16'!$A$58:$M$58,'[26]16'!$A$34:$M$34,'[26]16'!$A$30:$M$30,'[26]16'!$A$26:$M$26,'[26]16'!$A$22:$M$22,'[26]16'!$A$66:$M$66,'[26]16'!$A$54:$M$54,'[26]16'!$A$18:$M$18,P1_T16?L1</definedName>
    <definedName name="T16?L1.x" localSheetId="9">'[26]16'!$A$40:$M$40,'[26]16'!$A$60:$M$60,'[26]16'!$A$36:$M$36,'[26]16'!$A$32:$M$32,'[26]16'!$A$28:$M$28,'[26]16'!$A$24:$M$24,'[26]16'!$A$68:$M$68,'[26]16'!$A$56:$M$56,'[26]16'!$A$20:$M$20,[0]!P1_T16?L1.x</definedName>
    <definedName name="T16?L1.x" localSheetId="4">'[26]16'!$A$40:$M$40,'[26]16'!$A$60:$M$60,'[26]16'!$A$36:$M$36,'[26]16'!$A$32:$M$32,'[26]16'!$A$28:$M$28,'[26]16'!$A$24:$M$24,'[26]16'!$A$68:$M$68,'[26]16'!$A$56:$M$56,'[26]16'!$A$20:$M$20,[0]!P1_T16?L1.x</definedName>
    <definedName name="T16?L1.x">'[26]16'!$A$40:$M$40,'[26]16'!$A$60:$M$60,'[26]16'!$A$36:$M$36,'[26]16'!$A$32:$M$32,'[26]16'!$A$28:$M$28,'[26]16'!$A$24:$M$24,'[26]16'!$A$68:$M$68,'[26]16'!$A$56:$M$56,'[26]16'!$A$20:$M$20,P1_T16?L1.x</definedName>
    <definedName name="T16?L2" localSheetId="9">#REF!</definedName>
    <definedName name="T16?L2" localSheetId="4">#REF!</definedName>
    <definedName name="T16?L2">#REF!</definedName>
    <definedName name="T16?Name" localSheetId="9">#REF!</definedName>
    <definedName name="T16?Name" localSheetId="4">#REF!</definedName>
    <definedName name="T16?Name">#REF!</definedName>
    <definedName name="T16?Scope" localSheetId="9">#REF!</definedName>
    <definedName name="T16?Scope" localSheetId="4">#REF!</definedName>
    <definedName name="T16?Scope">#REF!</definedName>
    <definedName name="T16?Table" localSheetId="9">#REF!</definedName>
    <definedName name="T16?Table" localSheetId="4">#REF!</definedName>
    <definedName name="T16?Table">#REF!</definedName>
    <definedName name="T16?Title" localSheetId="9">#REF!</definedName>
    <definedName name="T16?Title" localSheetId="4">#REF!</definedName>
    <definedName name="T16?Title">#REF!</definedName>
    <definedName name="T16?unit?ПРЦ" localSheetId="9">#REF!</definedName>
    <definedName name="T16?unit?ПРЦ" localSheetId="4">#REF!</definedName>
    <definedName name="T16?unit?ПРЦ">#REF!</definedName>
    <definedName name="T16?unit?ТРУБ" localSheetId="9">#REF!</definedName>
    <definedName name="T16?unit?ТРУБ" localSheetId="4">#REF!</definedName>
    <definedName name="T16?unit?ТРУБ">#REF!</definedName>
    <definedName name="T16?Units" localSheetId="9">#REF!</definedName>
    <definedName name="T16?Units" localSheetId="4">#REF!</definedName>
    <definedName name="T16?Units">#REF!</definedName>
    <definedName name="T16_Copy" localSheetId="9">#REF!</definedName>
    <definedName name="T16_Copy" localSheetId="4">#REF!</definedName>
    <definedName name="T16_Copy">#REF!</definedName>
    <definedName name="T16_Copy2" localSheetId="9">#REF!</definedName>
    <definedName name="T16_Copy2" localSheetId="4">#REF!</definedName>
    <definedName name="T16_Copy2">#REF!</definedName>
    <definedName name="T16_Protect" localSheetId="9">'[25]16'!$G$44:$K$44,'[25]16'!$G$7:$K$8,'1. подк.неподк. факт'!P1_T16_Protect</definedName>
    <definedName name="T16_Protect" localSheetId="4">'[25]16'!$G$44:$K$44,'[25]16'!$G$7:$K$8,'5. подк.неподк.план'!P1_T16_Protect</definedName>
    <definedName name="T16_Protect">#REF!,#REF!,P1_T16_Protect</definedName>
    <definedName name="T17.1?axis?C?НП">'[26]17.1'!$E$6:$L$16, '[26]17.1'!$E$18:$L$28</definedName>
    <definedName name="T17.1?axis?C?НП?" localSheetId="9">#REF!</definedName>
    <definedName name="T17.1?axis?C?НП?" localSheetId="4">#REF!</definedName>
    <definedName name="T17.1?axis?C?НП?">#REF!</definedName>
    <definedName name="T17.1?axis?ПРД?БАЗ" localSheetId="9">#REF!</definedName>
    <definedName name="T17.1?axis?ПРД?БАЗ" localSheetId="4">#REF!</definedName>
    <definedName name="T17.1?axis?ПРД?БАЗ">#REF!</definedName>
    <definedName name="T17.1?axis?ПРД?РЕГ" localSheetId="9">#REF!</definedName>
    <definedName name="T17.1?axis?ПРД?РЕГ" localSheetId="4">#REF!</definedName>
    <definedName name="T17.1?axis?ПРД?РЕГ">#REF!</definedName>
    <definedName name="T17.1?Data">'[26]17.1'!$E$6:$L$16, '[26]17.1'!$N$6:$N$16, '[26]17.1'!$E$18:$L$28, '[26]17.1'!$N$18:$N$28</definedName>
    <definedName name="T17.1?Equipment" localSheetId="9">#REF!</definedName>
    <definedName name="T17.1?Equipment" localSheetId="4">#REF!</definedName>
    <definedName name="T17.1?Equipment">#REF!</definedName>
    <definedName name="T17.1?item_ext?ВСЕГО">'[26]17.1'!$N$6:$N$16, '[26]17.1'!$N$18:$N$28</definedName>
    <definedName name="T17.1?ItemComments" localSheetId="9">#REF!</definedName>
    <definedName name="T17.1?ItemComments" localSheetId="4">#REF!</definedName>
    <definedName name="T17.1?ItemComments">#REF!</definedName>
    <definedName name="T17.1?Items" localSheetId="9">#REF!</definedName>
    <definedName name="T17.1?Items" localSheetId="4">#REF!</definedName>
    <definedName name="T17.1?Items">#REF!</definedName>
    <definedName name="T17.1?L1">'[26]17.1'!$A$6:$N$6, '[26]17.1'!$A$18:$N$18</definedName>
    <definedName name="T17.1?L2">'[26]17.1'!$A$7:$N$7, '[26]17.1'!$A$19:$N$19</definedName>
    <definedName name="T17.1?L3">'[26]17.1'!$A$8:$N$8, '[26]17.1'!$A$20:$N$20</definedName>
    <definedName name="T17.1?L3.1">'[26]17.1'!$A$9:$N$9, '[26]17.1'!$A$21:$N$21</definedName>
    <definedName name="T17.1?L4">'[26]17.1'!$A$10:$N$10, '[26]17.1'!$A$22:$N$22</definedName>
    <definedName name="T17.1?L4.1">'[26]17.1'!$A$11:$N$11, '[26]17.1'!$A$23:$N$23</definedName>
    <definedName name="T17.1?L5">'[26]17.1'!$A$12:$N$12, '[26]17.1'!$A$24:$N$24</definedName>
    <definedName name="T17.1?L5.1">'[26]17.1'!$A$13:$N$13, '[26]17.1'!$A$25:$N$25</definedName>
    <definedName name="T17.1?L6">'[26]17.1'!$A$14:$N$14, '[26]17.1'!$A$26:$N$26</definedName>
    <definedName name="T17.1?L7">'[26]17.1'!$A$15:$N$15, '[26]17.1'!$A$27:$N$27</definedName>
    <definedName name="T17.1?L8">'[26]17.1'!$A$16:$N$16, '[26]17.1'!$A$28:$N$28</definedName>
    <definedName name="T17.1?Name" localSheetId="9">#REF!</definedName>
    <definedName name="T17.1?Name" localSheetId="4">#REF!</definedName>
    <definedName name="T17.1?Name">#REF!</definedName>
    <definedName name="T17.1?Scope" localSheetId="9">#REF!</definedName>
    <definedName name="T17.1?Scope" localSheetId="4">#REF!</definedName>
    <definedName name="T17.1?Scope">#REF!</definedName>
    <definedName name="T17.1?Table" localSheetId="9">#REF!</definedName>
    <definedName name="T17.1?Table" localSheetId="4">#REF!</definedName>
    <definedName name="T17.1?Table">#REF!</definedName>
    <definedName name="T17.1?Title" localSheetId="9">#REF!</definedName>
    <definedName name="T17.1?Title" localSheetId="4">#REF!</definedName>
    <definedName name="T17.1?Title">#REF!</definedName>
    <definedName name="T17.1?unit?РУБ">'[26]17.1'!$D$9:$N$9, '[26]17.1'!$D$11:$N$11, '[26]17.1'!$D$13:$N$13, '[26]17.1'!$D$21:$N$21, '[26]17.1'!$D$23:$N$23, '[26]17.1'!$D$25:$N$25</definedName>
    <definedName name="T17.1?unit?ТРУБ">'[26]17.1'!$D$8:$N$8, '[26]17.1'!$D$10:$N$10, '[26]17.1'!$D$12:$N$12, '[26]17.1'!$D$14:$N$16, '[26]17.1'!$D$20:$N$20, '[26]17.1'!$D$22:$N$22, '[26]17.1'!$D$24:$N$24, '[26]17.1'!$D$26:$N$28</definedName>
    <definedName name="T17.1?unit?ЧДН">'[26]17.1'!$D$7:$N$7, '[26]17.1'!$D$19:$N$19</definedName>
    <definedName name="T17.1?unit?ЧЕЛ">'[26]17.1'!$D$18:$N$18, '[26]17.1'!$D$6:$N$6</definedName>
    <definedName name="T17.1_Copy" localSheetId="9">#REF!</definedName>
    <definedName name="T17.1_Copy" localSheetId="4">#REF!</definedName>
    <definedName name="T17.1_Copy">#REF!</definedName>
    <definedName name="T17.1_Protect" localSheetId="9">'[25]17.1'!$D$14:$F$17,'[25]17.1'!$D$19:$F$22,'[25]17.1'!$I$9:$I$12,'[25]17.1'!$I$14:$I$17,'[25]17.1'!$I$19:$I$22,'[25]17.1'!$D$9:$F$12</definedName>
    <definedName name="T17.1_Protect" localSheetId="4">'[25]17.1'!$D$14:$F$17,'[25]17.1'!$D$19:$F$22,'[25]17.1'!$I$9:$I$12,'[25]17.1'!$I$14:$I$17,'[25]17.1'!$I$19:$I$22,'[25]17.1'!$D$9:$F$12</definedName>
    <definedName name="T17.1_Protect">#REF!,#REF!,#REF!,#REF!,#REF!,#REF!</definedName>
    <definedName name="T17?axis?ПРД?БАЗ">'[26]17'!$I$6:$J$13,'[26]17'!$F$6:$G$13</definedName>
    <definedName name="T17?axis?ПРД?ПРЕД">'[26]17'!$K$6:$L$13,'[26]17'!$D$6:$E$13</definedName>
    <definedName name="T17?axis?ПРД?РЕГ" localSheetId="9">#REF!</definedName>
    <definedName name="T17?axis?ПРД?РЕГ" localSheetId="4">#REF!</definedName>
    <definedName name="T17?axis?ПРД?РЕГ">#REF!</definedName>
    <definedName name="T17?axis?ПФ?ПЛАН">'[26]17'!$I$6:$I$13,'[26]17'!$D$6:$D$13,'[26]17'!$K$6:$K$13,'[26]17'!$F$6:$F$13</definedName>
    <definedName name="T17?axis?ПФ?ФАКТ">'[26]17'!$J$6:$J$13,'[26]17'!$E$6:$E$13,'[26]17'!$L$6:$L$13,'[26]17'!$G$6:$G$13</definedName>
    <definedName name="T17?Columns" localSheetId="9">#REF!</definedName>
    <definedName name="T17?Columns" localSheetId="4">#REF!</definedName>
    <definedName name="T17?Columns">#REF!</definedName>
    <definedName name="T17?Data" localSheetId="9">#REF!</definedName>
    <definedName name="T17?Data" localSheetId="4">#REF!</definedName>
    <definedName name="T17?Data">#REF!</definedName>
    <definedName name="T17?item_ext?РОСТ" localSheetId="9">#REF!</definedName>
    <definedName name="T17?item_ext?РОСТ" localSheetId="4">#REF!</definedName>
    <definedName name="T17?item_ext?РОСТ">#REF!</definedName>
    <definedName name="T17?ItemComments" localSheetId="9">#REF!</definedName>
    <definedName name="T17?ItemComments" localSheetId="4">#REF!</definedName>
    <definedName name="T17?ItemComments">#REF!</definedName>
    <definedName name="T17?Items" localSheetId="9">#REF!</definedName>
    <definedName name="T17?Items" localSheetId="4">#REF!</definedName>
    <definedName name="T17?Items">#REF!</definedName>
    <definedName name="T17?L1" localSheetId="9">#REF!</definedName>
    <definedName name="T17?L1" localSheetId="4">#REF!</definedName>
    <definedName name="T17?L1">#REF!</definedName>
    <definedName name="T17?L2" localSheetId="9">#REF!</definedName>
    <definedName name="T17?L2" localSheetId="4">#REF!</definedName>
    <definedName name="T17?L2">#REF!</definedName>
    <definedName name="T17?L3" localSheetId="9">#REF!</definedName>
    <definedName name="T17?L3" localSheetId="4">#REF!</definedName>
    <definedName name="T17?L3">#REF!</definedName>
    <definedName name="T17?L4" localSheetId="9">#REF!</definedName>
    <definedName name="T17?L4" localSheetId="4">#REF!</definedName>
    <definedName name="T17?L4">#REF!</definedName>
    <definedName name="T17?L5" localSheetId="9">#REF!</definedName>
    <definedName name="T17?L5" localSheetId="4">#REF!</definedName>
    <definedName name="T17?L5">#REF!</definedName>
    <definedName name="T17?L6" localSheetId="9">#REF!</definedName>
    <definedName name="T17?L6" localSheetId="4">#REF!</definedName>
    <definedName name="T17?L6">#REF!</definedName>
    <definedName name="T17?L7" localSheetId="9">#REF!</definedName>
    <definedName name="T17?L7" localSheetId="4">#REF!</definedName>
    <definedName name="T17?L7">'[20]29'!$L$60,'[20]29'!$O$60,'[20]29'!$F$60,'[20]29'!$I$60</definedName>
    <definedName name="T17?L8" localSheetId="9">#REF!</definedName>
    <definedName name="T17?L8" localSheetId="4">#REF!</definedName>
    <definedName name="T17?L8">#REF!</definedName>
    <definedName name="T17?Name" localSheetId="9">#REF!</definedName>
    <definedName name="T17?Name" localSheetId="4">#REF!</definedName>
    <definedName name="T17?Name">#REF!</definedName>
    <definedName name="T17?Scope" localSheetId="9">#REF!</definedName>
    <definedName name="T17?Scope" localSheetId="4">#REF!</definedName>
    <definedName name="T17?Scope">#REF!</definedName>
    <definedName name="T17?Table" localSheetId="9">#REF!</definedName>
    <definedName name="T17?Table" localSheetId="4">#REF!</definedName>
    <definedName name="T17?Table">#REF!</definedName>
    <definedName name="T17?Title" localSheetId="9">#REF!</definedName>
    <definedName name="T17?Title" localSheetId="4">#REF!</definedName>
    <definedName name="T17?Title">#REF!</definedName>
    <definedName name="T17?unit?ГКАЛЧ">'[20]29'!$M$26:$M$33,'[20]29'!$P$26:$P$33,'[20]29'!$G$52:$G$59,'[20]29'!$J$52:$J$59,'[20]29'!$M$52:$M$59,'[20]29'!$P$52:$P$59,'[20]29'!$G$26:$G$33,'[20]29'!$J$26:$J$33</definedName>
    <definedName name="T17?unit?РУБ.ГКАЛ" localSheetId="9">'[20]29'!$O$18:$O$25,[0]!P1_T17?unit?РУБ.ГКАЛ,[0]!P2_T17?unit?РУБ.ГКАЛ</definedName>
    <definedName name="T17?unit?РУБ.ГКАЛ" localSheetId="4">'[20]29'!$O$18:$O$25,[0]!P1_T17?unit?РУБ.ГКАЛ,[0]!P2_T17?unit?РУБ.ГКАЛ</definedName>
    <definedName name="T17?unit?РУБ.ГКАЛ">'[20]29'!$O$18:$O$25,P1_T17?unit?РУБ.ГКАЛ,P2_T17?unit?РУБ.ГКАЛ</definedName>
    <definedName name="T17?unit?ТГКАЛ" localSheetId="9">'[20]29'!$P$18:$P$25,[0]!P1_T17?unit?ТГКАЛ,[0]!P2_T17?unit?ТГКАЛ</definedName>
    <definedName name="T17?unit?ТГКАЛ" localSheetId="4">'[20]29'!$P$18:$P$25,[0]!P1_T17?unit?ТГКАЛ,[0]!P2_T17?unit?ТГКАЛ</definedName>
    <definedName name="T17?unit?ТГКАЛ">'[20]29'!$P$18:$P$25,P1_T17?unit?ТГКАЛ,P2_T17?unit?ТГКАЛ</definedName>
    <definedName name="T17?unit?ТРУБ" localSheetId="9">#REF!</definedName>
    <definedName name="T17?unit?ТРУБ" localSheetId="4">#REF!</definedName>
    <definedName name="T17?unit?ТРУБ">#REF!</definedName>
    <definedName name="T17?unit?ТРУБ.ГКАЛЧ.МЕС">'[20]29'!$L$26:$L$33,'[20]29'!$O$26:$O$33,'[20]29'!$F$52:$F$59,'[20]29'!$I$52:$I$59,'[20]29'!$L$52:$L$59,'[20]29'!$O$52:$O$59,'[20]29'!$F$26:$F$33,'[20]29'!$I$26:$I$33</definedName>
    <definedName name="T17?unit?ЧДН" localSheetId="9">#REF!</definedName>
    <definedName name="T17?unit?ЧДН" localSheetId="4">#REF!</definedName>
    <definedName name="T17?unit?ЧДН">#REF!</definedName>
    <definedName name="T17?unit?ЧЕЛ" localSheetId="9">#REF!</definedName>
    <definedName name="T17?unit?ЧЕЛ" localSheetId="4">#REF!</definedName>
    <definedName name="T17?unit?ЧЕЛ">#REF!</definedName>
    <definedName name="T17_Protect" localSheetId="9">'[25]21.3'!$E$66:$I$69,'[25]21.3'!$E$10:$I$10,P1_T17_Protect</definedName>
    <definedName name="T17_Protect" localSheetId="4">'[25]21.3'!$E$66:$I$69,'[25]21.3'!$E$10:$I$10,P1_T17_Protect</definedName>
    <definedName name="T17_Protect">#REF!,#REF!,P1_T17_Protect</definedName>
    <definedName name="T17_Protection" localSheetId="9">[0]!P2_T17_Protection,[0]!P3_T17_Protection,[0]!P4_T17_Protection,[0]!P5_T17_Protection,'1. подк.неподк. факт'!P6_T17_Protection</definedName>
    <definedName name="T17_Protection" localSheetId="4">[0]!P2_T17_Protection,[0]!P3_T17_Protection,[0]!P4_T17_Protection,[0]!P5_T17_Protection,'5. подк.неподк.план'!P6_T17_Protection</definedName>
    <definedName name="T17_Protection">P2_T17_Protection,P3_T17_Protection,P4_T17_Protection,P5_T17_Protection,P6_T17_Protection</definedName>
    <definedName name="T18.1?Data" localSheetId="9">P1_T18.1?Data,P2_T18.1?Data</definedName>
    <definedName name="T18.1?Data" localSheetId="4">P1_T18.1?Data,P2_T18.1?Data</definedName>
    <definedName name="T18.1?Data">P1_T18.1?Data,P2_T18.1?Data</definedName>
    <definedName name="T18.2?Columns" localSheetId="9">#REF!</definedName>
    <definedName name="T18.2?Columns" localSheetId="4">#REF!</definedName>
    <definedName name="T18.2?Columns">#REF!</definedName>
    <definedName name="T18.2?item_ext?СБЫТ" localSheetId="9">'[25]18.2'!#REF!,'[25]18.2'!#REF!</definedName>
    <definedName name="T18.2?item_ext?СБЫТ" localSheetId="4">'[25]18.2'!#REF!,'[25]18.2'!#REF!</definedName>
    <definedName name="T18.2?item_ext?СБЫТ">#REF!,#REF!</definedName>
    <definedName name="T18.2?ItemComments" localSheetId="9">#REF!</definedName>
    <definedName name="T18.2?ItemComments" localSheetId="4">#REF!</definedName>
    <definedName name="T18.2?ItemComments">#REF!</definedName>
    <definedName name="T18.2?Items" localSheetId="9">#REF!</definedName>
    <definedName name="T18.2?Items" localSheetId="4">#REF!</definedName>
    <definedName name="T18.2?Items">#REF!</definedName>
    <definedName name="T18.2?Scope" localSheetId="9">#REF!</definedName>
    <definedName name="T18.2?Scope" localSheetId="4">#REF!</definedName>
    <definedName name="T18.2?Scope">#REF!</definedName>
    <definedName name="T18.2?Units" localSheetId="9">#REF!</definedName>
    <definedName name="T18.2?Units" localSheetId="4">#REF!</definedName>
    <definedName name="T18.2?Units">#REF!</definedName>
    <definedName name="T18.2?ВРАС" localSheetId="9">'[25]18.2'!$B$34:$B$38,'[25]18.2'!$B$28:$B$30</definedName>
    <definedName name="T18.2?ВРАС" localSheetId="4">'[25]18.2'!$B$34:$B$38,'[25]18.2'!$B$28:$B$30</definedName>
    <definedName name="T18.2?ВРАС">#REF!,#REF!</definedName>
    <definedName name="T18.2_Protect" localSheetId="9">'[25]18.2'!$F$58:$J$59,'[25]18.2'!$F$62:$J$62,'[25]18.2'!$F$64:$J$67,'[25]18.2'!$F$6:$J$8,'1. подк.неподк. факт'!P1_T18.2_Protect</definedName>
    <definedName name="T18.2_Protect" localSheetId="4">'[25]18.2'!$F$58:$J$59,'[25]18.2'!$F$62:$J$62,'[25]18.2'!$F$64:$J$67,'[25]18.2'!$F$6:$J$8,'5. подк.неподк.план'!P1_T18.2_Protect</definedName>
    <definedName name="T18.2_Protect">#REF!,#REF!,#REF!,#REF!,P1_T18.2_Protect</definedName>
    <definedName name="T18?axis?R?ДОГОВОР">'[26]18'!$D$14:$L$16,'[26]18'!$D$20:$L$22,'[26]18'!$D$26:$L$28,'[26]18'!$D$32:$L$34,'[26]18'!$D$38:$L$40,'[26]18'!$D$8:$L$10</definedName>
    <definedName name="T18?axis?R?ДОГОВОР?">'[26]18'!$B$14:$B$16,'[26]18'!$B$20:$B$22,'[26]18'!$B$26:$B$28,'[26]18'!$B$32:$B$34,'[26]18'!$B$38:$B$40,'[26]18'!$B$8:$B$10</definedName>
    <definedName name="T18?axis?ПРД?БАЗ">'[26]18'!$I$6:$J$42,'[26]18'!$F$6:$G$42</definedName>
    <definedName name="T18?axis?ПРД?ПРЕД">'[26]18'!$K$6:$L$42,'[26]18'!$D$6:$E$42</definedName>
    <definedName name="T18?axis?ПФ?ПЛАН">'[26]18'!$I$6:$I$42,'[26]18'!$D$6:$D$42,'[26]18'!$K$6:$K$42,'[26]18'!$F$6:$F$42</definedName>
    <definedName name="T18?axis?ПФ?ФАКТ">'[26]18'!$J$6:$J$42,'[26]18'!$E$6:$E$42,'[26]18'!$L$6:$L$42,'[26]18'!$G$6:$G$42</definedName>
    <definedName name="T18_Copy1" localSheetId="9">[37]страховые!#REF!</definedName>
    <definedName name="T18_Copy1" localSheetId="4">[37]страховые!#REF!</definedName>
    <definedName name="T18_Copy1">[37]страховые!#REF!</definedName>
    <definedName name="T18_Copy2" localSheetId="9">[37]страховые!#REF!</definedName>
    <definedName name="T18_Copy2" localSheetId="4">[37]страховые!#REF!</definedName>
    <definedName name="T18_Copy2">[37]страховые!#REF!</definedName>
    <definedName name="T18_Copy3" localSheetId="9">[37]страховые!#REF!</definedName>
    <definedName name="T18_Copy3" localSheetId="4">[37]страховые!#REF!</definedName>
    <definedName name="T18_Copy3">[37]страховые!#REF!</definedName>
    <definedName name="T18_Copy4" localSheetId="9">[37]страховые!#REF!</definedName>
    <definedName name="T18_Copy4" localSheetId="4">[37]страховые!#REF!</definedName>
    <definedName name="T18_Copy4">[37]страховые!#REF!</definedName>
    <definedName name="T18_Copy5" localSheetId="9">[37]страховые!#REF!</definedName>
    <definedName name="T18_Copy5" localSheetId="4">[37]страховые!#REF!</definedName>
    <definedName name="T18_Copy5">[37]страховые!#REF!</definedName>
    <definedName name="T18_Copy6" localSheetId="9">[37]страховые!#REF!</definedName>
    <definedName name="T18_Copy6" localSheetId="4">[37]страховые!#REF!</definedName>
    <definedName name="T18_Copy6">[37]страховые!#REF!</definedName>
    <definedName name="T19.1.1?Data" localSheetId="9">P1_T19.1.1?Data,P2_T19.1.1?Data</definedName>
    <definedName name="T19.1.1?Data" localSheetId="4">P1_T19.1.1?Data,P2_T19.1.1?Data</definedName>
    <definedName name="T19.1.1?Data">P1_T19.1.1?Data,P2_T19.1.1?Data</definedName>
    <definedName name="T19.1.2?Data" localSheetId="9">P1_T19.1.2?Data,P2_T19.1.2?Data</definedName>
    <definedName name="T19.1.2?Data" localSheetId="4">P1_T19.1.2?Data,P2_T19.1.2?Data</definedName>
    <definedName name="T19.1.2?Data">P1_T19.1.2?Data,P2_T19.1.2?Data</definedName>
    <definedName name="T19.2?Data" localSheetId="9">P1_T19.2?Data,P2_T19.2?Data</definedName>
    <definedName name="T19.2?Data" localSheetId="4">P1_T19.2?Data,P2_T19.2?Data</definedName>
    <definedName name="T19.2?Data">P1_T19.2?Data,P2_T19.2?Data</definedName>
    <definedName name="T19?axis?R?ВРАС?" localSheetId="9">[37]НИОКР!#REF!</definedName>
    <definedName name="T19?axis?R?ВРАС?" localSheetId="4">[37]НИОКР!#REF!</definedName>
    <definedName name="T19?axis?R?ВРАС?">[37]НИОКР!#REF!</definedName>
    <definedName name="T19?axis?R?ДОГОВОР">'[26]19'!$E$8:$M$9,'[26]19'!$E$13:$M$14,'[26]19'!$E$18:$M$18,'[26]19'!$E$26:$M$27,'[26]19'!$E$22:$M$22</definedName>
    <definedName name="T19?axis?R?ДОГОВОР?">'[26]19'!$A$8:$A$9,'[26]19'!$A$13:$A$14,'[26]19'!$A$18,'[26]19'!$A$26:$A$27,'[26]19'!$A$22</definedName>
    <definedName name="T19?axis?ПРД?БАЗ">'[26]19'!$J$6:$K$30,'[26]19'!$G$6:$H$30</definedName>
    <definedName name="T19?axis?ПРД?ПРЕД">'[26]19'!$L$6:$M$30,'[26]19'!$E$6:$F$30</definedName>
    <definedName name="T19?axis?ПФ?ПЛАН">'[26]19'!$J$6:$J$30,'[26]19'!$E$6:$E$30,'[26]19'!$L$6:$L$30,'[26]19'!$G$6:$G$30</definedName>
    <definedName name="T19?axis?ПФ?ФАКТ">'[26]19'!$K$6:$K$30,'[26]19'!$F$6:$F$30,'[26]19'!$M$6:$M$30,'[26]19'!$H$6:$H$30</definedName>
    <definedName name="T19?Data">'[20]19'!$J$8:$M$16,'[20]19'!$C$8:$H$16</definedName>
    <definedName name="T19?item_ext?РОСТ" localSheetId="9">[37]НИОКР!#REF!</definedName>
    <definedName name="T19?item_ext?РОСТ" localSheetId="4">[37]НИОКР!#REF!</definedName>
    <definedName name="T19?item_ext?РОСТ">[37]НИОКР!#REF!</definedName>
    <definedName name="T19?L1">'[26]19'!$A$16:$M$16, '[26]19'!$A$11:$M$11, '[26]19'!$A$6:$M$6, '[26]19'!$A$20:$M$20, '[26]19'!$A$24:$M$24</definedName>
    <definedName name="T19?L1.x">'[26]19'!$A$18:$M$18, '[26]19'!$A$13:$M$14, '[26]19'!$A$8:$M$9, '[26]19'!$A$22:$M$22, '[26]19'!$A$26:$M$27</definedName>
    <definedName name="T19?Name" localSheetId="9">[37]НИОКР!#REF!</definedName>
    <definedName name="T19?Name" localSheetId="4">[37]НИОКР!#REF!</definedName>
    <definedName name="T19?Name">[37]НИОКР!#REF!</definedName>
    <definedName name="T19?unit?ПРЦ" localSheetId="9">[37]НИОКР!#REF!</definedName>
    <definedName name="T19?unit?ПРЦ" localSheetId="4">[37]НИОКР!#REF!</definedName>
    <definedName name="T19?unit?ПРЦ">[37]НИОКР!#REF!</definedName>
    <definedName name="T19_Copy" localSheetId="9">[37]НИОКР!#REF!</definedName>
    <definedName name="T19_Copy" localSheetId="4">[37]НИОКР!#REF!</definedName>
    <definedName name="T19_Copy">[37]НИОКР!#REF!</definedName>
    <definedName name="T19_Copy2" localSheetId="9">[37]НИОКР!#REF!</definedName>
    <definedName name="T19_Copy2" localSheetId="4">[37]НИОКР!#REF!</definedName>
    <definedName name="T19_Copy2">[37]НИОКР!#REF!</definedName>
    <definedName name="T19_Protection">'[20]19'!$E$13:$H$13,'[20]19'!$E$15:$H$15,'[20]19'!$J$8:$M$11,'[20]19'!$J$13:$M$13,'[20]19'!$J$15:$M$15,'[20]19'!$E$4:$H$4,'[20]19'!$J$4:$M$4,'[20]19'!$E$8:$H$11</definedName>
    <definedName name="T2.1?Data">#N/A</definedName>
    <definedName name="T2.1?Protection" localSheetId="9">'1. подк.неподк. факт'!P6_T2.1?Protection</definedName>
    <definedName name="T2.1?Protection" localSheetId="4">'5. подк.неподк.план'!P6_T2.1?Protection</definedName>
    <definedName name="T2.1?Protection">P6_T2.1?Protection</definedName>
    <definedName name="T2.3_Protect" localSheetId="9">'[25]2.3'!$F$30:$G$34,'[25]2.3'!$H$24:$K$28</definedName>
    <definedName name="T2.3_Protect" localSheetId="4">'[25]2.3'!$F$30:$G$34,'[25]2.3'!$H$24:$K$28</definedName>
    <definedName name="T2.3_Protect">#REF!,#REF!</definedName>
    <definedName name="T2?axis?ПРД?БАЗ">'[26]2'!$I$6:$J$19,'[26]2'!$F$6:$G$19</definedName>
    <definedName name="T2?axis?ПРД?ПРЕД">'[26]2'!$K$6:$L$19,'[26]2'!$D$6:$E$19</definedName>
    <definedName name="T2?axis?ПРД?РЕГ" localSheetId="9">#REF!</definedName>
    <definedName name="T2?axis?ПРД?РЕГ" localSheetId="4">#REF!</definedName>
    <definedName name="T2?axis?ПРД?РЕГ">#REF!</definedName>
    <definedName name="T2?axis?ПФ?ПЛАН">'[26]2'!$I$6:$I$19,'[26]2'!$D$6:$D$19,'[26]2'!$K$6:$K$19,'[26]2'!$F$6:$F$19</definedName>
    <definedName name="T2?axis?ПФ?ФАКТ">'[26]2'!$J$6:$J$19,'[26]2'!$E$6:$E$19,'[26]2'!$L$6:$L$19,'[26]2'!$G$6:$G$19</definedName>
    <definedName name="T2?Data" localSheetId="9">#REF!</definedName>
    <definedName name="T2?Data" localSheetId="4">#REF!</definedName>
    <definedName name="T2?Data">#REF!</definedName>
    <definedName name="T2?item_ext?РОСТ" localSheetId="9">#REF!</definedName>
    <definedName name="T2?item_ext?РОСТ" localSheetId="4">#REF!</definedName>
    <definedName name="T2?item_ext?РОСТ">#REF!</definedName>
    <definedName name="T2?L1" localSheetId="9">#REF!</definedName>
    <definedName name="T2?L1" localSheetId="4">#REF!</definedName>
    <definedName name="T2?L1">#REF!</definedName>
    <definedName name="T2?L2" localSheetId="9">#REF!</definedName>
    <definedName name="T2?L2" localSheetId="4">#REF!</definedName>
    <definedName name="T2?L2">#REF!</definedName>
    <definedName name="T2?L2.1" localSheetId="9">#REF!</definedName>
    <definedName name="T2?L2.1" localSheetId="4">#REF!</definedName>
    <definedName name="T2?L2.1">#REF!</definedName>
    <definedName name="T2?L2.1.ПРЦ" localSheetId="9">#REF!</definedName>
    <definedName name="T2?L2.1.ПРЦ" localSheetId="4">#REF!</definedName>
    <definedName name="T2?L2.1.ПРЦ">#REF!</definedName>
    <definedName name="T2?L2.2" localSheetId="9">#REF!</definedName>
    <definedName name="T2?L2.2" localSheetId="4">#REF!</definedName>
    <definedName name="T2?L2.2">#REF!</definedName>
    <definedName name="T2?L2.2.КВТЧ" localSheetId="9">#REF!</definedName>
    <definedName name="T2?L2.2.КВТЧ" localSheetId="4">#REF!</definedName>
    <definedName name="T2?L2.2.КВТЧ">#REF!</definedName>
    <definedName name="T2?L3" localSheetId="9">#REF!</definedName>
    <definedName name="T2?L3" localSheetId="4">#REF!</definedName>
    <definedName name="T2?L3">#REF!</definedName>
    <definedName name="T2?L4" localSheetId="9">#REF!</definedName>
    <definedName name="T2?L4" localSheetId="4">#REF!</definedName>
    <definedName name="T2?L4">#REF!</definedName>
    <definedName name="T2?L4.ПРЦ" localSheetId="9">#REF!</definedName>
    <definedName name="T2?L4.ПРЦ" localSheetId="4">#REF!</definedName>
    <definedName name="T2?L4.ПРЦ">#REF!</definedName>
    <definedName name="T2?L5" localSheetId="9">#REF!</definedName>
    <definedName name="T2?L5" localSheetId="4">#REF!</definedName>
    <definedName name="T2?L5">#REF!</definedName>
    <definedName name="T2?L6" localSheetId="9">#REF!</definedName>
    <definedName name="T2?L6" localSheetId="4">#REF!</definedName>
    <definedName name="T2?L6">#REF!</definedName>
    <definedName name="T2?L7" localSheetId="9">#REF!</definedName>
    <definedName name="T2?L7" localSheetId="4">#REF!</definedName>
    <definedName name="T2?L7">#REF!</definedName>
    <definedName name="T2?L7.ПРЦ" localSheetId="9">#REF!</definedName>
    <definedName name="T2?L7.ПРЦ" localSheetId="4">#REF!</definedName>
    <definedName name="T2?L7.ПРЦ">#REF!</definedName>
    <definedName name="T2?L8" localSheetId="9">#REF!</definedName>
    <definedName name="T2?L8" localSheetId="4">#REF!</definedName>
    <definedName name="T2?L8">#REF!</definedName>
    <definedName name="T2?Name" localSheetId="9">#REF!</definedName>
    <definedName name="T2?Name" localSheetId="4">#REF!</definedName>
    <definedName name="T2?Name">#REF!</definedName>
    <definedName name="T2?Protection" localSheetId="9">P1_T2?Protection,P2_T2?Protection</definedName>
    <definedName name="T2?Protection" localSheetId="4">P1_T2?Protection,P2_T2?Protection</definedName>
    <definedName name="T2?Protection">P1_T2?Protection,P2_T2?Protection</definedName>
    <definedName name="T2?Table" localSheetId="9">#REF!</definedName>
    <definedName name="T2?Table" localSheetId="4">#REF!</definedName>
    <definedName name="T2?Table">#REF!</definedName>
    <definedName name="T2?Title" localSheetId="9">#REF!</definedName>
    <definedName name="T2?Title" localSheetId="4">#REF!</definedName>
    <definedName name="T2?Title">#REF!</definedName>
    <definedName name="T2?unit?КВТЧ.ГКАЛ" localSheetId="9">#REF!</definedName>
    <definedName name="T2?unit?КВТЧ.ГКАЛ" localSheetId="4">#REF!</definedName>
    <definedName name="T2?unit?КВТЧ.ГКАЛ">#REF!</definedName>
    <definedName name="T2?unit?МКВТЧ">'[26]2'!$D$6:$H$8,   '[26]2'!$D$10:$H$10,   '[26]2'!$D$12:$H$13,   '[26]2'!$D$15:$H$15</definedName>
    <definedName name="T2?unit?ПРЦ">'[26]2'!$D$9:$H$9,   '[26]2'!$D$14:$H$14,   '[26]2'!$I$6:$L$19,   '[26]2'!$D$18:$H$18</definedName>
    <definedName name="T2?unit?ТГКАЛ">'[26]2'!$D$16:$H$17,   '[26]2'!$D$19:$H$19</definedName>
    <definedName name="T2_" localSheetId="9">#REF!</definedName>
    <definedName name="T2_" localSheetId="4">#REF!</definedName>
    <definedName name="T2_">#REF!</definedName>
    <definedName name="T2_DiapProt" localSheetId="9">P1_T2_DiapProt,P2_T2_DiapProt</definedName>
    <definedName name="T2_DiapProt" localSheetId="4">P1_T2_DiapProt,P2_T2_DiapProt</definedName>
    <definedName name="T2_DiapProt">P1_T2_DiapProt,P2_T2_DiapProt</definedName>
    <definedName name="T20.1?Columns" localSheetId="9">#REF!</definedName>
    <definedName name="T20.1?Columns" localSheetId="4">#REF!</definedName>
    <definedName name="T20.1?Columns">#REF!</definedName>
    <definedName name="T20.1?Investments" localSheetId="9">#REF!</definedName>
    <definedName name="T20.1?Investments" localSheetId="4">#REF!</definedName>
    <definedName name="T20.1?Investments">#REF!</definedName>
    <definedName name="T20.1?Scope" localSheetId="9">#REF!</definedName>
    <definedName name="T20.1?Scope" localSheetId="4">#REF!</definedName>
    <definedName name="T20.1?Scope">#REF!</definedName>
    <definedName name="T20.1_Protect" localSheetId="9">#REF!</definedName>
    <definedName name="T20.1_Protect" localSheetId="4">#REF!</definedName>
    <definedName name="T20.1_Protect">#REF!</definedName>
    <definedName name="T20?axis?R?ДОГОВОР">'[26]20'!$G$7:$O$26,       '[26]20'!$G$28:$O$41</definedName>
    <definedName name="T20?axis?R?ДОГОВОР?">'[26]20'!$D$7:$D$26,       '[26]20'!$D$28:$D$41</definedName>
    <definedName name="T20?axis?ПРД?БАЗ">'[26]20'!$L$6:$M$42,  '[26]20'!$I$6:$J$42</definedName>
    <definedName name="T20?axis?ПРД?ПРЕД">'[26]20'!$N$6:$O$41,  '[26]20'!$G$6:$H$42</definedName>
    <definedName name="T20?axis?ПФ?ПЛАН">'[26]20'!$L$6:$L$42,  '[26]20'!$G$6:$G$42,  '[26]20'!$N$6:$N$42,  '[26]20'!$I$6:$I$42</definedName>
    <definedName name="T20?axis?ПФ?ФАКТ">'[26]20'!$M$6:$M$42,  '[26]20'!$H$6:$H$42,  '[26]20'!$O$6:$O$42,  '[26]20'!$J$6:$J$42</definedName>
    <definedName name="T20?Columns" localSheetId="9">#REF!</definedName>
    <definedName name="T20?Columns" localSheetId="4">#REF!</definedName>
    <definedName name="T20?Columns">#REF!</definedName>
    <definedName name="T20?Data">'[26]20'!$G$6:$O$6,       '[26]20'!$G$8:$O$25,       '[26]20'!$G$27:$O$27,       '[26]20'!$G$29:$O$40,       '[26]20'!$G$42:$O$42</definedName>
    <definedName name="T20?item_ext?РОСТ" localSheetId="9">[37]аренда!#REF!</definedName>
    <definedName name="T20?item_ext?РОСТ" localSheetId="4">[37]аренда!#REF!</definedName>
    <definedName name="T20?item_ext?РОСТ">[37]аренда!#REF!</definedName>
    <definedName name="T20?ItemComments" localSheetId="9">#REF!</definedName>
    <definedName name="T20?ItemComments" localSheetId="4">#REF!</definedName>
    <definedName name="T20?ItemComments">#REF!</definedName>
    <definedName name="T20?Items" localSheetId="9">#REF!</definedName>
    <definedName name="T20?Items" localSheetId="4">#REF!</definedName>
    <definedName name="T20?Items">#REF!</definedName>
    <definedName name="T20?L1.1">'[26]20'!$A$20:$O$20,'[26]20'!$A$17:$O$17,'[26]20'!$A$8:$O$8,'[26]20'!$A$11:$O$11,'[26]20'!$A$14:$O$14,'[26]20'!$A$23:$O$23</definedName>
    <definedName name="T20?L1.2">'[26]20'!$A$21:$O$21,'[26]20'!$A$18:$O$18,'[26]20'!$A$9:$O$9,'[26]20'!$A$12:$O$12,'[26]20'!$A$15:$O$15,'[26]20'!$A$24:$O$24</definedName>
    <definedName name="T20?L1.3">'[26]20'!$A$22:$O$22,'[26]20'!$A$19:$O$19,'[26]20'!$A$10:$O$10,'[26]20'!$A$13:$O$13,'[26]20'!$A$16:$O$16,'[26]20'!$A$25:$O$25</definedName>
    <definedName name="T20?L2.1">'[26]20'!$A$29:$O$29,   '[26]20'!$A$32:$O$32,   '[26]20'!$A$35:$O$35,   '[26]20'!$A$38:$O$38</definedName>
    <definedName name="T20?L2.2">'[26]20'!$A$30:$O$30,   '[26]20'!$A$33:$O$33,   '[26]20'!$A$36:$O$36,   '[26]20'!$A$39:$O$39</definedName>
    <definedName name="T20?L2.3">'[26]20'!$A$31:$O$31,   '[26]20'!$A$34:$O$34,   '[26]20'!$A$37:$O$37,   '[26]20'!$A$40:$O$40</definedName>
    <definedName name="T20?Name" localSheetId="9">[37]аренда!#REF!</definedName>
    <definedName name="T20?Name" localSheetId="4">[37]аренда!#REF!</definedName>
    <definedName name="T20?Name">[37]аренда!#REF!</definedName>
    <definedName name="T20?Scope" localSheetId="9">#REF!</definedName>
    <definedName name="T20?Scope" localSheetId="4">#REF!</definedName>
    <definedName name="T20?Scope">#REF!</definedName>
    <definedName name="T20?unit?МКВТЧ">'[20]20'!$C$13:$M$13,'[20]20'!$C$15:$M$19,'[20]20'!$C$8:$M$11</definedName>
    <definedName name="T20?unit?ПРЦ" localSheetId="9">[37]аренда!#REF!</definedName>
    <definedName name="T20?unit?ПРЦ" localSheetId="4">[37]аренда!#REF!</definedName>
    <definedName name="T20?unit?ПРЦ">[37]аренда!#REF!</definedName>
    <definedName name="T20_Copy1" localSheetId="9">[37]аренда!#REF!</definedName>
    <definedName name="T20_Copy1" localSheetId="4">[37]аренда!#REF!</definedName>
    <definedName name="T20_Copy1">[37]аренда!#REF!</definedName>
    <definedName name="T20_Copy2" localSheetId="9">[37]аренда!#REF!</definedName>
    <definedName name="T20_Copy2" localSheetId="4">[37]аренда!#REF!</definedName>
    <definedName name="T20_Copy2">[37]аренда!#REF!</definedName>
    <definedName name="T20_Protect" localSheetId="9">'[25]20'!$E$13:$I$20,'[25]20'!$E$9:$I$10</definedName>
    <definedName name="T20_Protect" localSheetId="4">'[25]20'!$E$13:$I$20,'[25]20'!$E$9:$I$10</definedName>
    <definedName name="T20_Protect">'[27]20'!$E$13:$I$20,'[27]20'!$E$9:$I$10</definedName>
    <definedName name="T20_Protection" localSheetId="9">'[20]20'!$E$8:$H$11,[0]!P1_T20_Protection</definedName>
    <definedName name="T20_Protection" localSheetId="4">'[20]20'!$E$8:$H$11,[0]!P1_T20_Protection</definedName>
    <definedName name="T20_Protection">'[20]20'!$E$8:$H$11,P1_T20_Protection</definedName>
    <definedName name="T21.2.1?Data" localSheetId="9">P1_T21.2.1?Data,P2_T21.2.1?Data</definedName>
    <definedName name="T21.2.1?Data" localSheetId="4">P1_T21.2.1?Data,P2_T21.2.1?Data</definedName>
    <definedName name="T21.2.1?Data">P1_T21.2.1?Data,P2_T21.2.1?Data</definedName>
    <definedName name="T21.2.2?Data" localSheetId="9">P1_T21.2.2?Data,P2_T21.2.2?Data</definedName>
    <definedName name="T21.2.2?Data" localSheetId="4">P1_T21.2.2?Data,P2_T21.2.2?Data</definedName>
    <definedName name="T21.2.2?Data">P1_T21.2.2?Data,P2_T21.2.2?Data</definedName>
    <definedName name="T21.3?Columns" localSheetId="9">#REF!</definedName>
    <definedName name="T21.3?Columns" localSheetId="4">#REF!</definedName>
    <definedName name="T21.3?Columns">#REF!</definedName>
    <definedName name="T21.3?item_ext?СБЫТ" localSheetId="9">'[25]21.3'!#REF!,'[25]21.3'!#REF!</definedName>
    <definedName name="T21.3?item_ext?СБЫТ" localSheetId="4">'[25]21.3'!#REF!,'[25]21.3'!#REF!</definedName>
    <definedName name="T21.3?item_ext?СБЫТ">#REF!,#REF!</definedName>
    <definedName name="T21.3?ItemComments" localSheetId="9">#REF!</definedName>
    <definedName name="T21.3?ItemComments" localSheetId="4">#REF!</definedName>
    <definedName name="T21.3?ItemComments">#REF!</definedName>
    <definedName name="T21.3?Items" localSheetId="9">#REF!</definedName>
    <definedName name="T21.3?Items" localSheetId="4">#REF!</definedName>
    <definedName name="T21.3?Items">#REF!</definedName>
    <definedName name="T21.3?Scope" localSheetId="9">#REF!</definedName>
    <definedName name="T21.3?Scope" localSheetId="4">#REF!</definedName>
    <definedName name="T21.3?Scope">#REF!</definedName>
    <definedName name="T21.3?ВРАС" localSheetId="9">'[25]21.3'!$B$28:$B$42,'[25]21.3'!$B$60:$B$62</definedName>
    <definedName name="T21.3?ВРАС" localSheetId="4">'[25]21.3'!$B$28:$B$42,'[25]21.3'!$B$60:$B$62</definedName>
    <definedName name="T21.3?ВРАС">#REF!,#REF!</definedName>
    <definedName name="T21.3_Protect" localSheetId="9">'[25]21.3'!$E$19:$I$22,'[25]21.3'!$E$24:$I$25,'[25]21.3'!$B$28:$I$42,'[25]21.3'!$E$44:$I$44,'[25]21.3'!$E$47:$I$57,'[25]21.3'!$B$60:$I$62,'[25]21.3'!$E$13:$I$17</definedName>
    <definedName name="T21.3_Protect" localSheetId="4">'[25]21.3'!$E$19:$I$22,'[25]21.3'!$E$24:$I$25,'[25]21.3'!$B$28:$I$42,'[25]21.3'!$E$44:$I$44,'[25]21.3'!$E$47:$I$57,'[25]21.3'!$B$60:$I$62,'[25]21.3'!$E$13:$I$17</definedName>
    <definedName name="T21.3_Protect">#REF!,#REF!,#REF!,#REF!,#REF!,#REF!,#REF!</definedName>
    <definedName name="T21.4?Data" localSheetId="9">P1_T21.4?Data,P2_T21.4?Data</definedName>
    <definedName name="T21.4?Data" localSheetId="4">P1_T21.4?Data,P2_T21.4?Data</definedName>
    <definedName name="T21.4?Data">P1_T21.4?Data,P2_T21.4?Data</definedName>
    <definedName name="T21?axis?R?ДОГОВОР" localSheetId="9">#REF!</definedName>
    <definedName name="T21?axis?R?ДОГОВОР" localSheetId="4">#REF!</definedName>
    <definedName name="T21?axis?R?ДОГОВОР">#REF!</definedName>
    <definedName name="T21?axis?R?ДОГОВОР?" localSheetId="9">#REF!</definedName>
    <definedName name="T21?axis?R?ДОГОВОР?" localSheetId="4">#REF!</definedName>
    <definedName name="T21?axis?R?ДОГОВОР?">#REF!</definedName>
    <definedName name="T21?axis?R?ПЭ">'[20]21'!$D$14:$S$16,'[20]21'!$D$26:$S$28,'[20]21'!$D$20:$S$22</definedName>
    <definedName name="T21?axis?R?ПЭ?">'[20]21'!$B$14:$B$16,'[20]21'!$B$26:$B$28,'[20]21'!$B$20:$B$22</definedName>
    <definedName name="T21?axis?ПРД?БАЗ">'[26]21'!$I$6:$J$18,'[26]21'!$F$6:$G$18</definedName>
    <definedName name="T21?axis?ПРД?ПРЕД">'[26]21'!$K$6:$L$18,'[26]21'!$D$6:$E$18</definedName>
    <definedName name="T21?axis?ПРД?РЕГ" localSheetId="9">#REF!</definedName>
    <definedName name="T21?axis?ПРД?РЕГ" localSheetId="4">#REF!</definedName>
    <definedName name="T21?axis?ПРД?РЕГ">#REF!</definedName>
    <definedName name="T21?axis?ПФ?ПЛАН">'[26]21'!$I$6:$I$18,'[26]21'!$D$6:$D$18,'[26]21'!$K$6:$K$18,'[26]21'!$F$6:$F$18</definedName>
    <definedName name="T21?axis?ПФ?ФАКТ">'[26]21'!$J$6:$J$18,'[26]21'!$E$6:$E$18,'[26]21'!$L$6:$L$18,'[26]21'!$G$6:$G$18</definedName>
    <definedName name="T21?Data" localSheetId="9">'[26]21'!$D$6:$L$9, '[26]21'!$D$11:$L$14, '[26]21'!$D$16:$L$18</definedName>
    <definedName name="T21?Data" localSheetId="4">'[26]21'!$D$6:$L$9, '[26]21'!$D$11:$L$14, '[26]21'!$D$16:$L$18</definedName>
    <definedName name="T21?Data">'[20]21'!$D$14:$S$16,'[20]21'!$D$18:$S$18,'[20]21'!$D$20:$S$22,'[20]21'!$D$24:$S$24,'[20]21'!$D$26:$S$28,'[20]21'!$D$31:$S$33,'[20]21'!$D$11:$S$12</definedName>
    <definedName name="T21?item_ext?РОСТ" localSheetId="9">#REF!</definedName>
    <definedName name="T21?item_ext?РОСТ" localSheetId="4">#REF!</definedName>
    <definedName name="T21?item_ext?РОСТ">#REF!</definedName>
    <definedName name="T21?L1" localSheetId="9">#REF!</definedName>
    <definedName name="T21?L1" localSheetId="4">#REF!</definedName>
    <definedName name="T21?L1">'[20]21'!$D$11:$S$12,'[20]21'!$D$14:$S$16,'[20]21'!$D$18:$S$18,'[20]21'!$D$20:$S$22,'[20]21'!$D$26:$S$28,'[20]21'!$D$24:$S$24</definedName>
    <definedName name="T21?L2" localSheetId="9">#REF!</definedName>
    <definedName name="T21?L2" localSheetId="4">#REF!</definedName>
    <definedName name="T21?L2">#REF!</definedName>
    <definedName name="T21?L3" localSheetId="9">#REF!</definedName>
    <definedName name="T21?L3" localSheetId="4">#REF!</definedName>
    <definedName name="T21?L3">#REF!</definedName>
    <definedName name="T21?L4" localSheetId="9">#REF!</definedName>
    <definedName name="T21?L4" localSheetId="4">#REF!</definedName>
    <definedName name="T21?L4">#REF!</definedName>
    <definedName name="T21?L4.x" localSheetId="9">#REF!</definedName>
    <definedName name="T21?L4.x" localSheetId="4">#REF!</definedName>
    <definedName name="T21?L4.x">#REF!</definedName>
    <definedName name="T21?L5" localSheetId="9">#REF!</definedName>
    <definedName name="T21?L5" localSheetId="4">#REF!</definedName>
    <definedName name="T21?L5">#REF!</definedName>
    <definedName name="T21?L6" localSheetId="9">#REF!</definedName>
    <definedName name="T21?L6" localSheetId="4">#REF!</definedName>
    <definedName name="T21?L6">#REF!</definedName>
    <definedName name="T21?L7" localSheetId="9">#REF!</definedName>
    <definedName name="T21?L7" localSheetId="4">#REF!</definedName>
    <definedName name="T21?L7">#REF!</definedName>
    <definedName name="T21?Name" localSheetId="9">#REF!</definedName>
    <definedName name="T21?Name" localSheetId="4">#REF!</definedName>
    <definedName name="T21?Name">#REF!</definedName>
    <definedName name="T21?Table" localSheetId="9">#REF!</definedName>
    <definedName name="T21?Table" localSheetId="4">#REF!</definedName>
    <definedName name="T21?Table">#REF!</definedName>
    <definedName name="T21?Title" localSheetId="9">#REF!</definedName>
    <definedName name="T21?Title" localSheetId="4">#REF!</definedName>
    <definedName name="T21?Title">#REF!</definedName>
    <definedName name="T21?unit?ПРЦ" localSheetId="9">#REF!</definedName>
    <definedName name="T21?unit?ПРЦ" localSheetId="4">#REF!</definedName>
    <definedName name="T21?unit?ПРЦ">#REF!</definedName>
    <definedName name="T21?unit?ТРУБ" localSheetId="9">#REF!</definedName>
    <definedName name="T21?unit?ТРУБ" localSheetId="4">#REF!</definedName>
    <definedName name="T21?unit?ТРУБ">#REF!</definedName>
    <definedName name="T21_Copy" localSheetId="9">#REF!</definedName>
    <definedName name="T21_Copy" localSheetId="4">#REF!</definedName>
    <definedName name="T21_Copy">#REF!</definedName>
    <definedName name="T21_Protection" localSheetId="9">[0]!P2_T21_Protection,'1. подк.неподк. факт'!P3_T21_Protection</definedName>
    <definedName name="T21_Protection" localSheetId="4">[0]!P2_T21_Protection,'5. подк.неподк.план'!P3_T21_Protection</definedName>
    <definedName name="T21_Protection">P2_T21_Protection,P3_T21_Protection</definedName>
    <definedName name="T22?axis?R?ДОГОВОР">'[26]22'!$E$8:$M$9,'[26]22'!$E$13:$M$14,'[26]22'!$E$22:$M$23,'[26]22'!$E$18:$M$18</definedName>
    <definedName name="T22?axis?R?ДОГОВОР?">'[26]22'!$A$8:$A$9,'[26]22'!$A$13:$A$14,'[26]22'!$A$22:$A$23,'[26]22'!$A$18</definedName>
    <definedName name="T22?axis?ПРД?БАЗ">'[26]22'!$J$6:$K$26, '[26]22'!$G$6:$H$26</definedName>
    <definedName name="T22?axis?ПРД?ПРЕД">'[26]22'!$L$6:$M$26, '[26]22'!$E$6:$F$26</definedName>
    <definedName name="T22?axis?ПФ?ПЛАН">'[26]22'!$J$6:$J$26,'[26]22'!$E$6:$E$26,'[26]22'!$L$6:$L$26,'[26]22'!$G$6:$G$26</definedName>
    <definedName name="T22?axis?ПФ?ФАКТ">'[26]22'!$K$6:$K$26,'[26]22'!$F$6:$F$26,'[26]22'!$M$6:$M$26,'[26]22'!$H$6:$H$26</definedName>
    <definedName name="T22?item_ext?ВСЕГО">'[20]22'!$E$8:$F$31,'[20]22'!$I$8:$J$31</definedName>
    <definedName name="T22?item_ext?РОСТ" localSheetId="9">'[37]другие затраты с-ст'!#REF!</definedName>
    <definedName name="T22?item_ext?РОСТ" localSheetId="4">'[37]другие затраты с-ст'!#REF!</definedName>
    <definedName name="T22?item_ext?РОСТ">'[37]другие затраты с-ст'!#REF!</definedName>
    <definedName name="T22?item_ext?ЭС">'[20]22'!$K$8:$L$31,'[20]22'!$G$8:$H$31</definedName>
    <definedName name="T22?L1" localSheetId="9" xml:space="preserve"> '[26]22'!$A$11:$M$11,    '[26]22'!$A$6:$M$6,    '[26]22'!$A$16:$M$16,    '[26]22'!$A$20:$M$20</definedName>
    <definedName name="T22?L1" localSheetId="4" xml:space="preserve"> '[26]22'!$A$11:$M$11,    '[26]22'!$A$6:$M$6,    '[26]22'!$A$16:$M$16,    '[26]22'!$A$20:$M$20</definedName>
    <definedName name="T22?L1">'[20]22'!$G$8:$G$31,'[20]22'!$I$8:$I$31,'[20]22'!$K$8:$K$31,'[20]22'!$E$8:$E$31</definedName>
    <definedName name="T22?L1.x">'[26]22'!$A$13:$M$14, '[26]22'!$A$8:$M$9, '[26]22'!$A$18:$M$18, '[26]22'!$A$22:$M$23</definedName>
    <definedName name="T22?L2" localSheetId="9">'[37]другие затраты с-ст'!#REF!</definedName>
    <definedName name="T22?L2" localSheetId="4">'[37]другие затраты с-ст'!#REF!</definedName>
    <definedName name="T22?L2">'[20]22'!$H$8:$H$31,'[20]22'!$J$8:$J$31,'[20]22'!$L$8:$L$31,'[20]22'!$F$8:$F$31</definedName>
    <definedName name="T22?Name" localSheetId="9">'[37]другие затраты с-ст'!#REF!</definedName>
    <definedName name="T22?Name" localSheetId="4">'[37]другие затраты с-ст'!#REF!</definedName>
    <definedName name="T22?Name">'[37]другие затраты с-ст'!#REF!</definedName>
    <definedName name="T22?unit?ГКАЛ.Ч">'[20]22'!$G$8:$G$31,'[20]22'!$I$8:$I$31,'[20]22'!$K$8:$K$31,'[20]22'!$E$8:$E$31</definedName>
    <definedName name="T22?unit?ПРЦ" localSheetId="9">'[37]другие затраты с-ст'!#REF!</definedName>
    <definedName name="T22?unit?ПРЦ" localSheetId="4">'[37]другие затраты с-ст'!#REF!</definedName>
    <definedName name="T22?unit?ПРЦ">'[37]другие затраты с-ст'!#REF!</definedName>
    <definedName name="T22?unit?ТГКАЛ">'[20]22'!$H$8:$H$31,'[20]22'!$J$8:$J$31,'[20]22'!$L$8:$L$31,'[20]22'!$F$8:$F$31</definedName>
    <definedName name="T22_Copy" localSheetId="9">'[37]другие затраты с-ст'!#REF!</definedName>
    <definedName name="T22_Copy" localSheetId="4">'[37]другие затраты с-ст'!#REF!</definedName>
    <definedName name="T22_Copy">'[37]другие затраты с-ст'!#REF!</definedName>
    <definedName name="T22_Copy2" localSheetId="9">'[37]другие затраты с-ст'!#REF!</definedName>
    <definedName name="T22_Copy2" localSheetId="4">'[37]другие затраты с-ст'!#REF!</definedName>
    <definedName name="T22_Copy2">'[37]другие затраты с-ст'!#REF!</definedName>
    <definedName name="T22_Protection">'[20]22'!$E$19:$L$23,'[20]22'!$E$25:$L$25,'[20]22'!$E$27:$L$31,'[20]22'!$E$17:$L$17</definedName>
    <definedName name="T23?axis?R?ВТОП">'[20]23'!$E$8:$P$30,'[20]23'!$E$36:$P$58</definedName>
    <definedName name="T23?axis?R?ВТОП?">'[20]23'!$C$8:$C$30,'[20]23'!$C$36:$C$58</definedName>
    <definedName name="T23?axis?R?ПЭ">'[20]23'!$E$8:$P$30,'[20]23'!$E$36:$P$58</definedName>
    <definedName name="T23?axis?R?ПЭ?">'[20]23'!$B$8:$B$30,'[20]23'!$B$36:$B$58</definedName>
    <definedName name="T23?axis?R?СЦТ">'[20]23'!$E$32:$P$34,'[20]23'!$E$60:$P$62</definedName>
    <definedName name="T23?axis?R?СЦТ?">'[20]23'!$A$60:$A$62,'[20]23'!$A$32:$A$34</definedName>
    <definedName name="T23?axis?ПРД?БАЗ">'[26]23'!$I$6:$J$13,'[26]23'!$F$6:$G$13</definedName>
    <definedName name="T23?axis?ПРД?ПРЕД">'[26]23'!$K$6:$L$13,'[26]23'!$D$6:$E$13</definedName>
    <definedName name="T23?axis?ПРД?РЕГ" localSheetId="9">'[37]налоги в с-ст'!#REF!</definedName>
    <definedName name="T23?axis?ПРД?РЕГ" localSheetId="4">'[37]налоги в с-ст'!#REF!</definedName>
    <definedName name="T23?axis?ПРД?РЕГ">'[37]налоги в с-ст'!#REF!</definedName>
    <definedName name="T23?axis?ПФ?ПЛАН">'[26]23'!$I$6:$I$13,'[26]23'!$D$6:$D$13,'[26]23'!$K$6:$K$13,'[26]23'!$F$6:$F$13</definedName>
    <definedName name="T23?axis?ПФ?ФАКТ">'[26]23'!$J$6:$J$13,'[26]23'!$E$6:$E$13,'[26]23'!$L$6:$L$13,'[26]23'!$G$6:$G$13</definedName>
    <definedName name="T23?Data" localSheetId="9">'[26]23'!$D$9:$L$9,'[26]23'!$D$11:$L$13,'[26]23'!$D$6:$L$7</definedName>
    <definedName name="T23?Data" localSheetId="4">'[26]23'!$D$9:$L$9,'[26]23'!$D$11:$L$13,'[26]23'!$D$6:$L$7</definedName>
    <definedName name="T23?Data">'[20]23'!$E$37:$P$63,'[20]23'!$E$9:$P$35</definedName>
    <definedName name="T23?item_ext?ВСЕГО">'[20]23'!$A$55:$P$58,'[20]23'!$A$27:$P$30</definedName>
    <definedName name="T23?item_ext?ИТОГО">'[20]23'!$A$59:$P$59,'[20]23'!$A$31:$P$31</definedName>
    <definedName name="T23?item_ext?РОСТ" localSheetId="9">'[37]налоги в с-ст'!#REF!</definedName>
    <definedName name="T23?item_ext?РОСТ" localSheetId="4">'[37]налоги в с-ст'!#REF!</definedName>
    <definedName name="T23?item_ext?РОСТ">'[37]налоги в с-ст'!#REF!</definedName>
    <definedName name="T23?item_ext?СЦТ">'[20]23'!$A$60:$P$62,'[20]23'!$A$32:$P$34</definedName>
    <definedName name="T23?L1" localSheetId="9">'[37]налоги в с-ст'!#REF!</definedName>
    <definedName name="T23?L1" localSheetId="4">'[37]налоги в с-ст'!#REF!</definedName>
    <definedName name="T23?L1">'[37]налоги в с-ст'!#REF!</definedName>
    <definedName name="T23?L1.1" localSheetId="9">'[37]налоги в с-ст'!#REF!</definedName>
    <definedName name="T23?L1.1" localSheetId="4">'[37]налоги в с-ст'!#REF!</definedName>
    <definedName name="T23?L1.1">'[37]налоги в с-ст'!#REF!</definedName>
    <definedName name="T23?L1.2" localSheetId="9">'[37]налоги в с-ст'!#REF!</definedName>
    <definedName name="T23?L1.2" localSheetId="4">'[37]налоги в с-ст'!#REF!</definedName>
    <definedName name="T23?L1.2">'[37]налоги в с-ст'!#REF!</definedName>
    <definedName name="T23?L2" localSheetId="9">'[37]налоги в с-ст'!#REF!</definedName>
    <definedName name="T23?L2" localSheetId="4">'[37]налоги в с-ст'!#REF!</definedName>
    <definedName name="T23?L2">'[37]налоги в с-ст'!#REF!</definedName>
    <definedName name="T23?L3" localSheetId="9">'[37]налоги в с-ст'!#REF!</definedName>
    <definedName name="T23?L3" localSheetId="4">'[37]налоги в с-ст'!#REF!</definedName>
    <definedName name="T23?L3">'[37]налоги в с-ст'!#REF!</definedName>
    <definedName name="T23?L4" localSheetId="9">'[37]налоги в с-ст'!#REF!</definedName>
    <definedName name="T23?L4" localSheetId="4">'[37]налоги в с-ст'!#REF!</definedName>
    <definedName name="T23?L4">'[37]налоги в с-ст'!#REF!</definedName>
    <definedName name="T23?Name" localSheetId="9">'[37]налоги в с-ст'!#REF!</definedName>
    <definedName name="T23?Name" localSheetId="4">'[37]налоги в с-ст'!#REF!</definedName>
    <definedName name="T23?Name">'[37]налоги в с-ст'!#REF!</definedName>
    <definedName name="T23?Table" localSheetId="9">'[37]налоги в с-ст'!#REF!</definedName>
    <definedName name="T23?Table" localSheetId="4">'[37]налоги в с-ст'!#REF!</definedName>
    <definedName name="T23?Table">'[37]налоги в с-ст'!#REF!</definedName>
    <definedName name="T23?Title" localSheetId="9">'[37]налоги в с-ст'!#REF!</definedName>
    <definedName name="T23?Title" localSheetId="4">'[37]налоги в с-ст'!#REF!</definedName>
    <definedName name="T23?Title">'[37]налоги в с-ст'!#REF!</definedName>
    <definedName name="T23?unit?ПРЦ">'[26]23'!$D$12:$H$12,'[26]23'!$I$6:$L$13</definedName>
    <definedName name="T23?unit?ТРУБ">'[26]23'!$D$9:$H$9,'[26]23'!$D$11:$H$11,'[26]23'!$D$13:$H$13,'[26]23'!$D$6:$H$7</definedName>
    <definedName name="T23_Protection" localSheetId="9">'[20]23'!$A$60:$A$62,'[20]23'!$F$60:$J$62,'[20]23'!$O$60:$P$62,'[20]23'!$A$9:$A$25,[0]!P1_T23_Protection</definedName>
    <definedName name="T23_Protection" localSheetId="4">'[20]23'!$A$60:$A$62,'[20]23'!$F$60:$J$62,'[20]23'!$O$60:$P$62,'[20]23'!$A$9:$A$25,[0]!P1_T23_Protection</definedName>
    <definedName name="T23_Protection">'[20]23'!$A$60:$A$62,'[20]23'!$F$60:$J$62,'[20]23'!$O$60:$P$62,'[20]23'!$A$9:$A$25,P1_T23_Protection</definedName>
    <definedName name="T24.1?Data">'[26]24.1'!$E$6:$J$21, '[26]24.1'!$E$23, '[26]24.1'!$H$23:$J$23, '[26]24.1'!$E$28:$J$42, '[26]24.1'!$E$44, '[26]24.1'!$H$44:$J$44</definedName>
    <definedName name="T24.1?unit?ТРУБ">'[26]24.1'!$E$5:$E$44, '[26]24.1'!$J$5:$J$44</definedName>
    <definedName name="T24.1_Copy1" localSheetId="9">'[37]% за кредит'!#REF!</definedName>
    <definedName name="T24.1_Copy1" localSheetId="4">'[37]% за кредит'!#REF!</definedName>
    <definedName name="T24.1_Copy1">'[37]% за кредит'!#REF!</definedName>
    <definedName name="T24.1_Copy2" localSheetId="9">'[37]% за кредит'!#REF!</definedName>
    <definedName name="T24.1_Copy2" localSheetId="4">'[37]% за кредит'!#REF!</definedName>
    <definedName name="T24.1_Copy2">'[37]% за кредит'!#REF!</definedName>
    <definedName name="T24?axis?R?ДОГОВОР">'[26]24'!$D$27:$L$37,'[26]24'!$D$8:$L$18</definedName>
    <definedName name="T24?axis?R?ДОГОВОР?">'[26]24'!$B$27:$B$37,'[26]24'!$B$8:$B$18</definedName>
    <definedName name="T24?axis?ПРД?БАЗ">'[26]24'!$I$6:$J$39,'[26]24'!$F$6:$G$39</definedName>
    <definedName name="T24?axis?ПРД?ПРЕД">'[26]24'!$K$6:$L$39,'[26]24'!$D$6:$E$39</definedName>
    <definedName name="T24?axis?ПРД?РЕГ" localSheetId="9">#REF!</definedName>
    <definedName name="T24?axis?ПРД?РЕГ" localSheetId="4">#REF!</definedName>
    <definedName name="T24?axis?ПРД?РЕГ">#REF!</definedName>
    <definedName name="T24?axis?ПФ?ПЛАН">'[26]24'!$I$6:$I$39,'[26]24'!$D$6:$D$39,'[26]24'!$K$6:$K$39,'[26]24'!$F$6:$F$38</definedName>
    <definedName name="T24?axis?ПФ?ФАКТ">'[26]24'!$J$6:$J$39,'[26]24'!$E$6:$E$39,'[26]24'!$L$6:$L$39,'[26]24'!$G$6:$G$39</definedName>
    <definedName name="T24?Data">'[26]24'!$D$6:$L$6, '[26]24'!$D$8:$L$18, '[26]24'!$D$20:$L$25, '[26]24'!$D$27:$L$37, '[26]24'!$D$39:$L$39</definedName>
    <definedName name="T24?item_ext?РОСТ" localSheetId="9">#REF!</definedName>
    <definedName name="T24?item_ext?РОСТ" localSheetId="4">#REF!</definedName>
    <definedName name="T24?item_ext?РОСТ">#REF!</definedName>
    <definedName name="T24?L1" localSheetId="9">#REF!</definedName>
    <definedName name="T24?L1" localSheetId="4">#REF!</definedName>
    <definedName name="T24?L1">#REF!</definedName>
    <definedName name="T24?L1.x" localSheetId="9">#REF!</definedName>
    <definedName name="T24?L1.x" localSheetId="4">#REF!</definedName>
    <definedName name="T24?L1.x">#REF!</definedName>
    <definedName name="T24?L2" localSheetId="9">#REF!</definedName>
    <definedName name="T24?L2" localSheetId="4">#REF!</definedName>
    <definedName name="T24?L2">#REF!</definedName>
    <definedName name="T24?L2.1" localSheetId="9">#REF!</definedName>
    <definedName name="T24?L2.1" localSheetId="4">#REF!</definedName>
    <definedName name="T24?L2.1">#REF!</definedName>
    <definedName name="T24?L2.2" localSheetId="9">#REF!</definedName>
    <definedName name="T24?L2.2" localSheetId="4">#REF!</definedName>
    <definedName name="T24?L2.2">#REF!</definedName>
    <definedName name="T24?L3" localSheetId="9">#REF!</definedName>
    <definedName name="T24?L3" localSheetId="4">#REF!</definedName>
    <definedName name="T24?L3">#REF!</definedName>
    <definedName name="T24?L4" localSheetId="9">#REF!</definedName>
    <definedName name="T24?L4" localSheetId="4">#REF!</definedName>
    <definedName name="T24?L4">#REF!</definedName>
    <definedName name="T24?L5" localSheetId="9">#REF!</definedName>
    <definedName name="T24?L5" localSheetId="4">#REF!</definedName>
    <definedName name="T24?L5">#REF!</definedName>
    <definedName name="T24?L5.x" localSheetId="9">#REF!</definedName>
    <definedName name="T24?L5.x" localSheetId="4">#REF!</definedName>
    <definedName name="T24?L5.x">#REF!</definedName>
    <definedName name="T24?L6" localSheetId="9">#REF!</definedName>
    <definedName name="T24?L6" localSheetId="4">#REF!</definedName>
    <definedName name="T24?L6">#REF!</definedName>
    <definedName name="T24?Name" localSheetId="9">#REF!</definedName>
    <definedName name="T24?Name" localSheetId="4">#REF!</definedName>
    <definedName name="T24?Name">#REF!</definedName>
    <definedName name="T24?Table" localSheetId="9">#REF!</definedName>
    <definedName name="T24?Table" localSheetId="4">#REF!</definedName>
    <definedName name="T24?Table">#REF!</definedName>
    <definedName name="T24?Title" localSheetId="9">#REF!</definedName>
    <definedName name="T24?Title" localSheetId="4">#REF!</definedName>
    <definedName name="T24?Title">#REF!</definedName>
    <definedName name="T24?unit?ПРЦ">'[26]24'!$D$22:$H$22, '[26]24'!$I$6:$L$6, '[26]24'!$I$8:$L$18, '[26]24'!$I$20:$L$25, '[26]24'!$I$27:$L$37, '[26]24'!$I$39:$L$39</definedName>
    <definedName name="T24?unit?ТРУБ">'[26]24'!$D$6:$H$6, '[26]24'!$D$8:$H$18, '[26]24'!$D$20:$H$21, '[26]24'!$D$23:$H$25, '[26]24'!$D$27:$H$37, '[26]24'!$D$39:$H$39</definedName>
    <definedName name="T24_Copy1" localSheetId="9">#REF!</definedName>
    <definedName name="T24_Copy1" localSheetId="4">#REF!</definedName>
    <definedName name="T24_Copy1">#REF!</definedName>
    <definedName name="T24_Copy2" localSheetId="9">#REF!</definedName>
    <definedName name="T24_Copy2" localSheetId="4">#REF!</definedName>
    <definedName name="T24_Copy2">#REF!</definedName>
    <definedName name="T24_Protection">'[20]24'!$E$24:$H$37,'[20]24'!$B$35:$B$37,'[20]24'!$E$41:$H$42,'[20]24'!$J$8:$M$21,'[20]24'!$J$24:$M$37,'[20]24'!$J$41:$M$42,'[20]24'!$E$8:$H$21</definedName>
    <definedName name="T25?axis?R?ВРАС" localSheetId="9">#REF!</definedName>
    <definedName name="T25?axis?R?ВРАС" localSheetId="4">#REF!</definedName>
    <definedName name="T25?axis?R?ВРАС">#REF!</definedName>
    <definedName name="T25?axis?R?ВРАС?" localSheetId="9">#REF!</definedName>
    <definedName name="T25?axis?R?ВРАС?" localSheetId="4">#REF!</definedName>
    <definedName name="T25?axis?R?ВРАС?">#REF!</definedName>
    <definedName name="T25?axis?R?ДОГОВОР">'[26]25'!$G$19:$O$20, '[26]25'!$G$9:$O$10, '[26]25'!$G$14:$O$15, '[26]25'!$G$24:$O$24, '[26]25'!$G$29:$O$34, '[26]25'!$G$38:$O$40</definedName>
    <definedName name="T25?axis?R?ДОГОВОР?">'[26]25'!$E$19:$E$20, '[26]25'!$E$9:$E$10, '[26]25'!$E$14:$E$15, '[26]25'!$E$24, '[26]25'!$E$29:$E$34, '[26]25'!$E$38:$E$40</definedName>
    <definedName name="T25?axis?ПРД?БАЗ" localSheetId="9">#REF!</definedName>
    <definedName name="T25?axis?ПРД?БАЗ" localSheetId="4">#REF!</definedName>
    <definedName name="T25?axis?ПРД?БАЗ">#REF!</definedName>
    <definedName name="T25?axis?ПРД?ПРЕД" localSheetId="9">#REF!</definedName>
    <definedName name="T25?axis?ПРД?ПРЕД" localSheetId="4">#REF!</definedName>
    <definedName name="T25?axis?ПРД?ПРЕД">#REF!</definedName>
    <definedName name="T25?axis?ПРД?РЕГ" localSheetId="9">#REF!</definedName>
    <definedName name="T25?axis?ПРД?РЕГ" localSheetId="4">#REF!</definedName>
    <definedName name="T25?axis?ПРД?РЕГ">#REF!</definedName>
    <definedName name="T25?axis?ПФ?ПЛАН">'[26]25'!$I$7:$I$51,         '[26]25'!$L$7:$L$51</definedName>
    <definedName name="T25?axis?ПФ?ФАКТ">'[26]25'!$J$7:$J$51,         '[26]25'!$M$7:$M$51</definedName>
    <definedName name="T25?Data" localSheetId="9">#REF!</definedName>
    <definedName name="T25?Data" localSheetId="4">#REF!</definedName>
    <definedName name="T25?Data">#REF!</definedName>
    <definedName name="T25?item_ext?РОСТ" localSheetId="9">#REF!</definedName>
    <definedName name="T25?item_ext?РОСТ" localSheetId="4">#REF!</definedName>
    <definedName name="T25?item_ext?РОСТ">#REF!</definedName>
    <definedName name="T25?item_ext?РОСТ2" localSheetId="9">#REF!</definedName>
    <definedName name="T25?item_ext?РОСТ2" localSheetId="4">#REF!</definedName>
    <definedName name="T25?item_ext?РОСТ2">#REF!</definedName>
    <definedName name="T25?L1" xml:space="preserve"> '[26]25'!$A$17:$O$17,  '[26]25'!$A$7:$O$7,  '[26]25'!$A$12:$O$12,  '[26]25'!$A$22:$O$22,  '[26]25'!$A$26:$O$26,  '[26]25'!$A$36:$O$36</definedName>
    <definedName name="T25?L1.1">'[26]25'!$A$19:$O$20, '[26]25'!$A$31:$O$31, '[26]25'!$A$9:$O$10, '[26]25'!$A$14:$O$15, '[26]25'!$A$24:$O$24, '[26]25'!$A$29:$O$29, '[26]25'!$A$33:$O$33, '[26]25'!$A$38:$O$40</definedName>
    <definedName name="T25?L1.2" localSheetId="9">#REF!</definedName>
    <definedName name="T25?L1.2" localSheetId="4">#REF!</definedName>
    <definedName name="T25?L1.2">#REF!</definedName>
    <definedName name="T25?L1.2.1" xml:space="preserve"> '[26]25'!$A$32:$O$32,     '[26]25'!$A$30:$O$30,     '[26]25'!$A$34:$O$34</definedName>
    <definedName name="T25?L2" localSheetId="9">#REF!</definedName>
    <definedName name="T25?L2" localSheetId="4">#REF!</definedName>
    <definedName name="T25?L2">#REF!</definedName>
    <definedName name="T25?L2.1" localSheetId="9">#REF!</definedName>
    <definedName name="T25?L2.1" localSheetId="4">#REF!</definedName>
    <definedName name="T25?L2.1">#REF!</definedName>
    <definedName name="T25?L2.1.1" localSheetId="9">#REF!</definedName>
    <definedName name="T25?L2.1.1" localSheetId="4">#REF!</definedName>
    <definedName name="T25?L2.1.1">#REF!</definedName>
    <definedName name="T25?L2.1.2" localSheetId="9">#REF!</definedName>
    <definedName name="T25?L2.1.2" localSheetId="4">#REF!</definedName>
    <definedName name="T25?L2.1.2">#REF!</definedName>
    <definedName name="T25?L2.2" localSheetId="9">#REF!</definedName>
    <definedName name="T25?L2.2" localSheetId="4">#REF!</definedName>
    <definedName name="T25?L2.2">#REF!</definedName>
    <definedName name="T25?L2.2.1" localSheetId="9">#REF!</definedName>
    <definedName name="T25?L2.2.1" localSheetId="4">#REF!</definedName>
    <definedName name="T25?L2.2.1">#REF!</definedName>
    <definedName name="T25?L2.2.2" localSheetId="9">#REF!</definedName>
    <definedName name="T25?L2.2.2" localSheetId="4">#REF!</definedName>
    <definedName name="T25?L2.2.2">#REF!</definedName>
    <definedName name="T25?L2.2.3" localSheetId="9">#REF!</definedName>
    <definedName name="T25?L2.2.3" localSheetId="4">#REF!</definedName>
    <definedName name="T25?L2.2.3">#REF!</definedName>
    <definedName name="T25?L2.2.4" localSheetId="9">#REF!</definedName>
    <definedName name="T25?L2.2.4" localSheetId="4">#REF!</definedName>
    <definedName name="T25?L2.2.4">#REF!</definedName>
    <definedName name="T25?Name" localSheetId="9">#REF!</definedName>
    <definedName name="T25?Name" localSheetId="4">#REF!</definedName>
    <definedName name="T25?Name">#REF!</definedName>
    <definedName name="T25?Table" localSheetId="9">#REF!</definedName>
    <definedName name="T25?Table" localSheetId="4">#REF!</definedName>
    <definedName name="T25?Table">#REF!</definedName>
    <definedName name="T25?Title" localSheetId="9">#REF!</definedName>
    <definedName name="T25?Title" localSheetId="4">#REF!</definedName>
    <definedName name="T25?Title">#REF!</definedName>
    <definedName name="T25?unit?ГА" xml:space="preserve"> '[26]25'!$G$32:$K$32,     '[26]25'!$G$27:$K$27,     '[26]25'!$G$30:$K$30,     '[26]25'!$G$34:$K$34</definedName>
    <definedName name="T25?unit?ПРЦ" localSheetId="9">#REF!</definedName>
    <definedName name="T25?unit?ПРЦ" localSheetId="4">#REF!</definedName>
    <definedName name="T25?unit?ПРЦ">#REF!</definedName>
    <definedName name="T25?unit?ТРУБ" xml:space="preserve"> '[26]25'!$G$31:$K$31,     '[26]25'!$G$6:$K$26,     '[26]25'!$G$29:$K$29,     '[26]25'!$G$33:$K$33,     '[26]25'!$G$36:$K$51</definedName>
    <definedName name="T25_Copy1" localSheetId="9">#REF!</definedName>
    <definedName name="T25_Copy1" localSheetId="4">#REF!</definedName>
    <definedName name="T25_Copy1">#REF!</definedName>
    <definedName name="T25_Copy2" localSheetId="9">#REF!</definedName>
    <definedName name="T25_Copy2" localSheetId="4">#REF!</definedName>
    <definedName name="T25_Copy2">#REF!</definedName>
    <definedName name="T25_Copy3" localSheetId="9">#REF!</definedName>
    <definedName name="T25_Copy3" localSheetId="4">#REF!</definedName>
    <definedName name="T25_Copy3">#REF!</definedName>
    <definedName name="T25_Copy4" localSheetId="9">#REF!</definedName>
    <definedName name="T25_Copy4" localSheetId="4">#REF!</definedName>
    <definedName name="T25_Copy4">#REF!</definedName>
    <definedName name="T25_protection" localSheetId="9">[0]!P1_T25_protection,[0]!P2_T25_protection</definedName>
    <definedName name="T25_protection" localSheetId="4">[0]!P1_T25_protection,[0]!P2_T25_protection</definedName>
    <definedName name="T25_protection">P1_T25_protection,P2_T25_protection</definedName>
    <definedName name="T26?axis?R?ВРАС">'[20]26'!$C$34:$N$36,'[20]26'!$C$22:$N$24</definedName>
    <definedName name="T26?axis?R?ВРАС?">'[20]26'!$B$34:$B$36,'[20]26'!$B$22:$B$24</definedName>
    <definedName name="T26?axis?ПРД?БАЗ">'[26]26'!$I$6:$J$20,'[26]26'!$F$6:$G$20</definedName>
    <definedName name="T26?axis?ПРД?ПРЕД">'[26]26'!$K$6:$L$20,'[26]26'!$D$6:$E$20</definedName>
    <definedName name="T26?axis?ПФ?ПЛАН">'[26]26'!$I$6:$I$20,'[26]26'!$D$6:$D$20,'[26]26'!$K$6:$K$20,'[26]26'!$F$6:$F$20</definedName>
    <definedName name="T26?axis?ПФ?ФАКТ">'[26]26'!$J$6:$J$20,'[26]26'!$E$6:$E$20,'[26]26'!$L$6:$L$20,'[26]26'!$G$6:$G$20</definedName>
    <definedName name="T26?Data">'[26]26'!$D$6:$L$8, '[26]26'!$D$10:$L$20</definedName>
    <definedName name="T26?item_ext?РОСТ" localSheetId="9">'[37]поощрение (ДВ)'!#REF!</definedName>
    <definedName name="T26?item_ext?РОСТ" localSheetId="4">'[37]поощрение (ДВ)'!#REF!</definedName>
    <definedName name="T26?item_ext?РОСТ">'[37]поощрение (ДВ)'!#REF!</definedName>
    <definedName name="T26?L1">'[20]26'!$F$8:$N$8,'[20]26'!$C$8:$D$8</definedName>
    <definedName name="T26?L1.1">'[20]26'!$F$10:$N$10,'[20]26'!$C$10:$D$10</definedName>
    <definedName name="T26?L2">'[20]26'!$F$11:$N$11,'[20]26'!$C$11:$D$11</definedName>
    <definedName name="T26?L2.1">'[20]26'!$F$13:$N$13,'[20]26'!$C$13:$D$13</definedName>
    <definedName name="T26?L2.7" localSheetId="9">'[37]поощрение (ДВ)'!#REF!</definedName>
    <definedName name="T26?L2.7" localSheetId="4">'[37]поощрение (ДВ)'!#REF!</definedName>
    <definedName name="T26?L2.7">'[37]поощрение (ДВ)'!#REF!</definedName>
    <definedName name="T26?L2.8" localSheetId="9">'[37]поощрение (ДВ)'!#REF!</definedName>
    <definedName name="T26?L2.8" localSheetId="4">'[37]поощрение (ДВ)'!#REF!</definedName>
    <definedName name="T26?L2.8">'[37]поощрение (ДВ)'!#REF!</definedName>
    <definedName name="T26?L3" localSheetId="9">'[37]поощрение (ДВ)'!#REF!</definedName>
    <definedName name="T26?L3" localSheetId="4">'[37]поощрение (ДВ)'!#REF!</definedName>
    <definedName name="T26?L3">'[20]26'!$F$14:$N$14,'[20]26'!$C$14:$D$14</definedName>
    <definedName name="T26?L4">'[20]26'!$F$15:$N$15,'[20]26'!$C$15:$D$15</definedName>
    <definedName name="T26?L5">'[20]26'!$F$16:$N$16,'[20]26'!$C$16:$D$16</definedName>
    <definedName name="T26?L5.1">'[20]26'!$F$18:$N$18,'[20]26'!$C$18:$D$18</definedName>
    <definedName name="T26?L5.2">'[20]26'!$F$19:$N$19,'[20]26'!$C$19:$D$19</definedName>
    <definedName name="T26?L5.3">'[20]26'!$F$20:$N$20,'[20]26'!$C$20:$D$20</definedName>
    <definedName name="T26?L5.3.x">'[20]26'!$F$22:$N$24,'[20]26'!$C$22:$D$24</definedName>
    <definedName name="T26?L6">'[20]26'!$F$26:$N$26,'[20]26'!$C$26:$D$26</definedName>
    <definedName name="T26?L7">'[20]26'!$F$27:$N$27,'[20]26'!$C$27:$D$27</definedName>
    <definedName name="T26?L7.1">'[20]26'!$F$29:$N$29,'[20]26'!$C$29:$D$29</definedName>
    <definedName name="T26?L7.2">'[20]26'!$F$30:$N$30,'[20]26'!$C$30:$D$30</definedName>
    <definedName name="T26?L7.3">'[20]26'!$F$31:$N$31,'[20]26'!$C$31:$D$31</definedName>
    <definedName name="T26?L7.4">'[20]26'!$F$32:$N$32,'[20]26'!$C$32:$D$32</definedName>
    <definedName name="T26?L7.4.x">'[20]26'!$F$34:$N$36,'[20]26'!$C$34:$D$36</definedName>
    <definedName name="T26?L8">'[20]26'!$F$38:$N$38,'[20]26'!$C$38:$D$38</definedName>
    <definedName name="T26?Name" localSheetId="9">'[37]поощрение (ДВ)'!#REF!</definedName>
    <definedName name="T26?Name" localSheetId="4">'[37]поощрение (ДВ)'!#REF!</definedName>
    <definedName name="T26?Name">'[37]поощрение (ДВ)'!#REF!</definedName>
    <definedName name="T26?unit?ПРЦ" localSheetId="9">'[37]поощрение (ДВ)'!#REF!</definedName>
    <definedName name="T26?unit?ПРЦ" localSheetId="4">'[37]поощрение (ДВ)'!#REF!</definedName>
    <definedName name="T26?unit?ПРЦ">'[37]поощрение (ДВ)'!#REF!</definedName>
    <definedName name="T26_Protection" localSheetId="9">'[20]26'!$K$34:$N$36,'[20]26'!$B$22:$B$24,[0]!P1_T26_Protection,[0]!P2_T26_Protection</definedName>
    <definedName name="T26_Protection" localSheetId="4">'[20]26'!$K$34:$N$36,'[20]26'!$B$22:$B$24,[0]!P1_T26_Protection,[0]!P2_T26_Protection</definedName>
    <definedName name="T26_Protection">'[20]26'!$K$34:$N$36,'[20]26'!$B$22:$B$24,P1_T26_Protection,P2_T26_Protection</definedName>
    <definedName name="T27?axis?R?ВРАС">'[20]27'!$C$34:$S$36,'[20]27'!$C$22:$S$24</definedName>
    <definedName name="T27?axis?R?ВРАС?">'[20]27'!$B$34:$B$36,'[20]27'!$B$22:$B$24</definedName>
    <definedName name="T27?axis?ПРД?БАЗ">'[26]27'!$I$6:$J$11,'[26]27'!$F$6:$G$11</definedName>
    <definedName name="T27?axis?ПРД?ПРЕД">'[26]27'!$K$6:$L$11,'[26]27'!$D$6:$E$11</definedName>
    <definedName name="T27?axis?ПРД?РЕГ" localSheetId="9">#REF!</definedName>
    <definedName name="T27?axis?ПРД?РЕГ" localSheetId="4">#REF!</definedName>
    <definedName name="T27?axis?ПРД?РЕГ">#REF!</definedName>
    <definedName name="T27?axis?ПФ?ПЛАН">'[26]27'!$I$6:$I$11,'[26]27'!$D$6:$D$11,'[26]27'!$K$6:$K$11,'[26]27'!$F$6:$F$11</definedName>
    <definedName name="T27?axis?ПФ?ФАКТ">'[26]27'!$J$6:$J$11,'[26]27'!$E$6:$E$11,'[26]27'!$L$6:$L$11,'[26]27'!$G$6:$G$11</definedName>
    <definedName name="T27?Data" localSheetId="9">#REF!</definedName>
    <definedName name="T27?Data" localSheetId="4">#REF!</definedName>
    <definedName name="T27?Data">#REF!</definedName>
    <definedName name="T27?item_ext?РОСТ" localSheetId="9">#REF!</definedName>
    <definedName name="T27?item_ext?РОСТ" localSheetId="4">#REF!</definedName>
    <definedName name="T27?item_ext?РОСТ">#REF!</definedName>
    <definedName name="T27?Items" localSheetId="9">#REF!</definedName>
    <definedName name="T27?Items" localSheetId="4">#REF!</definedName>
    <definedName name="T27?Items">#REF!</definedName>
    <definedName name="T27?L1" localSheetId="9">#REF!</definedName>
    <definedName name="T27?L1" localSheetId="4">#REF!</definedName>
    <definedName name="T27?L1">#REF!</definedName>
    <definedName name="T27?L1.1">'[20]27'!$F$10:$S$10,'[20]27'!$C$10:$D$10</definedName>
    <definedName name="T27?L2" localSheetId="9">#REF!</definedName>
    <definedName name="T27?L2" localSheetId="4">#REF!</definedName>
    <definedName name="T27?L2">#REF!</definedName>
    <definedName name="T27?L2.1">'[20]27'!$F$13:$S$13,'[20]27'!$C$13:$D$13</definedName>
    <definedName name="T27?L3" localSheetId="9">#REF!</definedName>
    <definedName name="T27?L3" localSheetId="4">#REF!</definedName>
    <definedName name="T27?L3">#REF!</definedName>
    <definedName name="T27?L4" localSheetId="9">#REF!</definedName>
    <definedName name="T27?L4" localSheetId="4">#REF!</definedName>
    <definedName name="T27?L4">#REF!</definedName>
    <definedName name="T27?L5" localSheetId="9">#REF!</definedName>
    <definedName name="T27?L5" localSheetId="4">#REF!</definedName>
    <definedName name="T27?L5">#REF!</definedName>
    <definedName name="T27?L5.3">'[20]27'!$F$20:$S$20,'[20]27'!$C$20:$D$20</definedName>
    <definedName name="T27?L5.3.x">'[20]27'!$F$22:$S$24,'[20]27'!$C$22:$D$24</definedName>
    <definedName name="T27?L6" localSheetId="9">#REF!</definedName>
    <definedName name="T27?L6" localSheetId="4">#REF!</definedName>
    <definedName name="T27?L6">#REF!</definedName>
    <definedName name="T27?L7">'[20]27'!$F$27:$S$27,'[20]27'!$C$27:$D$27</definedName>
    <definedName name="T27?L7.1">'[20]27'!$F$29:$S$29,'[20]27'!$C$29:$D$29</definedName>
    <definedName name="T27?L7.2">'[20]27'!$F$30:$S$30,'[20]27'!$C$30:$D$30</definedName>
    <definedName name="T27?L7.3">'[20]27'!$F$31:$S$31,'[20]27'!$C$31:$D$31</definedName>
    <definedName name="T27?L7.4">'[20]27'!$F$32:$S$32,'[20]27'!$C$32:$D$32</definedName>
    <definedName name="T27?L7.4.x">'[20]27'!$F$34:$S$36,'[20]27'!$C$34:$D$36</definedName>
    <definedName name="T27?L8">'[20]27'!$F$38:$S$38,'[20]27'!$C$38:$D$38</definedName>
    <definedName name="T27?Name" localSheetId="9">#REF!</definedName>
    <definedName name="T27?Name" localSheetId="4">#REF!</definedName>
    <definedName name="T27?Name">#REF!</definedName>
    <definedName name="T27?Scope" localSheetId="9">#REF!</definedName>
    <definedName name="T27?Scope" localSheetId="4">#REF!</definedName>
    <definedName name="T27?Scope">#REF!</definedName>
    <definedName name="T27?Table" localSheetId="9">#REF!</definedName>
    <definedName name="T27?Table" localSheetId="4">#REF!</definedName>
    <definedName name="T27?Table">#REF!</definedName>
    <definedName name="T27?Title" localSheetId="9">#REF!</definedName>
    <definedName name="T27?Title" localSheetId="4">#REF!</definedName>
    <definedName name="T27?Title">#REF!</definedName>
    <definedName name="T27?unit?ПРЦ">'[26]27'!$D$7:$H$7, '[26]27'!$I$6:$L$11</definedName>
    <definedName name="T27?unit?ТРУБ">'[26]27'!$D$6:$H$6, '[26]27'!$D$8:$H$11</definedName>
    <definedName name="T27?НАП" localSheetId="9">#REF!</definedName>
    <definedName name="T27?НАП" localSheetId="4">#REF!</definedName>
    <definedName name="T27?НАП">#REF!</definedName>
    <definedName name="T27?ПОТ" localSheetId="9">#REF!</definedName>
    <definedName name="T27?ПОТ" localSheetId="4">#REF!</definedName>
    <definedName name="T27?ПОТ">#REF!</definedName>
    <definedName name="T27_Protect" localSheetId="9">'[25]27'!$E$12:$E$13,'[25]27'!$K$4:$AH$4,'[25]27'!$AK$12:$AK$13</definedName>
    <definedName name="T27_Protect" localSheetId="4">'[25]27'!$E$12:$E$13,'[25]27'!$K$4:$AH$4,'[25]27'!$AK$12:$AK$13</definedName>
    <definedName name="T27_Protect">#REF!,#REF!,#REF!</definedName>
    <definedName name="T27_Protection" localSheetId="9">'[20]27'!$P$34:$S$36,'[20]27'!$B$22:$B$24,[0]!P1_T27_Protection,[0]!P2_T27_Protection,[0]!P3_T27_Protection</definedName>
    <definedName name="T27_Protection" localSheetId="4">'[20]27'!$P$34:$S$36,'[20]27'!$B$22:$B$24,[0]!P1_T27_Protection,[0]!P2_T27_Protection,[0]!P3_T27_Protection</definedName>
    <definedName name="T27_Protection">'[20]27'!$P$34:$S$36,'[20]27'!$B$22:$B$24,P1_T27_Protection,P2_T27_Protection,P3_T27_Protection</definedName>
    <definedName name="T28.3?unit?РУБ.ГКАЛ" localSheetId="9">P1_T28.3?unit?РУБ.ГКАЛ,P2_T28.3?unit?РУБ.ГКАЛ</definedName>
    <definedName name="T28.3?unit?РУБ.ГКАЛ" localSheetId="4">P1_T28.3?unit?РУБ.ГКАЛ,P2_T28.3?unit?РУБ.ГКАЛ</definedName>
    <definedName name="T28.3?unit?РУБ.ГКАЛ">P1_T28.3?unit?РУБ.ГКАЛ,P2_T28.3?unit?РУБ.ГКАЛ</definedName>
    <definedName name="T28?axis?R?ПЭ" localSheetId="9">[0]!P2_T28?axis?R?ПЭ,[0]!P3_T28?axis?R?ПЭ,[0]!P4_T28?axis?R?ПЭ,[0]!P5_T28?axis?R?ПЭ,'1. подк.неподк. факт'!P6_T28?axis?R?ПЭ</definedName>
    <definedName name="T28?axis?R?ПЭ" localSheetId="4">[0]!P2_T28?axis?R?ПЭ,[0]!P3_T28?axis?R?ПЭ,[0]!P4_T28?axis?R?ПЭ,[0]!P5_T28?axis?R?ПЭ,'5. подк.неподк.план'!P6_T28?axis?R?ПЭ</definedName>
    <definedName name="T28?axis?R?ПЭ">P2_T28?axis?R?ПЭ,P3_T28?axis?R?ПЭ,P4_T28?axis?R?ПЭ,P5_T28?axis?R?ПЭ,P6_T28?axis?R?ПЭ</definedName>
    <definedName name="T28?axis?R?ПЭ?" localSheetId="9">[0]!P2_T28?axis?R?ПЭ?,[0]!P3_T28?axis?R?ПЭ?,[0]!P4_T28?axis?R?ПЭ?,[0]!P5_T28?axis?R?ПЭ?,'1. подк.неподк. факт'!P6_T28?axis?R?ПЭ?</definedName>
    <definedName name="T28?axis?R?ПЭ?" localSheetId="4">[0]!P2_T28?axis?R?ПЭ?,[0]!P3_T28?axis?R?ПЭ?,[0]!P4_T28?axis?R?ПЭ?,[0]!P5_T28?axis?R?ПЭ?,'5. подк.неподк.план'!P6_T28?axis?R?ПЭ?</definedName>
    <definedName name="T28?axis?R?ПЭ?">P2_T28?axis?R?ПЭ?,P3_T28?axis?R?ПЭ?,P4_T28?axis?R?ПЭ?,P5_T28?axis?R?ПЭ?,P6_T28?axis?R?ПЭ?</definedName>
    <definedName name="T28?axis?ПРД?БАЗ">'[26]28'!$I$6:$J$17,'[26]28'!$F$6:$G$17</definedName>
    <definedName name="T28?axis?ПРД?ПРЕД">'[26]28'!$K$6:$L$17,'[26]28'!$D$6:$E$17</definedName>
    <definedName name="T28?axis?ПРД?РЕГ" localSheetId="9">'[37]другие из прибыли'!#REF!</definedName>
    <definedName name="T28?axis?ПРД?РЕГ" localSheetId="4">'[37]другие из прибыли'!#REF!</definedName>
    <definedName name="T28?axis?ПРД?РЕГ">'[37]другие из прибыли'!#REF!</definedName>
    <definedName name="T28?axis?ПФ?ПЛАН">'[26]28'!$I$6:$I$17,'[26]28'!$D$6:$D$17,'[26]28'!$K$6:$K$17,'[26]28'!$F$6:$F$17</definedName>
    <definedName name="T28?axis?ПФ?ФАКТ">'[26]28'!$J$6:$J$17,'[26]28'!$E$6:$E$17,'[26]28'!$L$6:$L$17,'[26]28'!$G$6:$G$17</definedName>
    <definedName name="T28?Data" localSheetId="9">'[26]28'!$D$7:$L$15, '[26]28'!$D$17:$L$17</definedName>
    <definedName name="T28?Data" localSheetId="4">'[26]28'!$D$7:$L$15, '[26]28'!$D$17:$L$17</definedName>
    <definedName name="T28?Data">'[20]28'!$D$190:$E$213,'[20]28'!$G$164:$H$187,'[20]28'!$D$164:$E$187,'[20]28'!$D$138:$I$161,'[20]28'!$D$8:$I$109,'[20]28'!$D$112:$I$135,P1_T28?Data</definedName>
    <definedName name="T28?item_ext?ВСЕГО">'[20]28'!$I$8:$I$292,'[20]28'!$F$8:$F$292</definedName>
    <definedName name="T28?item_ext?ТЭ">'[20]28'!$E$8:$E$292,'[20]28'!$H$8:$H$292</definedName>
    <definedName name="T28?item_ext?ЭЭ">'[20]28'!$D$8:$D$292,'[20]28'!$G$8:$G$292</definedName>
    <definedName name="T28?L1.1.x">'[20]28'!$D$16:$I$18,'[20]28'!$D$11:$I$13</definedName>
    <definedName name="T28?L10.1.x">'[20]28'!$D$250:$I$252,'[20]28'!$D$245:$I$247</definedName>
    <definedName name="T28?L11.1.x">'[20]28'!$D$276:$I$278,'[20]28'!$D$271:$I$273</definedName>
    <definedName name="T28?L2.1.x">'[20]28'!$D$42:$I$44,'[20]28'!$D$37:$I$39</definedName>
    <definedName name="T28?L3.1.x">'[20]28'!$D$68:$I$70,'[20]28'!$D$63:$I$65</definedName>
    <definedName name="T28?L4.1.x">'[20]28'!$D$94:$I$96,'[20]28'!$D$89:$I$91</definedName>
    <definedName name="T28?L5.1.x">'[20]28'!$D$120:$I$122,'[20]28'!$D$115:$I$117</definedName>
    <definedName name="T28?L6.1.x">'[20]28'!$D$146:$I$148,'[20]28'!$D$141:$I$143</definedName>
    <definedName name="T28?L7.1.x">'[20]28'!$D$172:$I$174,'[20]28'!$D$167:$I$169</definedName>
    <definedName name="T28?L8.1.x">'[20]28'!$D$198:$I$200,'[20]28'!$D$193:$I$195</definedName>
    <definedName name="T28?L9.1.x">'[20]28'!$D$224:$I$226,'[20]28'!$D$219:$I$221</definedName>
    <definedName name="T28?Name" localSheetId="9">'[37]другие из прибыли'!#REF!</definedName>
    <definedName name="T28?Name" localSheetId="4">'[37]другие из прибыли'!#REF!</definedName>
    <definedName name="T28?Name">'[37]другие из прибыли'!#REF!</definedName>
    <definedName name="T28?unit?ГКАЛЧ">'[20]28'!$H$164:$H$187,'[20]28'!$E$164:$E$187</definedName>
    <definedName name="T28?unit?МКВТЧ">'[20]28'!$G$190:$G$213,'[20]28'!$D$190:$D$213</definedName>
    <definedName name="T28?unit?РУБ.ГКАЛ">'[20]28'!$E$216:$E$239,'[20]28'!$E$268:$E$292,'[20]28'!$H$268:$H$292,'[20]28'!$H$216:$H$239</definedName>
    <definedName name="T28?unit?РУБ.ГКАЛЧ.МЕС">'[20]28'!$H$242:$H$265,'[20]28'!$E$242:$E$265</definedName>
    <definedName name="T28?unit?РУБ.ТКВТ.МЕС">'[20]28'!$G$242:$G$265,'[20]28'!$D$242:$D$265</definedName>
    <definedName name="T28?unit?РУБ.ТКВТЧ">'[20]28'!$G$216:$G$239,'[20]28'!$D$268:$D$292,'[20]28'!$G$268:$G$292,'[20]28'!$D$216:$D$239</definedName>
    <definedName name="T28?unit?ТГКАЛ">'[20]28'!$H$190:$H$213,'[20]28'!$E$190:$E$213</definedName>
    <definedName name="T28?unit?ТКВТ">'[20]28'!$G$164:$G$187,'[20]28'!$D$164:$D$187</definedName>
    <definedName name="T28?unit?ТРУБ">'[20]28'!$D$138:$I$161,'[20]28'!$D$8:$I$109</definedName>
    <definedName name="T28_Copy" localSheetId="9">'[37]другие из прибыли'!#REF!</definedName>
    <definedName name="T28_Copy" localSheetId="4">'[37]другие из прибыли'!#REF!</definedName>
    <definedName name="T28_Copy">'[37]другие из прибыли'!#REF!</definedName>
    <definedName name="T28_Protection" localSheetId="9">[0]!P9_T28_Protection,[0]!P10_T28_Protection,[0]!P11_T28_Protection,'1. подк.неподк. факт'!P12_T28_Protection</definedName>
    <definedName name="T28_Protection" localSheetId="4">[0]!P9_T28_Protection,[0]!P10_T28_Protection,[0]!P11_T28_Protection,'5. подк.неподк.план'!P12_T28_Protection</definedName>
    <definedName name="T28_Protection">P9_T28_Protection,P10_T28_Protection,P11_T28_Protection,P12_T28_Protection</definedName>
    <definedName name="T29?axis?ПФ?ПЛАН">'[26]29'!$F$5:$F$11,'[26]29'!$D$5:$D$11</definedName>
    <definedName name="T29?axis?ПФ?ФАКТ">'[26]29'!$G$5:$G$11,'[26]29'!$E$5:$E$11</definedName>
    <definedName name="T29?Data">'[26]29'!$D$6:$H$9, '[26]29'!$D$11:$H$11</definedName>
    <definedName name="T29?item_ext?1СТ" localSheetId="9">P1_T29?item_ext?1СТ</definedName>
    <definedName name="T29?item_ext?1СТ" localSheetId="4">P1_T29?item_ext?1СТ</definedName>
    <definedName name="T29?item_ext?1СТ">P1_T29?item_ext?1СТ</definedName>
    <definedName name="T29?item_ext?2СТ.М" localSheetId="9">P1_T29?item_ext?2СТ.М</definedName>
    <definedName name="T29?item_ext?2СТ.М" localSheetId="4">P1_T29?item_ext?2СТ.М</definedName>
    <definedName name="T29?item_ext?2СТ.М">P1_T29?item_ext?2СТ.М</definedName>
    <definedName name="T29?item_ext?2СТ.Э" localSheetId="9">P1_T29?item_ext?2СТ.Э</definedName>
    <definedName name="T29?item_ext?2СТ.Э" localSheetId="4">P1_T29?item_ext?2СТ.Э</definedName>
    <definedName name="T29?item_ext?2СТ.Э">P1_T29?item_ext?2СТ.Э</definedName>
    <definedName name="T29?L10" localSheetId="9">P1_T29?L10</definedName>
    <definedName name="T29?L10" localSheetId="4">P1_T29?L10</definedName>
    <definedName name="T29?L10">P1_T29?L10</definedName>
    <definedName name="T29_Copy" localSheetId="9">[37]выпадающие!#REF!</definedName>
    <definedName name="T29_Copy" localSheetId="4">[37]выпадающие!#REF!</definedName>
    <definedName name="T29_Copy">[37]выпадающие!#REF!</definedName>
    <definedName name="T3?axis?ПРД?БАЗ">'[26]3'!$I$6:$J$20,'[26]3'!$F$6:$G$20</definedName>
    <definedName name="T3?axis?ПРД?ПРЕД">'[26]3'!$K$6:$L$20,'[26]3'!$D$6:$E$20</definedName>
    <definedName name="T3?axis?ПРД?РЕГ" localSheetId="9">#REF!</definedName>
    <definedName name="T3?axis?ПРД?РЕГ" localSheetId="4">#REF!</definedName>
    <definedName name="T3?axis?ПРД?РЕГ">#REF!</definedName>
    <definedName name="T3?axis?ПФ?ПЛАН">'[26]3'!$I$6:$I$20,'[26]3'!$D$6:$D$20,'[26]3'!$K$6:$K$20,'[26]3'!$F$6:$F$20</definedName>
    <definedName name="T3?axis?ПФ?ФАКТ">'[26]3'!$J$6:$J$20,'[26]3'!$E$6:$E$20,'[26]3'!$L$6:$L$20,'[26]3'!$G$6:$G$20</definedName>
    <definedName name="T3?Data" localSheetId="9">#REF!</definedName>
    <definedName name="T3?Data" localSheetId="4">#REF!</definedName>
    <definedName name="T3?Data">#REF!</definedName>
    <definedName name="T3?item_ext?РОСТ" localSheetId="9">#REF!</definedName>
    <definedName name="T3?item_ext?РОСТ" localSheetId="4">#REF!</definedName>
    <definedName name="T3?item_ext?РОСТ">#REF!</definedName>
    <definedName name="T3?L1" localSheetId="9">#REF!</definedName>
    <definedName name="T3?L1" localSheetId="4">#REF!</definedName>
    <definedName name="T3?L1">#REF!</definedName>
    <definedName name="T3?L1.1" localSheetId="9">#REF!</definedName>
    <definedName name="T3?L1.1" localSheetId="4">#REF!</definedName>
    <definedName name="T3?L1.1">#REF!</definedName>
    <definedName name="T3?L10" localSheetId="9">#REF!</definedName>
    <definedName name="T3?L10" localSheetId="4">#REF!</definedName>
    <definedName name="T3?L10">#REF!</definedName>
    <definedName name="T3?L11" localSheetId="9">#REF!</definedName>
    <definedName name="T3?L11" localSheetId="4">#REF!</definedName>
    <definedName name="T3?L11">#REF!</definedName>
    <definedName name="T3?L12" localSheetId="9">#REF!</definedName>
    <definedName name="T3?L12" localSheetId="4">#REF!</definedName>
    <definedName name="T3?L12">#REF!</definedName>
    <definedName name="T3?L2" localSheetId="9">#REF!</definedName>
    <definedName name="T3?L2" localSheetId="4">#REF!</definedName>
    <definedName name="T3?L2">#REF!</definedName>
    <definedName name="T3?L2.1" localSheetId="9">#REF!</definedName>
    <definedName name="T3?L2.1" localSheetId="4">#REF!</definedName>
    <definedName name="T3?L2.1">#REF!</definedName>
    <definedName name="T3?L3" localSheetId="9">#REF!</definedName>
    <definedName name="T3?L3" localSheetId="4">#REF!</definedName>
    <definedName name="T3?L3">#REF!</definedName>
    <definedName name="T3?L3.1" localSheetId="9">#REF!</definedName>
    <definedName name="T3?L3.1" localSheetId="4">#REF!</definedName>
    <definedName name="T3?L3.1">#REF!</definedName>
    <definedName name="T3?L4" localSheetId="9">#REF!</definedName>
    <definedName name="T3?L4" localSheetId="4">#REF!</definedName>
    <definedName name="T3?L4">#REF!</definedName>
    <definedName name="T3?L5" localSheetId="9">#REF!</definedName>
    <definedName name="T3?L5" localSheetId="4">#REF!</definedName>
    <definedName name="T3?L5">#REF!</definedName>
    <definedName name="T3?L6" localSheetId="9">#REF!</definedName>
    <definedName name="T3?L6" localSheetId="4">#REF!</definedName>
    <definedName name="T3?L6">#REF!</definedName>
    <definedName name="T3?L7" localSheetId="9">#REF!</definedName>
    <definedName name="T3?L7" localSheetId="4">#REF!</definedName>
    <definedName name="T3?L7">#REF!</definedName>
    <definedName name="T3?L8" localSheetId="9">#REF!</definedName>
    <definedName name="T3?L8" localSheetId="4">#REF!</definedName>
    <definedName name="T3?L8">#REF!</definedName>
    <definedName name="T3?L9" localSheetId="9">#REF!</definedName>
    <definedName name="T3?L9" localSheetId="4">#REF!</definedName>
    <definedName name="T3?L9">#REF!</definedName>
    <definedName name="T3?Name" localSheetId="9">#REF!</definedName>
    <definedName name="T3?Name" localSheetId="4">#REF!</definedName>
    <definedName name="T3?Name">#REF!</definedName>
    <definedName name="T3?Table" localSheetId="9">#REF!</definedName>
    <definedName name="T3?Table" localSheetId="4">#REF!</definedName>
    <definedName name="T3?Table">#REF!</definedName>
    <definedName name="T3?Title" localSheetId="9">#REF!</definedName>
    <definedName name="T3?Title" localSheetId="4">#REF!</definedName>
    <definedName name="T3?Title">#REF!</definedName>
    <definedName name="T3?unit?Г.КВТЧ" localSheetId="9">#REF!</definedName>
    <definedName name="T3?unit?Г.КВТЧ" localSheetId="4">#REF!</definedName>
    <definedName name="T3?unit?Г.КВТЧ">#REF!</definedName>
    <definedName name="T3?unit?КГ.ГКАЛ">'[26]3'!$D$13:$H$13,   '[26]3'!$D$16:$H$16</definedName>
    <definedName name="T3?unit?МКВТЧ" localSheetId="9">#REF!</definedName>
    <definedName name="T3?unit?МКВТЧ" localSheetId="4">#REF!</definedName>
    <definedName name="T3?unit?МКВТЧ">#REF!</definedName>
    <definedName name="T3?unit?ПРЦ">'[26]3'!$D$20:$H$20,   '[26]3'!$I$6:$L$20</definedName>
    <definedName name="T3?unit?ТГКАЛ">'[26]3'!$D$12:$H$12,   '[26]3'!$D$15:$H$15</definedName>
    <definedName name="T3?unit?ТТУТ">'[26]3'!$D$10:$H$11,   '[26]3'!$D$14:$H$14,   '[26]3'!$D$17:$H$19</definedName>
    <definedName name="T4.1?axis?R?ВТОП">'[26]4.1'!$E$5:$I$8, '[26]4.1'!$E$12:$I$15, '[26]4.1'!$E$18:$I$21</definedName>
    <definedName name="T4.1?axis?R?ВТОП?">'[26]4.1'!$C$5:$C$8, '[26]4.1'!$C$12:$C$15, '[26]4.1'!$C$18:$C$21</definedName>
    <definedName name="T4.1?axis?ПРД?БАЗ" localSheetId="9">#REF!</definedName>
    <definedName name="T4.1?axis?ПРД?БАЗ" localSheetId="4">#REF!</definedName>
    <definedName name="T4.1?axis?ПРД?БАЗ">#REF!</definedName>
    <definedName name="T4.1?axis?ПРД?ПРЕД" localSheetId="9">#REF!</definedName>
    <definedName name="T4.1?axis?ПРД?ПРЕД" localSheetId="4">#REF!</definedName>
    <definedName name="T4.1?axis?ПРД?ПРЕД">#REF!</definedName>
    <definedName name="T4.1?axis?ПРД?ПРЕД2" localSheetId="9">#REF!</definedName>
    <definedName name="T4.1?axis?ПРД?ПРЕД2" localSheetId="4">#REF!</definedName>
    <definedName name="T4.1?axis?ПРД?ПРЕД2">#REF!</definedName>
    <definedName name="T4.1?axis?ПРД?РЕГ" localSheetId="9">#REF!</definedName>
    <definedName name="T4.1?axis?ПРД?РЕГ" localSheetId="4">#REF!</definedName>
    <definedName name="T4.1?axis?ПРД?РЕГ">#REF!</definedName>
    <definedName name="T4.1?Data">'[26]4.1'!$E$4:$I$9, '[26]4.1'!$E$11:$I$15, '[26]4.1'!$E$18:$I$21</definedName>
    <definedName name="T4.1?item_ext?СРПРЕД3" localSheetId="9">#REF!</definedName>
    <definedName name="T4.1?item_ext?СРПРЕД3" localSheetId="4">#REF!</definedName>
    <definedName name="T4.1?item_ext?СРПРЕД3">#REF!</definedName>
    <definedName name="T4.1?L1" localSheetId="9">#REF!</definedName>
    <definedName name="T4.1?L1" localSheetId="4">#REF!</definedName>
    <definedName name="T4.1?L1">#REF!</definedName>
    <definedName name="T4.1?L1.1" localSheetId="9">#REF!</definedName>
    <definedName name="T4.1?L1.1" localSheetId="4">#REF!</definedName>
    <definedName name="T4.1?L1.1">#REF!</definedName>
    <definedName name="T4.1?L1.2" localSheetId="9">#REF!</definedName>
    <definedName name="T4.1?L1.2" localSheetId="4">#REF!</definedName>
    <definedName name="T4.1?L1.2">#REF!</definedName>
    <definedName name="T4.1?L2" localSheetId="9">#REF!</definedName>
    <definedName name="T4.1?L2" localSheetId="4">#REF!</definedName>
    <definedName name="T4.1?L2">#REF!</definedName>
    <definedName name="T4.1?L3.1" localSheetId="9">#REF!</definedName>
    <definedName name="T4.1?L3.1" localSheetId="4">#REF!</definedName>
    <definedName name="T4.1?L3.1">#REF!</definedName>
    <definedName name="T4.1?Name" localSheetId="9">#REF!</definedName>
    <definedName name="T4.1?Name" localSheetId="4">#REF!</definedName>
    <definedName name="T4.1?Name">#REF!</definedName>
    <definedName name="T4.1?Table" localSheetId="9">#REF!</definedName>
    <definedName name="T4.1?Table" localSheetId="4">#REF!</definedName>
    <definedName name="T4.1?Table">#REF!</definedName>
    <definedName name="T4.1?Title" localSheetId="9">#REF!</definedName>
    <definedName name="T4.1?Title" localSheetId="4">#REF!</definedName>
    <definedName name="T4.1?Title">#REF!</definedName>
    <definedName name="T4.1?unit?ПРЦ" localSheetId="9">#REF!</definedName>
    <definedName name="T4.1?unit?ПРЦ" localSheetId="4">#REF!</definedName>
    <definedName name="T4.1?unit?ПРЦ">#REF!</definedName>
    <definedName name="T4.1?unit?ТТУТ" localSheetId="9">#REF!</definedName>
    <definedName name="T4.1?unit?ТТУТ" localSheetId="4">#REF!</definedName>
    <definedName name="T4.1?unit?ТТУТ">#REF!</definedName>
    <definedName name="T4?axis?R?ВТОП">'[26]4'!$E$7:$M$10,   '[26]4'!$E$14:$M$17,   '[26]4'!$E$20:$M$23,   '[26]4'!$E$26:$M$29,   '[26]4'!$E$32:$M$35,   '[26]4'!$E$38:$M$41,   '[26]4'!$E$45:$M$48,   '[26]4'!$E$51:$M$54,   '[26]4'!$E$58:$M$61,   '[26]4'!$E$65:$M$68,   '[26]4'!$E$72:$M$75</definedName>
    <definedName name="T4?axis?R?ВТОП?">'[26]4'!$C$7:$C$10,   '[26]4'!$C$14:$C$17,   '[26]4'!$C$20:$C$23,   '[26]4'!$C$26:$C$29,   '[26]4'!$C$32:$C$35,   '[26]4'!$C$38:$C$41,   '[26]4'!$C$45:$C$48,   '[26]4'!$C$51:$C$54,   '[26]4'!$C$58:$C$61,   '[26]4'!$C$65:$C$68,   '[26]4'!$C$72:$C$75</definedName>
    <definedName name="T4?axis?ПРД?БАЗ">'[26]4'!$J$6:$K$81,'[26]4'!$G$6:$H$81</definedName>
    <definedName name="T4?axis?ПРД?ПРЕД">'[26]4'!$L$6:$M$81,'[26]4'!$E$6:$F$81</definedName>
    <definedName name="T4?axis?ПРД?РЕГ" localSheetId="9">#REF!</definedName>
    <definedName name="T4?axis?ПРД?РЕГ" localSheetId="4">#REF!</definedName>
    <definedName name="T4?axis?ПРД?РЕГ">#REF!</definedName>
    <definedName name="T4?axis?ПФ?ПЛАН">'[26]4'!$J$6:$J$81,'[26]4'!$E$6:$E$81,'[26]4'!$L$6:$L$81,'[26]4'!$G$6:$G$81</definedName>
    <definedName name="T4?axis?ПФ?ФАКТ">'[26]4'!$K$6:$K$81,'[26]4'!$F$6:$F$81,'[26]4'!$M$6:$M$81,'[26]4'!$H$6:$H$81</definedName>
    <definedName name="T4?Data">'[26]4'!$E$6:$M$11, '[26]4'!$E$13:$M$17, '[26]4'!$E$20:$M$23, '[26]4'!$E$26:$M$29, '[26]4'!$E$32:$M$35, '[26]4'!$E$37:$M$42, '[26]4'!$E$45:$M$48, '[26]4'!$E$50:$M$55, '[26]4'!$E$57:$M$62, '[26]4'!$E$64:$M$69, '[26]4'!$E$72:$M$75, '[26]4'!$E$77:$M$78, '[26]4'!$E$80:$M$80</definedName>
    <definedName name="T4?item_ext?РОСТ" localSheetId="9">#REF!</definedName>
    <definedName name="T4?item_ext?РОСТ" localSheetId="4">#REF!</definedName>
    <definedName name="T4?item_ext?РОСТ">#REF!</definedName>
    <definedName name="T4?L1" localSheetId="9">#REF!</definedName>
    <definedName name="T4?L1" localSheetId="4">#REF!</definedName>
    <definedName name="T4?L1">#REF!</definedName>
    <definedName name="T4?L1.1" localSheetId="9">#REF!</definedName>
    <definedName name="T4?L1.1" localSheetId="4">#REF!</definedName>
    <definedName name="T4?L1.1">#REF!</definedName>
    <definedName name="T4?L1.2" localSheetId="9">#REF!</definedName>
    <definedName name="T4?L1.2" localSheetId="4">#REF!</definedName>
    <definedName name="T4?L1.2">#REF!</definedName>
    <definedName name="T4?L10" localSheetId="9">#REF!</definedName>
    <definedName name="T4?L10" localSheetId="4">#REF!</definedName>
    <definedName name="T4?L10">#REF!</definedName>
    <definedName name="T4?L10.1" localSheetId="9">#REF!</definedName>
    <definedName name="T4?L10.1" localSheetId="4">#REF!</definedName>
    <definedName name="T4?L10.1">#REF!</definedName>
    <definedName name="T4?L10.2" localSheetId="9">#REF!</definedName>
    <definedName name="T4?L10.2" localSheetId="4">#REF!</definedName>
    <definedName name="T4?L10.2">#REF!</definedName>
    <definedName name="T4?L11.1" localSheetId="9">#REF!</definedName>
    <definedName name="T4?L11.1" localSheetId="4">#REF!</definedName>
    <definedName name="T4?L11.1">#REF!</definedName>
    <definedName name="T4?L12" localSheetId="9">#REF!</definedName>
    <definedName name="T4?L12" localSheetId="4">#REF!</definedName>
    <definedName name="T4?L12">#REF!</definedName>
    <definedName name="T4?L13" localSheetId="9">#REF!</definedName>
    <definedName name="T4?L13" localSheetId="4">#REF!</definedName>
    <definedName name="T4?L13">#REF!</definedName>
    <definedName name="T4?L14" localSheetId="9">#REF!</definedName>
    <definedName name="T4?L14" localSheetId="4">#REF!</definedName>
    <definedName name="T4?L14">#REF!</definedName>
    <definedName name="T4?L2" localSheetId="9">#REF!</definedName>
    <definedName name="T4?L2" localSheetId="4">#REF!</definedName>
    <definedName name="T4?L2">#REF!</definedName>
    <definedName name="T4?L2.1" localSheetId="9">#REF!</definedName>
    <definedName name="T4?L2.1" localSheetId="4">#REF!</definedName>
    <definedName name="T4?L2.1">#REF!</definedName>
    <definedName name="T4?L3.1" localSheetId="9">#REF!</definedName>
    <definedName name="T4?L3.1" localSheetId="4">#REF!</definedName>
    <definedName name="T4?L3.1">#REF!</definedName>
    <definedName name="T4?L4.1" localSheetId="9">#REF!</definedName>
    <definedName name="T4?L4.1" localSheetId="4">#REF!</definedName>
    <definedName name="T4?L4.1">#REF!</definedName>
    <definedName name="T4?L5.1" localSheetId="9">#REF!</definedName>
    <definedName name="T4?L5.1" localSheetId="4">#REF!</definedName>
    <definedName name="T4?L5.1">#REF!</definedName>
    <definedName name="T4?L6" localSheetId="9">#REF!</definedName>
    <definedName name="T4?L6" localSheetId="4">#REF!</definedName>
    <definedName name="T4?L6">#REF!</definedName>
    <definedName name="T4?L6.1" localSheetId="9">#REF!</definedName>
    <definedName name="T4?L6.1" localSheetId="4">#REF!</definedName>
    <definedName name="T4?L6.1">#REF!</definedName>
    <definedName name="T4?L6.2" localSheetId="9">#REF!</definedName>
    <definedName name="T4?L6.2" localSheetId="4">#REF!</definedName>
    <definedName name="T4?L6.2">#REF!</definedName>
    <definedName name="T4?L7.1" localSheetId="9">#REF!</definedName>
    <definedName name="T4?L7.1" localSheetId="4">#REF!</definedName>
    <definedName name="T4?L7.1">#REF!</definedName>
    <definedName name="T4?L8" localSheetId="9">#REF!</definedName>
    <definedName name="T4?L8" localSheetId="4">#REF!</definedName>
    <definedName name="T4?L8">#REF!</definedName>
    <definedName name="T4?L8.1" localSheetId="9">#REF!</definedName>
    <definedName name="T4?L8.1" localSheetId="4">#REF!</definedName>
    <definedName name="T4?L8.1">#REF!</definedName>
    <definedName name="T4?L8.2" localSheetId="9">#REF!</definedName>
    <definedName name="T4?L8.2" localSheetId="4">#REF!</definedName>
    <definedName name="T4?L8.2">#REF!</definedName>
    <definedName name="T4?L9" localSheetId="9">#REF!</definedName>
    <definedName name="T4?L9" localSheetId="4">#REF!</definedName>
    <definedName name="T4?L9">#REF!</definedName>
    <definedName name="T4?L9.1" localSheetId="9">#REF!</definedName>
    <definedName name="T4?L9.1" localSheetId="4">#REF!</definedName>
    <definedName name="T4?L9.1">#REF!</definedName>
    <definedName name="T4?L9.2" localSheetId="9">#REF!</definedName>
    <definedName name="T4?L9.2" localSheetId="4">#REF!</definedName>
    <definedName name="T4?L9.2">#REF!</definedName>
    <definedName name="T4?Name" localSheetId="9">#REF!</definedName>
    <definedName name="T4?Name" localSheetId="4">#REF!</definedName>
    <definedName name="T4?Name">#REF!</definedName>
    <definedName name="T4?Table" localSheetId="9">#REF!</definedName>
    <definedName name="T4?Table" localSheetId="4">#REF!</definedName>
    <definedName name="T4?Table">#REF!</definedName>
    <definedName name="T4?Title" localSheetId="9">#REF!</definedName>
    <definedName name="T4?Title" localSheetId="4">#REF!</definedName>
    <definedName name="T4?Title">#REF!</definedName>
    <definedName name="T4?unit?МКВТЧ" localSheetId="9">#REF!</definedName>
    <definedName name="T4?unit?МКВТЧ" localSheetId="4">#REF!</definedName>
    <definedName name="T4?unit?МКВТЧ">#REF!</definedName>
    <definedName name="T4?unit?ММКБ" localSheetId="9">#REF!</definedName>
    <definedName name="T4?unit?ММКБ" localSheetId="4">#REF!</definedName>
    <definedName name="T4?unit?ММКБ">#REF!</definedName>
    <definedName name="T4?unit?ПРЦ">'[26]4'!$J$6:$M$81, '[26]4'!$E$13:$I$17, '[26]4'!$E$78:$I$78</definedName>
    <definedName name="T4?unit?РУБ.МКБ">'[26]4'!$E$34:$I$34, '[26]4'!$E$47:$I$47, '[26]4'!$E$74:$I$74</definedName>
    <definedName name="T4?unit?РУБ.ТКВТЧ" localSheetId="9">#REF!</definedName>
    <definedName name="T4?unit?РУБ.ТКВТЧ" localSheetId="4">#REF!</definedName>
    <definedName name="T4?unit?РУБ.ТКВТЧ">#REF!</definedName>
    <definedName name="T4?unit?РУБ.ТНТ">'[26]4'!$E$32:$I$33, '[26]4'!$E$35:$I$35, '[26]4'!$E$45:$I$46, '[26]4'!$E$48:$I$48, '[26]4'!$E$72:$I$73, '[26]4'!$E$75:$I$75</definedName>
    <definedName name="T4?unit?РУБ.ТУТ" localSheetId="9">#REF!</definedName>
    <definedName name="T4?unit?РУБ.ТУТ" localSheetId="4">#REF!</definedName>
    <definedName name="T4?unit?РУБ.ТУТ">#REF!</definedName>
    <definedName name="T4?unit?ТРУБ">'[26]4'!$E$37:$I$42, '[26]4'!$E$50:$I$55, '[26]4'!$E$57:$I$62</definedName>
    <definedName name="T4?unit?ТТНТ">'[26]4'!$E$26:$I$27, '[26]4'!$E$29:$I$29</definedName>
    <definedName name="T4?unit?ТТУТ" localSheetId="9">#REF!</definedName>
    <definedName name="T4?unit?ТТУТ" localSheetId="4">#REF!</definedName>
    <definedName name="T4?unit?ТТУТ">#REF!</definedName>
    <definedName name="T4_Protect" localSheetId="9">'[25]4'!$AA$24:$AD$28,'[25]4'!$G$11:$J$17,'1. подк.неподк. факт'!P1_T4_Protect,'1. подк.неподк. факт'!P2_T4_Protect</definedName>
    <definedName name="T4_Protect" localSheetId="4">'[25]4'!$AA$24:$AD$28,'[25]4'!$G$11:$J$17,'5. подк.неподк.план'!P1_T4_Protect,'5. подк.неподк.план'!P2_T4_Protect</definedName>
    <definedName name="T4_Protect">'[27]4'!$AA$24:$AD$28,'[27]4'!$G$11:$J$17,P1_T4_Protect,P2_T4_Protect</definedName>
    <definedName name="T5?axis?R?ОС">'[26]5'!$E$7:$Q$18, '[26]5'!$E$21:$Q$32, '[26]5'!$E$35:$Q$46, '[26]5'!$E$49:$Q$60, '[26]5'!$E$63:$Q$74, '[26]5'!$E$77:$Q$88</definedName>
    <definedName name="T5?axis?R?ОС?">'[26]5'!$C$77:$C$88, '[26]5'!$C$63:$C$74, '[26]5'!$C$49:$C$60, '[26]5'!$C$35:$C$46, '[26]5'!$C$21:$C$32, '[26]5'!$C$7:$C$18</definedName>
    <definedName name="T5?axis?ПРД?БАЗ">'[26]5'!$N$6:$O$89,'[26]5'!$G$6:$H$89</definedName>
    <definedName name="T5?axis?ПРД?ПРЕД">'[26]5'!$P$6:$Q$89,'[26]5'!$E$6:$F$89</definedName>
    <definedName name="T5?axis?ПРД?РЕГ" localSheetId="9">#REF!</definedName>
    <definedName name="T5?axis?ПРД?РЕГ" localSheetId="4">#REF!</definedName>
    <definedName name="T5?axis?ПРД?РЕГ">#REF!</definedName>
    <definedName name="T5?axis?ПРД?РЕГ.КВ1" localSheetId="9">#REF!</definedName>
    <definedName name="T5?axis?ПРД?РЕГ.КВ1" localSheetId="4">#REF!</definedName>
    <definedName name="T5?axis?ПРД?РЕГ.КВ1">#REF!</definedName>
    <definedName name="T5?axis?ПРД?РЕГ.КВ2" localSheetId="9">#REF!</definedName>
    <definedName name="T5?axis?ПРД?РЕГ.КВ2" localSheetId="4">#REF!</definedName>
    <definedName name="T5?axis?ПРД?РЕГ.КВ2">#REF!</definedName>
    <definedName name="T5?axis?ПРД?РЕГ.КВ3" localSheetId="9">#REF!</definedName>
    <definedName name="T5?axis?ПРД?РЕГ.КВ3" localSheetId="4">#REF!</definedName>
    <definedName name="T5?axis?ПРД?РЕГ.КВ3">#REF!</definedName>
    <definedName name="T5?axis?ПРД?РЕГ.КВ4" localSheetId="9">#REF!</definedName>
    <definedName name="T5?axis?ПРД?РЕГ.КВ4" localSheetId="4">#REF!</definedName>
    <definedName name="T5?axis?ПРД?РЕГ.КВ4">#REF!</definedName>
    <definedName name="T5?Data">'[26]5'!$E$6:$Q$18, '[26]5'!$E$20:$Q$32, '[26]5'!$E$34:$Q$46, '[26]5'!$E$48:$Q$60, '[26]5'!$E$63:$Q$74, '[26]5'!$E$76:$Q$88</definedName>
    <definedName name="T5?item_ext?РОСТ" localSheetId="9">#REF!</definedName>
    <definedName name="T5?item_ext?РОСТ" localSheetId="4">#REF!</definedName>
    <definedName name="T5?item_ext?РОСТ">#REF!</definedName>
    <definedName name="T5?L1" localSheetId="9">#REF!</definedName>
    <definedName name="T5?L1" localSheetId="4">#REF!</definedName>
    <definedName name="T5?L1">#REF!</definedName>
    <definedName name="T5?L1.1" localSheetId="9">#REF!</definedName>
    <definedName name="T5?L1.1" localSheetId="4">#REF!</definedName>
    <definedName name="T5?L1.1">#REF!</definedName>
    <definedName name="T5?L2" localSheetId="9">#REF!</definedName>
    <definedName name="T5?L2" localSheetId="4">#REF!</definedName>
    <definedName name="T5?L2">#REF!</definedName>
    <definedName name="T5?L2.1" localSheetId="9">#REF!</definedName>
    <definedName name="T5?L2.1" localSheetId="4">#REF!</definedName>
    <definedName name="T5?L2.1">#REF!</definedName>
    <definedName name="T5?L3" localSheetId="9">#REF!</definedName>
    <definedName name="T5?L3" localSheetId="4">#REF!</definedName>
    <definedName name="T5?L3">#REF!</definedName>
    <definedName name="T5?L3.1" localSheetId="9">#REF!</definedName>
    <definedName name="T5?L3.1" localSheetId="4">#REF!</definedName>
    <definedName name="T5?L3.1">#REF!</definedName>
    <definedName name="T5?L4" localSheetId="9">#REF!</definedName>
    <definedName name="T5?L4" localSheetId="4">#REF!</definedName>
    <definedName name="T5?L4">#REF!</definedName>
    <definedName name="T5?L4.1" localSheetId="9">#REF!</definedName>
    <definedName name="T5?L4.1" localSheetId="4">#REF!</definedName>
    <definedName name="T5?L4.1">#REF!</definedName>
    <definedName name="T5?L5.1" localSheetId="9">#REF!</definedName>
    <definedName name="T5?L5.1" localSheetId="4">#REF!</definedName>
    <definedName name="T5?L5.1">#REF!</definedName>
    <definedName name="T5?L6" localSheetId="9">#REF!</definedName>
    <definedName name="T5?L6" localSheetId="4">#REF!</definedName>
    <definedName name="T5?L6">#REF!</definedName>
    <definedName name="T5?L6.1" localSheetId="9">#REF!</definedName>
    <definedName name="T5?L6.1" localSheetId="4">#REF!</definedName>
    <definedName name="T5?L6.1">#REF!</definedName>
    <definedName name="T5?Name" localSheetId="9">#REF!</definedName>
    <definedName name="T5?Name" localSheetId="4">#REF!</definedName>
    <definedName name="T5?Name">#REF!</definedName>
    <definedName name="T5?Table" localSheetId="9">#REF!</definedName>
    <definedName name="T5?Table" localSheetId="4">#REF!</definedName>
    <definedName name="T5?Table">#REF!</definedName>
    <definedName name="T5?Title" localSheetId="9">#REF!</definedName>
    <definedName name="T5?Title" localSheetId="4">#REF!</definedName>
    <definedName name="T5?Title">#REF!</definedName>
    <definedName name="T5?unit?ПРЦ">'[26]5'!$N$6:$Q$18, '[26]5'!$N$20:$Q$32, '[26]5'!$N$34:$Q$46, '[26]5'!$N$48:$Q$60, '[26]5'!$E$63:$Q$74, '[26]5'!$N$76:$Q$88</definedName>
    <definedName name="T5?unit?ТРУБ">'[26]5'!$E$76:$M$88, '[26]5'!$E$48:$M$60, '[26]5'!$E$34:$M$46, '[26]5'!$E$20:$M$32, '[26]5'!$E$6:$M$18</definedName>
    <definedName name="T6.1?axis?ПРД?БАЗ.КВ1" localSheetId="9">#REF!</definedName>
    <definedName name="T6.1?axis?ПРД?БАЗ.КВ1" localSheetId="4">#REF!</definedName>
    <definedName name="T6.1?axis?ПРД?БАЗ.КВ1">#REF!</definedName>
    <definedName name="T6.1?axis?ПРД?БАЗ.КВ2" localSheetId="9">#REF!</definedName>
    <definedName name="T6.1?axis?ПРД?БАЗ.КВ2" localSheetId="4">#REF!</definedName>
    <definedName name="T6.1?axis?ПРД?БАЗ.КВ2">#REF!</definedName>
    <definedName name="T6.1?axis?ПРД?БАЗ.КВ3" localSheetId="9">#REF!</definedName>
    <definedName name="T6.1?axis?ПРД?БАЗ.КВ3" localSheetId="4">#REF!</definedName>
    <definedName name="T6.1?axis?ПРД?БАЗ.КВ3">#REF!</definedName>
    <definedName name="T6.1?axis?ПРД?БАЗ.КВ4" localSheetId="9">#REF!</definedName>
    <definedName name="T6.1?axis?ПРД?БАЗ.КВ4" localSheetId="4">#REF!</definedName>
    <definedName name="T6.1?axis?ПРД?БАЗ.КВ4">#REF!</definedName>
    <definedName name="T6.1?axis?ПРД?РЕГ" localSheetId="9">#REF!</definedName>
    <definedName name="T6.1?axis?ПРД?РЕГ" localSheetId="4">#REF!</definedName>
    <definedName name="T6.1?axis?ПРД?РЕГ">#REF!</definedName>
    <definedName name="T6.1?axis?ПРД?РЕГ.КВ1" localSheetId="9">#REF!</definedName>
    <definedName name="T6.1?axis?ПРД?РЕГ.КВ1" localSheetId="4">#REF!</definedName>
    <definedName name="T6.1?axis?ПРД?РЕГ.КВ1">#REF!</definedName>
    <definedName name="T6.1?axis?ПРД?РЕГ.КВ2" localSheetId="9">#REF!</definedName>
    <definedName name="T6.1?axis?ПРД?РЕГ.КВ2" localSheetId="4">#REF!</definedName>
    <definedName name="T6.1?axis?ПРД?РЕГ.КВ2">#REF!</definedName>
    <definedName name="T6.1?axis?ПРД?РЕГ.КВ3" localSheetId="9">#REF!</definedName>
    <definedName name="T6.1?axis?ПРД?РЕГ.КВ3" localSheetId="4">#REF!</definedName>
    <definedName name="T6.1?axis?ПРД?РЕГ.КВ3">#REF!</definedName>
    <definedName name="T6.1?axis?ПРД?РЕГ.КВ4" localSheetId="9">#REF!</definedName>
    <definedName name="T6.1?axis?ПРД?РЕГ.КВ4" localSheetId="4">#REF!</definedName>
    <definedName name="T6.1?axis?ПРД?РЕГ.КВ4">#REF!</definedName>
    <definedName name="T6.1?Data" localSheetId="9">#REF!</definedName>
    <definedName name="T6.1?Data" localSheetId="4">#REF!</definedName>
    <definedName name="T6.1?Data">#REF!</definedName>
    <definedName name="T6.1?L1" localSheetId="9">#REF!</definedName>
    <definedName name="T6.1?L1" localSheetId="4">#REF!</definedName>
    <definedName name="T6.1?L1">#REF!</definedName>
    <definedName name="T6.1?L2" localSheetId="9">#REF!</definedName>
    <definedName name="T6.1?L2" localSheetId="4">#REF!</definedName>
    <definedName name="T6.1?L2">#REF!</definedName>
    <definedName name="T6.1?Name" localSheetId="9">#REF!</definedName>
    <definedName name="T6.1?Name" localSheetId="4">#REF!</definedName>
    <definedName name="T6.1?Name">#REF!</definedName>
    <definedName name="T6.1?Table" localSheetId="9">#REF!</definedName>
    <definedName name="T6.1?Table" localSheetId="4">#REF!</definedName>
    <definedName name="T6.1?Table">#REF!</definedName>
    <definedName name="T6.1?Title" localSheetId="9">#REF!</definedName>
    <definedName name="T6.1?Title" localSheetId="4">#REF!</definedName>
    <definedName name="T6.1?Title">#REF!</definedName>
    <definedName name="T6.1?unit?ПРЦ" localSheetId="9">#REF!</definedName>
    <definedName name="T6.1?unit?ПРЦ" localSheetId="4">#REF!</definedName>
    <definedName name="T6.1?unit?ПРЦ">#REF!</definedName>
    <definedName name="T6.1?unit?РУБ" localSheetId="9">#REF!</definedName>
    <definedName name="T6.1?unit?РУБ" localSheetId="4">#REF!</definedName>
    <definedName name="T6.1?unit?РУБ">#REF!</definedName>
    <definedName name="T6?axis?ПРД?БАЗ">'[26]6'!$I$6:$J$47,'[26]6'!$F$6:$G$47</definedName>
    <definedName name="T6?axis?ПРД?ПРЕД">'[26]6'!$K$6:$L$47,'[26]6'!$D$6:$E$47</definedName>
    <definedName name="T6?axis?ПРД?РЕГ" localSheetId="9">#REF!</definedName>
    <definedName name="T6?axis?ПРД?РЕГ" localSheetId="4">#REF!</definedName>
    <definedName name="T6?axis?ПРД?РЕГ">#REF!</definedName>
    <definedName name="T6?axis?ПФ?ПЛАН">'[26]6'!$I$6:$I$47,'[26]6'!$D$6:$D$47,'[26]6'!$K$6:$K$47,'[26]6'!$F$6:$F$47</definedName>
    <definedName name="T6?axis?ПФ?ФАКТ">'[26]6'!$J$6:$J$47,'[26]6'!$L$6:$L$47,'[26]6'!$E$6:$E$47,'[26]6'!$G$6:$G$47</definedName>
    <definedName name="T6?Columns" localSheetId="9">#REF!</definedName>
    <definedName name="T6?Columns" localSheetId="4">#REF!</definedName>
    <definedName name="T6?Columns">#REF!</definedName>
    <definedName name="T6?Data">'[26]6'!$D$7:$L$14, '[26]6'!$D$16:$L$19, '[26]6'!$D$21:$L$22, '[26]6'!$D$24:$L$25, '[26]6'!$D$27:$L$28, '[26]6'!$D$30:$L$31, '[26]6'!$D$33:$L$35, '[26]6'!$D$37:$L$39, '[26]6'!$D$41:$L$47</definedName>
    <definedName name="T6?FirstYear" localSheetId="9">#REF!</definedName>
    <definedName name="T6?FirstYear" localSheetId="4">#REF!</definedName>
    <definedName name="T6?FirstYear">#REF!</definedName>
    <definedName name="T6?item_ext?РОСТ" localSheetId="9">#REF!</definedName>
    <definedName name="T6?item_ext?РОСТ" localSheetId="4">#REF!</definedName>
    <definedName name="T6?item_ext?РОСТ">#REF!</definedName>
    <definedName name="T6?L1.1" localSheetId="9">#REF!</definedName>
    <definedName name="T6?L1.1" localSheetId="4">#REF!</definedName>
    <definedName name="T6?L1.1">#REF!</definedName>
    <definedName name="T6?L1.1.1" localSheetId="9">#REF!</definedName>
    <definedName name="T6?L1.1.1" localSheetId="4">#REF!</definedName>
    <definedName name="T6?L1.1.1">#REF!</definedName>
    <definedName name="T6?L1.2" localSheetId="9">#REF!</definedName>
    <definedName name="T6?L1.2" localSheetId="4">#REF!</definedName>
    <definedName name="T6?L1.2">#REF!</definedName>
    <definedName name="T6?L1.2.1" localSheetId="9">#REF!</definedName>
    <definedName name="T6?L1.2.1" localSheetId="4">#REF!</definedName>
    <definedName name="T6?L1.2.1">#REF!</definedName>
    <definedName name="T6?L1.3" localSheetId="9">#REF!</definedName>
    <definedName name="T6?L1.3" localSheetId="4">#REF!</definedName>
    <definedName name="T6?L1.3">#REF!</definedName>
    <definedName name="T6?L1.3.1" localSheetId="9">#REF!</definedName>
    <definedName name="T6?L1.3.1" localSheetId="4">#REF!</definedName>
    <definedName name="T6?L1.3.1">#REF!</definedName>
    <definedName name="T6?L1.4" localSheetId="9">#REF!</definedName>
    <definedName name="T6?L1.4" localSheetId="4">#REF!</definedName>
    <definedName name="T6?L1.4">#REF!</definedName>
    <definedName name="T6?L1.5" localSheetId="9">#REF!</definedName>
    <definedName name="T6?L1.5" localSheetId="4">#REF!</definedName>
    <definedName name="T6?L1.5">#REF!</definedName>
    <definedName name="T6?L2.1" localSheetId="9">#REF!</definedName>
    <definedName name="T6?L2.1" localSheetId="4">#REF!</definedName>
    <definedName name="T6?L2.1">#REF!</definedName>
    <definedName name="T6?L2.10" localSheetId="9">#REF!</definedName>
    <definedName name="T6?L2.10" localSheetId="4">#REF!</definedName>
    <definedName name="T6?L2.10">#REF!</definedName>
    <definedName name="T6?L2.2" localSheetId="9">#REF!</definedName>
    <definedName name="T6?L2.2" localSheetId="4">#REF!</definedName>
    <definedName name="T6?L2.2">#REF!</definedName>
    <definedName name="T6?L2.3" localSheetId="9">#REF!</definedName>
    <definedName name="T6?L2.3" localSheetId="4">#REF!</definedName>
    <definedName name="T6?L2.3">#REF!</definedName>
    <definedName name="T6?L2.4" localSheetId="9">#REF!</definedName>
    <definedName name="T6?L2.4" localSheetId="4">#REF!</definedName>
    <definedName name="T6?L2.4">#REF!</definedName>
    <definedName name="T6?L2.5.1" localSheetId="9">#REF!</definedName>
    <definedName name="T6?L2.5.1" localSheetId="4">#REF!</definedName>
    <definedName name="T6?L2.5.1">#REF!</definedName>
    <definedName name="T6?L2.5.2" localSheetId="9">#REF!</definedName>
    <definedName name="T6?L2.5.2" localSheetId="4">#REF!</definedName>
    <definedName name="T6?L2.5.2">#REF!</definedName>
    <definedName name="T6?L2.6.1" localSheetId="9">#REF!</definedName>
    <definedName name="T6?L2.6.1" localSheetId="4">#REF!</definedName>
    <definedName name="T6?L2.6.1">#REF!</definedName>
    <definedName name="T6?L2.6.2" localSheetId="9">#REF!</definedName>
    <definedName name="T6?L2.6.2" localSheetId="4">#REF!</definedName>
    <definedName name="T6?L2.6.2">#REF!</definedName>
    <definedName name="T6?L2.7.1" localSheetId="9">#REF!</definedName>
    <definedName name="T6?L2.7.1" localSheetId="4">#REF!</definedName>
    <definedName name="T6?L2.7.1">#REF!</definedName>
    <definedName name="T6?L2.7.2" localSheetId="9">#REF!</definedName>
    <definedName name="T6?L2.7.2" localSheetId="4">#REF!</definedName>
    <definedName name="T6?L2.7.2">#REF!</definedName>
    <definedName name="T6?L2.8.1" localSheetId="9">#REF!</definedName>
    <definedName name="T6?L2.8.1" localSheetId="4">#REF!</definedName>
    <definedName name="T6?L2.8.1">#REF!</definedName>
    <definedName name="T6?L2.8.2" localSheetId="9">#REF!</definedName>
    <definedName name="T6?L2.8.2" localSheetId="4">#REF!</definedName>
    <definedName name="T6?L2.8.2">#REF!</definedName>
    <definedName name="T6?L2.9.1" localSheetId="9">#REF!</definedName>
    <definedName name="T6?L2.9.1" localSheetId="4">#REF!</definedName>
    <definedName name="T6?L2.9.1">#REF!</definedName>
    <definedName name="T6?L2.9.2" localSheetId="9">#REF!</definedName>
    <definedName name="T6?L2.9.2" localSheetId="4">#REF!</definedName>
    <definedName name="T6?L2.9.2">#REF!</definedName>
    <definedName name="T6?L3.1" localSheetId="9">#REF!</definedName>
    <definedName name="T6?L3.1" localSheetId="4">#REF!</definedName>
    <definedName name="T6?L3.1">#REF!</definedName>
    <definedName name="T6?L3.2" localSheetId="9">#REF!</definedName>
    <definedName name="T6?L3.2" localSheetId="4">#REF!</definedName>
    <definedName name="T6?L3.2">#REF!</definedName>
    <definedName name="T6?L3.3" localSheetId="9">#REF!</definedName>
    <definedName name="T6?L3.3" localSheetId="4">#REF!</definedName>
    <definedName name="T6?L3.3">#REF!</definedName>
    <definedName name="T6?L4.1" localSheetId="9">#REF!</definedName>
    <definedName name="T6?L4.1" localSheetId="4">#REF!</definedName>
    <definedName name="T6?L4.1">#REF!</definedName>
    <definedName name="T6?L4.2" localSheetId="9">#REF!</definedName>
    <definedName name="T6?L4.2" localSheetId="4">#REF!</definedName>
    <definedName name="T6?L4.2">#REF!</definedName>
    <definedName name="T6?L4.3" localSheetId="9">#REF!</definedName>
    <definedName name="T6?L4.3" localSheetId="4">#REF!</definedName>
    <definedName name="T6?L4.3">#REF!</definedName>
    <definedName name="T6?L4.4" localSheetId="9">#REF!</definedName>
    <definedName name="T6?L4.4" localSheetId="4">#REF!</definedName>
    <definedName name="T6?L4.4">#REF!</definedName>
    <definedName name="T6?L4.5" localSheetId="9">#REF!</definedName>
    <definedName name="T6?L4.5" localSheetId="4">#REF!</definedName>
    <definedName name="T6?L4.5">#REF!</definedName>
    <definedName name="T6?L4.6" localSheetId="9">#REF!</definedName>
    <definedName name="T6?L4.6" localSheetId="4">#REF!</definedName>
    <definedName name="T6?L4.6">#REF!</definedName>
    <definedName name="T6?L4.7" localSheetId="9">#REF!</definedName>
    <definedName name="T6?L4.7" localSheetId="4">#REF!</definedName>
    <definedName name="T6?L4.7">#REF!</definedName>
    <definedName name="T6?Name" localSheetId="9">#REF!</definedName>
    <definedName name="T6?Name" localSheetId="4">#REF!</definedName>
    <definedName name="T6?Name">#REF!</definedName>
    <definedName name="T6?Scope" localSheetId="9">#REF!</definedName>
    <definedName name="T6?Scope" localSheetId="4">#REF!</definedName>
    <definedName name="T6?Scope">#REF!</definedName>
    <definedName name="T6?Table" localSheetId="9">#REF!</definedName>
    <definedName name="T6?Table" localSheetId="4">#REF!</definedName>
    <definedName name="T6?Table">#REF!</definedName>
    <definedName name="T6?Title" localSheetId="9">#REF!</definedName>
    <definedName name="T6?Title" localSheetId="4">#REF!</definedName>
    <definedName name="T6?Title">#REF!</definedName>
    <definedName name="T6?unit?ПРЦ">'[26]6'!$D$12:$H$12, '[26]6'!$D$21:$H$21, '[26]6'!$D$24:$H$24, '[26]6'!$D$27:$H$27, '[26]6'!$D$30:$H$30, '[26]6'!$D$33:$H$33, '[26]6'!$D$47:$H$47, '[26]6'!$I$7:$L$47</definedName>
    <definedName name="T6?unit?РУБ">'[26]6'!$D$16:$H$16, '[26]6'!$D$19:$H$19, '[26]6'!$D$22:$H$22, '[26]6'!$D$25:$H$25, '[26]6'!$D$28:$H$28, '[26]6'!$D$31:$H$31, '[26]6'!$D$34:$H$35, '[26]6'!$D$43:$H$43</definedName>
    <definedName name="T6?unit?ТРУБ">'[26]6'!$D$37:$H$39, '[26]6'!$D$44:$H$46</definedName>
    <definedName name="T6?unit?ЧЕЛ">'[26]6'!$D$41:$H$42, '[26]6'!$D$13:$H$14, '[26]6'!$D$7:$H$11</definedName>
    <definedName name="T6?НАП" localSheetId="9">#REF!</definedName>
    <definedName name="T6?НАП" localSheetId="4">#REF!</definedName>
    <definedName name="T6?НАП">#REF!</definedName>
    <definedName name="T6?ПОТ" localSheetId="9">#REF!</definedName>
    <definedName name="T6?ПОТ" localSheetId="4">#REF!</definedName>
    <definedName name="T6?ПОТ">#REF!</definedName>
    <definedName name="T6_Protect" localSheetId="9">'[25]6'!$B$28:$B$37,'[25]6'!$D$28:$H$37,'[25]6'!$J$28:$N$37,'[25]6'!$D$39:$H$41,'[25]6'!$J$39:$N$41,'[25]6'!$B$46:$B$55,'1. подк.неподк. факт'!P1_T6_Protect</definedName>
    <definedName name="T6_Protect" localSheetId="4">'[25]6'!$B$28:$B$37,'[25]6'!$D$28:$H$37,'[25]6'!$J$28:$N$37,'[25]6'!$D$39:$H$41,'[25]6'!$J$39:$N$41,'[25]6'!$B$46:$B$55,'5. подк.неподк.план'!P1_T6_Protect</definedName>
    <definedName name="T6_Protect">#REF!,#REF!,#REF!,#REF!,#REF!,#REF!,P1_T6_Protect</definedName>
    <definedName name="T7?axis?ПРД?БАЗ">[37]материалы!$K$6:$L$10,[37]материалы!$H$6:$I$10</definedName>
    <definedName name="T7?axis?ПРД?ПРЕД">[37]материалы!$M$6:$N$10,[37]материалы!$F$6:$G$10</definedName>
    <definedName name="T7?axis?ПФ?ПЛАН">[37]материалы!$K$6:$K$10,[37]материалы!$F$6:$F$10,[37]материалы!$M$6:$M$10,[37]материалы!$H$6:$H$10</definedName>
    <definedName name="T7?axis?ПФ?ФАКТ">[37]материалы!$L$6:$L$10,[37]материалы!$G$6:$G$10,[37]материалы!$N$6:$N$10,[37]материалы!$I$6:$I$10</definedName>
    <definedName name="T7?Data">#N/A</definedName>
    <definedName name="T7?L3" localSheetId="9">[37]материалы!#REF!</definedName>
    <definedName name="T7?L3" localSheetId="4">[37]материалы!#REF!</definedName>
    <definedName name="T7?L3">[37]материалы!#REF!</definedName>
    <definedName name="T7?L4" localSheetId="9">[37]материалы!#REF!</definedName>
    <definedName name="T7?L4" localSheetId="4">[37]материалы!#REF!</definedName>
    <definedName name="T7?L4">[37]материалы!#REF!</definedName>
    <definedName name="T8?axis?ПРД?БАЗ">'[26]8'!$I$6:$J$42, '[26]8'!$F$6:$G$42</definedName>
    <definedName name="T8?axis?ПРД?ПРЕД">'[26]8'!$K$6:$L$42, '[26]8'!$D$6:$E$42</definedName>
    <definedName name="T8?axis?ПФ?ПЛАН">'[26]8'!$I$6:$I$42, '[26]8'!$D$6:$D$42, '[26]8'!$K$6:$K$42, '[26]8'!$F$6:$F$42</definedName>
    <definedName name="T8?axis?ПФ?ФАКТ">'[26]8'!$G$6:$G$42, '[26]8'!$J$6:$J$42, '[26]8'!$L$6:$L$42, '[26]8'!$E$6:$E$42</definedName>
    <definedName name="T8?Data">'[26]8'!$D$10:$L$12,'[26]8'!$D$14:$L$16,'[26]8'!$D$18:$L$20,'[26]8'!$D$22:$L$24,'[26]8'!$D$26:$L$28,'[26]8'!$D$30:$L$32,'[26]8'!$D$36:$L$38,'[26]8'!$D$40:$L$42,'[26]8'!$D$6:$L$8</definedName>
    <definedName name="T8?item_ext?РОСТ" localSheetId="9">[37]ремонты!#REF!</definedName>
    <definedName name="T8?item_ext?РОСТ" localSheetId="4">[37]ремонты!#REF!</definedName>
    <definedName name="T8?item_ext?РОСТ">[37]ремонты!#REF!</definedName>
    <definedName name="T8?Name" localSheetId="9">[37]ремонты!#REF!</definedName>
    <definedName name="T8?Name" localSheetId="4">[37]ремонты!#REF!</definedName>
    <definedName name="T8?Name">[37]ремонты!#REF!</definedName>
    <definedName name="T8?unit?ПРЦ" localSheetId="9">[37]ремонты!#REF!</definedName>
    <definedName name="T8?unit?ПРЦ" localSheetId="4">[37]ремонты!#REF!</definedName>
    <definedName name="T8?unit?ПРЦ">[37]ремонты!#REF!</definedName>
    <definedName name="T8?unit?ТРУБ">'[26]8'!$D$40:$H$42,'[26]8'!$D$6:$H$32</definedName>
    <definedName name="T9?axis?ПРД?БАЗ">'[26]9'!$I$6:$J$16,'[26]9'!$F$6:$G$16</definedName>
    <definedName name="T9?axis?ПРД?ПРЕД">'[26]9'!$K$6:$L$16,'[26]9'!$D$6:$E$16</definedName>
    <definedName name="T9?axis?ПРД?РЕГ" localSheetId="9">#REF!</definedName>
    <definedName name="T9?axis?ПРД?РЕГ" localSheetId="4">#REF!</definedName>
    <definedName name="T9?axis?ПРД?РЕГ">#REF!</definedName>
    <definedName name="T9?axis?ПФ?ПЛАН">'[26]9'!$I$6:$I$16,'[26]9'!$D$6:$D$16,'[26]9'!$K$6:$K$16,'[26]9'!$F$6:$F$16</definedName>
    <definedName name="T9?axis?ПФ?ФАКТ">'[26]9'!$J$6:$J$16,'[26]9'!$E$6:$E$16,'[26]9'!$L$6:$L$16,'[26]9'!$G$6:$G$16</definedName>
    <definedName name="T9?Data">'[26]9'!$D$6:$L$6, '[26]9'!$D$8:$L$9, '[26]9'!$D$11:$L$16</definedName>
    <definedName name="T9?item_ext?РОСТ" localSheetId="9">#REF!</definedName>
    <definedName name="T9?item_ext?РОСТ" localSheetId="4">#REF!</definedName>
    <definedName name="T9?item_ext?РОСТ">#REF!</definedName>
    <definedName name="T9?L1" localSheetId="9">#REF!</definedName>
    <definedName name="T9?L1" localSheetId="4">#REF!</definedName>
    <definedName name="T9?L1">#REF!</definedName>
    <definedName name="T9?L2.1" localSheetId="9">#REF!</definedName>
    <definedName name="T9?L2.1" localSheetId="4">#REF!</definedName>
    <definedName name="T9?L2.1">#REF!</definedName>
    <definedName name="T9?L2.2" localSheetId="9">#REF!</definedName>
    <definedName name="T9?L2.2" localSheetId="4">#REF!</definedName>
    <definedName name="T9?L2.2">#REF!</definedName>
    <definedName name="T9?L3.1" localSheetId="9">#REF!</definedName>
    <definedName name="T9?L3.1" localSheetId="4">#REF!</definedName>
    <definedName name="T9?L3.1">#REF!</definedName>
    <definedName name="T9?L3.2" localSheetId="9">#REF!</definedName>
    <definedName name="T9?L3.2" localSheetId="4">#REF!</definedName>
    <definedName name="T9?L3.2">#REF!</definedName>
    <definedName name="T9?L4.1" localSheetId="9">#REF!</definedName>
    <definedName name="T9?L4.1" localSheetId="4">#REF!</definedName>
    <definedName name="T9?L4.1">#REF!</definedName>
    <definedName name="T9?L4.2" localSheetId="9">#REF!</definedName>
    <definedName name="T9?L4.2" localSheetId="4">#REF!</definedName>
    <definedName name="T9?L4.2">#REF!</definedName>
    <definedName name="T9?L5" localSheetId="9">#REF!</definedName>
    <definedName name="T9?L5" localSheetId="4">#REF!</definedName>
    <definedName name="T9?L5">#REF!</definedName>
    <definedName name="T9?Name" localSheetId="9">#REF!</definedName>
    <definedName name="T9?Name" localSheetId="4">#REF!</definedName>
    <definedName name="T9?Name">#REF!</definedName>
    <definedName name="T9?Table" localSheetId="9">#REF!</definedName>
    <definedName name="T9?Table" localSheetId="4">#REF!</definedName>
    <definedName name="T9?Table">#REF!</definedName>
    <definedName name="T9?Title" localSheetId="9">#REF!</definedName>
    <definedName name="T9?Title" localSheetId="4">#REF!</definedName>
    <definedName name="T9?Title">#REF!</definedName>
    <definedName name="T9?unit?МВТЧ" localSheetId="9">#REF!</definedName>
    <definedName name="T9?unit?МВТЧ" localSheetId="4">#REF!</definedName>
    <definedName name="T9?unit?МВТЧ">#REF!</definedName>
    <definedName name="T9?unit?ПРЦ" localSheetId="9">#REF!</definedName>
    <definedName name="T9?unit?ПРЦ" localSheetId="4">#REF!</definedName>
    <definedName name="T9?unit?ПРЦ">#REF!</definedName>
    <definedName name="T9?unit?РУБ.МВТЧ">'[26]9'!$D$8:$H$8, '[26]9'!$D$11:$H$11</definedName>
    <definedName name="T9?unit?ТРУБ">'[26]9'!$D$9:$H$9, '[26]9'!$D$12:$H$16</definedName>
    <definedName name="Table" localSheetId="9">#REF!</definedName>
    <definedName name="Table" localSheetId="4">#REF!</definedName>
    <definedName name="Table">#REF!</definedName>
    <definedName name="TARGET">[38]TEHSHEET!$I$42:$I$45</definedName>
    <definedName name="TEMP" localSheetId="9">#REF!,#REF!</definedName>
    <definedName name="TEMP" localSheetId="4">#REF!,#REF!</definedName>
    <definedName name="TEMP">#REF!,#REF!</definedName>
    <definedName name="TES" localSheetId="9">#REF!</definedName>
    <definedName name="TES" localSheetId="4">#REF!</definedName>
    <definedName name="TES">#REF!</definedName>
    <definedName name="TES_DATA" localSheetId="9">#REF!</definedName>
    <definedName name="TES_DATA" localSheetId="4">#REF!</definedName>
    <definedName name="TES_DATA">#REF!</definedName>
    <definedName name="TES_LIST" localSheetId="9">#REF!</definedName>
    <definedName name="TES_LIST" localSheetId="4">#REF!</definedName>
    <definedName name="TES_LIST">#REF!</definedName>
    <definedName name="time">#REF!</definedName>
    <definedName name="title">'[39]Огл. Графиков'!$B$2:$B$31</definedName>
    <definedName name="TP2.1?Columns">[40]P2.1!$A$6:$H$6</definedName>
    <definedName name="TP2.1?Scope">[40]P2.1!$F$7:$H$44</definedName>
    <definedName name="TP2.1_Protect" localSheetId="9">[41]P2.1!$F$28:$G$37,[41]P2.1!$F$40:$G$43,[41]P2.1!$F$7:$G$26</definedName>
    <definedName name="TP2.1_Protect" localSheetId="4">[41]P2.1!$F$28:$G$37,[41]P2.1!$F$40:$G$43,[41]P2.1!$F$7:$G$26</definedName>
    <definedName name="TP2.1_Protect">[27]P2.1!$F$28:$G$37,[27]P2.1!$F$40:$G$43,[27]P2.1!$F$7:$G$26</definedName>
    <definedName name="TP2.2?Columns">[40]P2.2!$A$6:$H$6</definedName>
    <definedName name="TP2.2?Scope">[40]P2.2!$F$7:$H$51</definedName>
    <definedName name="tso_name">[18]REESTR_ORG!$A$156:$A$245</definedName>
    <definedName name="TTT" localSheetId="9">#REF!</definedName>
    <definedName name="TTT" localSheetId="4">#REF!</definedName>
    <definedName name="TTT">#REF!</definedName>
    <definedName name="uka">#N/A</definedName>
    <definedName name="upr">#N/A</definedName>
    <definedName name="ůůů">#N/A</definedName>
    <definedName name="VDOC" localSheetId="9">#REF!</definedName>
    <definedName name="VDOC" localSheetId="4">#REF!</definedName>
    <definedName name="VDOC">#REF!</definedName>
    <definedName name="version">[18]Инструкция!$N$2</definedName>
    <definedName name="VV">#N/A</definedName>
    <definedName name="we">#N/A</definedName>
    <definedName name="wrn.Сравнение._.с._.отраслями." localSheetId="9" hidden="1">{#N/A,#N/A,TRUE,"Лист1";#N/A,#N/A,TRUE,"Лист2";#N/A,#N/A,TRUE,"Лист3"}</definedName>
    <definedName name="wrn.Сравнение._.с._.отраслями." localSheetId="4" hidden="1">{#N/A,#N/A,TRUE,"Лист1";#N/A,#N/A,TRUE,"Лист2";#N/A,#N/A,TRUE,"Лист3"}</definedName>
    <definedName name="wrn.Сравнение._.с._.отраслями." localSheetId="8" hidden="1">{#N/A,#N/A,TRUE,"Лист1";#N/A,#N/A,TRUE,"Лист2";#N/A,#N/A,TRUE,"Лист3"}</definedName>
    <definedName name="wrn.Сравнение._.с._.отраслями." hidden="1">{#N/A,#N/A,TRUE,"Лист1";#N/A,#N/A,TRUE,"Лист2";#N/A,#N/A,TRUE,"Лист3"}</definedName>
    <definedName name="YEAR" localSheetId="9">#REF!</definedName>
    <definedName name="YEAR" localSheetId="4">#REF!</definedName>
    <definedName name="YEAR">#REF!</definedName>
    <definedName name="year_list">[42]TEHSHEET!$B$2:$B$8</definedName>
    <definedName name="ZERO" localSheetId="9">#REF!</definedName>
    <definedName name="ZERO" localSheetId="4">#REF!</definedName>
    <definedName name="ZERO">#REF!</definedName>
    <definedName name="а">#REF!</definedName>
    <definedName name="а1" localSheetId="9">#REF!</definedName>
    <definedName name="а1" localSheetId="4">#REF!</definedName>
    <definedName name="а1">#REF!</definedName>
    <definedName name="А77">[43]Рейтинг!$A$14</definedName>
    <definedName name="А8" localSheetId="9">#REF!</definedName>
    <definedName name="А8" localSheetId="4">#REF!</definedName>
    <definedName name="А8">#REF!</definedName>
    <definedName name="аа">#N/A</definedName>
    <definedName name="АААААААА">#N/A</definedName>
    <definedName name="ав">#N/A</definedName>
    <definedName name="авг" localSheetId="9">#REF!</definedName>
    <definedName name="авг" localSheetId="4">#REF!</definedName>
    <definedName name="авг">#REF!</definedName>
    <definedName name="авг2" localSheetId="9">#REF!</definedName>
    <definedName name="авг2" localSheetId="4">#REF!</definedName>
    <definedName name="авг2">#REF!</definedName>
    <definedName name="ап">#N/A</definedName>
    <definedName name="апр" localSheetId="9">#REF!</definedName>
    <definedName name="апр" localSheetId="4">#REF!</definedName>
    <definedName name="апр">#REF!</definedName>
    <definedName name="апр2" localSheetId="9">#REF!</definedName>
    <definedName name="апр2" localSheetId="4">#REF!</definedName>
    <definedName name="апр2">#REF!</definedName>
    <definedName name="АТП" localSheetId="9">#REF!</definedName>
    <definedName name="АТП" localSheetId="4">#REF!</definedName>
    <definedName name="АТП">#REF!</definedName>
    <definedName name="аяыпамыпмипи">#N/A</definedName>
    <definedName name="б">#N/A</definedName>
    <definedName name="база">[44]SHPZ!$A$1:$BC$4313</definedName>
    <definedName name="_xlnm.Database" localSheetId="9">#REF!</definedName>
    <definedName name="_xlnm.Database" localSheetId="4">#REF!</definedName>
    <definedName name="_xlnm.Database">#REF!</definedName>
    <definedName name="Базовые" localSheetId="9">'[45]Производство электроэнергии'!$A$95</definedName>
    <definedName name="Базовые" localSheetId="4">'[45]Производство электроэнергии'!$A$95</definedName>
    <definedName name="Базовые">'[46]Производство электроэнергии'!$A$95</definedName>
    <definedName name="БазовыйПериод">[15]Заголовок!$B$15</definedName>
    <definedName name="бб">#N/A</definedName>
    <definedName name="БС">[47]Справочники!$A$4:$A$6</definedName>
    <definedName name="Бюджетные_электроэнергии" localSheetId="9">'[45]Производство электроэнергии'!$A$111</definedName>
    <definedName name="Бюджетные_электроэнергии" localSheetId="4">'[45]Производство электроэнергии'!$A$111</definedName>
    <definedName name="Бюджетные_электроэнергии">'[46]Производство электроэнергии'!$A$111</definedName>
    <definedName name="в">#N/A</definedName>
    <definedName name="в23ё" localSheetId="9">#N/A</definedName>
    <definedName name="в23ё" localSheetId="4">#N/A</definedName>
    <definedName name="в23ё">#N/A</definedName>
    <definedName name="вап">#N/A</definedName>
    <definedName name="Вар.их">#N/A</definedName>
    <definedName name="Вар.КАЛМЭ">#N/A</definedName>
    <definedName name="вв" localSheetId="9">#N/A</definedName>
    <definedName name="вв" localSheetId="4">#N/A</definedName>
    <definedName name="вв">#N/A</definedName>
    <definedName name="витт" localSheetId="9" hidden="1">{#N/A,#N/A,TRUE,"Лист1";#N/A,#N/A,TRUE,"Лист2";#N/A,#N/A,TRUE,"Лист3"}</definedName>
    <definedName name="витт" localSheetId="4" hidden="1">{#N/A,#N/A,TRUE,"Лист1";#N/A,#N/A,TRUE,"Лист2";#N/A,#N/A,TRUE,"Лист3"}</definedName>
    <definedName name="витт" localSheetId="8" hidden="1">{#N/A,#N/A,TRUE,"Лист1";#N/A,#N/A,TRUE,"Лист2";#N/A,#N/A,TRUE,"Лист3"}</definedName>
    <definedName name="витт" hidden="1">{#N/A,#N/A,TRUE,"Лист1";#N/A,#N/A,TRUE,"Лист2";#N/A,#N/A,TRUE,"Лист3"}</definedName>
    <definedName name="вм">#N/A</definedName>
    <definedName name="вмивртвр">#N/A</definedName>
    <definedName name="восемь" localSheetId="9">#REF!</definedName>
    <definedName name="восемь" localSheetId="4">#REF!</definedName>
    <definedName name="восемь">#REF!</definedName>
    <definedName name="вртт">#N/A</definedName>
    <definedName name="вс" localSheetId="9">[48]расшифровка!#REF!</definedName>
    <definedName name="вс" localSheetId="4">[48]расшифровка!#REF!</definedName>
    <definedName name="вс">[48]расшифровка!#REF!</definedName>
    <definedName name="ВТОП" localSheetId="9">#REF!</definedName>
    <definedName name="ВТОП" localSheetId="4">#REF!</definedName>
    <definedName name="ВТОП">#REF!</definedName>
    <definedName name="второй" localSheetId="9">#REF!</definedName>
    <definedName name="второй" localSheetId="4">#REF!</definedName>
    <definedName name="второй">#REF!</definedName>
    <definedName name="вуув" localSheetId="9" hidden="1">{#N/A,#N/A,TRUE,"Лист1";#N/A,#N/A,TRUE,"Лист2";#N/A,#N/A,TRUE,"Лист3"}</definedName>
    <definedName name="вуув" localSheetId="4" hidden="1">{#N/A,#N/A,TRUE,"Лист1";#N/A,#N/A,TRUE,"Лист2";#N/A,#N/A,TRUE,"Лист3"}</definedName>
    <definedName name="вуув" localSheetId="8" hidden="1">{#N/A,#N/A,TRUE,"Лист1";#N/A,#N/A,TRUE,"Лист2";#N/A,#N/A,TRUE,"Лист3"}</definedName>
    <definedName name="вуув" hidden="1">{#N/A,#N/A,TRUE,"Лист1";#N/A,#N/A,TRUE,"Лист2";#N/A,#N/A,TRUE,"Лист3"}</definedName>
    <definedName name="Вып_н_2003">'[39]Текущие цены'!#REF!</definedName>
    <definedName name="вып_н_2004">'[39]Текущие цены'!#REF!</definedName>
    <definedName name="Вып_ОФ_с_пц">[39]рабочий!$Y$202:$AP$224</definedName>
    <definedName name="Вып_оф_с_цпг" localSheetId="9">'[39]Текущие цены'!#REF!</definedName>
    <definedName name="Вып_оф_с_цпг">'[39]Текущие цены'!#REF!</definedName>
    <definedName name="Вып_с_новых_ОФ">[39]рабочий!$Y$277:$AP$299</definedName>
    <definedName name="ггг" localSheetId="9">#N/A</definedName>
    <definedName name="ггг" localSheetId="4">#N/A</definedName>
    <definedName name="ггг">#N/A</definedName>
    <definedName name="гггр">#N/A</definedName>
    <definedName name="генерация" localSheetId="9">#N/A</definedName>
    <definedName name="генерация" localSheetId="4">#N/A</definedName>
    <definedName name="генерация">#N/A</definedName>
    <definedName name="гнлзщ">#N/A</definedName>
    <definedName name="График">"Диагр. 4"</definedName>
    <definedName name="грприрцфв00ав98" localSheetId="9" hidden="1">{#N/A,#N/A,TRUE,"Лист1";#N/A,#N/A,TRUE,"Лист2";#N/A,#N/A,TRUE,"Лист3"}</definedName>
    <definedName name="грприрцфв00ав98" localSheetId="4" hidden="1">{#N/A,#N/A,TRUE,"Лист1";#N/A,#N/A,TRUE,"Лист2";#N/A,#N/A,TRUE,"Лист3"}</definedName>
    <definedName name="грприрцфв00ав98" localSheetId="8" hidden="1">{#N/A,#N/A,TRUE,"Лист1";#N/A,#N/A,TRUE,"Лист2";#N/A,#N/A,TRUE,"Лист3"}</definedName>
    <definedName name="грприрцфв00ав98" hidden="1">{#N/A,#N/A,TRUE,"Лист1";#N/A,#N/A,TRUE,"Лист2";#N/A,#N/A,TRUE,"Лист3"}</definedName>
    <definedName name="грфинцкавг98Х" localSheetId="9" hidden="1">{#N/A,#N/A,TRUE,"Лист1";#N/A,#N/A,TRUE,"Лист2";#N/A,#N/A,TRUE,"Лист3"}</definedName>
    <definedName name="грфинцкавг98Х" localSheetId="4" hidden="1">{#N/A,#N/A,TRUE,"Лист1";#N/A,#N/A,TRUE,"Лист2";#N/A,#N/A,TRUE,"Лист3"}</definedName>
    <definedName name="грфинцкавг98Х" localSheetId="8" hidden="1">{#N/A,#N/A,TRUE,"Лист1";#N/A,#N/A,TRUE,"Лист2";#N/A,#N/A,TRUE,"Лист3"}</definedName>
    <definedName name="грфинцкавг98Х" hidden="1">{#N/A,#N/A,TRUE,"Лист1";#N/A,#N/A,TRUE,"Лист2";#N/A,#N/A,TRUE,"Лист3"}</definedName>
    <definedName name="гшгш" localSheetId="9" hidden="1">{#N/A,#N/A,TRUE,"Лист1";#N/A,#N/A,TRUE,"Лист2";#N/A,#N/A,TRUE,"Лист3"}</definedName>
    <definedName name="гшгш" localSheetId="4" hidden="1">{#N/A,#N/A,TRUE,"Лист1";#N/A,#N/A,TRUE,"Лист2";#N/A,#N/A,TRUE,"Лист3"}</definedName>
    <definedName name="гшгш" localSheetId="8" hidden="1">{#N/A,#N/A,TRUE,"Лист1";#N/A,#N/A,TRUE,"Лист2";#N/A,#N/A,TRUE,"Лист3"}</definedName>
    <definedName name="гшгш" hidden="1">{#N/A,#N/A,TRUE,"Лист1";#N/A,#N/A,TRUE,"Лист2";#N/A,#N/A,TRUE,"Лист3"}</definedName>
    <definedName name="гэс3">#N/A</definedName>
    <definedName name="ддд">#N/A</definedName>
    <definedName name="дек" localSheetId="9">#REF!</definedName>
    <definedName name="дек" localSheetId="4">#REF!</definedName>
    <definedName name="дек">#REF!</definedName>
    <definedName name="дек2" localSheetId="9">#REF!</definedName>
    <definedName name="дек2" localSheetId="4">#REF!</definedName>
    <definedName name="дек2">#REF!</definedName>
    <definedName name="Дефл_ц_пред_год">'[39]Текущие цены'!$AT$36:$BK$58</definedName>
    <definedName name="Дефлятор_годовой">'[39]Текущие цены'!$Y$4:$AP$27</definedName>
    <definedName name="Дефлятор_цепной">'[39]Текущие цены'!$Y$36:$AP$58</definedName>
    <definedName name="дж">#N/A</definedName>
    <definedName name="ДиапазонЗащиты" localSheetId="9">#REF!,#REF!,#REF!,#REF!,[0]!P1_ДиапазонЗащиты,[0]!P2_ДиапазонЗащиты,[0]!P3_ДиапазонЗащиты,[0]!P4_ДиапазонЗащиты</definedName>
    <definedName name="ДиапазонЗащиты" localSheetId="4">#REF!,#REF!,#REF!,#REF!,[0]!P1_ДиапазонЗащиты,[0]!P2_ДиапазонЗащиты,[0]!P3_ДиапазонЗащиты,[0]!P4_ДиапазонЗащиты</definedName>
    <definedName name="ДиапазонЗащиты">#REF!,#REF!,#REF!,#REF!,[0]!P1_ДиапазонЗащиты,[0]!P2_ДиапазонЗащиты,[0]!P3_ДиапазонЗащиты,[0]!P4_ДиапазонЗащиты</definedName>
    <definedName name="доли1">'[49]эл ст'!$A$368:$IV$368</definedName>
    <definedName name="доопатмо">#N/A</definedName>
    <definedName name="Дополнение">#N/A</definedName>
    <definedName name="ДРУГОЕ">[50]Справочники!$A$26:$A$28</definedName>
    <definedName name="ДС" localSheetId="9">#REF!</definedName>
    <definedName name="ДС">#REF!</definedName>
    <definedName name="еще">#N/A</definedName>
    <definedName name="ж">#N/A</definedName>
    <definedName name="жд">#N/A</definedName>
    <definedName name="жж">#N/A</definedName>
    <definedName name="жжж">#N/A</definedName>
    <definedName name="жжжжж">#N/A</definedName>
    <definedName name="жэ" localSheetId="9">#N/A</definedName>
    <definedName name="жэ" localSheetId="4">#N/A</definedName>
    <definedName name="жэ">#N/A</definedName>
    <definedName name="з">#N/A</definedName>
    <definedName name="з4" localSheetId="9">#REF!</definedName>
    <definedName name="з4" localSheetId="4">#REF!</definedName>
    <definedName name="з4">#REF!</definedName>
    <definedName name="_xlnm.Print_Titles" localSheetId="9">'1. подк.неподк. факт'!$25:$28</definedName>
    <definedName name="_xlnm.Print_Titles" localSheetId="6">'1.6'!$18:$20</definedName>
    <definedName name="_xlnm.Print_Titles" localSheetId="4">'5. подк.неподк.план'!$25:$28</definedName>
    <definedName name="_xlnm.Print_Titles" localSheetId="8">'8.Бюджет на 2015'!$1:$4</definedName>
    <definedName name="_xlnm.Print_Titles" localSheetId="1">'Приложение № 2'!$6:$7</definedName>
    <definedName name="_xlnm.Print_Titles" localSheetId="3">'Приложение № 8'!$15:$16</definedName>
    <definedName name="зз">#N/A</definedName>
    <definedName name="ззз">#N/A</definedName>
    <definedName name="зззз">#N/A</definedName>
    <definedName name="ЗП1" localSheetId="9">[51]Лист13!$A$2</definedName>
    <definedName name="ЗП1" localSheetId="4">[51]Лист13!$A$2</definedName>
    <definedName name="ЗП1">[52]Лист13!$A$2</definedName>
    <definedName name="ЗП2" localSheetId="9">[51]Лист13!$B$2</definedName>
    <definedName name="ЗП2" localSheetId="4">[51]Лист13!$B$2</definedName>
    <definedName name="ЗП2">[52]Лист13!$B$2</definedName>
    <definedName name="ЗП3" localSheetId="9">[51]Лист13!$C$2</definedName>
    <definedName name="ЗП3" localSheetId="4">[51]Лист13!$C$2</definedName>
    <definedName name="ЗП3">[52]Лист13!$C$2</definedName>
    <definedName name="ЗП4" localSheetId="9">[51]Лист13!$D$2</definedName>
    <definedName name="ЗП4" localSheetId="4">[51]Лист13!$D$2</definedName>
    <definedName name="ЗП4">[52]Лист13!$D$2</definedName>
    <definedName name="и">#N/A</definedName>
    <definedName name="й" localSheetId="9">#N/A</definedName>
    <definedName name="й" localSheetId="4">#N/A</definedName>
    <definedName name="й">#N/A</definedName>
    <definedName name="и_эсо_вн" localSheetId="9">#REF!</definedName>
    <definedName name="и_эсо_вн" localSheetId="4">#REF!</definedName>
    <definedName name="и_эсо_вн">#REF!</definedName>
    <definedName name="и_эсо_сн1" localSheetId="9">#REF!</definedName>
    <definedName name="и_эсо_сн1" localSheetId="4">#REF!</definedName>
    <definedName name="и_эсо_сн1">#REF!</definedName>
    <definedName name="Извлечение_ИМ" localSheetId="9">#REF!</definedName>
    <definedName name="Извлечение_ИМ" localSheetId="4">#REF!</definedName>
    <definedName name="Извлечение_ИМ">#REF!</definedName>
    <definedName name="_xlnm.Extract" localSheetId="9">#REF!</definedName>
    <definedName name="_xlnm.Extract" localSheetId="4">#REF!</definedName>
    <definedName name="_xlnm.Extract">#REF!</definedName>
    <definedName name="ии">#N/A</definedName>
    <definedName name="ий">#N/A</definedName>
    <definedName name="йй" localSheetId="9">#N/A</definedName>
    <definedName name="йй" localSheetId="4">#N/A</definedName>
    <definedName name="йй">#N/A</definedName>
    <definedName name="иии">#N/A</definedName>
    <definedName name="ййй">#N/A</definedName>
    <definedName name="ииии">#N/A</definedName>
    <definedName name="йййййййййййййййййййййййй">#N/A</definedName>
    <definedName name="Инвестиции">#N/A</definedName>
    <definedName name="инвестпрограмма">#N/A</definedName>
    <definedName name="индцкавг98" localSheetId="9" hidden="1">{#N/A,#N/A,TRUE,"Лист1";#N/A,#N/A,TRUE,"Лист2";#N/A,#N/A,TRUE,"Лист3"}</definedName>
    <definedName name="индцкавг98" localSheetId="4" hidden="1">{#N/A,#N/A,TRUE,"Лист1";#N/A,#N/A,TRUE,"Лист2";#N/A,#N/A,TRUE,"Лист3"}</definedName>
    <definedName name="индцкавг98" localSheetId="8" hidden="1">{#N/A,#N/A,TRUE,"Лист1";#N/A,#N/A,TRUE,"Лист2";#N/A,#N/A,TRUE,"Лист3"}</definedName>
    <definedName name="индцкавг98" hidden="1">{#N/A,#N/A,TRUE,"Лист1";#N/A,#N/A,TRUE,"Лист2";#N/A,#N/A,TRUE,"Лист3"}</definedName>
    <definedName name="ирина">#N/A</definedName>
    <definedName name="йфц">#N/A</definedName>
    <definedName name="йц">#N/A</definedName>
    <definedName name="йцу">#N/A</definedName>
    <definedName name="июл" localSheetId="9">#REF!</definedName>
    <definedName name="июл" localSheetId="4">#REF!</definedName>
    <definedName name="июл">#REF!</definedName>
    <definedName name="июл2" localSheetId="9">#REF!</definedName>
    <definedName name="июл2" localSheetId="4">#REF!</definedName>
    <definedName name="июл2">#REF!</definedName>
    <definedName name="июн" localSheetId="9">#REF!</definedName>
    <definedName name="июн" localSheetId="4">#REF!</definedName>
    <definedName name="июн">#REF!</definedName>
    <definedName name="июн2" localSheetId="9">#REF!</definedName>
    <definedName name="июн2" localSheetId="4">#REF!</definedName>
    <definedName name="июн2">#REF!</definedName>
    <definedName name="кв3">#N/A</definedName>
    <definedName name="квартал">#N/A</definedName>
    <definedName name="кг" localSheetId="9">#N/A</definedName>
    <definedName name="кг" localSheetId="4">#N/A</definedName>
    <definedName name="кг">#N/A</definedName>
    <definedName name="ке" localSheetId="9">#N/A</definedName>
    <definedName name="ке" localSheetId="4">#N/A</definedName>
    <definedName name="ке">#N/A</definedName>
    <definedName name="кеппппппппппп" localSheetId="9" hidden="1">{#N/A,#N/A,TRUE,"Лист1";#N/A,#N/A,TRUE,"Лист2";#N/A,#N/A,TRUE,"Лист3"}</definedName>
    <definedName name="кеппппппппппп" localSheetId="4" hidden="1">{#N/A,#N/A,TRUE,"Лист1";#N/A,#N/A,TRUE,"Лист2";#N/A,#N/A,TRUE,"Лист3"}</definedName>
    <definedName name="кеппппппппппп" localSheetId="8" hidden="1">{#N/A,#N/A,TRUE,"Лист1";#N/A,#N/A,TRUE,"Лист2";#N/A,#N/A,TRUE,"Лист3"}</definedName>
    <definedName name="кеппппппппппп" hidden="1">{#N/A,#N/A,TRUE,"Лист1";#N/A,#N/A,TRUE,"Лист2";#N/A,#N/A,TRUE,"Лист3"}</definedName>
    <definedName name="ккк" localSheetId="9">[53]тар!#REF!</definedName>
    <definedName name="ккк" localSheetId="4">[53]тар!#REF!</definedName>
    <definedName name="ккк">[53]тар!#REF!</definedName>
    <definedName name="компенсация">#N/A</definedName>
    <definedName name="коэф1" localSheetId="9">#REF!</definedName>
    <definedName name="коэф1" localSheetId="4">#REF!</definedName>
    <definedName name="коэф1">#REF!</definedName>
    <definedName name="коэф2" localSheetId="9">#REF!</definedName>
    <definedName name="коэф2" localSheetId="4">#REF!</definedName>
    <definedName name="коэф2">#REF!</definedName>
    <definedName name="коэф3" localSheetId="9">#REF!</definedName>
    <definedName name="коэф3" localSheetId="4">#REF!</definedName>
    <definedName name="коэф3">#REF!</definedName>
    <definedName name="коэф4" localSheetId="9">#REF!</definedName>
    <definedName name="коэф4" localSheetId="4">#REF!</definedName>
    <definedName name="коэф4">#REF!</definedName>
    <definedName name="кп">#N/A</definedName>
    <definedName name="кпгэс">#N/A</definedName>
    <definedName name="кпнрг">#N/A</definedName>
    <definedName name="_xlnm.Criteria" localSheetId="9">#REF!</definedName>
    <definedName name="_xlnm.Criteria" localSheetId="4">#REF!</definedName>
    <definedName name="_xlnm.Criteria">#REF!</definedName>
    <definedName name="критерий" localSheetId="9">#REF!</definedName>
    <definedName name="критерий" localSheetId="4">#REF!</definedName>
    <definedName name="критерий">#REF!</definedName>
    <definedName name="Критерии_ИМ" localSheetId="9">#REF!</definedName>
    <definedName name="Критерии_ИМ" localSheetId="4">#REF!</definedName>
    <definedName name="Критерии_ИМ">#REF!</definedName>
    <definedName name="ктджщз">#N/A</definedName>
    <definedName name="ку">#N/A</definedName>
    <definedName name="лара">#N/A</definedName>
    <definedName name="лена">#N/A</definedName>
    <definedName name="Лист1?prefix?">"T1"</definedName>
    <definedName name="Лист10?prefix?">"T17.1"</definedName>
    <definedName name="Лист11?prefix?">"T4.6"</definedName>
    <definedName name="Лист12?prefix?">"T4.7"</definedName>
    <definedName name="Лист13?prefix?">"T4.8"</definedName>
    <definedName name="Лист14?prefix?">"T107"</definedName>
    <definedName name="Лист15?prefix?">"T4.10"</definedName>
    <definedName name="Лист16?prefix?">"T4.11"</definedName>
    <definedName name="Лист17?prefix?">"T4.12"</definedName>
    <definedName name="Лист19?prefix?">"T21.3"</definedName>
    <definedName name="Лист2?prefix?">"T2"</definedName>
    <definedName name="Лист21?prefix?">"T108"</definedName>
    <definedName name="Лист3?prefix?">"T3"</definedName>
    <definedName name="Лист4?prefix?">"T2.1"</definedName>
    <definedName name="Лист5?prefix?">"T4"</definedName>
    <definedName name="Лист6?prefix?">"T6"</definedName>
    <definedName name="Лист7?prefix?">"T6"</definedName>
    <definedName name="Лист8?prefix?">"T7"</definedName>
    <definedName name="Лист9?prefix?">"T8"</definedName>
    <definedName name="ллл" localSheetId="9">#REF!</definedName>
    <definedName name="ллл">#REF!</definedName>
    <definedName name="лллл" localSheetId="9">#N/A</definedName>
    <definedName name="лллл" localSheetId="4">#N/A</definedName>
    <definedName name="лллл">#N/A</definedName>
    <definedName name="ло">#N/A</definedName>
    <definedName name="лод">#N/A</definedName>
    <definedName name="лор">#N/A</definedName>
    <definedName name="лщжо" localSheetId="9" hidden="1">{#N/A,#N/A,TRUE,"Лист1";#N/A,#N/A,TRUE,"Лист2";#N/A,#N/A,TRUE,"Лист3"}</definedName>
    <definedName name="лщжо" localSheetId="4" hidden="1">{#N/A,#N/A,TRUE,"Лист1";#N/A,#N/A,TRUE,"Лист2";#N/A,#N/A,TRUE,"Лист3"}</definedName>
    <definedName name="лщжо" localSheetId="8" hidden="1">{#N/A,#N/A,TRUE,"Лист1";#N/A,#N/A,TRUE,"Лист2";#N/A,#N/A,TRUE,"Лист3"}</definedName>
    <definedName name="лщжо" hidden="1">{#N/A,#N/A,TRUE,"Лист1";#N/A,#N/A,TRUE,"Лист2";#N/A,#N/A,TRUE,"Лист3"}</definedName>
    <definedName name="май" localSheetId="9">#REF!</definedName>
    <definedName name="май" localSheetId="4">#REF!</definedName>
    <definedName name="май">#REF!</definedName>
    <definedName name="май2" localSheetId="9">#REF!</definedName>
    <definedName name="май2" localSheetId="4">#REF!</definedName>
    <definedName name="май2">#REF!</definedName>
    <definedName name="мам">#N/A</definedName>
    <definedName name="мар" localSheetId="9">#REF!</definedName>
    <definedName name="мар" localSheetId="4">#REF!</definedName>
    <definedName name="мар">#REF!</definedName>
    <definedName name="мар2" localSheetId="9">#REF!</definedName>
    <definedName name="мар2" localSheetId="4">#REF!</definedName>
    <definedName name="мар2">#REF!</definedName>
    <definedName name="ммм">#N/A</definedName>
    <definedName name="Модель2" localSheetId="9">#REF!</definedName>
    <definedName name="Модель2">#REF!</definedName>
    <definedName name="Мониторинг1">'[54]Гр5(о)'!#REF!</definedName>
    <definedName name="МР" localSheetId="9">#REF!</definedName>
    <definedName name="МР" localSheetId="4">#REF!</definedName>
    <definedName name="МР">#REF!</definedName>
    <definedName name="мым" localSheetId="9">#N/A</definedName>
    <definedName name="мым" localSheetId="4">#N/A</definedName>
    <definedName name="мым">#N/A</definedName>
    <definedName name="Н5">[55]Данные!$I$7</definedName>
    <definedName name="Население" localSheetId="9">'[45]Производство электроэнергии'!$A$124</definedName>
    <definedName name="Население" localSheetId="4">'[45]Производство электроэнергии'!$A$124</definedName>
    <definedName name="Население">'[46]Производство электроэнергии'!$A$124</definedName>
    <definedName name="нгг">#N/A</definedName>
    <definedName name="ннн">#N/A</definedName>
    <definedName name="НННН">#N/A</definedName>
    <definedName name="ннннннннннн" localSheetId="9">#N/A</definedName>
    <definedName name="ннннннннннн" localSheetId="4">#N/A</definedName>
    <definedName name="ннннннннннн">#N/A</definedName>
    <definedName name="новые_ОФ_2003">[39]рабочий!$F$305:$W$327</definedName>
    <definedName name="новые_ОФ_2004">[39]рабочий!$F$335:$W$357</definedName>
    <definedName name="новые_ОФ_а_всего">[39]рабочий!$F$767:$V$789</definedName>
    <definedName name="новые_ОФ_всего">[39]рабочий!$F$1331:$V$1353</definedName>
    <definedName name="новые_ОФ_п_всего">[39]рабочий!$F$1293:$V$1315</definedName>
    <definedName name="новый" localSheetId="9" hidden="1">#REF!,#REF!,#REF!,#REF!,#REF!,'1. подк.неподк. факт'!P1_SCOPE_NotInd2,'1. подк.неподк. факт'!P2_SCOPE_NotInd2,'1. подк.неподк. факт'!P3_SCOPE_NotInd2</definedName>
    <definedName name="новый" localSheetId="4" hidden="1">#REF!,#REF!,#REF!,#REF!,#REF!,'5. подк.неподк.план'!P1_SCOPE_NotInd2,'5. подк.неподк.план'!P2_SCOPE_NotInd2,'5. подк.неподк.план'!P3_SCOPE_NotInd2</definedName>
    <definedName name="новый" localSheetId="8" hidden="1">#REF!,#REF!,#REF!,#REF!,#REF!,'8.Бюджет на 2015'!P1_SCOPE_NotInd2,'8.Бюджет на 2015'!P2_SCOPE_NotInd2,P3_SCOPE_NotInd2</definedName>
    <definedName name="новый" hidden="1">#REF!,#REF!,#REF!,#REF!,#REF!,P1_SCOPE_NotInd2,P2_SCOPE_NotInd2,P3_SCOPE_NotInd2</definedName>
    <definedName name="ноя" localSheetId="9">#REF!</definedName>
    <definedName name="ноя" localSheetId="4">#REF!</definedName>
    <definedName name="ноя">#REF!</definedName>
    <definedName name="ноя2" localSheetId="9">#REF!</definedName>
    <definedName name="ноя2" localSheetId="4">#REF!</definedName>
    <definedName name="ноя2">#REF!</definedName>
    <definedName name="НП">[56]Исходные!$H$5</definedName>
    <definedName name="НСРФ" localSheetId="9">[52]Регионы!$A$2:$A$88</definedName>
    <definedName name="НСРФ" localSheetId="4">[52]Регионы!$A$2:$A$88</definedName>
    <definedName name="НСРФ">[57]Регионы!$A$2:$A$88</definedName>
    <definedName name="НСРФ2" localSheetId="9">#REF!</definedName>
    <definedName name="НСРФ2" localSheetId="4">#REF!</definedName>
    <definedName name="НСРФ2">#REF!</definedName>
    <definedName name="ншш" localSheetId="9" hidden="1">{#N/A,#N/A,TRUE,"Лист1";#N/A,#N/A,TRUE,"Лист2";#N/A,#N/A,TRUE,"Лист3"}</definedName>
    <definedName name="ншш" localSheetId="4" hidden="1">{#N/A,#N/A,TRUE,"Лист1";#N/A,#N/A,TRUE,"Лист2";#N/A,#N/A,TRUE,"Лист3"}</definedName>
    <definedName name="ншш" localSheetId="8" hidden="1">{#N/A,#N/A,TRUE,"Лист1";#N/A,#N/A,TRUE,"Лист2";#N/A,#N/A,TRUE,"Лист3"}</definedName>
    <definedName name="ншш" hidden="1">{#N/A,#N/A,TRUE,"Лист1";#N/A,#N/A,TRUE,"Лист2";#N/A,#N/A,TRUE,"Лист3"}</definedName>
    <definedName name="_xlnm.Print_Area" localSheetId="9">'1. подк.неподк. факт'!$B$6:$AL$353</definedName>
    <definedName name="_xlnm.Print_Area" localSheetId="7">'1.3'!$A$1:$HP$57</definedName>
    <definedName name="_xlnm.Print_Area" localSheetId="6">'1.6'!$A$1:$EY$94</definedName>
    <definedName name="_xlnm.Print_Area" localSheetId="5">'1.6.'!$A$1:$EY$94</definedName>
    <definedName name="_xlnm.Print_Area" localSheetId="4">'5. подк.неподк.план'!$B$1:$AI$350</definedName>
    <definedName name="_xlnm.Print_Area" localSheetId="8">'8.Бюджет на 2015'!$A$1:$DI$325</definedName>
    <definedName name="_xlnm.Print_Area" localSheetId="0">'Приложение № 1'!$A$1:$B$28</definedName>
    <definedName name="_xlnm.Print_Area" localSheetId="1">'Приложение № 2'!$A$1:$F$48</definedName>
    <definedName name="_xlnm.Print_Area" localSheetId="3">'Приложение № 8'!$A$1:$DH$122</definedName>
    <definedName name="_xlnm.Print_Area">#REF!</definedName>
    <definedName name="окраска_05">[39]окраска!$C$7:$Z$30</definedName>
    <definedName name="окраска_06">[39]окраска!$C$35:$Z$58</definedName>
    <definedName name="окраска_07">[39]окраска!$C$63:$Z$86</definedName>
    <definedName name="окраска_08">[39]окраска!$C$91:$Z$114</definedName>
    <definedName name="окраска_09">[39]окраска!$C$119:$Z$142</definedName>
    <definedName name="окраска_10">[39]окраска!$C$147:$Z$170</definedName>
    <definedName name="окраска_11">[39]окраска!$C$175:$Z$198</definedName>
    <definedName name="окраска_12">[39]окраска!$C$203:$Z$226</definedName>
    <definedName name="окраска_13">[39]окраска!$C$231:$Z$254</definedName>
    <definedName name="окраска_14">[39]окраска!$C$259:$Z$282</definedName>
    <definedName name="окраска_15">[39]окраска!$C$287:$Z$310</definedName>
    <definedName name="окт" localSheetId="9">#REF!</definedName>
    <definedName name="окт" localSheetId="4">#REF!</definedName>
    <definedName name="окт">#REF!</definedName>
    <definedName name="окт2" localSheetId="9">#REF!</definedName>
    <definedName name="окт2" localSheetId="4">#REF!</definedName>
    <definedName name="окт2">#REF!</definedName>
    <definedName name="олло">#N/A</definedName>
    <definedName name="олс">#N/A</definedName>
    <definedName name="ооо">#N/A</definedName>
    <definedName name="Операция" localSheetId="9">#REF!</definedName>
    <definedName name="Операция" localSheetId="4">#REF!</definedName>
    <definedName name="Операция">#REF!</definedName>
    <definedName name="ОРГ" localSheetId="9">#REF!</definedName>
    <definedName name="ОРГ" localSheetId="4">#REF!</definedName>
    <definedName name="ОРГ">#REF!</definedName>
    <definedName name="ОРГАНИЗАЦИЯ" localSheetId="9">#REF!</definedName>
    <definedName name="ОРГАНИЗАЦИЯ" localSheetId="4">#REF!</definedName>
    <definedName name="ОРГАНИЗАЦИЯ">#REF!</definedName>
    <definedName name="оро">#N/A</definedName>
    <definedName name="отпуск">#N/A</definedName>
    <definedName name="ОФ_а_с_пц">[39]рабочий!$CI$121:$CY$143</definedName>
    <definedName name="оф_н_а_2003_пц" localSheetId="9">'[39]Текущие цены'!#REF!</definedName>
    <definedName name="оф_н_а_2003_пц">'[39]Текущие цены'!#REF!</definedName>
    <definedName name="оф_н_а_2004" localSheetId="9">'[39]Текущие цены'!#REF!</definedName>
    <definedName name="оф_н_а_2004">'[39]Текущие цены'!#REF!</definedName>
    <definedName name="п_авг" localSheetId="9">#REF!</definedName>
    <definedName name="п_авг" localSheetId="4">#REF!</definedName>
    <definedName name="п_авг">#REF!</definedName>
    <definedName name="п_апр" localSheetId="9">#REF!</definedName>
    <definedName name="п_апр" localSheetId="4">#REF!</definedName>
    <definedName name="п_апр">#REF!</definedName>
    <definedName name="п_дек" localSheetId="9">#REF!</definedName>
    <definedName name="п_дек" localSheetId="4">#REF!</definedName>
    <definedName name="п_дек">#REF!</definedName>
    <definedName name="п_июл" localSheetId="9">#REF!</definedName>
    <definedName name="п_июл" localSheetId="4">#REF!</definedName>
    <definedName name="п_июл">#REF!</definedName>
    <definedName name="п_июн" localSheetId="9">#REF!</definedName>
    <definedName name="п_июн" localSheetId="4">#REF!</definedName>
    <definedName name="п_июн">#REF!</definedName>
    <definedName name="п_май" localSheetId="9">#REF!</definedName>
    <definedName name="п_май" localSheetId="4">#REF!</definedName>
    <definedName name="п_май">#REF!</definedName>
    <definedName name="п_мар" localSheetId="9">#REF!</definedName>
    <definedName name="п_мар" localSheetId="4">#REF!</definedName>
    <definedName name="п_мар">#REF!</definedName>
    <definedName name="п_ноя" localSheetId="9">#REF!</definedName>
    <definedName name="п_ноя" localSheetId="4">#REF!</definedName>
    <definedName name="п_ноя">#REF!</definedName>
    <definedName name="п_окт" localSheetId="9">#REF!</definedName>
    <definedName name="п_окт" localSheetId="4">#REF!</definedName>
    <definedName name="п_окт">#REF!</definedName>
    <definedName name="п_сен" localSheetId="9">#REF!</definedName>
    <definedName name="п_сен" localSheetId="4">#REF!</definedName>
    <definedName name="п_сен">#REF!</definedName>
    <definedName name="п_фев" localSheetId="9">#REF!</definedName>
    <definedName name="п_фев" localSheetId="4">#REF!</definedName>
    <definedName name="п_фев">#REF!</definedName>
    <definedName name="п_янв" localSheetId="9">#REF!</definedName>
    <definedName name="п_янв" localSheetId="4">#REF!</definedName>
    <definedName name="п_янв">#REF!</definedName>
    <definedName name="первый" localSheetId="9">#REF!</definedName>
    <definedName name="первый" localSheetId="4">#REF!</definedName>
    <definedName name="первый">#REF!</definedName>
    <definedName name="Периоды_18_2" localSheetId="9">'[25]18.2'!#REF!</definedName>
    <definedName name="Периоды_18_2" localSheetId="4">'[25]18.2'!#REF!</definedName>
    <definedName name="Периоды_18_2">#REF!</definedName>
    <definedName name="план56">#N/A</definedName>
    <definedName name="ПМС">#N/A</definedName>
    <definedName name="ПМС1">#N/A</definedName>
    <definedName name="ПН">[56]Исходные!$H$5</definedName>
    <definedName name="по_б_вн" localSheetId="9">#REF!</definedName>
    <definedName name="по_б_вн" localSheetId="4">#REF!</definedName>
    <definedName name="по_б_вн">#REF!</definedName>
    <definedName name="по_б_всего" localSheetId="9">#REF!</definedName>
    <definedName name="по_б_всего" localSheetId="4">#REF!</definedName>
    <definedName name="по_б_всего">#REF!</definedName>
    <definedName name="по_б_нн" localSheetId="9">#REF!</definedName>
    <definedName name="по_б_нн" localSheetId="4">#REF!</definedName>
    <definedName name="по_б_нн">#REF!</definedName>
    <definedName name="по_б_сн1" localSheetId="9">#REF!</definedName>
    <definedName name="по_б_сн1" localSheetId="4">#REF!</definedName>
    <definedName name="по_б_сн1">#REF!</definedName>
    <definedName name="по_б_сн2" localSheetId="9">#REF!</definedName>
    <definedName name="по_б_сн2" localSheetId="4">#REF!</definedName>
    <definedName name="по_б_сн2">#REF!</definedName>
    <definedName name="по_нас_всего" localSheetId="9">#REF!</definedName>
    <definedName name="по_нас_всего" localSheetId="4">#REF!</definedName>
    <definedName name="по_нас_всего">#REF!</definedName>
    <definedName name="по_насел_сн2" localSheetId="9">#REF!</definedName>
    <definedName name="по_насел_сн2" localSheetId="4">#REF!</definedName>
    <definedName name="по_насел_сн2">#REF!</definedName>
    <definedName name="Подоперация" localSheetId="9">#REF!</definedName>
    <definedName name="Подоперация" localSheetId="4">#REF!</definedName>
    <definedName name="Подоперация">#REF!</definedName>
    <definedName name="пол_нас_нн" localSheetId="9">#REF!</definedName>
    <definedName name="пол_нас_нн" localSheetId="4">#REF!</definedName>
    <definedName name="пол_нас_нн">#REF!</definedName>
    <definedName name="полбезпот" localSheetId="9">'[53]т1.15(смета8а)'!#REF!</definedName>
    <definedName name="полбезпот" localSheetId="4">'[53]т1.15(смета8а)'!#REF!</definedName>
    <definedName name="полбезпот">'[53]т1.15(смета8а)'!#REF!</definedName>
    <definedName name="полпот" localSheetId="9">'[53]т1.15(смета8а)'!#REF!</definedName>
    <definedName name="полпот" localSheetId="4">'[53]т1.15(смета8а)'!#REF!</definedName>
    <definedName name="полпот">'[53]т1.15(смета8а)'!#REF!</definedName>
    <definedName name="ПостНасел">#N/A</definedName>
    <definedName name="Потреб_вып_всего">'[39]Текущие цены'!#REF!</definedName>
    <definedName name="Потреб_вып_оф_н_цпг">'[39]Текущие цены'!#REF!</definedName>
    <definedName name="пп">#N/A</definedName>
    <definedName name="ппп" localSheetId="9">#REF!</definedName>
    <definedName name="ппп">#REF!</definedName>
    <definedName name="пппп">#N/A</definedName>
    <definedName name="ппппп" localSheetId="9">#N/A</definedName>
    <definedName name="ппппп" localSheetId="4">#N/A</definedName>
    <definedName name="ппппп">#N/A</definedName>
    <definedName name="ппппппппппп" localSheetId="9">#N/A</definedName>
    <definedName name="ппппппппппп" localSheetId="4">#N/A</definedName>
    <definedName name="ппппппппппп">#N/A</definedName>
    <definedName name="пр">#N/A</definedName>
    <definedName name="прибыль3" localSheetId="9" hidden="1">{#N/A,#N/A,TRUE,"Лист1";#N/A,#N/A,TRUE,"Лист2";#N/A,#N/A,TRUE,"Лист3"}</definedName>
    <definedName name="прибыль3" localSheetId="4" hidden="1">{#N/A,#N/A,TRUE,"Лист1";#N/A,#N/A,TRUE,"Лист2";#N/A,#N/A,TRUE,"Лист3"}</definedName>
    <definedName name="прибыль3" localSheetId="8" hidden="1">{#N/A,#N/A,TRUE,"Лист1";#N/A,#N/A,TRUE,"Лист2";#N/A,#N/A,TRUE,"Лист3"}</definedName>
    <definedName name="прибыль3" hidden="1">{#N/A,#N/A,TRUE,"Лист1";#N/A,#N/A,TRUE,"Лист2";#N/A,#N/A,TRUE,"Лист3"}</definedName>
    <definedName name="прил1.2" localSheetId="9">#N/A</definedName>
    <definedName name="прил1.2" localSheetId="4">#N/A</definedName>
    <definedName name="прил1.2">#N/A</definedName>
    <definedName name="Прилож3" localSheetId="9">#N/A</definedName>
    <definedName name="Прилож3" localSheetId="4">#N/A</definedName>
    <definedName name="Прилож3">#N/A</definedName>
    <definedName name="Приложение8" localSheetId="9">#N/A</definedName>
    <definedName name="Приложение8" localSheetId="4">#N/A</definedName>
    <definedName name="Приложение8">#N/A</definedName>
    <definedName name="Приход_расход" localSheetId="9">#REF!</definedName>
    <definedName name="Приход_расход" localSheetId="4">#REF!</definedName>
    <definedName name="Приход_расход">#REF!</definedName>
    <definedName name="Прогноз_Вып_пц">[39]рабочий!$Y$240:$AP$262</definedName>
    <definedName name="Прогноз_вып_цпг" localSheetId="9">'[39]Текущие цены'!#REF!</definedName>
    <definedName name="Прогноз_вып_цпг">'[39]Текущие цены'!#REF!</definedName>
    <definedName name="Прогноз97" localSheetId="9">[58]ПРОГНОЗ_1!#REF!</definedName>
    <definedName name="Прогноз97">[58]ПРОГНОЗ_1!#REF!</definedName>
    <definedName name="Проект" localSheetId="9">#REF!</definedName>
    <definedName name="Проект" localSheetId="4">#REF!</definedName>
    <definedName name="Проект">#REF!</definedName>
    <definedName name="Прочие_электроэнергии" localSheetId="9">'[45]Производство электроэнергии'!$A$132</definedName>
    <definedName name="Прочие_электроэнергии" localSheetId="4">'[45]Производство электроэнергии'!$A$132</definedName>
    <definedName name="Прочие_электроэнергии">'[46]Производство электроэнергии'!$A$132</definedName>
    <definedName name="прош_год" localSheetId="9">#REF!</definedName>
    <definedName name="прош_год" localSheetId="4">#REF!</definedName>
    <definedName name="прош_год">#REF!</definedName>
    <definedName name="прпророл">#N/A</definedName>
    <definedName name="ПЭ">[50]Справочники!$A$10:$A$12</definedName>
    <definedName name="р" localSheetId="9">#N/A</definedName>
    <definedName name="р" localSheetId="4">#N/A</definedName>
    <definedName name="р">#N/A</definedName>
    <definedName name="РГК">[50]Справочники!$A$4:$A$4</definedName>
    <definedName name="рис1" localSheetId="9" hidden="1">{#N/A,#N/A,TRUE,"Лист1";#N/A,#N/A,TRUE,"Лист2";#N/A,#N/A,TRUE,"Лист3"}</definedName>
    <definedName name="рис1" localSheetId="4" hidden="1">{#N/A,#N/A,TRUE,"Лист1";#N/A,#N/A,TRUE,"Лист2";#N/A,#N/A,TRUE,"Лист3"}</definedName>
    <definedName name="рис1" localSheetId="8" hidden="1">{#N/A,#N/A,TRUE,"Лист1";#N/A,#N/A,TRUE,"Лист2";#N/A,#N/A,TRUE,"Лист3"}</definedName>
    <definedName name="рис1" hidden="1">{#N/A,#N/A,TRUE,"Лист1";#N/A,#N/A,TRUE,"Лист2";#N/A,#N/A,TRUE,"Лист3"}</definedName>
    <definedName name="ро" localSheetId="9">#N/A</definedName>
    <definedName name="ро" localSheetId="4">#N/A</definedName>
    <definedName name="ро">#N/A</definedName>
    <definedName name="ропор">#N/A</definedName>
    <definedName name="рр">#N/A</definedName>
    <definedName name="рсср">#N/A</definedName>
    <definedName name="с" localSheetId="9">#N/A</definedName>
    <definedName name="с" localSheetId="4">#N/A</definedName>
    <definedName name="с">#N/A</definedName>
    <definedName name="с1">#N/A</definedName>
    <definedName name="сваеррта">#N/A</definedName>
    <definedName name="свмпвппв">#N/A</definedName>
    <definedName name="себестоимость2">#N/A</definedName>
    <definedName name="семь" localSheetId="9">#REF!</definedName>
    <definedName name="семь" localSheetId="4">#REF!</definedName>
    <definedName name="семь">#REF!</definedName>
    <definedName name="сен" localSheetId="9">#REF!</definedName>
    <definedName name="сен" localSheetId="4">#REF!</definedName>
    <definedName name="сен">#REF!</definedName>
    <definedName name="сен2" localSheetId="9">#REF!</definedName>
    <definedName name="сен2" localSheetId="4">#REF!</definedName>
    <definedName name="сен2">#REF!</definedName>
    <definedName name="ск">#N/A</definedName>
    <definedName name="Собст">'[49]эл ст'!$A$360:$IV$360</definedName>
    <definedName name="Собств">'[49]эл ст'!$A$369:$IV$369</definedName>
    <definedName name="сокращение">#N/A</definedName>
    <definedName name="сомп">#N/A</definedName>
    <definedName name="сомпас">#N/A</definedName>
    <definedName name="сс" localSheetId="9">#N/A</definedName>
    <definedName name="сс" localSheetId="4">#N/A</definedName>
    <definedName name="сс">#N/A</definedName>
    <definedName name="ссс">#N/A</definedName>
    <definedName name="сссс" localSheetId="9">#N/A</definedName>
    <definedName name="сссс" localSheetId="4">#N/A</definedName>
    <definedName name="сссс">#N/A</definedName>
    <definedName name="ссы" localSheetId="9">#N/A</definedName>
    <definedName name="ссы" localSheetId="4">#N/A</definedName>
    <definedName name="ссы">#N/A</definedName>
    <definedName name="ссы2" localSheetId="9">#N/A</definedName>
    <definedName name="ссы2" localSheetId="4">#N/A</definedName>
    <definedName name="ссы2">#N/A</definedName>
    <definedName name="Статья" localSheetId="9">#REF!</definedName>
    <definedName name="Статья" localSheetId="4">#REF!</definedName>
    <definedName name="Статья">#REF!</definedName>
    <definedName name="т">#N/A</definedName>
    <definedName name="т_аб_пл_1" localSheetId="9">'[53]т1.15(смета8а)'!#REF!</definedName>
    <definedName name="т_аб_пл_1" localSheetId="4">'[53]т1.15(смета8а)'!#REF!</definedName>
    <definedName name="т_аб_пл_1">'[53]т1.15(смета8а)'!#REF!</definedName>
    <definedName name="т_сбыт_1" localSheetId="9">'[53]т1.15(смета8а)'!#REF!</definedName>
    <definedName name="т_сбыт_1" localSheetId="4">'[53]т1.15(смета8а)'!#REF!</definedName>
    <definedName name="т_сбыт_1">'[53]т1.15(смета8а)'!#REF!</definedName>
    <definedName name="таня">#N/A</definedName>
    <definedName name="тар" localSheetId="9">#N/A</definedName>
    <definedName name="тар" localSheetId="4">#N/A</definedName>
    <definedName name="тар">#N/A</definedName>
    <definedName name="ТАР2" localSheetId="9">#N/A</definedName>
    <definedName name="ТАР2" localSheetId="4">#N/A</definedName>
    <definedName name="ТАР2">#N/A</definedName>
    <definedName name="тариф" localSheetId="9">#N/A</definedName>
    <definedName name="тариф" localSheetId="4">#N/A</definedName>
    <definedName name="тариф">#N/A</definedName>
    <definedName name="Тариф3" localSheetId="9">#N/A</definedName>
    <definedName name="Тариф3" localSheetId="4">#N/A</definedName>
    <definedName name="Тариф3">#N/A</definedName>
    <definedName name="текмес" localSheetId="9">#REF!</definedName>
    <definedName name="текмес" localSheetId="4">#REF!</definedName>
    <definedName name="текмес">#REF!</definedName>
    <definedName name="текмес2" localSheetId="9">#REF!</definedName>
    <definedName name="текмес2" localSheetId="4">#REF!</definedName>
    <definedName name="текмес2">#REF!</definedName>
    <definedName name="тепло">#N/A</definedName>
    <definedName name="тп" localSheetId="9" hidden="1">{#N/A,#N/A,TRUE,"Лист1";#N/A,#N/A,TRUE,"Лист2";#N/A,#N/A,TRUE,"Лист3"}</definedName>
    <definedName name="тп" localSheetId="4" hidden="1">{#N/A,#N/A,TRUE,"Лист1";#N/A,#N/A,TRUE,"Лист2";#N/A,#N/A,TRUE,"Лист3"}</definedName>
    <definedName name="тп" localSheetId="8" hidden="1">{#N/A,#N/A,TRUE,"Лист1";#N/A,#N/A,TRUE,"Лист2";#N/A,#N/A,TRUE,"Лист3"}</definedName>
    <definedName name="тп" hidden="1">{#N/A,#N/A,TRUE,"Лист1";#N/A,#N/A,TRUE,"Лист2";#N/A,#N/A,TRUE,"Лист3"}</definedName>
    <definedName name="третий" localSheetId="9">#REF!</definedName>
    <definedName name="третий" localSheetId="4">#REF!</definedName>
    <definedName name="третий">#REF!</definedName>
    <definedName name="ттт" localSheetId="9">#REF!</definedName>
    <definedName name="ттт">#REF!</definedName>
    <definedName name="ть">#N/A</definedName>
    <definedName name="ТЭП2" localSheetId="9" hidden="1">{#N/A,#N/A,TRUE,"Лист1";#N/A,#N/A,TRUE,"Лист2";#N/A,#N/A,TRUE,"Лист3"}</definedName>
    <definedName name="ТЭП2" localSheetId="4" hidden="1">{#N/A,#N/A,TRUE,"Лист1";#N/A,#N/A,TRUE,"Лист2";#N/A,#N/A,TRUE,"Лист3"}</definedName>
    <definedName name="ТЭП2" localSheetId="8" hidden="1">{#N/A,#N/A,TRUE,"Лист1";#N/A,#N/A,TRUE,"Лист2";#N/A,#N/A,TRUE,"Лист3"}</definedName>
    <definedName name="ТЭП2" hidden="1">{#N/A,#N/A,TRUE,"Лист1";#N/A,#N/A,TRUE,"Лист2";#N/A,#N/A,TRUE,"Лист3"}</definedName>
    <definedName name="Тэс" localSheetId="9">'[59]расчет тарифов'!#REF!</definedName>
    <definedName name="Тэс" localSheetId="4">'[59]расчет тарифов'!#REF!</definedName>
    <definedName name="Тэс">'[59]расчет тарифов'!#REF!</definedName>
    <definedName name="ТЭЦ">#N/A</definedName>
    <definedName name="у" localSheetId="9">#N/A</definedName>
    <definedName name="у" localSheetId="4">#N/A</definedName>
    <definedName name="у">#N/A</definedName>
    <definedName name="у1">#N/A</definedName>
    <definedName name="УГОЛЬ">[50]Справочники!$A$19:$A$21</definedName>
    <definedName name="ук">#N/A</definedName>
    <definedName name="укеееукеееееееееееееее" localSheetId="9" hidden="1">{#N/A,#N/A,TRUE,"Лист1";#N/A,#N/A,TRUE,"Лист2";#N/A,#N/A,TRUE,"Лист3"}</definedName>
    <definedName name="укеееукеееееееееееееее" localSheetId="4" hidden="1">{#N/A,#N/A,TRUE,"Лист1";#N/A,#N/A,TRUE,"Лист2";#N/A,#N/A,TRUE,"Лист3"}</definedName>
    <definedName name="укеееукеееееееееееееее" localSheetId="8" hidden="1">{#N/A,#N/A,TRUE,"Лист1";#N/A,#N/A,TRUE,"Лист2";#N/A,#N/A,TRUE,"Лист3"}</definedName>
    <definedName name="укеееукеееееееееееееее" hidden="1">{#N/A,#N/A,TRUE,"Лист1";#N/A,#N/A,TRUE,"Лист2";#N/A,#N/A,TRUE,"Лист3"}</definedName>
    <definedName name="укеукеуеуе" localSheetId="9" hidden="1">{#N/A,#N/A,TRUE,"Лист1";#N/A,#N/A,TRUE,"Лист2";#N/A,#N/A,TRUE,"Лист3"}</definedName>
    <definedName name="укеукеуеуе" localSheetId="4" hidden="1">{#N/A,#N/A,TRUE,"Лист1";#N/A,#N/A,TRUE,"Лист2";#N/A,#N/A,TRUE,"Лист3"}</definedName>
    <definedName name="укеукеуеуе" localSheetId="8" hidden="1">{#N/A,#N/A,TRUE,"Лист1";#N/A,#N/A,TRUE,"Лист2";#N/A,#N/A,TRUE,"Лист3"}</definedName>
    <definedName name="укеукеуеуе" hidden="1">{#N/A,#N/A,TRUE,"Лист1";#N/A,#N/A,TRUE,"Лист2";#N/A,#N/A,TRUE,"Лист3"}</definedName>
    <definedName name="уу">#N/A</definedName>
    <definedName name="уууу">#N/A</definedName>
    <definedName name="УФ" localSheetId="9">#N/A</definedName>
    <definedName name="УФ" localSheetId="4">#N/A</definedName>
    <definedName name="УФ">#N/A</definedName>
    <definedName name="уыукпе">#N/A</definedName>
    <definedName name="ф2">'[60]план 2000'!$G$643</definedName>
    <definedName name="фам">#N/A</definedName>
    <definedName name="фев" localSheetId="9">#REF!</definedName>
    <definedName name="фев" localSheetId="4">#REF!</definedName>
    <definedName name="фев">#REF!</definedName>
    <definedName name="фев2" localSheetId="9">#REF!</definedName>
    <definedName name="фев2" localSheetId="4">#REF!</definedName>
    <definedName name="фев2">#REF!</definedName>
    <definedName name="Филиал">'[61]Титульный лист'!$D$3:$G$3</definedName>
    <definedName name="фо" localSheetId="9">[62]Лист1!#REF!</definedName>
    <definedName name="фо" localSheetId="4">[62]Лист1!#REF!</definedName>
    <definedName name="фо">[62]Лист1!#REF!</definedName>
    <definedName name="фо_а_н_пц">[39]рабочий!$AR$240:$BI$263</definedName>
    <definedName name="фо_а_с_пц">[39]рабочий!$AS$202:$BI$224</definedName>
    <definedName name="фо_н_03">[39]рабочий!$X$305:$X$327</definedName>
    <definedName name="фо_н_04">[39]рабочий!$X$335:$X$357</definedName>
    <definedName name="форма">#N/A</definedName>
    <definedName name="фыаспит">#N/A</definedName>
    <definedName name="х">#N/A</definedName>
    <definedName name="хх">#N/A</definedName>
    <definedName name="ц" localSheetId="9">#N/A</definedName>
    <definedName name="ц" localSheetId="4">#N/A</definedName>
    <definedName name="ц">#N/A</definedName>
    <definedName name="ц." localSheetId="9">#N/A</definedName>
    <definedName name="ц." localSheetId="4">#N/A</definedName>
    <definedName name="ц.">#N/A</definedName>
    <definedName name="ц1">#N/A</definedName>
    <definedName name="цу" localSheetId="9">#N/A</definedName>
    <definedName name="цу" localSheetId="4">#N/A</definedName>
    <definedName name="цу">#N/A</definedName>
    <definedName name="цуа" localSheetId="9">#N/A</definedName>
    <definedName name="цуа" localSheetId="4">#N/A</definedName>
    <definedName name="цуа">#N/A</definedName>
    <definedName name="черновик">#N/A</definedName>
    <definedName name="четвертый" localSheetId="9">#REF!</definedName>
    <definedName name="четвертый" localSheetId="4">#REF!</definedName>
    <definedName name="четвертый">#REF!</definedName>
    <definedName name="шир_дан" localSheetId="9">#REF!</definedName>
    <definedName name="шир_дан" localSheetId="4">#REF!</definedName>
    <definedName name="шир_дан">#REF!</definedName>
    <definedName name="шир_отч" localSheetId="9">#REF!</definedName>
    <definedName name="шир_отч" localSheetId="4">#REF!</definedName>
    <definedName name="шир_отч">#REF!</definedName>
    <definedName name="шир_прош" localSheetId="9">#REF!</definedName>
    <definedName name="шир_прош" localSheetId="4">#REF!</definedName>
    <definedName name="шир_прош">#REF!</definedName>
    <definedName name="шир_тек" localSheetId="9">#REF!</definedName>
    <definedName name="шир_тек" localSheetId="4">#REF!</definedName>
    <definedName name="шир_тек">#REF!</definedName>
    <definedName name="шш">#N/A</definedName>
    <definedName name="шшшшшо">#N/A</definedName>
    <definedName name="щ">#N/A</definedName>
    <definedName name="ъ" localSheetId="9">#N/A</definedName>
    <definedName name="ъ" localSheetId="4">#N/A</definedName>
    <definedName name="ъ">#N/A</definedName>
    <definedName name="ыаппр">#N/A</definedName>
    <definedName name="ыапр" localSheetId="9" hidden="1">{#N/A,#N/A,TRUE,"Лист1";#N/A,#N/A,TRUE,"Лист2";#N/A,#N/A,TRUE,"Лист3"}</definedName>
    <definedName name="ыапр" localSheetId="4" hidden="1">{#N/A,#N/A,TRUE,"Лист1";#N/A,#N/A,TRUE,"Лист2";#N/A,#N/A,TRUE,"Лист3"}</definedName>
    <definedName name="ыапр" localSheetId="8" hidden="1">{#N/A,#N/A,TRUE,"Лист1";#N/A,#N/A,TRUE,"Лист2";#N/A,#N/A,TRUE,"Лист3"}</definedName>
    <definedName name="ыапр" hidden="1">{#N/A,#N/A,TRUE,"Лист1";#N/A,#N/A,TRUE,"Лист2";#N/A,#N/A,TRUE,"Лист3"}</definedName>
    <definedName name="ыаупп">#N/A</definedName>
    <definedName name="ыаыыа">#N/A</definedName>
    <definedName name="ыв" localSheetId="9">#N/A</definedName>
    <definedName name="ыв" localSheetId="4">#N/A</definedName>
    <definedName name="ыв">#N/A</definedName>
    <definedName name="ывпкывк">#N/A</definedName>
    <definedName name="ывпмьпь">#N/A</definedName>
    <definedName name="ымпы">#N/A</definedName>
    <definedName name="ыпр">#N/A</definedName>
    <definedName name="ыпыим" localSheetId="9" hidden="1">{#N/A,#N/A,TRUE,"Лист1";#N/A,#N/A,TRUE,"Лист2";#N/A,#N/A,TRUE,"Лист3"}</definedName>
    <definedName name="ыпыим" localSheetId="4" hidden="1">{#N/A,#N/A,TRUE,"Лист1";#N/A,#N/A,TRUE,"Лист2";#N/A,#N/A,TRUE,"Лист3"}</definedName>
    <definedName name="ыпыим" localSheetId="8" hidden="1">{#N/A,#N/A,TRUE,"Лист1";#N/A,#N/A,TRUE,"Лист2";#N/A,#N/A,TRUE,"Лист3"}</definedName>
    <definedName name="ыпыим" hidden="1">{#N/A,#N/A,TRUE,"Лист1";#N/A,#N/A,TRUE,"Лист2";#N/A,#N/A,TRUE,"Лист3"}</definedName>
    <definedName name="ыпыпми" localSheetId="9" hidden="1">{#N/A,#N/A,TRUE,"Лист1";#N/A,#N/A,TRUE,"Лист2";#N/A,#N/A,TRUE,"Лист3"}</definedName>
    <definedName name="ыпыпми" localSheetId="4" hidden="1">{#N/A,#N/A,TRUE,"Лист1";#N/A,#N/A,TRUE,"Лист2";#N/A,#N/A,TRUE,"Лист3"}</definedName>
    <definedName name="ыпыпми" localSheetId="8" hidden="1">{#N/A,#N/A,TRUE,"Лист1";#N/A,#N/A,TRUE,"Лист2";#N/A,#N/A,TRUE,"Лист3"}</definedName>
    <definedName name="ыпыпми" hidden="1">{#N/A,#N/A,TRUE,"Лист1";#N/A,#N/A,TRUE,"Лист2";#N/A,#N/A,TRUE,"Лист3"}</definedName>
    <definedName name="ысчпи" localSheetId="9" hidden="1">{#N/A,#N/A,TRUE,"Лист1";#N/A,#N/A,TRUE,"Лист2";#N/A,#N/A,TRUE,"Лист3"}</definedName>
    <definedName name="ысчпи" localSheetId="4" hidden="1">{#N/A,#N/A,TRUE,"Лист1";#N/A,#N/A,TRUE,"Лист2";#N/A,#N/A,TRUE,"Лист3"}</definedName>
    <definedName name="ысчпи" localSheetId="8" hidden="1">{#N/A,#N/A,TRUE,"Лист1";#N/A,#N/A,TRUE,"Лист2";#N/A,#N/A,TRUE,"Лист3"}</definedName>
    <definedName name="ысчпи" hidden="1">{#N/A,#N/A,TRUE,"Лист1";#N/A,#N/A,TRUE,"Лист2";#N/A,#N/A,TRUE,"Лист3"}</definedName>
    <definedName name="ыуаы" localSheetId="9" hidden="1">{#N/A,#N/A,TRUE,"Лист1";#N/A,#N/A,TRUE,"Лист2";#N/A,#N/A,TRUE,"Лист3"}</definedName>
    <definedName name="ыуаы" localSheetId="4" hidden="1">{#N/A,#N/A,TRUE,"Лист1";#N/A,#N/A,TRUE,"Лист2";#N/A,#N/A,TRUE,"Лист3"}</definedName>
    <definedName name="ыуаы" localSheetId="8" hidden="1">{#N/A,#N/A,TRUE,"Лист1";#N/A,#N/A,TRUE,"Лист2";#N/A,#N/A,TRUE,"Лист3"}</definedName>
    <definedName name="ыуаы" hidden="1">{#N/A,#N/A,TRUE,"Лист1";#N/A,#N/A,TRUE,"Лист2";#N/A,#N/A,TRUE,"Лист3"}</definedName>
    <definedName name="ыфса">#N/A</definedName>
    <definedName name="ыыыы" localSheetId="9">#N/A</definedName>
    <definedName name="ыыыы" localSheetId="4">#N/A</definedName>
    <definedName name="ыыыы">#N/A</definedName>
    <definedName name="ььь" localSheetId="9">#REF!</definedName>
    <definedName name="ььь">#REF!</definedName>
    <definedName name="э" localSheetId="9">#N/A</definedName>
    <definedName name="э" localSheetId="4">#N/A</definedName>
    <definedName name="э">#N/A</definedName>
    <definedName name="ээ">#N/A</definedName>
    <definedName name="эээ">#N/A</definedName>
    <definedName name="ю">#N/A</definedName>
    <definedName name="юююю" localSheetId="9">#REF!</definedName>
    <definedName name="юююю">#REF!</definedName>
    <definedName name="ююююююю">#N/A</definedName>
    <definedName name="я">#N/A</definedName>
    <definedName name="янв" localSheetId="9">#REF!</definedName>
    <definedName name="янв" localSheetId="4">#REF!</definedName>
    <definedName name="янв">#REF!</definedName>
    <definedName name="янв2" localSheetId="9">#REF!</definedName>
    <definedName name="янв2" localSheetId="4">#REF!</definedName>
    <definedName name="янв2">#REF!</definedName>
    <definedName name="яя">#N/A</definedName>
    <definedName name="яяя">#N/A</definedName>
  </definedNames>
  <calcPr calcId="145621"/>
</workbook>
</file>

<file path=xl/calcChain.xml><?xml version="1.0" encoding="utf-8"?>
<calcChain xmlns="http://schemas.openxmlformats.org/spreadsheetml/2006/main">
  <c r="D10" i="1" l="1"/>
  <c r="DF326" i="9" l="1"/>
  <c r="D30" i="1"/>
  <c r="D29" i="1" l="1"/>
  <c r="D28" i="1"/>
  <c r="D27" i="1"/>
  <c r="D39" i="1" s="1"/>
  <c r="D12" i="1" l="1"/>
  <c r="CG18" i="5" l="1"/>
  <c r="DJ5" i="5" l="1"/>
  <c r="DJ8" i="5"/>
  <c r="DJ7" i="5"/>
  <c r="DJ86" i="5" l="1"/>
  <c r="DJ60" i="5"/>
  <c r="DJ58" i="5"/>
  <c r="DJ56" i="5"/>
  <c r="DJ55" i="5"/>
  <c r="DJ50" i="5"/>
  <c r="DJ49" i="5"/>
  <c r="DJ44" i="5"/>
  <c r="DJ28" i="5"/>
  <c r="DJ25" i="5" l="1"/>
  <c r="DJ281" i="9"/>
  <c r="DJ23" i="5"/>
  <c r="DJ22" i="5"/>
  <c r="CG23" i="5"/>
  <c r="CG22" i="5"/>
  <c r="CG20" i="5"/>
  <c r="DE84" i="11"/>
  <c r="CV84" i="11" s="1"/>
  <c r="BB84" i="11"/>
  <c r="BK84" i="11" s="1"/>
  <c r="DE83" i="11"/>
  <c r="CV83" i="11"/>
  <c r="BB83" i="11"/>
  <c r="BK83" i="11" s="1"/>
  <c r="DE82" i="11"/>
  <c r="CV82" i="11"/>
  <c r="BB82" i="11"/>
  <c r="BK82" i="11" s="1"/>
  <c r="CH67" i="11"/>
  <c r="BB67" i="11"/>
  <c r="BK67" i="11" s="1"/>
  <c r="CH66" i="11"/>
  <c r="BK66" i="11"/>
  <c r="BB66" i="11"/>
  <c r="CH64" i="11"/>
  <c r="BB64" i="11"/>
  <c r="CO63" i="11"/>
  <c r="CA63" i="11"/>
  <c r="BT63" i="11"/>
  <c r="CH63" i="11" s="1"/>
  <c r="BB63" i="11"/>
  <c r="BK63" i="11" s="1"/>
  <c r="CH61" i="11"/>
  <c r="BB61" i="11"/>
  <c r="BK61" i="11" s="1"/>
  <c r="CH60" i="11"/>
  <c r="BB60" i="11"/>
  <c r="BK60" i="11" s="1"/>
  <c r="CO59" i="11"/>
  <c r="CA59" i="11"/>
  <c r="BT59" i="11"/>
  <c r="CH59" i="11" s="1"/>
  <c r="BB59" i="11"/>
  <c r="BK59" i="11" s="1"/>
  <c r="CH57" i="11"/>
  <c r="BB57" i="11"/>
  <c r="BK57" i="11" s="1"/>
  <c r="CO56" i="11"/>
  <c r="CA56" i="11"/>
  <c r="BT56" i="11"/>
  <c r="CH56" i="11" s="1"/>
  <c r="BB56" i="11" s="1"/>
  <c r="BK56" i="11" s="1"/>
  <c r="CH55" i="11"/>
  <c r="BB55" i="11"/>
  <c r="BK55" i="11" s="1"/>
  <c r="CH54" i="11"/>
  <c r="BB54" i="11"/>
  <c r="BK54" i="11" s="1"/>
  <c r="CH53" i="11"/>
  <c r="BB53" i="11"/>
  <c r="BK53" i="11" s="1"/>
  <c r="CH52" i="11"/>
  <c r="BB52" i="11"/>
  <c r="BK52" i="11" s="1"/>
  <c r="CO51" i="11"/>
  <c r="CA51" i="11"/>
  <c r="BT51" i="11"/>
  <c r="CH51" i="11" s="1"/>
  <c r="BB51" i="11" s="1"/>
  <c r="BK51" i="11" s="1"/>
  <c r="CH49" i="11"/>
  <c r="BB49" i="11"/>
  <c r="BK49" i="11" s="1"/>
  <c r="CO48" i="11"/>
  <c r="CA48" i="11"/>
  <c r="BT48" i="11"/>
  <c r="CH48" i="11" s="1"/>
  <c r="BB48" i="11" s="1"/>
  <c r="BK48" i="11" s="1"/>
  <c r="CO47" i="11"/>
  <c r="CH47" i="11"/>
  <c r="BB47" i="11" s="1"/>
  <c r="BK47" i="11" s="1"/>
  <c r="BT47" i="11"/>
  <c r="CO46" i="11"/>
  <c r="CA46" i="11"/>
  <c r="BT46" i="11"/>
  <c r="CH46" i="11" s="1"/>
  <c r="BB46" i="11" s="1"/>
  <c r="BK46" i="11" s="1"/>
  <c r="CO45" i="11"/>
  <c r="CA45" i="11"/>
  <c r="BT45" i="11"/>
  <c r="CH45" i="11" s="1"/>
  <c r="BB45" i="11" s="1"/>
  <c r="BK45" i="11" s="1"/>
  <c r="CO44" i="11"/>
  <c r="CA44" i="11"/>
  <c r="BT44" i="11"/>
  <c r="CH44" i="11" s="1"/>
  <c r="BB44" i="11" s="1"/>
  <c r="BK44" i="11" s="1"/>
  <c r="CO43" i="11"/>
  <c r="CA43" i="11"/>
  <c r="BT43" i="11"/>
  <c r="CH43" i="11" s="1"/>
  <c r="BB43" i="11" s="1"/>
  <c r="BK43" i="11" s="1"/>
  <c r="EB42" i="11"/>
  <c r="CH42" i="11"/>
  <c r="EB41" i="11"/>
  <c r="CH41" i="11"/>
  <c r="EB40" i="11"/>
  <c r="CH40" i="11"/>
  <c r="EB39" i="11"/>
  <c r="CH39" i="11"/>
  <c r="EB38" i="11"/>
  <c r="CV38" i="11"/>
  <c r="DE38" i="11" s="1"/>
  <c r="EB37" i="11"/>
  <c r="DE37" i="11"/>
  <c r="CV37" i="11"/>
  <c r="CH37" i="11"/>
  <c r="BB37" i="11"/>
  <c r="BK37" i="11" s="1"/>
  <c r="EB36" i="11"/>
  <c r="DE36" i="11"/>
  <c r="CV36" i="11"/>
  <c r="CH36" i="11"/>
  <c r="BB36" i="11"/>
  <c r="BK36" i="11" s="1"/>
  <c r="CO35" i="11"/>
  <c r="CO38" i="11" s="1"/>
  <c r="CA35" i="11"/>
  <c r="CA38" i="11" s="1"/>
  <c r="BT35" i="11"/>
  <c r="BT38" i="11" s="1"/>
  <c r="CH38" i="11" s="1"/>
  <c r="BB38" i="11" s="1"/>
  <c r="BK38" i="11" s="1"/>
  <c r="CO34" i="11"/>
  <c r="CO65" i="11" s="1"/>
  <c r="CO62" i="11" s="1"/>
  <c r="CA34" i="11"/>
  <c r="CA65" i="11" s="1"/>
  <c r="CA62" i="11" s="1"/>
  <c r="BT34" i="11"/>
  <c r="BT65" i="11" s="1"/>
  <c r="CH33" i="11"/>
  <c r="BK33" i="11"/>
  <c r="CH32" i="11"/>
  <c r="BK32" i="11"/>
  <c r="CO31" i="11"/>
  <c r="CA31" i="11"/>
  <c r="BT31" i="11"/>
  <c r="CH31" i="11" s="1"/>
  <c r="BB31" i="11" s="1"/>
  <c r="BK31" i="11" s="1"/>
  <c r="CO30" i="11"/>
  <c r="CA30" i="11"/>
  <c r="BT30" i="11"/>
  <c r="CH30" i="11" s="1"/>
  <c r="BB30" i="11" s="1"/>
  <c r="BK30" i="11" s="1"/>
  <c r="CO29" i="11"/>
  <c r="CA29" i="11"/>
  <c r="BT29" i="11"/>
  <c r="CH29" i="11" s="1"/>
  <c r="BB29" i="11" s="1"/>
  <c r="BK29" i="11" s="1"/>
  <c r="CH28" i="11"/>
  <c r="BK28" i="11"/>
  <c r="CH27" i="11"/>
  <c r="BK27" i="11"/>
  <c r="CH26" i="11"/>
  <c r="BK26" i="11"/>
  <c r="CH25" i="11"/>
  <c r="BK25" i="11"/>
  <c r="CH24" i="11"/>
  <c r="BK24" i="11"/>
  <c r="BB24" i="11"/>
  <c r="CO23" i="11"/>
  <c r="CA23" i="11"/>
  <c r="BT23" i="11"/>
  <c r="CH23" i="11" s="1"/>
  <c r="BB23" i="11" s="1"/>
  <c r="BK23" i="11" s="1"/>
  <c r="CO22" i="11"/>
  <c r="CO50" i="11" s="1"/>
  <c r="CA22" i="11"/>
  <c r="CA50" i="11" s="1"/>
  <c r="BT22" i="11"/>
  <c r="BT50" i="11" s="1"/>
  <c r="CH21" i="11"/>
  <c r="BB21" i="11"/>
  <c r="BK21" i="11" s="1"/>
  <c r="CH50" i="11" l="1"/>
  <c r="BB50" i="11" s="1"/>
  <c r="BK50" i="11" s="1"/>
  <c r="CH65" i="11"/>
  <c r="BB65" i="11"/>
  <c r="BK65" i="11" s="1"/>
  <c r="BT62" i="11"/>
  <c r="CH34" i="11"/>
  <c r="BB34" i="11" s="1"/>
  <c r="BK34" i="11" s="1"/>
  <c r="CH35" i="11"/>
  <c r="BB35" i="11" s="1"/>
  <c r="BK35" i="11" s="1"/>
  <c r="CH22" i="11"/>
  <c r="BB22" i="11" s="1"/>
  <c r="BK22" i="11" s="1"/>
  <c r="DT28" i="5"/>
  <c r="CH62" i="11" l="1"/>
  <c r="BB62" i="11"/>
  <c r="BK62" i="11" s="1"/>
  <c r="CG28" i="5" l="1"/>
  <c r="BW104" i="5" l="1"/>
  <c r="BW103" i="5"/>
  <c r="CG99" i="5"/>
  <c r="CG98" i="5"/>
  <c r="BW98" i="5"/>
  <c r="BW99" i="5"/>
  <c r="BW100" i="5"/>
  <c r="BW97" i="5"/>
  <c r="DU28" i="5"/>
  <c r="DU20" i="5"/>
  <c r="DT20" i="5"/>
  <c r="HW40" i="8" l="1"/>
  <c r="HW25" i="8"/>
  <c r="HU40" i="8"/>
  <c r="HU38" i="8"/>
  <c r="HU37" i="8"/>
  <c r="HU35" i="8"/>
  <c r="HU33" i="8"/>
  <c r="HU25" i="8"/>
  <c r="CG21" i="5"/>
  <c r="CG72" i="5"/>
  <c r="CG65" i="5"/>
  <c r="CG52" i="5" s="1"/>
  <c r="CG83" i="5"/>
  <c r="CG68" i="5"/>
  <c r="CG66" i="5"/>
  <c r="BW84" i="5"/>
  <c r="DJ59" i="5" l="1"/>
  <c r="CG88" i="5"/>
  <c r="CG86" i="5"/>
  <c r="CG80" i="5"/>
  <c r="CG81" i="5"/>
  <c r="CG79" i="5"/>
  <c r="CG78" i="5"/>
  <c r="CG77" i="5"/>
  <c r="CG76" i="5"/>
  <c r="CG75" i="5"/>
  <c r="CG74" i="5"/>
  <c r="CG73" i="5"/>
  <c r="CG61" i="5"/>
  <c r="CG58" i="5"/>
  <c r="CG56" i="5"/>
  <c r="CG55" i="5"/>
  <c r="CG50" i="5"/>
  <c r="CG49" i="5"/>
  <c r="CG44" i="5"/>
  <c r="CG25" i="5"/>
  <c r="CG24" i="5"/>
  <c r="CG85" i="5" s="1"/>
  <c r="DI26" i="5"/>
  <c r="DI51" i="5"/>
  <c r="DI53" i="5"/>
  <c r="DI54" i="5"/>
  <c r="DI57" i="5"/>
  <c r="DI62" i="5"/>
  <c r="DI63" i="5"/>
  <c r="DI64" i="5"/>
  <c r="DI87" i="5"/>
  <c r="DI88" i="5"/>
  <c r="DI89" i="5"/>
  <c r="DI90" i="5"/>
  <c r="DI91" i="5"/>
  <c r="DI93" i="5"/>
  <c r="DI94" i="5"/>
  <c r="DI96" i="5"/>
  <c r="DI97" i="5"/>
  <c r="DI98" i="5"/>
  <c r="DI99" i="5"/>
  <c r="DI100" i="5"/>
  <c r="DI101" i="5"/>
  <c r="DI103" i="5"/>
  <c r="DI104" i="5"/>
  <c r="DI106" i="5"/>
  <c r="DI111" i="5"/>
  <c r="DI112" i="5"/>
  <c r="DI113" i="5"/>
  <c r="BW108" i="5"/>
  <c r="DI108" i="5" s="1"/>
  <c r="BW109" i="5"/>
  <c r="DI109" i="5" s="1"/>
  <c r="BW110" i="5"/>
  <c r="DI110" i="5" s="1"/>
  <c r="BW107" i="5"/>
  <c r="DI107" i="5" s="1"/>
  <c r="BV40" i="5"/>
  <c r="BV39" i="5"/>
  <c r="BU39" i="5"/>
  <c r="BV38" i="5"/>
  <c r="BU38" i="5"/>
  <c r="BV37" i="5"/>
  <c r="BU37" i="5"/>
  <c r="BV36" i="5"/>
  <c r="BU36" i="5"/>
  <c r="HV40" i="8" l="1"/>
  <c r="DL18" i="5"/>
  <c r="HV25" i="8"/>
  <c r="DJ19" i="5"/>
  <c r="HW26" i="8"/>
  <c r="HW27" i="8"/>
  <c r="HW28" i="8"/>
  <c r="HW29" i="8"/>
  <c r="HW30" i="8"/>
  <c r="HW31" i="8"/>
  <c r="HW32" i="8"/>
  <c r="HW33" i="8"/>
  <c r="HW34" i="8"/>
  <c r="HW35" i="8"/>
  <c r="HW36" i="8"/>
  <c r="HW37" i="8"/>
  <c r="HW38" i="8"/>
  <c r="HU32" i="8"/>
  <c r="CG59" i="5"/>
  <c r="CG60" i="5" l="1"/>
  <c r="CG48" i="5"/>
  <c r="DI48" i="5" s="1"/>
  <c r="CG34" i="5"/>
  <c r="CG67" i="5"/>
  <c r="CG71" i="5"/>
  <c r="CG70" i="5"/>
  <c r="DI70" i="5" s="1"/>
  <c r="CG69" i="5"/>
  <c r="K70" i="5"/>
  <c r="CG41" i="5"/>
  <c r="CG47" i="5" l="1"/>
  <c r="CG46" i="5"/>
  <c r="CG45" i="5"/>
  <c r="CG43" i="5"/>
  <c r="CG42" i="5"/>
  <c r="CG39" i="5"/>
  <c r="CG38" i="5"/>
  <c r="CG37" i="5"/>
  <c r="CG36" i="5"/>
  <c r="CG35" i="5"/>
  <c r="CG33" i="5"/>
  <c r="CG32" i="5"/>
  <c r="CG31" i="5"/>
  <c r="CG29" i="5"/>
  <c r="AH381" i="10"/>
  <c r="AB381" i="10"/>
  <c r="AA381" i="10"/>
  <c r="Z381" i="10"/>
  <c r="Y381" i="10"/>
  <c r="X381" i="10"/>
  <c r="W381" i="10"/>
  <c r="S381" i="10"/>
  <c r="R381" i="10"/>
  <c r="Q381" i="10"/>
  <c r="P381" i="10"/>
  <c r="O381" i="10"/>
  <c r="AK380" i="10"/>
  <c r="AH380" i="10"/>
  <c r="AF380" i="10"/>
  <c r="AE380" i="10"/>
  <c r="AB380" i="10"/>
  <c r="AA380" i="10"/>
  <c r="Z380" i="10"/>
  <c r="Y380" i="10"/>
  <c r="X380" i="10"/>
  <c r="W380" i="10"/>
  <c r="S380" i="10"/>
  <c r="R380" i="10"/>
  <c r="Q380" i="10"/>
  <c r="P380" i="10"/>
  <c r="O380" i="10"/>
  <c r="AH379" i="10"/>
  <c r="AD379" i="10"/>
  <c r="AC379" i="10"/>
  <c r="AB379" i="10"/>
  <c r="AA379" i="10"/>
  <c r="Z379" i="10"/>
  <c r="Y379" i="10"/>
  <c r="X379" i="10"/>
  <c r="W379" i="10"/>
  <c r="V379" i="10"/>
  <c r="S379" i="10"/>
  <c r="R379" i="10"/>
  <c r="Q379" i="10"/>
  <c r="P379" i="10"/>
  <c r="O379" i="10"/>
  <c r="AH378" i="10"/>
  <c r="AE378" i="10"/>
  <c r="AC378" i="10"/>
  <c r="AB378" i="10"/>
  <c r="AA378" i="10"/>
  <c r="Z378" i="10"/>
  <c r="Y378" i="10"/>
  <c r="X378" i="10"/>
  <c r="W378" i="10"/>
  <c r="V378" i="10"/>
  <c r="S378" i="10"/>
  <c r="R378" i="10"/>
  <c r="Q378" i="10"/>
  <c r="P378" i="10"/>
  <c r="O378" i="10"/>
  <c r="Q370" i="10"/>
  <c r="AE364" i="10"/>
  <c r="AC364" i="10"/>
  <c r="V364" i="10"/>
  <c r="U364" i="10"/>
  <c r="T364" i="10"/>
  <c r="S364" i="10"/>
  <c r="R364" i="10"/>
  <c r="Q364" i="10"/>
  <c r="P364" i="10"/>
  <c r="O364" i="10"/>
  <c r="N364" i="10"/>
  <c r="M364" i="10"/>
  <c r="L364" i="10"/>
  <c r="K364" i="10"/>
  <c r="K360" i="10"/>
  <c r="AH352" i="10"/>
  <c r="AJ352" i="10" s="1"/>
  <c r="AG352" i="10"/>
  <c r="AE352" i="10"/>
  <c r="AE365" i="10" s="1"/>
  <c r="AC352" i="10"/>
  <c r="AC365" i="10" s="1"/>
  <c r="Z352" i="10"/>
  <c r="Y352" i="10"/>
  <c r="X352" i="10"/>
  <c r="W352" i="10"/>
  <c r="V352" i="10"/>
  <c r="V365" i="10" s="1"/>
  <c r="S352" i="10"/>
  <c r="S365" i="10" s="1"/>
  <c r="R352" i="10"/>
  <c r="R365" i="10" s="1"/>
  <c r="Q352" i="10"/>
  <c r="Q365" i="10" s="1"/>
  <c r="P352" i="10"/>
  <c r="P365" i="10" s="1"/>
  <c r="O352" i="10"/>
  <c r="O365" i="10" s="1"/>
  <c r="N352" i="10"/>
  <c r="N365" i="10" s="1"/>
  <c r="AK350" i="10"/>
  <c r="AH350" i="10"/>
  <c r="AJ350" i="10" s="1"/>
  <c r="AG350" i="10"/>
  <c r="AF350" i="10"/>
  <c r="AE350" i="10"/>
  <c r="Z350" i="10"/>
  <c r="Y350" i="10"/>
  <c r="X350" i="10"/>
  <c r="W350" i="10"/>
  <c r="S350" i="10"/>
  <c r="R350" i="10"/>
  <c r="Q350" i="10"/>
  <c r="P350" i="10"/>
  <c r="O350" i="10"/>
  <c r="N350" i="10"/>
  <c r="M350" i="10"/>
  <c r="L350" i="10"/>
  <c r="K350" i="10"/>
  <c r="AH349" i="10"/>
  <c r="AJ349" i="10" s="1"/>
  <c r="AG349" i="10"/>
  <c r="AG351" i="10" s="1"/>
  <c r="AG353" i="10" s="1"/>
  <c r="AE349" i="10"/>
  <c r="AE351" i="10" s="1"/>
  <c r="AE353" i="10" s="1"/>
  <c r="AC349" i="10"/>
  <c r="Z349" i="10"/>
  <c r="Z351" i="10" s="1"/>
  <c r="Z353" i="10" s="1"/>
  <c r="Y349" i="10"/>
  <c r="Y351" i="10" s="1"/>
  <c r="Y353" i="10" s="1"/>
  <c r="X349" i="10"/>
  <c r="X351" i="10" s="1"/>
  <c r="X353" i="10" s="1"/>
  <c r="W349" i="10"/>
  <c r="W351" i="10" s="1"/>
  <c r="W353" i="10" s="1"/>
  <c r="V349" i="10"/>
  <c r="S349" i="10"/>
  <c r="S351" i="10" s="1"/>
  <c r="R349" i="10"/>
  <c r="R351" i="10" s="1"/>
  <c r="R353" i="10" s="1"/>
  <c r="Q349" i="10"/>
  <c r="Q351" i="10" s="1"/>
  <c r="Q353" i="10" s="1"/>
  <c r="P349" i="10"/>
  <c r="P351" i="10" s="1"/>
  <c r="P353" i="10" s="1"/>
  <c r="O349" i="10"/>
  <c r="O351" i="10" s="1"/>
  <c r="O353" i="10" s="1"/>
  <c r="N349" i="10"/>
  <c r="N351" i="10" s="1"/>
  <c r="N353" i="10" s="1"/>
  <c r="M349" i="10"/>
  <c r="M351" i="10" s="1"/>
  <c r="L349" i="10"/>
  <c r="L351" i="10" s="1"/>
  <c r="K349" i="10"/>
  <c r="K351" i="10" s="1"/>
  <c r="AJ347" i="10"/>
  <c r="S347" i="10"/>
  <c r="R347" i="10"/>
  <c r="Q347" i="10"/>
  <c r="P347" i="10"/>
  <c r="O347" i="10"/>
  <c r="N347" i="10"/>
  <c r="AJ339" i="10"/>
  <c r="AJ338" i="10"/>
  <c r="AJ337" i="10"/>
  <c r="AJ335" i="10"/>
  <c r="AJ334" i="10"/>
  <c r="AF334" i="10"/>
  <c r="AJ333" i="10"/>
  <c r="AF333" i="10"/>
  <c r="AJ332" i="10"/>
  <c r="AF332" i="10"/>
  <c r="AJ331" i="10"/>
  <c r="AK323" i="10"/>
  <c r="AJ323" i="10"/>
  <c r="AI323" i="10"/>
  <c r="AD323" i="10"/>
  <c r="U323" i="10"/>
  <c r="T323" i="10"/>
  <c r="AK322" i="10"/>
  <c r="AJ322" i="10"/>
  <c r="AI322" i="10"/>
  <c r="AK321" i="10"/>
  <c r="AJ321" i="10"/>
  <c r="AI321" i="10"/>
  <c r="AD321" i="10"/>
  <c r="U321" i="10"/>
  <c r="T321" i="10"/>
  <c r="AK320" i="10"/>
  <c r="AJ320" i="10"/>
  <c r="AI320" i="10"/>
  <c r="AD320" i="10"/>
  <c r="U320" i="10"/>
  <c r="T320" i="10"/>
  <c r="AK319" i="10"/>
  <c r="AJ319" i="10"/>
  <c r="AI319" i="10"/>
  <c r="AD319" i="10"/>
  <c r="U319" i="10"/>
  <c r="T319" i="10"/>
  <c r="AK318" i="10"/>
  <c r="AJ318" i="10"/>
  <c r="AI318" i="10"/>
  <c r="AD318" i="10"/>
  <c r="U318" i="10"/>
  <c r="T318" i="10"/>
  <c r="AK317" i="10"/>
  <c r="AJ317" i="10"/>
  <c r="AI317" i="10"/>
  <c r="U317" i="10"/>
  <c r="T317" i="10"/>
  <c r="AK316" i="10"/>
  <c r="AJ316" i="10"/>
  <c r="AI316" i="10"/>
  <c r="AD316" i="10"/>
  <c r="U316" i="10"/>
  <c r="T316" i="10"/>
  <c r="AK315" i="10"/>
  <c r="AJ315" i="10"/>
  <c r="AI315" i="10"/>
  <c r="AD315" i="10"/>
  <c r="U315" i="10"/>
  <c r="T315" i="10"/>
  <c r="AK314" i="10"/>
  <c r="AJ314" i="10"/>
  <c r="AI314" i="10"/>
  <c r="AD314" i="10"/>
  <c r="U314" i="10"/>
  <c r="T314" i="10"/>
  <c r="AK313" i="10"/>
  <c r="AJ313" i="10"/>
  <c r="AI313" i="10"/>
  <c r="AD313" i="10"/>
  <c r="U313" i="10"/>
  <c r="T313" i="10"/>
  <c r="AK312" i="10"/>
  <c r="AJ312" i="10"/>
  <c r="AI312" i="10"/>
  <c r="AD312" i="10"/>
  <c r="U312" i="10"/>
  <c r="T312" i="10"/>
  <c r="AK311" i="10"/>
  <c r="AJ311" i="10"/>
  <c r="AI311" i="10"/>
  <c r="U311" i="10"/>
  <c r="T311" i="10"/>
  <c r="AK310" i="10"/>
  <c r="AJ310" i="10"/>
  <c r="AI310" i="10"/>
  <c r="U310" i="10"/>
  <c r="T310" i="10"/>
  <c r="AK309" i="10"/>
  <c r="AJ309" i="10"/>
  <c r="AI309" i="10"/>
  <c r="U309" i="10"/>
  <c r="T309" i="10"/>
  <c r="AK308" i="10"/>
  <c r="AJ308" i="10"/>
  <c r="AI308" i="10"/>
  <c r="U308" i="10"/>
  <c r="T308" i="10"/>
  <c r="AJ307" i="10"/>
  <c r="AI307" i="10"/>
  <c r="AD307" i="10"/>
  <c r="U307" i="10"/>
  <c r="T307" i="10"/>
  <c r="AK306" i="10"/>
  <c r="AJ306" i="10"/>
  <c r="AI306" i="10"/>
  <c r="AD306" i="10"/>
  <c r="U306" i="10"/>
  <c r="T306" i="10"/>
  <c r="AK305" i="10"/>
  <c r="AJ305" i="10"/>
  <c r="AI305" i="10"/>
  <c r="AD305" i="10"/>
  <c r="U305" i="10"/>
  <c r="T305" i="10"/>
  <c r="AK304" i="10"/>
  <c r="AJ304" i="10"/>
  <c r="AI304" i="10"/>
  <c r="AD304" i="10"/>
  <c r="U304" i="10"/>
  <c r="T304" i="10"/>
  <c r="AK303" i="10"/>
  <c r="AJ303" i="10"/>
  <c r="AI303" i="10"/>
  <c r="AD303" i="10"/>
  <c r="U303" i="10"/>
  <c r="T303" i="10"/>
  <c r="AK302" i="10"/>
  <c r="AJ302" i="10"/>
  <c r="AI302" i="10"/>
  <c r="AD302" i="10"/>
  <c r="U302" i="10"/>
  <c r="T302" i="10"/>
  <c r="AK301" i="10"/>
  <c r="AJ301" i="10"/>
  <c r="AI301" i="10"/>
  <c r="AD301" i="10"/>
  <c r="U301" i="10"/>
  <c r="T301" i="10"/>
  <c r="AK300" i="10"/>
  <c r="AJ300" i="10"/>
  <c r="AI300" i="10"/>
  <c r="AD300" i="10"/>
  <c r="U300" i="10"/>
  <c r="T300" i="10"/>
  <c r="AK299" i="10"/>
  <c r="AJ299" i="10"/>
  <c r="AI299" i="10"/>
  <c r="AD299" i="10"/>
  <c r="U299" i="10"/>
  <c r="T299" i="10"/>
  <c r="AK298" i="10"/>
  <c r="AJ298" i="10"/>
  <c r="AI298" i="10"/>
  <c r="AD298" i="10"/>
  <c r="U298" i="10"/>
  <c r="T298" i="10"/>
  <c r="AK297" i="10"/>
  <c r="AJ297" i="10"/>
  <c r="AI297" i="10"/>
  <c r="AD297" i="10"/>
  <c r="U297" i="10"/>
  <c r="T297" i="10"/>
  <c r="AJ296" i="10"/>
  <c r="AI296" i="10"/>
  <c r="AD296" i="10"/>
  <c r="U296" i="10"/>
  <c r="T296" i="10"/>
  <c r="AK295" i="10"/>
  <c r="AJ295" i="10"/>
  <c r="AI295" i="10"/>
  <c r="AK294" i="10"/>
  <c r="AJ294" i="10"/>
  <c r="AI294" i="10"/>
  <c r="AD294" i="10"/>
  <c r="U294" i="10"/>
  <c r="T294" i="10"/>
  <c r="AJ293" i="10"/>
  <c r="AI293" i="10"/>
  <c r="AD293" i="10"/>
  <c r="U293" i="10"/>
  <c r="T293" i="10"/>
  <c r="AK292" i="10"/>
  <c r="AJ292" i="10"/>
  <c r="AI292" i="10"/>
  <c r="U292" i="10"/>
  <c r="T292" i="10"/>
  <c r="AK291" i="10"/>
  <c r="AJ291" i="10"/>
  <c r="AI291" i="10"/>
  <c r="U291" i="10"/>
  <c r="T291" i="10"/>
  <c r="AJ290" i="10"/>
  <c r="AI290" i="10"/>
  <c r="U290" i="10"/>
  <c r="T290" i="10"/>
  <c r="AJ289" i="10"/>
  <c r="AI289" i="10"/>
  <c r="U289" i="10"/>
  <c r="T289" i="10"/>
  <c r="AJ288" i="10"/>
  <c r="AI288" i="10"/>
  <c r="U288" i="10"/>
  <c r="T288" i="10"/>
  <c r="AK287" i="10"/>
  <c r="AJ287" i="10"/>
  <c r="AI287" i="10"/>
  <c r="U287" i="10"/>
  <c r="T287" i="10"/>
  <c r="AK286" i="10"/>
  <c r="AJ286" i="10"/>
  <c r="AH286" i="10"/>
  <c r="AI286" i="10" s="1"/>
  <c r="AG286" i="10"/>
  <c r="AC286" i="10"/>
  <c r="AB286" i="10"/>
  <c r="AA286" i="10"/>
  <c r="Z286" i="10"/>
  <c r="Y286" i="10"/>
  <c r="X286" i="10"/>
  <c r="W286" i="10"/>
  <c r="V286" i="10"/>
  <c r="S286" i="10"/>
  <c r="U286" i="10" s="1"/>
  <c r="R286" i="10"/>
  <c r="Q286" i="10"/>
  <c r="P286" i="10"/>
  <c r="O286" i="10"/>
  <c r="N286" i="10"/>
  <c r="M286" i="10"/>
  <c r="L286" i="10"/>
  <c r="K286" i="10"/>
  <c r="J286" i="10"/>
  <c r="I286" i="10"/>
  <c r="H286" i="10"/>
  <c r="AJ285" i="10"/>
  <c r="AI285" i="10"/>
  <c r="AD285" i="10"/>
  <c r="U285" i="10"/>
  <c r="T285" i="10"/>
  <c r="AK284" i="10"/>
  <c r="AJ284" i="10"/>
  <c r="AI284" i="10"/>
  <c r="AD284" i="10"/>
  <c r="U284" i="10"/>
  <c r="T284" i="10"/>
  <c r="AK283" i="10"/>
  <c r="AJ283" i="10"/>
  <c r="AI283" i="10"/>
  <c r="AD283" i="10"/>
  <c r="U283" i="10"/>
  <c r="T283" i="10"/>
  <c r="AK282" i="10"/>
  <c r="AJ282" i="10"/>
  <c r="AI282" i="10"/>
  <c r="AD282" i="10"/>
  <c r="AD281" i="10" s="1"/>
  <c r="U282" i="10"/>
  <c r="T282" i="10"/>
  <c r="AK281" i="10"/>
  <c r="AJ281" i="10"/>
  <c r="AH281" i="10"/>
  <c r="AI281" i="10" s="1"/>
  <c r="AG281" i="10"/>
  <c r="AC281" i="10"/>
  <c r="AB281" i="10"/>
  <c r="AA281" i="10"/>
  <c r="Z281" i="10"/>
  <c r="Y281" i="10"/>
  <c r="X281" i="10"/>
  <c r="W281" i="10"/>
  <c r="V281" i="10"/>
  <c r="S281" i="10"/>
  <c r="T281" i="10" s="1"/>
  <c r="R281" i="10"/>
  <c r="Q281" i="10"/>
  <c r="P281" i="10"/>
  <c r="O281" i="10"/>
  <c r="N281" i="10"/>
  <c r="M281" i="10"/>
  <c r="L281" i="10"/>
  <c r="K281" i="10"/>
  <c r="J281" i="10"/>
  <c r="I281" i="10"/>
  <c r="H281" i="10"/>
  <c r="AK280" i="10"/>
  <c r="AJ280" i="10"/>
  <c r="AI280" i="10"/>
  <c r="AD280" i="10"/>
  <c r="AC280" i="10"/>
  <c r="V280" i="10"/>
  <c r="AE280" i="10" s="1"/>
  <c r="AF280" i="10" s="1"/>
  <c r="U280" i="10"/>
  <c r="T280" i="10"/>
  <c r="AK279" i="10"/>
  <c r="AJ279" i="10"/>
  <c r="AI279" i="10"/>
  <c r="AD279" i="10"/>
  <c r="U279" i="10"/>
  <c r="T279" i="10"/>
  <c r="AK278" i="10"/>
  <c r="AH278" i="10"/>
  <c r="AJ278" i="10" s="1"/>
  <c r="AG278" i="10"/>
  <c r="AD278" i="10"/>
  <c r="AC278" i="10"/>
  <c r="AB278" i="10"/>
  <c r="AA278" i="10"/>
  <c r="Z278" i="10"/>
  <c r="Y278" i="10"/>
  <c r="X278" i="10"/>
  <c r="W278" i="10"/>
  <c r="V278" i="10"/>
  <c r="S278" i="10"/>
  <c r="U278" i="10" s="1"/>
  <c r="R278" i="10"/>
  <c r="Q278" i="10"/>
  <c r="P278" i="10"/>
  <c r="O278" i="10"/>
  <c r="N278" i="10"/>
  <c r="T278" i="10" s="1"/>
  <c r="M278" i="10"/>
  <c r="L278" i="10"/>
  <c r="K278" i="10"/>
  <c r="J278" i="10"/>
  <c r="I278" i="10"/>
  <c r="H278" i="10"/>
  <c r="AJ277" i="10"/>
  <c r="AI277" i="10"/>
  <c r="AD277" i="10"/>
  <c r="AC277" i="10"/>
  <c r="V277" i="10"/>
  <c r="U277" i="10"/>
  <c r="U350" i="10" s="1"/>
  <c r="T277" i="10"/>
  <c r="T350" i="10" s="1"/>
  <c r="AK276" i="10"/>
  <c r="AK381" i="10" s="1"/>
  <c r="AJ276" i="10"/>
  <c r="AI276" i="10"/>
  <c r="AE276" i="10"/>
  <c r="AE381" i="10" s="1"/>
  <c r="AD276" i="10"/>
  <c r="AD381" i="10" s="1"/>
  <c r="AC276" i="10"/>
  <c r="AC381" i="10" s="1"/>
  <c r="V276" i="10"/>
  <c r="V381" i="10" s="1"/>
  <c r="U276" i="10"/>
  <c r="T276" i="10"/>
  <c r="AK275" i="10"/>
  <c r="AJ275" i="10"/>
  <c r="AI275" i="10"/>
  <c r="AD275" i="10"/>
  <c r="U275" i="10"/>
  <c r="T275" i="10"/>
  <c r="AK274" i="10"/>
  <c r="AJ274" i="10"/>
  <c r="AI274" i="10"/>
  <c r="AD274" i="10"/>
  <c r="U274" i="10"/>
  <c r="T274" i="10"/>
  <c r="AK273" i="10"/>
  <c r="AJ273" i="10"/>
  <c r="AI273" i="10"/>
  <c r="AD273" i="10"/>
  <c r="U273" i="10"/>
  <c r="T273" i="10"/>
  <c r="AK272" i="10"/>
  <c r="AJ272" i="10"/>
  <c r="AI272" i="10"/>
  <c r="AD272" i="10"/>
  <c r="T272" i="10"/>
  <c r="AK271" i="10"/>
  <c r="AJ271" i="10"/>
  <c r="AI271" i="10"/>
  <c r="AD271" i="10"/>
  <c r="U271" i="10"/>
  <c r="T271" i="10"/>
  <c r="AK270" i="10"/>
  <c r="AJ270" i="10"/>
  <c r="AI270" i="10"/>
  <c r="AD270" i="10"/>
  <c r="U270" i="10"/>
  <c r="T270" i="10"/>
  <c r="AJ269" i="10"/>
  <c r="AI269" i="10"/>
  <c r="AD269" i="10"/>
  <c r="T269" i="10"/>
  <c r="AK268" i="10"/>
  <c r="AK382" i="10" s="1"/>
  <c r="AJ268" i="10"/>
  <c r="AH268" i="10"/>
  <c r="AH382" i="10" s="1"/>
  <c r="AG268" i="10"/>
  <c r="AC268" i="10"/>
  <c r="AC382" i="10" s="1"/>
  <c r="AB268" i="10"/>
  <c r="AB382" i="10" s="1"/>
  <c r="AA268" i="10"/>
  <c r="AA382" i="10" s="1"/>
  <c r="Z268" i="10"/>
  <c r="Z382" i="10" s="1"/>
  <c r="Y268" i="10"/>
  <c r="Y382" i="10" s="1"/>
  <c r="X268" i="10"/>
  <c r="X382" i="10" s="1"/>
  <c r="W268" i="10"/>
  <c r="W382" i="10" s="1"/>
  <c r="V268" i="10"/>
  <c r="V382" i="10" s="1"/>
  <c r="U268" i="10"/>
  <c r="S268" i="10"/>
  <c r="S382" i="10" s="1"/>
  <c r="R268" i="10"/>
  <c r="R382" i="10" s="1"/>
  <c r="Q268" i="10"/>
  <c r="Q382" i="10" s="1"/>
  <c r="P268" i="10"/>
  <c r="P382" i="10" s="1"/>
  <c r="O268" i="10"/>
  <c r="O382" i="10" s="1"/>
  <c r="N268" i="10"/>
  <c r="M268" i="10"/>
  <c r="L268" i="10"/>
  <c r="K268" i="10"/>
  <c r="J268" i="10"/>
  <c r="I268" i="10"/>
  <c r="H268" i="10"/>
  <c r="AJ267" i="10"/>
  <c r="AI267" i="10"/>
  <c r="AF267" i="10"/>
  <c r="AD267" i="10"/>
  <c r="U267" i="10"/>
  <c r="T267" i="10"/>
  <c r="AJ266" i="10"/>
  <c r="AI266" i="10"/>
  <c r="AD266" i="10"/>
  <c r="U266" i="10"/>
  <c r="T266" i="10"/>
  <c r="AJ265" i="10"/>
  <c r="AI265" i="10"/>
  <c r="AF265" i="10"/>
  <c r="AD265" i="10"/>
  <c r="U265" i="10"/>
  <c r="T265" i="10"/>
  <c r="AJ264" i="10"/>
  <c r="AI264" i="10"/>
  <c r="AF264" i="10"/>
  <c r="AD264" i="10"/>
  <c r="U264" i="10"/>
  <c r="T264" i="10"/>
  <c r="AK263" i="10"/>
  <c r="AJ263" i="10"/>
  <c r="AH263" i="10"/>
  <c r="AI263" i="10" s="1"/>
  <c r="AG263" i="10"/>
  <c r="AF263" i="10"/>
  <c r="AE263" i="10"/>
  <c r="AC263" i="10"/>
  <c r="AB263" i="10"/>
  <c r="AA263" i="10"/>
  <c r="Z263" i="10"/>
  <c r="Y263" i="10"/>
  <c r="X263" i="10"/>
  <c r="W263" i="10"/>
  <c r="V263" i="10"/>
  <c r="P263" i="10"/>
  <c r="Q263" i="10" s="1"/>
  <c r="R263" i="10" s="1"/>
  <c r="S263" i="10" s="1"/>
  <c r="O263" i="10"/>
  <c r="N263" i="10"/>
  <c r="M263" i="10"/>
  <c r="L263" i="10"/>
  <c r="K263" i="10"/>
  <c r="J263" i="10"/>
  <c r="I263" i="10"/>
  <c r="H263" i="10"/>
  <c r="AK262" i="10"/>
  <c r="AJ262" i="10"/>
  <c r="AI262" i="10"/>
  <c r="U262" i="10"/>
  <c r="T262" i="10"/>
  <c r="AK261" i="10"/>
  <c r="AJ261" i="10"/>
  <c r="AI261" i="10"/>
  <c r="U261" i="10"/>
  <c r="T261" i="10"/>
  <c r="AK260" i="10"/>
  <c r="AJ260" i="10"/>
  <c r="AI260" i="10"/>
  <c r="U260" i="10"/>
  <c r="T260" i="10"/>
  <c r="AK259" i="10"/>
  <c r="AJ259" i="10"/>
  <c r="AI259" i="10"/>
  <c r="U259" i="10"/>
  <c r="T259" i="10"/>
  <c r="AK258" i="10"/>
  <c r="AJ258" i="10"/>
  <c r="AI258" i="10"/>
  <c r="U258" i="10"/>
  <c r="T258" i="10"/>
  <c r="AK257" i="10"/>
  <c r="AJ257" i="10"/>
  <c r="AI257" i="10"/>
  <c r="U257" i="10"/>
  <c r="T257" i="10"/>
  <c r="AK256" i="10"/>
  <c r="AJ256" i="10"/>
  <c r="AI256" i="10"/>
  <c r="U256" i="10"/>
  <c r="T256" i="10"/>
  <c r="AK255" i="10"/>
  <c r="AK379" i="10" s="1"/>
  <c r="AJ255" i="10"/>
  <c r="AI255" i="10"/>
  <c r="U255" i="10"/>
  <c r="T255" i="10"/>
  <c r="AK254" i="10"/>
  <c r="AJ254" i="10"/>
  <c r="AI254" i="10"/>
  <c r="AF254" i="10"/>
  <c r="U254" i="10"/>
  <c r="T254" i="10"/>
  <c r="AK253" i="10"/>
  <c r="AJ253" i="10"/>
  <c r="AI253" i="10"/>
  <c r="AF253" i="10"/>
  <c r="AD253" i="10"/>
  <c r="U253" i="10"/>
  <c r="T253" i="10"/>
  <c r="AK252" i="10"/>
  <c r="AJ252" i="10"/>
  <c r="AI252" i="10"/>
  <c r="AF252" i="10"/>
  <c r="AD252" i="10"/>
  <c r="U252" i="10"/>
  <c r="T252" i="10"/>
  <c r="AK251" i="10"/>
  <c r="AJ251" i="10"/>
  <c r="AI251" i="10"/>
  <c r="AF251" i="10"/>
  <c r="U251" i="10"/>
  <c r="U352" i="10" s="1"/>
  <c r="T251" i="10"/>
  <c r="T352" i="10" s="1"/>
  <c r="AK250" i="10"/>
  <c r="AJ250" i="10"/>
  <c r="AH250" i="10"/>
  <c r="AI250" i="10" s="1"/>
  <c r="AG250" i="10"/>
  <c r="AG324" i="10" s="1"/>
  <c r="AC250" i="10"/>
  <c r="AB250" i="10"/>
  <c r="AB324" i="10" s="1"/>
  <c r="AA250" i="10"/>
  <c r="AA324" i="10" s="1"/>
  <c r="Z250" i="10"/>
  <c r="Z324" i="10" s="1"/>
  <c r="Y250" i="10"/>
  <c r="Y324" i="10" s="1"/>
  <c r="X250" i="10"/>
  <c r="X324" i="10" s="1"/>
  <c r="W250" i="10"/>
  <c r="W324" i="10" s="1"/>
  <c r="V250" i="10"/>
  <c r="V324" i="10" s="1"/>
  <c r="S250" i="10"/>
  <c r="U250" i="10" s="1"/>
  <c r="R250" i="10"/>
  <c r="R324" i="10" s="1"/>
  <c r="Q250" i="10"/>
  <c r="Q324" i="10" s="1"/>
  <c r="P250" i="10"/>
  <c r="P324" i="10" s="1"/>
  <c r="O250" i="10"/>
  <c r="O324" i="10" s="1"/>
  <c r="N250" i="10"/>
  <c r="N324" i="10" s="1"/>
  <c r="M250" i="10"/>
  <c r="M324" i="10" s="1"/>
  <c r="L250" i="10"/>
  <c r="L324" i="10" s="1"/>
  <c r="K250" i="10"/>
  <c r="K324" i="10" s="1"/>
  <c r="J250" i="10"/>
  <c r="J324" i="10" s="1"/>
  <c r="I250" i="10"/>
  <c r="I324" i="10" s="1"/>
  <c r="H250" i="10"/>
  <c r="H324" i="10" s="1"/>
  <c r="AK249" i="10"/>
  <c r="AK349" i="10" s="1"/>
  <c r="AK351" i="10" s="1"/>
  <c r="AJ249" i="10"/>
  <c r="AI249" i="10"/>
  <c r="AF249" i="10"/>
  <c r="AF349" i="10" s="1"/>
  <c r="AF351" i="10" s="1"/>
  <c r="AD249" i="10"/>
  <c r="AD349" i="10" s="1"/>
  <c r="U249" i="10"/>
  <c r="U349" i="10" s="1"/>
  <c r="T249" i="10"/>
  <c r="T349" i="10" s="1"/>
  <c r="AH248" i="10"/>
  <c r="AH324" i="10" s="1"/>
  <c r="AD248" i="10"/>
  <c r="U248" i="10"/>
  <c r="T248" i="10"/>
  <c r="AM246" i="10"/>
  <c r="AK246" i="10"/>
  <c r="AJ246" i="10"/>
  <c r="AI246" i="10"/>
  <c r="AD246" i="10"/>
  <c r="U246" i="10"/>
  <c r="T246" i="10"/>
  <c r="AM245" i="10"/>
  <c r="AK245" i="10"/>
  <c r="AJ245" i="10"/>
  <c r="AI245" i="10"/>
  <c r="AF245" i="10"/>
  <c r="AD245" i="10"/>
  <c r="U245" i="10"/>
  <c r="T245" i="10"/>
  <c r="AM244" i="10"/>
  <c r="AK244" i="10"/>
  <c r="AJ244" i="10"/>
  <c r="AI244" i="10"/>
  <c r="AD244" i="10"/>
  <c r="U244" i="10"/>
  <c r="T244" i="10"/>
  <c r="AK243" i="10"/>
  <c r="AH243" i="10"/>
  <c r="AJ243" i="10" s="1"/>
  <c r="AG243" i="10"/>
  <c r="AD243" i="10"/>
  <c r="AC243" i="10"/>
  <c r="AB243" i="10"/>
  <c r="AA243" i="10"/>
  <c r="Z243" i="10"/>
  <c r="Y243" i="10"/>
  <c r="X243" i="10"/>
  <c r="AI243" i="10" s="1"/>
  <c r="W243" i="10"/>
  <c r="V243" i="10"/>
  <c r="S243" i="10"/>
  <c r="T243" i="10" s="1"/>
  <c r="R243" i="10"/>
  <c r="Q243" i="10"/>
  <c r="P243" i="10"/>
  <c r="O243" i="10"/>
  <c r="N243" i="10"/>
  <c r="M243" i="10"/>
  <c r="L243" i="10"/>
  <c r="K243" i="10"/>
  <c r="J243" i="10"/>
  <c r="I243" i="10"/>
  <c r="H243" i="10"/>
  <c r="AM242" i="10"/>
  <c r="AJ242" i="10"/>
  <c r="AI242" i="10"/>
  <c r="AD242" i="10"/>
  <c r="AD241" i="10" s="1"/>
  <c r="U242" i="10"/>
  <c r="T242" i="10"/>
  <c r="AK241" i="10"/>
  <c r="AJ241" i="10"/>
  <c r="AH241" i="10"/>
  <c r="AI241" i="10" s="1"/>
  <c r="AG241" i="10"/>
  <c r="AC241" i="10"/>
  <c r="AB241" i="10"/>
  <c r="AA241" i="10"/>
  <c r="Z241" i="10"/>
  <c r="Y241" i="10"/>
  <c r="X241" i="10"/>
  <c r="W241" i="10"/>
  <c r="V241" i="10"/>
  <c r="U241" i="10"/>
  <c r="T241" i="10"/>
  <c r="M241" i="10"/>
  <c r="L241" i="10"/>
  <c r="K241" i="10"/>
  <c r="J241" i="10"/>
  <c r="I241" i="10"/>
  <c r="H241" i="10"/>
  <c r="AM240" i="10"/>
  <c r="AK240" i="10"/>
  <c r="AJ240" i="10"/>
  <c r="AI240" i="10"/>
  <c r="AD240" i="10"/>
  <c r="U240" i="10"/>
  <c r="T240" i="10"/>
  <c r="AM239" i="10"/>
  <c r="AK239" i="10"/>
  <c r="AJ239" i="10"/>
  <c r="AI239" i="10"/>
  <c r="AD239" i="10"/>
  <c r="U239" i="10"/>
  <c r="T239" i="10"/>
  <c r="AM238" i="10"/>
  <c r="AJ238" i="10"/>
  <c r="AI238" i="10"/>
  <c r="AD238" i="10"/>
  <c r="U238" i="10"/>
  <c r="T238" i="10"/>
  <c r="AM237" i="10"/>
  <c r="AK237" i="10"/>
  <c r="AJ237" i="10"/>
  <c r="AI237" i="10"/>
  <c r="AD237" i="10"/>
  <c r="U237" i="10"/>
  <c r="T237" i="10"/>
  <c r="AM236" i="10"/>
  <c r="AK236" i="10"/>
  <c r="AJ236" i="10"/>
  <c r="AI236" i="10"/>
  <c r="AD236" i="10"/>
  <c r="U236" i="10"/>
  <c r="T236" i="10"/>
  <c r="AK235" i="10"/>
  <c r="AJ235" i="10"/>
  <c r="AH235" i="10"/>
  <c r="AI235" i="10" s="1"/>
  <c r="AG235" i="10"/>
  <c r="AC235" i="10"/>
  <c r="AB235" i="10"/>
  <c r="AA235" i="10"/>
  <c r="Z235" i="10"/>
  <c r="Y235" i="10"/>
  <c r="X235" i="10"/>
  <c r="W235" i="10"/>
  <c r="V235" i="10"/>
  <c r="S235" i="10"/>
  <c r="U235" i="10" s="1"/>
  <c r="R235" i="10"/>
  <c r="Q235" i="10"/>
  <c r="P235" i="10"/>
  <c r="O235" i="10"/>
  <c r="N235" i="10"/>
  <c r="M235" i="10"/>
  <c r="L235" i="10"/>
  <c r="K235" i="10"/>
  <c r="J235" i="10"/>
  <c r="I235" i="10"/>
  <c r="H235" i="10"/>
  <c r="AM234" i="10"/>
  <c r="AK234" i="10"/>
  <c r="AJ234" i="10"/>
  <c r="AI234" i="10"/>
  <c r="U234" i="10"/>
  <c r="T234" i="10"/>
  <c r="AM233" i="10"/>
  <c r="AK233" i="10"/>
  <c r="AJ233" i="10"/>
  <c r="AI233" i="10"/>
  <c r="AD233" i="10"/>
  <c r="U233" i="10"/>
  <c r="T233" i="10"/>
  <c r="AM232" i="10"/>
  <c r="AK232" i="10"/>
  <c r="AJ232" i="10"/>
  <c r="AI232" i="10"/>
  <c r="AD232" i="10"/>
  <c r="U232" i="10"/>
  <c r="T232" i="10"/>
  <c r="AM231" i="10"/>
  <c r="AK231" i="10"/>
  <c r="AK229" i="10" s="1"/>
  <c r="AJ231" i="10"/>
  <c r="AI231" i="10"/>
  <c r="AD231" i="10"/>
  <c r="U231" i="10"/>
  <c r="T231" i="10"/>
  <c r="AM230" i="10"/>
  <c r="AK230" i="10"/>
  <c r="AJ230" i="10"/>
  <c r="AI230" i="10"/>
  <c r="AD230" i="10"/>
  <c r="U230" i="10"/>
  <c r="T230" i="10"/>
  <c r="AJ229" i="10"/>
  <c r="AH229" i="10"/>
  <c r="AI229" i="10" s="1"/>
  <c r="AG229" i="10"/>
  <c r="AC229" i="10"/>
  <c r="AB229" i="10"/>
  <c r="AA229" i="10"/>
  <c r="Z229" i="10"/>
  <c r="Y229" i="10"/>
  <c r="X229" i="10"/>
  <c r="W229" i="10"/>
  <c r="V229" i="10"/>
  <c r="S229" i="10"/>
  <c r="U229" i="10" s="1"/>
  <c r="R229" i="10"/>
  <c r="Q229" i="10"/>
  <c r="P229" i="10"/>
  <c r="O229" i="10"/>
  <c r="N229" i="10"/>
  <c r="T229" i="10" s="1"/>
  <c r="M229" i="10"/>
  <c r="L229" i="10"/>
  <c r="K229" i="10"/>
  <c r="J229" i="10"/>
  <c r="I229" i="10"/>
  <c r="H229" i="10"/>
  <c r="AM228" i="10"/>
  <c r="AK228" i="10"/>
  <c r="AJ228" i="10"/>
  <c r="AI228" i="10"/>
  <c r="AD228" i="10"/>
  <c r="U228" i="10"/>
  <c r="T228" i="10"/>
  <c r="AM227" i="10"/>
  <c r="AK227" i="10"/>
  <c r="AJ227" i="10"/>
  <c r="AI227" i="10"/>
  <c r="AD227" i="10"/>
  <c r="U227" i="10"/>
  <c r="T227" i="10"/>
  <c r="AM226" i="10"/>
  <c r="AJ226" i="10"/>
  <c r="AI226" i="10"/>
  <c r="AD226" i="10"/>
  <c r="U226" i="10"/>
  <c r="T226" i="10"/>
  <c r="AM225" i="10"/>
  <c r="AK225" i="10"/>
  <c r="AJ225" i="10"/>
  <c r="AI225" i="10"/>
  <c r="AD225" i="10"/>
  <c r="U225" i="10"/>
  <c r="T225" i="10"/>
  <c r="AM224" i="10"/>
  <c r="AK224" i="10"/>
  <c r="AJ224" i="10"/>
  <c r="AI224" i="10"/>
  <c r="AD224" i="10"/>
  <c r="U224" i="10"/>
  <c r="T224" i="10"/>
  <c r="AM223" i="10"/>
  <c r="AK223" i="10"/>
  <c r="AK221" i="10" s="1"/>
  <c r="AJ223" i="10"/>
  <c r="AI223" i="10"/>
  <c r="AD223" i="10"/>
  <c r="U223" i="10"/>
  <c r="T223" i="10"/>
  <c r="AM222" i="10"/>
  <c r="AK222" i="10"/>
  <c r="AJ222" i="10"/>
  <c r="AI222" i="10"/>
  <c r="AD222" i="10"/>
  <c r="U222" i="10"/>
  <c r="T222" i="10"/>
  <c r="AJ221" i="10"/>
  <c r="AH221" i="10"/>
  <c r="AI221" i="10" s="1"/>
  <c r="AG221" i="10"/>
  <c r="AC221" i="10"/>
  <c r="AB221" i="10"/>
  <c r="AA221" i="10"/>
  <c r="Z221" i="10"/>
  <c r="Y221" i="10"/>
  <c r="X221" i="10"/>
  <c r="W221" i="10"/>
  <c r="V221" i="10"/>
  <c r="S221" i="10"/>
  <c r="U221" i="10" s="1"/>
  <c r="R221" i="10"/>
  <c r="Q221" i="10"/>
  <c r="P221" i="10"/>
  <c r="O221" i="10"/>
  <c r="N221" i="10"/>
  <c r="T221" i="10" s="1"/>
  <c r="M221" i="10"/>
  <c r="L221" i="10"/>
  <c r="K221" i="10"/>
  <c r="J221" i="10"/>
  <c r="I221" i="10"/>
  <c r="H221" i="10"/>
  <c r="AM220" i="10"/>
  <c r="AK220" i="10"/>
  <c r="AJ220" i="10"/>
  <c r="AI220" i="10"/>
  <c r="AD220" i="10"/>
  <c r="U220" i="10"/>
  <c r="T220" i="10"/>
  <c r="AM219" i="10"/>
  <c r="AK219" i="10"/>
  <c r="AJ219" i="10"/>
  <c r="AI219" i="10"/>
  <c r="AD219" i="10"/>
  <c r="U219" i="10"/>
  <c r="T219" i="10"/>
  <c r="AM218" i="10"/>
  <c r="AK218" i="10"/>
  <c r="AJ218" i="10"/>
  <c r="AI218" i="10"/>
  <c r="AD218" i="10"/>
  <c r="U218" i="10"/>
  <c r="T218" i="10"/>
  <c r="AM217" i="10"/>
  <c r="AK217" i="10"/>
  <c r="AJ217" i="10"/>
  <c r="AJ215" i="10" s="1"/>
  <c r="AI217" i="10"/>
  <c r="AD217" i="10"/>
  <c r="U217" i="10"/>
  <c r="T217" i="10"/>
  <c r="AM216" i="10"/>
  <c r="AK216" i="10"/>
  <c r="AJ216" i="10"/>
  <c r="AI216" i="10"/>
  <c r="AD216" i="10"/>
  <c r="U216" i="10"/>
  <c r="T216" i="10"/>
  <c r="AK215" i="10"/>
  <c r="AI215" i="10"/>
  <c r="AH215" i="10"/>
  <c r="AG215" i="10"/>
  <c r="AC215" i="10"/>
  <c r="AB215" i="10"/>
  <c r="AA215" i="10"/>
  <c r="Z215" i="10"/>
  <c r="Y215" i="10"/>
  <c r="X215" i="10"/>
  <c r="W215" i="10"/>
  <c r="V215" i="10"/>
  <c r="S215" i="10"/>
  <c r="T215" i="10" s="1"/>
  <c r="R215" i="10"/>
  <c r="Q215" i="10"/>
  <c r="P215" i="10"/>
  <c r="O215" i="10"/>
  <c r="N215" i="10"/>
  <c r="M215" i="10"/>
  <c r="L215" i="10"/>
  <c r="K215" i="10"/>
  <c r="J215" i="10"/>
  <c r="I215" i="10"/>
  <c r="H215" i="10"/>
  <c r="AM214" i="10"/>
  <c r="AJ214" i="10"/>
  <c r="AI214" i="10"/>
  <c r="AD214" i="10"/>
  <c r="U214" i="10"/>
  <c r="T214" i="10"/>
  <c r="AM213" i="10"/>
  <c r="AJ213" i="10"/>
  <c r="AI213" i="10"/>
  <c r="AD213" i="10"/>
  <c r="U213" i="10"/>
  <c r="T213" i="10"/>
  <c r="AK212" i="10"/>
  <c r="AJ212" i="10"/>
  <c r="AI212" i="10"/>
  <c r="AH212" i="10"/>
  <c r="AG212" i="10"/>
  <c r="AC212" i="10"/>
  <c r="AB212" i="10"/>
  <c r="AA212" i="10"/>
  <c r="Z212" i="10"/>
  <c r="Y212" i="10"/>
  <c r="X212" i="10"/>
  <c r="W212" i="10"/>
  <c r="V212" i="10"/>
  <c r="U212" i="10"/>
  <c r="S212" i="10"/>
  <c r="T212" i="10" s="1"/>
  <c r="R212" i="10"/>
  <c r="Q212" i="10"/>
  <c r="P212" i="10"/>
  <c r="O212" i="10"/>
  <c r="N212" i="10"/>
  <c r="M212" i="10"/>
  <c r="L212" i="10"/>
  <c r="K212" i="10"/>
  <c r="J212" i="10"/>
  <c r="I212" i="10"/>
  <c r="H212" i="10"/>
  <c r="AM211" i="10"/>
  <c r="AK211" i="10"/>
  <c r="AJ211" i="10"/>
  <c r="AI211" i="10"/>
  <c r="AD211" i="10"/>
  <c r="U211" i="10"/>
  <c r="T211" i="10"/>
  <c r="AM210" i="10"/>
  <c r="AJ210" i="10"/>
  <c r="AI210" i="10"/>
  <c r="AD210" i="10"/>
  <c r="U210" i="10"/>
  <c r="T210" i="10"/>
  <c r="AM209" i="10"/>
  <c r="AJ209" i="10"/>
  <c r="AI209" i="10"/>
  <c r="AD209" i="10"/>
  <c r="U209" i="10"/>
  <c r="T209" i="10"/>
  <c r="AM208" i="10"/>
  <c r="AJ208" i="10"/>
  <c r="AI208" i="10"/>
  <c r="AD208" i="10"/>
  <c r="U208" i="10"/>
  <c r="T208" i="10"/>
  <c r="D208" i="10"/>
  <c r="AK207" i="10"/>
  <c r="AJ207" i="10"/>
  <c r="AH207" i="10"/>
  <c r="AI207" i="10" s="1"/>
  <c r="AG207" i="10"/>
  <c r="AC207" i="10"/>
  <c r="AB207" i="10"/>
  <c r="AA207" i="10"/>
  <c r="Z207" i="10"/>
  <c r="Y207" i="10"/>
  <c r="X207" i="10"/>
  <c r="W207" i="10"/>
  <c r="V207" i="10"/>
  <c r="S207" i="10"/>
  <c r="U207" i="10" s="1"/>
  <c r="R207" i="10"/>
  <c r="Q207" i="10"/>
  <c r="P207" i="10"/>
  <c r="O207" i="10"/>
  <c r="N207" i="10"/>
  <c r="T207" i="10" s="1"/>
  <c r="M207" i="10"/>
  <c r="L207" i="10"/>
  <c r="K207" i="10"/>
  <c r="J207" i="10"/>
  <c r="I207" i="10"/>
  <c r="H207" i="10"/>
  <c r="AH206" i="10"/>
  <c r="AI206" i="10" s="1"/>
  <c r="AG206" i="10"/>
  <c r="AC206" i="10"/>
  <c r="AB206" i="10"/>
  <c r="AA206" i="10"/>
  <c r="Z206" i="10"/>
  <c r="CG40" i="5" s="1"/>
  <c r="Y206" i="10"/>
  <c r="X206" i="10"/>
  <c r="W206" i="10"/>
  <c r="V206" i="10"/>
  <c r="S206" i="10"/>
  <c r="U206" i="10" s="1"/>
  <c r="R206" i="10"/>
  <c r="Q206" i="10"/>
  <c r="P206" i="10"/>
  <c r="O206" i="10"/>
  <c r="N206" i="10"/>
  <c r="M206" i="10"/>
  <c r="L206" i="10"/>
  <c r="K206" i="10"/>
  <c r="J206" i="10"/>
  <c r="I206" i="10"/>
  <c r="H206" i="10"/>
  <c r="AM205" i="10"/>
  <c r="AJ205" i="10"/>
  <c r="AI205" i="10"/>
  <c r="U205" i="10"/>
  <c r="T205" i="10"/>
  <c r="AM204" i="10"/>
  <c r="AJ204" i="10"/>
  <c r="AI204" i="10"/>
  <c r="U204" i="10"/>
  <c r="T204" i="10"/>
  <c r="AM203" i="10"/>
  <c r="AJ203" i="10"/>
  <c r="AI203" i="10"/>
  <c r="U203" i="10"/>
  <c r="T203" i="10"/>
  <c r="AM202" i="10"/>
  <c r="AK202" i="10"/>
  <c r="AJ202" i="10"/>
  <c r="AI202" i="10"/>
  <c r="U202" i="10"/>
  <c r="T202" i="10"/>
  <c r="AM201" i="10"/>
  <c r="AK201" i="10"/>
  <c r="AJ201" i="10"/>
  <c r="AI201" i="10"/>
  <c r="AM200" i="10"/>
  <c r="AK200" i="10"/>
  <c r="AJ200" i="10"/>
  <c r="AI200" i="10"/>
  <c r="AD200" i="10"/>
  <c r="U200" i="10"/>
  <c r="T200" i="10"/>
  <c r="AM199" i="10"/>
  <c r="AK199" i="10"/>
  <c r="AJ199" i="10"/>
  <c r="AI199" i="10"/>
  <c r="AD199" i="10"/>
  <c r="U199" i="10"/>
  <c r="T199" i="10"/>
  <c r="AM198" i="10"/>
  <c r="AK198" i="10"/>
  <c r="AJ198" i="10"/>
  <c r="AI198" i="10"/>
  <c r="AD198" i="10"/>
  <c r="U198" i="10"/>
  <c r="T198" i="10"/>
  <c r="AM197" i="10"/>
  <c r="AK197" i="10"/>
  <c r="AJ197" i="10"/>
  <c r="AI197" i="10"/>
  <c r="AD197" i="10"/>
  <c r="U197" i="10"/>
  <c r="T197" i="10"/>
  <c r="AM196" i="10"/>
  <c r="AJ196" i="10"/>
  <c r="AI196" i="10"/>
  <c r="AD196" i="10"/>
  <c r="U196" i="10"/>
  <c r="T196" i="10"/>
  <c r="AM195" i="10"/>
  <c r="AK195" i="10"/>
  <c r="AJ195" i="10"/>
  <c r="AI195" i="10"/>
  <c r="AD195" i="10"/>
  <c r="U195" i="10"/>
  <c r="T195" i="10"/>
  <c r="AM194" i="10"/>
  <c r="AK194" i="10"/>
  <c r="AJ194" i="10"/>
  <c r="AI194" i="10"/>
  <c r="AD194" i="10"/>
  <c r="U194" i="10"/>
  <c r="T194" i="10"/>
  <c r="AM193" i="10"/>
  <c r="AK193" i="10"/>
  <c r="AJ193" i="10"/>
  <c r="AI193" i="10"/>
  <c r="AD193" i="10"/>
  <c r="U193" i="10"/>
  <c r="T193" i="10"/>
  <c r="AM192" i="10"/>
  <c r="AJ192" i="10"/>
  <c r="AI192" i="10"/>
  <c r="U192" i="10"/>
  <c r="T192" i="10"/>
  <c r="AM191" i="10"/>
  <c r="AK191" i="10"/>
  <c r="AJ191" i="10"/>
  <c r="AI191" i="10"/>
  <c r="AD191" i="10"/>
  <c r="U191" i="10"/>
  <c r="T191" i="10"/>
  <c r="AM190" i="10"/>
  <c r="AK190" i="10"/>
  <c r="AJ190" i="10"/>
  <c r="AI190" i="10"/>
  <c r="AD190" i="10"/>
  <c r="U190" i="10"/>
  <c r="T190" i="10"/>
  <c r="AM189" i="10"/>
  <c r="AK189" i="10"/>
  <c r="AJ189" i="10"/>
  <c r="AI189" i="10"/>
  <c r="AD189" i="10"/>
  <c r="U189" i="10"/>
  <c r="T189" i="10"/>
  <c r="AM188" i="10"/>
  <c r="AK188" i="10"/>
  <c r="AJ188" i="10"/>
  <c r="AI188" i="10"/>
  <c r="AD188" i="10"/>
  <c r="U188" i="10"/>
  <c r="T188" i="10"/>
  <c r="AM187" i="10"/>
  <c r="AK187" i="10"/>
  <c r="AJ187" i="10"/>
  <c r="AI187" i="10"/>
  <c r="AD187" i="10"/>
  <c r="U187" i="10"/>
  <c r="T187" i="10"/>
  <c r="AM186" i="10"/>
  <c r="AK186" i="10"/>
  <c r="AJ186" i="10"/>
  <c r="AI186" i="10"/>
  <c r="AD186" i="10"/>
  <c r="U186" i="10"/>
  <c r="T186" i="10"/>
  <c r="AM185" i="10"/>
  <c r="AK185" i="10"/>
  <c r="AJ185" i="10"/>
  <c r="AI185" i="10"/>
  <c r="AD185" i="10"/>
  <c r="U185" i="10"/>
  <c r="T185" i="10"/>
  <c r="AM184" i="10"/>
  <c r="AK184" i="10"/>
  <c r="AJ184" i="10"/>
  <c r="AI184" i="10"/>
  <c r="AD184" i="10"/>
  <c r="U184" i="10"/>
  <c r="T184" i="10"/>
  <c r="AM183" i="10"/>
  <c r="AK183" i="10"/>
  <c r="AJ183" i="10"/>
  <c r="AI183" i="10"/>
  <c r="AD183" i="10"/>
  <c r="U183" i="10"/>
  <c r="T183" i="10"/>
  <c r="AM182" i="10"/>
  <c r="AK182" i="10"/>
  <c r="AJ182" i="10"/>
  <c r="AI182" i="10"/>
  <c r="AD182" i="10"/>
  <c r="U182" i="10"/>
  <c r="T182" i="10"/>
  <c r="AM181" i="10"/>
  <c r="AK181" i="10"/>
  <c r="AK206" i="10" s="1"/>
  <c r="AJ181" i="10"/>
  <c r="AI181" i="10"/>
  <c r="AD181" i="10"/>
  <c r="U181" i="10"/>
  <c r="T181" i="10"/>
  <c r="AH180" i="10"/>
  <c r="AI180" i="10" s="1"/>
  <c r="AG180" i="10"/>
  <c r="AC180" i="10"/>
  <c r="AB180" i="10"/>
  <c r="AA180" i="10"/>
  <c r="Z180" i="10"/>
  <c r="Y180" i="10"/>
  <c r="X180" i="10"/>
  <c r="W180" i="10"/>
  <c r="V180" i="10"/>
  <c r="S180" i="10"/>
  <c r="U180" i="10" s="1"/>
  <c r="R180" i="10"/>
  <c r="Q180" i="10"/>
  <c r="P180" i="10"/>
  <c r="O180" i="10"/>
  <c r="N180" i="10"/>
  <c r="T180" i="10" s="1"/>
  <c r="M180" i="10"/>
  <c r="L180" i="10"/>
  <c r="K180" i="10"/>
  <c r="J180" i="10"/>
  <c r="I180" i="10"/>
  <c r="H180" i="10"/>
  <c r="AM179" i="10"/>
  <c r="AK179" i="10"/>
  <c r="AJ179" i="10"/>
  <c r="AI179" i="10"/>
  <c r="AD179" i="10"/>
  <c r="U179" i="10"/>
  <c r="T179" i="10"/>
  <c r="AM178" i="10"/>
  <c r="AK178" i="10"/>
  <c r="AJ178" i="10"/>
  <c r="AI178" i="10"/>
  <c r="AD178" i="10"/>
  <c r="U178" i="10"/>
  <c r="T178" i="10"/>
  <c r="AM177" i="10"/>
  <c r="AK177" i="10"/>
  <c r="AJ177" i="10"/>
  <c r="AI177" i="10"/>
  <c r="AD177" i="10"/>
  <c r="U177" i="10"/>
  <c r="T177" i="10"/>
  <c r="AM176" i="10"/>
  <c r="AK176" i="10"/>
  <c r="AK180" i="10" s="1"/>
  <c r="AJ176" i="10"/>
  <c r="AJ180" i="10" s="1"/>
  <c r="AI176" i="10"/>
  <c r="AD176" i="10"/>
  <c r="U176" i="10"/>
  <c r="T176" i="10"/>
  <c r="AH175" i="10"/>
  <c r="AI175" i="10" s="1"/>
  <c r="AG175" i="10"/>
  <c r="AC175" i="10"/>
  <c r="AB175" i="10"/>
  <c r="AA175" i="10"/>
  <c r="Z175" i="10"/>
  <c r="Y175" i="10"/>
  <c r="X175" i="10"/>
  <c r="W175" i="10"/>
  <c r="V175" i="10"/>
  <c r="S175" i="10"/>
  <c r="U175" i="10" s="1"/>
  <c r="R175" i="10"/>
  <c r="Q175" i="10"/>
  <c r="P175" i="10"/>
  <c r="O175" i="10"/>
  <c r="N175" i="10"/>
  <c r="T175" i="10" s="1"/>
  <c r="M175" i="10"/>
  <c r="L175" i="10"/>
  <c r="K175" i="10"/>
  <c r="J175" i="10"/>
  <c r="I175" i="10"/>
  <c r="H175" i="10"/>
  <c r="AM174" i="10"/>
  <c r="AK174" i="10"/>
  <c r="AJ174" i="10"/>
  <c r="AI174" i="10"/>
  <c r="AD174" i="10"/>
  <c r="U174" i="10"/>
  <c r="T174" i="10"/>
  <c r="AM173" i="10"/>
  <c r="AK173" i="10"/>
  <c r="AK175" i="10" s="1"/>
  <c r="AJ173" i="10"/>
  <c r="AJ175" i="10" s="1"/>
  <c r="AI173" i="10"/>
  <c r="AD173" i="10"/>
  <c r="U173" i="10"/>
  <c r="T173" i="10"/>
  <c r="AH172" i="10"/>
  <c r="AI172" i="10" s="1"/>
  <c r="AG172" i="10"/>
  <c r="AC172" i="10"/>
  <c r="AB172" i="10"/>
  <c r="AA172" i="10"/>
  <c r="Z172" i="10"/>
  <c r="Y172" i="10"/>
  <c r="X172" i="10"/>
  <c r="W172" i="10"/>
  <c r="V172" i="10"/>
  <c r="S172" i="10"/>
  <c r="U172" i="10" s="1"/>
  <c r="R172" i="10"/>
  <c r="Q172" i="10"/>
  <c r="P172" i="10"/>
  <c r="O172" i="10"/>
  <c r="N172" i="10"/>
  <c r="T172" i="10" s="1"/>
  <c r="M172" i="10"/>
  <c r="L172" i="10"/>
  <c r="K172" i="10"/>
  <c r="J172" i="10"/>
  <c r="I172" i="10"/>
  <c r="H172" i="10"/>
  <c r="AM171" i="10"/>
  <c r="AK171" i="10"/>
  <c r="AJ171" i="10"/>
  <c r="AI171" i="10"/>
  <c r="AD171" i="10"/>
  <c r="U171" i="10"/>
  <c r="T171" i="10"/>
  <c r="AM170" i="10"/>
  <c r="AK170" i="10"/>
  <c r="AJ170" i="10"/>
  <c r="AI170" i="10"/>
  <c r="AD170" i="10"/>
  <c r="U170" i="10"/>
  <c r="T170" i="10"/>
  <c r="AM169" i="10"/>
  <c r="AK169" i="10"/>
  <c r="AK172" i="10" s="1"/>
  <c r="AJ169" i="10"/>
  <c r="AJ172" i="10" s="1"/>
  <c r="AI169" i="10"/>
  <c r="AD169" i="10"/>
  <c r="U169" i="10"/>
  <c r="T169" i="10"/>
  <c r="AH168" i="10"/>
  <c r="AG168" i="10"/>
  <c r="AC168" i="10"/>
  <c r="AB168" i="10"/>
  <c r="AA168" i="10"/>
  <c r="Z168" i="10"/>
  <c r="Y168" i="10"/>
  <c r="X168" i="10"/>
  <c r="AI168" i="10" s="1"/>
  <c r="W168" i="10"/>
  <c r="V168" i="10"/>
  <c r="S168" i="10"/>
  <c r="T168" i="10" s="1"/>
  <c r="R168" i="10"/>
  <c r="Q168" i="10"/>
  <c r="P168" i="10"/>
  <c r="O168" i="10"/>
  <c r="N168" i="10"/>
  <c r="M168" i="10"/>
  <c r="L168" i="10"/>
  <c r="K168" i="10"/>
  <c r="J168" i="10"/>
  <c r="I168" i="10"/>
  <c r="H168" i="10"/>
  <c r="AM167" i="10"/>
  <c r="AJ167" i="10"/>
  <c r="AI167" i="10"/>
  <c r="AD167" i="10"/>
  <c r="U167" i="10"/>
  <c r="T167" i="10"/>
  <c r="AM166" i="10"/>
  <c r="AK166" i="10"/>
  <c r="AJ166" i="10"/>
  <c r="AI166" i="10"/>
  <c r="AD166" i="10"/>
  <c r="U166" i="10"/>
  <c r="T166" i="10"/>
  <c r="AM165" i="10"/>
  <c r="AK165" i="10"/>
  <c r="AJ165" i="10"/>
  <c r="AI165" i="10"/>
  <c r="AD165" i="10"/>
  <c r="U165" i="10"/>
  <c r="T165" i="10"/>
  <c r="AM164" i="10"/>
  <c r="AK164" i="10"/>
  <c r="AJ164" i="10"/>
  <c r="AI164" i="10"/>
  <c r="AD164" i="10"/>
  <c r="U164" i="10"/>
  <c r="T164" i="10"/>
  <c r="AM163" i="10"/>
  <c r="AK163" i="10"/>
  <c r="AJ163" i="10"/>
  <c r="AI163" i="10"/>
  <c r="AD163" i="10"/>
  <c r="U163" i="10"/>
  <c r="T163" i="10"/>
  <c r="AM162" i="10"/>
  <c r="AK162" i="10"/>
  <c r="AK168" i="10" s="1"/>
  <c r="AJ162" i="10"/>
  <c r="AI162" i="10"/>
  <c r="AD162" i="10"/>
  <c r="U162" i="10"/>
  <c r="T162" i="10"/>
  <c r="AM161" i="10"/>
  <c r="AJ161" i="10"/>
  <c r="AJ168" i="10" s="1"/>
  <c r="AI161" i="10"/>
  <c r="AD161" i="10"/>
  <c r="U161" i="10"/>
  <c r="T161" i="10"/>
  <c r="AG160" i="10"/>
  <c r="AC160" i="10"/>
  <c r="AB160" i="10"/>
  <c r="AA160" i="10"/>
  <c r="Z160" i="10"/>
  <c r="Y160" i="10"/>
  <c r="X160" i="10"/>
  <c r="W160" i="10"/>
  <c r="V160" i="10"/>
  <c r="S160" i="10"/>
  <c r="U160" i="10" s="1"/>
  <c r="R160" i="10"/>
  <c r="Q160" i="10"/>
  <c r="P160" i="10"/>
  <c r="O160" i="10"/>
  <c r="N160" i="10"/>
  <c r="M160" i="10"/>
  <c r="L160" i="10"/>
  <c r="K160" i="10"/>
  <c r="J160" i="10"/>
  <c r="I160" i="10"/>
  <c r="H160" i="10"/>
  <c r="AM159" i="10"/>
  <c r="AK159" i="10"/>
  <c r="AJ159" i="10"/>
  <c r="AI159" i="10"/>
  <c r="AD159" i="10"/>
  <c r="U159" i="10"/>
  <c r="T159" i="10"/>
  <c r="AM158" i="10"/>
  <c r="AK158" i="10"/>
  <c r="AJ158" i="10"/>
  <c r="AI158" i="10"/>
  <c r="AD158" i="10"/>
  <c r="U158" i="10"/>
  <c r="T158" i="10"/>
  <c r="AM157" i="10"/>
  <c r="AK157" i="10"/>
  <c r="AJ157" i="10"/>
  <c r="AI157" i="10"/>
  <c r="AD157" i="10"/>
  <c r="U157" i="10"/>
  <c r="T157" i="10"/>
  <c r="AM156" i="10"/>
  <c r="AK156" i="10"/>
  <c r="AK160" i="10" s="1"/>
  <c r="AJ156" i="10"/>
  <c r="AI156" i="10"/>
  <c r="AD156" i="10"/>
  <c r="U156" i="10"/>
  <c r="T156" i="10"/>
  <c r="AM155" i="10"/>
  <c r="AJ155" i="10"/>
  <c r="AI155" i="10"/>
  <c r="AD155" i="10"/>
  <c r="U155" i="10"/>
  <c r="T155" i="10"/>
  <c r="AH154" i="10"/>
  <c r="AM154" i="10" s="1"/>
  <c r="U154" i="10"/>
  <c r="T154" i="10"/>
  <c r="AH153" i="10"/>
  <c r="AI153" i="10" s="1"/>
  <c r="AG153" i="10"/>
  <c r="AC153" i="10"/>
  <c r="AB153" i="10"/>
  <c r="AA153" i="10"/>
  <c r="Z153" i="10"/>
  <c r="Y153" i="10"/>
  <c r="X153" i="10"/>
  <c r="W153" i="10"/>
  <c r="V153" i="10"/>
  <c r="S153" i="10"/>
  <c r="U153" i="10" s="1"/>
  <c r="R153" i="10"/>
  <c r="Q153" i="10"/>
  <c r="P153" i="10"/>
  <c r="O153" i="10"/>
  <c r="N153" i="10"/>
  <c r="T153" i="10" s="1"/>
  <c r="M153" i="10"/>
  <c r="L153" i="10"/>
  <c r="K153" i="10"/>
  <c r="J153" i="10"/>
  <c r="I153" i="10"/>
  <c r="H153" i="10"/>
  <c r="AM152" i="10"/>
  <c r="AK152" i="10"/>
  <c r="AK153" i="10" s="1"/>
  <c r="AK151" i="10" s="1"/>
  <c r="AK130" i="10" s="1"/>
  <c r="AK129" i="10" s="1"/>
  <c r="AJ152" i="10"/>
  <c r="AJ153" i="10" s="1"/>
  <c r="AI152" i="10"/>
  <c r="AD152" i="10"/>
  <c r="AD153" i="10" s="1"/>
  <c r="U152" i="10"/>
  <c r="T152" i="10"/>
  <c r="AG151" i="10"/>
  <c r="AC151" i="10"/>
  <c r="AB151" i="10"/>
  <c r="AA151" i="10"/>
  <c r="Z151" i="10"/>
  <c r="Y151" i="10"/>
  <c r="X151" i="10"/>
  <c r="W151" i="10"/>
  <c r="V151" i="10"/>
  <c r="S151" i="10"/>
  <c r="R151" i="10"/>
  <c r="Q151" i="10"/>
  <c r="P151" i="10"/>
  <c r="O151" i="10"/>
  <c r="N151" i="10"/>
  <c r="M151" i="10"/>
  <c r="L151" i="10"/>
  <c r="K151" i="10"/>
  <c r="J151" i="10"/>
  <c r="I151" i="10"/>
  <c r="H151" i="10"/>
  <c r="AM150" i="10"/>
  <c r="AJ150" i="10"/>
  <c r="AI150" i="10"/>
  <c r="AD150" i="10"/>
  <c r="U150" i="10"/>
  <c r="T150" i="10"/>
  <c r="AM149" i="10"/>
  <c r="AJ149" i="10"/>
  <c r="AI149" i="10"/>
  <c r="AD149" i="10"/>
  <c r="U149" i="10"/>
  <c r="T149" i="10"/>
  <c r="AK148" i="10"/>
  <c r="AJ148" i="10"/>
  <c r="AH148" i="10"/>
  <c r="AG148" i="10"/>
  <c r="AC148" i="10"/>
  <c r="AB148" i="10"/>
  <c r="AA148" i="10"/>
  <c r="Z148" i="10"/>
  <c r="Y148" i="10"/>
  <c r="X148" i="10"/>
  <c r="AI148" i="10" s="1"/>
  <c r="W148" i="10"/>
  <c r="V148" i="10"/>
  <c r="S148" i="10"/>
  <c r="T148" i="10" s="1"/>
  <c r="R148" i="10"/>
  <c r="Q148" i="10"/>
  <c r="P148" i="10"/>
  <c r="O148" i="10"/>
  <c r="N148" i="10"/>
  <c r="M148" i="10"/>
  <c r="L148" i="10"/>
  <c r="K148" i="10"/>
  <c r="J148" i="10"/>
  <c r="I148" i="10"/>
  <c r="H148" i="10"/>
  <c r="AM147" i="10"/>
  <c r="AK147" i="10"/>
  <c r="AJ147" i="10"/>
  <c r="AI147" i="10"/>
  <c r="AD147" i="10"/>
  <c r="U147" i="10"/>
  <c r="T147" i="10"/>
  <c r="AM146" i="10"/>
  <c r="AK146" i="10"/>
  <c r="AJ146" i="10"/>
  <c r="AI146" i="10"/>
  <c r="AD146" i="10"/>
  <c r="U146" i="10"/>
  <c r="T146" i="10"/>
  <c r="AM145" i="10"/>
  <c r="AK145" i="10"/>
  <c r="AJ145" i="10"/>
  <c r="AI145" i="10"/>
  <c r="AD145" i="10"/>
  <c r="U145" i="10"/>
  <c r="T145" i="10"/>
  <c r="AM144" i="10"/>
  <c r="AK144" i="10"/>
  <c r="AJ144" i="10"/>
  <c r="AI144" i="10"/>
  <c r="AD144" i="10"/>
  <c r="U144" i="10"/>
  <c r="T144" i="10"/>
  <c r="AK143" i="10"/>
  <c r="AJ143" i="10"/>
  <c r="AH143" i="10"/>
  <c r="AG143" i="10"/>
  <c r="AC143" i="10"/>
  <c r="AB143" i="10"/>
  <c r="AA143" i="10"/>
  <c r="Z143" i="10"/>
  <c r="Y143" i="10"/>
  <c r="X143" i="10"/>
  <c r="AI143" i="10" s="1"/>
  <c r="W143" i="10"/>
  <c r="V143" i="10"/>
  <c r="S143" i="10"/>
  <c r="T143" i="10" s="1"/>
  <c r="R143" i="10"/>
  <c r="Q143" i="10"/>
  <c r="P143" i="10"/>
  <c r="O143" i="10"/>
  <c r="N143" i="10"/>
  <c r="M143" i="10"/>
  <c r="L143" i="10"/>
  <c r="K143" i="10"/>
  <c r="J143" i="10"/>
  <c r="I143" i="10"/>
  <c r="H143" i="10"/>
  <c r="AM142" i="10"/>
  <c r="AJ142" i="10"/>
  <c r="AI142" i="10"/>
  <c r="AD142" i="10"/>
  <c r="AD141" i="10" s="1"/>
  <c r="U142" i="10"/>
  <c r="T142" i="10"/>
  <c r="AK141" i="10"/>
  <c r="AJ141" i="10"/>
  <c r="AH141" i="10"/>
  <c r="AG141" i="10"/>
  <c r="AC141" i="10"/>
  <c r="AB141" i="10"/>
  <c r="AA141" i="10"/>
  <c r="Z141" i="10"/>
  <c r="Y141" i="10"/>
  <c r="X141" i="10"/>
  <c r="AI141" i="10" s="1"/>
  <c r="W141" i="10"/>
  <c r="V141" i="10"/>
  <c r="S141" i="10"/>
  <c r="T141" i="10" s="1"/>
  <c r="R141" i="10"/>
  <c r="Q141" i="10"/>
  <c r="P141" i="10"/>
  <c r="O141" i="10"/>
  <c r="N141" i="10"/>
  <c r="M141" i="10"/>
  <c r="L141" i="10"/>
  <c r="K141" i="10"/>
  <c r="J141" i="10"/>
  <c r="I141" i="10"/>
  <c r="H141" i="10"/>
  <c r="AM140" i="10"/>
  <c r="AK140" i="10"/>
  <c r="AJ140" i="10"/>
  <c r="AI140" i="10"/>
  <c r="AD140" i="10"/>
  <c r="U140" i="10"/>
  <c r="T140" i="10"/>
  <c r="AM139" i="10"/>
  <c r="AJ139" i="10"/>
  <c r="AI139" i="10"/>
  <c r="AD139" i="10"/>
  <c r="U139" i="10"/>
  <c r="T139" i="10"/>
  <c r="AM138" i="10"/>
  <c r="AJ138" i="10"/>
  <c r="AI138" i="10"/>
  <c r="AD138" i="10"/>
  <c r="U138" i="10"/>
  <c r="T138" i="10"/>
  <c r="AM137" i="10"/>
  <c r="AJ137" i="10"/>
  <c r="AI137" i="10"/>
  <c r="AD137" i="10"/>
  <c r="U137" i="10"/>
  <c r="T137" i="10"/>
  <c r="AM136" i="10"/>
  <c r="AK136" i="10"/>
  <c r="AJ136" i="10"/>
  <c r="AI136" i="10"/>
  <c r="AD136" i="10"/>
  <c r="U136" i="10"/>
  <c r="T136" i="10"/>
  <c r="AM135" i="10"/>
  <c r="AK135" i="10"/>
  <c r="AJ135" i="10"/>
  <c r="AI135" i="10"/>
  <c r="AD135" i="10"/>
  <c r="U135" i="10"/>
  <c r="T135" i="10"/>
  <c r="AM134" i="10"/>
  <c r="AJ134" i="10"/>
  <c r="AI134" i="10"/>
  <c r="AD134" i="10"/>
  <c r="U134" i="10"/>
  <c r="T134" i="10"/>
  <c r="AM133" i="10"/>
  <c r="AK133" i="10"/>
  <c r="AJ133" i="10"/>
  <c r="AI133" i="10"/>
  <c r="AD133" i="10"/>
  <c r="U133" i="10"/>
  <c r="T133" i="10"/>
  <c r="AM132" i="10"/>
  <c r="AK132" i="10"/>
  <c r="AJ132" i="10"/>
  <c r="AI132" i="10"/>
  <c r="AD132" i="10"/>
  <c r="U132" i="10"/>
  <c r="T132" i="10"/>
  <c r="AK131" i="10"/>
  <c r="AJ131" i="10"/>
  <c r="AH131" i="10"/>
  <c r="AI131" i="10" s="1"/>
  <c r="AG131" i="10"/>
  <c r="AC131" i="10"/>
  <c r="AB131" i="10"/>
  <c r="AA131" i="10"/>
  <c r="Z131" i="10"/>
  <c r="Y131" i="10"/>
  <c r="X131" i="10"/>
  <c r="W131" i="10"/>
  <c r="V131" i="10"/>
  <c r="S131" i="10"/>
  <c r="U131" i="10" s="1"/>
  <c r="R131" i="10"/>
  <c r="Q131" i="10"/>
  <c r="P131" i="10"/>
  <c r="O131" i="10"/>
  <c r="N131" i="10"/>
  <c r="T131" i="10" s="1"/>
  <c r="M131" i="10"/>
  <c r="L131" i="10"/>
  <c r="K131" i="10"/>
  <c r="J131" i="10"/>
  <c r="I131" i="10"/>
  <c r="H131" i="10"/>
  <c r="AG130" i="10"/>
  <c r="AC130" i="10"/>
  <c r="AB130" i="10"/>
  <c r="AA130" i="10"/>
  <c r="Z130" i="10"/>
  <c r="Z129" i="10" s="1"/>
  <c r="Y130" i="10"/>
  <c r="X130" i="10"/>
  <c r="W130" i="10"/>
  <c r="V130" i="10"/>
  <c r="S130" i="10"/>
  <c r="R130" i="10"/>
  <c r="Q130" i="10"/>
  <c r="P130" i="10"/>
  <c r="O130" i="10"/>
  <c r="N130" i="10"/>
  <c r="M130" i="10"/>
  <c r="L130" i="10"/>
  <c r="K130" i="10"/>
  <c r="J130" i="10"/>
  <c r="I130" i="10"/>
  <c r="H130" i="10"/>
  <c r="AG129" i="10"/>
  <c r="AC129" i="10"/>
  <c r="AB129" i="10"/>
  <c r="AA129" i="10"/>
  <c r="Y129" i="10"/>
  <c r="X129" i="10"/>
  <c r="W129" i="10"/>
  <c r="V129" i="10"/>
  <c r="S129" i="10"/>
  <c r="T129" i="10" s="1"/>
  <c r="R129" i="10"/>
  <c r="Q129" i="10"/>
  <c r="P129" i="10"/>
  <c r="O129" i="10"/>
  <c r="N129" i="10"/>
  <c r="M129" i="10"/>
  <c r="L129" i="10"/>
  <c r="K129" i="10"/>
  <c r="J129" i="10"/>
  <c r="I129" i="10"/>
  <c r="H129" i="10"/>
  <c r="AM128" i="10"/>
  <c r="AK128" i="10"/>
  <c r="AJ128" i="10"/>
  <c r="AI128" i="10"/>
  <c r="AD128" i="10"/>
  <c r="U128" i="10"/>
  <c r="T128" i="10"/>
  <c r="AM127" i="10"/>
  <c r="AJ127" i="10"/>
  <c r="AI127" i="10"/>
  <c r="AD127" i="10"/>
  <c r="U127" i="10"/>
  <c r="T127" i="10"/>
  <c r="AM126" i="10"/>
  <c r="AK126" i="10"/>
  <c r="AJ126" i="10"/>
  <c r="AI126" i="10"/>
  <c r="AD126" i="10"/>
  <c r="U126" i="10"/>
  <c r="T126" i="10"/>
  <c r="AM125" i="10"/>
  <c r="AK125" i="10"/>
  <c r="AJ125" i="10"/>
  <c r="AI125" i="10"/>
  <c r="AD125" i="10"/>
  <c r="U125" i="10"/>
  <c r="T125" i="10"/>
  <c r="AM124" i="10"/>
  <c r="AK124" i="10"/>
  <c r="AJ124" i="10"/>
  <c r="AI124" i="10"/>
  <c r="AD124" i="10"/>
  <c r="U124" i="10"/>
  <c r="T124" i="10"/>
  <c r="AM123" i="10"/>
  <c r="AK123" i="10"/>
  <c r="AJ123" i="10"/>
  <c r="AI123" i="10"/>
  <c r="AD123" i="10"/>
  <c r="U123" i="10"/>
  <c r="T123" i="10"/>
  <c r="AM122" i="10"/>
  <c r="AK122" i="10"/>
  <c r="AJ122" i="10"/>
  <c r="AI122" i="10"/>
  <c r="AD122" i="10"/>
  <c r="U122" i="10"/>
  <c r="T122" i="10"/>
  <c r="AM121" i="10"/>
  <c r="AK121" i="10"/>
  <c r="AJ121" i="10"/>
  <c r="AI121" i="10"/>
  <c r="AD121" i="10"/>
  <c r="U121" i="10"/>
  <c r="T121" i="10"/>
  <c r="AK120" i="10"/>
  <c r="AJ120" i="10"/>
  <c r="AH120" i="10"/>
  <c r="AI120" i="10" s="1"/>
  <c r="AG120" i="10"/>
  <c r="AC120" i="10"/>
  <c r="AB120" i="10"/>
  <c r="AA120" i="10"/>
  <c r="Z120" i="10"/>
  <c r="Y120" i="10"/>
  <c r="X120" i="10"/>
  <c r="W120" i="10"/>
  <c r="V120" i="10"/>
  <c r="S120" i="10"/>
  <c r="U120" i="10" s="1"/>
  <c r="R120" i="10"/>
  <c r="Q120" i="10"/>
  <c r="P120" i="10"/>
  <c r="O120" i="10"/>
  <c r="N120" i="10"/>
  <c r="T120" i="10" s="1"/>
  <c r="M120" i="10"/>
  <c r="L120" i="10"/>
  <c r="K120" i="10"/>
  <c r="J120" i="10"/>
  <c r="I120" i="10"/>
  <c r="H120" i="10"/>
  <c r="AM119" i="10"/>
  <c r="AK119" i="10"/>
  <c r="AJ119" i="10"/>
  <c r="AI119" i="10"/>
  <c r="AD119" i="10"/>
  <c r="U119" i="10"/>
  <c r="T119" i="10"/>
  <c r="AM118" i="10"/>
  <c r="AK118" i="10"/>
  <c r="AJ118" i="10"/>
  <c r="AI118" i="10"/>
  <c r="AD118" i="10"/>
  <c r="U118" i="10"/>
  <c r="T118" i="10"/>
  <c r="AM117" i="10"/>
  <c r="AJ117" i="10"/>
  <c r="AI117" i="10"/>
  <c r="AD117" i="10"/>
  <c r="U117" i="10"/>
  <c r="T117" i="10"/>
  <c r="AM116" i="10"/>
  <c r="AK116" i="10"/>
  <c r="AJ116" i="10"/>
  <c r="AI116" i="10"/>
  <c r="AD116" i="10"/>
  <c r="U116" i="10"/>
  <c r="T116" i="10"/>
  <c r="AM115" i="10"/>
  <c r="AK115" i="10"/>
  <c r="AJ115" i="10"/>
  <c r="AI115" i="10"/>
  <c r="AD115" i="10"/>
  <c r="U115" i="10"/>
  <c r="T115" i="10"/>
  <c r="AK114" i="10"/>
  <c r="AJ114" i="10"/>
  <c r="AH114" i="10"/>
  <c r="AI114" i="10" s="1"/>
  <c r="AG114" i="10"/>
  <c r="AC114" i="10"/>
  <c r="AB114" i="10"/>
  <c r="AA114" i="10"/>
  <c r="Z114" i="10"/>
  <c r="Y114" i="10"/>
  <c r="X114" i="10"/>
  <c r="W114" i="10"/>
  <c r="V114" i="10"/>
  <c r="S114" i="10"/>
  <c r="U114" i="10" s="1"/>
  <c r="R114" i="10"/>
  <c r="Q114" i="10"/>
  <c r="P114" i="10"/>
  <c r="O114" i="10"/>
  <c r="N114" i="10"/>
  <c r="T114" i="10" s="1"/>
  <c r="M114" i="10"/>
  <c r="L114" i="10"/>
  <c r="K114" i="10"/>
  <c r="J114" i="10"/>
  <c r="I114" i="10"/>
  <c r="H114" i="10"/>
  <c r="AN113" i="10"/>
  <c r="AK113" i="10"/>
  <c r="AJ113" i="10"/>
  <c r="AH113" i="10"/>
  <c r="AI113" i="10" s="1"/>
  <c r="AG113" i="10"/>
  <c r="AC113" i="10"/>
  <c r="AB113" i="10"/>
  <c r="AA113" i="10"/>
  <c r="Z113" i="10"/>
  <c r="Y113" i="10"/>
  <c r="X113" i="10"/>
  <c r="W113" i="10"/>
  <c r="V113" i="10"/>
  <c r="S113" i="10"/>
  <c r="T113" i="10" s="1"/>
  <c r="R113" i="10"/>
  <c r="Q113" i="10"/>
  <c r="P113" i="10"/>
  <c r="O113" i="10"/>
  <c r="N113" i="10"/>
  <c r="M113" i="10"/>
  <c r="L113" i="10"/>
  <c r="K113" i="10"/>
  <c r="J113" i="10"/>
  <c r="I113" i="10"/>
  <c r="H113" i="10"/>
  <c r="AM112" i="10"/>
  <c r="AK112" i="10"/>
  <c r="AJ112" i="10"/>
  <c r="AI112" i="10"/>
  <c r="AD112" i="10"/>
  <c r="U112" i="10"/>
  <c r="T112" i="10"/>
  <c r="AM111" i="10"/>
  <c r="AK111" i="10"/>
  <c r="AJ111" i="10"/>
  <c r="AI111" i="10"/>
  <c r="AD111" i="10"/>
  <c r="U111" i="10"/>
  <c r="T111" i="10"/>
  <c r="AM110" i="10"/>
  <c r="AK110" i="10"/>
  <c r="AJ110" i="10"/>
  <c r="AI110" i="10"/>
  <c r="AD110" i="10"/>
  <c r="U110" i="10"/>
  <c r="T110" i="10"/>
  <c r="AM109" i="10"/>
  <c r="AJ109" i="10"/>
  <c r="AI109" i="10"/>
  <c r="AD109" i="10"/>
  <c r="U109" i="10"/>
  <c r="T109" i="10"/>
  <c r="AM108" i="10"/>
  <c r="AK108" i="10"/>
  <c r="AJ108" i="10"/>
  <c r="AI108" i="10"/>
  <c r="AD108" i="10"/>
  <c r="U108" i="10"/>
  <c r="T108" i="10"/>
  <c r="AM107" i="10"/>
  <c r="AK107" i="10"/>
  <c r="AJ107" i="10"/>
  <c r="AI107" i="10"/>
  <c r="AD107" i="10"/>
  <c r="U107" i="10"/>
  <c r="T107" i="10"/>
  <c r="AM106" i="10"/>
  <c r="AK106" i="10"/>
  <c r="AJ106" i="10"/>
  <c r="AI106" i="10"/>
  <c r="AD106" i="10"/>
  <c r="U106" i="10"/>
  <c r="T106" i="10"/>
  <c r="AM105" i="10"/>
  <c r="AK105" i="10"/>
  <c r="AJ105" i="10"/>
  <c r="AI105" i="10"/>
  <c r="AD105" i="10"/>
  <c r="U105" i="10"/>
  <c r="T105" i="10"/>
  <c r="AM104" i="10"/>
  <c r="AK104" i="10"/>
  <c r="AJ104" i="10"/>
  <c r="AI104" i="10"/>
  <c r="AD104" i="10"/>
  <c r="U104" i="10"/>
  <c r="T104" i="10"/>
  <c r="AM103" i="10"/>
  <c r="AK103" i="10"/>
  <c r="AJ103" i="10"/>
  <c r="AI103" i="10"/>
  <c r="AD103" i="10"/>
  <c r="U103" i="10"/>
  <c r="T103" i="10"/>
  <c r="AM102" i="10"/>
  <c r="AK102" i="10"/>
  <c r="AJ102" i="10"/>
  <c r="AI102" i="10"/>
  <c r="AD102" i="10"/>
  <c r="U102" i="10"/>
  <c r="T102" i="10"/>
  <c r="AM101" i="10"/>
  <c r="AK101" i="10"/>
  <c r="AJ101" i="10"/>
  <c r="AI101" i="10"/>
  <c r="AD101" i="10"/>
  <c r="U101" i="10"/>
  <c r="T101" i="10"/>
  <c r="AM100" i="10"/>
  <c r="AK100" i="10"/>
  <c r="AJ100" i="10"/>
  <c r="AI100" i="10"/>
  <c r="AD100" i="10"/>
  <c r="U100" i="10"/>
  <c r="T100" i="10"/>
  <c r="AM99" i="10"/>
  <c r="AK99" i="10"/>
  <c r="AJ99" i="10"/>
  <c r="AI99" i="10"/>
  <c r="AD99" i="10"/>
  <c r="U99" i="10"/>
  <c r="T99" i="10"/>
  <c r="AM98" i="10"/>
  <c r="AK98" i="10"/>
  <c r="AJ98" i="10"/>
  <c r="AI98" i="10"/>
  <c r="AD98" i="10"/>
  <c r="U98" i="10"/>
  <c r="T98" i="10"/>
  <c r="AM97" i="10"/>
  <c r="AK97" i="10"/>
  <c r="AJ97" i="10"/>
  <c r="AI97" i="10"/>
  <c r="AD97" i="10"/>
  <c r="U97" i="10"/>
  <c r="T97" i="10"/>
  <c r="AN96" i="10"/>
  <c r="AK96" i="10"/>
  <c r="AK384" i="10" s="1"/>
  <c r="AK385" i="10" s="1"/>
  <c r="AJ96" i="10"/>
  <c r="AH96" i="10"/>
  <c r="AH384" i="10" s="1"/>
  <c r="AH385" i="10" s="1"/>
  <c r="AG96" i="10"/>
  <c r="AC96" i="10"/>
  <c r="AB96" i="10"/>
  <c r="AB384" i="10" s="1"/>
  <c r="AB385" i="10" s="1"/>
  <c r="AA96" i="10"/>
  <c r="AA384" i="10" s="1"/>
  <c r="AA385" i="10" s="1"/>
  <c r="Z96" i="10"/>
  <c r="Z384" i="10" s="1"/>
  <c r="Z385" i="10" s="1"/>
  <c r="Y96" i="10"/>
  <c r="Y384" i="10" s="1"/>
  <c r="Y385" i="10" s="1"/>
  <c r="X96" i="10"/>
  <c r="X384" i="10" s="1"/>
  <c r="X385" i="10" s="1"/>
  <c r="W96" i="10"/>
  <c r="W384" i="10" s="1"/>
  <c r="W385" i="10" s="1"/>
  <c r="V96" i="10"/>
  <c r="V384" i="10" s="1"/>
  <c r="V385" i="10" s="1"/>
  <c r="S96" i="10"/>
  <c r="S384" i="10" s="1"/>
  <c r="S385" i="10" s="1"/>
  <c r="R96" i="10"/>
  <c r="R384" i="10" s="1"/>
  <c r="R385" i="10" s="1"/>
  <c r="Q96" i="10"/>
  <c r="Q384" i="10" s="1"/>
  <c r="Q385" i="10" s="1"/>
  <c r="P96" i="10"/>
  <c r="P384" i="10" s="1"/>
  <c r="P385" i="10" s="1"/>
  <c r="O96" i="10"/>
  <c r="O384" i="10" s="1"/>
  <c r="O385" i="10" s="1"/>
  <c r="N96" i="10"/>
  <c r="T96" i="10" s="1"/>
  <c r="M96" i="10"/>
  <c r="L96" i="10"/>
  <c r="K96" i="10"/>
  <c r="AM95" i="10"/>
  <c r="AN95" i="10" s="1"/>
  <c r="AK95" i="10"/>
  <c r="AJ95" i="10"/>
  <c r="AI95" i="10"/>
  <c r="AD95" i="10"/>
  <c r="AC95" i="10"/>
  <c r="U95" i="10"/>
  <c r="T95" i="10"/>
  <c r="AM94" i="10"/>
  <c r="AK94" i="10"/>
  <c r="AJ94" i="10"/>
  <c r="AI94" i="10"/>
  <c r="AD94" i="10"/>
  <c r="U94" i="10"/>
  <c r="T94" i="10"/>
  <c r="AM93" i="10"/>
  <c r="AK93" i="10"/>
  <c r="AJ93" i="10"/>
  <c r="AI93" i="10"/>
  <c r="AD93" i="10"/>
  <c r="U93" i="10"/>
  <c r="T93" i="10"/>
  <c r="AM92" i="10"/>
  <c r="AK92" i="10"/>
  <c r="AJ92" i="10"/>
  <c r="AI92" i="10"/>
  <c r="AD92" i="10"/>
  <c r="U92" i="10"/>
  <c r="T92" i="10"/>
  <c r="AK91" i="10"/>
  <c r="AJ91" i="10"/>
  <c r="AH91" i="10"/>
  <c r="AI91" i="10" s="1"/>
  <c r="AG91" i="10"/>
  <c r="AC91" i="10"/>
  <c r="AB91" i="10"/>
  <c r="AA91" i="10"/>
  <c r="Z91" i="10"/>
  <c r="Y91" i="10"/>
  <c r="X91" i="10"/>
  <c r="W91" i="10"/>
  <c r="V91" i="10"/>
  <c r="S91" i="10"/>
  <c r="U91" i="10" s="1"/>
  <c r="R91" i="10"/>
  <c r="Q91" i="10"/>
  <c r="P91" i="10"/>
  <c r="O91" i="10"/>
  <c r="N91" i="10"/>
  <c r="T91" i="10" s="1"/>
  <c r="M91" i="10"/>
  <c r="L91" i="10"/>
  <c r="K91" i="10"/>
  <c r="J91" i="10"/>
  <c r="I91" i="10"/>
  <c r="H91" i="10"/>
  <c r="AH90" i="10"/>
  <c r="AI90" i="10" s="1"/>
  <c r="AG90" i="10"/>
  <c r="AC90" i="10"/>
  <c r="AB90" i="10"/>
  <c r="AA90" i="10"/>
  <c r="Z90" i="10"/>
  <c r="Y90" i="10"/>
  <c r="X90" i="10"/>
  <c r="W90" i="10"/>
  <c r="V90" i="10"/>
  <c r="S90" i="10"/>
  <c r="U90" i="10" s="1"/>
  <c r="R90" i="10"/>
  <c r="Q90" i="10"/>
  <c r="P90" i="10"/>
  <c r="O90" i="10"/>
  <c r="N90" i="10"/>
  <c r="T90" i="10" s="1"/>
  <c r="M90" i="10"/>
  <c r="L90" i="10"/>
  <c r="K90" i="10"/>
  <c r="J90" i="10"/>
  <c r="I90" i="10"/>
  <c r="H90" i="10"/>
  <c r="AM89" i="10"/>
  <c r="AK89" i="10"/>
  <c r="AJ89" i="10"/>
  <c r="AI89" i="10"/>
  <c r="AD89" i="10"/>
  <c r="U89" i="10"/>
  <c r="T89" i="10"/>
  <c r="AM88" i="10"/>
  <c r="AK88" i="10"/>
  <c r="AK90" i="10" s="1"/>
  <c r="AJ88" i="10"/>
  <c r="AJ90" i="10" s="1"/>
  <c r="AI88" i="10"/>
  <c r="AD88" i="10"/>
  <c r="U88" i="10"/>
  <c r="T88" i="10"/>
  <c r="AH87" i="10"/>
  <c r="AI87" i="10" s="1"/>
  <c r="AG87" i="10"/>
  <c r="AC87" i="10"/>
  <c r="AB87" i="10"/>
  <c r="AA87" i="10"/>
  <c r="Z87" i="10"/>
  <c r="Y87" i="10"/>
  <c r="X87" i="10"/>
  <c r="W87" i="10"/>
  <c r="V87" i="10"/>
  <c r="S87" i="10"/>
  <c r="U87" i="10" s="1"/>
  <c r="R87" i="10"/>
  <c r="Q87" i="10"/>
  <c r="P87" i="10"/>
  <c r="O87" i="10"/>
  <c r="N87" i="10"/>
  <c r="M87" i="10"/>
  <c r="L87" i="10"/>
  <c r="K87" i="10"/>
  <c r="J87" i="10"/>
  <c r="I87" i="10"/>
  <c r="H87" i="10"/>
  <c r="AM86" i="10"/>
  <c r="AK86" i="10"/>
  <c r="AJ86" i="10"/>
  <c r="AI86" i="10"/>
  <c r="U86" i="10"/>
  <c r="T86" i="10"/>
  <c r="AM85" i="10"/>
  <c r="AK85" i="10"/>
  <c r="AJ85" i="10"/>
  <c r="AI85" i="10"/>
  <c r="U85" i="10"/>
  <c r="T85" i="10"/>
  <c r="AM84" i="10"/>
  <c r="AK84" i="10"/>
  <c r="AJ84" i="10"/>
  <c r="AI84" i="10"/>
  <c r="U84" i="10"/>
  <c r="T84" i="10"/>
  <c r="AM83" i="10"/>
  <c r="AK83" i="10"/>
  <c r="AJ83" i="10"/>
  <c r="AI83" i="10"/>
  <c r="AD83" i="10"/>
  <c r="U83" i="10"/>
  <c r="T83" i="10"/>
  <c r="AM82" i="10"/>
  <c r="AJ82" i="10"/>
  <c r="AI82" i="10"/>
  <c r="AD82" i="10"/>
  <c r="U82" i="10"/>
  <c r="T82" i="10"/>
  <c r="AM81" i="10"/>
  <c r="AK81" i="10"/>
  <c r="AJ81" i="10"/>
  <c r="AI81" i="10"/>
  <c r="AD81" i="10"/>
  <c r="U81" i="10"/>
  <c r="T81" i="10"/>
  <c r="AM80" i="10"/>
  <c r="AK80" i="10"/>
  <c r="AK87" i="10" s="1"/>
  <c r="AJ80" i="10"/>
  <c r="AJ87" i="10" s="1"/>
  <c r="AI80" i="10"/>
  <c r="AD80" i="10"/>
  <c r="U80" i="10"/>
  <c r="T80" i="10"/>
  <c r="AG79" i="10"/>
  <c r="AC79" i="10"/>
  <c r="AB79" i="10"/>
  <c r="AA79" i="10"/>
  <c r="Z79" i="10"/>
  <c r="Y79" i="10"/>
  <c r="X79" i="10"/>
  <c r="W79" i="10"/>
  <c r="V79" i="10"/>
  <c r="S79" i="10"/>
  <c r="T79" i="10" s="1"/>
  <c r="R79" i="10"/>
  <c r="Q79" i="10"/>
  <c r="P79" i="10"/>
  <c r="O79" i="10"/>
  <c r="N79" i="10"/>
  <c r="M79" i="10"/>
  <c r="L79" i="10"/>
  <c r="K79" i="10"/>
  <c r="J79" i="10"/>
  <c r="I79" i="10"/>
  <c r="H79" i="10"/>
  <c r="AH78" i="10"/>
  <c r="AH79" i="10" s="1"/>
  <c r="AD78" i="10"/>
  <c r="U78" i="10"/>
  <c r="T78" i="10"/>
  <c r="AM77" i="10"/>
  <c r="AK77" i="10"/>
  <c r="AJ77" i="10"/>
  <c r="AI77" i="10"/>
  <c r="AD77" i="10"/>
  <c r="U77" i="10"/>
  <c r="T77" i="10"/>
  <c r="AM76" i="10"/>
  <c r="AK76" i="10"/>
  <c r="AJ76" i="10"/>
  <c r="AI76" i="10"/>
  <c r="AD76" i="10"/>
  <c r="U76" i="10"/>
  <c r="T76" i="10"/>
  <c r="AM75" i="10"/>
  <c r="AK75" i="10"/>
  <c r="AJ75" i="10"/>
  <c r="AI75" i="10"/>
  <c r="AD75" i="10"/>
  <c r="U75" i="10"/>
  <c r="T75" i="10"/>
  <c r="AM74" i="10"/>
  <c r="AK74" i="10"/>
  <c r="AJ74" i="10"/>
  <c r="AI74" i="10"/>
  <c r="AD74" i="10"/>
  <c r="U74" i="10"/>
  <c r="T74" i="10"/>
  <c r="AM73" i="10"/>
  <c r="AK73" i="10"/>
  <c r="AJ73" i="10"/>
  <c r="AI73" i="10"/>
  <c r="AD73" i="10"/>
  <c r="U73" i="10"/>
  <c r="T73" i="10"/>
  <c r="AM72" i="10"/>
  <c r="AK72" i="10"/>
  <c r="AJ72" i="10"/>
  <c r="AI72" i="10"/>
  <c r="AD72" i="10"/>
  <c r="U72" i="10"/>
  <c r="T72" i="10"/>
  <c r="AM71" i="10"/>
  <c r="AK71" i="10"/>
  <c r="AJ71" i="10"/>
  <c r="AI71" i="10"/>
  <c r="AD71" i="10"/>
  <c r="U71" i="10"/>
  <c r="T71" i="10"/>
  <c r="AH70" i="10"/>
  <c r="AI70" i="10" s="1"/>
  <c r="AG70" i="10"/>
  <c r="AC70" i="10"/>
  <c r="AB70" i="10"/>
  <c r="AA70" i="10"/>
  <c r="Z70" i="10"/>
  <c r="Y70" i="10"/>
  <c r="X70" i="10"/>
  <c r="W70" i="10"/>
  <c r="V70" i="10"/>
  <c r="S70" i="10"/>
  <c r="U70" i="10" s="1"/>
  <c r="R70" i="10"/>
  <c r="Q70" i="10"/>
  <c r="P70" i="10"/>
  <c r="O70" i="10"/>
  <c r="N70" i="10"/>
  <c r="M70" i="10"/>
  <c r="L70" i="10"/>
  <c r="K70" i="10"/>
  <c r="J70" i="10"/>
  <c r="I70" i="10"/>
  <c r="H70" i="10"/>
  <c r="AM69" i="10"/>
  <c r="AK69" i="10"/>
  <c r="AJ69" i="10"/>
  <c r="AI69" i="10"/>
  <c r="AD69" i="10"/>
  <c r="U69" i="10"/>
  <c r="T69" i="10"/>
  <c r="AM68" i="10"/>
  <c r="AK68" i="10"/>
  <c r="AJ68" i="10"/>
  <c r="AI68" i="10"/>
  <c r="AD68" i="10"/>
  <c r="U68" i="10"/>
  <c r="T68" i="10"/>
  <c r="AM67" i="10"/>
  <c r="AK67" i="10"/>
  <c r="AJ67" i="10"/>
  <c r="AI67" i="10"/>
  <c r="AD67" i="10"/>
  <c r="U67" i="10"/>
  <c r="T67" i="10"/>
  <c r="AM66" i="10"/>
  <c r="AK66" i="10"/>
  <c r="AK70" i="10" s="1"/>
  <c r="AJ66" i="10"/>
  <c r="AJ70" i="10" s="1"/>
  <c r="AI66" i="10"/>
  <c r="AD66" i="10"/>
  <c r="U66" i="10"/>
  <c r="T66" i="10"/>
  <c r="AH65" i="10"/>
  <c r="AI65" i="10" s="1"/>
  <c r="AG65" i="10"/>
  <c r="AC65" i="10"/>
  <c r="AB65" i="10"/>
  <c r="AA65" i="10"/>
  <c r="Z65" i="10"/>
  <c r="Y65" i="10"/>
  <c r="X65" i="10"/>
  <c r="W65" i="10"/>
  <c r="V65" i="10"/>
  <c r="S65" i="10"/>
  <c r="U65" i="10" s="1"/>
  <c r="R65" i="10"/>
  <c r="Q65" i="10"/>
  <c r="P65" i="10"/>
  <c r="O65" i="10"/>
  <c r="N65" i="10"/>
  <c r="T65" i="10" s="1"/>
  <c r="M65" i="10"/>
  <c r="L65" i="10"/>
  <c r="K65" i="10"/>
  <c r="J65" i="10"/>
  <c r="I65" i="10"/>
  <c r="H65" i="10"/>
  <c r="AM64" i="10"/>
  <c r="AK64" i="10"/>
  <c r="AJ64" i="10"/>
  <c r="AI64" i="10"/>
  <c r="AD64" i="10"/>
  <c r="U64" i="10"/>
  <c r="T64" i="10"/>
  <c r="AM63" i="10"/>
  <c r="AJ63" i="10"/>
  <c r="AI63" i="10"/>
  <c r="AD63" i="10"/>
  <c r="U63" i="10"/>
  <c r="T63" i="10"/>
  <c r="AM62" i="10"/>
  <c r="AK62" i="10"/>
  <c r="AK65" i="10" s="1"/>
  <c r="AJ62" i="10"/>
  <c r="AJ65" i="10" s="1"/>
  <c r="AI62" i="10"/>
  <c r="AD62" i="10"/>
  <c r="U62" i="10"/>
  <c r="T62" i="10"/>
  <c r="AH61" i="10"/>
  <c r="AI61" i="10" s="1"/>
  <c r="AG61" i="10"/>
  <c r="AC61" i="10"/>
  <c r="AB61" i="10"/>
  <c r="AA61" i="10"/>
  <c r="Z61" i="10"/>
  <c r="Y61" i="10"/>
  <c r="X61" i="10"/>
  <c r="W61" i="10"/>
  <c r="V61" i="10"/>
  <c r="S61" i="10"/>
  <c r="U61" i="10" s="1"/>
  <c r="R61" i="10"/>
  <c r="Q61" i="10"/>
  <c r="P61" i="10"/>
  <c r="O61" i="10"/>
  <c r="N61" i="10"/>
  <c r="T61" i="10" s="1"/>
  <c r="M61" i="10"/>
  <c r="L61" i="10"/>
  <c r="K61" i="10"/>
  <c r="J61" i="10"/>
  <c r="I61" i="10"/>
  <c r="H61" i="10"/>
  <c r="AM60" i="10"/>
  <c r="AK60" i="10"/>
  <c r="AJ60" i="10"/>
  <c r="AI60" i="10"/>
  <c r="AD60" i="10"/>
  <c r="U60" i="10"/>
  <c r="T60" i="10"/>
  <c r="AM59" i="10"/>
  <c r="AK59" i="10"/>
  <c r="AJ59" i="10"/>
  <c r="AI59" i="10"/>
  <c r="AD59" i="10"/>
  <c r="U59" i="10"/>
  <c r="T59" i="10"/>
  <c r="AM58" i="10"/>
  <c r="AJ58" i="10"/>
  <c r="AI58" i="10"/>
  <c r="AD58" i="10"/>
  <c r="U58" i="10"/>
  <c r="T58" i="10"/>
  <c r="AM57" i="10"/>
  <c r="AK57" i="10"/>
  <c r="AK61" i="10" s="1"/>
  <c r="AJ57" i="10"/>
  <c r="AJ61" i="10" s="1"/>
  <c r="AI57" i="10"/>
  <c r="AD57" i="10"/>
  <c r="U57" i="10"/>
  <c r="T57" i="10"/>
  <c r="AH56" i="10"/>
  <c r="AI56" i="10" s="1"/>
  <c r="AG56" i="10"/>
  <c r="AC56" i="10"/>
  <c r="AB56" i="10"/>
  <c r="AA56" i="10"/>
  <c r="Z56" i="10"/>
  <c r="Y56" i="10"/>
  <c r="X56" i="10"/>
  <c r="W56" i="10"/>
  <c r="V56" i="10"/>
  <c r="S56" i="10"/>
  <c r="T56" i="10" s="1"/>
  <c r="R56" i="10"/>
  <c r="Q56" i="10"/>
  <c r="P56" i="10"/>
  <c r="O56" i="10"/>
  <c r="N56" i="10"/>
  <c r="M56" i="10"/>
  <c r="L56" i="10"/>
  <c r="K56" i="10"/>
  <c r="J56" i="10"/>
  <c r="I56" i="10"/>
  <c r="H56" i="10"/>
  <c r="AM55" i="10"/>
  <c r="AK55" i="10"/>
  <c r="AJ55" i="10"/>
  <c r="AI55" i="10"/>
  <c r="AD55" i="10"/>
  <c r="U55" i="10"/>
  <c r="T55" i="10"/>
  <c r="AM54" i="10"/>
  <c r="AK54" i="10"/>
  <c r="AJ54" i="10"/>
  <c r="AI54" i="10"/>
  <c r="AD54" i="10"/>
  <c r="U54" i="10"/>
  <c r="T54" i="10"/>
  <c r="AM53" i="10"/>
  <c r="AK53" i="10"/>
  <c r="AK56" i="10" s="1"/>
  <c r="AJ53" i="10"/>
  <c r="AJ56" i="10" s="1"/>
  <c r="AI53" i="10"/>
  <c r="AD53" i="10"/>
  <c r="U53" i="10"/>
  <c r="T53" i="10"/>
  <c r="AH52" i="10"/>
  <c r="AI52" i="10" s="1"/>
  <c r="AG52" i="10"/>
  <c r="AC52" i="10"/>
  <c r="AB52" i="10"/>
  <c r="AA52" i="10"/>
  <c r="Z52" i="10"/>
  <c r="Y52" i="10"/>
  <c r="X52" i="10"/>
  <c r="W52" i="10"/>
  <c r="V52" i="10"/>
  <c r="S52" i="10"/>
  <c r="U52" i="10" s="1"/>
  <c r="R52" i="10"/>
  <c r="Q52" i="10"/>
  <c r="P52" i="10"/>
  <c r="O52" i="10"/>
  <c r="N52" i="10"/>
  <c r="M52" i="10"/>
  <c r="L52" i="10"/>
  <c r="K52" i="10"/>
  <c r="J52" i="10"/>
  <c r="I52" i="10"/>
  <c r="H52" i="10"/>
  <c r="AM51" i="10"/>
  <c r="AK51" i="10"/>
  <c r="AJ51" i="10"/>
  <c r="AI51" i="10"/>
  <c r="AD51" i="10"/>
  <c r="U51" i="10"/>
  <c r="T51" i="10"/>
  <c r="AM50" i="10"/>
  <c r="AK50" i="10"/>
  <c r="AJ50" i="10"/>
  <c r="AI50" i="10"/>
  <c r="AD50" i="10"/>
  <c r="U50" i="10"/>
  <c r="T50" i="10"/>
  <c r="AM49" i="10"/>
  <c r="AK49" i="10"/>
  <c r="AJ49" i="10"/>
  <c r="AI49" i="10"/>
  <c r="AD49" i="10"/>
  <c r="U49" i="10"/>
  <c r="T49" i="10"/>
  <c r="AM48" i="10"/>
  <c r="AK48" i="10"/>
  <c r="AJ48" i="10"/>
  <c r="AI48" i="10"/>
  <c r="AD48" i="10"/>
  <c r="U48" i="10"/>
  <c r="T48" i="10"/>
  <c r="AM47" i="10"/>
  <c r="AK47" i="10"/>
  <c r="AK52" i="10" s="1"/>
  <c r="AJ47" i="10"/>
  <c r="AJ52" i="10" s="1"/>
  <c r="AI47" i="10"/>
  <c r="AD47" i="10"/>
  <c r="U47" i="10"/>
  <c r="T47" i="10"/>
  <c r="AH46" i="10"/>
  <c r="AI46" i="10" s="1"/>
  <c r="AG46" i="10"/>
  <c r="AC46" i="10"/>
  <c r="AB46" i="10"/>
  <c r="AA46" i="10"/>
  <c r="Z46" i="10"/>
  <c r="Y46" i="10"/>
  <c r="X46" i="10"/>
  <c r="W46" i="10"/>
  <c r="V46" i="10"/>
  <c r="S46" i="10"/>
  <c r="T46" i="10" s="1"/>
  <c r="R46" i="10"/>
  <c r="Q46" i="10"/>
  <c r="P46" i="10"/>
  <c r="O46" i="10"/>
  <c r="N46" i="10"/>
  <c r="M46" i="10"/>
  <c r="L46" i="10"/>
  <c r="K46" i="10"/>
  <c r="J46" i="10"/>
  <c r="I46" i="10"/>
  <c r="H46" i="10"/>
  <c r="AM45" i="10"/>
  <c r="AK45" i="10"/>
  <c r="AJ45" i="10"/>
  <c r="AI45" i="10"/>
  <c r="AD45" i="10"/>
  <c r="U45" i="10"/>
  <c r="T45" i="10"/>
  <c r="AM44" i="10"/>
  <c r="AK44" i="10"/>
  <c r="AJ44" i="10"/>
  <c r="AI44" i="10"/>
  <c r="AD44" i="10"/>
  <c r="U44" i="10"/>
  <c r="T44" i="10"/>
  <c r="AM43" i="10"/>
  <c r="AK43" i="10"/>
  <c r="AK46" i="10" s="1"/>
  <c r="AJ43" i="10"/>
  <c r="AJ46" i="10" s="1"/>
  <c r="AI43" i="10"/>
  <c r="AD43" i="10"/>
  <c r="U43" i="10"/>
  <c r="T43" i="10"/>
  <c r="AH42" i="10"/>
  <c r="AI42" i="10" s="1"/>
  <c r="AG42" i="10"/>
  <c r="AD42" i="10"/>
  <c r="AC42" i="10"/>
  <c r="AB42" i="10"/>
  <c r="AA42" i="10"/>
  <c r="Z42" i="10"/>
  <c r="Y42" i="10"/>
  <c r="X42" i="10"/>
  <c r="W42" i="10"/>
  <c r="V42" i="10"/>
  <c r="S42" i="10"/>
  <c r="U42" i="10" s="1"/>
  <c r="R42" i="10"/>
  <c r="Q42" i="10"/>
  <c r="P42" i="10"/>
  <c r="O42" i="10"/>
  <c r="N42" i="10"/>
  <c r="T42" i="10" s="1"/>
  <c r="M42" i="10"/>
  <c r="L42" i="10"/>
  <c r="K42" i="10"/>
  <c r="J42" i="10"/>
  <c r="I42" i="10"/>
  <c r="H42" i="10"/>
  <c r="AM41" i="10"/>
  <c r="AK41" i="10"/>
  <c r="AJ41" i="10"/>
  <c r="AI41" i="10"/>
  <c r="U41" i="10"/>
  <c r="T41" i="10"/>
  <c r="AM40" i="10"/>
  <c r="AJ40" i="10"/>
  <c r="AI40" i="10"/>
  <c r="U40" i="10"/>
  <c r="T40" i="10"/>
  <c r="AM39" i="10"/>
  <c r="AK39" i="10"/>
  <c r="AJ39" i="10"/>
  <c r="AI39" i="10"/>
  <c r="U39" i="10"/>
  <c r="T39" i="10"/>
  <c r="AM38" i="10"/>
  <c r="AK38" i="10"/>
  <c r="AJ38" i="10"/>
  <c r="AI38" i="10"/>
  <c r="U38" i="10"/>
  <c r="T38" i="10"/>
  <c r="AM37" i="10"/>
  <c r="AK37" i="10"/>
  <c r="AJ37" i="10"/>
  <c r="AI37" i="10"/>
  <c r="U37" i="10"/>
  <c r="T37" i="10"/>
  <c r="AM36" i="10"/>
  <c r="AK36" i="10"/>
  <c r="AJ36" i="10"/>
  <c r="AI36" i="10"/>
  <c r="U36" i="10"/>
  <c r="T36" i="10"/>
  <c r="AM35" i="10"/>
  <c r="AK35" i="10"/>
  <c r="AK42" i="10" s="1"/>
  <c r="AJ35" i="10"/>
  <c r="AJ42" i="10" s="1"/>
  <c r="AI35" i="10"/>
  <c r="U35" i="10"/>
  <c r="T35" i="10"/>
  <c r="AI34" i="10"/>
  <c r="AH34" i="10"/>
  <c r="AG34" i="10"/>
  <c r="AD34" i="10"/>
  <c r="AC34" i="10"/>
  <c r="AB34" i="10"/>
  <c r="AA34" i="10"/>
  <c r="Z34" i="10"/>
  <c r="Y34" i="10"/>
  <c r="X34" i="10"/>
  <c r="W34" i="10"/>
  <c r="V34" i="10"/>
  <c r="S34" i="10"/>
  <c r="T34" i="10" s="1"/>
  <c r="R34" i="10"/>
  <c r="Q34" i="10"/>
  <c r="P34" i="10"/>
  <c r="O34" i="10"/>
  <c r="N34" i="10"/>
  <c r="M34" i="10"/>
  <c r="L34" i="10"/>
  <c r="K34" i="10"/>
  <c r="J34" i="10"/>
  <c r="I34" i="10"/>
  <c r="H34" i="10"/>
  <c r="AM33" i="10"/>
  <c r="AK33" i="10"/>
  <c r="AJ33" i="10"/>
  <c r="AI33" i="10"/>
  <c r="U33" i="10"/>
  <c r="T33" i="10"/>
  <c r="AM32" i="10"/>
  <c r="AK32" i="10"/>
  <c r="AJ32" i="10"/>
  <c r="AI32" i="10"/>
  <c r="U32" i="10"/>
  <c r="T32" i="10"/>
  <c r="AM31" i="10"/>
  <c r="AK31" i="10"/>
  <c r="AK34" i="10" s="1"/>
  <c r="AJ31" i="10"/>
  <c r="AJ34" i="10" s="1"/>
  <c r="AI31" i="10"/>
  <c r="U31" i="10"/>
  <c r="T31" i="10"/>
  <c r="AG30" i="10"/>
  <c r="AC30" i="10"/>
  <c r="AB30" i="10"/>
  <c r="AA30" i="10"/>
  <c r="Z30" i="10"/>
  <c r="Y30" i="10"/>
  <c r="X30" i="10"/>
  <c r="W30" i="10"/>
  <c r="V30" i="10"/>
  <c r="S30" i="10"/>
  <c r="U30" i="10" s="1"/>
  <c r="R30" i="10"/>
  <c r="Q30" i="10"/>
  <c r="P30" i="10"/>
  <c r="O30" i="10"/>
  <c r="N30" i="10"/>
  <c r="T30" i="10" s="1"/>
  <c r="M30" i="10"/>
  <c r="L30" i="10"/>
  <c r="K30" i="10"/>
  <c r="J30" i="10"/>
  <c r="I30" i="10"/>
  <c r="H30" i="10"/>
  <c r="AG29" i="10"/>
  <c r="AC29" i="10"/>
  <c r="AB29" i="10"/>
  <c r="AB247" i="10" s="1"/>
  <c r="AA29" i="10"/>
  <c r="AA247" i="10" s="1"/>
  <c r="Z29" i="10"/>
  <c r="Y29" i="10"/>
  <c r="X29" i="10"/>
  <c r="W29" i="10"/>
  <c r="V29" i="10"/>
  <c r="S29" i="10"/>
  <c r="R29" i="10"/>
  <c r="Q29" i="10"/>
  <c r="P29" i="10"/>
  <c r="O29" i="10"/>
  <c r="N29" i="10"/>
  <c r="M29" i="10"/>
  <c r="L29" i="10"/>
  <c r="K29" i="10"/>
  <c r="J29" i="10"/>
  <c r="I29" i="10"/>
  <c r="H29" i="10"/>
  <c r="S11" i="10"/>
  <c r="K11" i="10"/>
  <c r="AD9" i="10"/>
  <c r="AD11" i="10" s="1"/>
  <c r="AC9" i="10"/>
  <c r="AC11" i="10" s="1"/>
  <c r="V9" i="10"/>
  <c r="V11" i="10" s="1"/>
  <c r="U9" i="10"/>
  <c r="U11" i="10" s="1"/>
  <c r="N9" i="10"/>
  <c r="AC8" i="10"/>
  <c r="AD8" i="10" s="1"/>
  <c r="AD206" i="10" l="1"/>
  <c r="AD120" i="10"/>
  <c r="AD212" i="10"/>
  <c r="AD70" i="10"/>
  <c r="AD87" i="10"/>
  <c r="AD207" i="10"/>
  <c r="AD46" i="10"/>
  <c r="AD56" i="10"/>
  <c r="AD65" i="10"/>
  <c r="AD79" i="10"/>
  <c r="AC384" i="10"/>
  <c r="AC385" i="10" s="1"/>
  <c r="AD114" i="10"/>
  <c r="AD143" i="10"/>
  <c r="AD148" i="10"/>
  <c r="AD168" i="10"/>
  <c r="AD175" i="10"/>
  <c r="AD180" i="10"/>
  <c r="AD235" i="10"/>
  <c r="AD221" i="10"/>
  <c r="AC324" i="10"/>
  <c r="AD263" i="10"/>
  <c r="AD268" i="10"/>
  <c r="AD382" i="10" s="1"/>
  <c r="AD286" i="10"/>
  <c r="AD91" i="10"/>
  <c r="AD215" i="10"/>
  <c r="AD131" i="10"/>
  <c r="AD229" i="10"/>
  <c r="U130" i="10"/>
  <c r="T151" i="10"/>
  <c r="CG30" i="5"/>
  <c r="CG27" i="5" s="1"/>
  <c r="CG19" i="5" s="1"/>
  <c r="AJ206" i="10"/>
  <c r="T206" i="10"/>
  <c r="AD96" i="10"/>
  <c r="AD384" i="10" s="1"/>
  <c r="AD385" i="10" s="1"/>
  <c r="AD52" i="10"/>
  <c r="AD90" i="10"/>
  <c r="AD250" i="10"/>
  <c r="AD61" i="10"/>
  <c r="AD160" i="10"/>
  <c r="AD172" i="10"/>
  <c r="AI79" i="10"/>
  <c r="AH30" i="10"/>
  <c r="AE321" i="10"/>
  <c r="AF321" i="10" s="1"/>
  <c r="AE320" i="10"/>
  <c r="AF320" i="10" s="1"/>
  <c r="AE319" i="10"/>
  <c r="AF319" i="10" s="1"/>
  <c r="AE318" i="10"/>
  <c r="AF318" i="10" s="1"/>
  <c r="AE317" i="10"/>
  <c r="AF317" i="10" s="1"/>
  <c r="AE310" i="10"/>
  <c r="AF310" i="10" s="1"/>
  <c r="AE308" i="10"/>
  <c r="AF308" i="10" s="1"/>
  <c r="AE307" i="10"/>
  <c r="AF307" i="10" s="1"/>
  <c r="AE306" i="10"/>
  <c r="AF306" i="10" s="1"/>
  <c r="AE305" i="10"/>
  <c r="AF305" i="10" s="1"/>
  <c r="AE304" i="10"/>
  <c r="AF304" i="10" s="1"/>
  <c r="AE303" i="10"/>
  <c r="AF303" i="10" s="1"/>
  <c r="AE302" i="10"/>
  <c r="AF302" i="10" s="1"/>
  <c r="AE301" i="10"/>
  <c r="AF301" i="10" s="1"/>
  <c r="AE300" i="10"/>
  <c r="AF300" i="10" s="1"/>
  <c r="AE299" i="10"/>
  <c r="AF299" i="10" s="1"/>
  <c r="AE298" i="10"/>
  <c r="AF298" i="10" s="1"/>
  <c r="AE297" i="10"/>
  <c r="AF297" i="10" s="1"/>
  <c r="AE294" i="10"/>
  <c r="AF294" i="10" s="1"/>
  <c r="AE291" i="10"/>
  <c r="AF291" i="10" s="1"/>
  <c r="AE290" i="10"/>
  <c r="AF290" i="10" s="1"/>
  <c r="AE289" i="10"/>
  <c r="AF289" i="10" s="1"/>
  <c r="AE288" i="10"/>
  <c r="AF288" i="10" s="1"/>
  <c r="AE275" i="10"/>
  <c r="AF275" i="10" s="1"/>
  <c r="AE274" i="10"/>
  <c r="AF274" i="10" s="1"/>
  <c r="AE273" i="10"/>
  <c r="AF273" i="10" s="1"/>
  <c r="AE272" i="10"/>
  <c r="AF272" i="10" s="1"/>
  <c r="AE261" i="10"/>
  <c r="AF261" i="10" s="1"/>
  <c r="AE259" i="10"/>
  <c r="AF259" i="10" s="1"/>
  <c r="AE258" i="10"/>
  <c r="AE256" i="10"/>
  <c r="AF256" i="10" s="1"/>
  <c r="AE239" i="10"/>
  <c r="AF239" i="10" s="1"/>
  <c r="AE238" i="10"/>
  <c r="AF238" i="10" s="1"/>
  <c r="AE236" i="10"/>
  <c r="AE232" i="10"/>
  <c r="AF232" i="10" s="1"/>
  <c r="AE230" i="10"/>
  <c r="AE227" i="10"/>
  <c r="AF227" i="10" s="1"/>
  <c r="AE226" i="10"/>
  <c r="AF226" i="10" s="1"/>
  <c r="AE224" i="10"/>
  <c r="AF224" i="10" s="1"/>
  <c r="AE222" i="10"/>
  <c r="AE219" i="10"/>
  <c r="AF219" i="10" s="1"/>
  <c r="AE217" i="10"/>
  <c r="AF217" i="10" s="1"/>
  <c r="AE211" i="10"/>
  <c r="AF211" i="10" s="1"/>
  <c r="AE210" i="10"/>
  <c r="AF210" i="10" s="1"/>
  <c r="AE209" i="10"/>
  <c r="AF209" i="10" s="1"/>
  <c r="AE208" i="10"/>
  <c r="AE323" i="10"/>
  <c r="AF323" i="10" s="1"/>
  <c r="AE322" i="10"/>
  <c r="AF322" i="10" s="1"/>
  <c r="AE316" i="10"/>
  <c r="AF316" i="10" s="1"/>
  <c r="AE315" i="10"/>
  <c r="AF315" i="10" s="1"/>
  <c r="AE314" i="10"/>
  <c r="AF314" i="10" s="1"/>
  <c r="AE313" i="10"/>
  <c r="AF313" i="10" s="1"/>
  <c r="AE312" i="10"/>
  <c r="AF312" i="10" s="1"/>
  <c r="AE311" i="10"/>
  <c r="AF311" i="10" s="1"/>
  <c r="AE309" i="10"/>
  <c r="AF309" i="10" s="1"/>
  <c r="AE296" i="10"/>
  <c r="AF296" i="10" s="1"/>
  <c r="AE293" i="10"/>
  <c r="AF293" i="10" s="1"/>
  <c r="AE292" i="10"/>
  <c r="AF292" i="10" s="1"/>
  <c r="AE287" i="10"/>
  <c r="AE285" i="10"/>
  <c r="AF285" i="10" s="1"/>
  <c r="AE284" i="10"/>
  <c r="AF284" i="10" s="1"/>
  <c r="AE283" i="10"/>
  <c r="AF283" i="10" s="1"/>
  <c r="AE282" i="10"/>
  <c r="AE279" i="10"/>
  <c r="AE271" i="10"/>
  <c r="AF271" i="10" s="1"/>
  <c r="AE270" i="10"/>
  <c r="AF270" i="10" s="1"/>
  <c r="AE262" i="10"/>
  <c r="AF262" i="10" s="1"/>
  <c r="AE260" i="10"/>
  <c r="AF260" i="10" s="1"/>
  <c r="AE257" i="10"/>
  <c r="AF257" i="10" s="1"/>
  <c r="AE255" i="10"/>
  <c r="AE246" i="10"/>
  <c r="AF246" i="10" s="1"/>
  <c r="AE244" i="10"/>
  <c r="AE242" i="10"/>
  <c r="AE240" i="10"/>
  <c r="AF240" i="10" s="1"/>
  <c r="AE237" i="10"/>
  <c r="AF237" i="10" s="1"/>
  <c r="AE234" i="10"/>
  <c r="AF234" i="10" s="1"/>
  <c r="AE233" i="10"/>
  <c r="AF233" i="10" s="1"/>
  <c r="AE231" i="10"/>
  <c r="AF231" i="10" s="1"/>
  <c r="AE228" i="10"/>
  <c r="AF228" i="10" s="1"/>
  <c r="AE225" i="10"/>
  <c r="AF225" i="10" s="1"/>
  <c r="AE223" i="10"/>
  <c r="AF223" i="10" s="1"/>
  <c r="AE220" i="10"/>
  <c r="AF220" i="10" s="1"/>
  <c r="AE218" i="10"/>
  <c r="AF218" i="10" s="1"/>
  <c r="AE216" i="10"/>
  <c r="AE214" i="10"/>
  <c r="AF214" i="10" s="1"/>
  <c r="AE213" i="10"/>
  <c r="AE205" i="10"/>
  <c r="AF205" i="10" s="1"/>
  <c r="AE203" i="10"/>
  <c r="AF203" i="10" s="1"/>
  <c r="AE200" i="10"/>
  <c r="AF200" i="10" s="1"/>
  <c r="AE198" i="10"/>
  <c r="AF198" i="10" s="1"/>
  <c r="AE195" i="10"/>
  <c r="AF195" i="10" s="1"/>
  <c r="AE193" i="10"/>
  <c r="AF193" i="10" s="1"/>
  <c r="AE192" i="10"/>
  <c r="AF192" i="10" s="1"/>
  <c r="AE191" i="10"/>
  <c r="AF191" i="10" s="1"/>
  <c r="AE189" i="10"/>
  <c r="AF189" i="10" s="1"/>
  <c r="AE187" i="10"/>
  <c r="AF187" i="10" s="1"/>
  <c r="AE185" i="10"/>
  <c r="AF185" i="10" s="1"/>
  <c r="AE183" i="10"/>
  <c r="AF183" i="10" s="1"/>
  <c r="AE181" i="10"/>
  <c r="AE178" i="10"/>
  <c r="AF178" i="10" s="1"/>
  <c r="AE176" i="10"/>
  <c r="AE173" i="10"/>
  <c r="AE170" i="10"/>
  <c r="AF170" i="10" s="1"/>
  <c r="AE166" i="10"/>
  <c r="AF166" i="10" s="1"/>
  <c r="AE164" i="10"/>
  <c r="AF164" i="10" s="1"/>
  <c r="AE162" i="10"/>
  <c r="AF162" i="10" s="1"/>
  <c r="AE161" i="10"/>
  <c r="AE158" i="10"/>
  <c r="AF158" i="10" s="1"/>
  <c r="AE156" i="10"/>
  <c r="AF156" i="10" s="1"/>
  <c r="AE155" i="10"/>
  <c r="AF155" i="10" s="1"/>
  <c r="AE147" i="10"/>
  <c r="AF147" i="10" s="1"/>
  <c r="AE145" i="10"/>
  <c r="AF145" i="10" s="1"/>
  <c r="AE140" i="10"/>
  <c r="AF140" i="10" s="1"/>
  <c r="AE139" i="10"/>
  <c r="AF139" i="10" s="1"/>
  <c r="AE138" i="10"/>
  <c r="AF138" i="10" s="1"/>
  <c r="AE137" i="10"/>
  <c r="AF137" i="10" s="1"/>
  <c r="AE135" i="10"/>
  <c r="AF135" i="10" s="1"/>
  <c r="AE134" i="10"/>
  <c r="AF134" i="10" s="1"/>
  <c r="AE132" i="10"/>
  <c r="AE128" i="10"/>
  <c r="AF128" i="10" s="1"/>
  <c r="AE127" i="10"/>
  <c r="AF127" i="10" s="1"/>
  <c r="AE125" i="10"/>
  <c r="AF125" i="10" s="1"/>
  <c r="AE123" i="10"/>
  <c r="AF123" i="10" s="1"/>
  <c r="AE121" i="10"/>
  <c r="AE118" i="10"/>
  <c r="AF118" i="10" s="1"/>
  <c r="AE117" i="10"/>
  <c r="AF117" i="10" s="1"/>
  <c r="AE115" i="10"/>
  <c r="AE112" i="10"/>
  <c r="AF112" i="10" s="1"/>
  <c r="AE110" i="10"/>
  <c r="AF110" i="10" s="1"/>
  <c r="AE109" i="10"/>
  <c r="AF109" i="10" s="1"/>
  <c r="AE107" i="10"/>
  <c r="AF107" i="10" s="1"/>
  <c r="AE105" i="10"/>
  <c r="AF105" i="10" s="1"/>
  <c r="AE103" i="10"/>
  <c r="AF103" i="10" s="1"/>
  <c r="AE101" i="10"/>
  <c r="AF101" i="10" s="1"/>
  <c r="AE99" i="10"/>
  <c r="AF99" i="10" s="1"/>
  <c r="AE97" i="10"/>
  <c r="AE95" i="10"/>
  <c r="AE94" i="10"/>
  <c r="AF94" i="10" s="1"/>
  <c r="AE92" i="10"/>
  <c r="AE88" i="10"/>
  <c r="AE81" i="10"/>
  <c r="AF81" i="10" s="1"/>
  <c r="AE77" i="10"/>
  <c r="AF77" i="10" s="1"/>
  <c r="AE75" i="10"/>
  <c r="AF75" i="10" s="1"/>
  <c r="AE73" i="10"/>
  <c r="AF73" i="10" s="1"/>
  <c r="AE71" i="10"/>
  <c r="AE68" i="10"/>
  <c r="AF68" i="10" s="1"/>
  <c r="AE66" i="10"/>
  <c r="AE62" i="10"/>
  <c r="AE59" i="10"/>
  <c r="AF59" i="10" s="1"/>
  <c r="AE58" i="10"/>
  <c r="AF58" i="10" s="1"/>
  <c r="AE55" i="10"/>
  <c r="AF55" i="10" s="1"/>
  <c r="AE53" i="10"/>
  <c r="AE50" i="10"/>
  <c r="AF50" i="10" s="1"/>
  <c r="AE48" i="10"/>
  <c r="AF48" i="10" s="1"/>
  <c r="AE45" i="10"/>
  <c r="AF45" i="10" s="1"/>
  <c r="AE43" i="10"/>
  <c r="AE40" i="10"/>
  <c r="AF40" i="10" s="1"/>
  <c r="AE39" i="10"/>
  <c r="AF39" i="10" s="1"/>
  <c r="AE38" i="10"/>
  <c r="AF38" i="10" s="1"/>
  <c r="AE37" i="10"/>
  <c r="AF37" i="10" s="1"/>
  <c r="AE36" i="10"/>
  <c r="AF36" i="10" s="1"/>
  <c r="AE35" i="10"/>
  <c r="AE33" i="10"/>
  <c r="AF33" i="10" s="1"/>
  <c r="AE32" i="10"/>
  <c r="AF32" i="10" s="1"/>
  <c r="AE204" i="10"/>
  <c r="AF204" i="10" s="1"/>
  <c r="AE199" i="10"/>
  <c r="AF199" i="10" s="1"/>
  <c r="AE197" i="10"/>
  <c r="AF197" i="10" s="1"/>
  <c r="AE196" i="10"/>
  <c r="AF196" i="10" s="1"/>
  <c r="AE194" i="10"/>
  <c r="AF194" i="10" s="1"/>
  <c r="AE190" i="10"/>
  <c r="AF190" i="10" s="1"/>
  <c r="AE188" i="10"/>
  <c r="AF188" i="10" s="1"/>
  <c r="AE186" i="10"/>
  <c r="AF186" i="10" s="1"/>
  <c r="AE184" i="10"/>
  <c r="AF184" i="10" s="1"/>
  <c r="AE182" i="10"/>
  <c r="AF182" i="10" s="1"/>
  <c r="AE179" i="10"/>
  <c r="AF179" i="10" s="1"/>
  <c r="AE177" i="10"/>
  <c r="AF177" i="10" s="1"/>
  <c r="AE174" i="10"/>
  <c r="AF174" i="10" s="1"/>
  <c r="AE171" i="10"/>
  <c r="AF171" i="10" s="1"/>
  <c r="AE169" i="10"/>
  <c r="AE167" i="10"/>
  <c r="AF167" i="10" s="1"/>
  <c r="AE165" i="10"/>
  <c r="AF165" i="10" s="1"/>
  <c r="AE163" i="10"/>
  <c r="AF163" i="10" s="1"/>
  <c r="AE159" i="10"/>
  <c r="AF159" i="10" s="1"/>
  <c r="AE157" i="10"/>
  <c r="AF157" i="10" s="1"/>
  <c r="AE154" i="10"/>
  <c r="AE152" i="10"/>
  <c r="AE150" i="10"/>
  <c r="AF150" i="10" s="1"/>
  <c r="AE149" i="10"/>
  <c r="AE146" i="10"/>
  <c r="AF146" i="10" s="1"/>
  <c r="AE144" i="10"/>
  <c r="AE142" i="10"/>
  <c r="AE136" i="10"/>
  <c r="AF136" i="10" s="1"/>
  <c r="AE133" i="10"/>
  <c r="AF133" i="10" s="1"/>
  <c r="AE126" i="10"/>
  <c r="AF126" i="10" s="1"/>
  <c r="AE124" i="10"/>
  <c r="AF124" i="10" s="1"/>
  <c r="AE122" i="10"/>
  <c r="AF122" i="10" s="1"/>
  <c r="AE119" i="10"/>
  <c r="AF119" i="10" s="1"/>
  <c r="AE116" i="10"/>
  <c r="AF116" i="10" s="1"/>
  <c r="AE111" i="10"/>
  <c r="AF111" i="10" s="1"/>
  <c r="AE108" i="10"/>
  <c r="AF108" i="10" s="1"/>
  <c r="AE106" i="10"/>
  <c r="AF106" i="10" s="1"/>
  <c r="AE104" i="10"/>
  <c r="AF104" i="10" s="1"/>
  <c r="AE102" i="10"/>
  <c r="AF102" i="10" s="1"/>
  <c r="AE100" i="10"/>
  <c r="AF100" i="10" s="1"/>
  <c r="AE98" i="10"/>
  <c r="AF98" i="10" s="1"/>
  <c r="AE93" i="10"/>
  <c r="AF93" i="10" s="1"/>
  <c r="AE89" i="10"/>
  <c r="AF89" i="10" s="1"/>
  <c r="AE86" i="10"/>
  <c r="AF86" i="10" s="1"/>
  <c r="AE85" i="10"/>
  <c r="AF85" i="10" s="1"/>
  <c r="AE84" i="10"/>
  <c r="AF84" i="10" s="1"/>
  <c r="AE83" i="10"/>
  <c r="AF83" i="10" s="1"/>
  <c r="AE82" i="10"/>
  <c r="AF82" i="10" s="1"/>
  <c r="AE80" i="10"/>
  <c r="AE78" i="10"/>
  <c r="AF78" i="10" s="1"/>
  <c r="AE76" i="10"/>
  <c r="AF76" i="10" s="1"/>
  <c r="AE74" i="10"/>
  <c r="AF74" i="10" s="1"/>
  <c r="AE72" i="10"/>
  <c r="AF72" i="10" s="1"/>
  <c r="AE69" i="10"/>
  <c r="AF69" i="10" s="1"/>
  <c r="AE67" i="10"/>
  <c r="AF67" i="10" s="1"/>
  <c r="AE64" i="10"/>
  <c r="AF64" i="10" s="1"/>
  <c r="AE63" i="10"/>
  <c r="AF63" i="10" s="1"/>
  <c r="AE60" i="10"/>
  <c r="AF60" i="10" s="1"/>
  <c r="AE57" i="10"/>
  <c r="AE54" i="10"/>
  <c r="AF54" i="10" s="1"/>
  <c r="AE51" i="10"/>
  <c r="AF51" i="10" s="1"/>
  <c r="AE49" i="10"/>
  <c r="AF49" i="10" s="1"/>
  <c r="AE47" i="10"/>
  <c r="AE44" i="10"/>
  <c r="AF44" i="10" s="1"/>
  <c r="AE41" i="10"/>
  <c r="AF41" i="10" s="1"/>
  <c r="AE31" i="10"/>
  <c r="H346" i="10"/>
  <c r="H247" i="10"/>
  <c r="J346" i="10"/>
  <c r="J247" i="10"/>
  <c r="L346" i="10"/>
  <c r="L247" i="10"/>
  <c r="N346" i="10"/>
  <c r="N247" i="10"/>
  <c r="P346" i="10"/>
  <c r="P247" i="10"/>
  <c r="R346" i="10"/>
  <c r="R247" i="10"/>
  <c r="T29" i="10"/>
  <c r="V346" i="10"/>
  <c r="V247" i="10"/>
  <c r="X346" i="10"/>
  <c r="X247" i="10"/>
  <c r="Z346" i="10"/>
  <c r="Z247" i="10"/>
  <c r="AB344" i="10"/>
  <c r="AB329" i="10"/>
  <c r="AB341" i="10"/>
  <c r="U34" i="10"/>
  <c r="U46" i="10"/>
  <c r="T52" i="10"/>
  <c r="U56" i="10"/>
  <c r="T70" i="10"/>
  <c r="AJ78" i="10"/>
  <c r="AJ79" i="10" s="1"/>
  <c r="AJ30" i="10" s="1"/>
  <c r="AJ29" i="10" s="1"/>
  <c r="AM78" i="10"/>
  <c r="AN31" i="10" s="1"/>
  <c r="U79" i="10"/>
  <c r="T87" i="10"/>
  <c r="U96" i="10"/>
  <c r="AI96" i="10"/>
  <c r="U113" i="10"/>
  <c r="U129" i="10"/>
  <c r="T130" i="10"/>
  <c r="U141" i="10"/>
  <c r="U143" i="10"/>
  <c r="U148" i="10"/>
  <c r="U151" i="10"/>
  <c r="AJ154" i="10"/>
  <c r="AJ160" i="10" s="1"/>
  <c r="AJ151" i="10" s="1"/>
  <c r="AJ130" i="10" s="1"/>
  <c r="AJ129" i="10" s="1"/>
  <c r="T160" i="10"/>
  <c r="AH160" i="10"/>
  <c r="U168" i="10"/>
  <c r="I345" i="10"/>
  <c r="I330" i="10"/>
  <c r="I327" i="10"/>
  <c r="I342" i="10" s="1"/>
  <c r="K345" i="10"/>
  <c r="K330" i="10"/>
  <c r="K327" i="10"/>
  <c r="K342" i="10" s="1"/>
  <c r="M345" i="10"/>
  <c r="M330" i="10"/>
  <c r="M327" i="10"/>
  <c r="M342" i="10" s="1"/>
  <c r="O345" i="10"/>
  <c r="O330" i="10"/>
  <c r="O327" i="10"/>
  <c r="O342" i="10" s="1"/>
  <c r="Q345" i="10"/>
  <c r="Q330" i="10"/>
  <c r="Q327" i="10"/>
  <c r="Q342" i="10" s="1"/>
  <c r="W345" i="10"/>
  <c r="W330" i="10"/>
  <c r="W327" i="10"/>
  <c r="W342" i="10" s="1"/>
  <c r="Y345" i="10"/>
  <c r="Y330" i="10"/>
  <c r="Y327" i="10"/>
  <c r="Y342" i="10" s="1"/>
  <c r="AA345" i="10"/>
  <c r="AA330" i="10"/>
  <c r="AA327" i="10"/>
  <c r="AA342" i="10" s="1"/>
  <c r="AC345" i="10"/>
  <c r="AC330" i="10"/>
  <c r="AC327" i="10"/>
  <c r="AC342" i="10" s="1"/>
  <c r="AG345" i="10"/>
  <c r="AG330" i="10"/>
  <c r="AG327" i="10"/>
  <c r="AG342" i="10" s="1"/>
  <c r="T263" i="10"/>
  <c r="U263" i="10"/>
  <c r="I346" i="10"/>
  <c r="I247" i="10"/>
  <c r="K346" i="10"/>
  <c r="K247" i="10"/>
  <c r="M346" i="10"/>
  <c r="M247" i="10"/>
  <c r="O346" i="10"/>
  <c r="O247" i="10"/>
  <c r="Q346" i="10"/>
  <c r="Q247" i="10"/>
  <c r="S346" i="10"/>
  <c r="S247" i="10"/>
  <c r="U29" i="10"/>
  <c r="W346" i="10"/>
  <c r="W247" i="10"/>
  <c r="Y346" i="10"/>
  <c r="Y247" i="10"/>
  <c r="AA341" i="10"/>
  <c r="AA340" i="10" s="1"/>
  <c r="AA344" i="10"/>
  <c r="AA343" i="10" s="1"/>
  <c r="AA329" i="10"/>
  <c r="AA328" i="10" s="1"/>
  <c r="AC346" i="10"/>
  <c r="AC247" i="10"/>
  <c r="AG346" i="10"/>
  <c r="AJ346" i="10" s="1"/>
  <c r="AG247" i="10"/>
  <c r="AI78" i="10"/>
  <c r="AK78" i="10"/>
  <c r="AK79" i="10" s="1"/>
  <c r="AK30" i="10" s="1"/>
  <c r="AK29" i="10" s="1"/>
  <c r="AK247" i="10" s="1"/>
  <c r="AI154" i="10"/>
  <c r="AH345" i="10"/>
  <c r="AJ345" i="10" s="1"/>
  <c r="AH330" i="10"/>
  <c r="AJ330" i="10" s="1"/>
  <c r="AH327" i="10"/>
  <c r="AH342" i="10" s="1"/>
  <c r="AJ342" i="10" s="1"/>
  <c r="H345" i="10"/>
  <c r="H330" i="10"/>
  <c r="H327" i="10"/>
  <c r="H342" i="10" s="1"/>
  <c r="J345" i="10"/>
  <c r="J330" i="10"/>
  <c r="J327" i="10"/>
  <c r="J342" i="10" s="1"/>
  <c r="L345" i="10"/>
  <c r="L330" i="10"/>
  <c r="L327" i="10"/>
  <c r="L342" i="10" s="1"/>
  <c r="N345" i="10"/>
  <c r="N330" i="10"/>
  <c r="N327" i="10"/>
  <c r="N342" i="10" s="1"/>
  <c r="P345" i="10"/>
  <c r="P330" i="10"/>
  <c r="P327" i="10"/>
  <c r="P342" i="10" s="1"/>
  <c r="R345" i="10"/>
  <c r="R330" i="10"/>
  <c r="R327" i="10"/>
  <c r="R342" i="10" s="1"/>
  <c r="V345" i="10"/>
  <c r="V330" i="10"/>
  <c r="V327" i="10"/>
  <c r="V342" i="10" s="1"/>
  <c r="X345" i="10"/>
  <c r="X330" i="10"/>
  <c r="X327" i="10"/>
  <c r="X342" i="10" s="1"/>
  <c r="Z345" i="10"/>
  <c r="Z330" i="10"/>
  <c r="Z327" i="10"/>
  <c r="Z342" i="10" s="1"/>
  <c r="AB345" i="10"/>
  <c r="AB330" i="10"/>
  <c r="AB327" i="10"/>
  <c r="AB342" i="10" s="1"/>
  <c r="U215" i="10"/>
  <c r="T235" i="10"/>
  <c r="AM241" i="10"/>
  <c r="AM247" i="10" s="1"/>
  <c r="U243" i="10"/>
  <c r="AN244" i="10"/>
  <c r="AJ248" i="10"/>
  <c r="AJ324" i="10" s="1"/>
  <c r="AJ327" i="10" s="1"/>
  <c r="AF353" i="10"/>
  <c r="T250" i="10"/>
  <c r="AF378" i="10"/>
  <c r="AF352" i="10"/>
  <c r="AD378" i="10"/>
  <c r="AD364" i="10"/>
  <c r="AD352" i="10"/>
  <c r="T268" i="10"/>
  <c r="AF276" i="10"/>
  <c r="AF381" i="10" s="1"/>
  <c r="V380" i="10"/>
  <c r="V350" i="10"/>
  <c r="AD380" i="10"/>
  <c r="AD350" i="10"/>
  <c r="AD351" i="10" s="1"/>
  <c r="AD353" i="10" s="1"/>
  <c r="AI278" i="10"/>
  <c r="U281" i="10"/>
  <c r="T286" i="10"/>
  <c r="S324" i="10"/>
  <c r="S353" i="10"/>
  <c r="U351" i="10"/>
  <c r="U353" i="10" s="1"/>
  <c r="T351" i="10"/>
  <c r="T353" i="10" s="1"/>
  <c r="K352" i="10"/>
  <c r="K365" i="10" s="1"/>
  <c r="M352" i="10"/>
  <c r="M365" i="10" s="1"/>
  <c r="AI248" i="10"/>
  <c r="AK248" i="10"/>
  <c r="AK324" i="10" s="1"/>
  <c r="AK378" i="10"/>
  <c r="AK352" i="10"/>
  <c r="AK353" i="10" s="1"/>
  <c r="AI268" i="10"/>
  <c r="AC380" i="10"/>
  <c r="AC350" i="10"/>
  <c r="AC351" i="10" s="1"/>
  <c r="AC353" i="10" s="1"/>
  <c r="V351" i="10"/>
  <c r="V353" i="10" s="1"/>
  <c r="L352" i="10"/>
  <c r="L365" i="10" s="1"/>
  <c r="AH351" i="10"/>
  <c r="T365" i="10"/>
  <c r="U365" i="10"/>
  <c r="AD365" i="10" l="1"/>
  <c r="AD113" i="10"/>
  <c r="AD324" i="10"/>
  <c r="AD327" i="10" s="1"/>
  <c r="AD342" i="10" s="1"/>
  <c r="AD30" i="10"/>
  <c r="AD29" i="10" s="1"/>
  <c r="AJ247" i="10"/>
  <c r="AD151" i="10"/>
  <c r="AD130" i="10" s="1"/>
  <c r="AD129" i="10" s="1"/>
  <c r="AK344" i="10"/>
  <c r="AK329" i="10"/>
  <c r="AK341" i="10"/>
  <c r="S345" i="10"/>
  <c r="S330" i="10"/>
  <c r="S327" i="10"/>
  <c r="T324" i="10"/>
  <c r="U324" i="10"/>
  <c r="AG341" i="10"/>
  <c r="AG340" i="10" s="1"/>
  <c r="AG344" i="10"/>
  <c r="AG343" i="10" s="1"/>
  <c r="AG329" i="10"/>
  <c r="AG328" i="10" s="1"/>
  <c r="AG336" i="10" s="1"/>
  <c r="AC341" i="10"/>
  <c r="AC340" i="10" s="1"/>
  <c r="AC344" i="10"/>
  <c r="AC343" i="10" s="1"/>
  <c r="AC329" i="10"/>
  <c r="AC328" i="10" s="1"/>
  <c r="AA376" i="10"/>
  <c r="AA377" i="10" s="1"/>
  <c r="AA387" i="10" s="1"/>
  <c r="AA336" i="10"/>
  <c r="S341" i="10"/>
  <c r="S344" i="10"/>
  <c r="S329" i="10"/>
  <c r="U247" i="10"/>
  <c r="T247" i="10"/>
  <c r="Q341" i="10"/>
  <c r="Q340" i="10" s="1"/>
  <c r="Q344" i="10"/>
  <c r="Q343" i="10" s="1"/>
  <c r="Q329" i="10"/>
  <c r="Q328" i="10" s="1"/>
  <c r="O341" i="10"/>
  <c r="O340" i="10" s="1"/>
  <c r="O344" i="10"/>
  <c r="O343" i="10" s="1"/>
  <c r="O329" i="10"/>
  <c r="O328" i="10" s="1"/>
  <c r="M341" i="10"/>
  <c r="M340" i="10" s="1"/>
  <c r="M344" i="10"/>
  <c r="M343" i="10" s="1"/>
  <c r="M329" i="10"/>
  <c r="M328" i="10" s="1"/>
  <c r="K341" i="10"/>
  <c r="K340" i="10" s="1"/>
  <c r="K344" i="10"/>
  <c r="K343" i="10" s="1"/>
  <c r="K329" i="10"/>
  <c r="K328" i="10" s="1"/>
  <c r="I341" i="10"/>
  <c r="I340" i="10" s="1"/>
  <c r="I344" i="10"/>
  <c r="I343" i="10" s="1"/>
  <c r="I329" i="10"/>
  <c r="I328" i="10" s="1"/>
  <c r="AI160" i="10"/>
  <c r="AH151" i="10"/>
  <c r="AB328" i="10"/>
  <c r="Z344" i="10"/>
  <c r="Z343" i="10" s="1"/>
  <c r="Z329" i="10"/>
  <c r="Z328" i="10" s="1"/>
  <c r="Z341" i="10"/>
  <c r="Z340" i="10" s="1"/>
  <c r="X344" i="10"/>
  <c r="X343" i="10" s="1"/>
  <c r="X329" i="10"/>
  <c r="X328" i="10" s="1"/>
  <c r="X341" i="10"/>
  <c r="X340" i="10" s="1"/>
  <c r="V344" i="10"/>
  <c r="V343" i="10" s="1"/>
  <c r="V329" i="10"/>
  <c r="V328" i="10" s="1"/>
  <c r="V341" i="10"/>
  <c r="V340" i="10" s="1"/>
  <c r="AE52" i="10"/>
  <c r="AF47" i="10"/>
  <c r="AF52" i="10" s="1"/>
  <c r="AE61" i="10"/>
  <c r="AF57" i="10"/>
  <c r="AF61" i="10" s="1"/>
  <c r="AE87" i="10"/>
  <c r="AF80" i="10"/>
  <c r="AF87" i="10" s="1"/>
  <c r="AF142" i="10"/>
  <c r="AF141" i="10" s="1"/>
  <c r="AE141" i="10"/>
  <c r="AE160" i="10"/>
  <c r="AF154" i="10"/>
  <c r="AF160" i="10" s="1"/>
  <c r="AE172" i="10"/>
  <c r="AF169" i="10"/>
  <c r="AF172" i="10" s="1"/>
  <c r="AE70" i="10"/>
  <c r="AF66" i="10"/>
  <c r="AF70" i="10" s="1"/>
  <c r="AE79" i="10"/>
  <c r="AF71" i="10"/>
  <c r="AF79" i="10" s="1"/>
  <c r="AE91" i="10"/>
  <c r="AF92" i="10"/>
  <c r="AF91" i="10" s="1"/>
  <c r="AF95" i="10"/>
  <c r="AE114" i="10"/>
  <c r="AF115" i="10"/>
  <c r="AF114" i="10" s="1"/>
  <c r="AE131" i="10"/>
  <c r="AF132" i="10"/>
  <c r="AF131" i="10" s="1"/>
  <c r="AE168" i="10"/>
  <c r="AF161" i="10"/>
  <c r="AF168" i="10" s="1"/>
  <c r="AE180" i="10"/>
  <c r="AF176" i="10"/>
  <c r="AF180" i="10" s="1"/>
  <c r="AE206" i="10"/>
  <c r="AF181" i="10"/>
  <c r="AF206" i="10" s="1"/>
  <c r="AF242" i="10"/>
  <c r="AF241" i="10" s="1"/>
  <c r="AE241" i="10"/>
  <c r="AF282" i="10"/>
  <c r="AF281" i="10" s="1"/>
  <c r="AE281" i="10"/>
  <c r="AF287" i="10"/>
  <c r="AF286" i="10" s="1"/>
  <c r="AE286" i="10"/>
  <c r="AI30" i="10"/>
  <c r="AH29" i="10"/>
  <c r="AH353" i="10"/>
  <c r="AJ353" i="10" s="1"/>
  <c r="AJ351" i="10"/>
  <c r="AK327" i="10"/>
  <c r="AK342" i="10" s="1"/>
  <c r="AK345" i="10"/>
  <c r="AK330" i="10"/>
  <c r="Y341" i="10"/>
  <c r="Y340" i="10" s="1"/>
  <c r="Y344" i="10"/>
  <c r="Y343" i="10" s="1"/>
  <c r="Y329" i="10"/>
  <c r="Y328" i="10" s="1"/>
  <c r="W341" i="10"/>
  <c r="W340" i="10" s="1"/>
  <c r="W344" i="10"/>
  <c r="W343" i="10" s="1"/>
  <c r="W329" i="10"/>
  <c r="W328" i="10" s="1"/>
  <c r="AB340" i="10"/>
  <c r="AB343" i="10"/>
  <c r="R344" i="10"/>
  <c r="R343" i="10" s="1"/>
  <c r="R329" i="10"/>
  <c r="R328" i="10" s="1"/>
  <c r="R341" i="10"/>
  <c r="R340" i="10" s="1"/>
  <c r="P344" i="10"/>
  <c r="P343" i="10" s="1"/>
  <c r="P329" i="10"/>
  <c r="P328" i="10" s="1"/>
  <c r="P341" i="10"/>
  <c r="P340" i="10" s="1"/>
  <c r="N344" i="10"/>
  <c r="N343" i="10" s="1"/>
  <c r="N329" i="10"/>
  <c r="N328" i="10" s="1"/>
  <c r="N341" i="10"/>
  <c r="N340" i="10" s="1"/>
  <c r="L344" i="10"/>
  <c r="L343" i="10" s="1"/>
  <c r="L329" i="10"/>
  <c r="L328" i="10" s="1"/>
  <c r="L341" i="10"/>
  <c r="L340" i="10" s="1"/>
  <c r="J344" i="10"/>
  <c r="J343" i="10" s="1"/>
  <c r="J329" i="10"/>
  <c r="J328" i="10" s="1"/>
  <c r="J341" i="10"/>
  <c r="J340" i="10" s="1"/>
  <c r="H344" i="10"/>
  <c r="H343" i="10" s="1"/>
  <c r="H329" i="10"/>
  <c r="H328" i="10" s="1"/>
  <c r="H341" i="10"/>
  <c r="H340" i="10" s="1"/>
  <c r="AF31" i="10"/>
  <c r="AF34" i="10" s="1"/>
  <c r="AE34" i="10"/>
  <c r="AF144" i="10"/>
  <c r="AF143" i="10" s="1"/>
  <c r="AE143" i="10"/>
  <c r="AF149" i="10"/>
  <c r="AF148" i="10" s="1"/>
  <c r="AE148" i="10"/>
  <c r="AE153" i="10"/>
  <c r="AF152" i="10"/>
  <c r="AF153" i="10" s="1"/>
  <c r="AE42" i="10"/>
  <c r="AF35" i="10"/>
  <c r="AF42" i="10" s="1"/>
  <c r="AE46" i="10"/>
  <c r="AF43" i="10"/>
  <c r="AF46" i="10" s="1"/>
  <c r="AE56" i="10"/>
  <c r="AF53" i="10"/>
  <c r="AF56" i="10" s="1"/>
  <c r="AE65" i="10"/>
  <c r="AF62" i="10"/>
  <c r="AF65" i="10" s="1"/>
  <c r="AE90" i="10"/>
  <c r="AF88" i="10"/>
  <c r="AF90" i="10" s="1"/>
  <c r="AF97" i="10"/>
  <c r="AF96" i="10" s="1"/>
  <c r="AF384" i="10" s="1"/>
  <c r="AF385" i="10" s="1"/>
  <c r="AE96" i="10"/>
  <c r="AE384" i="10" s="1"/>
  <c r="AE385" i="10" s="1"/>
  <c r="AE269" i="10" s="1"/>
  <c r="AE268" i="10" s="1"/>
  <c r="AE382" i="10" s="1"/>
  <c r="AE120" i="10"/>
  <c r="AF121" i="10"/>
  <c r="AF120" i="10" s="1"/>
  <c r="AE175" i="10"/>
  <c r="AF173" i="10"/>
  <c r="AF175" i="10" s="1"/>
  <c r="AF213" i="10"/>
  <c r="AF212" i="10" s="1"/>
  <c r="AE212" i="10"/>
  <c r="AF216" i="10"/>
  <c r="AF215" i="10" s="1"/>
  <c r="AE215" i="10"/>
  <c r="AF244" i="10"/>
  <c r="AE243" i="10"/>
  <c r="AF243" i="10" s="1"/>
  <c r="AE379" i="10"/>
  <c r="AF255" i="10"/>
  <c r="AE250" i="10"/>
  <c r="AF268" i="10"/>
  <c r="AF382" i="10" s="1"/>
  <c r="AF279" i="10"/>
  <c r="AF278" i="10" s="1"/>
  <c r="AE278" i="10"/>
  <c r="AE207" i="10"/>
  <c r="AF208" i="10"/>
  <c r="AF207" i="10" s="1"/>
  <c r="AE221" i="10"/>
  <c r="AF222" i="10"/>
  <c r="AF221" i="10" s="1"/>
  <c r="AE229" i="10"/>
  <c r="AF230" i="10"/>
  <c r="AF229" i="10" s="1"/>
  <c r="AE235" i="10"/>
  <c r="AF236" i="10"/>
  <c r="AF235" i="10" s="1"/>
  <c r="AD345" i="10" l="1"/>
  <c r="AD330" i="10"/>
  <c r="AD346" i="10"/>
  <c r="AD247" i="10"/>
  <c r="AE151" i="10"/>
  <c r="AF30" i="10"/>
  <c r="AF29" i="10" s="1"/>
  <c r="P376" i="10"/>
  <c r="P377" i="10" s="1"/>
  <c r="P387" i="10" s="1"/>
  <c r="P366" i="10"/>
  <c r="Y376" i="10"/>
  <c r="Y377" i="10" s="1"/>
  <c r="Y387" i="10" s="1"/>
  <c r="Y336" i="10"/>
  <c r="AI29" i="10"/>
  <c r="AF113" i="10"/>
  <c r="X376" i="10"/>
  <c r="X377" i="10" s="1"/>
  <c r="X387" i="10" s="1"/>
  <c r="X336" i="10"/>
  <c r="AI151" i="10"/>
  <c r="AH130" i="10"/>
  <c r="Q376" i="10"/>
  <c r="Q377" i="10" s="1"/>
  <c r="Q387" i="10" s="1"/>
  <c r="Q368" i="10"/>
  <c r="Q366" i="10"/>
  <c r="T344" i="10"/>
  <c r="S343" i="10"/>
  <c r="U344" i="10"/>
  <c r="AC376" i="10"/>
  <c r="AC377" i="10" s="1"/>
  <c r="AC387" i="10" s="1"/>
  <c r="AC336" i="10"/>
  <c r="S342" i="10"/>
  <c r="U327" i="10"/>
  <c r="T327" i="10"/>
  <c r="U345" i="10"/>
  <c r="T345" i="10"/>
  <c r="AK328" i="10"/>
  <c r="AF379" i="10"/>
  <c r="AF250" i="10"/>
  <c r="AF151" i="10"/>
  <c r="AF130" i="10" s="1"/>
  <c r="AF129" i="10" s="1"/>
  <c r="AE30" i="10"/>
  <c r="AE29" i="10" s="1"/>
  <c r="N366" i="10"/>
  <c r="R376" i="10"/>
  <c r="R377" i="10" s="1"/>
  <c r="R387" i="10" s="1"/>
  <c r="R366" i="10"/>
  <c r="W376" i="10"/>
  <c r="W377" i="10" s="1"/>
  <c r="W387" i="10" s="1"/>
  <c r="W336" i="10"/>
  <c r="AE130" i="10"/>
  <c r="AE129" i="10" s="1"/>
  <c r="AE113" i="10"/>
  <c r="AE248" i="10"/>
  <c r="V376" i="10"/>
  <c r="V377" i="10" s="1"/>
  <c r="V387" i="10" s="1"/>
  <c r="V336" i="10"/>
  <c r="Z376" i="10"/>
  <c r="Z377" i="10" s="1"/>
  <c r="Z387" i="10" s="1"/>
  <c r="Z336" i="10"/>
  <c r="AB376" i="10"/>
  <c r="AB377" i="10" s="1"/>
  <c r="AB387" i="10" s="1"/>
  <c r="AB336" i="10"/>
  <c r="O376" i="10"/>
  <c r="O377" i="10" s="1"/>
  <c r="O387" i="10" s="1"/>
  <c r="O366" i="10"/>
  <c r="T329" i="10"/>
  <c r="S328" i="10"/>
  <c r="U329" i="10"/>
  <c r="U341" i="10"/>
  <c r="T341" i="10"/>
  <c r="S340" i="10"/>
  <c r="U330" i="10"/>
  <c r="T330" i="10"/>
  <c r="AK340" i="10"/>
  <c r="AK343" i="10"/>
  <c r="AD344" i="10" l="1"/>
  <c r="AD343" i="10" s="1"/>
  <c r="AD341" i="10"/>
  <c r="AD340" i="10" s="1"/>
  <c r="AD329" i="10"/>
  <c r="AD328" i="10" s="1"/>
  <c r="T340" i="10"/>
  <c r="U340" i="10"/>
  <c r="S376" i="10"/>
  <c r="S377" i="10" s="1"/>
  <c r="S387" i="10" s="1"/>
  <c r="S366" i="10"/>
  <c r="U328" i="10"/>
  <c r="T328" i="10"/>
  <c r="T366" i="10" s="1"/>
  <c r="AF248" i="10"/>
  <c r="AF324" i="10" s="1"/>
  <c r="AE324" i="10"/>
  <c r="AE346" i="10"/>
  <c r="AE247" i="10"/>
  <c r="AK376" i="10"/>
  <c r="AK377" i="10" s="1"/>
  <c r="AK387" i="10" s="1"/>
  <c r="AK336" i="10"/>
  <c r="AI130" i="10"/>
  <c r="AH129" i="10"/>
  <c r="AF346" i="10"/>
  <c r="AF247" i="10"/>
  <c r="T342" i="10"/>
  <c r="U342" i="10"/>
  <c r="U343" i="10"/>
  <c r="T343" i="10"/>
  <c r="AD336" i="10" l="1"/>
  <c r="AD376" i="10"/>
  <c r="AD377" i="10" s="1"/>
  <c r="AD387" i="10" s="1"/>
  <c r="AF344" i="10"/>
  <c r="AF329" i="10"/>
  <c r="AF341" i="10"/>
  <c r="AN129" i="10"/>
  <c r="AI129" i="10"/>
  <c r="AH247" i="10"/>
  <c r="AE341" i="10"/>
  <c r="AE344" i="10"/>
  <c r="AE329" i="10"/>
  <c r="AE345" i="10"/>
  <c r="AE330" i="10"/>
  <c r="AE327" i="10"/>
  <c r="AE342" i="10" s="1"/>
  <c r="AF345" i="10"/>
  <c r="AF330" i="10"/>
  <c r="AF327" i="10"/>
  <c r="AF342" i="10" s="1"/>
  <c r="AE343" i="10" l="1"/>
  <c r="AH344" i="10"/>
  <c r="AH329" i="10"/>
  <c r="AH341" i="10"/>
  <c r="AI247" i="10"/>
  <c r="AM248" i="10"/>
  <c r="AF328" i="10"/>
  <c r="AE328" i="10"/>
  <c r="AE340" i="10"/>
  <c r="AF340" i="10"/>
  <c r="AF343" i="10"/>
  <c r="AE376" i="10" l="1"/>
  <c r="AE377" i="10" s="1"/>
  <c r="AE387" i="10" s="1"/>
  <c r="AE336" i="10"/>
  <c r="AJ341" i="10"/>
  <c r="AJ340" i="10" s="1"/>
  <c r="AH340" i="10"/>
  <c r="AJ344" i="10"/>
  <c r="AJ343" i="10" s="1"/>
  <c r="AH343" i="10"/>
  <c r="AF376" i="10"/>
  <c r="AF377" i="10" s="1"/>
  <c r="AF387" i="10" s="1"/>
  <c r="AF336" i="10"/>
  <c r="AJ329" i="10"/>
  <c r="AJ328" i="10" s="1"/>
  <c r="AJ336" i="10" s="1"/>
  <c r="AH328" i="10"/>
  <c r="AH376" i="10" l="1"/>
  <c r="AH377" i="10" s="1"/>
  <c r="AH387" i="10" s="1"/>
  <c r="AH336" i="10"/>
  <c r="S518" i="9" l="1"/>
  <c r="T517" i="9"/>
  <c r="V516" i="9"/>
  <c r="S516" i="9"/>
  <c r="V515" i="9"/>
  <c r="S515" i="9"/>
  <c r="V514" i="9"/>
  <c r="S514" i="9"/>
  <c r="V513" i="9"/>
  <c r="S513" i="9"/>
  <c r="V511" i="9"/>
  <c r="S511" i="9"/>
  <c r="V510" i="9"/>
  <c r="S510" i="9"/>
  <c r="V509" i="9"/>
  <c r="S509" i="9"/>
  <c r="V508" i="9"/>
  <c r="S508" i="9"/>
  <c r="V503" i="9"/>
  <c r="S503" i="9"/>
  <c r="V502" i="9"/>
  <c r="V501" i="9"/>
  <c r="S501" i="9"/>
  <c r="V500" i="9"/>
  <c r="S500" i="9"/>
  <c r="V499" i="9"/>
  <c r="S499" i="9"/>
  <c r="V498" i="9"/>
  <c r="S498" i="9"/>
  <c r="V497" i="9"/>
  <c r="S497" i="9"/>
  <c r="V496" i="9"/>
  <c r="S496" i="9"/>
  <c r="V495" i="9"/>
  <c r="S495" i="9"/>
  <c r="S502" i="9" s="1"/>
  <c r="V494" i="9"/>
  <c r="S494" i="9"/>
  <c r="S492" i="9"/>
  <c r="S491" i="9"/>
  <c r="S490" i="9"/>
  <c r="S489" i="9"/>
  <c r="S488" i="9"/>
  <c r="DB482" i="9"/>
  <c r="CW482" i="9"/>
  <c r="DB479" i="9"/>
  <c r="DB487" i="9" s="1"/>
  <c r="CW479" i="9"/>
  <c r="CW487" i="9" s="1"/>
  <c r="S477" i="9"/>
  <c r="T476" i="9"/>
  <c r="CO475" i="9"/>
  <c r="CO516" i="9" s="1"/>
  <c r="CN475" i="9"/>
  <c r="CN516" i="9" s="1"/>
  <c r="CM475" i="9"/>
  <c r="CM516" i="9" s="1"/>
  <c r="CL475" i="9"/>
  <c r="CL516" i="9" s="1"/>
  <c r="CK475" i="9"/>
  <c r="CK516" i="9" s="1"/>
  <c r="T475" i="9"/>
  <c r="T516" i="9" s="1"/>
  <c r="S475" i="9"/>
  <c r="CO474" i="9"/>
  <c r="CO515" i="9" s="1"/>
  <c r="CN474" i="9"/>
  <c r="CN515" i="9" s="1"/>
  <c r="CM474" i="9"/>
  <c r="CM515" i="9" s="1"/>
  <c r="CL474" i="9"/>
  <c r="CL515" i="9" s="1"/>
  <c r="CK474" i="9"/>
  <c r="CK515" i="9" s="1"/>
  <c r="T474" i="9"/>
  <c r="T515" i="9" s="1"/>
  <c r="S474" i="9"/>
  <c r="CO473" i="9"/>
  <c r="CO514" i="9" s="1"/>
  <c r="CN473" i="9"/>
  <c r="CN514" i="9" s="1"/>
  <c r="CM473" i="9"/>
  <c r="CM514" i="9" s="1"/>
  <c r="CL473" i="9"/>
  <c r="CL514" i="9" s="1"/>
  <c r="CK473" i="9"/>
  <c r="CK514" i="9" s="1"/>
  <c r="BQ473" i="9"/>
  <c r="BQ514" i="9" s="1"/>
  <c r="BL473" i="9"/>
  <c r="BL514" i="9" s="1"/>
  <c r="BB473" i="9"/>
  <c r="BB514" i="9" s="1"/>
  <c r="AS473" i="9"/>
  <c r="AS514" i="9" s="1"/>
  <c r="AQ473" i="9"/>
  <c r="AQ514" i="9" s="1"/>
  <c r="U473" i="9"/>
  <c r="U514" i="9" s="1"/>
  <c r="T473" i="9"/>
  <c r="T514" i="9" s="1"/>
  <c r="S473" i="9"/>
  <c r="CO472" i="9"/>
  <c r="CO513" i="9" s="1"/>
  <c r="CN472" i="9"/>
  <c r="CN513" i="9" s="1"/>
  <c r="CM472" i="9"/>
  <c r="CM513" i="9" s="1"/>
  <c r="CL472" i="9"/>
  <c r="CL513" i="9" s="1"/>
  <c r="CK472" i="9"/>
  <c r="CK513" i="9" s="1"/>
  <c r="BQ472" i="9"/>
  <c r="BQ513" i="9" s="1"/>
  <c r="BL472" i="9"/>
  <c r="BL513" i="9" s="1"/>
  <c r="BB472" i="9"/>
  <c r="BB513" i="9" s="1"/>
  <c r="AS472" i="9"/>
  <c r="AS513" i="9" s="1"/>
  <c r="AQ472" i="9"/>
  <c r="AQ513" i="9" s="1"/>
  <c r="U472" i="9"/>
  <c r="U513" i="9" s="1"/>
  <c r="T472" i="9"/>
  <c r="T513" i="9" s="1"/>
  <c r="S472" i="9"/>
  <c r="CO470" i="9"/>
  <c r="CO511" i="9" s="1"/>
  <c r="CN470" i="9"/>
  <c r="CN511" i="9" s="1"/>
  <c r="CM470" i="9"/>
  <c r="CM511" i="9" s="1"/>
  <c r="CL470" i="9"/>
  <c r="CL511" i="9" s="1"/>
  <c r="CK470" i="9"/>
  <c r="CK511" i="9" s="1"/>
  <c r="S470" i="9"/>
  <c r="CO469" i="9"/>
  <c r="CO510" i="9" s="1"/>
  <c r="CN469" i="9"/>
  <c r="CN510" i="9" s="1"/>
  <c r="CM469" i="9"/>
  <c r="CM510" i="9" s="1"/>
  <c r="CL469" i="9"/>
  <c r="CL510" i="9" s="1"/>
  <c r="CK469" i="9"/>
  <c r="CK510" i="9" s="1"/>
  <c r="S469" i="9"/>
  <c r="CR468" i="9"/>
  <c r="CR509" i="9" s="1"/>
  <c r="CO468" i="9"/>
  <c r="CO509" i="9" s="1"/>
  <c r="CN468" i="9"/>
  <c r="CN509" i="9" s="1"/>
  <c r="CM468" i="9"/>
  <c r="CM509" i="9" s="1"/>
  <c r="CL468" i="9"/>
  <c r="CL509" i="9" s="1"/>
  <c r="CK468" i="9"/>
  <c r="CK509" i="9" s="1"/>
  <c r="T468" i="9"/>
  <c r="T509" i="9" s="1"/>
  <c r="S468" i="9"/>
  <c r="CQ467" i="9"/>
  <c r="CQ508" i="9" s="1"/>
  <c r="CP467" i="9"/>
  <c r="CP508" i="9" s="1"/>
  <c r="CO467" i="9"/>
  <c r="CO508" i="9" s="1"/>
  <c r="CN467" i="9"/>
  <c r="CN508" i="9" s="1"/>
  <c r="CM467" i="9"/>
  <c r="CM508" i="9" s="1"/>
  <c r="CL467" i="9"/>
  <c r="CL508" i="9" s="1"/>
  <c r="CK467" i="9"/>
  <c r="CK508" i="9" s="1"/>
  <c r="BQ467" i="9"/>
  <c r="BQ508" i="9" s="1"/>
  <c r="BL467" i="9"/>
  <c r="BL508" i="9" s="1"/>
  <c r="BB467" i="9"/>
  <c r="BB508" i="9" s="1"/>
  <c r="AS467" i="9"/>
  <c r="AS508" i="9" s="1"/>
  <c r="AQ467" i="9"/>
  <c r="AQ508" i="9" s="1"/>
  <c r="T467" i="9"/>
  <c r="T508" i="9" s="1"/>
  <c r="S467" i="9"/>
  <c r="CO462" i="9"/>
  <c r="CO503" i="9" s="1"/>
  <c r="CN462" i="9"/>
  <c r="CN503" i="9" s="1"/>
  <c r="CM462" i="9"/>
  <c r="CM503" i="9" s="1"/>
  <c r="CL462" i="9"/>
  <c r="CL503" i="9" s="1"/>
  <c r="CK462" i="9"/>
  <c r="CK503" i="9" s="1"/>
  <c r="S462" i="9"/>
  <c r="CO461" i="9"/>
  <c r="CO502" i="9" s="1"/>
  <c r="CN461" i="9"/>
  <c r="CN502" i="9" s="1"/>
  <c r="CM461" i="9"/>
  <c r="CM502" i="9" s="1"/>
  <c r="CL461" i="9"/>
  <c r="CL502" i="9" s="1"/>
  <c r="CK461" i="9"/>
  <c r="CK502" i="9" s="1"/>
  <c r="CO460" i="9"/>
  <c r="CO501" i="9" s="1"/>
  <c r="CN460" i="9"/>
  <c r="CN501" i="9" s="1"/>
  <c r="CM460" i="9"/>
  <c r="CM501" i="9" s="1"/>
  <c r="CL460" i="9"/>
  <c r="CL501" i="9" s="1"/>
  <c r="CK460" i="9"/>
  <c r="CK501" i="9" s="1"/>
  <c r="S460" i="9"/>
  <c r="CO459" i="9"/>
  <c r="CO500" i="9" s="1"/>
  <c r="CN459" i="9"/>
  <c r="CN500" i="9" s="1"/>
  <c r="CM459" i="9"/>
  <c r="CM500" i="9" s="1"/>
  <c r="CL459" i="9"/>
  <c r="CL500" i="9" s="1"/>
  <c r="CK459" i="9"/>
  <c r="CK500" i="9" s="1"/>
  <c r="S459" i="9"/>
  <c r="CO458" i="9"/>
  <c r="CO499" i="9" s="1"/>
  <c r="CN458" i="9"/>
  <c r="CN499" i="9" s="1"/>
  <c r="CM458" i="9"/>
  <c r="CM499" i="9" s="1"/>
  <c r="CL458" i="9"/>
  <c r="CL499" i="9" s="1"/>
  <c r="CK458" i="9"/>
  <c r="CK499" i="9" s="1"/>
  <c r="S458" i="9"/>
  <c r="CO457" i="9"/>
  <c r="CO498" i="9" s="1"/>
  <c r="CN457" i="9"/>
  <c r="CN498" i="9" s="1"/>
  <c r="CM457" i="9"/>
  <c r="CM498" i="9" s="1"/>
  <c r="CL457" i="9"/>
  <c r="CL498" i="9" s="1"/>
  <c r="CK457" i="9"/>
  <c r="CK498" i="9" s="1"/>
  <c r="T457" i="9"/>
  <c r="T498" i="9" s="1"/>
  <c r="S457" i="9"/>
  <c r="CO456" i="9"/>
  <c r="CO497" i="9" s="1"/>
  <c r="CN456" i="9"/>
  <c r="CN497" i="9" s="1"/>
  <c r="CM456" i="9"/>
  <c r="CM497" i="9" s="1"/>
  <c r="CL456" i="9"/>
  <c r="CL497" i="9" s="1"/>
  <c r="CK456" i="9"/>
  <c r="CK497" i="9" s="1"/>
  <c r="S456" i="9"/>
  <c r="CO455" i="9"/>
  <c r="CO496" i="9" s="1"/>
  <c r="CN455" i="9"/>
  <c r="CN496" i="9" s="1"/>
  <c r="CM455" i="9"/>
  <c r="CM496" i="9" s="1"/>
  <c r="CL455" i="9"/>
  <c r="CL496" i="9" s="1"/>
  <c r="CK455" i="9"/>
  <c r="CK496" i="9" s="1"/>
  <c r="S455" i="9"/>
  <c r="CO454" i="9"/>
  <c r="CO495" i="9" s="1"/>
  <c r="CO494" i="9" s="1"/>
  <c r="CO518" i="9" s="1"/>
  <c r="CN454" i="9"/>
  <c r="CN495" i="9" s="1"/>
  <c r="CN494" i="9" s="1"/>
  <c r="CN518" i="9" s="1"/>
  <c r="CM454" i="9"/>
  <c r="CM495" i="9" s="1"/>
  <c r="CM494" i="9" s="1"/>
  <c r="CM518" i="9" s="1"/>
  <c r="CL454" i="9"/>
  <c r="CL495" i="9" s="1"/>
  <c r="CL494" i="9" s="1"/>
  <c r="CL518" i="9" s="1"/>
  <c r="CK454" i="9"/>
  <c r="CK495" i="9" s="1"/>
  <c r="CK494" i="9" s="1"/>
  <c r="CK518" i="9" s="1"/>
  <c r="CO453" i="9"/>
  <c r="CO477" i="9" s="1"/>
  <c r="CN453" i="9"/>
  <c r="CN477" i="9" s="1"/>
  <c r="CM453" i="9"/>
  <c r="CM477" i="9" s="1"/>
  <c r="CL453" i="9"/>
  <c r="CL477" i="9" s="1"/>
  <c r="CK453" i="9"/>
  <c r="CK477" i="9" s="1"/>
  <c r="S453" i="9"/>
  <c r="S463" i="9" s="1"/>
  <c r="S466" i="9" s="1"/>
  <c r="CO451" i="9"/>
  <c r="CO492" i="9" s="1"/>
  <c r="CN451" i="9"/>
  <c r="CN492" i="9" s="1"/>
  <c r="CM451" i="9"/>
  <c r="CM492" i="9" s="1"/>
  <c r="CL451" i="9"/>
  <c r="CL492" i="9" s="1"/>
  <c r="CK451" i="9"/>
  <c r="CK492" i="9" s="1"/>
  <c r="S451" i="9"/>
  <c r="CR450" i="9"/>
  <c r="CR491" i="9" s="1"/>
  <c r="CP450" i="9"/>
  <c r="CP491" i="9" s="1"/>
  <c r="CO450" i="9"/>
  <c r="CO491" i="9" s="1"/>
  <c r="CN450" i="9"/>
  <c r="CN491" i="9" s="1"/>
  <c r="CM450" i="9"/>
  <c r="CM491" i="9" s="1"/>
  <c r="CL450" i="9"/>
  <c r="CL491" i="9" s="1"/>
  <c r="CK450" i="9"/>
  <c r="CK491" i="9" s="1"/>
  <c r="BQ450" i="9"/>
  <c r="BQ491" i="9" s="1"/>
  <c r="BL450" i="9"/>
  <c r="BL491" i="9" s="1"/>
  <c r="BB450" i="9"/>
  <c r="BB491" i="9" s="1"/>
  <c r="AS450" i="9"/>
  <c r="AS491" i="9" s="1"/>
  <c r="AQ450" i="9"/>
  <c r="AQ491" i="9" s="1"/>
  <c r="T450" i="9"/>
  <c r="T491" i="9" s="1"/>
  <c r="S450" i="9"/>
  <c r="CR449" i="9"/>
  <c r="CR490" i="9" s="1"/>
  <c r="CQ449" i="9"/>
  <c r="CQ490" i="9" s="1"/>
  <c r="CO449" i="9"/>
  <c r="CO490" i="9" s="1"/>
  <c r="CN449" i="9"/>
  <c r="CN490" i="9" s="1"/>
  <c r="CM449" i="9"/>
  <c r="CM490" i="9" s="1"/>
  <c r="CL449" i="9"/>
  <c r="CL490" i="9" s="1"/>
  <c r="CK449" i="9"/>
  <c r="CK490" i="9" s="1"/>
  <c r="S449" i="9"/>
  <c r="S448" i="9"/>
  <c r="S447" i="9"/>
  <c r="CO436" i="9"/>
  <c r="CN436" i="9"/>
  <c r="CM436" i="9"/>
  <c r="CL436" i="9"/>
  <c r="CK436" i="9"/>
  <c r="BQ436" i="9"/>
  <c r="BL436" i="9"/>
  <c r="AS436" i="9"/>
  <c r="AQ436" i="9"/>
  <c r="T436" i="9"/>
  <c r="CO435" i="9"/>
  <c r="CO437" i="9" s="1"/>
  <c r="CN435" i="9"/>
  <c r="CN437" i="9" s="1"/>
  <c r="CM435" i="9"/>
  <c r="CM437" i="9" s="1"/>
  <c r="CL435" i="9"/>
  <c r="CL437" i="9" s="1"/>
  <c r="CK435" i="9"/>
  <c r="CK437" i="9" s="1"/>
  <c r="BQ435" i="9"/>
  <c r="BQ437" i="9" s="1"/>
  <c r="BL435" i="9"/>
  <c r="BL437" i="9" s="1"/>
  <c r="BB435" i="9"/>
  <c r="AS435" i="9"/>
  <c r="AS437" i="9" s="1"/>
  <c r="T435" i="9"/>
  <c r="T437" i="9" s="1"/>
  <c r="BQ433" i="9"/>
  <c r="BL433" i="9"/>
  <c r="BB433" i="9"/>
  <c r="AS433" i="9"/>
  <c r="AQ433" i="9"/>
  <c r="CL427" i="9"/>
  <c r="CK427" i="9"/>
  <c r="T427" i="9"/>
  <c r="S427" i="9"/>
  <c r="P427" i="9"/>
  <c r="N427" i="9"/>
  <c r="L427" i="9"/>
  <c r="K427" i="9"/>
  <c r="J427" i="9"/>
  <c r="H427" i="9"/>
  <c r="G427" i="9"/>
  <c r="CL426" i="9"/>
  <c r="CK426" i="9"/>
  <c r="T426" i="9"/>
  <c r="S426" i="9"/>
  <c r="N426" i="9"/>
  <c r="L426" i="9"/>
  <c r="K426" i="9"/>
  <c r="J426" i="9"/>
  <c r="G426" i="9"/>
  <c r="CL425" i="9"/>
  <c r="CK425" i="9"/>
  <c r="T425" i="9"/>
  <c r="N425" i="9"/>
  <c r="L425" i="9"/>
  <c r="K425" i="9"/>
  <c r="J425" i="9"/>
  <c r="G425" i="9"/>
  <c r="CL421" i="9"/>
  <c r="AT421" i="9"/>
  <c r="AR421" i="9"/>
  <c r="S421" i="9"/>
  <c r="N421" i="9"/>
  <c r="L421" i="9"/>
  <c r="H421" i="9"/>
  <c r="CL417" i="9"/>
  <c r="CK417" i="9"/>
  <c r="BQ417" i="9"/>
  <c r="BL417" i="9"/>
  <c r="BB417" i="9"/>
  <c r="AT417" i="9"/>
  <c r="AS417" i="9"/>
  <c r="AR417" i="9"/>
  <c r="AQ417" i="9"/>
  <c r="T417" i="9"/>
  <c r="S417" i="9"/>
  <c r="N417" i="9"/>
  <c r="L417" i="9"/>
  <c r="K417" i="9"/>
  <c r="J417" i="9"/>
  <c r="G417" i="9"/>
  <c r="CL414" i="9"/>
  <c r="CK414" i="9"/>
  <c r="CK421" i="9" s="1"/>
  <c r="BQ414" i="9"/>
  <c r="BQ421" i="9" s="1"/>
  <c r="BL414" i="9"/>
  <c r="BL421" i="9" s="1"/>
  <c r="BB414" i="9"/>
  <c r="BB421" i="9" s="1"/>
  <c r="AT414" i="9"/>
  <c r="AS414" i="9"/>
  <c r="AS421" i="9" s="1"/>
  <c r="AR414" i="9"/>
  <c r="AQ414" i="9"/>
  <c r="AQ421" i="9" s="1"/>
  <c r="T414" i="9"/>
  <c r="T421" i="9" s="1"/>
  <c r="S414" i="9"/>
  <c r="N414" i="9"/>
  <c r="L414" i="9"/>
  <c r="K414" i="9"/>
  <c r="K421" i="9" s="1"/>
  <c r="J414" i="9"/>
  <c r="J421" i="9" s="1"/>
  <c r="G414" i="9"/>
  <c r="G421" i="9" s="1"/>
  <c r="CL407" i="9"/>
  <c r="CK407" i="9"/>
  <c r="AT407" i="9"/>
  <c r="AR407" i="9"/>
  <c r="T407" i="9"/>
  <c r="N407" i="9"/>
  <c r="L407" i="9"/>
  <c r="K407" i="9"/>
  <c r="J407" i="9"/>
  <c r="H406" i="9"/>
  <c r="G406" i="9"/>
  <c r="CL405" i="9"/>
  <c r="CK405" i="9"/>
  <c r="BQ405" i="9"/>
  <c r="BL405" i="9"/>
  <c r="BB405" i="9"/>
  <c r="AT405" i="9"/>
  <c r="AS405" i="9"/>
  <c r="AR405" i="9"/>
  <c r="AQ405" i="9"/>
  <c r="T405" i="9"/>
  <c r="S405" i="9"/>
  <c r="N405" i="9"/>
  <c r="L405" i="9"/>
  <c r="K405" i="9"/>
  <c r="J405" i="9"/>
  <c r="G405" i="9"/>
  <c r="CL404" i="9"/>
  <c r="CK404" i="9"/>
  <c r="AT404" i="9"/>
  <c r="AR404" i="9"/>
  <c r="T404" i="9"/>
  <c r="S404" i="9"/>
  <c r="N404" i="9"/>
  <c r="L404" i="9"/>
  <c r="K404" i="9"/>
  <c r="J404" i="9"/>
  <c r="H404" i="9"/>
  <c r="G404" i="9"/>
  <c r="CL403" i="9"/>
  <c r="CK403" i="9"/>
  <c r="BQ403" i="9"/>
  <c r="BL403" i="9"/>
  <c r="BB403" i="9"/>
  <c r="AT403" i="9"/>
  <c r="AS403" i="9"/>
  <c r="AR403" i="9"/>
  <c r="AQ403" i="9"/>
  <c r="T403" i="9"/>
  <c r="S403" i="9"/>
  <c r="P403" i="9"/>
  <c r="N403" i="9"/>
  <c r="L403" i="9"/>
  <c r="K403" i="9"/>
  <c r="J403" i="9"/>
  <c r="H403" i="9"/>
  <c r="G403" i="9"/>
  <c r="CL402" i="9"/>
  <c r="CK402" i="9"/>
  <c r="AT402" i="9"/>
  <c r="AR402" i="9"/>
  <c r="T402" i="9"/>
  <c r="S402" i="9"/>
  <c r="N402" i="9"/>
  <c r="L402" i="9"/>
  <c r="K402" i="9"/>
  <c r="J402" i="9"/>
  <c r="G402" i="9"/>
  <c r="CL401" i="9"/>
  <c r="CK401" i="9"/>
  <c r="AT401" i="9"/>
  <c r="AR401" i="9"/>
  <c r="T401" i="9"/>
  <c r="N401" i="9"/>
  <c r="L401" i="9"/>
  <c r="K401" i="9"/>
  <c r="J401" i="9"/>
  <c r="H401" i="9"/>
  <c r="G401" i="9"/>
  <c r="CL400" i="9"/>
  <c r="CK400" i="9"/>
  <c r="AT400" i="9"/>
  <c r="AR400" i="9"/>
  <c r="T400" i="9"/>
  <c r="N400" i="9"/>
  <c r="L400" i="9"/>
  <c r="K400" i="9"/>
  <c r="J400" i="9"/>
  <c r="H400" i="9"/>
  <c r="H407" i="9" s="1"/>
  <c r="G400" i="9"/>
  <c r="CL399" i="9"/>
  <c r="CL413" i="9" s="1"/>
  <c r="CK399" i="9"/>
  <c r="CK413" i="9" s="1"/>
  <c r="BB399" i="9"/>
  <c r="AT399" i="9"/>
  <c r="AT413" i="9" s="1"/>
  <c r="AS399" i="9"/>
  <c r="AR399" i="9"/>
  <c r="AR413" i="9" s="1"/>
  <c r="AQ399" i="9"/>
  <c r="T399" i="9"/>
  <c r="T413" i="9" s="1"/>
  <c r="S399" i="9"/>
  <c r="N399" i="9"/>
  <c r="N413" i="9" s="1"/>
  <c r="L399" i="9"/>
  <c r="L413" i="9" s="1"/>
  <c r="K399" i="9"/>
  <c r="K413" i="9" s="1"/>
  <c r="J399" i="9"/>
  <c r="J413" i="9" s="1"/>
  <c r="G399" i="9"/>
  <c r="G407" i="9" s="1"/>
  <c r="K392" i="9"/>
  <c r="J392" i="9"/>
  <c r="L391" i="9"/>
  <c r="K391" i="9"/>
  <c r="J391" i="9"/>
  <c r="L390" i="9"/>
  <c r="K390" i="9"/>
  <c r="J390" i="9"/>
  <c r="L389" i="9"/>
  <c r="K389" i="9"/>
  <c r="J389" i="9"/>
  <c r="L388" i="9"/>
  <c r="K388" i="9"/>
  <c r="J388" i="9"/>
  <c r="L387" i="9"/>
  <c r="K387" i="9"/>
  <c r="J387" i="9"/>
  <c r="L386" i="9"/>
  <c r="K386" i="9"/>
  <c r="J386" i="9"/>
  <c r="L385" i="9"/>
  <c r="K385" i="9"/>
  <c r="J385" i="9"/>
  <c r="L384" i="9"/>
  <c r="K384" i="9"/>
  <c r="J384" i="9"/>
  <c r="L383" i="9"/>
  <c r="K383" i="9"/>
  <c r="J383" i="9"/>
  <c r="L382" i="9"/>
  <c r="L392" i="9" s="1"/>
  <c r="K382" i="9"/>
  <c r="J382" i="9"/>
  <c r="S379" i="9"/>
  <c r="Q379" i="9"/>
  <c r="P379" i="9"/>
  <c r="N379" i="9"/>
  <c r="M379" i="9"/>
  <c r="L379" i="9"/>
  <c r="K379" i="9"/>
  <c r="J379" i="9"/>
  <c r="I379" i="9"/>
  <c r="H379" i="9"/>
  <c r="G379" i="9"/>
  <c r="F379" i="9"/>
  <c r="E379" i="9"/>
  <c r="D379" i="9"/>
  <c r="C379" i="9"/>
  <c r="S377" i="9"/>
  <c r="P377" i="9"/>
  <c r="N377" i="9"/>
  <c r="L377" i="9"/>
  <c r="K377" i="9"/>
  <c r="J377" i="9"/>
  <c r="H377" i="9"/>
  <c r="G377" i="9"/>
  <c r="F377" i="9"/>
  <c r="E377" i="9"/>
  <c r="D377" i="9"/>
  <c r="C377" i="9"/>
  <c r="N376" i="9"/>
  <c r="L376" i="9"/>
  <c r="K376" i="9"/>
  <c r="J376" i="9"/>
  <c r="H376" i="9"/>
  <c r="G376" i="9"/>
  <c r="S375" i="9"/>
  <c r="N375" i="9"/>
  <c r="L375" i="9"/>
  <c r="K375" i="9"/>
  <c r="J375" i="9"/>
  <c r="H375" i="9"/>
  <c r="G375" i="9"/>
  <c r="F375" i="9"/>
  <c r="E375" i="9"/>
  <c r="D375" i="9"/>
  <c r="C375" i="9"/>
  <c r="S374" i="9"/>
  <c r="P374" i="9"/>
  <c r="N374" i="9"/>
  <c r="L374" i="9"/>
  <c r="K374" i="9"/>
  <c r="J374" i="9"/>
  <c r="H374" i="9"/>
  <c r="G374" i="9"/>
  <c r="F374" i="9"/>
  <c r="S373" i="9"/>
  <c r="N373" i="9"/>
  <c r="L373" i="9"/>
  <c r="K373" i="9"/>
  <c r="J373" i="9"/>
  <c r="H373" i="9"/>
  <c r="G373" i="9"/>
  <c r="S372" i="9"/>
  <c r="P372" i="9"/>
  <c r="N372" i="9"/>
  <c r="L372" i="9"/>
  <c r="K372" i="9"/>
  <c r="J372" i="9"/>
  <c r="H372" i="9"/>
  <c r="G372" i="9"/>
  <c r="F372" i="9"/>
  <c r="E372" i="9"/>
  <c r="D372" i="9"/>
  <c r="C372" i="9"/>
  <c r="S371" i="9"/>
  <c r="P371" i="9"/>
  <c r="N371" i="9"/>
  <c r="L371" i="9"/>
  <c r="K371" i="9"/>
  <c r="J371" i="9"/>
  <c r="H371" i="9"/>
  <c r="G371" i="9"/>
  <c r="F371" i="9"/>
  <c r="E371" i="9"/>
  <c r="D371" i="9"/>
  <c r="C371" i="9"/>
  <c r="S370" i="9"/>
  <c r="P370" i="9"/>
  <c r="N370" i="9"/>
  <c r="L370" i="9"/>
  <c r="K370" i="9"/>
  <c r="J370" i="9"/>
  <c r="H370" i="9"/>
  <c r="G370" i="9"/>
  <c r="F370" i="9"/>
  <c r="S369" i="9"/>
  <c r="P369" i="9"/>
  <c r="N369" i="9"/>
  <c r="L369" i="9"/>
  <c r="K369" i="9"/>
  <c r="J369" i="9"/>
  <c r="H369" i="9"/>
  <c r="G369" i="9"/>
  <c r="F369" i="9"/>
  <c r="E369" i="9"/>
  <c r="D369" i="9"/>
  <c r="C369" i="9"/>
  <c r="P368" i="9"/>
  <c r="N368" i="9"/>
  <c r="L368" i="9"/>
  <c r="K368" i="9"/>
  <c r="J368" i="9"/>
  <c r="H368" i="9"/>
  <c r="G368" i="9"/>
  <c r="F368" i="9"/>
  <c r="E368" i="9"/>
  <c r="D368" i="9"/>
  <c r="C368" i="9"/>
  <c r="C353" i="9"/>
  <c r="G352" i="9"/>
  <c r="CL329" i="9"/>
  <c r="CK329" i="9"/>
  <c r="CL328" i="9"/>
  <c r="CK328" i="9"/>
  <c r="CL327" i="9"/>
  <c r="CK327" i="9"/>
  <c r="Z327" i="9"/>
  <c r="Z326" i="9"/>
  <c r="DI324" i="9"/>
  <c r="DH324" i="9"/>
  <c r="DG324" i="9"/>
  <c r="DF324" i="9"/>
  <c r="BP324" i="9"/>
  <c r="BO324" i="9"/>
  <c r="BK324" i="9"/>
  <c r="BG324" i="9"/>
  <c r="BJ324" i="9" s="1"/>
  <c r="BF324" i="9"/>
  <c r="BE324" i="9"/>
  <c r="AZ324" i="9"/>
  <c r="AU324" i="9"/>
  <c r="AE324" i="9"/>
  <c r="AB324" i="9"/>
  <c r="AA324" i="9"/>
  <c r="X324" i="9"/>
  <c r="V324" i="9"/>
  <c r="Q324" i="9"/>
  <c r="BW323" i="9"/>
  <c r="BV323" i="9"/>
  <c r="DI322" i="9"/>
  <c r="DH322" i="9"/>
  <c r="DG322" i="9"/>
  <c r="DF322" i="9"/>
  <c r="CC322" i="9"/>
  <c r="BP322" i="9"/>
  <c r="BO322" i="9"/>
  <c r="BK322" i="9"/>
  <c r="BJ322" i="9"/>
  <c r="BG322" i="9"/>
  <c r="BF322" i="9"/>
  <c r="BE322" i="9"/>
  <c r="AZ322" i="9"/>
  <c r="AU322" i="9"/>
  <c r="AW322" i="9" s="1"/>
  <c r="AE322" i="9"/>
  <c r="AB322" i="9"/>
  <c r="AA322" i="9"/>
  <c r="X322" i="9"/>
  <c r="V322" i="9"/>
  <c r="Q322" i="9"/>
  <c r="DI320" i="9"/>
  <c r="DH320" i="9"/>
  <c r="DG320" i="9"/>
  <c r="DF320" i="9"/>
  <c r="CC320" i="9"/>
  <c r="BP320" i="9"/>
  <c r="BO320" i="9"/>
  <c r="BK320" i="9"/>
  <c r="BJ320" i="9"/>
  <c r="BG320" i="9"/>
  <c r="BF320" i="9"/>
  <c r="BE320" i="9"/>
  <c r="AZ320" i="9"/>
  <c r="AU320" i="9"/>
  <c r="AE320" i="9"/>
  <c r="AB320" i="9"/>
  <c r="AA320" i="9"/>
  <c r="X320" i="9"/>
  <c r="W320" i="9"/>
  <c r="V320" i="9"/>
  <c r="Q320" i="9"/>
  <c r="DI318" i="9"/>
  <c r="DH318" i="9"/>
  <c r="DG318" i="9"/>
  <c r="DF318" i="9"/>
  <c r="CC318" i="9"/>
  <c r="BN318" i="9"/>
  <c r="BO318" i="9" s="1"/>
  <c r="BG318" i="9"/>
  <c r="BJ318" i="9" s="1"/>
  <c r="AV318" i="9"/>
  <c r="AU318" i="9"/>
  <c r="AW318" i="9" s="1"/>
  <c r="AN318" i="9"/>
  <c r="BH318" i="9" s="1"/>
  <c r="BK318" i="9" s="1"/>
  <c r="AM318" i="9"/>
  <c r="Z318" i="9"/>
  <c r="AE318" i="9" s="1"/>
  <c r="X318" i="9"/>
  <c r="V318" i="9"/>
  <c r="O318" i="9"/>
  <c r="I318" i="9"/>
  <c r="Q318" i="9" s="1"/>
  <c r="DI317" i="9"/>
  <c r="DH317" i="9"/>
  <c r="DG317" i="9"/>
  <c r="DF317" i="9"/>
  <c r="DB317" i="9"/>
  <c r="CC317" i="9"/>
  <c r="BN317" i="9"/>
  <c r="AN317" i="9"/>
  <c r="O317" i="9"/>
  <c r="M317" i="9"/>
  <c r="I317" i="9"/>
  <c r="Q317" i="9" s="1"/>
  <c r="DI316" i="9"/>
  <c r="DH316" i="9"/>
  <c r="DG316" i="9"/>
  <c r="DF316" i="9"/>
  <c r="CC316" i="9"/>
  <c r="BS316" i="9"/>
  <c r="BR316" i="9"/>
  <c r="BO316" i="9"/>
  <c r="BN316" i="9"/>
  <c r="BP316" i="9" s="1"/>
  <c r="BM316" i="9"/>
  <c r="BC316" i="9"/>
  <c r="AV316" i="9" s="1"/>
  <c r="AU316" i="9"/>
  <c r="AN316" i="9"/>
  <c r="BH316" i="9" s="1"/>
  <c r="BK316" i="9" s="1"/>
  <c r="AM316" i="9"/>
  <c r="BG316" i="9" s="1"/>
  <c r="BJ316" i="9" s="1"/>
  <c r="X316" i="9"/>
  <c r="V316" i="9"/>
  <c r="Q316" i="9"/>
  <c r="O316" i="9"/>
  <c r="M316" i="9"/>
  <c r="I316" i="9"/>
  <c r="DI315" i="9"/>
  <c r="DH315" i="9"/>
  <c r="DG315" i="9"/>
  <c r="DF315" i="9"/>
  <c r="CC315" i="9"/>
  <c r="BS315" i="9"/>
  <c r="BR315" i="9"/>
  <c r="BM315" i="9"/>
  <c r="BI315" i="9"/>
  <c r="BJ315" i="9" s="1"/>
  <c r="BG315" i="9"/>
  <c r="BC315" i="9"/>
  <c r="AV315" i="9" s="1"/>
  <c r="AU315" i="9"/>
  <c r="AN315" i="9"/>
  <c r="BH315" i="9" s="1"/>
  <c r="AM315" i="9"/>
  <c r="U315" i="9"/>
  <c r="O315" i="9"/>
  <c r="M315" i="9"/>
  <c r="I315" i="9"/>
  <c r="Q315" i="9" s="1"/>
  <c r="DI314" i="9"/>
  <c r="DH314" i="9"/>
  <c r="DG314" i="9"/>
  <c r="DF314" i="9"/>
  <c r="DB314" i="9"/>
  <c r="CC314" i="9"/>
  <c r="BS314" i="9"/>
  <c r="BR314" i="9"/>
  <c r="BN314" i="9"/>
  <c r="BO314" i="9" s="1"/>
  <c r="BM314" i="9"/>
  <c r="BD314" i="9"/>
  <c r="BE314" i="9" s="1"/>
  <c r="BC314" i="9"/>
  <c r="AV314" i="9" s="1"/>
  <c r="Z314" i="9" s="1"/>
  <c r="AU314" i="9"/>
  <c r="AN314" i="9"/>
  <c r="AM314" i="9"/>
  <c r="Y314" i="9"/>
  <c r="V314" i="9"/>
  <c r="U314" i="9"/>
  <c r="R314" i="9"/>
  <c r="O314" i="9"/>
  <c r="M314" i="9"/>
  <c r="I314" i="9"/>
  <c r="Q314" i="9" s="1"/>
  <c r="DI313" i="9"/>
  <c r="DH313" i="9"/>
  <c r="DG313" i="9"/>
  <c r="DF313" i="9"/>
  <c r="CC313" i="9"/>
  <c r="BS313" i="9"/>
  <c r="BR313" i="9"/>
  <c r="BO313" i="9"/>
  <c r="BN313" i="9"/>
  <c r="BM313" i="9"/>
  <c r="BC313" i="9"/>
  <c r="AU313" i="9"/>
  <c r="AN313" i="9"/>
  <c r="AM313" i="9"/>
  <c r="BG313" i="9" s="1"/>
  <c r="BJ313" i="9" s="1"/>
  <c r="Y313" i="9"/>
  <c r="X313" i="9"/>
  <c r="V313" i="9"/>
  <c r="Q313" i="9"/>
  <c r="O313" i="9"/>
  <c r="M313" i="9"/>
  <c r="I313" i="9"/>
  <c r="R313" i="9" s="1"/>
  <c r="DI312" i="9"/>
  <c r="DH312" i="9"/>
  <c r="DG312" i="9"/>
  <c r="DF312" i="9"/>
  <c r="CC312" i="9"/>
  <c r="BS312" i="9"/>
  <c r="BR312" i="9"/>
  <c r="BN312" i="9"/>
  <c r="BO312" i="9" s="1"/>
  <c r="BM312" i="9"/>
  <c r="BC312" i="9"/>
  <c r="AV312" i="9"/>
  <c r="AU312" i="9"/>
  <c r="AN312" i="9"/>
  <c r="AM312" i="9"/>
  <c r="BG312" i="9" s="1"/>
  <c r="BJ312" i="9" s="1"/>
  <c r="Z312" i="9"/>
  <c r="AC312" i="9" s="1"/>
  <c r="Y312" i="9"/>
  <c r="X312" i="9"/>
  <c r="V312" i="9"/>
  <c r="O312" i="9"/>
  <c r="M312" i="9"/>
  <c r="I312" i="9"/>
  <c r="Q312" i="9" s="1"/>
  <c r="DI311" i="9"/>
  <c r="DH311" i="9"/>
  <c r="DG311" i="9"/>
  <c r="DF311" i="9"/>
  <c r="DB311" i="9"/>
  <c r="CC311" i="9"/>
  <c r="BI311" i="9"/>
  <c r="AN311" i="9"/>
  <c r="S311" i="9"/>
  <c r="S368" i="9" s="1"/>
  <c r="Q311" i="9"/>
  <c r="O311" i="9"/>
  <c r="M311" i="9"/>
  <c r="I311" i="9"/>
  <c r="R311" i="9" s="1"/>
  <c r="DG310" i="9"/>
  <c r="DB310" i="9"/>
  <c r="CB310" i="9"/>
  <c r="DI310" i="9" s="1"/>
  <c r="CA310" i="9"/>
  <c r="DH310" i="9" s="1"/>
  <c r="BZ310" i="9"/>
  <c r="BY310" i="9"/>
  <c r="DF310" i="9" s="1"/>
  <c r="BW310" i="9"/>
  <c r="BV310" i="9"/>
  <c r="BU310" i="9"/>
  <c r="BI310" i="9"/>
  <c r="AT310" i="9"/>
  <c r="AR310" i="9"/>
  <c r="AN310" i="9"/>
  <c r="AL310" i="9"/>
  <c r="CC310" i="9" s="1"/>
  <c r="T310" i="9"/>
  <c r="S310" i="9"/>
  <c r="P310" i="9"/>
  <c r="R310" i="9" s="1"/>
  <c r="O310" i="9"/>
  <c r="N310" i="9"/>
  <c r="M310" i="9"/>
  <c r="L310" i="9"/>
  <c r="K310" i="9"/>
  <c r="J310" i="9"/>
  <c r="I310" i="9"/>
  <c r="Q310" i="9" s="1"/>
  <c r="H310" i="9"/>
  <c r="G310" i="9"/>
  <c r="F310" i="9"/>
  <c r="E310" i="9"/>
  <c r="D310" i="9"/>
  <c r="C310" i="9"/>
  <c r="DH309" i="9"/>
  <c r="DF309" i="9"/>
  <c r="DB309" i="9"/>
  <c r="DB319" i="9" s="1"/>
  <c r="CB309" i="9"/>
  <c r="CB319" i="9" s="1"/>
  <c r="CA309" i="9"/>
  <c r="CA319" i="9" s="1"/>
  <c r="BZ309" i="9"/>
  <c r="BZ319" i="9" s="1"/>
  <c r="BY309" i="9"/>
  <c r="BY319" i="9" s="1"/>
  <c r="BW309" i="9"/>
  <c r="BW319" i="9" s="1"/>
  <c r="BV309" i="9"/>
  <c r="BV319" i="9" s="1"/>
  <c r="BU309" i="9"/>
  <c r="BU319" i="9" s="1"/>
  <c r="BI309" i="9"/>
  <c r="BI319" i="9" s="1"/>
  <c r="AT309" i="9"/>
  <c r="AT319" i="9" s="1"/>
  <c r="AR309" i="9"/>
  <c r="AR319" i="9" s="1"/>
  <c r="AN309" i="9"/>
  <c r="AL309" i="9"/>
  <c r="AL319" i="9" s="1"/>
  <c r="T309" i="9"/>
  <c r="T319" i="9" s="1"/>
  <c r="S309" i="9"/>
  <c r="S319" i="9" s="1"/>
  <c r="P309" i="9"/>
  <c r="P319" i="9" s="1"/>
  <c r="O309" i="9"/>
  <c r="O319" i="9" s="1"/>
  <c r="N309" i="9"/>
  <c r="N319" i="9" s="1"/>
  <c r="M309" i="9"/>
  <c r="M319" i="9" s="1"/>
  <c r="L309" i="9"/>
  <c r="L319" i="9" s="1"/>
  <c r="K309" i="9"/>
  <c r="K319" i="9" s="1"/>
  <c r="J309" i="9"/>
  <c r="J319" i="9" s="1"/>
  <c r="I309" i="9"/>
  <c r="I319" i="9" s="1"/>
  <c r="H309" i="9"/>
  <c r="H319" i="9" s="1"/>
  <c r="G309" i="9"/>
  <c r="G319" i="9" s="1"/>
  <c r="F309" i="9"/>
  <c r="F319" i="9" s="1"/>
  <c r="E309" i="9"/>
  <c r="E319" i="9" s="1"/>
  <c r="D309" i="9"/>
  <c r="D319" i="9" s="1"/>
  <c r="C309" i="9"/>
  <c r="C319" i="9" s="1"/>
  <c r="DI308" i="9"/>
  <c r="DH308" i="9"/>
  <c r="DG308" i="9"/>
  <c r="DF308" i="9"/>
  <c r="CC308" i="9"/>
  <c r="BP308" i="9"/>
  <c r="BO308" i="9"/>
  <c r="BK308" i="9"/>
  <c r="BG308" i="9"/>
  <c r="BJ308" i="9" s="1"/>
  <c r="BF308" i="9"/>
  <c r="BE308" i="9"/>
  <c r="V308" i="9"/>
  <c r="DB307" i="9"/>
  <c r="DI306" i="9"/>
  <c r="BY306" i="9"/>
  <c r="DF306" i="9" s="1"/>
  <c r="BS306" i="9"/>
  <c r="BR306" i="9"/>
  <c r="BM306" i="9"/>
  <c r="BC306" i="9"/>
  <c r="AV306" i="9"/>
  <c r="Z306" i="9" s="1"/>
  <c r="AE306" i="9" s="1"/>
  <c r="AU306" i="9"/>
  <c r="AN306" i="9"/>
  <c r="BH306" i="9" s="1"/>
  <c r="BK306" i="9" s="1"/>
  <c r="AM306" i="9"/>
  <c r="BG306" i="9" s="1"/>
  <c r="BJ306" i="9" s="1"/>
  <c r="AL306" i="9"/>
  <c r="CC306" i="9" s="1"/>
  <c r="V306" i="9"/>
  <c r="U306" i="9"/>
  <c r="Q306" i="9"/>
  <c r="O306" i="9"/>
  <c r="M306" i="9"/>
  <c r="I306" i="9"/>
  <c r="DI305" i="9"/>
  <c r="DH305" i="9"/>
  <c r="DG305" i="9"/>
  <c r="CP305" i="9"/>
  <c r="BY305" i="9"/>
  <c r="DF305" i="9" s="1"/>
  <c r="BS305" i="9"/>
  <c r="BS304" i="9" s="1"/>
  <c r="BS303" i="9" s="1"/>
  <c r="BS307" i="9" s="1"/>
  <c r="BR305" i="9"/>
  <c r="BM305" i="9"/>
  <c r="BC305" i="9"/>
  <c r="AU305" i="9"/>
  <c r="AN305" i="9"/>
  <c r="AM305" i="9"/>
  <c r="BG305" i="9" s="1"/>
  <c r="BJ305" i="9" s="1"/>
  <c r="AL305" i="9"/>
  <c r="CC305" i="9" s="1"/>
  <c r="Y305" i="9"/>
  <c r="V305" i="9"/>
  <c r="U305" i="9"/>
  <c r="X305" i="9" s="1"/>
  <c r="O305" i="9"/>
  <c r="M305" i="9"/>
  <c r="I305" i="9"/>
  <c r="Q305" i="9" s="1"/>
  <c r="DB304" i="9"/>
  <c r="CB304" i="9"/>
  <c r="DI304" i="9" s="1"/>
  <c r="BW304" i="9"/>
  <c r="BV304" i="9"/>
  <c r="BU304" i="9"/>
  <c r="BR304" i="9"/>
  <c r="BQ304" i="9"/>
  <c r="BM304" i="9"/>
  <c r="BL304" i="9"/>
  <c r="CP304" i="9" s="1"/>
  <c r="CQ304" i="9" s="1"/>
  <c r="CR304" i="9" s="1"/>
  <c r="BI304" i="9"/>
  <c r="BC304" i="9"/>
  <c r="BB304" i="9"/>
  <c r="AU304" i="9" s="1"/>
  <c r="AV304" i="9"/>
  <c r="AT304" i="9"/>
  <c r="AS304" i="9"/>
  <c r="AR304" i="9"/>
  <c r="AN304" i="9" s="1"/>
  <c r="AQ304" i="9"/>
  <c r="AM304" i="9"/>
  <c r="BG304" i="9" s="1"/>
  <c r="BJ304" i="9" s="1"/>
  <c r="AL304" i="9"/>
  <c r="CC304" i="9" s="1"/>
  <c r="U304" i="9"/>
  <c r="X304" i="9" s="1"/>
  <c r="T304" i="9"/>
  <c r="V304" i="9" s="1"/>
  <c r="S304" i="9"/>
  <c r="P304" i="9"/>
  <c r="Q304" i="9" s="1"/>
  <c r="O304" i="9"/>
  <c r="N304" i="9"/>
  <c r="M304" i="9"/>
  <c r="L304" i="9"/>
  <c r="K304" i="9"/>
  <c r="J304" i="9"/>
  <c r="I304" i="9"/>
  <c r="H304" i="9"/>
  <c r="G304" i="9"/>
  <c r="F304" i="9"/>
  <c r="E304" i="9"/>
  <c r="D304" i="9"/>
  <c r="C304" i="9"/>
  <c r="DI303" i="9"/>
  <c r="DB303" i="9"/>
  <c r="CB303" i="9"/>
  <c r="CB307" i="9" s="1"/>
  <c r="DI307" i="9" s="1"/>
  <c r="BW303" i="9"/>
  <c r="BW307" i="9" s="1"/>
  <c r="BV303" i="9"/>
  <c r="BV307" i="9" s="1"/>
  <c r="BU303" i="9"/>
  <c r="BU307" i="9" s="1"/>
  <c r="BR303" i="9"/>
  <c r="BR307" i="9" s="1"/>
  <c r="BQ303" i="9"/>
  <c r="BQ307" i="9" s="1"/>
  <c r="BM303" i="9"/>
  <c r="BM307" i="9" s="1"/>
  <c r="BL303" i="9"/>
  <c r="CP303" i="9" s="1"/>
  <c r="CQ303" i="9" s="1"/>
  <c r="CR303" i="9" s="1"/>
  <c r="BI303" i="9"/>
  <c r="BI307" i="9" s="1"/>
  <c r="BC303" i="9"/>
  <c r="BC307" i="9" s="1"/>
  <c r="AV307" i="9" s="1"/>
  <c r="BB303" i="9"/>
  <c r="BB307" i="9" s="1"/>
  <c r="AU303" i="9"/>
  <c r="AT303" i="9"/>
  <c r="AT307" i="9" s="1"/>
  <c r="AS303" i="9"/>
  <c r="AS307" i="9" s="1"/>
  <c r="AR303" i="9"/>
  <c r="AR307" i="9" s="1"/>
  <c r="AN307" i="9" s="1"/>
  <c r="AQ303" i="9"/>
  <c r="AQ307" i="9" s="1"/>
  <c r="AM307" i="9" s="1"/>
  <c r="BG307" i="9" s="1"/>
  <c r="AN303" i="9"/>
  <c r="AL303" i="9"/>
  <c r="AL307" i="9" s="1"/>
  <c r="CC307" i="9" s="1"/>
  <c r="U303" i="9"/>
  <c r="U307" i="9" s="1"/>
  <c r="T303" i="9"/>
  <c r="T307" i="9" s="1"/>
  <c r="S303" i="9"/>
  <c r="S307" i="9" s="1"/>
  <c r="P303" i="9"/>
  <c r="R303" i="9" s="1"/>
  <c r="O303" i="9"/>
  <c r="O307" i="9" s="1"/>
  <c r="N303" i="9"/>
  <c r="N307" i="9" s="1"/>
  <c r="M303" i="9"/>
  <c r="M307" i="9" s="1"/>
  <c r="L303" i="9"/>
  <c r="L307" i="9" s="1"/>
  <c r="K303" i="9"/>
  <c r="K307" i="9" s="1"/>
  <c r="J303" i="9"/>
  <c r="J307" i="9" s="1"/>
  <c r="I303" i="9"/>
  <c r="I307" i="9" s="1"/>
  <c r="H303" i="9"/>
  <c r="H307" i="9" s="1"/>
  <c r="G303" i="9"/>
  <c r="G307" i="9" s="1"/>
  <c r="F303" i="9"/>
  <c r="F307" i="9" s="1"/>
  <c r="E303" i="9"/>
  <c r="E307" i="9" s="1"/>
  <c r="D303" i="9"/>
  <c r="D307" i="9" s="1"/>
  <c r="C303" i="9"/>
  <c r="C307" i="9" s="1"/>
  <c r="DI302" i="9"/>
  <c r="DH302" i="9"/>
  <c r="DG302" i="9"/>
  <c r="DF302" i="9"/>
  <c r="CC302" i="9"/>
  <c r="BP302" i="9"/>
  <c r="BO302" i="9"/>
  <c r="BK302" i="9"/>
  <c r="BG302" i="9"/>
  <c r="BJ302" i="9" s="1"/>
  <c r="BF302" i="9"/>
  <c r="BE302" i="9"/>
  <c r="DH300" i="9"/>
  <c r="DF300" i="9"/>
  <c r="BZ300" i="9"/>
  <c r="CB300" i="9" s="1"/>
  <c r="DI300" i="9" s="1"/>
  <c r="BW300" i="9"/>
  <c r="BS300" i="9"/>
  <c r="BR300" i="9"/>
  <c r="BN300" i="9"/>
  <c r="BO300" i="9" s="1"/>
  <c r="BM300" i="9"/>
  <c r="BD300" i="9"/>
  <c r="BE300" i="9" s="1"/>
  <c r="BC300" i="9"/>
  <c r="BH300" i="9" s="1"/>
  <c r="BK300" i="9" s="1"/>
  <c r="AY300" i="9"/>
  <c r="AG300" i="9" s="1"/>
  <c r="AV300" i="9"/>
  <c r="AZ300" i="9" s="1"/>
  <c r="AU300" i="9"/>
  <c r="AN300" i="9"/>
  <c r="AM300" i="9"/>
  <c r="BG300" i="9" s="1"/>
  <c r="BJ300" i="9" s="1"/>
  <c r="AL300" i="9"/>
  <c r="CC300" i="9" s="1"/>
  <c r="X300" i="9"/>
  <c r="V300" i="9"/>
  <c r="Q300" i="9"/>
  <c r="DH299" i="9"/>
  <c r="DF299" i="9"/>
  <c r="DD299" i="9"/>
  <c r="DC299" i="9"/>
  <c r="DB299" i="9"/>
  <c r="CA299" i="9"/>
  <c r="BZ299" i="9"/>
  <c r="DG299" i="9" s="1"/>
  <c r="BY299" i="9"/>
  <c r="BW299" i="9"/>
  <c r="AL299" i="9" s="1"/>
  <c r="BS299" i="9"/>
  <c r="BR299" i="9"/>
  <c r="BM299" i="9"/>
  <c r="BC299" i="9"/>
  <c r="AV299" i="9" s="1"/>
  <c r="AU299" i="9"/>
  <c r="AN299" i="9"/>
  <c r="BH299" i="9" s="1"/>
  <c r="BK299" i="9" s="1"/>
  <c r="AM299" i="9"/>
  <c r="BG299" i="9" s="1"/>
  <c r="BJ299" i="9" s="1"/>
  <c r="U299" i="9"/>
  <c r="O299" i="9"/>
  <c r="I299" i="9"/>
  <c r="Q299" i="9" s="1"/>
  <c r="DH298" i="9"/>
  <c r="DG298" i="9"/>
  <c r="DF298" i="9"/>
  <c r="DC298" i="9"/>
  <c r="CK298" i="9"/>
  <c r="CB298" i="9"/>
  <c r="DI298" i="9" s="1"/>
  <c r="BZ298" i="9"/>
  <c r="BS298" i="9"/>
  <c r="BR298" i="9"/>
  <c r="BQ298" i="9"/>
  <c r="BM298" i="9"/>
  <c r="BL298" i="9"/>
  <c r="BC298" i="9"/>
  <c r="BB298" i="9"/>
  <c r="AU298" i="9" s="1"/>
  <c r="AV298" i="9"/>
  <c r="Z298" i="9" s="1"/>
  <c r="AS298" i="9"/>
  <c r="AM298" i="9" s="1"/>
  <c r="BG298" i="9" s="1"/>
  <c r="BJ298" i="9" s="1"/>
  <c r="AQ298" i="9"/>
  <c r="AN298" i="9"/>
  <c r="AO298" i="9" s="1"/>
  <c r="AL298" i="9"/>
  <c r="CC298" i="9" s="1"/>
  <c r="O298" i="9"/>
  <c r="I298" i="9"/>
  <c r="Q298" i="9" s="1"/>
  <c r="DH297" i="9"/>
  <c r="DF297" i="9"/>
  <c r="DC297" i="9"/>
  <c r="CB297" i="9"/>
  <c r="DI297" i="9" s="1"/>
  <c r="BZ297" i="9"/>
  <c r="DG297" i="9" s="1"/>
  <c r="BS297" i="9"/>
  <c r="BR297" i="9"/>
  <c r="BN297" i="9"/>
  <c r="BO297" i="9" s="1"/>
  <c r="BM297" i="9"/>
  <c r="BD297" i="9"/>
  <c r="BE297" i="9" s="1"/>
  <c r="BC297" i="9"/>
  <c r="BH297" i="9" s="1"/>
  <c r="BK297" i="9" s="1"/>
  <c r="AY297" i="9"/>
  <c r="AU297" i="9"/>
  <c r="AN297" i="9"/>
  <c r="AP297" i="9" s="1"/>
  <c r="AM297" i="9"/>
  <c r="BG297" i="9" s="1"/>
  <c r="BJ297" i="9" s="1"/>
  <c r="AL297" i="9"/>
  <c r="CC297" i="9" s="1"/>
  <c r="AG297" i="9"/>
  <c r="U297" i="9"/>
  <c r="Q297" i="9"/>
  <c r="O297" i="9"/>
  <c r="M297" i="9"/>
  <c r="I297" i="9"/>
  <c r="R297" i="9" s="1"/>
  <c r="DG296" i="9"/>
  <c r="DC296" i="9"/>
  <c r="CA296" i="9"/>
  <c r="DH296" i="9" s="1"/>
  <c r="BZ296" i="9"/>
  <c r="BY296" i="9"/>
  <c r="DF296" i="9" s="1"/>
  <c r="BW296" i="9"/>
  <c r="BS296" i="9"/>
  <c r="BR296" i="9"/>
  <c r="BN296" i="9"/>
  <c r="BO296" i="9" s="1"/>
  <c r="BM296" i="9"/>
  <c r="BD296" i="9"/>
  <c r="BE296" i="9" s="1"/>
  <c r="BC296" i="9"/>
  <c r="BH296" i="9" s="1"/>
  <c r="BK296" i="9" s="1"/>
  <c r="AY296" i="9"/>
  <c r="AU296" i="9"/>
  <c r="AN296" i="9"/>
  <c r="AP296" i="9" s="1"/>
  <c r="AM296" i="9"/>
  <c r="BG296" i="9" s="1"/>
  <c r="BJ296" i="9" s="1"/>
  <c r="AL296" i="9"/>
  <c r="AG296" i="9"/>
  <c r="U296" i="9"/>
  <c r="O296" i="9"/>
  <c r="M296" i="9"/>
  <c r="I296" i="9"/>
  <c r="Q296" i="9" s="1"/>
  <c r="DH295" i="9"/>
  <c r="DF295" i="9"/>
  <c r="DC295" i="9"/>
  <c r="CB295" i="9"/>
  <c r="DI295" i="9" s="1"/>
  <c r="BZ295" i="9"/>
  <c r="DG295" i="9" s="1"/>
  <c r="BS295" i="9"/>
  <c r="BR295" i="9"/>
  <c r="BN295" i="9"/>
  <c r="BO295" i="9" s="1"/>
  <c r="BM295" i="9"/>
  <c r="BD295" i="9"/>
  <c r="BE295" i="9" s="1"/>
  <c r="BC295" i="9"/>
  <c r="BH295" i="9" s="1"/>
  <c r="BK295" i="9" s="1"/>
  <c r="AY295" i="9"/>
  <c r="AV295" i="9"/>
  <c r="AZ295" i="9" s="1"/>
  <c r="AU295" i="9"/>
  <c r="AW295" i="9" s="1"/>
  <c r="AN295" i="9"/>
  <c r="AP295" i="9" s="1"/>
  <c r="AM295" i="9"/>
  <c r="BG295" i="9" s="1"/>
  <c r="BJ295" i="9" s="1"/>
  <c r="AL295" i="9"/>
  <c r="CC295" i="9" s="1"/>
  <c r="AG295" i="9"/>
  <c r="AJ295" i="9" s="1"/>
  <c r="Z295" i="9"/>
  <c r="AF295" i="9" s="1"/>
  <c r="U295" i="9"/>
  <c r="Q295" i="9"/>
  <c r="O295" i="9"/>
  <c r="M295" i="9"/>
  <c r="I295" i="9"/>
  <c r="R295" i="9" s="1"/>
  <c r="DG294" i="9"/>
  <c r="DF294" i="9"/>
  <c r="DC294" i="9"/>
  <c r="CA294" i="9"/>
  <c r="DH294" i="9" s="1"/>
  <c r="BZ294" i="9"/>
  <c r="CB294" i="9" s="1"/>
  <c r="BS294" i="9"/>
  <c r="BR294" i="9"/>
  <c r="BN294" i="9"/>
  <c r="BO294" i="9" s="1"/>
  <c r="BM294" i="9"/>
  <c r="BD294" i="9"/>
  <c r="BE294" i="9" s="1"/>
  <c r="BC294" i="9"/>
  <c r="BH294" i="9" s="1"/>
  <c r="BK294" i="9" s="1"/>
  <c r="AY294" i="9"/>
  <c r="AV294" i="9"/>
  <c r="AZ294" i="9" s="1"/>
  <c r="AU294" i="9"/>
  <c r="AN294" i="9"/>
  <c r="AP294" i="9" s="1"/>
  <c r="AM294" i="9"/>
  <c r="BG294" i="9" s="1"/>
  <c r="BJ294" i="9" s="1"/>
  <c r="AL294" i="9"/>
  <c r="AG294" i="9"/>
  <c r="Z294" i="9"/>
  <c r="AF294" i="9" s="1"/>
  <c r="U294" i="9"/>
  <c r="Q294" i="9"/>
  <c r="O294" i="9"/>
  <c r="M294" i="9"/>
  <c r="I294" i="9"/>
  <c r="R294" i="9" s="1"/>
  <c r="DG293" i="9"/>
  <c r="DF293" i="9"/>
  <c r="DC293" i="9"/>
  <c r="CA293" i="9"/>
  <c r="DH293" i="9" s="1"/>
  <c r="BZ293" i="9"/>
  <c r="CB293" i="9" s="1"/>
  <c r="DI293" i="9" s="1"/>
  <c r="BS293" i="9"/>
  <c r="BR293" i="9"/>
  <c r="BN293" i="9"/>
  <c r="BO293" i="9" s="1"/>
  <c r="BM293" i="9"/>
  <c r="BD293" i="9"/>
  <c r="BE293" i="9" s="1"/>
  <c r="BC293" i="9"/>
  <c r="BH293" i="9" s="1"/>
  <c r="BK293" i="9" s="1"/>
  <c r="AY293" i="9"/>
  <c r="AV293" i="9"/>
  <c r="AZ293" i="9" s="1"/>
  <c r="AU293" i="9"/>
  <c r="AN293" i="9"/>
  <c r="AP293" i="9" s="1"/>
  <c r="AM293" i="9"/>
  <c r="BG293" i="9" s="1"/>
  <c r="BJ293" i="9" s="1"/>
  <c r="AL293" i="9"/>
  <c r="CC293" i="9" s="1"/>
  <c r="AG293" i="9"/>
  <c r="Z293" i="9"/>
  <c r="U293" i="9"/>
  <c r="Q293" i="9"/>
  <c r="O293" i="9"/>
  <c r="M293" i="9"/>
  <c r="I293" i="9"/>
  <c r="R293" i="9" s="1"/>
  <c r="DG292" i="9"/>
  <c r="DF292" i="9"/>
  <c r="DC292" i="9"/>
  <c r="CA292" i="9"/>
  <c r="DH292" i="9" s="1"/>
  <c r="BZ292" i="9"/>
  <c r="CB292" i="9" s="1"/>
  <c r="DI292" i="9" s="1"/>
  <c r="BS292" i="9"/>
  <c r="BR292" i="9"/>
  <c r="BM292" i="9"/>
  <c r="BG292" i="9"/>
  <c r="BJ292" i="9" s="1"/>
  <c r="BC292" i="9"/>
  <c r="AV292" i="9" s="1"/>
  <c r="Z292" i="9" s="1"/>
  <c r="AE292" i="9" s="1"/>
  <c r="AU292" i="9"/>
  <c r="AN292" i="9"/>
  <c r="BH292" i="9" s="1"/>
  <c r="BK292" i="9" s="1"/>
  <c r="AM292" i="9"/>
  <c r="AL292" i="9"/>
  <c r="BN292" i="9" s="1"/>
  <c r="X292" i="9"/>
  <c r="V292" i="9"/>
  <c r="U292" i="9"/>
  <c r="O292" i="9"/>
  <c r="M292" i="9"/>
  <c r="I292" i="9"/>
  <c r="Q292" i="9" s="1"/>
  <c r="DH291" i="9"/>
  <c r="DF291" i="9"/>
  <c r="DC291" i="9"/>
  <c r="CA291" i="9"/>
  <c r="BZ291" i="9"/>
  <c r="DG291" i="9" s="1"/>
  <c r="BS291" i="9"/>
  <c r="BR291" i="9"/>
  <c r="BM291" i="9"/>
  <c r="BG291" i="9"/>
  <c r="BJ291" i="9" s="1"/>
  <c r="BC291" i="9"/>
  <c r="AV291" i="9" s="1"/>
  <c r="Z291" i="9" s="1"/>
  <c r="AE291" i="9" s="1"/>
  <c r="AU291" i="9"/>
  <c r="AN291" i="9"/>
  <c r="BH291" i="9" s="1"/>
  <c r="BK291" i="9" s="1"/>
  <c r="AM291" i="9"/>
  <c r="AL291" i="9"/>
  <c r="X291" i="9"/>
  <c r="V291" i="9"/>
  <c r="U291" i="9"/>
  <c r="O291" i="9"/>
  <c r="M291" i="9"/>
  <c r="I291" i="9"/>
  <c r="Q291" i="9" s="1"/>
  <c r="DH290" i="9"/>
  <c r="DG290" i="9"/>
  <c r="DF290" i="9"/>
  <c r="DC290" i="9"/>
  <c r="CB290" i="9"/>
  <c r="DI290" i="9" s="1"/>
  <c r="BS290" i="9"/>
  <c r="BR290" i="9"/>
  <c r="BM290" i="9"/>
  <c r="BG290" i="9"/>
  <c r="BJ290" i="9" s="1"/>
  <c r="BC290" i="9"/>
  <c r="AV290" i="9" s="1"/>
  <c r="Z290" i="9" s="1"/>
  <c r="AE290" i="9" s="1"/>
  <c r="AU290" i="9"/>
  <c r="AN290" i="9"/>
  <c r="AM290" i="9"/>
  <c r="AL290" i="9"/>
  <c r="CC290" i="9" s="1"/>
  <c r="X290" i="9"/>
  <c r="V290" i="9"/>
  <c r="U290" i="9"/>
  <c r="O290" i="9"/>
  <c r="M290" i="9"/>
  <c r="I290" i="9"/>
  <c r="Q290" i="9" s="1"/>
  <c r="DH289" i="9"/>
  <c r="DF289" i="9"/>
  <c r="DC289" i="9"/>
  <c r="CA289" i="9"/>
  <c r="BZ289" i="9"/>
  <c r="DG289" i="9" s="1"/>
  <c r="BS289" i="9"/>
  <c r="BR289" i="9"/>
  <c r="BM289" i="9"/>
  <c r="BG289" i="9"/>
  <c r="BJ289" i="9" s="1"/>
  <c r="BC289" i="9"/>
  <c r="AV289" i="9" s="1"/>
  <c r="Z289" i="9" s="1"/>
  <c r="AE289" i="9" s="1"/>
  <c r="AU289" i="9"/>
  <c r="AN289" i="9"/>
  <c r="BH289" i="9" s="1"/>
  <c r="BK289" i="9" s="1"/>
  <c r="AM289" i="9"/>
  <c r="AL289" i="9"/>
  <c r="X289" i="9"/>
  <c r="V289" i="9"/>
  <c r="U289" i="9"/>
  <c r="O289" i="9"/>
  <c r="M289" i="9"/>
  <c r="I289" i="9"/>
  <c r="Q289" i="9" s="1"/>
  <c r="DH288" i="9"/>
  <c r="DF288" i="9"/>
  <c r="DC288" i="9"/>
  <c r="CA288" i="9"/>
  <c r="BZ288" i="9"/>
  <c r="DG288" i="9" s="1"/>
  <c r="BS288" i="9"/>
  <c r="BR288" i="9"/>
  <c r="BM288" i="9"/>
  <c r="BG288" i="9"/>
  <c r="BJ288" i="9" s="1"/>
  <c r="BC288" i="9"/>
  <c r="AV288" i="9" s="1"/>
  <c r="Z288" i="9" s="1"/>
  <c r="AE288" i="9" s="1"/>
  <c r="AU288" i="9"/>
  <c r="AN288" i="9"/>
  <c r="AM288" i="9"/>
  <c r="AL288" i="9"/>
  <c r="X288" i="9"/>
  <c r="V288" i="9"/>
  <c r="U288" i="9"/>
  <c r="O288" i="9"/>
  <c r="M288" i="9"/>
  <c r="I288" i="9"/>
  <c r="Q288" i="9" s="1"/>
  <c r="DH287" i="9"/>
  <c r="DF287" i="9"/>
  <c r="DC287" i="9"/>
  <c r="CA287" i="9"/>
  <c r="BZ287" i="9"/>
  <c r="DG287" i="9" s="1"/>
  <c r="BS287" i="9"/>
  <c r="BR287" i="9"/>
  <c r="BM287" i="9"/>
  <c r="BG287" i="9"/>
  <c r="BJ287" i="9" s="1"/>
  <c r="BC287" i="9"/>
  <c r="AV287" i="9" s="1"/>
  <c r="Z287" i="9" s="1"/>
  <c r="AE287" i="9" s="1"/>
  <c r="AU287" i="9"/>
  <c r="AN287" i="9"/>
  <c r="BH287" i="9" s="1"/>
  <c r="BK287" i="9" s="1"/>
  <c r="AM287" i="9"/>
  <c r="AL287" i="9"/>
  <c r="X287" i="9"/>
  <c r="V287" i="9"/>
  <c r="U287" i="9"/>
  <c r="O287" i="9"/>
  <c r="M287" i="9"/>
  <c r="I287" i="9"/>
  <c r="Q287" i="9" s="1"/>
  <c r="DH286" i="9"/>
  <c r="DF286" i="9"/>
  <c r="DC286" i="9"/>
  <c r="CA286" i="9"/>
  <c r="BZ286" i="9"/>
  <c r="DG286" i="9" s="1"/>
  <c r="BS286" i="9"/>
  <c r="BR286" i="9"/>
  <c r="BM286" i="9"/>
  <c r="BC286" i="9"/>
  <c r="AV286" i="9"/>
  <c r="Z286" i="9" s="1"/>
  <c r="AF286" i="9" s="1"/>
  <c r="AU286" i="9"/>
  <c r="AN286" i="9"/>
  <c r="BH286" i="9" s="1"/>
  <c r="BK286" i="9" s="1"/>
  <c r="AM286" i="9"/>
  <c r="BG286" i="9" s="1"/>
  <c r="BJ286" i="9" s="1"/>
  <c r="AL286" i="9"/>
  <c r="U286" i="9"/>
  <c r="Q286" i="9"/>
  <c r="O286" i="9"/>
  <c r="M286" i="9"/>
  <c r="I286" i="9"/>
  <c r="R286" i="9" s="1"/>
  <c r="DG285" i="9"/>
  <c r="DC285" i="9"/>
  <c r="CA285" i="9"/>
  <c r="DH285" i="9" s="1"/>
  <c r="BZ285" i="9"/>
  <c r="BY285" i="9"/>
  <c r="DF285" i="9" s="1"/>
  <c r="BW285" i="9"/>
  <c r="BS285" i="9"/>
  <c r="BR285" i="9"/>
  <c r="BM285" i="9"/>
  <c r="BC285" i="9"/>
  <c r="AU285" i="9"/>
  <c r="AN285" i="9"/>
  <c r="AO285" i="9" s="1"/>
  <c r="AM285" i="9"/>
  <c r="BG285" i="9" s="1"/>
  <c r="BJ285" i="9" s="1"/>
  <c r="AL285" i="9"/>
  <c r="X285" i="9"/>
  <c r="V285" i="9"/>
  <c r="U285" i="9"/>
  <c r="O285" i="9"/>
  <c r="M285" i="9"/>
  <c r="I285" i="9"/>
  <c r="Q285" i="9" s="1"/>
  <c r="DH284" i="9"/>
  <c r="DF284" i="9"/>
  <c r="DC284" i="9"/>
  <c r="CA284" i="9"/>
  <c r="BZ284" i="9"/>
  <c r="DG284" i="9" s="1"/>
  <c r="BS284" i="9"/>
  <c r="BR284" i="9"/>
  <c r="BM284" i="9"/>
  <c r="BG284" i="9"/>
  <c r="BJ284" i="9" s="1"/>
  <c r="BC284" i="9"/>
  <c r="AV284" i="9" s="1"/>
  <c r="Z284" i="9" s="1"/>
  <c r="AE284" i="9" s="1"/>
  <c r="AU284" i="9"/>
  <c r="AN284" i="9"/>
  <c r="AM284" i="9"/>
  <c r="AL284" i="9"/>
  <c r="X284" i="9"/>
  <c r="V284" i="9"/>
  <c r="U284" i="9"/>
  <c r="O284" i="9"/>
  <c r="M284" i="9"/>
  <c r="I284" i="9"/>
  <c r="Q284" i="9" s="1"/>
  <c r="DH283" i="9"/>
  <c r="DF283" i="9"/>
  <c r="DC283" i="9"/>
  <c r="CA283" i="9"/>
  <c r="BZ283" i="9"/>
  <c r="DG283" i="9" s="1"/>
  <c r="BS283" i="9"/>
  <c r="BR283" i="9"/>
  <c r="BM283" i="9"/>
  <c r="BG283" i="9"/>
  <c r="BJ283" i="9" s="1"/>
  <c r="BC283" i="9"/>
  <c r="AV283" i="9" s="1"/>
  <c r="Z283" i="9" s="1"/>
  <c r="AE283" i="9" s="1"/>
  <c r="AU283" i="9"/>
  <c r="AN283" i="9"/>
  <c r="BH283" i="9" s="1"/>
  <c r="BK283" i="9" s="1"/>
  <c r="AM283" i="9"/>
  <c r="AL283" i="9"/>
  <c r="X283" i="9"/>
  <c r="V283" i="9"/>
  <c r="U283" i="9"/>
  <c r="O283" i="9"/>
  <c r="M283" i="9"/>
  <c r="I283" i="9"/>
  <c r="Q283" i="9" s="1"/>
  <c r="DH282" i="9"/>
  <c r="DG282" i="9"/>
  <c r="DF282" i="9"/>
  <c r="DC282" i="9"/>
  <c r="CB282" i="9"/>
  <c r="DI282" i="9" s="1"/>
  <c r="BY282" i="9"/>
  <c r="BS282" i="9"/>
  <c r="BR282" i="9"/>
  <c r="BM282" i="9"/>
  <c r="BC282" i="9"/>
  <c r="AU282" i="9"/>
  <c r="AN282" i="9"/>
  <c r="AO282" i="9" s="1"/>
  <c r="AM282" i="9"/>
  <c r="BG282" i="9" s="1"/>
  <c r="BJ282" i="9" s="1"/>
  <c r="AL282" i="9"/>
  <c r="CC282" i="9" s="1"/>
  <c r="U282" i="9"/>
  <c r="Q282" i="9"/>
  <c r="O282" i="9"/>
  <c r="M282" i="9"/>
  <c r="I282" i="9"/>
  <c r="R282" i="9" s="1"/>
  <c r="DH281" i="9"/>
  <c r="DF281" i="9"/>
  <c r="DC281" i="9"/>
  <c r="BZ281" i="9"/>
  <c r="CB281" i="9" s="1"/>
  <c r="DI281" i="9" s="1"/>
  <c r="BS281" i="9"/>
  <c r="BR281" i="9"/>
  <c r="BM281" i="9"/>
  <c r="BG281" i="9"/>
  <c r="BJ281" i="9" s="1"/>
  <c r="BC281" i="9"/>
  <c r="AV281" i="9" s="1"/>
  <c r="AU281" i="9"/>
  <c r="AN281" i="9"/>
  <c r="BH281" i="9" s="1"/>
  <c r="BK281" i="9" s="1"/>
  <c r="AM281" i="9"/>
  <c r="AL281" i="9"/>
  <c r="BN281" i="9" s="1"/>
  <c r="Y281" i="9"/>
  <c r="V281" i="9"/>
  <c r="U281" i="9"/>
  <c r="O281" i="9"/>
  <c r="M281" i="9"/>
  <c r="I281" i="9"/>
  <c r="Q281" i="9" s="1"/>
  <c r="DH280" i="9"/>
  <c r="DF280" i="9"/>
  <c r="DC280" i="9"/>
  <c r="CB280" i="9"/>
  <c r="DI280" i="9" s="1"/>
  <c r="BZ280" i="9"/>
  <c r="DG280" i="9" s="1"/>
  <c r="BS280" i="9"/>
  <c r="BR280" i="9"/>
  <c r="BN280" i="9"/>
  <c r="BO280" i="9" s="1"/>
  <c r="BM280" i="9"/>
  <c r="BD280" i="9"/>
  <c r="BE280" i="9" s="1"/>
  <c r="BC280" i="9"/>
  <c r="BH280" i="9" s="1"/>
  <c r="BK280" i="9" s="1"/>
  <c r="AY280" i="9"/>
  <c r="AV280" i="9"/>
  <c r="AZ280" i="9" s="1"/>
  <c r="AU280" i="9"/>
  <c r="AN280" i="9"/>
  <c r="AP280" i="9" s="1"/>
  <c r="AM280" i="9"/>
  <c r="BG280" i="9" s="1"/>
  <c r="BJ280" i="9" s="1"/>
  <c r="AL280" i="9"/>
  <c r="CC280" i="9" s="1"/>
  <c r="AG280" i="9"/>
  <c r="Z280" i="9"/>
  <c r="AF280" i="9" s="1"/>
  <c r="U280" i="9"/>
  <c r="Y280" i="9" s="1"/>
  <c r="Q280" i="9"/>
  <c r="O280" i="9"/>
  <c r="M280" i="9"/>
  <c r="I280" i="9"/>
  <c r="R280" i="9" s="1"/>
  <c r="DH279" i="9"/>
  <c r="DG279" i="9"/>
  <c r="DC279" i="9"/>
  <c r="BY279" i="9"/>
  <c r="DF279" i="9" s="1"/>
  <c r="BS279" i="9"/>
  <c r="BR279" i="9"/>
  <c r="BM279" i="9"/>
  <c r="BC279" i="9"/>
  <c r="AU279" i="9"/>
  <c r="AN279" i="9"/>
  <c r="BH279" i="9" s="1"/>
  <c r="BK279" i="9" s="1"/>
  <c r="AM279" i="9"/>
  <c r="BG279" i="9" s="1"/>
  <c r="BJ279" i="9" s="1"/>
  <c r="AL279" i="9"/>
  <c r="BN279" i="9" s="1"/>
  <c r="Y279" i="9"/>
  <c r="V279" i="9"/>
  <c r="U279" i="9"/>
  <c r="Q279" i="9"/>
  <c r="O279" i="9"/>
  <c r="M279" i="9"/>
  <c r="I279" i="9"/>
  <c r="DH278" i="9"/>
  <c r="DF278" i="9"/>
  <c r="DC278" i="9"/>
  <c r="BZ278" i="9"/>
  <c r="CB278" i="9" s="1"/>
  <c r="DI278" i="9" s="1"/>
  <c r="BS278" i="9"/>
  <c r="BR278" i="9"/>
  <c r="BM278" i="9"/>
  <c r="BG278" i="9"/>
  <c r="BJ278" i="9" s="1"/>
  <c r="BC278" i="9"/>
  <c r="AV278" i="9" s="1"/>
  <c r="AU278" i="9"/>
  <c r="AN278" i="9"/>
  <c r="BH278" i="9" s="1"/>
  <c r="BK278" i="9" s="1"/>
  <c r="AM278" i="9"/>
  <c r="AL278" i="9"/>
  <c r="BN278" i="9" s="1"/>
  <c r="Y278" i="9"/>
  <c r="V278" i="9"/>
  <c r="U278" i="9"/>
  <c r="O278" i="9"/>
  <c r="M278" i="9"/>
  <c r="I278" i="9"/>
  <c r="Q278" i="9" s="1"/>
  <c r="DH277" i="9"/>
  <c r="DG277" i="9"/>
  <c r="DF277" i="9"/>
  <c r="DC277" i="9"/>
  <c r="CP277" i="9"/>
  <c r="CB277" i="9"/>
  <c r="DI277" i="9" s="1"/>
  <c r="BS277" i="9"/>
  <c r="BR277" i="9"/>
  <c r="BM277" i="9"/>
  <c r="BG277" i="9"/>
  <c r="BJ277" i="9" s="1"/>
  <c r="BC277" i="9"/>
  <c r="AV277" i="9" s="1"/>
  <c r="AU277" i="9"/>
  <c r="AN277" i="9"/>
  <c r="BH277" i="9" s="1"/>
  <c r="BK277" i="9" s="1"/>
  <c r="AM277" i="9"/>
  <c r="AL277" i="9"/>
  <c r="CC277" i="9" s="1"/>
  <c r="Y277" i="9"/>
  <c r="V277" i="9"/>
  <c r="U277" i="9"/>
  <c r="X277" i="9" s="1"/>
  <c r="O277" i="9"/>
  <c r="M277" i="9"/>
  <c r="I277" i="9"/>
  <c r="Q277" i="9" s="1"/>
  <c r="DH276" i="9"/>
  <c r="DF276" i="9"/>
  <c r="DC276" i="9"/>
  <c r="CB276" i="9"/>
  <c r="DI276" i="9" s="1"/>
  <c r="BZ276" i="9"/>
  <c r="DG276" i="9" s="1"/>
  <c r="BS276" i="9"/>
  <c r="BR276" i="9"/>
  <c r="BN276" i="9"/>
  <c r="BO276" i="9" s="1"/>
  <c r="BM276" i="9"/>
  <c r="BD276" i="9"/>
  <c r="BE276" i="9" s="1"/>
  <c r="BC276" i="9"/>
  <c r="BH276" i="9" s="1"/>
  <c r="BK276" i="9" s="1"/>
  <c r="AU276" i="9"/>
  <c r="AN276" i="9"/>
  <c r="AP276" i="9" s="1"/>
  <c r="AM276" i="9"/>
  <c r="BG276" i="9" s="1"/>
  <c r="BJ276" i="9" s="1"/>
  <c r="AL276" i="9"/>
  <c r="CC276" i="9" s="1"/>
  <c r="U276" i="9"/>
  <c r="O276" i="9"/>
  <c r="M276" i="9"/>
  <c r="I276" i="9"/>
  <c r="Q276" i="9" s="1"/>
  <c r="DH275" i="9"/>
  <c r="DF275" i="9"/>
  <c r="DC275" i="9"/>
  <c r="CA275" i="9"/>
  <c r="BZ275" i="9"/>
  <c r="DG275" i="9" s="1"/>
  <c r="BS275" i="9"/>
  <c r="BR275" i="9"/>
  <c r="BM275" i="9"/>
  <c r="BC275" i="9"/>
  <c r="AV275" i="9"/>
  <c r="AU275" i="9"/>
  <c r="AN275" i="9"/>
  <c r="BH275" i="9" s="1"/>
  <c r="BK275" i="9" s="1"/>
  <c r="AM275" i="9"/>
  <c r="BG275" i="9" s="1"/>
  <c r="BJ275" i="9" s="1"/>
  <c r="AL275" i="9"/>
  <c r="Y275" i="9"/>
  <c r="V275" i="9"/>
  <c r="U275" i="9"/>
  <c r="O275" i="9"/>
  <c r="M275" i="9"/>
  <c r="I275" i="9"/>
  <c r="Q275" i="9" s="1"/>
  <c r="DH274" i="9"/>
  <c r="DG274" i="9"/>
  <c r="DF274" i="9"/>
  <c r="DC274" i="9"/>
  <c r="CR274" i="9"/>
  <c r="CB274" i="9"/>
  <c r="DI274" i="9" s="1"/>
  <c r="BS274" i="9"/>
  <c r="BR274" i="9"/>
  <c r="BM274" i="9"/>
  <c r="BC274" i="9"/>
  <c r="AV274" i="9" s="1"/>
  <c r="Z274" i="9" s="1"/>
  <c r="AE274" i="9" s="1"/>
  <c r="AU274" i="9"/>
  <c r="AN274" i="9"/>
  <c r="BH274" i="9" s="1"/>
  <c r="BK274" i="9" s="1"/>
  <c r="AM274" i="9"/>
  <c r="BG274" i="9" s="1"/>
  <c r="BJ274" i="9" s="1"/>
  <c r="AL274" i="9"/>
  <c r="CC274" i="9" s="1"/>
  <c r="V274" i="9"/>
  <c r="U274" i="9"/>
  <c r="X274" i="9" s="1"/>
  <c r="Q274" i="9"/>
  <c r="O274" i="9"/>
  <c r="M274" i="9"/>
  <c r="I274" i="9"/>
  <c r="DI273" i="9"/>
  <c r="DH273" i="9"/>
  <c r="DG273" i="9"/>
  <c r="DF273" i="9"/>
  <c r="DC273" i="9"/>
  <c r="CB273" i="9"/>
  <c r="BS273" i="9"/>
  <c r="BR273" i="9"/>
  <c r="BM273" i="9"/>
  <c r="BC273" i="9"/>
  <c r="AV273" i="9" s="1"/>
  <c r="AU273" i="9"/>
  <c r="AN273" i="9"/>
  <c r="AO273" i="9" s="1"/>
  <c r="AM273" i="9"/>
  <c r="BG273" i="9" s="1"/>
  <c r="BJ273" i="9" s="1"/>
  <c r="AL273" i="9"/>
  <c r="CC273" i="9" s="1"/>
  <c r="U273" i="9"/>
  <c r="Q273" i="9"/>
  <c r="O273" i="9"/>
  <c r="M273" i="9"/>
  <c r="I273" i="9"/>
  <c r="R273" i="9" s="1"/>
  <c r="DH272" i="9"/>
  <c r="DF272" i="9"/>
  <c r="DC272" i="9"/>
  <c r="BZ272" i="9"/>
  <c r="CB272" i="9" s="1"/>
  <c r="DI272" i="9" s="1"/>
  <c r="BS272" i="9"/>
  <c r="BR272" i="9"/>
  <c r="BM272" i="9"/>
  <c r="BG272" i="9"/>
  <c r="BJ272" i="9" s="1"/>
  <c r="BC272" i="9"/>
  <c r="BB272" i="9"/>
  <c r="BB436" i="9" s="1"/>
  <c r="AV272" i="9"/>
  <c r="AU272" i="9"/>
  <c r="AN272" i="9"/>
  <c r="BH272" i="9" s="1"/>
  <c r="BK272" i="9" s="1"/>
  <c r="AM272" i="9"/>
  <c r="AL272" i="9"/>
  <c r="BN272" i="9" s="1"/>
  <c r="Y272" i="9"/>
  <c r="V272" i="9"/>
  <c r="U272" i="9"/>
  <c r="U436" i="9" s="1"/>
  <c r="O272" i="9"/>
  <c r="M272" i="9"/>
  <c r="I272" i="9"/>
  <c r="Q272" i="9" s="1"/>
  <c r="DH271" i="9"/>
  <c r="DG271" i="9"/>
  <c r="DF271" i="9"/>
  <c r="DC271" i="9"/>
  <c r="CB271" i="9"/>
  <c r="DI271" i="9" s="1"/>
  <c r="BS271" i="9"/>
  <c r="BR271" i="9"/>
  <c r="BM271" i="9"/>
  <c r="BC271" i="9"/>
  <c r="AV271" i="9"/>
  <c r="AU271" i="9"/>
  <c r="AN271" i="9"/>
  <c r="BH271" i="9" s="1"/>
  <c r="BK271" i="9" s="1"/>
  <c r="AM271" i="9"/>
  <c r="BG271" i="9" s="1"/>
  <c r="BJ271" i="9" s="1"/>
  <c r="AL271" i="9"/>
  <c r="CC271" i="9" s="1"/>
  <c r="U271" i="9"/>
  <c r="Q271" i="9"/>
  <c r="O271" i="9"/>
  <c r="M271" i="9"/>
  <c r="I271" i="9"/>
  <c r="R271" i="9" s="1"/>
  <c r="DI270" i="9"/>
  <c r="DH270" i="9"/>
  <c r="DG270" i="9"/>
  <c r="DF270" i="9"/>
  <c r="DC270" i="9"/>
  <c r="CB270" i="9"/>
  <c r="BS270" i="9"/>
  <c r="BR270" i="9"/>
  <c r="BM270" i="9"/>
  <c r="BC270" i="9"/>
  <c r="AV270" i="9"/>
  <c r="AU270" i="9"/>
  <c r="AN270" i="9"/>
  <c r="AO270" i="9" s="1"/>
  <c r="AM270" i="9"/>
  <c r="BG270" i="9" s="1"/>
  <c r="BJ270" i="9" s="1"/>
  <c r="AL270" i="9"/>
  <c r="CC270" i="9" s="1"/>
  <c r="U270" i="9"/>
  <c r="O270" i="9"/>
  <c r="M270" i="9"/>
  <c r="I270" i="9"/>
  <c r="Q270" i="9" s="1"/>
  <c r="DH269" i="9"/>
  <c r="DF269" i="9"/>
  <c r="DC269" i="9"/>
  <c r="CB269" i="9"/>
  <c r="DI269" i="9" s="1"/>
  <c r="BZ269" i="9"/>
  <c r="DG269" i="9" s="1"/>
  <c r="BS269" i="9"/>
  <c r="BR269" i="9"/>
  <c r="BM269" i="9"/>
  <c r="BC269" i="9"/>
  <c r="AV269" i="9"/>
  <c r="AU269" i="9"/>
  <c r="AN269" i="9"/>
  <c r="AO269" i="9" s="1"/>
  <c r="AM269" i="9"/>
  <c r="BG269" i="9" s="1"/>
  <c r="BJ269" i="9" s="1"/>
  <c r="AL269" i="9"/>
  <c r="CC269" i="9" s="1"/>
  <c r="Y269" i="9"/>
  <c r="V269" i="9"/>
  <c r="U269" i="9"/>
  <c r="Q269" i="9"/>
  <c r="O269" i="9"/>
  <c r="M269" i="9"/>
  <c r="I269" i="9"/>
  <c r="DI268" i="9"/>
  <c r="DH268" i="9"/>
  <c r="DG268" i="9"/>
  <c r="DF268" i="9"/>
  <c r="DC268" i="9"/>
  <c r="CB268" i="9"/>
  <c r="BS268" i="9"/>
  <c r="BR268" i="9"/>
  <c r="BQ268" i="9"/>
  <c r="BM268" i="9"/>
  <c r="BL268" i="9"/>
  <c r="BC268" i="9"/>
  <c r="BB268" i="9"/>
  <c r="AU268" i="9" s="1"/>
  <c r="AV268" i="9"/>
  <c r="AS268" i="9"/>
  <c r="AM268" i="9" s="1"/>
  <c r="BG268" i="9" s="1"/>
  <c r="BJ268" i="9" s="1"/>
  <c r="AQ268" i="9"/>
  <c r="AN268" i="9"/>
  <c r="AO268" i="9" s="1"/>
  <c r="AL268" i="9"/>
  <c r="BN268" i="9" s="1"/>
  <c r="O268" i="9"/>
  <c r="M268" i="9"/>
  <c r="I268" i="9"/>
  <c r="Q268" i="9" s="1"/>
  <c r="DH267" i="9"/>
  <c r="DF267" i="9"/>
  <c r="DC267" i="9"/>
  <c r="CB267" i="9"/>
  <c r="DI267" i="9" s="1"/>
  <c r="BZ267" i="9"/>
  <c r="DG267" i="9" s="1"/>
  <c r="BS267" i="9"/>
  <c r="BR267" i="9"/>
  <c r="BN267" i="9"/>
  <c r="BO267" i="9" s="1"/>
  <c r="BM267" i="9"/>
  <c r="BD267" i="9"/>
  <c r="BE267" i="9" s="1"/>
  <c r="BC267" i="9"/>
  <c r="BH267" i="9" s="1"/>
  <c r="BK267" i="9" s="1"/>
  <c r="AY267" i="9"/>
  <c r="AV267" i="9"/>
  <c r="AZ267" i="9" s="1"/>
  <c r="AU267" i="9"/>
  <c r="AN267" i="9"/>
  <c r="AP267" i="9" s="1"/>
  <c r="AM267" i="9"/>
  <c r="BG267" i="9" s="1"/>
  <c r="BJ267" i="9" s="1"/>
  <c r="AL267" i="9"/>
  <c r="CC267" i="9" s="1"/>
  <c r="AG267" i="9"/>
  <c r="Z267" i="9"/>
  <c r="AF267" i="9" s="1"/>
  <c r="U267" i="9"/>
  <c r="Q267" i="9"/>
  <c r="O267" i="9"/>
  <c r="M267" i="9"/>
  <c r="I267" i="9"/>
  <c r="R267" i="9" s="1"/>
  <c r="DH266" i="9"/>
  <c r="DF266" i="9"/>
  <c r="DC266" i="9"/>
  <c r="BZ266" i="9"/>
  <c r="CB266" i="9" s="1"/>
  <c r="BS266" i="9"/>
  <c r="BR266" i="9"/>
  <c r="BM266" i="9"/>
  <c r="BC266" i="9"/>
  <c r="AV266" i="9"/>
  <c r="Z266" i="9" s="1"/>
  <c r="AF266" i="9" s="1"/>
  <c r="AU266" i="9"/>
  <c r="AN266" i="9"/>
  <c r="BH266" i="9" s="1"/>
  <c r="BK266" i="9" s="1"/>
  <c r="AM266" i="9"/>
  <c r="BG266" i="9" s="1"/>
  <c r="BJ266" i="9" s="1"/>
  <c r="AL266" i="9"/>
  <c r="BN266" i="9" s="1"/>
  <c r="U266" i="9"/>
  <c r="Q266" i="9"/>
  <c r="O266" i="9"/>
  <c r="M266" i="9"/>
  <c r="I266" i="9"/>
  <c r="R266" i="9" s="1"/>
  <c r="DH265" i="9"/>
  <c r="DF265" i="9"/>
  <c r="DC265" i="9"/>
  <c r="BZ265" i="9"/>
  <c r="CB265" i="9" s="1"/>
  <c r="DI265" i="9" s="1"/>
  <c r="BS265" i="9"/>
  <c r="BR265" i="9"/>
  <c r="BM265" i="9"/>
  <c r="BG265" i="9"/>
  <c r="BJ265" i="9" s="1"/>
  <c r="BC265" i="9"/>
  <c r="AV265" i="9" s="1"/>
  <c r="AU265" i="9"/>
  <c r="AN265" i="9"/>
  <c r="AM265" i="9"/>
  <c r="AL265" i="9"/>
  <c r="BN265" i="9" s="1"/>
  <c r="Y265" i="9"/>
  <c r="V265" i="9"/>
  <c r="U265" i="9"/>
  <c r="O265" i="9"/>
  <c r="M265" i="9"/>
  <c r="I265" i="9"/>
  <c r="Q265" i="9" s="1"/>
  <c r="DH264" i="9"/>
  <c r="DF264" i="9"/>
  <c r="DC264" i="9"/>
  <c r="CA264" i="9"/>
  <c r="BZ264" i="9"/>
  <c r="DG264" i="9" s="1"/>
  <c r="BS264" i="9"/>
  <c r="BR264" i="9"/>
  <c r="BM264" i="9"/>
  <c r="BG264" i="9"/>
  <c r="BJ264" i="9" s="1"/>
  <c r="BC264" i="9"/>
  <c r="AV264" i="9" s="1"/>
  <c r="AU264" i="9"/>
  <c r="AN264" i="9"/>
  <c r="AM264" i="9"/>
  <c r="AL264" i="9"/>
  <c r="Y264" i="9"/>
  <c r="V264" i="9"/>
  <c r="U264" i="9"/>
  <c r="O264" i="9"/>
  <c r="M264" i="9"/>
  <c r="I264" i="9"/>
  <c r="Q264" i="9" s="1"/>
  <c r="DH263" i="9"/>
  <c r="DG263" i="9"/>
  <c r="DF263" i="9"/>
  <c r="DC263" i="9"/>
  <c r="CB263" i="9"/>
  <c r="DI263" i="9" s="1"/>
  <c r="BS263" i="9"/>
  <c r="BR263" i="9"/>
  <c r="BM263" i="9"/>
  <c r="BC263" i="9"/>
  <c r="AU263" i="9"/>
  <c r="AN263" i="9"/>
  <c r="BH263" i="9" s="1"/>
  <c r="BK263" i="9" s="1"/>
  <c r="AM263" i="9"/>
  <c r="BG263" i="9" s="1"/>
  <c r="BJ263" i="9" s="1"/>
  <c r="AL263" i="9"/>
  <c r="CC263" i="9" s="1"/>
  <c r="V263" i="9"/>
  <c r="U263" i="9"/>
  <c r="Q263" i="9"/>
  <c r="O263" i="9"/>
  <c r="M263" i="9"/>
  <c r="I263" i="9"/>
  <c r="DH262" i="9"/>
  <c r="DF262" i="9"/>
  <c r="DC262" i="9"/>
  <c r="BZ262" i="9"/>
  <c r="CB262" i="9" s="1"/>
  <c r="BS262" i="9"/>
  <c r="BR262" i="9"/>
  <c r="BM262" i="9"/>
  <c r="BC262" i="9"/>
  <c r="AV262" i="9"/>
  <c r="AU262" i="9"/>
  <c r="AN262" i="9"/>
  <c r="BH262" i="9" s="1"/>
  <c r="BK262" i="9" s="1"/>
  <c r="AM262" i="9"/>
  <c r="BG262" i="9" s="1"/>
  <c r="BJ262" i="9" s="1"/>
  <c r="AL262" i="9"/>
  <c r="BN262" i="9" s="1"/>
  <c r="Z262" i="9"/>
  <c r="AE262" i="9" s="1"/>
  <c r="U262" i="9"/>
  <c r="Q262" i="9"/>
  <c r="O262" i="9"/>
  <c r="M262" i="9"/>
  <c r="I262" i="9"/>
  <c r="R262" i="9" s="1"/>
  <c r="DC261" i="9"/>
  <c r="DB261" i="9"/>
  <c r="CA261" i="9"/>
  <c r="DH261" i="9" s="1"/>
  <c r="BZ261" i="9"/>
  <c r="DG261" i="9" s="1"/>
  <c r="BY261" i="9"/>
  <c r="DF261" i="9" s="1"/>
  <c r="BW261" i="9"/>
  <c r="AL261" i="9" s="1"/>
  <c r="BS261" i="9"/>
  <c r="BR261" i="9"/>
  <c r="BM261" i="9"/>
  <c r="BI261" i="9"/>
  <c r="BD261" i="9"/>
  <c r="BE261" i="9" s="1"/>
  <c r="BC261" i="9"/>
  <c r="BH261" i="9" s="1"/>
  <c r="AU261" i="9"/>
  <c r="AN261" i="9"/>
  <c r="AP261" i="9" s="1"/>
  <c r="AM261" i="9"/>
  <c r="BG261" i="9" s="1"/>
  <c r="BJ261" i="9" s="1"/>
  <c r="U261" i="9"/>
  <c r="Q261" i="9"/>
  <c r="O261" i="9"/>
  <c r="M261" i="9"/>
  <c r="I261" i="9"/>
  <c r="R261" i="9" s="1"/>
  <c r="DI260" i="9"/>
  <c r="DH260" i="9"/>
  <c r="DG260" i="9"/>
  <c r="DF260" i="9"/>
  <c r="DC260" i="9"/>
  <c r="CB260" i="9"/>
  <c r="BS260" i="9"/>
  <c r="BR260" i="9"/>
  <c r="BM260" i="9"/>
  <c r="BC260" i="9"/>
  <c r="AV260" i="9" s="1"/>
  <c r="AU260" i="9"/>
  <c r="AN260" i="9"/>
  <c r="AO260" i="9" s="1"/>
  <c r="AM260" i="9"/>
  <c r="BG260" i="9" s="1"/>
  <c r="BJ260" i="9" s="1"/>
  <c r="AL260" i="9"/>
  <c r="CC260" i="9" s="1"/>
  <c r="U260" i="9"/>
  <c r="O260" i="9"/>
  <c r="M260" i="9"/>
  <c r="I260" i="9"/>
  <c r="Q260" i="9" s="1"/>
  <c r="DH259" i="9"/>
  <c r="DF259" i="9"/>
  <c r="DC259" i="9"/>
  <c r="CB259" i="9"/>
  <c r="DI259" i="9" s="1"/>
  <c r="BZ259" i="9"/>
  <c r="DG259" i="9" s="1"/>
  <c r="BS259" i="9"/>
  <c r="BR259" i="9"/>
  <c r="BM259" i="9"/>
  <c r="BC259" i="9"/>
  <c r="AV259" i="9" s="1"/>
  <c r="AU259" i="9"/>
  <c r="AN259" i="9"/>
  <c r="AM259" i="9"/>
  <c r="BG259" i="9" s="1"/>
  <c r="BJ259" i="9" s="1"/>
  <c r="AL259" i="9"/>
  <c r="CC259" i="9" s="1"/>
  <c r="Y259" i="9"/>
  <c r="V259" i="9"/>
  <c r="U259" i="9"/>
  <c r="R259" i="9"/>
  <c r="O259" i="9"/>
  <c r="M259" i="9"/>
  <c r="I259" i="9"/>
  <c r="Q259" i="9" s="1"/>
  <c r="DF258" i="9"/>
  <c r="DC258" i="9"/>
  <c r="DB258" i="9"/>
  <c r="CA258" i="9"/>
  <c r="DH258" i="9" s="1"/>
  <c r="BZ258" i="9"/>
  <c r="DG258" i="9" s="1"/>
  <c r="BW258" i="9"/>
  <c r="AL258" i="9" s="1"/>
  <c r="BS258" i="9"/>
  <c r="BR258" i="9"/>
  <c r="BM258" i="9"/>
  <c r="BC258" i="9"/>
  <c r="AV258" i="9" s="1"/>
  <c r="AU258" i="9"/>
  <c r="AN258" i="9"/>
  <c r="AM258" i="9"/>
  <c r="BG258" i="9" s="1"/>
  <c r="BJ258" i="9" s="1"/>
  <c r="U258" i="9"/>
  <c r="Q258" i="9"/>
  <c r="O258" i="9"/>
  <c r="M258" i="9"/>
  <c r="I258" i="9"/>
  <c r="R258" i="9" s="1"/>
  <c r="DF257" i="9"/>
  <c r="DC257" i="9"/>
  <c r="DB257" i="9"/>
  <c r="CA257" i="9"/>
  <c r="DH257" i="9" s="1"/>
  <c r="BZ257" i="9"/>
  <c r="DG257" i="9" s="1"/>
  <c r="BW257" i="9"/>
  <c r="BS257" i="9"/>
  <c r="BR257" i="9"/>
  <c r="BQ257" i="9"/>
  <c r="BM257" i="9"/>
  <c r="BL257" i="9"/>
  <c r="BC257" i="9"/>
  <c r="BB257" i="9"/>
  <c r="AU257" i="9" s="1"/>
  <c r="AV257" i="9"/>
  <c r="AN257" i="9"/>
  <c r="AO257" i="9" s="1"/>
  <c r="AM257" i="9"/>
  <c r="BG257" i="9" s="1"/>
  <c r="BJ257" i="9" s="1"/>
  <c r="AL257" i="9"/>
  <c r="O257" i="9"/>
  <c r="M257" i="9"/>
  <c r="I257" i="9"/>
  <c r="Q257" i="9" s="1"/>
  <c r="DH256" i="9"/>
  <c r="DF256" i="9"/>
  <c r="DD256" i="9"/>
  <c r="DC256" i="9"/>
  <c r="BZ256" i="9"/>
  <c r="DG256" i="9" s="1"/>
  <c r="BW256" i="9"/>
  <c r="BS256" i="9"/>
  <c r="BR256" i="9"/>
  <c r="BM256" i="9"/>
  <c r="BC256" i="9"/>
  <c r="AV256" i="9"/>
  <c r="AU256" i="9"/>
  <c r="AN256" i="9"/>
  <c r="AO256" i="9" s="1"/>
  <c r="AM256" i="9"/>
  <c r="BG256" i="9" s="1"/>
  <c r="BJ256" i="9" s="1"/>
  <c r="AL256" i="9"/>
  <c r="Y256" i="9"/>
  <c r="V256" i="9"/>
  <c r="U256" i="9"/>
  <c r="CQ256" i="9" s="1"/>
  <c r="O256" i="9"/>
  <c r="M256" i="9"/>
  <c r="I256" i="9"/>
  <c r="Q256" i="9" s="1"/>
  <c r="DH255" i="9"/>
  <c r="DF255" i="9"/>
  <c r="DC255" i="9"/>
  <c r="CA255" i="9"/>
  <c r="BZ255" i="9"/>
  <c r="DG255" i="9" s="1"/>
  <c r="BY255" i="9"/>
  <c r="BW255" i="9"/>
  <c r="AL255" i="9" s="1"/>
  <c r="BS255" i="9"/>
  <c r="BR255" i="9"/>
  <c r="BM255" i="9"/>
  <c r="BC255" i="9"/>
  <c r="AV255" i="9" s="1"/>
  <c r="Z255" i="9" s="1"/>
  <c r="AF255" i="9" s="1"/>
  <c r="AU255" i="9"/>
  <c r="AN255" i="9"/>
  <c r="BH255" i="9" s="1"/>
  <c r="BK255" i="9" s="1"/>
  <c r="AM255" i="9"/>
  <c r="BG255" i="9" s="1"/>
  <c r="BJ255" i="9" s="1"/>
  <c r="U255" i="9"/>
  <c r="Q255" i="9"/>
  <c r="O255" i="9"/>
  <c r="M255" i="9"/>
  <c r="I255" i="9"/>
  <c r="R255" i="9" s="1"/>
  <c r="DH254" i="9"/>
  <c r="DG254" i="9"/>
  <c r="DF254" i="9"/>
  <c r="DC254" i="9"/>
  <c r="CB254" i="9"/>
  <c r="DI254" i="9" s="1"/>
  <c r="BS254" i="9"/>
  <c r="BR254" i="9"/>
  <c r="BM254" i="9"/>
  <c r="BC254" i="9"/>
  <c r="AV254" i="9"/>
  <c r="AU254" i="9"/>
  <c r="AN254" i="9"/>
  <c r="BH254" i="9" s="1"/>
  <c r="BK254" i="9" s="1"/>
  <c r="AM254" i="9"/>
  <c r="BG254" i="9" s="1"/>
  <c r="BJ254" i="9" s="1"/>
  <c r="AL254" i="9"/>
  <c r="CC254" i="9" s="1"/>
  <c r="Y254" i="9"/>
  <c r="V254" i="9"/>
  <c r="U254" i="9"/>
  <c r="O254" i="9"/>
  <c r="M254" i="9"/>
  <c r="I254" i="9"/>
  <c r="Q254" i="9" s="1"/>
  <c r="DH253" i="9"/>
  <c r="DF253" i="9"/>
  <c r="DC253" i="9"/>
  <c r="BZ253" i="9"/>
  <c r="DG253" i="9" s="1"/>
  <c r="BS253" i="9"/>
  <c r="BR253" i="9"/>
  <c r="BM253" i="9"/>
  <c r="BG253" i="9"/>
  <c r="BJ253" i="9" s="1"/>
  <c r="BC253" i="9"/>
  <c r="AV253" i="9"/>
  <c r="AU253" i="9"/>
  <c r="AN253" i="9"/>
  <c r="BH253" i="9" s="1"/>
  <c r="BK253" i="9" s="1"/>
  <c r="AM253" i="9"/>
  <c r="AL253" i="9"/>
  <c r="BN253" i="9" s="1"/>
  <c r="Y253" i="9"/>
  <c r="V253" i="9"/>
  <c r="U253" i="9"/>
  <c r="O253" i="9"/>
  <c r="M253" i="9"/>
  <c r="I253" i="9"/>
  <c r="Q253" i="9" s="1"/>
  <c r="DH252" i="9"/>
  <c r="DG252" i="9"/>
  <c r="DF252" i="9"/>
  <c r="DC252" i="9"/>
  <c r="CR252" i="9"/>
  <c r="CB252" i="9"/>
  <c r="DI252" i="9" s="1"/>
  <c r="BY252" i="9"/>
  <c r="BS252" i="9"/>
  <c r="BR252" i="9"/>
  <c r="BM252" i="9"/>
  <c r="BC252" i="9"/>
  <c r="AV252" i="9"/>
  <c r="AU252" i="9"/>
  <c r="AN252" i="9"/>
  <c r="AO252" i="9" s="1"/>
  <c r="AM252" i="9"/>
  <c r="BG252" i="9" s="1"/>
  <c r="BJ252" i="9" s="1"/>
  <c r="AL252" i="9"/>
  <c r="CC252" i="9" s="1"/>
  <c r="Y252" i="9"/>
  <c r="V252" i="9"/>
  <c r="U252" i="9"/>
  <c r="X252" i="9" s="1"/>
  <c r="O252" i="9"/>
  <c r="M252" i="9"/>
  <c r="I252" i="9"/>
  <c r="Q252" i="9" s="1"/>
  <c r="DH251" i="9"/>
  <c r="DG251" i="9"/>
  <c r="DF251" i="9"/>
  <c r="DC251" i="9"/>
  <c r="CR251" i="9"/>
  <c r="CB251" i="9"/>
  <c r="DI251" i="9" s="1"/>
  <c r="BS251" i="9"/>
  <c r="BR251" i="9"/>
  <c r="BM251" i="9"/>
  <c r="BC251" i="9"/>
  <c r="AV251" i="9" s="1"/>
  <c r="Z251" i="9" s="1"/>
  <c r="AE251" i="9" s="1"/>
  <c r="AU251" i="9"/>
  <c r="AN251" i="9"/>
  <c r="AM251" i="9"/>
  <c r="BG251" i="9" s="1"/>
  <c r="BJ251" i="9" s="1"/>
  <c r="AL251" i="9"/>
  <c r="CC251" i="9" s="1"/>
  <c r="V251" i="9"/>
  <c r="U251" i="9"/>
  <c r="X251" i="9" s="1"/>
  <c r="Q251" i="9"/>
  <c r="O251" i="9"/>
  <c r="M251" i="9"/>
  <c r="I251" i="9"/>
  <c r="DI250" i="9"/>
  <c r="DH250" i="9"/>
  <c r="DG250" i="9"/>
  <c r="DF250" i="9"/>
  <c r="DC250" i="9"/>
  <c r="CB250" i="9"/>
  <c r="BS250" i="9"/>
  <c r="BR250" i="9"/>
  <c r="BM250" i="9"/>
  <c r="BC250" i="9"/>
  <c r="AV250" i="9" s="1"/>
  <c r="Z250" i="9" s="1"/>
  <c r="AE250" i="9" s="1"/>
  <c r="AU250" i="9"/>
  <c r="AN250" i="9"/>
  <c r="AO250" i="9" s="1"/>
  <c r="AM250" i="9"/>
  <c r="BG250" i="9" s="1"/>
  <c r="BJ250" i="9" s="1"/>
  <c r="AL250" i="9"/>
  <c r="CC250" i="9" s="1"/>
  <c r="U250" i="9"/>
  <c r="CR250" i="9" s="1"/>
  <c r="Q250" i="9"/>
  <c r="O250" i="9"/>
  <c r="M250" i="9"/>
  <c r="I250" i="9"/>
  <c r="R250" i="9" s="1"/>
  <c r="DG249" i="9"/>
  <c r="DF249" i="9"/>
  <c r="DC249" i="9"/>
  <c r="DB249" i="9"/>
  <c r="CR249" i="9"/>
  <c r="CB249" i="9"/>
  <c r="DI249" i="9" s="1"/>
  <c r="CA249" i="9"/>
  <c r="DH249" i="9" s="1"/>
  <c r="BW249" i="9"/>
  <c r="BS249" i="9"/>
  <c r="BR249" i="9"/>
  <c r="BM249" i="9"/>
  <c r="BI249" i="9"/>
  <c r="BC249" i="9"/>
  <c r="AU249" i="9"/>
  <c r="AN249" i="9"/>
  <c r="AO249" i="9" s="1"/>
  <c r="AM249" i="9"/>
  <c r="BG249" i="9" s="1"/>
  <c r="BJ249" i="9" s="1"/>
  <c r="AL249" i="9"/>
  <c r="CC249" i="9" s="1"/>
  <c r="Y249" i="9"/>
  <c r="V249" i="9"/>
  <c r="U249" i="9"/>
  <c r="X249" i="9" s="1"/>
  <c r="P249" i="9"/>
  <c r="O249" i="9"/>
  <c r="M249" i="9"/>
  <c r="I249" i="9"/>
  <c r="Q249" i="9" s="1"/>
  <c r="DH248" i="9"/>
  <c r="DG248" i="9"/>
  <c r="DF248" i="9"/>
  <c r="CB248" i="9"/>
  <c r="DI248" i="9" s="1"/>
  <c r="CA248" i="9"/>
  <c r="BW248" i="9"/>
  <c r="AL248" i="9" s="1"/>
  <c r="BS248" i="9"/>
  <c r="BR248" i="9"/>
  <c r="BM248" i="9"/>
  <c r="BC248" i="9"/>
  <c r="AV248" i="9"/>
  <c r="AU248" i="9"/>
  <c r="AN248" i="9"/>
  <c r="BH248" i="9" s="1"/>
  <c r="BK248" i="9" s="1"/>
  <c r="AM248" i="9"/>
  <c r="BG248" i="9" s="1"/>
  <c r="BJ248" i="9" s="1"/>
  <c r="Z248" i="9"/>
  <c r="AE248" i="9" s="1"/>
  <c r="U248" i="9"/>
  <c r="Y248" i="9" s="1"/>
  <c r="P248" i="9"/>
  <c r="DC248" i="9" s="1"/>
  <c r="O248" i="9"/>
  <c r="M248" i="9"/>
  <c r="I248" i="9"/>
  <c r="Q248" i="9" s="1"/>
  <c r="DF247" i="9"/>
  <c r="DC247" i="9"/>
  <c r="DB247" i="9"/>
  <c r="CA247" i="9"/>
  <c r="DH247" i="9" s="1"/>
  <c r="BZ247" i="9"/>
  <c r="DG247" i="9" s="1"/>
  <c r="BW247" i="9"/>
  <c r="BS247" i="9"/>
  <c r="BR247" i="9"/>
  <c r="BM247" i="9"/>
  <c r="BG247" i="9"/>
  <c r="BJ247" i="9" s="1"/>
  <c r="BC247" i="9"/>
  <c r="AV247" i="9" s="1"/>
  <c r="AU247" i="9"/>
  <c r="AN247" i="9"/>
  <c r="AM247" i="9"/>
  <c r="AL247" i="9"/>
  <c r="BN247" i="9" s="1"/>
  <c r="Y247" i="9"/>
  <c r="V247" i="9"/>
  <c r="U247" i="9"/>
  <c r="CR247" i="9" s="1"/>
  <c r="O247" i="9"/>
  <c r="M247" i="9"/>
  <c r="I247" i="9"/>
  <c r="Q247" i="9" s="1"/>
  <c r="DH246" i="9"/>
  <c r="DF246" i="9"/>
  <c r="DC246" i="9"/>
  <c r="CB246" i="9"/>
  <c r="DI246" i="9" s="1"/>
  <c r="BZ246" i="9"/>
  <c r="DG246" i="9" s="1"/>
  <c r="BS246" i="9"/>
  <c r="BR246" i="9"/>
  <c r="BN246" i="9"/>
  <c r="BO246" i="9" s="1"/>
  <c r="BM246" i="9"/>
  <c r="BD246" i="9"/>
  <c r="BE246" i="9" s="1"/>
  <c r="BC246" i="9"/>
  <c r="BH246" i="9" s="1"/>
  <c r="BK246" i="9" s="1"/>
  <c r="AY246" i="9"/>
  <c r="AV246" i="9"/>
  <c r="AZ246" i="9" s="1"/>
  <c r="AU246" i="9"/>
  <c r="AN246" i="9"/>
  <c r="AP246" i="9" s="1"/>
  <c r="AM246" i="9"/>
  <c r="BG246" i="9" s="1"/>
  <c r="BJ246" i="9" s="1"/>
  <c r="AL246" i="9"/>
  <c r="CC246" i="9" s="1"/>
  <c r="AG246" i="9"/>
  <c r="Z246" i="9"/>
  <c r="AF246" i="9" s="1"/>
  <c r="U246" i="9"/>
  <c r="Q246" i="9"/>
  <c r="O246" i="9"/>
  <c r="M246" i="9"/>
  <c r="I246" i="9"/>
  <c r="R246" i="9" s="1"/>
  <c r="DG245" i="9"/>
  <c r="DF245" i="9"/>
  <c r="DC245" i="9"/>
  <c r="CA245" i="9"/>
  <c r="DH245" i="9" s="1"/>
  <c r="BZ245" i="9"/>
  <c r="CB245" i="9" s="1"/>
  <c r="BS245" i="9"/>
  <c r="BR245" i="9"/>
  <c r="BN245" i="9"/>
  <c r="BO245" i="9" s="1"/>
  <c r="BM245" i="9"/>
  <c r="BD245" i="9"/>
  <c r="BE245" i="9" s="1"/>
  <c r="BC245" i="9"/>
  <c r="BH245" i="9" s="1"/>
  <c r="BK245" i="9" s="1"/>
  <c r="AY245" i="9"/>
  <c r="AV245" i="9"/>
  <c r="AZ245" i="9" s="1"/>
  <c r="AU245" i="9"/>
  <c r="AN245" i="9"/>
  <c r="AP245" i="9" s="1"/>
  <c r="AM245" i="9"/>
  <c r="BG245" i="9" s="1"/>
  <c r="BJ245" i="9" s="1"/>
  <c r="AL245" i="9"/>
  <c r="AG245" i="9"/>
  <c r="Z245" i="9"/>
  <c r="AF245" i="9" s="1"/>
  <c r="U245" i="9"/>
  <c r="Q245" i="9"/>
  <c r="O245" i="9"/>
  <c r="M245" i="9"/>
  <c r="I245" i="9"/>
  <c r="R245" i="9" s="1"/>
  <c r="DH244" i="9"/>
  <c r="DG244" i="9"/>
  <c r="DF244" i="9"/>
  <c r="DC244" i="9"/>
  <c r="CB244" i="9"/>
  <c r="DI244" i="9" s="1"/>
  <c r="BZ244" i="9"/>
  <c r="BS244" i="9"/>
  <c r="BS242" i="9" s="1"/>
  <c r="BS241" i="9" s="1"/>
  <c r="BS301" i="9" s="1"/>
  <c r="BS317" i="9" s="1"/>
  <c r="BR244" i="9"/>
  <c r="BQ244" i="9"/>
  <c r="BM244" i="9"/>
  <c r="BL244" i="9"/>
  <c r="BC244" i="9"/>
  <c r="BB244" i="9"/>
  <c r="AU244" i="9" s="1"/>
  <c r="AV244" i="9"/>
  <c r="AS244" i="9"/>
  <c r="AM244" i="9" s="1"/>
  <c r="BG244" i="9" s="1"/>
  <c r="BJ244" i="9" s="1"/>
  <c r="AQ244" i="9"/>
  <c r="AN244" i="9"/>
  <c r="AO244" i="9" s="1"/>
  <c r="AL244" i="9"/>
  <c r="CC244" i="9" s="1"/>
  <c r="O244" i="9"/>
  <c r="M244" i="9"/>
  <c r="I244" i="9"/>
  <c r="Q244" i="9" s="1"/>
  <c r="DH243" i="9"/>
  <c r="DF243" i="9"/>
  <c r="DC243" i="9"/>
  <c r="BZ243" i="9"/>
  <c r="DG243" i="9" s="1"/>
  <c r="BS243" i="9"/>
  <c r="BR243" i="9"/>
  <c r="BQ243" i="9"/>
  <c r="BQ468" i="9" s="1"/>
  <c r="BN243" i="9"/>
  <c r="BO243" i="9" s="1"/>
  <c r="BM243" i="9"/>
  <c r="BL243" i="9"/>
  <c r="BL468" i="9" s="1"/>
  <c r="BC243" i="9"/>
  <c r="AV243" i="9" s="1"/>
  <c r="BB243" i="9"/>
  <c r="BB468" i="9" s="1"/>
  <c r="AU243" i="9"/>
  <c r="AS243" i="9"/>
  <c r="AS468" i="9" s="1"/>
  <c r="AQ243" i="9"/>
  <c r="AQ468" i="9" s="1"/>
  <c r="AN243" i="9"/>
  <c r="BH243" i="9" s="1"/>
  <c r="AM243" i="9"/>
  <c r="BG243" i="9" s="1"/>
  <c r="BJ243" i="9" s="1"/>
  <c r="AL243" i="9"/>
  <c r="U243" i="9"/>
  <c r="Q243" i="9"/>
  <c r="O243" i="9"/>
  <c r="O427" i="9" s="1"/>
  <c r="M243" i="9"/>
  <c r="M427" i="9" s="1"/>
  <c r="I243" i="9"/>
  <c r="I427" i="9" s="1"/>
  <c r="DB242" i="9"/>
  <c r="CA242" i="9"/>
  <c r="DH242" i="9" s="1"/>
  <c r="BZ242" i="9"/>
  <c r="DG242" i="9" s="1"/>
  <c r="BY242" i="9"/>
  <c r="DF242" i="9" s="1"/>
  <c r="BW242" i="9"/>
  <c r="BV242" i="9"/>
  <c r="BU242" i="9"/>
  <c r="BR242" i="9"/>
  <c r="BQ242" i="9"/>
  <c r="BM242" i="9"/>
  <c r="BL242" i="9"/>
  <c r="BI242" i="9"/>
  <c r="BC242" i="9"/>
  <c r="BB242" i="9"/>
  <c r="AU242" i="9"/>
  <c r="AT242" i="9"/>
  <c r="AS242" i="9"/>
  <c r="AR242" i="9"/>
  <c r="AQ242" i="9"/>
  <c r="AN242" i="9"/>
  <c r="AP242" i="9" s="1"/>
  <c r="AM242" i="9"/>
  <c r="BG242" i="9" s="1"/>
  <c r="T242" i="9"/>
  <c r="S242" i="9"/>
  <c r="P242" i="9"/>
  <c r="DC242" i="9" s="1"/>
  <c r="O242" i="9"/>
  <c r="N242" i="9"/>
  <c r="M242" i="9"/>
  <c r="L242" i="9"/>
  <c r="K242" i="9"/>
  <c r="J242" i="9"/>
  <c r="I242" i="9"/>
  <c r="Q242" i="9" s="1"/>
  <c r="H242" i="9"/>
  <c r="G242" i="9"/>
  <c r="F242" i="9"/>
  <c r="E242" i="9"/>
  <c r="D242" i="9"/>
  <c r="C242" i="9"/>
  <c r="DB241" i="9"/>
  <c r="DB301" i="9" s="1"/>
  <c r="CA241" i="9"/>
  <c r="CA301" i="9" s="1"/>
  <c r="DH301" i="9" s="1"/>
  <c r="BZ241" i="9"/>
  <c r="BZ301" i="9" s="1"/>
  <c r="DG301" i="9" s="1"/>
  <c r="BY241" i="9"/>
  <c r="BY301" i="9" s="1"/>
  <c r="DF301" i="9" s="1"/>
  <c r="BW241" i="9"/>
  <c r="BW301" i="9" s="1"/>
  <c r="BV241" i="9"/>
  <c r="BV301" i="9" s="1"/>
  <c r="BU241" i="9"/>
  <c r="BU301" i="9" s="1"/>
  <c r="BR241" i="9"/>
  <c r="BR301" i="9" s="1"/>
  <c r="BR317" i="9" s="1"/>
  <c r="BQ241" i="9"/>
  <c r="BM241" i="9"/>
  <c r="BM301" i="9" s="1"/>
  <c r="BM317" i="9" s="1"/>
  <c r="BL241" i="9"/>
  <c r="BI241" i="9"/>
  <c r="BI301" i="9" s="1"/>
  <c r="BC241" i="9"/>
  <c r="BC301" i="9" s="1"/>
  <c r="BB241" i="9"/>
  <c r="AU241" i="9"/>
  <c r="AT241" i="9"/>
  <c r="AT301" i="9" s="1"/>
  <c r="AS241" i="9"/>
  <c r="AR241" i="9"/>
  <c r="AR301" i="9" s="1"/>
  <c r="AN301" i="9" s="1"/>
  <c r="AQ241" i="9"/>
  <c r="AN241" i="9"/>
  <c r="AP241" i="9" s="1"/>
  <c r="AM241" i="9"/>
  <c r="BG241" i="9" s="1"/>
  <c r="T241" i="9"/>
  <c r="S241" i="9"/>
  <c r="S301" i="9" s="1"/>
  <c r="P241" i="9"/>
  <c r="P301" i="9" s="1"/>
  <c r="O241" i="9"/>
  <c r="O301" i="9" s="1"/>
  <c r="N241" i="9"/>
  <c r="N301" i="9" s="1"/>
  <c r="M241" i="9"/>
  <c r="M301" i="9" s="1"/>
  <c r="L241" i="9"/>
  <c r="K241" i="9"/>
  <c r="J241" i="9"/>
  <c r="I241" i="9"/>
  <c r="I301" i="9" s="1"/>
  <c r="H241" i="9"/>
  <c r="H301" i="9" s="1"/>
  <c r="G241" i="9"/>
  <c r="F241" i="9"/>
  <c r="E241" i="9"/>
  <c r="D241" i="9"/>
  <c r="C241" i="9"/>
  <c r="DI240" i="9"/>
  <c r="DH240" i="9"/>
  <c r="DG240" i="9"/>
  <c r="DF240" i="9"/>
  <c r="DC240" i="9"/>
  <c r="DB240" i="9"/>
  <c r="CC240" i="9"/>
  <c r="BP240" i="9"/>
  <c r="BO240" i="9"/>
  <c r="BK240" i="9"/>
  <c r="BG240" i="9"/>
  <c r="BJ240" i="9" s="1"/>
  <c r="BF240" i="9"/>
  <c r="BE240" i="9"/>
  <c r="AA240" i="9"/>
  <c r="Y240" i="9"/>
  <c r="X240" i="9"/>
  <c r="V240" i="9"/>
  <c r="R240" i="9"/>
  <c r="Q240" i="9"/>
  <c r="F240" i="9"/>
  <c r="E240" i="9"/>
  <c r="DI238" i="9"/>
  <c r="DH238" i="9"/>
  <c r="DG238" i="9"/>
  <c r="DF238" i="9"/>
  <c r="DC238" i="9"/>
  <c r="BS238" i="9"/>
  <c r="BR238" i="9"/>
  <c r="BM238" i="9"/>
  <c r="BC238" i="9"/>
  <c r="AV238" i="9"/>
  <c r="Z238" i="9" s="1"/>
  <c r="AE238" i="9" s="1"/>
  <c r="AU238" i="9"/>
  <c r="AN238" i="9"/>
  <c r="BH238" i="9" s="1"/>
  <c r="BK238" i="9" s="1"/>
  <c r="AM238" i="9"/>
  <c r="BG238" i="9" s="1"/>
  <c r="BJ238" i="9" s="1"/>
  <c r="AL238" i="9"/>
  <c r="BN238" i="9" s="1"/>
  <c r="X238" i="9"/>
  <c r="V238" i="9"/>
  <c r="Q238" i="9"/>
  <c r="DI237" i="9"/>
  <c r="DH237" i="9"/>
  <c r="DG237" i="9"/>
  <c r="DF237" i="9"/>
  <c r="DC237" i="9"/>
  <c r="BS237" i="9"/>
  <c r="BR237" i="9"/>
  <c r="BM237" i="9"/>
  <c r="BC237" i="9"/>
  <c r="AV237" i="9"/>
  <c r="Z237" i="9" s="1"/>
  <c r="AE237" i="9" s="1"/>
  <c r="AU237" i="9"/>
  <c r="AN237" i="9"/>
  <c r="BH237" i="9" s="1"/>
  <c r="BK237" i="9" s="1"/>
  <c r="AM237" i="9"/>
  <c r="BG237" i="9" s="1"/>
  <c r="BJ237" i="9" s="1"/>
  <c r="AL237" i="9"/>
  <c r="BN237" i="9" s="1"/>
  <c r="V237" i="9"/>
  <c r="U237" i="9"/>
  <c r="Q237" i="9"/>
  <c r="O237" i="9"/>
  <c r="M237" i="9"/>
  <c r="I237" i="9"/>
  <c r="DI236" i="9"/>
  <c r="DH236" i="9"/>
  <c r="DG236" i="9"/>
  <c r="DF236" i="9"/>
  <c r="DC236" i="9"/>
  <c r="BS236" i="9"/>
  <c r="BR236" i="9"/>
  <c r="BM236" i="9"/>
  <c r="BC236" i="9"/>
  <c r="AV236" i="9" s="1"/>
  <c r="Z236" i="9" s="1"/>
  <c r="AE236" i="9" s="1"/>
  <c r="AU236" i="9"/>
  <c r="AN236" i="9"/>
  <c r="AM236" i="9"/>
  <c r="BG236" i="9" s="1"/>
  <c r="BJ236" i="9" s="1"/>
  <c r="AL236" i="9"/>
  <c r="BN236" i="9" s="1"/>
  <c r="V236" i="9"/>
  <c r="U236" i="9"/>
  <c r="Q236" i="9"/>
  <c r="O236" i="9"/>
  <c r="M236" i="9"/>
  <c r="I236" i="9"/>
  <c r="DH235" i="9"/>
  <c r="DG235" i="9"/>
  <c r="DF235" i="9"/>
  <c r="DD235" i="9"/>
  <c r="DC235" i="9"/>
  <c r="CB235" i="9"/>
  <c r="DI235" i="9" s="1"/>
  <c r="BS235" i="9"/>
  <c r="BR235" i="9"/>
  <c r="BM235" i="9"/>
  <c r="BC235" i="9"/>
  <c r="AV235" i="9" s="1"/>
  <c r="Z235" i="9" s="1"/>
  <c r="AU235" i="9"/>
  <c r="AN235" i="9"/>
  <c r="BH235" i="9" s="1"/>
  <c r="BK235" i="9" s="1"/>
  <c r="AM235" i="9"/>
  <c r="BG235" i="9" s="1"/>
  <c r="BJ235" i="9" s="1"/>
  <c r="AL235" i="9"/>
  <c r="CC235" i="9" s="1"/>
  <c r="U235" i="9"/>
  <c r="O235" i="9"/>
  <c r="M235" i="9"/>
  <c r="I235" i="9"/>
  <c r="Q235" i="9" s="1"/>
  <c r="DH234" i="9"/>
  <c r="DG234" i="9"/>
  <c r="DF234" i="9"/>
  <c r="DD234" i="9"/>
  <c r="DC234" i="9"/>
  <c r="DB234" i="9"/>
  <c r="CB234" i="9"/>
  <c r="DI234" i="9" s="1"/>
  <c r="BY234" i="9"/>
  <c r="BS234" i="9"/>
  <c r="BR234" i="9"/>
  <c r="BM234" i="9"/>
  <c r="BI234" i="9"/>
  <c r="BC234" i="9"/>
  <c r="AV234" i="9" s="1"/>
  <c r="Z234" i="9" s="1"/>
  <c r="AE234" i="9" s="1"/>
  <c r="AU234" i="9"/>
  <c r="AN234" i="9"/>
  <c r="BH234" i="9" s="1"/>
  <c r="AM234" i="9"/>
  <c r="BG234" i="9" s="1"/>
  <c r="AL234" i="9"/>
  <c r="CC234" i="9" s="1"/>
  <c r="X234" i="9"/>
  <c r="V234" i="9"/>
  <c r="U234" i="9"/>
  <c r="O234" i="9"/>
  <c r="M234" i="9"/>
  <c r="I234" i="9"/>
  <c r="Q234" i="9" s="1"/>
  <c r="DH233" i="9"/>
  <c r="DF233" i="9"/>
  <c r="DD233" i="9"/>
  <c r="DB233" i="9"/>
  <c r="CA233" i="9"/>
  <c r="BZ233" i="9"/>
  <c r="DG233" i="9" s="1"/>
  <c r="BY233" i="9"/>
  <c r="BU233" i="9"/>
  <c r="BS233" i="9"/>
  <c r="BR233" i="9"/>
  <c r="BM233" i="9"/>
  <c r="BG233" i="9"/>
  <c r="BJ233" i="9" s="1"/>
  <c r="BC233" i="9"/>
  <c r="AV233" i="9"/>
  <c r="Z233" i="9" s="1"/>
  <c r="AE233" i="9" s="1"/>
  <c r="AU233" i="9"/>
  <c r="AN233" i="9"/>
  <c r="BH233" i="9" s="1"/>
  <c r="BK233" i="9" s="1"/>
  <c r="AM233" i="9"/>
  <c r="AL233" i="9"/>
  <c r="V233" i="9"/>
  <c r="U233" i="9"/>
  <c r="P233" i="9"/>
  <c r="Q233" i="9" s="1"/>
  <c r="M233" i="9"/>
  <c r="I233" i="9"/>
  <c r="DH232" i="9"/>
  <c r="DG232" i="9"/>
  <c r="DC232" i="9"/>
  <c r="BY232" i="9"/>
  <c r="DF232" i="9" s="1"/>
  <c r="BS232" i="9"/>
  <c r="BR232" i="9"/>
  <c r="BM232" i="9"/>
  <c r="BC232" i="9"/>
  <c r="AV232" i="9"/>
  <c r="AU232" i="9"/>
  <c r="AN232" i="9"/>
  <c r="BH232" i="9" s="1"/>
  <c r="BK232" i="9" s="1"/>
  <c r="AM232" i="9"/>
  <c r="BG232" i="9" s="1"/>
  <c r="BJ232" i="9" s="1"/>
  <c r="AL232" i="9"/>
  <c r="BN232" i="9" s="1"/>
  <c r="U232" i="9"/>
  <c r="Q232" i="9"/>
  <c r="O232" i="9"/>
  <c r="M232" i="9"/>
  <c r="I232" i="9"/>
  <c r="R232" i="9" s="1"/>
  <c r="DH231" i="9"/>
  <c r="DG231" i="9"/>
  <c r="BY231" i="9"/>
  <c r="DF231" i="9" s="1"/>
  <c r="BS231" i="9"/>
  <c r="BR231" i="9"/>
  <c r="BM231" i="9"/>
  <c r="BC231" i="9"/>
  <c r="AV231" i="9" s="1"/>
  <c r="AU231" i="9"/>
  <c r="AN231" i="9"/>
  <c r="AM231" i="9"/>
  <c r="BG231" i="9" s="1"/>
  <c r="BJ231" i="9" s="1"/>
  <c r="AL231" i="9"/>
  <c r="BN231" i="9" s="1"/>
  <c r="U231" i="9"/>
  <c r="P231" i="9"/>
  <c r="R231" i="9" s="1"/>
  <c r="O231" i="9"/>
  <c r="M231" i="9"/>
  <c r="I231" i="9"/>
  <c r="Q231" i="9" s="1"/>
  <c r="DB230" i="9"/>
  <c r="CA230" i="9"/>
  <c r="DH230" i="9" s="1"/>
  <c r="BZ230" i="9"/>
  <c r="DG230" i="9" s="1"/>
  <c r="BY230" i="9"/>
  <c r="DF230" i="9" s="1"/>
  <c r="BW230" i="9"/>
  <c r="BV230" i="9"/>
  <c r="BU230" i="9"/>
  <c r="BS230" i="9"/>
  <c r="BR230" i="9"/>
  <c r="BQ230" i="9"/>
  <c r="BM230" i="9"/>
  <c r="BL230" i="9"/>
  <c r="BI230" i="9"/>
  <c r="BC230" i="9"/>
  <c r="BB230" i="9"/>
  <c r="AU230" i="9"/>
  <c r="AT230" i="9"/>
  <c r="AS230" i="9"/>
  <c r="AR230" i="9"/>
  <c r="AQ230" i="9"/>
  <c r="AN230" i="9"/>
  <c r="AP230" i="9" s="1"/>
  <c r="AM230" i="9"/>
  <c r="BG230" i="9" s="1"/>
  <c r="AL230" i="9"/>
  <c r="U230" i="9"/>
  <c r="X230" i="9" s="1"/>
  <c r="T230" i="9"/>
  <c r="S230" i="9"/>
  <c r="P230" i="9"/>
  <c r="DC230" i="9" s="1"/>
  <c r="N230" i="9"/>
  <c r="M230" i="9"/>
  <c r="L230" i="9"/>
  <c r="K230" i="9"/>
  <c r="J230" i="9"/>
  <c r="I230" i="9"/>
  <c r="Q230" i="9" s="1"/>
  <c r="H230" i="9"/>
  <c r="G230" i="9"/>
  <c r="F230" i="9"/>
  <c r="E230" i="9"/>
  <c r="D230" i="9"/>
  <c r="C230" i="9"/>
  <c r="DH229" i="9"/>
  <c r="DG229" i="9"/>
  <c r="DF229" i="9"/>
  <c r="DC229" i="9"/>
  <c r="CB229" i="9"/>
  <c r="DI229" i="9" s="1"/>
  <c r="BS229" i="9"/>
  <c r="BR229" i="9"/>
  <c r="BM229" i="9"/>
  <c r="BC229" i="9"/>
  <c r="AV229" i="9" s="1"/>
  <c r="AU229" i="9"/>
  <c r="AN229" i="9"/>
  <c r="AM229" i="9"/>
  <c r="BG229" i="9" s="1"/>
  <c r="BJ229" i="9" s="1"/>
  <c r="AL229" i="9"/>
  <c r="CC229" i="9" s="1"/>
  <c r="Y229" i="9"/>
  <c r="V229" i="9"/>
  <c r="U229" i="9"/>
  <c r="O229" i="9"/>
  <c r="M229" i="9"/>
  <c r="I229" i="9"/>
  <c r="Q229" i="9" s="1"/>
  <c r="DH228" i="9"/>
  <c r="DG228" i="9"/>
  <c r="DF228" i="9"/>
  <c r="DC228" i="9"/>
  <c r="DB228" i="9"/>
  <c r="CB228" i="9"/>
  <c r="DI228" i="9" s="1"/>
  <c r="BS228" i="9"/>
  <c r="BR228" i="9"/>
  <c r="BM228" i="9"/>
  <c r="BC228" i="9"/>
  <c r="AV228" i="9"/>
  <c r="AU228" i="9"/>
  <c r="AN228" i="9"/>
  <c r="AP228" i="9" s="1"/>
  <c r="AM228" i="9"/>
  <c r="BG228" i="9" s="1"/>
  <c r="BJ228" i="9" s="1"/>
  <c r="AL228" i="9"/>
  <c r="CC228" i="9" s="1"/>
  <c r="Z228" i="9"/>
  <c r="AF228" i="9" s="1"/>
  <c r="U228" i="9"/>
  <c r="Q228" i="9"/>
  <c r="O228" i="9"/>
  <c r="M228" i="9"/>
  <c r="I228" i="9"/>
  <c r="R228" i="9" s="1"/>
  <c r="DH227" i="9"/>
  <c r="DG227" i="9"/>
  <c r="DB227" i="9"/>
  <c r="CB227" i="9"/>
  <c r="DI227" i="9" s="1"/>
  <c r="BY227" i="9"/>
  <c r="DF227" i="9" s="1"/>
  <c r="BS227" i="9"/>
  <c r="BR227" i="9"/>
  <c r="BM227" i="9"/>
  <c r="BI227" i="9"/>
  <c r="BC227" i="9"/>
  <c r="AV227" i="9"/>
  <c r="AU227" i="9"/>
  <c r="AN227" i="9"/>
  <c r="BH227" i="9" s="1"/>
  <c r="AM227" i="9"/>
  <c r="BG227" i="9" s="1"/>
  <c r="AL227" i="9"/>
  <c r="CC227" i="9" s="1"/>
  <c r="Z227" i="9"/>
  <c r="AE227" i="9" s="1"/>
  <c r="U227" i="9"/>
  <c r="P227" i="9"/>
  <c r="Q227" i="9" s="1"/>
  <c r="M227" i="9"/>
  <c r="I227" i="9"/>
  <c r="DH226" i="9"/>
  <c r="DG226" i="9"/>
  <c r="DF226" i="9"/>
  <c r="DC226" i="9"/>
  <c r="DB226" i="9"/>
  <c r="CB226" i="9"/>
  <c r="DI226" i="9" s="1"/>
  <c r="BS226" i="9"/>
  <c r="BR226" i="9"/>
  <c r="BM226" i="9"/>
  <c r="BC226" i="9"/>
  <c r="AV226" i="9" s="1"/>
  <c r="Z226" i="9" s="1"/>
  <c r="AE226" i="9" s="1"/>
  <c r="AU226" i="9"/>
  <c r="AN226" i="9"/>
  <c r="BH226" i="9" s="1"/>
  <c r="BK226" i="9" s="1"/>
  <c r="AM226" i="9"/>
  <c r="BG226" i="9" s="1"/>
  <c r="BJ226" i="9" s="1"/>
  <c r="AL226" i="9"/>
  <c r="CC226" i="9" s="1"/>
  <c r="Y226" i="9"/>
  <c r="V226" i="9"/>
  <c r="U226" i="9"/>
  <c r="O226" i="9"/>
  <c r="M226" i="9"/>
  <c r="I226" i="9"/>
  <c r="Q226" i="9" s="1"/>
  <c r="DC225" i="9"/>
  <c r="DB225" i="9"/>
  <c r="CA225" i="9"/>
  <c r="DH225" i="9" s="1"/>
  <c r="BZ225" i="9"/>
  <c r="DG225" i="9" s="1"/>
  <c r="BY225" i="9"/>
  <c r="CB225" i="9" s="1"/>
  <c r="DI225" i="9" s="1"/>
  <c r="BU225" i="9"/>
  <c r="BS225" i="9"/>
  <c r="BR225" i="9"/>
  <c r="BQ225" i="9"/>
  <c r="BM225" i="9"/>
  <c r="BL225" i="9"/>
  <c r="BC225" i="9"/>
  <c r="AV225" i="9" s="1"/>
  <c r="Z225" i="9" s="1"/>
  <c r="AU225" i="9"/>
  <c r="AS225" i="9"/>
  <c r="AN225" i="9"/>
  <c r="AO225" i="9" s="1"/>
  <c r="AM225" i="9"/>
  <c r="BG225" i="9" s="1"/>
  <c r="BJ225" i="9" s="1"/>
  <c r="AL225" i="9"/>
  <c r="BN225" i="9" s="1"/>
  <c r="Y225" i="9"/>
  <c r="V225" i="9"/>
  <c r="U225" i="9"/>
  <c r="O225" i="9"/>
  <c r="M225" i="9"/>
  <c r="I225" i="9"/>
  <c r="Q225" i="9" s="1"/>
  <c r="DH224" i="9"/>
  <c r="DG224" i="9"/>
  <c r="DF224" i="9"/>
  <c r="DC224" i="9"/>
  <c r="DB224" i="9"/>
  <c r="CB224" i="9"/>
  <c r="DI224" i="9" s="1"/>
  <c r="BS224" i="9"/>
  <c r="BR224" i="9"/>
  <c r="BM224" i="9"/>
  <c r="BC224" i="9"/>
  <c r="AV224" i="9"/>
  <c r="Z224" i="9" s="1"/>
  <c r="AF224" i="9" s="1"/>
  <c r="AU224" i="9"/>
  <c r="AN224" i="9"/>
  <c r="AP224" i="9" s="1"/>
  <c r="AM224" i="9"/>
  <c r="BG224" i="9" s="1"/>
  <c r="BJ224" i="9" s="1"/>
  <c r="AL224" i="9"/>
  <c r="CC224" i="9" s="1"/>
  <c r="U224" i="9"/>
  <c r="O224" i="9"/>
  <c r="M224" i="9"/>
  <c r="I224" i="9"/>
  <c r="R224" i="9" s="1"/>
  <c r="DH223" i="9"/>
  <c r="DG223" i="9"/>
  <c r="DF223" i="9"/>
  <c r="DC223" i="9"/>
  <c r="DB223" i="9"/>
  <c r="CB223" i="9"/>
  <c r="DI223" i="9" s="1"/>
  <c r="BS223" i="9"/>
  <c r="BR223" i="9"/>
  <c r="BM223" i="9"/>
  <c r="BC223" i="9"/>
  <c r="AU223" i="9"/>
  <c r="AN223" i="9"/>
  <c r="AM223" i="9"/>
  <c r="BG223" i="9" s="1"/>
  <c r="BJ223" i="9" s="1"/>
  <c r="AL223" i="9"/>
  <c r="CC223" i="9" s="1"/>
  <c r="U223" i="9"/>
  <c r="Q223" i="9"/>
  <c r="O223" i="9"/>
  <c r="M223" i="9"/>
  <c r="I223" i="9"/>
  <c r="R223" i="9" s="1"/>
  <c r="DH222" i="9"/>
  <c r="DG222" i="9"/>
  <c r="DF222" i="9"/>
  <c r="DC222" i="9"/>
  <c r="DB222" i="9"/>
  <c r="CB222" i="9"/>
  <c r="DI222" i="9" s="1"/>
  <c r="BS222" i="9"/>
  <c r="BR222" i="9"/>
  <c r="BM222" i="9"/>
  <c r="BC222" i="9"/>
  <c r="AV222" i="9"/>
  <c r="AU222" i="9"/>
  <c r="AN222" i="9"/>
  <c r="BH222" i="9" s="1"/>
  <c r="BK222" i="9" s="1"/>
  <c r="AM222" i="9"/>
  <c r="BG222" i="9" s="1"/>
  <c r="BJ222" i="9" s="1"/>
  <c r="AL222" i="9"/>
  <c r="CC222" i="9" s="1"/>
  <c r="Z222" i="9"/>
  <c r="AE222" i="9" s="1"/>
  <c r="Y222" i="9"/>
  <c r="V222" i="9"/>
  <c r="U222" i="9"/>
  <c r="O222" i="9"/>
  <c r="M222" i="9"/>
  <c r="I222" i="9"/>
  <c r="Q222" i="9" s="1"/>
  <c r="DH221" i="9"/>
  <c r="DG221" i="9"/>
  <c r="DF221" i="9"/>
  <c r="DC221" i="9"/>
  <c r="CB221" i="9"/>
  <c r="DI221" i="9" s="1"/>
  <c r="BS221" i="9"/>
  <c r="BR221" i="9"/>
  <c r="BM221" i="9"/>
  <c r="BI221" i="9"/>
  <c r="BC221" i="9"/>
  <c r="AV221" i="9" s="1"/>
  <c r="AU221" i="9"/>
  <c r="AN221" i="9"/>
  <c r="AO221" i="9" s="1"/>
  <c r="AM221" i="9"/>
  <c r="BG221" i="9" s="1"/>
  <c r="BJ221" i="9" s="1"/>
  <c r="AL221" i="9"/>
  <c r="CC221" i="9" s="1"/>
  <c r="Y221" i="9"/>
  <c r="V221" i="9"/>
  <c r="U221" i="9"/>
  <c r="O221" i="9"/>
  <c r="M221" i="9"/>
  <c r="I221" i="9"/>
  <c r="Q221" i="9" s="1"/>
  <c r="DH220" i="9"/>
  <c r="DG220" i="9"/>
  <c r="DF220" i="9"/>
  <c r="DC220" i="9"/>
  <c r="DB220" i="9"/>
  <c r="CB220" i="9"/>
  <c r="DI220" i="9" s="1"/>
  <c r="BS220" i="9"/>
  <c r="BR220" i="9"/>
  <c r="BM220" i="9"/>
  <c r="BC220" i="9"/>
  <c r="AV220" i="9"/>
  <c r="AU220" i="9"/>
  <c r="AN220" i="9"/>
  <c r="AP220" i="9" s="1"/>
  <c r="AM220" i="9"/>
  <c r="BG220" i="9" s="1"/>
  <c r="BJ220" i="9" s="1"/>
  <c r="AL220" i="9"/>
  <c r="Z220" i="9"/>
  <c r="AF220" i="9" s="1"/>
  <c r="X220" i="9"/>
  <c r="V220" i="9"/>
  <c r="U220" i="9"/>
  <c r="R220" i="9"/>
  <c r="O220" i="9"/>
  <c r="M220" i="9"/>
  <c r="I220" i="9"/>
  <c r="Q220" i="9" s="1"/>
  <c r="DH219" i="9"/>
  <c r="DG219" i="9"/>
  <c r="DF219" i="9"/>
  <c r="DC219" i="9"/>
  <c r="DB219" i="9"/>
  <c r="BY219" i="9"/>
  <c r="CB219" i="9" s="1"/>
  <c r="DI219" i="9" s="1"/>
  <c r="BS219" i="9"/>
  <c r="BR219" i="9"/>
  <c r="BM219" i="9"/>
  <c r="BI219" i="9"/>
  <c r="BG219" i="9"/>
  <c r="BC219" i="9"/>
  <c r="AV219" i="9"/>
  <c r="AU219" i="9"/>
  <c r="AN219" i="9"/>
  <c r="AP219" i="9" s="1"/>
  <c r="AM219" i="9"/>
  <c r="AL219" i="9"/>
  <c r="CC219" i="9" s="1"/>
  <c r="Y219" i="9"/>
  <c r="V219" i="9"/>
  <c r="U219" i="9"/>
  <c r="O219" i="9"/>
  <c r="M219" i="9"/>
  <c r="I219" i="9"/>
  <c r="R219" i="9" s="1"/>
  <c r="DH218" i="9"/>
  <c r="DG218" i="9"/>
  <c r="DB218" i="9"/>
  <c r="BY218" i="9"/>
  <c r="DF218" i="9" s="1"/>
  <c r="BS218" i="9"/>
  <c r="BR218" i="9"/>
  <c r="BM218" i="9"/>
  <c r="BI218" i="9"/>
  <c r="BD218" i="9"/>
  <c r="BC218" i="9"/>
  <c r="BH218" i="9" s="1"/>
  <c r="AU218" i="9"/>
  <c r="AN218" i="9"/>
  <c r="AP218" i="9" s="1"/>
  <c r="AM218" i="9"/>
  <c r="AO218" i="9" s="1"/>
  <c r="AL218" i="9"/>
  <c r="BN218" i="9" s="1"/>
  <c r="U218" i="9"/>
  <c r="P218" i="9"/>
  <c r="DC218" i="9" s="1"/>
  <c r="O218" i="9"/>
  <c r="M218" i="9"/>
  <c r="I218" i="9"/>
  <c r="Q218" i="9" s="1"/>
  <c r="DH217" i="9"/>
  <c r="DG217" i="9"/>
  <c r="DC217" i="9"/>
  <c r="DB217" i="9"/>
  <c r="BY217" i="9"/>
  <c r="BS217" i="9"/>
  <c r="BR217" i="9"/>
  <c r="BM217" i="9"/>
  <c r="BI217" i="9"/>
  <c r="BD217" i="9"/>
  <c r="BE217" i="9" s="1"/>
  <c r="BC217" i="9"/>
  <c r="BH217" i="9" s="1"/>
  <c r="AU217" i="9"/>
  <c r="AN217" i="9"/>
  <c r="AP217" i="9" s="1"/>
  <c r="AM217" i="9"/>
  <c r="BG217" i="9" s="1"/>
  <c r="BJ217" i="9" s="1"/>
  <c r="AL217" i="9"/>
  <c r="BN217" i="9" s="1"/>
  <c r="BP217" i="9" s="1"/>
  <c r="U217" i="9"/>
  <c r="Q217" i="9"/>
  <c r="O217" i="9"/>
  <c r="M217" i="9"/>
  <c r="I217" i="9"/>
  <c r="R217" i="9" s="1"/>
  <c r="DG216" i="9"/>
  <c r="DB216" i="9"/>
  <c r="CA216" i="9"/>
  <c r="DH216" i="9" s="1"/>
  <c r="BZ216" i="9"/>
  <c r="CB216" i="9" s="1"/>
  <c r="DI216" i="9" s="1"/>
  <c r="BY216" i="9"/>
  <c r="DF216" i="9" s="1"/>
  <c r="BU216" i="9"/>
  <c r="BS216" i="9"/>
  <c r="BR216" i="9"/>
  <c r="BQ216" i="9"/>
  <c r="BM216" i="9"/>
  <c r="BL216" i="9"/>
  <c r="BI216" i="9"/>
  <c r="BC216" i="9"/>
  <c r="BB216" i="9"/>
  <c r="AU216" i="9" s="1"/>
  <c r="AV216" i="9"/>
  <c r="Z216" i="9" s="1"/>
  <c r="AF216" i="9" s="1"/>
  <c r="AS216" i="9"/>
  <c r="AQ216" i="9"/>
  <c r="AN216" i="9"/>
  <c r="AL216" i="9"/>
  <c r="BN216" i="9" s="1"/>
  <c r="R216" i="9"/>
  <c r="P216" i="9"/>
  <c r="M216" i="9"/>
  <c r="I216" i="9"/>
  <c r="F216" i="9"/>
  <c r="E216" i="9"/>
  <c r="D216" i="9"/>
  <c r="C216" i="9"/>
  <c r="DH215" i="9"/>
  <c r="DG215" i="9"/>
  <c r="DF215" i="9"/>
  <c r="DC215" i="9"/>
  <c r="DB215" i="9"/>
  <c r="CB215" i="9"/>
  <c r="DI215" i="9" s="1"/>
  <c r="BS215" i="9"/>
  <c r="BR215" i="9"/>
  <c r="BM215" i="9"/>
  <c r="BG215" i="9"/>
  <c r="BJ215" i="9" s="1"/>
  <c r="BC215" i="9"/>
  <c r="AV215" i="9" s="1"/>
  <c r="AU215" i="9"/>
  <c r="AN215" i="9"/>
  <c r="AM215" i="9"/>
  <c r="AL215" i="9"/>
  <c r="X215" i="9"/>
  <c r="V215" i="9"/>
  <c r="U215" i="9"/>
  <c r="R215" i="9"/>
  <c r="O215" i="9"/>
  <c r="M215" i="9"/>
  <c r="I215" i="9"/>
  <c r="Q215" i="9" s="1"/>
  <c r="DH214" i="9"/>
  <c r="DF214" i="9"/>
  <c r="DB214" i="9"/>
  <c r="BZ214" i="9"/>
  <c r="DG214" i="9" s="1"/>
  <c r="BY214" i="9"/>
  <c r="CB214" i="9" s="1"/>
  <c r="DI214" i="9" s="1"/>
  <c r="BS214" i="9"/>
  <c r="BR214" i="9"/>
  <c r="BM214" i="9"/>
  <c r="BI214" i="9"/>
  <c r="BG214" i="9"/>
  <c r="BC214" i="9"/>
  <c r="AV214" i="9" s="1"/>
  <c r="AU214" i="9"/>
  <c r="AN214" i="9"/>
  <c r="AM214" i="9"/>
  <c r="AL214" i="9"/>
  <c r="CC214" i="9" s="1"/>
  <c r="V214" i="9"/>
  <c r="U214" i="9"/>
  <c r="R214" i="9"/>
  <c r="P214" i="9"/>
  <c r="M214" i="9"/>
  <c r="I214" i="9"/>
  <c r="DI213" i="9"/>
  <c r="DH213" i="9"/>
  <c r="DG213" i="9"/>
  <c r="DF213" i="9"/>
  <c r="DC213" i="9"/>
  <c r="DB213" i="9"/>
  <c r="CP213" i="9"/>
  <c r="CB213" i="9"/>
  <c r="BS213" i="9"/>
  <c r="BR213" i="9"/>
  <c r="BM213" i="9"/>
  <c r="BG213" i="9"/>
  <c r="BJ213" i="9" s="1"/>
  <c r="BC213" i="9"/>
  <c r="AV213" i="9"/>
  <c r="AU213" i="9"/>
  <c r="AP213" i="9"/>
  <c r="AN213" i="9"/>
  <c r="AM213" i="9"/>
  <c r="AL213" i="9"/>
  <c r="Y213" i="9"/>
  <c r="V213" i="9"/>
  <c r="U213" i="9"/>
  <c r="X213" i="9" s="1"/>
  <c r="R213" i="9"/>
  <c r="O213" i="9"/>
  <c r="M213" i="9"/>
  <c r="I213" i="9"/>
  <c r="Q213" i="9" s="1"/>
  <c r="DH212" i="9"/>
  <c r="DB212" i="9"/>
  <c r="CC212" i="9"/>
  <c r="CA212" i="9"/>
  <c r="BZ212" i="9"/>
  <c r="DG212" i="9" s="1"/>
  <c r="BY212" i="9"/>
  <c r="CB212" i="9" s="1"/>
  <c r="DI212" i="9" s="1"/>
  <c r="BU212" i="9"/>
  <c r="BS212" i="9"/>
  <c r="BR212" i="9"/>
  <c r="BN212" i="9"/>
  <c r="BO212" i="9" s="1"/>
  <c r="BM212" i="9"/>
  <c r="BD212" i="9"/>
  <c r="BE212" i="9" s="1"/>
  <c r="BC212" i="9"/>
  <c r="BH212" i="9" s="1"/>
  <c r="BK212" i="9" s="1"/>
  <c r="AY212" i="9"/>
  <c r="AV212" i="9"/>
  <c r="AZ212" i="9" s="1"/>
  <c r="AU212" i="9"/>
  <c r="AN212" i="9"/>
  <c r="AM212" i="9"/>
  <c r="BG212" i="9" s="1"/>
  <c r="BJ212" i="9" s="1"/>
  <c r="AL212" i="9"/>
  <c r="AG212" i="9"/>
  <c r="Z212" i="9"/>
  <c r="AC212" i="9" s="1"/>
  <c r="X212" i="9"/>
  <c r="U212" i="9"/>
  <c r="P212" i="9"/>
  <c r="DC212" i="9" s="1"/>
  <c r="O212" i="9"/>
  <c r="M212" i="9"/>
  <c r="I212" i="9"/>
  <c r="Q212" i="9" s="1"/>
  <c r="DH211" i="9"/>
  <c r="DG211" i="9"/>
  <c r="DF211" i="9"/>
  <c r="DC211" i="9"/>
  <c r="CB211" i="9"/>
  <c r="DI211" i="9" s="1"/>
  <c r="BH211" i="9"/>
  <c r="BK211" i="9" s="1"/>
  <c r="BD211" i="9"/>
  <c r="BE211" i="9" s="1"/>
  <c r="AV211" i="9"/>
  <c r="AU211" i="9"/>
  <c r="AN211" i="9"/>
  <c r="AM211" i="9"/>
  <c r="BG211" i="9" s="1"/>
  <c r="BJ211" i="9" s="1"/>
  <c r="AL211" i="9"/>
  <c r="CC211" i="9" s="1"/>
  <c r="V211" i="9"/>
  <c r="U211" i="9"/>
  <c r="Q211" i="9"/>
  <c r="O211" i="9"/>
  <c r="M211" i="9"/>
  <c r="I211" i="9"/>
  <c r="DH210" i="9"/>
  <c r="DG210" i="9"/>
  <c r="DC210" i="9"/>
  <c r="DB210" i="9"/>
  <c r="CP210" i="9"/>
  <c r="BZ210" i="9"/>
  <c r="BY210" i="9"/>
  <c r="DF210" i="9" s="1"/>
  <c r="BU210" i="9"/>
  <c r="BS210" i="9"/>
  <c r="BR210" i="9"/>
  <c r="BM210" i="9"/>
  <c r="BI210" i="9"/>
  <c r="BG210" i="9"/>
  <c r="BC210" i="9"/>
  <c r="AV210" i="9" s="1"/>
  <c r="AU210" i="9"/>
  <c r="AP210" i="9"/>
  <c r="AN210" i="9"/>
  <c r="AM210" i="9"/>
  <c r="AL210" i="9"/>
  <c r="X210" i="9"/>
  <c r="V210" i="9"/>
  <c r="U210" i="9"/>
  <c r="W210" i="9" s="1"/>
  <c r="R210" i="9"/>
  <c r="O210" i="9"/>
  <c r="M210" i="9"/>
  <c r="I210" i="9"/>
  <c r="Q210" i="9" s="1"/>
  <c r="DH209" i="9"/>
  <c r="DG209" i="9"/>
  <c r="DF209" i="9"/>
  <c r="DC209" i="9"/>
  <c r="CB209" i="9"/>
  <c r="DI209" i="9" s="1"/>
  <c r="BS209" i="9"/>
  <c r="BR209" i="9"/>
  <c r="BM209" i="9"/>
  <c r="BC209" i="9"/>
  <c r="AV209" i="9" s="1"/>
  <c r="AU209" i="9"/>
  <c r="AN209" i="9"/>
  <c r="AM209" i="9"/>
  <c r="BG209" i="9" s="1"/>
  <c r="BJ209" i="9" s="1"/>
  <c r="AL209" i="9"/>
  <c r="V209" i="9"/>
  <c r="U209" i="9"/>
  <c r="Q209" i="9"/>
  <c r="O209" i="9"/>
  <c r="M209" i="9"/>
  <c r="I209" i="9"/>
  <c r="DH208" i="9"/>
  <c r="DG208" i="9"/>
  <c r="DF208" i="9"/>
  <c r="DC208" i="9"/>
  <c r="DB208" i="9"/>
  <c r="CB208" i="9"/>
  <c r="DI208" i="9" s="1"/>
  <c r="BS208" i="9"/>
  <c r="BR208" i="9"/>
  <c r="BM208" i="9"/>
  <c r="BG208" i="9"/>
  <c r="BJ208" i="9" s="1"/>
  <c r="BC208" i="9"/>
  <c r="AV208" i="9" s="1"/>
  <c r="AU208" i="9"/>
  <c r="AN208" i="9"/>
  <c r="AM208" i="9"/>
  <c r="AL208" i="9"/>
  <c r="X208" i="9"/>
  <c r="V208" i="9"/>
  <c r="U208" i="9"/>
  <c r="R208" i="9"/>
  <c r="O208" i="9"/>
  <c r="M208" i="9"/>
  <c r="I208" i="9"/>
  <c r="Q208" i="9" s="1"/>
  <c r="DH207" i="9"/>
  <c r="DG207" i="9"/>
  <c r="DF207" i="9"/>
  <c r="DC207" i="9"/>
  <c r="DB207" i="9"/>
  <c r="CC207" i="9"/>
  <c r="CB207" i="9"/>
  <c r="DI207" i="9" s="1"/>
  <c r="BS207" i="9"/>
  <c r="BR207" i="9"/>
  <c r="BN207" i="9"/>
  <c r="BO207" i="9" s="1"/>
  <c r="BM207" i="9"/>
  <c r="BP207" i="9" s="1"/>
  <c r="BD207" i="9"/>
  <c r="BE207" i="9" s="1"/>
  <c r="BC207" i="9"/>
  <c r="BH207" i="9" s="1"/>
  <c r="BK207" i="9" s="1"/>
  <c r="AU207" i="9"/>
  <c r="AN207" i="9"/>
  <c r="AP207" i="9" s="1"/>
  <c r="AM207" i="9"/>
  <c r="BG207" i="9" s="1"/>
  <c r="BJ207" i="9" s="1"/>
  <c r="AL207" i="9"/>
  <c r="U207" i="9"/>
  <c r="Q207" i="9"/>
  <c r="O207" i="9"/>
  <c r="M207" i="9"/>
  <c r="I207" i="9"/>
  <c r="R207" i="9" s="1"/>
  <c r="DI206" i="9"/>
  <c r="DH206" i="9"/>
  <c r="DG206" i="9"/>
  <c r="DF206" i="9"/>
  <c r="DC206" i="9"/>
  <c r="CC206" i="9"/>
  <c r="CB206" i="9"/>
  <c r="BS206" i="9"/>
  <c r="BR206" i="9"/>
  <c r="BN206" i="9"/>
  <c r="BO206" i="9" s="1"/>
  <c r="BM206" i="9"/>
  <c r="BD206" i="9"/>
  <c r="BE206" i="9" s="1"/>
  <c r="BC206" i="9"/>
  <c r="BF206" i="9" s="1"/>
  <c r="AY206" i="9"/>
  <c r="AU206" i="9"/>
  <c r="AN206" i="9"/>
  <c r="AM206" i="9"/>
  <c r="BG206" i="9" s="1"/>
  <c r="BJ206" i="9" s="1"/>
  <c r="AL206" i="9"/>
  <c r="AG206" i="9"/>
  <c r="X206" i="9"/>
  <c r="U206" i="9"/>
  <c r="Q206" i="9"/>
  <c r="O206" i="9"/>
  <c r="M206" i="9"/>
  <c r="I206" i="9"/>
  <c r="R206" i="9" s="1"/>
  <c r="DH205" i="9"/>
  <c r="DG205" i="9"/>
  <c r="DC205" i="9"/>
  <c r="BY205" i="9"/>
  <c r="BS205" i="9"/>
  <c r="BR205" i="9"/>
  <c r="BM205" i="9"/>
  <c r="BC205" i="9"/>
  <c r="AV205" i="9" s="1"/>
  <c r="Z205" i="9" s="1"/>
  <c r="AU205" i="9"/>
  <c r="AN205" i="9"/>
  <c r="AM205" i="9"/>
  <c r="BG205" i="9" s="1"/>
  <c r="BJ205" i="9" s="1"/>
  <c r="AL205" i="9"/>
  <c r="BN205" i="9" s="1"/>
  <c r="U205" i="9"/>
  <c r="O205" i="9"/>
  <c r="M205" i="9"/>
  <c r="I205" i="9"/>
  <c r="Q205" i="9" s="1"/>
  <c r="DH204" i="9"/>
  <c r="DG204" i="9"/>
  <c r="DF204" i="9"/>
  <c r="DC204" i="9"/>
  <c r="DB204" i="9"/>
  <c r="CA204" i="9"/>
  <c r="BY204" i="9"/>
  <c r="CB204" i="9" s="1"/>
  <c r="DI204" i="9" s="1"/>
  <c r="BS204" i="9"/>
  <c r="BR204" i="9"/>
  <c r="BM204" i="9"/>
  <c r="BI204" i="9"/>
  <c r="BG204" i="9"/>
  <c r="BC204" i="9"/>
  <c r="AU204" i="9"/>
  <c r="AN204" i="9"/>
  <c r="AM204" i="9"/>
  <c r="AL204" i="9"/>
  <c r="CC204" i="9" s="1"/>
  <c r="Y204" i="9"/>
  <c r="V204" i="9"/>
  <c r="U204" i="9"/>
  <c r="O204" i="9"/>
  <c r="M204" i="9"/>
  <c r="I204" i="9"/>
  <c r="Q204" i="9" s="1"/>
  <c r="DH203" i="9"/>
  <c r="DG203" i="9"/>
  <c r="DF203" i="9"/>
  <c r="DC203" i="9"/>
  <c r="DB203" i="9"/>
  <c r="CC203" i="9"/>
  <c r="CB203" i="9"/>
  <c r="DI203" i="9" s="1"/>
  <c r="BS203" i="9"/>
  <c r="BR203" i="9"/>
  <c r="BN203" i="9"/>
  <c r="BO203" i="9" s="1"/>
  <c r="BM203" i="9"/>
  <c r="BD203" i="9"/>
  <c r="BE203" i="9" s="1"/>
  <c r="BC203" i="9"/>
  <c r="BF203" i="9" s="1"/>
  <c r="AY203" i="9"/>
  <c r="AV203" i="9"/>
  <c r="AZ203" i="9" s="1"/>
  <c r="AU203" i="9"/>
  <c r="AN203" i="9"/>
  <c r="AM203" i="9"/>
  <c r="BG203" i="9" s="1"/>
  <c r="BJ203" i="9" s="1"/>
  <c r="AL203" i="9"/>
  <c r="AG203" i="9"/>
  <c r="Z203" i="9"/>
  <c r="AF203" i="9" s="1"/>
  <c r="W203" i="9"/>
  <c r="U203" i="9"/>
  <c r="Q203" i="9"/>
  <c r="O203" i="9"/>
  <c r="M203" i="9"/>
  <c r="I203" i="9"/>
  <c r="R203" i="9" s="1"/>
  <c r="DH202" i="9"/>
  <c r="DG202" i="9"/>
  <c r="DF202" i="9"/>
  <c r="DC202" i="9"/>
  <c r="DB202" i="9"/>
  <c r="CB202" i="9"/>
  <c r="DI202" i="9" s="1"/>
  <c r="BS202" i="9"/>
  <c r="BR202" i="9"/>
  <c r="BM202" i="9"/>
  <c r="BC202" i="9"/>
  <c r="AV202" i="9" s="1"/>
  <c r="Z202" i="9" s="1"/>
  <c r="AU202" i="9"/>
  <c r="AN202" i="9"/>
  <c r="AM202" i="9"/>
  <c r="BG202" i="9" s="1"/>
  <c r="BJ202" i="9" s="1"/>
  <c r="AL202" i="9"/>
  <c r="U202" i="9"/>
  <c r="Q202" i="9"/>
  <c r="O202" i="9"/>
  <c r="M202" i="9"/>
  <c r="I202" i="9"/>
  <c r="R202" i="9" s="1"/>
  <c r="DG201" i="9"/>
  <c r="DB201" i="9"/>
  <c r="CA201" i="9"/>
  <c r="DH201" i="9" s="1"/>
  <c r="BZ201" i="9"/>
  <c r="CB201" i="9" s="1"/>
  <c r="DI201" i="9" s="1"/>
  <c r="BY201" i="9"/>
  <c r="DF201" i="9" s="1"/>
  <c r="BU201" i="9"/>
  <c r="BS201" i="9"/>
  <c r="BR201" i="9"/>
  <c r="BM201" i="9"/>
  <c r="BG201" i="9"/>
  <c r="BJ201" i="9" s="1"/>
  <c r="BC201" i="9"/>
  <c r="AV201" i="9" s="1"/>
  <c r="AU201" i="9"/>
  <c r="AP201" i="9"/>
  <c r="AN201" i="9"/>
  <c r="AM201" i="9"/>
  <c r="AL201" i="9"/>
  <c r="V201" i="9"/>
  <c r="U201" i="9"/>
  <c r="R201" i="9"/>
  <c r="P201" i="9"/>
  <c r="M201" i="9"/>
  <c r="I201" i="9"/>
  <c r="C201" i="9"/>
  <c r="C170" i="9" s="1"/>
  <c r="DB200" i="9"/>
  <c r="CA200" i="9"/>
  <c r="DH200" i="9" s="1"/>
  <c r="BZ200" i="9"/>
  <c r="DG200" i="9" s="1"/>
  <c r="BY200" i="9"/>
  <c r="CB200" i="9" s="1"/>
  <c r="DI200" i="9" s="1"/>
  <c r="BS200" i="9"/>
  <c r="BR200" i="9"/>
  <c r="BM200" i="9"/>
  <c r="BG200" i="9"/>
  <c r="BJ200" i="9" s="1"/>
  <c r="BC200" i="9"/>
  <c r="AV200" i="9" s="1"/>
  <c r="AU200" i="9"/>
  <c r="AN200" i="9"/>
  <c r="AM200" i="9"/>
  <c r="AL200" i="9"/>
  <c r="BN200" i="9" s="1"/>
  <c r="BP200" i="9" s="1"/>
  <c r="V200" i="9"/>
  <c r="U200" i="9"/>
  <c r="P200" i="9"/>
  <c r="M200" i="9"/>
  <c r="I200" i="9"/>
  <c r="DH199" i="9"/>
  <c r="DG199" i="9"/>
  <c r="DC199" i="9"/>
  <c r="BY199" i="9"/>
  <c r="BS199" i="9"/>
  <c r="BR199" i="9"/>
  <c r="BO199" i="9"/>
  <c r="BM199" i="9"/>
  <c r="BI199" i="9"/>
  <c r="BD199" i="9"/>
  <c r="BE199" i="9" s="1"/>
  <c r="BC199" i="9"/>
  <c r="BH199" i="9" s="1"/>
  <c r="AU199" i="9"/>
  <c r="AN199" i="9"/>
  <c r="AM199" i="9"/>
  <c r="BG199" i="9" s="1"/>
  <c r="BJ199" i="9" s="1"/>
  <c r="AL199" i="9"/>
  <c r="BN199" i="9" s="1"/>
  <c r="BP199" i="9" s="1"/>
  <c r="X199" i="9"/>
  <c r="U199" i="9"/>
  <c r="P199" i="9"/>
  <c r="O199" i="9"/>
  <c r="M199" i="9"/>
  <c r="I199" i="9"/>
  <c r="Q199" i="9" s="1"/>
  <c r="DH198" i="9"/>
  <c r="DG198" i="9"/>
  <c r="DB198" i="9"/>
  <c r="CC198" i="9"/>
  <c r="BY198" i="9"/>
  <c r="CB198" i="9" s="1"/>
  <c r="DI198" i="9" s="1"/>
  <c r="BS198" i="9"/>
  <c r="BR198" i="9"/>
  <c r="BO198" i="9"/>
  <c r="BM198" i="9"/>
  <c r="BI198" i="9"/>
  <c r="BD198" i="9"/>
  <c r="BE198" i="9" s="1"/>
  <c r="BC198" i="9"/>
  <c r="BH198" i="9" s="1"/>
  <c r="AU198" i="9"/>
  <c r="AN198" i="9"/>
  <c r="AM198" i="9"/>
  <c r="BG198" i="9" s="1"/>
  <c r="BJ198" i="9" s="1"/>
  <c r="AL198" i="9"/>
  <c r="BN198" i="9" s="1"/>
  <c r="BP198" i="9" s="1"/>
  <c r="U198" i="9"/>
  <c r="P198" i="9"/>
  <c r="DC198" i="9" s="1"/>
  <c r="O198" i="9"/>
  <c r="M198" i="9"/>
  <c r="I198" i="9"/>
  <c r="Q198" i="9" s="1"/>
  <c r="DH197" i="9"/>
  <c r="DG197" i="9"/>
  <c r="DF197" i="9"/>
  <c r="DC197" i="9"/>
  <c r="DB197" i="9"/>
  <c r="CC197" i="9"/>
  <c r="BY197" i="9"/>
  <c r="CB197" i="9" s="1"/>
  <c r="DI197" i="9" s="1"/>
  <c r="BS197" i="9"/>
  <c r="BR197" i="9"/>
  <c r="BO197" i="9"/>
  <c r="BM197" i="9"/>
  <c r="BI197" i="9"/>
  <c r="BD197" i="9"/>
  <c r="BE197" i="9" s="1"/>
  <c r="BC197" i="9"/>
  <c r="BH197" i="9" s="1"/>
  <c r="AU197" i="9"/>
  <c r="AN197" i="9"/>
  <c r="AM197" i="9"/>
  <c r="BG197" i="9" s="1"/>
  <c r="BJ197" i="9" s="1"/>
  <c r="AL197" i="9"/>
  <c r="BN197" i="9" s="1"/>
  <c r="U197" i="9"/>
  <c r="Q197" i="9"/>
  <c r="O197" i="9"/>
  <c r="M197" i="9"/>
  <c r="I197" i="9"/>
  <c r="R197" i="9" s="1"/>
  <c r="DG196" i="9"/>
  <c r="DC196" i="9"/>
  <c r="DB196" i="9"/>
  <c r="CA196" i="9"/>
  <c r="DH196" i="9" s="1"/>
  <c r="BZ196" i="9"/>
  <c r="CB196" i="9" s="1"/>
  <c r="DI196" i="9" s="1"/>
  <c r="BY196" i="9"/>
  <c r="DF196" i="9" s="1"/>
  <c r="BU196" i="9"/>
  <c r="AL196" i="9" s="1"/>
  <c r="BS196" i="9"/>
  <c r="BR196" i="9"/>
  <c r="BM196" i="9"/>
  <c r="BI196" i="9"/>
  <c r="BD196" i="9"/>
  <c r="BE196" i="9" s="1"/>
  <c r="BC196" i="9"/>
  <c r="BH196" i="9" s="1"/>
  <c r="AU196" i="9"/>
  <c r="AN196" i="9"/>
  <c r="AM196" i="9"/>
  <c r="BG196" i="9" s="1"/>
  <c r="BJ196" i="9" s="1"/>
  <c r="W196" i="9"/>
  <c r="U196" i="9"/>
  <c r="P196" i="9"/>
  <c r="O196" i="9"/>
  <c r="M196" i="9"/>
  <c r="I196" i="9"/>
  <c r="Q196" i="9" s="1"/>
  <c r="DH195" i="9"/>
  <c r="DG195" i="9"/>
  <c r="DF195" i="9"/>
  <c r="DC195" i="9"/>
  <c r="CB195" i="9"/>
  <c r="DI195" i="9" s="1"/>
  <c r="BS195" i="9"/>
  <c r="BR195" i="9"/>
  <c r="BM195" i="9"/>
  <c r="BJ195" i="9"/>
  <c r="BG195" i="9"/>
  <c r="BC195" i="9"/>
  <c r="AV195" i="9"/>
  <c r="AU195" i="9"/>
  <c r="AP195" i="9"/>
  <c r="AN195" i="9"/>
  <c r="AM195" i="9"/>
  <c r="AL195" i="9"/>
  <c r="X195" i="9"/>
  <c r="V195" i="9"/>
  <c r="U195" i="9"/>
  <c r="O195" i="9"/>
  <c r="M195" i="9"/>
  <c r="I195" i="9"/>
  <c r="Q195" i="9" s="1"/>
  <c r="DH194" i="9"/>
  <c r="DG194" i="9"/>
  <c r="DB194" i="9"/>
  <c r="CC194" i="9"/>
  <c r="BY194" i="9"/>
  <c r="CB194" i="9" s="1"/>
  <c r="DI194" i="9" s="1"/>
  <c r="BS194" i="9"/>
  <c r="BR194" i="9"/>
  <c r="BO194" i="9"/>
  <c r="BM194" i="9"/>
  <c r="BI194" i="9"/>
  <c r="BD194" i="9"/>
  <c r="BE194" i="9" s="1"/>
  <c r="BC194" i="9"/>
  <c r="BH194" i="9" s="1"/>
  <c r="AU194" i="9"/>
  <c r="AN194" i="9"/>
  <c r="AM194" i="9"/>
  <c r="BG194" i="9" s="1"/>
  <c r="BJ194" i="9" s="1"/>
  <c r="AL194" i="9"/>
  <c r="BN194" i="9" s="1"/>
  <c r="BP194" i="9" s="1"/>
  <c r="U194" i="9"/>
  <c r="P194" i="9"/>
  <c r="DC194" i="9" s="1"/>
  <c r="O194" i="9"/>
  <c r="M194" i="9"/>
  <c r="I194" i="9"/>
  <c r="Q194" i="9" s="1"/>
  <c r="DC193" i="9"/>
  <c r="DB193" i="9"/>
  <c r="CA193" i="9"/>
  <c r="CA170" i="9" s="1"/>
  <c r="DH170" i="9" s="1"/>
  <c r="BZ193" i="9"/>
  <c r="DG193" i="9" s="1"/>
  <c r="BY193" i="9"/>
  <c r="CB193" i="9" s="1"/>
  <c r="DI193" i="9" s="1"/>
  <c r="BU193" i="9"/>
  <c r="BS193" i="9"/>
  <c r="BR193" i="9"/>
  <c r="BN193" i="9"/>
  <c r="BO193" i="9" s="1"/>
  <c r="BM193" i="9"/>
  <c r="BP193" i="9" s="1"/>
  <c r="BD193" i="9"/>
  <c r="BE193" i="9" s="1"/>
  <c r="BC193" i="9"/>
  <c r="AV193" i="9" s="1"/>
  <c r="Z193" i="9" s="1"/>
  <c r="AU193" i="9"/>
  <c r="AN193" i="9"/>
  <c r="AP193" i="9" s="1"/>
  <c r="AM193" i="9"/>
  <c r="BG193" i="9" s="1"/>
  <c r="BJ193" i="9" s="1"/>
  <c r="AL193" i="9"/>
  <c r="U193" i="9"/>
  <c r="Q193" i="9"/>
  <c r="O193" i="9"/>
  <c r="M193" i="9"/>
  <c r="I193" i="9"/>
  <c r="R193" i="9" s="1"/>
  <c r="DI192" i="9"/>
  <c r="DH192" i="9"/>
  <c r="DG192" i="9"/>
  <c r="DF192" i="9"/>
  <c r="DC192" i="9"/>
  <c r="CB192" i="9"/>
  <c r="BS192" i="9"/>
  <c r="BR192" i="9"/>
  <c r="BN192" i="9"/>
  <c r="BO192" i="9" s="1"/>
  <c r="BM192" i="9"/>
  <c r="BC192" i="9"/>
  <c r="AV192" i="9" s="1"/>
  <c r="Z192" i="9" s="1"/>
  <c r="AC192" i="9" s="1"/>
  <c r="AU192" i="9"/>
  <c r="AN192" i="9"/>
  <c r="AM192" i="9"/>
  <c r="BG192" i="9" s="1"/>
  <c r="BJ192" i="9" s="1"/>
  <c r="AL192" i="9"/>
  <c r="CC192" i="9" s="1"/>
  <c r="X192" i="9"/>
  <c r="U192" i="9"/>
  <c r="Q192" i="9"/>
  <c r="O192" i="9"/>
  <c r="M192" i="9"/>
  <c r="I192" i="9"/>
  <c r="R192" i="9" s="1"/>
  <c r="DH191" i="9"/>
  <c r="DG191" i="9"/>
  <c r="DF191" i="9"/>
  <c r="DC191" i="9"/>
  <c r="DB191" i="9"/>
  <c r="CB191" i="9"/>
  <c r="DI191" i="9" s="1"/>
  <c r="BS191" i="9"/>
  <c r="BR191" i="9"/>
  <c r="BM191" i="9"/>
  <c r="BG191" i="9"/>
  <c r="BJ191" i="9" s="1"/>
  <c r="BC191" i="9"/>
  <c r="AV191" i="9" s="1"/>
  <c r="AU191" i="9"/>
  <c r="AN191" i="9"/>
  <c r="AM191" i="9"/>
  <c r="AL191" i="9"/>
  <c r="X191" i="9"/>
  <c r="V191" i="9"/>
  <c r="U191" i="9"/>
  <c r="R191" i="9"/>
  <c r="O191" i="9"/>
  <c r="M191" i="9"/>
  <c r="I191" i="9"/>
  <c r="Q191" i="9" s="1"/>
  <c r="DH190" i="9"/>
  <c r="DG190" i="9"/>
  <c r="DF190" i="9"/>
  <c r="DC190" i="9"/>
  <c r="DB190" i="9"/>
  <c r="CC190" i="9"/>
  <c r="CB190" i="9"/>
  <c r="DI190" i="9" s="1"/>
  <c r="BS190" i="9"/>
  <c r="BR190" i="9"/>
  <c r="BN190" i="9"/>
  <c r="BO190" i="9" s="1"/>
  <c r="BM190" i="9"/>
  <c r="BP190" i="9" s="1"/>
  <c r="BD190" i="9"/>
  <c r="BE190" i="9" s="1"/>
  <c r="BC190" i="9"/>
  <c r="AV190" i="9" s="1"/>
  <c r="Z190" i="9" s="1"/>
  <c r="AU190" i="9"/>
  <c r="AN190" i="9"/>
  <c r="AP190" i="9" s="1"/>
  <c r="AM190" i="9"/>
  <c r="BG190" i="9" s="1"/>
  <c r="BJ190" i="9" s="1"/>
  <c r="AL190" i="9"/>
  <c r="U190" i="9"/>
  <c r="Q190" i="9"/>
  <c r="O190" i="9"/>
  <c r="M190" i="9"/>
  <c r="I190" i="9"/>
  <c r="R190" i="9" s="1"/>
  <c r="DH189" i="9"/>
  <c r="DG189" i="9"/>
  <c r="DB189" i="9"/>
  <c r="CB189" i="9"/>
  <c r="DI189" i="9" s="1"/>
  <c r="BY189" i="9"/>
  <c r="DF189" i="9" s="1"/>
  <c r="BS189" i="9"/>
  <c r="BR189" i="9"/>
  <c r="BM189" i="9"/>
  <c r="BI189" i="9"/>
  <c r="BG189" i="9"/>
  <c r="BC189" i="9"/>
  <c r="AV189" i="9" s="1"/>
  <c r="AU189" i="9"/>
  <c r="AP189" i="9"/>
  <c r="AN189" i="9"/>
  <c r="AM189" i="9"/>
  <c r="AL189" i="9"/>
  <c r="V189" i="9"/>
  <c r="U189" i="9"/>
  <c r="P189" i="9"/>
  <c r="M189" i="9"/>
  <c r="I189" i="9"/>
  <c r="DH188" i="9"/>
  <c r="DG188" i="9"/>
  <c r="DC188" i="9"/>
  <c r="BY188" i="9"/>
  <c r="BS188" i="9"/>
  <c r="BR188" i="9"/>
  <c r="BO188" i="9"/>
  <c r="BM188" i="9"/>
  <c r="BI188" i="9"/>
  <c r="BD188" i="9"/>
  <c r="BE188" i="9" s="1"/>
  <c r="BC188" i="9"/>
  <c r="BH188" i="9" s="1"/>
  <c r="AU188" i="9"/>
  <c r="AN188" i="9"/>
  <c r="AM188" i="9"/>
  <c r="BG188" i="9" s="1"/>
  <c r="BJ188" i="9" s="1"/>
  <c r="AL188" i="9"/>
  <c r="BN188" i="9" s="1"/>
  <c r="BP188" i="9" s="1"/>
  <c r="U188" i="9"/>
  <c r="P188" i="9"/>
  <c r="R188" i="9" s="1"/>
  <c r="O188" i="9"/>
  <c r="M188" i="9"/>
  <c r="I188" i="9"/>
  <c r="Q188" i="9" s="1"/>
  <c r="DH187" i="9"/>
  <c r="DG187" i="9"/>
  <c r="DF187" i="9"/>
  <c r="DB187" i="9"/>
  <c r="CC187" i="9"/>
  <c r="CB187" i="9"/>
  <c r="DI187" i="9" s="1"/>
  <c r="BS187" i="9"/>
  <c r="BR187" i="9"/>
  <c r="BN187" i="9"/>
  <c r="BO187" i="9" s="1"/>
  <c r="BM187" i="9"/>
  <c r="BD187" i="9"/>
  <c r="BE187" i="9" s="1"/>
  <c r="BC187" i="9"/>
  <c r="BH187" i="9" s="1"/>
  <c r="BK187" i="9" s="1"/>
  <c r="AY187" i="9"/>
  <c r="AV187" i="9"/>
  <c r="AZ187" i="9" s="1"/>
  <c r="AU187" i="9"/>
  <c r="AN187" i="9"/>
  <c r="AM187" i="9"/>
  <c r="BG187" i="9" s="1"/>
  <c r="BJ187" i="9" s="1"/>
  <c r="AL187" i="9"/>
  <c r="AG187" i="9"/>
  <c r="Z187" i="9"/>
  <c r="AF187" i="9" s="1"/>
  <c r="W187" i="9"/>
  <c r="U187" i="9"/>
  <c r="P187" i="9"/>
  <c r="DC187" i="9" s="1"/>
  <c r="O187" i="9"/>
  <c r="M187" i="9"/>
  <c r="I187" i="9"/>
  <c r="Q187" i="9" s="1"/>
  <c r="DH186" i="9"/>
  <c r="DG186" i="9"/>
  <c r="DF186" i="9"/>
  <c r="DC186" i="9"/>
  <c r="CB186" i="9"/>
  <c r="DI186" i="9" s="1"/>
  <c r="BY186" i="9"/>
  <c r="BS186" i="9"/>
  <c r="BR186" i="9"/>
  <c r="BM186" i="9"/>
  <c r="BI186" i="9"/>
  <c r="BG186" i="9"/>
  <c r="BC186" i="9"/>
  <c r="AV186" i="9" s="1"/>
  <c r="AU186" i="9"/>
  <c r="AN186" i="9"/>
  <c r="AM186" i="9"/>
  <c r="AL186" i="9"/>
  <c r="CC186" i="9" s="1"/>
  <c r="X186" i="9"/>
  <c r="V186" i="9"/>
  <c r="U186" i="9"/>
  <c r="R186" i="9"/>
  <c r="O186" i="9"/>
  <c r="M186" i="9"/>
  <c r="I186" i="9"/>
  <c r="Q186" i="9" s="1"/>
  <c r="DH185" i="9"/>
  <c r="DG185" i="9"/>
  <c r="DF185" i="9"/>
  <c r="DC185" i="9"/>
  <c r="DB185" i="9"/>
  <c r="CC185" i="9"/>
  <c r="CB185" i="9"/>
  <c r="DI185" i="9" s="1"/>
  <c r="BS185" i="9"/>
  <c r="BR185" i="9"/>
  <c r="BN185" i="9"/>
  <c r="BO185" i="9" s="1"/>
  <c r="BM185" i="9"/>
  <c r="BP185" i="9" s="1"/>
  <c r="BD185" i="9"/>
  <c r="BE185" i="9" s="1"/>
  <c r="BC185" i="9"/>
  <c r="BH185" i="9" s="1"/>
  <c r="BK185" i="9" s="1"/>
  <c r="AU185" i="9"/>
  <c r="AN185" i="9"/>
  <c r="AP185" i="9" s="1"/>
  <c r="AM185" i="9"/>
  <c r="BG185" i="9" s="1"/>
  <c r="BJ185" i="9" s="1"/>
  <c r="AL185" i="9"/>
  <c r="U185" i="9"/>
  <c r="Q185" i="9"/>
  <c r="O185" i="9"/>
  <c r="M185" i="9"/>
  <c r="I185" i="9"/>
  <c r="R185" i="9" s="1"/>
  <c r="DH184" i="9"/>
  <c r="DG184" i="9"/>
  <c r="DF184" i="9"/>
  <c r="DC184" i="9"/>
  <c r="DB184" i="9"/>
  <c r="CB184" i="9"/>
  <c r="DI184" i="9" s="1"/>
  <c r="BS184" i="9"/>
  <c r="BR184" i="9"/>
  <c r="BM184" i="9"/>
  <c r="BJ184" i="9"/>
  <c r="BG184" i="9"/>
  <c r="BC184" i="9"/>
  <c r="AV184" i="9"/>
  <c r="AU184" i="9"/>
  <c r="AP184" i="9"/>
  <c r="AN184" i="9"/>
  <c r="AM184" i="9"/>
  <c r="AL184" i="9"/>
  <c r="X184" i="9"/>
  <c r="V184" i="9"/>
  <c r="U184" i="9"/>
  <c r="O184" i="9"/>
  <c r="M184" i="9"/>
  <c r="I184" i="9"/>
  <c r="Q184" i="9" s="1"/>
  <c r="F184" i="9"/>
  <c r="E184" i="9"/>
  <c r="E170" i="9" s="1"/>
  <c r="C184" i="9"/>
  <c r="DC183" i="9"/>
  <c r="DB183" i="9"/>
  <c r="CA183" i="9"/>
  <c r="DH183" i="9" s="1"/>
  <c r="BZ183" i="9"/>
  <c r="DG183" i="9" s="1"/>
  <c r="BY183" i="9"/>
  <c r="DF183" i="9" s="1"/>
  <c r="BU183" i="9"/>
  <c r="AL183" i="9" s="1"/>
  <c r="BS183" i="9"/>
  <c r="BR183" i="9"/>
  <c r="BQ183" i="9"/>
  <c r="BM183" i="9"/>
  <c r="BL183" i="9"/>
  <c r="U183" i="9" s="1"/>
  <c r="BJ183" i="9"/>
  <c r="BG183" i="9"/>
  <c r="BC183" i="9"/>
  <c r="AV183" i="9" s="1"/>
  <c r="Z183" i="9" s="1"/>
  <c r="BB183" i="9"/>
  <c r="AU183" i="9"/>
  <c r="AW183" i="9" s="1"/>
  <c r="AS183" i="9"/>
  <c r="AP183" i="9"/>
  <c r="AN183" i="9"/>
  <c r="AM183" i="9"/>
  <c r="X183" i="9"/>
  <c r="V183" i="9"/>
  <c r="R183" i="9"/>
  <c r="P183" i="9"/>
  <c r="M183" i="9"/>
  <c r="I183" i="9"/>
  <c r="DH182" i="9"/>
  <c r="DG182" i="9"/>
  <c r="DF182" i="9"/>
  <c r="DC182" i="9"/>
  <c r="DB182" i="9"/>
  <c r="CB182" i="9"/>
  <c r="DI182" i="9" s="1"/>
  <c r="BS182" i="9"/>
  <c r="BR182" i="9"/>
  <c r="BM182" i="9"/>
  <c r="BG182" i="9"/>
  <c r="BJ182" i="9" s="1"/>
  <c r="BC182" i="9"/>
  <c r="AV182" i="9" s="1"/>
  <c r="AU182" i="9"/>
  <c r="AN182" i="9"/>
  <c r="AM182" i="9"/>
  <c r="AL182" i="9"/>
  <c r="Y182" i="9"/>
  <c r="V182" i="9"/>
  <c r="U182" i="9"/>
  <c r="O182" i="9"/>
  <c r="M182" i="9"/>
  <c r="I182" i="9"/>
  <c r="Q182" i="9" s="1"/>
  <c r="DH181" i="9"/>
  <c r="DG181" i="9"/>
  <c r="DF181" i="9"/>
  <c r="DC181" i="9"/>
  <c r="CB181" i="9"/>
  <c r="DI181" i="9" s="1"/>
  <c r="BS181" i="9"/>
  <c r="BR181" i="9"/>
  <c r="BM181" i="9"/>
  <c r="BC181" i="9"/>
  <c r="AV181" i="9" s="1"/>
  <c r="AU181" i="9"/>
  <c r="AN181" i="9"/>
  <c r="AM181" i="9"/>
  <c r="BG181" i="9" s="1"/>
  <c r="BJ181" i="9" s="1"/>
  <c r="AL181" i="9"/>
  <c r="CC181" i="9" s="1"/>
  <c r="Y181" i="9"/>
  <c r="V181" i="9"/>
  <c r="U181" i="9"/>
  <c r="R181" i="9"/>
  <c r="O181" i="9"/>
  <c r="M181" i="9"/>
  <c r="I181" i="9"/>
  <c r="Q181" i="9" s="1"/>
  <c r="DH180" i="9"/>
  <c r="DG180" i="9"/>
  <c r="DF180" i="9"/>
  <c r="DC180" i="9"/>
  <c r="DB180" i="9"/>
  <c r="CC180" i="9"/>
  <c r="CB180" i="9"/>
  <c r="DI180" i="9" s="1"/>
  <c r="BS180" i="9"/>
  <c r="BR180" i="9"/>
  <c r="BM180" i="9"/>
  <c r="BD180" i="9"/>
  <c r="BC180" i="9"/>
  <c r="BH180" i="9" s="1"/>
  <c r="BK180" i="9" s="1"/>
  <c r="AU180" i="9"/>
  <c r="AP180" i="9"/>
  <c r="AN180" i="9"/>
  <c r="AM180" i="9"/>
  <c r="BG180" i="9" s="1"/>
  <c r="BJ180" i="9" s="1"/>
  <c r="AL180" i="9"/>
  <c r="BN180" i="9" s="1"/>
  <c r="X180" i="9"/>
  <c r="V180" i="9"/>
  <c r="U180" i="9"/>
  <c r="O180" i="9"/>
  <c r="M180" i="9"/>
  <c r="I180" i="9"/>
  <c r="Q180" i="9" s="1"/>
  <c r="DH179" i="9"/>
  <c r="DG179" i="9"/>
  <c r="DF179" i="9"/>
  <c r="DC179" i="9"/>
  <c r="DB179" i="9"/>
  <c r="CC179" i="9"/>
  <c r="CB179" i="9"/>
  <c r="DI179" i="9" s="1"/>
  <c r="BS179" i="9"/>
  <c r="BR179" i="9"/>
  <c r="BN179" i="9"/>
  <c r="BO179" i="9" s="1"/>
  <c r="BM179" i="9"/>
  <c r="BD179" i="9"/>
  <c r="BE179" i="9" s="1"/>
  <c r="BC179" i="9"/>
  <c r="BF179" i="9" s="1"/>
  <c r="AY179" i="9"/>
  <c r="AV179" i="9"/>
  <c r="AZ179" i="9" s="1"/>
  <c r="AU179" i="9"/>
  <c r="AN179" i="9"/>
  <c r="AM179" i="9"/>
  <c r="BG179" i="9" s="1"/>
  <c r="BJ179" i="9" s="1"/>
  <c r="AL179" i="9"/>
  <c r="AG179" i="9"/>
  <c r="Z179" i="9"/>
  <c r="AC179" i="9" s="1"/>
  <c r="X179" i="9"/>
  <c r="U179" i="9"/>
  <c r="Q179" i="9"/>
  <c r="O179" i="9"/>
  <c r="M179" i="9"/>
  <c r="I179" i="9"/>
  <c r="R179" i="9" s="1"/>
  <c r="DH178" i="9"/>
  <c r="DG178" i="9"/>
  <c r="DF178" i="9"/>
  <c r="DC178" i="9"/>
  <c r="DB178" i="9"/>
  <c r="CB178" i="9"/>
  <c r="DI178" i="9" s="1"/>
  <c r="BS178" i="9"/>
  <c r="BR178" i="9"/>
  <c r="BM178" i="9"/>
  <c r="BG178" i="9"/>
  <c r="BJ178" i="9" s="1"/>
  <c r="BC178" i="9"/>
  <c r="AV178" i="9" s="1"/>
  <c r="AU178" i="9"/>
  <c r="AN178" i="9"/>
  <c r="AM178" i="9"/>
  <c r="AL178" i="9"/>
  <c r="V178" i="9"/>
  <c r="U178" i="9"/>
  <c r="R178" i="9"/>
  <c r="P178" i="9"/>
  <c r="M178" i="9"/>
  <c r="I178" i="9"/>
  <c r="DH177" i="9"/>
  <c r="DG177" i="9"/>
  <c r="DF177" i="9"/>
  <c r="DC177" i="9"/>
  <c r="DB177" i="9"/>
  <c r="CB177" i="9"/>
  <c r="DI177" i="9" s="1"/>
  <c r="BS177" i="9"/>
  <c r="BR177" i="9"/>
  <c r="BQ177" i="9"/>
  <c r="BQ402" i="9" s="1"/>
  <c r="BN177" i="9"/>
  <c r="BM177" i="9"/>
  <c r="BP177" i="9" s="1"/>
  <c r="BL177" i="9"/>
  <c r="BL402" i="9" s="1"/>
  <c r="BC177" i="9"/>
  <c r="AV177" i="9" s="1"/>
  <c r="BB177" i="9"/>
  <c r="BB402" i="9" s="1"/>
  <c r="AU177" i="9"/>
  <c r="AW177" i="9" s="1"/>
  <c r="AS177" i="9"/>
  <c r="AS402" i="9" s="1"/>
  <c r="AQ177" i="9"/>
  <c r="AN177" i="9"/>
  <c r="AL177" i="9"/>
  <c r="CC177" i="9" s="1"/>
  <c r="P177" i="9"/>
  <c r="P375" i="9" s="1"/>
  <c r="O177" i="9"/>
  <c r="M177" i="9"/>
  <c r="I177" i="9"/>
  <c r="Q177" i="9" s="1"/>
  <c r="DH176" i="9"/>
  <c r="DG176" i="9"/>
  <c r="DF176" i="9"/>
  <c r="DC176" i="9"/>
  <c r="CB176" i="9"/>
  <c r="DI176" i="9" s="1"/>
  <c r="BS176" i="9"/>
  <c r="BR176" i="9"/>
  <c r="BM176" i="9"/>
  <c r="BC176" i="9"/>
  <c r="AV176" i="9"/>
  <c r="Z176" i="9" s="1"/>
  <c r="AU176" i="9"/>
  <c r="AN176" i="9"/>
  <c r="BH176" i="9" s="1"/>
  <c r="BK176" i="9" s="1"/>
  <c r="AM176" i="9"/>
  <c r="BG176" i="9" s="1"/>
  <c r="BJ176" i="9" s="1"/>
  <c r="AL176" i="9"/>
  <c r="CC176" i="9" s="1"/>
  <c r="V176" i="9"/>
  <c r="U176" i="9"/>
  <c r="Q176" i="9"/>
  <c r="O176" i="9"/>
  <c r="M176" i="9"/>
  <c r="I176" i="9"/>
  <c r="DI175" i="9"/>
  <c r="DH175" i="9"/>
  <c r="DG175" i="9"/>
  <c r="DF175" i="9"/>
  <c r="DC175" i="9"/>
  <c r="CB175" i="9"/>
  <c r="BS175" i="9"/>
  <c r="BR175" i="9"/>
  <c r="BN175" i="9"/>
  <c r="BO175" i="9" s="1"/>
  <c r="BM175" i="9"/>
  <c r="BC175" i="9"/>
  <c r="AU175" i="9"/>
  <c r="AN175" i="9"/>
  <c r="AM175" i="9"/>
  <c r="BG175" i="9" s="1"/>
  <c r="BJ175" i="9" s="1"/>
  <c r="AL175" i="9"/>
  <c r="CC175" i="9" s="1"/>
  <c r="U175" i="9"/>
  <c r="O175" i="9"/>
  <c r="M175" i="9"/>
  <c r="I175" i="9"/>
  <c r="Q175" i="9" s="1"/>
  <c r="DH174" i="9"/>
  <c r="DG174" i="9"/>
  <c r="DB174" i="9"/>
  <c r="BY174" i="9"/>
  <c r="BS174" i="9"/>
  <c r="BR174" i="9"/>
  <c r="BM174" i="9"/>
  <c r="BI174" i="9"/>
  <c r="BD174" i="9"/>
  <c r="BE174" i="9" s="1"/>
  <c r="BC174" i="9"/>
  <c r="BH174" i="9" s="1"/>
  <c r="AU174" i="9"/>
  <c r="AN174" i="9"/>
  <c r="AP174" i="9" s="1"/>
  <c r="AM174" i="9"/>
  <c r="BG174" i="9" s="1"/>
  <c r="BJ174" i="9" s="1"/>
  <c r="AL174" i="9"/>
  <c r="BN174" i="9" s="1"/>
  <c r="W174" i="9"/>
  <c r="U174" i="9"/>
  <c r="P174" i="9"/>
  <c r="DC174" i="9" s="1"/>
  <c r="O174" i="9"/>
  <c r="M174" i="9"/>
  <c r="I174" i="9"/>
  <c r="I170" i="9" s="1"/>
  <c r="DH173" i="9"/>
  <c r="DG173" i="9"/>
  <c r="DF173" i="9"/>
  <c r="DC173" i="9"/>
  <c r="CB173" i="9"/>
  <c r="DI173" i="9" s="1"/>
  <c r="BS173" i="9"/>
  <c r="BR173" i="9"/>
  <c r="BM173" i="9"/>
  <c r="BC173" i="9"/>
  <c r="AV173" i="9" s="1"/>
  <c r="Z173" i="9" s="1"/>
  <c r="AU173" i="9"/>
  <c r="AN173" i="9"/>
  <c r="AM173" i="9"/>
  <c r="BG173" i="9" s="1"/>
  <c r="BJ173" i="9" s="1"/>
  <c r="AL173" i="9"/>
  <c r="CC173" i="9" s="1"/>
  <c r="V173" i="9"/>
  <c r="U173" i="9"/>
  <c r="Q173" i="9"/>
  <c r="O173" i="9"/>
  <c r="M173" i="9"/>
  <c r="I173" i="9"/>
  <c r="DH172" i="9"/>
  <c r="DG172" i="9"/>
  <c r="DB172" i="9"/>
  <c r="CB172" i="9"/>
  <c r="DI172" i="9" s="1"/>
  <c r="BY172" i="9"/>
  <c r="DF172" i="9" s="1"/>
  <c r="BS172" i="9"/>
  <c r="BR172" i="9"/>
  <c r="BM172" i="9"/>
  <c r="BI172" i="9"/>
  <c r="BG172" i="9"/>
  <c r="BC172" i="9"/>
  <c r="AV172" i="9"/>
  <c r="AU172" i="9"/>
  <c r="AP172" i="9"/>
  <c r="AN172" i="9"/>
  <c r="AM172" i="9"/>
  <c r="AL172" i="9"/>
  <c r="V172" i="9"/>
  <c r="U172" i="9"/>
  <c r="P172" i="9"/>
  <c r="M172" i="9"/>
  <c r="I172" i="9"/>
  <c r="DH171" i="9"/>
  <c r="DG171" i="9"/>
  <c r="DF171" i="9"/>
  <c r="DC171" i="9"/>
  <c r="DB171" i="9"/>
  <c r="CB171" i="9"/>
  <c r="DI171" i="9" s="1"/>
  <c r="BS171" i="9"/>
  <c r="BR171" i="9"/>
  <c r="BR170" i="9" s="1"/>
  <c r="BM171" i="9"/>
  <c r="BC171" i="9"/>
  <c r="AV171" i="9" s="1"/>
  <c r="Z171" i="9" s="1"/>
  <c r="AC171" i="9" s="1"/>
  <c r="AU171" i="9"/>
  <c r="AN171" i="9"/>
  <c r="BH171" i="9" s="1"/>
  <c r="BK171" i="9" s="1"/>
  <c r="AM171" i="9"/>
  <c r="BG171" i="9" s="1"/>
  <c r="BJ171" i="9" s="1"/>
  <c r="AL171" i="9"/>
  <c r="CC171" i="9" s="1"/>
  <c r="X171" i="9"/>
  <c r="U171" i="9"/>
  <c r="Q171" i="9"/>
  <c r="O171" i="9"/>
  <c r="M171" i="9"/>
  <c r="M170" i="9" s="1"/>
  <c r="I171" i="9"/>
  <c r="R171" i="9" s="1"/>
  <c r="BZ170" i="9"/>
  <c r="DG170" i="9" s="1"/>
  <c r="BW170" i="9"/>
  <c r="BV170" i="9"/>
  <c r="BU170" i="9"/>
  <c r="BQ170" i="9"/>
  <c r="BL170" i="9"/>
  <c r="BB170" i="9"/>
  <c r="AT170" i="9"/>
  <c r="AR170" i="9"/>
  <c r="AN170" i="9"/>
  <c r="T170" i="9"/>
  <c r="S170" i="9"/>
  <c r="N170" i="9"/>
  <c r="L170" i="9"/>
  <c r="K170" i="9"/>
  <c r="J170" i="9"/>
  <c r="H170" i="9"/>
  <c r="G170" i="9"/>
  <c r="F170" i="9"/>
  <c r="D170" i="9"/>
  <c r="DI169" i="9"/>
  <c r="DH169" i="9"/>
  <c r="DG169" i="9"/>
  <c r="DF169" i="9"/>
  <c r="DC169" i="9"/>
  <c r="CC169" i="9"/>
  <c r="CB169" i="9"/>
  <c r="BS169" i="9"/>
  <c r="BR169" i="9"/>
  <c r="BM169" i="9"/>
  <c r="BD169" i="9"/>
  <c r="BE169" i="9" s="1"/>
  <c r="BC169" i="9"/>
  <c r="AV169" i="9" s="1"/>
  <c r="AU169" i="9"/>
  <c r="AN169" i="9"/>
  <c r="AM169" i="9"/>
  <c r="BG169" i="9" s="1"/>
  <c r="BJ169" i="9" s="1"/>
  <c r="AL169" i="9"/>
  <c r="BN169" i="9" s="1"/>
  <c r="Y169" i="9"/>
  <c r="V169" i="9"/>
  <c r="U169" i="9"/>
  <c r="R169" i="9"/>
  <c r="O169" i="9"/>
  <c r="M169" i="9"/>
  <c r="I169" i="9"/>
  <c r="Q169" i="9" s="1"/>
  <c r="DH168" i="9"/>
  <c r="DG168" i="9"/>
  <c r="DF168" i="9"/>
  <c r="DC168" i="9"/>
  <c r="DB168" i="9"/>
  <c r="CC168" i="9"/>
  <c r="CB168" i="9"/>
  <c r="DI168" i="9" s="1"/>
  <c r="BS168" i="9"/>
  <c r="BR168" i="9"/>
  <c r="BN168" i="9"/>
  <c r="BO168" i="9" s="1"/>
  <c r="BM168" i="9"/>
  <c r="BP168" i="9" s="1"/>
  <c r="BD168" i="9"/>
  <c r="BE168" i="9" s="1"/>
  <c r="BC168" i="9"/>
  <c r="BH168" i="9" s="1"/>
  <c r="BK168" i="9" s="1"/>
  <c r="AU168" i="9"/>
  <c r="AN168" i="9"/>
  <c r="AP168" i="9" s="1"/>
  <c r="AM168" i="9"/>
  <c r="BG168" i="9" s="1"/>
  <c r="BJ168" i="9" s="1"/>
  <c r="AL168" i="9"/>
  <c r="U168" i="9"/>
  <c r="Q168" i="9"/>
  <c r="O168" i="9"/>
  <c r="M168" i="9"/>
  <c r="I168" i="9"/>
  <c r="R168" i="9" s="1"/>
  <c r="DH167" i="9"/>
  <c r="DG167" i="9"/>
  <c r="DF167" i="9"/>
  <c r="DC167" i="9"/>
  <c r="DB167" i="9"/>
  <c r="CB167" i="9"/>
  <c r="DI167" i="9" s="1"/>
  <c r="BS167" i="9"/>
  <c r="BR167" i="9"/>
  <c r="BM167" i="9"/>
  <c r="BJ167" i="9"/>
  <c r="BG167" i="9"/>
  <c r="BC167" i="9"/>
  <c r="AU167" i="9"/>
  <c r="AP167" i="9"/>
  <c r="AN167" i="9"/>
  <c r="AM167" i="9"/>
  <c r="AL167" i="9"/>
  <c r="X167" i="9"/>
  <c r="V167" i="9"/>
  <c r="U167" i="9"/>
  <c r="O167" i="9"/>
  <c r="M167" i="9"/>
  <c r="I167" i="9"/>
  <c r="Q167" i="9" s="1"/>
  <c r="DH166" i="9"/>
  <c r="DG166" i="9"/>
  <c r="DF166" i="9"/>
  <c r="DC166" i="9"/>
  <c r="CB166" i="9"/>
  <c r="DI166" i="9" s="1"/>
  <c r="BS166" i="9"/>
  <c r="BR166" i="9"/>
  <c r="BM166" i="9"/>
  <c r="BJ166" i="9"/>
  <c r="BG166" i="9"/>
  <c r="BC166" i="9"/>
  <c r="AU166" i="9"/>
  <c r="AP166" i="9"/>
  <c r="AN166" i="9"/>
  <c r="AM166" i="9"/>
  <c r="AL166" i="9"/>
  <c r="X166" i="9"/>
  <c r="V166" i="9"/>
  <c r="U166" i="9"/>
  <c r="O166" i="9"/>
  <c r="M166" i="9"/>
  <c r="I166" i="9"/>
  <c r="Q166" i="9" s="1"/>
  <c r="DH165" i="9"/>
  <c r="DG165" i="9"/>
  <c r="DF165" i="9"/>
  <c r="DC165" i="9"/>
  <c r="DB165" i="9"/>
  <c r="CC165" i="9"/>
  <c r="CB165" i="9"/>
  <c r="DI165" i="9" s="1"/>
  <c r="BS165" i="9"/>
  <c r="BR165" i="9"/>
  <c r="BN165" i="9"/>
  <c r="BO165" i="9" s="1"/>
  <c r="BM165" i="9"/>
  <c r="BD165" i="9"/>
  <c r="BE165" i="9" s="1"/>
  <c r="BC165" i="9"/>
  <c r="BF165" i="9" s="1"/>
  <c r="AY165" i="9"/>
  <c r="AV165" i="9"/>
  <c r="AZ165" i="9" s="1"/>
  <c r="AU165" i="9"/>
  <c r="AN165" i="9"/>
  <c r="AM165" i="9"/>
  <c r="BG165" i="9" s="1"/>
  <c r="BJ165" i="9" s="1"/>
  <c r="AL165" i="9"/>
  <c r="AG165" i="9"/>
  <c r="Z165" i="9"/>
  <c r="AF165" i="9" s="1"/>
  <c r="W165" i="9"/>
  <c r="U165" i="9"/>
  <c r="Q165" i="9"/>
  <c r="O165" i="9"/>
  <c r="M165" i="9"/>
  <c r="I165" i="9"/>
  <c r="R165" i="9" s="1"/>
  <c r="DI164" i="9"/>
  <c r="DH164" i="9"/>
  <c r="DG164" i="9"/>
  <c r="DC164" i="9"/>
  <c r="DB164" i="9"/>
  <c r="CB164" i="9"/>
  <c r="BY164" i="9"/>
  <c r="DF164" i="9" s="1"/>
  <c r="BS164" i="9"/>
  <c r="BR164" i="9"/>
  <c r="BM164" i="9"/>
  <c r="BI164" i="9"/>
  <c r="BG164" i="9"/>
  <c r="BC164" i="9"/>
  <c r="AU164" i="9"/>
  <c r="AN164" i="9"/>
  <c r="AM164" i="9"/>
  <c r="AL164" i="9"/>
  <c r="CC164" i="9" s="1"/>
  <c r="X164" i="9"/>
  <c r="V164" i="9"/>
  <c r="U164" i="9"/>
  <c r="R164" i="9"/>
  <c r="O164" i="9"/>
  <c r="M164" i="9"/>
  <c r="I164" i="9"/>
  <c r="Q164" i="9" s="1"/>
  <c r="DH163" i="9"/>
  <c r="DG163" i="9"/>
  <c r="DB163" i="9"/>
  <c r="BY163" i="9"/>
  <c r="CB163" i="9" s="1"/>
  <c r="DI163" i="9" s="1"/>
  <c r="BS163" i="9"/>
  <c r="BR163" i="9"/>
  <c r="BM163" i="9"/>
  <c r="BI163" i="9"/>
  <c r="BD163" i="9"/>
  <c r="BE163" i="9" s="1"/>
  <c r="BC163" i="9"/>
  <c r="BH163" i="9" s="1"/>
  <c r="AU163" i="9"/>
  <c r="AN163" i="9"/>
  <c r="AP163" i="9" s="1"/>
  <c r="AM163" i="9"/>
  <c r="BG163" i="9" s="1"/>
  <c r="BJ163" i="9" s="1"/>
  <c r="AL163" i="9"/>
  <c r="BN163" i="9" s="1"/>
  <c r="W163" i="9"/>
  <c r="U163" i="9"/>
  <c r="P163" i="9"/>
  <c r="DC163" i="9" s="1"/>
  <c r="O163" i="9"/>
  <c r="M163" i="9"/>
  <c r="I163" i="9"/>
  <c r="Q163" i="9" s="1"/>
  <c r="DH162" i="9"/>
  <c r="DG162" i="9"/>
  <c r="DB162" i="9"/>
  <c r="BY162" i="9"/>
  <c r="BS162" i="9"/>
  <c r="BR162" i="9"/>
  <c r="BO162" i="9"/>
  <c r="BM162" i="9"/>
  <c r="BI162" i="9"/>
  <c r="BD162" i="9"/>
  <c r="BE162" i="9" s="1"/>
  <c r="BC162" i="9"/>
  <c r="BH162" i="9" s="1"/>
  <c r="AU162" i="9"/>
  <c r="AN162" i="9"/>
  <c r="AM162" i="9"/>
  <c r="BG162" i="9" s="1"/>
  <c r="BJ162" i="9" s="1"/>
  <c r="AL162" i="9"/>
  <c r="BN162" i="9" s="1"/>
  <c r="BP162" i="9" s="1"/>
  <c r="U162" i="9"/>
  <c r="P162" i="9"/>
  <c r="DC162" i="9" s="1"/>
  <c r="O162" i="9"/>
  <c r="M162" i="9"/>
  <c r="I162" i="9"/>
  <c r="DH161" i="9"/>
  <c r="DF161" i="9"/>
  <c r="DB161" i="9"/>
  <c r="DB160" i="9" s="1"/>
  <c r="BZ161" i="9"/>
  <c r="DG161" i="9" s="1"/>
  <c r="BY161" i="9"/>
  <c r="CB161" i="9" s="1"/>
  <c r="DI161" i="9" s="1"/>
  <c r="BS161" i="9"/>
  <c r="BR161" i="9"/>
  <c r="BM161" i="9"/>
  <c r="BI161" i="9"/>
  <c r="BG161" i="9"/>
  <c r="BC161" i="9"/>
  <c r="BC160" i="9" s="1"/>
  <c r="AU161" i="9"/>
  <c r="AN161" i="9"/>
  <c r="AM161" i="9"/>
  <c r="AL161" i="9"/>
  <c r="AL160" i="9" s="1"/>
  <c r="V161" i="9"/>
  <c r="U161" i="9"/>
  <c r="R161" i="9"/>
  <c r="P161" i="9"/>
  <c r="M161" i="9"/>
  <c r="M160" i="9" s="1"/>
  <c r="I161" i="9"/>
  <c r="DC160" i="9"/>
  <c r="CA160" i="9"/>
  <c r="DH160" i="9" s="1"/>
  <c r="BZ160" i="9"/>
  <c r="DG160" i="9" s="1"/>
  <c r="BW160" i="9"/>
  <c r="BV160" i="9"/>
  <c r="BU160" i="9"/>
  <c r="BQ160" i="9"/>
  <c r="BL160" i="9"/>
  <c r="BB160" i="9"/>
  <c r="AU160" i="9" s="1"/>
  <c r="AT160" i="9"/>
  <c r="AS160" i="9"/>
  <c r="AR160" i="9"/>
  <c r="AN160" i="9" s="1"/>
  <c r="AQ160" i="9"/>
  <c r="AM160" i="9"/>
  <c r="BG160" i="9" s="1"/>
  <c r="T160" i="9"/>
  <c r="S160" i="9"/>
  <c r="P160" i="9"/>
  <c r="N160" i="9"/>
  <c r="L160" i="9"/>
  <c r="K160" i="9"/>
  <c r="J160" i="9"/>
  <c r="H160" i="9"/>
  <c r="G160" i="9"/>
  <c r="F160" i="9"/>
  <c r="E160" i="9"/>
  <c r="D160" i="9"/>
  <c r="C160" i="9"/>
  <c r="DI159" i="9"/>
  <c r="DH159" i="9"/>
  <c r="DG159" i="9"/>
  <c r="DF159" i="9"/>
  <c r="DC159" i="9"/>
  <c r="CC159" i="9"/>
  <c r="CB159" i="9"/>
  <c r="BS159" i="9"/>
  <c r="BR159" i="9"/>
  <c r="BN159" i="9"/>
  <c r="BO159" i="9" s="1"/>
  <c r="BM159" i="9"/>
  <c r="BP159" i="9" s="1"/>
  <c r="BD159" i="9"/>
  <c r="BE159" i="9" s="1"/>
  <c r="BC159" i="9"/>
  <c r="AV159" i="9" s="1"/>
  <c r="Z159" i="9" s="1"/>
  <c r="AU159" i="9"/>
  <c r="AN159" i="9"/>
  <c r="AP159" i="9" s="1"/>
  <c r="AM159" i="9"/>
  <c r="BG159" i="9" s="1"/>
  <c r="BJ159" i="9" s="1"/>
  <c r="AL159" i="9"/>
  <c r="U159" i="9"/>
  <c r="Q159" i="9"/>
  <c r="O159" i="9"/>
  <c r="M159" i="9"/>
  <c r="I159" i="9"/>
  <c r="R159" i="9" s="1"/>
  <c r="DG158" i="9"/>
  <c r="DB158" i="9"/>
  <c r="CA158" i="9"/>
  <c r="DH158" i="9" s="1"/>
  <c r="BZ158" i="9"/>
  <c r="CB158" i="9" s="1"/>
  <c r="DI158" i="9" s="1"/>
  <c r="BY158" i="9"/>
  <c r="DF158" i="9" s="1"/>
  <c r="BU158" i="9"/>
  <c r="BS158" i="9"/>
  <c r="BR158" i="9"/>
  <c r="BM158" i="9"/>
  <c r="BJ158" i="9"/>
  <c r="BG158" i="9"/>
  <c r="BC158" i="9"/>
  <c r="AV158" i="9"/>
  <c r="AU158" i="9"/>
  <c r="AP158" i="9"/>
  <c r="AN158" i="9"/>
  <c r="AM158" i="9"/>
  <c r="AL158" i="9"/>
  <c r="V158" i="9"/>
  <c r="U158" i="9"/>
  <c r="P158" i="9"/>
  <c r="M158" i="9"/>
  <c r="I158" i="9"/>
  <c r="DH157" i="9"/>
  <c r="DG157" i="9"/>
  <c r="DB157" i="9"/>
  <c r="CB157" i="9"/>
  <c r="DI157" i="9" s="1"/>
  <c r="BY157" i="9"/>
  <c r="DF157" i="9" s="1"/>
  <c r="BS157" i="9"/>
  <c r="BR157" i="9"/>
  <c r="BM157" i="9"/>
  <c r="BI157" i="9"/>
  <c r="BG157" i="9"/>
  <c r="BC157" i="9"/>
  <c r="AU157" i="9"/>
  <c r="AP157" i="9"/>
  <c r="AN157" i="9"/>
  <c r="AM157" i="9"/>
  <c r="AL157" i="9"/>
  <c r="V157" i="9"/>
  <c r="U157" i="9"/>
  <c r="P157" i="9"/>
  <c r="M157" i="9"/>
  <c r="I157" i="9"/>
  <c r="DH156" i="9"/>
  <c r="DG156" i="9"/>
  <c r="DF156" i="9"/>
  <c r="DC156" i="9"/>
  <c r="DB156" i="9"/>
  <c r="CB156" i="9"/>
  <c r="DI156" i="9" s="1"/>
  <c r="BS156" i="9"/>
  <c r="BR156" i="9"/>
  <c r="BM156" i="9"/>
  <c r="BJ156" i="9"/>
  <c r="BG156" i="9"/>
  <c r="BC156" i="9"/>
  <c r="AU156" i="9"/>
  <c r="AP156" i="9"/>
  <c r="AN156" i="9"/>
  <c r="AM156" i="9"/>
  <c r="AL156" i="9"/>
  <c r="X156" i="9"/>
  <c r="V156" i="9"/>
  <c r="U156" i="9"/>
  <c r="O156" i="9"/>
  <c r="M156" i="9"/>
  <c r="I156" i="9"/>
  <c r="Q156" i="9" s="1"/>
  <c r="DH155" i="9"/>
  <c r="DG155" i="9"/>
  <c r="DB155" i="9"/>
  <c r="BY155" i="9"/>
  <c r="CB155" i="9" s="1"/>
  <c r="DI155" i="9" s="1"/>
  <c r="BS155" i="9"/>
  <c r="BR155" i="9"/>
  <c r="BM155" i="9"/>
  <c r="BI155" i="9"/>
  <c r="BJ155" i="9" s="1"/>
  <c r="BG155" i="9"/>
  <c r="BC155" i="9"/>
  <c r="AV155" i="9" s="1"/>
  <c r="Z155" i="9" s="1"/>
  <c r="AE155" i="9" s="1"/>
  <c r="AU155" i="9"/>
  <c r="AN155" i="9"/>
  <c r="AM155" i="9"/>
  <c r="AL155" i="9"/>
  <c r="BN155" i="9" s="1"/>
  <c r="BP155" i="9" s="1"/>
  <c r="V155" i="9"/>
  <c r="U155" i="9"/>
  <c r="P155" i="9"/>
  <c r="DC155" i="9" s="1"/>
  <c r="M155" i="9"/>
  <c r="I155" i="9"/>
  <c r="DH154" i="9"/>
  <c r="DG154" i="9"/>
  <c r="DC154" i="9"/>
  <c r="DB154" i="9"/>
  <c r="CB154" i="9"/>
  <c r="DI154" i="9" s="1"/>
  <c r="BY154" i="9"/>
  <c r="DF154" i="9" s="1"/>
  <c r="BU154" i="9"/>
  <c r="BS154" i="9"/>
  <c r="BR154" i="9"/>
  <c r="BM154" i="9"/>
  <c r="BG154" i="9"/>
  <c r="BJ154" i="9" s="1"/>
  <c r="BC154" i="9"/>
  <c r="AV154" i="9"/>
  <c r="Z154" i="9" s="1"/>
  <c r="AE154" i="9" s="1"/>
  <c r="AU154" i="9"/>
  <c r="AN154" i="9"/>
  <c r="BH154" i="9" s="1"/>
  <c r="BK154" i="9" s="1"/>
  <c r="AM154" i="9"/>
  <c r="AL154" i="9"/>
  <c r="CC154" i="9" s="1"/>
  <c r="X154" i="9"/>
  <c r="V154" i="9"/>
  <c r="U154" i="9"/>
  <c r="O154" i="9"/>
  <c r="M154" i="9"/>
  <c r="I154" i="9"/>
  <c r="Q154" i="9" s="1"/>
  <c r="DH153" i="9"/>
  <c r="DG153" i="9"/>
  <c r="DB153" i="9"/>
  <c r="BY153" i="9"/>
  <c r="CB153" i="9" s="1"/>
  <c r="BS153" i="9"/>
  <c r="BR153" i="9"/>
  <c r="BM153" i="9"/>
  <c r="BI153" i="9"/>
  <c r="BD153" i="9"/>
  <c r="BE153" i="9" s="1"/>
  <c r="BC153" i="9"/>
  <c r="BH153" i="9" s="1"/>
  <c r="AU153" i="9"/>
  <c r="AN153" i="9"/>
  <c r="AP153" i="9" s="1"/>
  <c r="AM153" i="9"/>
  <c r="BG153" i="9" s="1"/>
  <c r="BJ153" i="9" s="1"/>
  <c r="AL153" i="9"/>
  <c r="BN153" i="9" s="1"/>
  <c r="U153" i="9"/>
  <c r="P153" i="9"/>
  <c r="DC153" i="9" s="1"/>
  <c r="O153" i="9"/>
  <c r="M153" i="9"/>
  <c r="I153" i="9"/>
  <c r="Q153" i="9" s="1"/>
  <c r="DH152" i="9"/>
  <c r="DG152" i="9"/>
  <c r="DF152" i="9"/>
  <c r="DC152" i="9"/>
  <c r="CB152" i="9"/>
  <c r="DI152" i="9" s="1"/>
  <c r="BY152" i="9"/>
  <c r="BS152" i="9"/>
  <c r="BR152" i="9"/>
  <c r="BN152" i="9"/>
  <c r="BO152" i="9" s="1"/>
  <c r="BM152" i="9"/>
  <c r="BD152" i="9"/>
  <c r="BE152" i="9" s="1"/>
  <c r="BC152" i="9"/>
  <c r="BH152" i="9" s="1"/>
  <c r="BK152" i="9" s="1"/>
  <c r="AY152" i="9"/>
  <c r="AV152" i="9"/>
  <c r="AZ152" i="9" s="1"/>
  <c r="AU152" i="9"/>
  <c r="AN152" i="9"/>
  <c r="AP152" i="9" s="1"/>
  <c r="AM152" i="9"/>
  <c r="BG152" i="9" s="1"/>
  <c r="BJ152" i="9" s="1"/>
  <c r="AL152" i="9"/>
  <c r="CC152" i="9" s="1"/>
  <c r="AG152" i="9"/>
  <c r="Z152" i="9"/>
  <c r="AF152" i="9" s="1"/>
  <c r="U152" i="9"/>
  <c r="Q152" i="9"/>
  <c r="O152" i="9"/>
  <c r="M152" i="9"/>
  <c r="I152" i="9"/>
  <c r="R152" i="9" s="1"/>
  <c r="DI151" i="9"/>
  <c r="DH151" i="9"/>
  <c r="DG151" i="9"/>
  <c r="DF151" i="9"/>
  <c r="DC151" i="9"/>
  <c r="CC151" i="9"/>
  <c r="CB151" i="9"/>
  <c r="BS151" i="9"/>
  <c r="BR151" i="9"/>
  <c r="BN151" i="9"/>
  <c r="BO151" i="9" s="1"/>
  <c r="BM151" i="9"/>
  <c r="BD151" i="9"/>
  <c r="BE151" i="9" s="1"/>
  <c r="BC151" i="9"/>
  <c r="BH151" i="9" s="1"/>
  <c r="BK151" i="9" s="1"/>
  <c r="AY151" i="9"/>
  <c r="AV151" i="9"/>
  <c r="AZ151" i="9" s="1"/>
  <c r="AU151" i="9"/>
  <c r="AN151" i="9"/>
  <c r="AP151" i="9" s="1"/>
  <c r="AM151" i="9"/>
  <c r="BG151" i="9" s="1"/>
  <c r="BJ151" i="9" s="1"/>
  <c r="AL151" i="9"/>
  <c r="AG151" i="9"/>
  <c r="Z151" i="9"/>
  <c r="AF151" i="9" s="1"/>
  <c r="U151" i="9"/>
  <c r="CP151" i="9" s="1"/>
  <c r="Q151" i="9"/>
  <c r="O151" i="9"/>
  <c r="M151" i="9"/>
  <c r="I151" i="9"/>
  <c r="R151" i="9" s="1"/>
  <c r="DC150" i="9"/>
  <c r="DB150" i="9"/>
  <c r="CA150" i="9"/>
  <c r="DH150" i="9" s="1"/>
  <c r="BZ150" i="9"/>
  <c r="DG150" i="9" s="1"/>
  <c r="BY150" i="9"/>
  <c r="DF150" i="9" s="1"/>
  <c r="BU150" i="9"/>
  <c r="AL150" i="9" s="1"/>
  <c r="BS150" i="9"/>
  <c r="BR150" i="9"/>
  <c r="BM150" i="9"/>
  <c r="BI150" i="9"/>
  <c r="BD150" i="9"/>
  <c r="BE150" i="9" s="1"/>
  <c r="BC150" i="9"/>
  <c r="BH150" i="9" s="1"/>
  <c r="AU150" i="9"/>
  <c r="AN150" i="9"/>
  <c r="AP150" i="9" s="1"/>
  <c r="AM150" i="9"/>
  <c r="BG150" i="9" s="1"/>
  <c r="BJ150" i="9" s="1"/>
  <c r="U150" i="9"/>
  <c r="X150" i="9" s="1"/>
  <c r="P150" i="9"/>
  <c r="O150" i="9"/>
  <c r="M150" i="9"/>
  <c r="I150" i="9"/>
  <c r="Q150" i="9" s="1"/>
  <c r="DH149" i="9"/>
  <c r="DG149" i="9"/>
  <c r="DF149" i="9"/>
  <c r="DC149" i="9"/>
  <c r="DB149" i="9"/>
  <c r="CC149" i="9"/>
  <c r="CB149" i="9"/>
  <c r="DI149" i="9" s="1"/>
  <c r="BS149" i="9"/>
  <c r="BR149" i="9"/>
  <c r="BN149" i="9"/>
  <c r="BO149" i="9" s="1"/>
  <c r="BM149" i="9"/>
  <c r="BD149" i="9"/>
  <c r="BE149" i="9" s="1"/>
  <c r="BC149" i="9"/>
  <c r="BH149" i="9" s="1"/>
  <c r="BK149" i="9" s="1"/>
  <c r="AY149" i="9"/>
  <c r="AV149" i="9"/>
  <c r="AZ149" i="9" s="1"/>
  <c r="AU149" i="9"/>
  <c r="AN149" i="9"/>
  <c r="AP149" i="9" s="1"/>
  <c r="AM149" i="9"/>
  <c r="BG149" i="9" s="1"/>
  <c r="BJ149" i="9" s="1"/>
  <c r="AL149" i="9"/>
  <c r="AG149" i="9"/>
  <c r="Z149" i="9"/>
  <c r="AF149" i="9" s="1"/>
  <c r="U149" i="9"/>
  <c r="CP149" i="9" s="1"/>
  <c r="Q149" i="9"/>
  <c r="O149" i="9"/>
  <c r="M149" i="9"/>
  <c r="I149" i="9"/>
  <c r="R149" i="9" s="1"/>
  <c r="D149" i="9"/>
  <c r="C149" i="9"/>
  <c r="DH148" i="9"/>
  <c r="DG148" i="9"/>
  <c r="DF148" i="9"/>
  <c r="DC148" i="9"/>
  <c r="DB148" i="9"/>
  <c r="CP148" i="9"/>
  <c r="CB148" i="9"/>
  <c r="DI148" i="9" s="1"/>
  <c r="BS148" i="9"/>
  <c r="BR148" i="9"/>
  <c r="BM148" i="9"/>
  <c r="BG148" i="9"/>
  <c r="BJ148" i="9" s="1"/>
  <c r="BC148" i="9"/>
  <c r="AU148" i="9"/>
  <c r="AN148" i="9"/>
  <c r="AM148" i="9"/>
  <c r="AL148" i="9"/>
  <c r="CC148" i="9" s="1"/>
  <c r="Y148" i="9"/>
  <c r="V148" i="9"/>
  <c r="U148" i="9"/>
  <c r="X148" i="9" s="1"/>
  <c r="O148" i="9"/>
  <c r="M148" i="9"/>
  <c r="I148" i="9"/>
  <c r="Q148" i="9" s="1"/>
  <c r="DH147" i="9"/>
  <c r="DG147" i="9"/>
  <c r="DC147" i="9"/>
  <c r="DB147" i="9"/>
  <c r="DB417" i="9" s="1"/>
  <c r="BY147" i="9"/>
  <c r="CB147" i="9" s="1"/>
  <c r="BU147" i="9"/>
  <c r="BS147" i="9"/>
  <c r="BR147" i="9"/>
  <c r="BR146" i="9" s="1"/>
  <c r="BN147" i="9"/>
  <c r="BO147" i="9" s="1"/>
  <c r="BM147" i="9"/>
  <c r="BD147" i="9"/>
  <c r="BC147" i="9"/>
  <c r="BH147" i="9" s="1"/>
  <c r="AY147" i="9"/>
  <c r="AV147" i="9"/>
  <c r="AZ147" i="9" s="1"/>
  <c r="AU147" i="9"/>
  <c r="AN147" i="9"/>
  <c r="AP147" i="9" s="1"/>
  <c r="AM147" i="9"/>
  <c r="BG147" i="9" s="1"/>
  <c r="AL147" i="9"/>
  <c r="AG147" i="9"/>
  <c r="Z147" i="9"/>
  <c r="AF147" i="9" s="1"/>
  <c r="U147" i="9"/>
  <c r="U417" i="9" s="1"/>
  <c r="Q147" i="9"/>
  <c r="O147" i="9"/>
  <c r="M147" i="9"/>
  <c r="M417" i="9" s="1"/>
  <c r="I147" i="9"/>
  <c r="D147" i="9"/>
  <c r="C147" i="9"/>
  <c r="CA146" i="9"/>
  <c r="DH146" i="9" s="1"/>
  <c r="BZ146" i="9"/>
  <c r="DG146" i="9" s="1"/>
  <c r="BW146" i="9"/>
  <c r="BV146" i="9"/>
  <c r="BU146" i="9"/>
  <c r="BQ146" i="9"/>
  <c r="BL146" i="9"/>
  <c r="BI146" i="9"/>
  <c r="BB146" i="9"/>
  <c r="AU146" i="9" s="1"/>
  <c r="AT146" i="9"/>
  <c r="AS146" i="9"/>
  <c r="AR146" i="9"/>
  <c r="AQ146" i="9"/>
  <c r="AN146" i="9"/>
  <c r="AO146" i="9" s="1"/>
  <c r="AM146" i="9"/>
  <c r="BG146" i="9" s="1"/>
  <c r="BJ146" i="9" s="1"/>
  <c r="T146" i="9"/>
  <c r="S146" i="9"/>
  <c r="P146" i="9"/>
  <c r="N146" i="9"/>
  <c r="L146" i="9"/>
  <c r="K146" i="9"/>
  <c r="J146" i="9"/>
  <c r="H146" i="9"/>
  <c r="G146" i="9"/>
  <c r="F146" i="9"/>
  <c r="E146" i="9"/>
  <c r="D146" i="9"/>
  <c r="C146" i="9"/>
  <c r="DH145" i="9"/>
  <c r="DG145" i="9"/>
  <c r="DF145" i="9"/>
  <c r="DC145" i="9"/>
  <c r="DB145" i="9"/>
  <c r="CB145" i="9"/>
  <c r="DI145" i="9" s="1"/>
  <c r="BS145" i="9"/>
  <c r="BR145" i="9"/>
  <c r="BM145" i="9"/>
  <c r="BG145" i="9"/>
  <c r="BJ145" i="9" s="1"/>
  <c r="BC145" i="9"/>
  <c r="AV145" i="9" s="1"/>
  <c r="Z145" i="9" s="1"/>
  <c r="AE145" i="9" s="1"/>
  <c r="AU145" i="9"/>
  <c r="AN145" i="9"/>
  <c r="AM145" i="9"/>
  <c r="AL145" i="9"/>
  <c r="CC145" i="9" s="1"/>
  <c r="X145" i="9"/>
  <c r="V145" i="9"/>
  <c r="U145" i="9"/>
  <c r="O145" i="9"/>
  <c r="M145" i="9"/>
  <c r="I145" i="9"/>
  <c r="Q145" i="9" s="1"/>
  <c r="DH144" i="9"/>
  <c r="DG144" i="9"/>
  <c r="DF144" i="9"/>
  <c r="DC144" i="9"/>
  <c r="DB144" i="9"/>
  <c r="CC144" i="9"/>
  <c r="CB144" i="9"/>
  <c r="DI144" i="9" s="1"/>
  <c r="BS144" i="9"/>
  <c r="BR144" i="9"/>
  <c r="BN144" i="9"/>
  <c r="BO144" i="9" s="1"/>
  <c r="BM144" i="9"/>
  <c r="BD144" i="9"/>
  <c r="BE144" i="9" s="1"/>
  <c r="BC144" i="9"/>
  <c r="BH144" i="9" s="1"/>
  <c r="BK144" i="9" s="1"/>
  <c r="AY144" i="9"/>
  <c r="AV144" i="9"/>
  <c r="AZ144" i="9" s="1"/>
  <c r="AU144" i="9"/>
  <c r="AN144" i="9"/>
  <c r="AP144" i="9" s="1"/>
  <c r="AM144" i="9"/>
  <c r="BG144" i="9" s="1"/>
  <c r="BJ144" i="9" s="1"/>
  <c r="AL144" i="9"/>
  <c r="AG144" i="9"/>
  <c r="Z144" i="9"/>
  <c r="AF144" i="9" s="1"/>
  <c r="U144" i="9"/>
  <c r="Q144" i="9"/>
  <c r="O144" i="9"/>
  <c r="M144" i="9"/>
  <c r="I144" i="9"/>
  <c r="R144" i="9" s="1"/>
  <c r="DH143" i="9"/>
  <c r="DG143" i="9"/>
  <c r="DF143" i="9"/>
  <c r="DC143" i="9"/>
  <c r="DB143" i="9"/>
  <c r="CB143" i="9"/>
  <c r="DI143" i="9" s="1"/>
  <c r="BS143" i="9"/>
  <c r="BR143" i="9"/>
  <c r="BM143" i="9"/>
  <c r="BG143" i="9"/>
  <c r="BJ143" i="9" s="1"/>
  <c r="BC143" i="9"/>
  <c r="AV143" i="9" s="1"/>
  <c r="Z143" i="9" s="1"/>
  <c r="AE143" i="9" s="1"/>
  <c r="AU143" i="9"/>
  <c r="AN143" i="9"/>
  <c r="BH143" i="9" s="1"/>
  <c r="BK143" i="9" s="1"/>
  <c r="AM143" i="9"/>
  <c r="AL143" i="9"/>
  <c r="CC143" i="9" s="1"/>
  <c r="X143" i="9"/>
  <c r="V143" i="9"/>
  <c r="U143" i="9"/>
  <c r="O143" i="9"/>
  <c r="M143" i="9"/>
  <c r="I143" i="9"/>
  <c r="Q143" i="9" s="1"/>
  <c r="DH142" i="9"/>
  <c r="DG142" i="9"/>
  <c r="DB142" i="9"/>
  <c r="BY142" i="9"/>
  <c r="CB142" i="9" s="1"/>
  <c r="BS142" i="9"/>
  <c r="BR142" i="9"/>
  <c r="BM142" i="9"/>
  <c r="BI142" i="9"/>
  <c r="BI402" i="9" s="1"/>
  <c r="BD142" i="9"/>
  <c r="BE142" i="9" s="1"/>
  <c r="BC142" i="9"/>
  <c r="BH142" i="9" s="1"/>
  <c r="AU142" i="9"/>
  <c r="AN142" i="9"/>
  <c r="AP142" i="9" s="1"/>
  <c r="AM142" i="9"/>
  <c r="BG142" i="9" s="1"/>
  <c r="BJ142" i="9" s="1"/>
  <c r="AL142" i="9"/>
  <c r="BN142" i="9" s="1"/>
  <c r="U142" i="9"/>
  <c r="P142" i="9"/>
  <c r="DC142" i="9" s="1"/>
  <c r="O142" i="9"/>
  <c r="M142" i="9"/>
  <c r="I142" i="9"/>
  <c r="Q142" i="9" s="1"/>
  <c r="DH141" i="9"/>
  <c r="DG141" i="9"/>
  <c r="DF141" i="9"/>
  <c r="DB141" i="9"/>
  <c r="DB402" i="9" s="1"/>
  <c r="CC141" i="9"/>
  <c r="CB141" i="9"/>
  <c r="DI141" i="9" s="1"/>
  <c r="BS141" i="9"/>
  <c r="BR141" i="9"/>
  <c r="BN141" i="9"/>
  <c r="BO141" i="9" s="1"/>
  <c r="BM141" i="9"/>
  <c r="BD141" i="9"/>
  <c r="BC141" i="9"/>
  <c r="BH141" i="9" s="1"/>
  <c r="AY141" i="9"/>
  <c r="AV141" i="9"/>
  <c r="AZ141" i="9" s="1"/>
  <c r="AU141" i="9"/>
  <c r="AN141" i="9"/>
  <c r="AP141" i="9" s="1"/>
  <c r="AM141" i="9"/>
  <c r="BG141" i="9" s="1"/>
  <c r="AL141" i="9"/>
  <c r="AG141" i="9"/>
  <c r="Z141" i="9"/>
  <c r="AF141" i="9" s="1"/>
  <c r="U141" i="9"/>
  <c r="P141" i="9"/>
  <c r="P402" i="9" s="1"/>
  <c r="O141" i="9"/>
  <c r="M141" i="9"/>
  <c r="M402" i="9" s="1"/>
  <c r="I141" i="9"/>
  <c r="I402" i="9" s="1"/>
  <c r="DB140" i="9"/>
  <c r="CA140" i="9"/>
  <c r="DH140" i="9" s="1"/>
  <c r="BZ140" i="9"/>
  <c r="DG140" i="9" s="1"/>
  <c r="BY140" i="9"/>
  <c r="DF140" i="9" s="1"/>
  <c r="BW140" i="9"/>
  <c r="BV140" i="9"/>
  <c r="BU140" i="9"/>
  <c r="BS140" i="9"/>
  <c r="BQ140" i="9"/>
  <c r="BM140" i="9"/>
  <c r="BL140" i="9"/>
  <c r="BI140" i="9"/>
  <c r="BB140" i="9"/>
  <c r="AU140" i="9"/>
  <c r="AT140" i="9"/>
  <c r="AS140" i="9"/>
  <c r="AR140" i="9"/>
  <c r="AQ140" i="9"/>
  <c r="AN140" i="9"/>
  <c r="AP140" i="9" s="1"/>
  <c r="AM140" i="9"/>
  <c r="BG140" i="9" s="1"/>
  <c r="AL140" i="9"/>
  <c r="U140" i="9"/>
  <c r="X140" i="9" s="1"/>
  <c r="T140" i="9"/>
  <c r="S140" i="9"/>
  <c r="P140" i="9"/>
  <c r="DC140" i="9" s="1"/>
  <c r="O140" i="9"/>
  <c r="N140" i="9"/>
  <c r="M140" i="9"/>
  <c r="L140" i="9"/>
  <c r="K140" i="9"/>
  <c r="J140" i="9"/>
  <c r="I140" i="9"/>
  <c r="Q140" i="9" s="1"/>
  <c r="H140" i="9"/>
  <c r="G140" i="9"/>
  <c r="F140" i="9"/>
  <c r="E140" i="9"/>
  <c r="D140" i="9"/>
  <c r="C140" i="9"/>
  <c r="CA139" i="9"/>
  <c r="DH139" i="9" s="1"/>
  <c r="BZ139" i="9"/>
  <c r="DG139" i="9" s="1"/>
  <c r="BW139" i="9"/>
  <c r="BV139" i="9"/>
  <c r="BU139" i="9"/>
  <c r="BQ139" i="9"/>
  <c r="BQ458" i="9" s="1"/>
  <c r="BQ499" i="9" s="1"/>
  <c r="BL139" i="9"/>
  <c r="BL458" i="9" s="1"/>
  <c r="BL499" i="9" s="1"/>
  <c r="BB139" i="9"/>
  <c r="BB458" i="9" s="1"/>
  <c r="BB499" i="9" s="1"/>
  <c r="AU139" i="9"/>
  <c r="AT139" i="9"/>
  <c r="AR139" i="9"/>
  <c r="AN139" i="9"/>
  <c r="T139" i="9"/>
  <c r="T458" i="9" s="1"/>
  <c r="T499" i="9" s="1"/>
  <c r="S139" i="9"/>
  <c r="N139" i="9"/>
  <c r="L139" i="9"/>
  <c r="K139" i="9"/>
  <c r="J139" i="9"/>
  <c r="H139" i="9"/>
  <c r="G139" i="9"/>
  <c r="F139" i="9"/>
  <c r="E139" i="9"/>
  <c r="D139" i="9"/>
  <c r="C139" i="9"/>
  <c r="DH138" i="9"/>
  <c r="DG138" i="9"/>
  <c r="DF138" i="9"/>
  <c r="DC138" i="9"/>
  <c r="CC138" i="9"/>
  <c r="CB138" i="9"/>
  <c r="DI138" i="9" s="1"/>
  <c r="BX138" i="9"/>
  <c r="BP138" i="9"/>
  <c r="BO138" i="9"/>
  <c r="BK138" i="9"/>
  <c r="BF138" i="9"/>
  <c r="BE138" i="9"/>
  <c r="AY138" i="9"/>
  <c r="AG138" i="9" s="1"/>
  <c r="AV138" i="9"/>
  <c r="AZ138" i="9" s="1"/>
  <c r="AU138" i="9"/>
  <c r="AW138" i="9" s="1"/>
  <c r="AN138" i="9"/>
  <c r="AP138" i="9" s="1"/>
  <c r="AM138" i="9"/>
  <c r="BG138" i="9" s="1"/>
  <c r="BJ138" i="9" s="1"/>
  <c r="Z138" i="9"/>
  <c r="AE138" i="9" s="1"/>
  <c r="Y138" i="9"/>
  <c r="X138" i="9"/>
  <c r="W138" i="9"/>
  <c r="V138" i="9"/>
  <c r="O138" i="9"/>
  <c r="M138" i="9"/>
  <c r="I138" i="9"/>
  <c r="Q138" i="9" s="1"/>
  <c r="DH137" i="9"/>
  <c r="DG137" i="9"/>
  <c r="DF137" i="9"/>
  <c r="DD137" i="9"/>
  <c r="DC137" i="9"/>
  <c r="DB137" i="9"/>
  <c r="CB137" i="9"/>
  <c r="DI137" i="9" s="1"/>
  <c r="BS137" i="9"/>
  <c r="BR137" i="9"/>
  <c r="BM137" i="9"/>
  <c r="BC137" i="9"/>
  <c r="AU137" i="9"/>
  <c r="AN137" i="9"/>
  <c r="BH137" i="9" s="1"/>
  <c r="BK137" i="9" s="1"/>
  <c r="AM137" i="9"/>
  <c r="BG137" i="9" s="1"/>
  <c r="BJ137" i="9" s="1"/>
  <c r="AL137" i="9"/>
  <c r="CC137" i="9" s="1"/>
  <c r="U137" i="9"/>
  <c r="Q137" i="9"/>
  <c r="O137" i="9"/>
  <c r="M137" i="9"/>
  <c r="I137" i="9"/>
  <c r="R137" i="9" s="1"/>
  <c r="DH136" i="9"/>
  <c r="DG136" i="9"/>
  <c r="DC136" i="9"/>
  <c r="DB136" i="9"/>
  <c r="CB136" i="9"/>
  <c r="DI136" i="9" s="1"/>
  <c r="BY136" i="9"/>
  <c r="DF136" i="9" s="1"/>
  <c r="BS136" i="9"/>
  <c r="BR136" i="9"/>
  <c r="BM136" i="9"/>
  <c r="BI136" i="9"/>
  <c r="BC136" i="9"/>
  <c r="AV136" i="9" s="1"/>
  <c r="Z136" i="9" s="1"/>
  <c r="AF136" i="9" s="1"/>
  <c r="AU136" i="9"/>
  <c r="AQ136" i="9"/>
  <c r="AN136" i="9"/>
  <c r="AM136" i="9"/>
  <c r="BG136" i="9" s="1"/>
  <c r="AL136" i="9"/>
  <c r="CC136" i="9" s="1"/>
  <c r="U136" i="9"/>
  <c r="Q136" i="9"/>
  <c r="O136" i="9"/>
  <c r="M136" i="9"/>
  <c r="M375" i="9" s="1"/>
  <c r="I136" i="9"/>
  <c r="I375" i="9" s="1"/>
  <c r="DI135" i="9"/>
  <c r="DH135" i="9"/>
  <c r="DG135" i="9"/>
  <c r="DF135" i="9"/>
  <c r="DD135" i="9"/>
  <c r="DC135" i="9"/>
  <c r="DB135" i="9"/>
  <c r="CB135" i="9"/>
  <c r="BS135" i="9"/>
  <c r="BR135" i="9"/>
  <c r="BM135" i="9"/>
  <c r="BC135" i="9"/>
  <c r="AU135" i="9"/>
  <c r="AN135" i="9"/>
  <c r="AO135" i="9" s="1"/>
  <c r="AM135" i="9"/>
  <c r="BG135" i="9" s="1"/>
  <c r="BJ135" i="9" s="1"/>
  <c r="AL135" i="9"/>
  <c r="CC135" i="9" s="1"/>
  <c r="Y135" i="9"/>
  <c r="V135" i="9"/>
  <c r="U135" i="9"/>
  <c r="CQ135" i="9" s="1"/>
  <c r="O135" i="9"/>
  <c r="M135" i="9"/>
  <c r="I135" i="9"/>
  <c r="Q135" i="9" s="1"/>
  <c r="DH134" i="9"/>
  <c r="DG134" i="9"/>
  <c r="DF134" i="9"/>
  <c r="DD134" i="9"/>
  <c r="DC134" i="9"/>
  <c r="DB134" i="9"/>
  <c r="CR134" i="9"/>
  <c r="CB134" i="9"/>
  <c r="DI134" i="9" s="1"/>
  <c r="BS134" i="9"/>
  <c r="BR134" i="9"/>
  <c r="BM134" i="9"/>
  <c r="BG134" i="9"/>
  <c r="BJ134" i="9" s="1"/>
  <c r="BC134" i="9"/>
  <c r="AV134" i="9" s="1"/>
  <c r="AU134" i="9"/>
  <c r="AN134" i="9"/>
  <c r="AM134" i="9"/>
  <c r="AL134" i="9"/>
  <c r="CC134" i="9" s="1"/>
  <c r="Y134" i="9"/>
  <c r="V134" i="9"/>
  <c r="U134" i="9"/>
  <c r="X134" i="9" s="1"/>
  <c r="O134" i="9"/>
  <c r="M134" i="9"/>
  <c r="I134" i="9"/>
  <c r="Q134" i="9" s="1"/>
  <c r="DH133" i="9"/>
  <c r="DG133" i="9"/>
  <c r="DF133" i="9"/>
  <c r="DC133" i="9"/>
  <c r="DB133" i="9"/>
  <c r="CC133" i="9"/>
  <c r="CB133" i="9"/>
  <c r="DI133" i="9" s="1"/>
  <c r="BS133" i="9"/>
  <c r="BR133" i="9"/>
  <c r="BN133" i="9"/>
  <c r="BO133" i="9" s="1"/>
  <c r="BM133" i="9"/>
  <c r="BD133" i="9"/>
  <c r="BE133" i="9" s="1"/>
  <c r="BC133" i="9"/>
  <c r="BH133" i="9" s="1"/>
  <c r="BK133" i="9" s="1"/>
  <c r="AY133" i="9"/>
  <c r="AV133" i="9"/>
  <c r="AZ133" i="9" s="1"/>
  <c r="AU133" i="9"/>
  <c r="AN133" i="9"/>
  <c r="AP133" i="9" s="1"/>
  <c r="AM133" i="9"/>
  <c r="BG133" i="9" s="1"/>
  <c r="BJ133" i="9" s="1"/>
  <c r="AL133" i="9"/>
  <c r="AG133" i="9"/>
  <c r="Z133" i="9"/>
  <c r="AF133" i="9" s="1"/>
  <c r="U133" i="9"/>
  <c r="CR133" i="9" s="1"/>
  <c r="Q133" i="9"/>
  <c r="O133" i="9"/>
  <c r="M133" i="9"/>
  <c r="I133" i="9"/>
  <c r="R133" i="9" s="1"/>
  <c r="DI132" i="9"/>
  <c r="DH132" i="9"/>
  <c r="DG132" i="9"/>
  <c r="DF132" i="9"/>
  <c r="DC132" i="9"/>
  <c r="CC132" i="9"/>
  <c r="CB132" i="9"/>
  <c r="BS132" i="9"/>
  <c r="BR132" i="9"/>
  <c r="BN132" i="9"/>
  <c r="BO132" i="9" s="1"/>
  <c r="BM132" i="9"/>
  <c r="BD132" i="9"/>
  <c r="BE132" i="9" s="1"/>
  <c r="BC132" i="9"/>
  <c r="BH132" i="9" s="1"/>
  <c r="BK132" i="9" s="1"/>
  <c r="AY132" i="9"/>
  <c r="AU132" i="9"/>
  <c r="AN132" i="9"/>
  <c r="AP132" i="9" s="1"/>
  <c r="AM132" i="9"/>
  <c r="BG132" i="9" s="1"/>
  <c r="BJ132" i="9" s="1"/>
  <c r="AL132" i="9"/>
  <c r="AG132" i="9"/>
  <c r="U132" i="9"/>
  <c r="P132" i="9"/>
  <c r="R132" i="9" s="1"/>
  <c r="O132" i="9"/>
  <c r="M132" i="9"/>
  <c r="I132" i="9"/>
  <c r="Q132" i="9" s="1"/>
  <c r="DH131" i="9"/>
  <c r="DG131" i="9"/>
  <c r="DF131" i="9"/>
  <c r="DC131" i="9"/>
  <c r="DB131" i="9"/>
  <c r="CC131" i="9"/>
  <c r="CB131" i="9"/>
  <c r="DI131" i="9" s="1"/>
  <c r="BS131" i="9"/>
  <c r="BR131" i="9"/>
  <c r="BN131" i="9"/>
  <c r="BO131" i="9" s="1"/>
  <c r="BM131" i="9"/>
  <c r="BD131" i="9"/>
  <c r="BE131" i="9" s="1"/>
  <c r="BC131" i="9"/>
  <c r="BH131" i="9" s="1"/>
  <c r="BK131" i="9" s="1"/>
  <c r="AY131" i="9"/>
  <c r="AV131" i="9"/>
  <c r="AZ131" i="9" s="1"/>
  <c r="AU131" i="9"/>
  <c r="AN131" i="9"/>
  <c r="AP131" i="9" s="1"/>
  <c r="AM131" i="9"/>
  <c r="BG131" i="9" s="1"/>
  <c r="BJ131" i="9" s="1"/>
  <c r="AL131" i="9"/>
  <c r="AG131" i="9"/>
  <c r="Z131" i="9"/>
  <c r="AF131" i="9" s="1"/>
  <c r="U131" i="9"/>
  <c r="Q131" i="9"/>
  <c r="O131" i="9"/>
  <c r="M131" i="9"/>
  <c r="I131" i="9"/>
  <c r="R131" i="9" s="1"/>
  <c r="DH130" i="9"/>
  <c r="DG130" i="9"/>
  <c r="DC130" i="9"/>
  <c r="DB130" i="9"/>
  <c r="CB130" i="9"/>
  <c r="DI130" i="9" s="1"/>
  <c r="BY130" i="9"/>
  <c r="DF130" i="9" s="1"/>
  <c r="BS130" i="9"/>
  <c r="BR130" i="9"/>
  <c r="BM130" i="9"/>
  <c r="BI130" i="9"/>
  <c r="BJ130" i="9" s="1"/>
  <c r="BG130" i="9"/>
  <c r="BC130" i="9"/>
  <c r="AV130" i="9"/>
  <c r="Z130" i="9" s="1"/>
  <c r="AE130" i="9" s="1"/>
  <c r="AU130" i="9"/>
  <c r="AN130" i="9"/>
  <c r="BH130" i="9" s="1"/>
  <c r="AM130" i="9"/>
  <c r="AL130" i="9"/>
  <c r="CC130" i="9" s="1"/>
  <c r="X130" i="9"/>
  <c r="V130" i="9"/>
  <c r="U130" i="9"/>
  <c r="O130" i="9"/>
  <c r="M130" i="9"/>
  <c r="I130" i="9"/>
  <c r="Q130" i="9" s="1"/>
  <c r="DC129" i="9"/>
  <c r="DB129" i="9"/>
  <c r="CA129" i="9"/>
  <c r="DH129" i="9" s="1"/>
  <c r="BZ129" i="9"/>
  <c r="DG129" i="9" s="1"/>
  <c r="BY129" i="9"/>
  <c r="CB129" i="9" s="1"/>
  <c r="DI129" i="9" s="1"/>
  <c r="BU129" i="9"/>
  <c r="BS129" i="9"/>
  <c r="BR129" i="9"/>
  <c r="BQ129" i="9"/>
  <c r="BQ399" i="9" s="1"/>
  <c r="BM129" i="9"/>
  <c r="BL129" i="9"/>
  <c r="BL399" i="9" s="1"/>
  <c r="BI129" i="9"/>
  <c r="BJ129" i="9" s="1"/>
  <c r="BG129" i="9"/>
  <c r="BC129" i="9"/>
  <c r="AV129" i="9" s="1"/>
  <c r="Z129" i="9" s="1"/>
  <c r="AE129" i="9" s="1"/>
  <c r="AU129" i="9"/>
  <c r="AN129" i="9"/>
  <c r="BH129" i="9" s="1"/>
  <c r="AM129" i="9"/>
  <c r="AL129" i="9"/>
  <c r="BN129" i="9" s="1"/>
  <c r="X129" i="9"/>
  <c r="V129" i="9"/>
  <c r="U129" i="9"/>
  <c r="O129" i="9"/>
  <c r="M129" i="9"/>
  <c r="I129" i="9"/>
  <c r="Q129" i="9" s="1"/>
  <c r="DB128" i="9"/>
  <c r="CA128" i="9"/>
  <c r="DH128" i="9" s="1"/>
  <c r="BZ128" i="9"/>
  <c r="DG128" i="9" s="1"/>
  <c r="BY128" i="9"/>
  <c r="CB128" i="9" s="1"/>
  <c r="DI128" i="9" s="1"/>
  <c r="BU128" i="9"/>
  <c r="BS128" i="9"/>
  <c r="BR128" i="9"/>
  <c r="BM128" i="9"/>
  <c r="BI128" i="9"/>
  <c r="BJ128" i="9" s="1"/>
  <c r="BG128" i="9"/>
  <c r="BC128" i="9"/>
  <c r="AU128" i="9"/>
  <c r="AN128" i="9"/>
  <c r="AM128" i="9"/>
  <c r="AL128" i="9"/>
  <c r="CC128" i="9" s="1"/>
  <c r="V128" i="9"/>
  <c r="U128" i="9"/>
  <c r="P128" i="9"/>
  <c r="DC128" i="9" s="1"/>
  <c r="M128" i="9"/>
  <c r="I128" i="9"/>
  <c r="DB127" i="9"/>
  <c r="CA127" i="9"/>
  <c r="DH127" i="9" s="1"/>
  <c r="BZ127" i="9"/>
  <c r="DG127" i="9" s="1"/>
  <c r="BY127" i="9"/>
  <c r="DF127" i="9" s="1"/>
  <c r="BU127" i="9"/>
  <c r="BS127" i="9"/>
  <c r="BR127" i="9"/>
  <c r="BM127" i="9"/>
  <c r="BG127" i="9"/>
  <c r="BJ127" i="9" s="1"/>
  <c r="BC127" i="9"/>
  <c r="AV127" i="9" s="1"/>
  <c r="Z127" i="9" s="1"/>
  <c r="AE127" i="9" s="1"/>
  <c r="AU127" i="9"/>
  <c r="AN127" i="9"/>
  <c r="AM127" i="9"/>
  <c r="AL127" i="9"/>
  <c r="V127" i="9"/>
  <c r="U127" i="9"/>
  <c r="P127" i="9"/>
  <c r="Q127" i="9" s="1"/>
  <c r="M127" i="9"/>
  <c r="I127" i="9"/>
  <c r="DH126" i="9"/>
  <c r="DG126" i="9"/>
  <c r="DB126" i="9"/>
  <c r="CB126" i="9"/>
  <c r="DI126" i="9" s="1"/>
  <c r="BY126" i="9"/>
  <c r="DF126" i="9" s="1"/>
  <c r="BS126" i="9"/>
  <c r="BR126" i="9"/>
  <c r="BM126" i="9"/>
  <c r="BI126" i="9"/>
  <c r="BJ126" i="9" s="1"/>
  <c r="BG126" i="9"/>
  <c r="BC126" i="9"/>
  <c r="AV126" i="9" s="1"/>
  <c r="Z126" i="9" s="1"/>
  <c r="AE126" i="9" s="1"/>
  <c r="AU126" i="9"/>
  <c r="AN126" i="9"/>
  <c r="AM126" i="9"/>
  <c r="AL126" i="9"/>
  <c r="CC126" i="9" s="1"/>
  <c r="V126" i="9"/>
  <c r="U126" i="9"/>
  <c r="P126" i="9"/>
  <c r="Q126" i="9" s="1"/>
  <c r="M126" i="9"/>
  <c r="I126" i="9"/>
  <c r="DH125" i="9"/>
  <c r="DG125" i="9"/>
  <c r="DF125" i="9"/>
  <c r="DC125" i="9"/>
  <c r="DB125" i="9"/>
  <c r="CB125" i="9"/>
  <c r="DI125" i="9" s="1"/>
  <c r="BS125" i="9"/>
  <c r="BR125" i="9"/>
  <c r="BM125" i="9"/>
  <c r="BG125" i="9"/>
  <c r="BJ125" i="9" s="1"/>
  <c r="BC125" i="9"/>
  <c r="AV125" i="9" s="1"/>
  <c r="Z125" i="9" s="1"/>
  <c r="AE125" i="9" s="1"/>
  <c r="AU125" i="9"/>
  <c r="AN125" i="9"/>
  <c r="AM125" i="9"/>
  <c r="AL125" i="9"/>
  <c r="CC125" i="9" s="1"/>
  <c r="X125" i="9"/>
  <c r="V125" i="9"/>
  <c r="U125" i="9"/>
  <c r="O125" i="9"/>
  <c r="M125" i="9"/>
  <c r="I125" i="9"/>
  <c r="Q125" i="9" s="1"/>
  <c r="DH124" i="9"/>
  <c r="DG124" i="9"/>
  <c r="DF124" i="9"/>
  <c r="CB124" i="9"/>
  <c r="DI124" i="9" s="1"/>
  <c r="BS124" i="9"/>
  <c r="BR124" i="9"/>
  <c r="BM124" i="9"/>
  <c r="BC124" i="9"/>
  <c r="AV124" i="9" s="1"/>
  <c r="Z124" i="9" s="1"/>
  <c r="AF124" i="9" s="1"/>
  <c r="AU124" i="9"/>
  <c r="AN124" i="9"/>
  <c r="AM124" i="9"/>
  <c r="BG124" i="9" s="1"/>
  <c r="BJ124" i="9" s="1"/>
  <c r="AL124" i="9"/>
  <c r="CC124" i="9" s="1"/>
  <c r="U124" i="9"/>
  <c r="P124" i="9"/>
  <c r="DC124" i="9" s="1"/>
  <c r="M124" i="9"/>
  <c r="I124" i="9"/>
  <c r="DH123" i="9"/>
  <c r="DG123" i="9"/>
  <c r="DF123" i="9"/>
  <c r="DC123" i="9"/>
  <c r="DB123" i="9"/>
  <c r="CB123" i="9"/>
  <c r="DI123" i="9" s="1"/>
  <c r="BS123" i="9"/>
  <c r="BR123" i="9"/>
  <c r="BM123" i="9"/>
  <c r="BG123" i="9"/>
  <c r="BJ123" i="9" s="1"/>
  <c r="BC123" i="9"/>
  <c r="AV123" i="9" s="1"/>
  <c r="Z123" i="9" s="1"/>
  <c r="AE123" i="9" s="1"/>
  <c r="AU123" i="9"/>
  <c r="AN123" i="9"/>
  <c r="BH123" i="9" s="1"/>
  <c r="BK123" i="9" s="1"/>
  <c r="AM123" i="9"/>
  <c r="AL123" i="9"/>
  <c r="CC123" i="9" s="1"/>
  <c r="X123" i="9"/>
  <c r="V123" i="9"/>
  <c r="U123" i="9"/>
  <c r="O123" i="9"/>
  <c r="M123" i="9"/>
  <c r="I123" i="9"/>
  <c r="Q123" i="9" s="1"/>
  <c r="DH122" i="9"/>
  <c r="DG122" i="9"/>
  <c r="DF122" i="9"/>
  <c r="DC122" i="9"/>
  <c r="DB122" i="9"/>
  <c r="CC122" i="9"/>
  <c r="CB122" i="9"/>
  <c r="DI122" i="9" s="1"/>
  <c r="BS122" i="9"/>
  <c r="BR122" i="9"/>
  <c r="BN122" i="9"/>
  <c r="BO122" i="9" s="1"/>
  <c r="BM122" i="9"/>
  <c r="BD122" i="9"/>
  <c r="BE122" i="9" s="1"/>
  <c r="BC122" i="9"/>
  <c r="BH122" i="9" s="1"/>
  <c r="BK122" i="9" s="1"/>
  <c r="AY122" i="9"/>
  <c r="AV122" i="9"/>
  <c r="AZ122" i="9" s="1"/>
  <c r="AU122" i="9"/>
  <c r="AN122" i="9"/>
  <c r="AP122" i="9" s="1"/>
  <c r="AM122" i="9"/>
  <c r="BG122" i="9" s="1"/>
  <c r="BJ122" i="9" s="1"/>
  <c r="AL122" i="9"/>
  <c r="AG122" i="9"/>
  <c r="Z122" i="9"/>
  <c r="AF122" i="9" s="1"/>
  <c r="U122" i="9"/>
  <c r="Q122" i="9"/>
  <c r="O122" i="9"/>
  <c r="M122" i="9"/>
  <c r="I122" i="9"/>
  <c r="R122" i="9" s="1"/>
  <c r="DH121" i="9"/>
  <c r="DG121" i="9"/>
  <c r="DF121" i="9"/>
  <c r="DC121" i="9"/>
  <c r="DB121" i="9"/>
  <c r="CB121" i="9"/>
  <c r="DI121" i="9" s="1"/>
  <c r="BS121" i="9"/>
  <c r="BR121" i="9"/>
  <c r="BM121" i="9"/>
  <c r="BG121" i="9"/>
  <c r="BJ121" i="9" s="1"/>
  <c r="BC121" i="9"/>
  <c r="AV121" i="9" s="1"/>
  <c r="AU121" i="9"/>
  <c r="AN121" i="9"/>
  <c r="AM121" i="9"/>
  <c r="AL121" i="9"/>
  <c r="Y121" i="9"/>
  <c r="V121" i="9"/>
  <c r="U121" i="9"/>
  <c r="O121" i="9"/>
  <c r="M121" i="9"/>
  <c r="I121" i="9"/>
  <c r="Q121" i="9" s="1"/>
  <c r="DH120" i="9"/>
  <c r="DG120" i="9"/>
  <c r="DF120" i="9"/>
  <c r="DD120" i="9"/>
  <c r="DC120" i="9"/>
  <c r="DB120" i="9"/>
  <c r="CB120" i="9"/>
  <c r="DI120" i="9" s="1"/>
  <c r="BS120" i="9"/>
  <c r="BR120" i="9"/>
  <c r="BM120" i="9"/>
  <c r="BJ120" i="9"/>
  <c r="BG120" i="9"/>
  <c r="BC120" i="9"/>
  <c r="AV120" i="9"/>
  <c r="AU120" i="9"/>
  <c r="AP120" i="9"/>
  <c r="AN120" i="9"/>
  <c r="AM120" i="9"/>
  <c r="AL120" i="9"/>
  <c r="X120" i="9"/>
  <c r="V120" i="9"/>
  <c r="U120" i="9"/>
  <c r="O120" i="9"/>
  <c r="M120" i="9"/>
  <c r="I120" i="9"/>
  <c r="Q120" i="9" s="1"/>
  <c r="DH119" i="9"/>
  <c r="DG119" i="9"/>
  <c r="DB119" i="9"/>
  <c r="CC119" i="9"/>
  <c r="BY119" i="9"/>
  <c r="CB119" i="9" s="1"/>
  <c r="DI119" i="9" s="1"/>
  <c r="BS119" i="9"/>
  <c r="BR119" i="9"/>
  <c r="BO119" i="9"/>
  <c r="BM119" i="9"/>
  <c r="BI119" i="9"/>
  <c r="BD119" i="9"/>
  <c r="BE119" i="9" s="1"/>
  <c r="BC119" i="9"/>
  <c r="BH119" i="9" s="1"/>
  <c r="AU119" i="9"/>
  <c r="AN119" i="9"/>
  <c r="AM119" i="9"/>
  <c r="BG119" i="9" s="1"/>
  <c r="BJ119" i="9" s="1"/>
  <c r="AL119" i="9"/>
  <c r="BN119" i="9" s="1"/>
  <c r="V119" i="9"/>
  <c r="U119" i="9"/>
  <c r="P119" i="9"/>
  <c r="DC119" i="9" s="1"/>
  <c r="M119" i="9"/>
  <c r="I119" i="9"/>
  <c r="DH118" i="9"/>
  <c r="DG118" i="9"/>
  <c r="DC118" i="9"/>
  <c r="DB118" i="9"/>
  <c r="CB118" i="9"/>
  <c r="DI118" i="9" s="1"/>
  <c r="BY118" i="9"/>
  <c r="DF118" i="9" s="1"/>
  <c r="BS118" i="9"/>
  <c r="BR118" i="9"/>
  <c r="BM118" i="9"/>
  <c r="BC118" i="9"/>
  <c r="AV118" i="9" s="1"/>
  <c r="Z118" i="9" s="1"/>
  <c r="AE118" i="9" s="1"/>
  <c r="AU118" i="9"/>
  <c r="AQ118" i="9"/>
  <c r="AN118" i="9"/>
  <c r="AO118" i="9" s="1"/>
  <c r="AM118" i="9"/>
  <c r="BG118" i="9" s="1"/>
  <c r="BJ118" i="9" s="1"/>
  <c r="AL118" i="9"/>
  <c r="CC118" i="9" s="1"/>
  <c r="X118" i="9"/>
  <c r="V118" i="9"/>
  <c r="U118" i="9"/>
  <c r="O118" i="9"/>
  <c r="M118" i="9"/>
  <c r="I118" i="9"/>
  <c r="Q118" i="9" s="1"/>
  <c r="DH117" i="9"/>
  <c r="DG117" i="9"/>
  <c r="DC117" i="9"/>
  <c r="DB117" i="9"/>
  <c r="BY117" i="9"/>
  <c r="CB117" i="9" s="1"/>
  <c r="DI117" i="9" s="1"/>
  <c r="BS117" i="9"/>
  <c r="BR117" i="9"/>
  <c r="BM117" i="9"/>
  <c r="BI117" i="9"/>
  <c r="BD117" i="9"/>
  <c r="BE117" i="9" s="1"/>
  <c r="BC117" i="9"/>
  <c r="BH117" i="9" s="1"/>
  <c r="AU117" i="9"/>
  <c r="AN117" i="9"/>
  <c r="AP117" i="9" s="1"/>
  <c r="AM117" i="9"/>
  <c r="BG117" i="9" s="1"/>
  <c r="BJ117" i="9" s="1"/>
  <c r="AL117" i="9"/>
  <c r="BN117" i="9" s="1"/>
  <c r="U117" i="9"/>
  <c r="CP117" i="9" s="1"/>
  <c r="Q117" i="9"/>
  <c r="O117" i="9"/>
  <c r="M117" i="9"/>
  <c r="I117" i="9"/>
  <c r="R117" i="9" s="1"/>
  <c r="DI116" i="9"/>
  <c r="DH116" i="9"/>
  <c r="DG116" i="9"/>
  <c r="DF116" i="9"/>
  <c r="DC116" i="9"/>
  <c r="CB116" i="9"/>
  <c r="BS116" i="9"/>
  <c r="BR116" i="9"/>
  <c r="BM116" i="9"/>
  <c r="BC116" i="9"/>
  <c r="AU116" i="9"/>
  <c r="AN116" i="9"/>
  <c r="AO116" i="9" s="1"/>
  <c r="AM116" i="9"/>
  <c r="BG116" i="9" s="1"/>
  <c r="BJ116" i="9" s="1"/>
  <c r="AL116" i="9"/>
  <c r="CC116" i="9" s="1"/>
  <c r="Y116" i="9"/>
  <c r="V116" i="9"/>
  <c r="U116" i="9"/>
  <c r="CP116" i="9" s="1"/>
  <c r="O116" i="9"/>
  <c r="M116" i="9"/>
  <c r="I116" i="9"/>
  <c r="Q116" i="9" s="1"/>
  <c r="DH115" i="9"/>
  <c r="DG115" i="9"/>
  <c r="DF115" i="9"/>
  <c r="CB115" i="9"/>
  <c r="DI115" i="9" s="1"/>
  <c r="BS115" i="9"/>
  <c r="BR115" i="9"/>
  <c r="BM115" i="9"/>
  <c r="BG115" i="9"/>
  <c r="BJ115" i="9" s="1"/>
  <c r="BC115" i="9"/>
  <c r="AV115" i="9" s="1"/>
  <c r="Z115" i="9" s="1"/>
  <c r="AE115" i="9" s="1"/>
  <c r="AU115" i="9"/>
  <c r="AN115" i="9"/>
  <c r="AM115" i="9"/>
  <c r="AL115" i="9"/>
  <c r="CC115" i="9" s="1"/>
  <c r="V115" i="9"/>
  <c r="U115" i="9"/>
  <c r="Y115" i="9" s="1"/>
  <c r="P115" i="9"/>
  <c r="DC115" i="9" s="1"/>
  <c r="M115" i="9"/>
  <c r="I115" i="9"/>
  <c r="E115" i="9"/>
  <c r="D115" i="9"/>
  <c r="C115" i="9"/>
  <c r="DH114" i="9"/>
  <c r="DG114" i="9"/>
  <c r="DF114" i="9"/>
  <c r="DC114" i="9"/>
  <c r="DB114" i="9"/>
  <c r="CC114" i="9"/>
  <c r="CB114" i="9"/>
  <c r="DI114" i="9" s="1"/>
  <c r="BS114" i="9"/>
  <c r="BR114" i="9"/>
  <c r="BN114" i="9"/>
  <c r="BO114" i="9" s="1"/>
  <c r="BM114" i="9"/>
  <c r="BD114" i="9"/>
  <c r="BE114" i="9" s="1"/>
  <c r="BC114" i="9"/>
  <c r="BH114" i="9" s="1"/>
  <c r="BK114" i="9" s="1"/>
  <c r="AY114" i="9"/>
  <c r="AV114" i="9"/>
  <c r="AZ114" i="9" s="1"/>
  <c r="AU114" i="9"/>
  <c r="AN114" i="9"/>
  <c r="AP114" i="9" s="1"/>
  <c r="AM114" i="9"/>
  <c r="BG114" i="9" s="1"/>
  <c r="BJ114" i="9" s="1"/>
  <c r="AL114" i="9"/>
  <c r="AG114" i="9"/>
  <c r="Z114" i="9"/>
  <c r="AF114" i="9" s="1"/>
  <c r="U114" i="9"/>
  <c r="CP114" i="9" s="1"/>
  <c r="Q114" i="9"/>
  <c r="O114" i="9"/>
  <c r="M114" i="9"/>
  <c r="I114" i="9"/>
  <c r="R114" i="9" s="1"/>
  <c r="DH113" i="9"/>
  <c r="DG113" i="9"/>
  <c r="DD113" i="9"/>
  <c r="DC113" i="9"/>
  <c r="DB113" i="9"/>
  <c r="BY113" i="9"/>
  <c r="DF113" i="9" s="1"/>
  <c r="BS113" i="9"/>
  <c r="BR113" i="9"/>
  <c r="BM113" i="9"/>
  <c r="BI113" i="9"/>
  <c r="BD113" i="9"/>
  <c r="BE113" i="9" s="1"/>
  <c r="BC113" i="9"/>
  <c r="BH113" i="9" s="1"/>
  <c r="AU113" i="9"/>
  <c r="AN113" i="9"/>
  <c r="AP113" i="9" s="1"/>
  <c r="AM113" i="9"/>
  <c r="BG113" i="9" s="1"/>
  <c r="BJ113" i="9" s="1"/>
  <c r="AL113" i="9"/>
  <c r="BN113" i="9" s="1"/>
  <c r="U113" i="9"/>
  <c r="CP113" i="9" s="1"/>
  <c r="Q113" i="9"/>
  <c r="O113" i="9"/>
  <c r="M113" i="9"/>
  <c r="I113" i="9"/>
  <c r="R113" i="9" s="1"/>
  <c r="E113" i="9"/>
  <c r="D113" i="9"/>
  <c r="C113" i="9"/>
  <c r="DH112" i="9"/>
  <c r="DG112" i="9"/>
  <c r="DF112" i="9"/>
  <c r="DD112" i="9"/>
  <c r="DC112" i="9"/>
  <c r="DB112" i="9"/>
  <c r="CB112" i="9"/>
  <c r="DI112" i="9" s="1"/>
  <c r="BS112" i="9"/>
  <c r="BR112" i="9"/>
  <c r="BM112" i="9"/>
  <c r="BG112" i="9"/>
  <c r="BJ112" i="9" s="1"/>
  <c r="BC112" i="9"/>
  <c r="AV112" i="9" s="1"/>
  <c r="Z112" i="9" s="1"/>
  <c r="AE112" i="9" s="1"/>
  <c r="AU112" i="9"/>
  <c r="AN112" i="9"/>
  <c r="AM112" i="9"/>
  <c r="AL112" i="9"/>
  <c r="CC112" i="9" s="1"/>
  <c r="X112" i="9"/>
  <c r="V112" i="9"/>
  <c r="U112" i="9"/>
  <c r="O112" i="9"/>
  <c r="M112" i="9"/>
  <c r="I112" i="9"/>
  <c r="Q112" i="9" s="1"/>
  <c r="E112" i="9"/>
  <c r="D112" i="9"/>
  <c r="D376" i="9" s="1"/>
  <c r="C112" i="9"/>
  <c r="DH111" i="9"/>
  <c r="DG111" i="9"/>
  <c r="DC111" i="9"/>
  <c r="DB111" i="9"/>
  <c r="CB111" i="9"/>
  <c r="DI111" i="9" s="1"/>
  <c r="BY111" i="9"/>
  <c r="DF111" i="9" s="1"/>
  <c r="BS111" i="9"/>
  <c r="BR111" i="9"/>
  <c r="BM111" i="9"/>
  <c r="BI111" i="9"/>
  <c r="BJ111" i="9" s="1"/>
  <c r="BG111" i="9"/>
  <c r="BC111" i="9"/>
  <c r="AV111" i="9"/>
  <c r="Z111" i="9" s="1"/>
  <c r="AE111" i="9" s="1"/>
  <c r="AU111" i="9"/>
  <c r="AN111" i="9"/>
  <c r="BH111" i="9" s="1"/>
  <c r="AM111" i="9"/>
  <c r="AL111" i="9"/>
  <c r="CC111" i="9" s="1"/>
  <c r="X111" i="9"/>
  <c r="V111" i="9"/>
  <c r="U111" i="9"/>
  <c r="O111" i="9"/>
  <c r="M111" i="9"/>
  <c r="I111" i="9"/>
  <c r="Q111" i="9" s="1"/>
  <c r="DH110" i="9"/>
  <c r="DG110" i="9"/>
  <c r="DF110" i="9"/>
  <c r="DB110" i="9"/>
  <c r="CC110" i="9"/>
  <c r="CB110" i="9"/>
  <c r="DI110" i="9" s="1"/>
  <c r="BS110" i="9"/>
  <c r="BR110" i="9"/>
  <c r="BN110" i="9"/>
  <c r="BO110" i="9" s="1"/>
  <c r="BM110" i="9"/>
  <c r="BD110" i="9"/>
  <c r="BE110" i="9" s="1"/>
  <c r="BC110" i="9"/>
  <c r="BH110" i="9" s="1"/>
  <c r="BK110" i="9" s="1"/>
  <c r="AY110" i="9"/>
  <c r="AV110" i="9"/>
  <c r="AZ110" i="9" s="1"/>
  <c r="AU110" i="9"/>
  <c r="AN110" i="9"/>
  <c r="AP110" i="9" s="1"/>
  <c r="AM110" i="9"/>
  <c r="BG110" i="9" s="1"/>
  <c r="BJ110" i="9" s="1"/>
  <c r="AL110" i="9"/>
  <c r="AG110" i="9"/>
  <c r="Z110" i="9"/>
  <c r="AF110" i="9" s="1"/>
  <c r="U110" i="9"/>
  <c r="P110" i="9"/>
  <c r="DC110" i="9" s="1"/>
  <c r="O110" i="9"/>
  <c r="M110" i="9"/>
  <c r="I110" i="9"/>
  <c r="Q110" i="9" s="1"/>
  <c r="DH109" i="9"/>
  <c r="DG109" i="9"/>
  <c r="DF109" i="9"/>
  <c r="DC109" i="9"/>
  <c r="CB109" i="9"/>
  <c r="DI109" i="9" s="1"/>
  <c r="BS109" i="9"/>
  <c r="BR109" i="9"/>
  <c r="BM109" i="9"/>
  <c r="BG109" i="9"/>
  <c r="BJ109" i="9" s="1"/>
  <c r="BC109" i="9"/>
  <c r="AV109" i="9"/>
  <c r="Z109" i="9" s="1"/>
  <c r="AE109" i="9" s="1"/>
  <c r="AU109" i="9"/>
  <c r="AN109" i="9"/>
  <c r="BH109" i="9" s="1"/>
  <c r="BK109" i="9" s="1"/>
  <c r="AM109" i="9"/>
  <c r="AL109" i="9"/>
  <c r="CC109" i="9" s="1"/>
  <c r="X109" i="9"/>
  <c r="V109" i="9"/>
  <c r="U109" i="9"/>
  <c r="O109" i="9"/>
  <c r="M109" i="9"/>
  <c r="I109" i="9"/>
  <c r="Q109" i="9" s="1"/>
  <c r="DH108" i="9"/>
  <c r="DG108" i="9"/>
  <c r="DF108" i="9"/>
  <c r="DB108" i="9"/>
  <c r="CC108" i="9"/>
  <c r="CB108" i="9"/>
  <c r="DI108" i="9" s="1"/>
  <c r="BS108" i="9"/>
  <c r="BR108" i="9"/>
  <c r="BN108" i="9"/>
  <c r="BO108" i="9" s="1"/>
  <c r="BM108" i="9"/>
  <c r="BD108" i="9"/>
  <c r="BE108" i="9" s="1"/>
  <c r="BC108" i="9"/>
  <c r="BH108" i="9" s="1"/>
  <c r="BK108" i="9" s="1"/>
  <c r="AY108" i="9"/>
  <c r="AV108" i="9"/>
  <c r="AZ108" i="9" s="1"/>
  <c r="AU108" i="9"/>
  <c r="AN108" i="9"/>
  <c r="AP108" i="9" s="1"/>
  <c r="AM108" i="9"/>
  <c r="BG108" i="9" s="1"/>
  <c r="BJ108" i="9" s="1"/>
  <c r="AL108" i="9"/>
  <c r="AG108" i="9"/>
  <c r="Z108" i="9"/>
  <c r="AF108" i="9" s="1"/>
  <c r="U108" i="9"/>
  <c r="P108" i="9"/>
  <c r="DC108" i="9" s="1"/>
  <c r="O108" i="9"/>
  <c r="M108" i="9"/>
  <c r="I108" i="9"/>
  <c r="Q108" i="9" s="1"/>
  <c r="DH107" i="9"/>
  <c r="DG107" i="9"/>
  <c r="DF107" i="9"/>
  <c r="DB107" i="9"/>
  <c r="CC107" i="9"/>
  <c r="CB107" i="9"/>
  <c r="DI107" i="9" s="1"/>
  <c r="BS107" i="9"/>
  <c r="BR107" i="9"/>
  <c r="BN107" i="9"/>
  <c r="BO107" i="9" s="1"/>
  <c r="BM107" i="9"/>
  <c r="BD107" i="9"/>
  <c r="BE107" i="9" s="1"/>
  <c r="BC107" i="9"/>
  <c r="BH107" i="9" s="1"/>
  <c r="BK107" i="9" s="1"/>
  <c r="AY107" i="9"/>
  <c r="AV107" i="9"/>
  <c r="AZ107" i="9" s="1"/>
  <c r="AU107" i="9"/>
  <c r="AN107" i="9"/>
  <c r="AP107" i="9" s="1"/>
  <c r="AM107" i="9"/>
  <c r="BG107" i="9" s="1"/>
  <c r="BJ107" i="9" s="1"/>
  <c r="AL107" i="9"/>
  <c r="AG107" i="9"/>
  <c r="Z107" i="9"/>
  <c r="AF107" i="9" s="1"/>
  <c r="U107" i="9"/>
  <c r="P107" i="9"/>
  <c r="DC107" i="9" s="1"/>
  <c r="O107" i="9"/>
  <c r="M107" i="9"/>
  <c r="I107" i="9"/>
  <c r="Q107" i="9" s="1"/>
  <c r="DH106" i="9"/>
  <c r="DG106" i="9"/>
  <c r="DF106" i="9"/>
  <c r="DC106" i="9"/>
  <c r="DB106" i="9"/>
  <c r="CC106" i="9"/>
  <c r="CB106" i="9"/>
  <c r="DI106" i="9" s="1"/>
  <c r="BS106" i="9"/>
  <c r="BR106" i="9"/>
  <c r="BN106" i="9"/>
  <c r="BO106" i="9" s="1"/>
  <c r="BM106" i="9"/>
  <c r="BD106" i="9"/>
  <c r="BE106" i="9" s="1"/>
  <c r="BC106" i="9"/>
  <c r="BH106" i="9" s="1"/>
  <c r="BK106" i="9" s="1"/>
  <c r="AY106" i="9"/>
  <c r="AV106" i="9"/>
  <c r="AZ106" i="9" s="1"/>
  <c r="AU106" i="9"/>
  <c r="AN106" i="9"/>
  <c r="AP106" i="9" s="1"/>
  <c r="AM106" i="9"/>
  <c r="BG106" i="9" s="1"/>
  <c r="BJ106" i="9" s="1"/>
  <c r="AL106" i="9"/>
  <c r="AG106" i="9"/>
  <c r="Z106" i="9"/>
  <c r="AF106" i="9" s="1"/>
  <c r="U106" i="9"/>
  <c r="Q106" i="9"/>
  <c r="O106" i="9"/>
  <c r="M106" i="9"/>
  <c r="I106" i="9"/>
  <c r="R106" i="9" s="1"/>
  <c r="DH105" i="9"/>
  <c r="DG105" i="9"/>
  <c r="DF105" i="9"/>
  <c r="DC105" i="9"/>
  <c r="DB105" i="9"/>
  <c r="CB105" i="9"/>
  <c r="DI105" i="9" s="1"/>
  <c r="BS105" i="9"/>
  <c r="BR105" i="9"/>
  <c r="BM105" i="9"/>
  <c r="BG105" i="9"/>
  <c r="BJ105" i="9" s="1"/>
  <c r="BC105" i="9"/>
  <c r="AV105" i="9" s="1"/>
  <c r="Z105" i="9" s="1"/>
  <c r="AE105" i="9" s="1"/>
  <c r="AU105" i="9"/>
  <c r="AN105" i="9"/>
  <c r="BH105" i="9" s="1"/>
  <c r="BK105" i="9" s="1"/>
  <c r="AM105" i="9"/>
  <c r="AL105" i="9"/>
  <c r="CC105" i="9" s="1"/>
  <c r="X105" i="9"/>
  <c r="V105" i="9"/>
  <c r="U105" i="9"/>
  <c r="O105" i="9"/>
  <c r="M105" i="9"/>
  <c r="I105" i="9"/>
  <c r="Q105" i="9" s="1"/>
  <c r="DH104" i="9"/>
  <c r="DG104" i="9"/>
  <c r="DF104" i="9"/>
  <c r="DC104" i="9"/>
  <c r="DB104" i="9"/>
  <c r="CC104" i="9"/>
  <c r="CB104" i="9"/>
  <c r="DI104" i="9" s="1"/>
  <c r="BS104" i="9"/>
  <c r="BR104" i="9"/>
  <c r="BN104" i="9"/>
  <c r="BO104" i="9" s="1"/>
  <c r="BM104" i="9"/>
  <c r="BD104" i="9"/>
  <c r="BE104" i="9" s="1"/>
  <c r="BC104" i="9"/>
  <c r="AV104" i="9" s="1"/>
  <c r="Z104" i="9" s="1"/>
  <c r="AU104" i="9"/>
  <c r="AN104" i="9"/>
  <c r="AP104" i="9" s="1"/>
  <c r="AM104" i="9"/>
  <c r="BG104" i="9" s="1"/>
  <c r="BJ104" i="9" s="1"/>
  <c r="AL104" i="9"/>
  <c r="U104" i="9"/>
  <c r="Q104" i="9"/>
  <c r="O104" i="9"/>
  <c r="M104" i="9"/>
  <c r="I104" i="9"/>
  <c r="R104" i="9" s="1"/>
  <c r="DH103" i="9"/>
  <c r="DG103" i="9"/>
  <c r="DF103" i="9"/>
  <c r="DB103" i="9"/>
  <c r="CB103" i="9"/>
  <c r="DI103" i="9" s="1"/>
  <c r="BS103" i="9"/>
  <c r="BR103" i="9"/>
  <c r="BM103" i="9"/>
  <c r="BG103" i="9"/>
  <c r="BJ103" i="9" s="1"/>
  <c r="BC103" i="9"/>
  <c r="AV103" i="9" s="1"/>
  <c r="AU103" i="9"/>
  <c r="AN103" i="9"/>
  <c r="BH103" i="9" s="1"/>
  <c r="BK103" i="9" s="1"/>
  <c r="AM103" i="9"/>
  <c r="AL103" i="9"/>
  <c r="CC103" i="9" s="1"/>
  <c r="V103" i="9"/>
  <c r="U103" i="9"/>
  <c r="P103" i="9"/>
  <c r="Q103" i="9" s="1"/>
  <c r="M103" i="9"/>
  <c r="I103" i="9"/>
  <c r="DG102" i="9"/>
  <c r="DD102" i="9"/>
  <c r="DB102" i="9"/>
  <c r="CA102" i="9"/>
  <c r="DH102" i="9" s="1"/>
  <c r="BZ102" i="9"/>
  <c r="BY102" i="9"/>
  <c r="DF102" i="9" s="1"/>
  <c r="BU102" i="9"/>
  <c r="BS102" i="9"/>
  <c r="BR102" i="9"/>
  <c r="BM102" i="9"/>
  <c r="BI102" i="9"/>
  <c r="BJ102" i="9" s="1"/>
  <c r="BG102" i="9"/>
  <c r="BC102" i="9"/>
  <c r="AU102" i="9"/>
  <c r="AN102" i="9"/>
  <c r="AM102" i="9"/>
  <c r="AL102" i="9"/>
  <c r="V102" i="9"/>
  <c r="U102" i="9"/>
  <c r="P102" i="9"/>
  <c r="DC102" i="9" s="1"/>
  <c r="M102" i="9"/>
  <c r="I102" i="9"/>
  <c r="DG101" i="9"/>
  <c r="DD101" i="9"/>
  <c r="DB101" i="9"/>
  <c r="CA101" i="9"/>
  <c r="DH101" i="9" s="1"/>
  <c r="BZ101" i="9"/>
  <c r="BY101" i="9"/>
  <c r="DF101" i="9" s="1"/>
  <c r="BU101" i="9"/>
  <c r="BS101" i="9"/>
  <c r="BR101" i="9"/>
  <c r="BM101" i="9"/>
  <c r="BC101" i="9"/>
  <c r="AU101" i="9"/>
  <c r="AQ101" i="9"/>
  <c r="AN101" i="9"/>
  <c r="AO101" i="9" s="1"/>
  <c r="AM101" i="9"/>
  <c r="BG101" i="9" s="1"/>
  <c r="BJ101" i="9" s="1"/>
  <c r="AL101" i="9"/>
  <c r="V101" i="9"/>
  <c r="U101" i="9"/>
  <c r="P101" i="9"/>
  <c r="DC101" i="9" s="1"/>
  <c r="M101" i="9"/>
  <c r="I101" i="9"/>
  <c r="DB100" i="9"/>
  <c r="CA100" i="9"/>
  <c r="DH100" i="9" s="1"/>
  <c r="BZ100" i="9"/>
  <c r="DG100" i="9" s="1"/>
  <c r="BY100" i="9"/>
  <c r="DF100" i="9" s="1"/>
  <c r="BU100" i="9"/>
  <c r="BS100" i="9"/>
  <c r="BR100" i="9"/>
  <c r="BQ100" i="9"/>
  <c r="BM100" i="9"/>
  <c r="BL100" i="9"/>
  <c r="BI100" i="9"/>
  <c r="BC100" i="9"/>
  <c r="BB100" i="9"/>
  <c r="AU100" i="9" s="1"/>
  <c r="AS100" i="9"/>
  <c r="AM100" i="9" s="1"/>
  <c r="BG100" i="9" s="1"/>
  <c r="BJ100" i="9" s="1"/>
  <c r="AQ100" i="9"/>
  <c r="AN100" i="9"/>
  <c r="AO100" i="9" s="1"/>
  <c r="AL100" i="9"/>
  <c r="P100" i="9"/>
  <c r="Q100" i="9" s="1"/>
  <c r="M100" i="9"/>
  <c r="I100" i="9"/>
  <c r="DG99" i="9"/>
  <c r="DD99" i="9"/>
  <c r="DB99" i="9"/>
  <c r="CA99" i="9"/>
  <c r="DH99" i="9" s="1"/>
  <c r="BZ99" i="9"/>
  <c r="BY99" i="9"/>
  <c r="DF99" i="9" s="1"/>
  <c r="BU99" i="9"/>
  <c r="BS99" i="9"/>
  <c r="BR99" i="9"/>
  <c r="BM99" i="9"/>
  <c r="BI99" i="9"/>
  <c r="BJ99" i="9" s="1"/>
  <c r="BG99" i="9"/>
  <c r="BC99" i="9"/>
  <c r="AU99" i="9"/>
  <c r="AN99" i="9"/>
  <c r="BH99" i="9" s="1"/>
  <c r="AM99" i="9"/>
  <c r="AL99" i="9"/>
  <c r="V99" i="9"/>
  <c r="U99" i="9"/>
  <c r="P99" i="9"/>
  <c r="DC99" i="9" s="1"/>
  <c r="M99" i="9"/>
  <c r="I99" i="9"/>
  <c r="DI98" i="9"/>
  <c r="DH98" i="9"/>
  <c r="DG98" i="9"/>
  <c r="DF98" i="9"/>
  <c r="DC98" i="9"/>
  <c r="CC98" i="9"/>
  <c r="CB98" i="9"/>
  <c r="BQ98" i="9"/>
  <c r="BL98" i="9"/>
  <c r="U98" i="9" s="1"/>
  <c r="AV98" i="9"/>
  <c r="AU98" i="9"/>
  <c r="AW98" i="9" s="1"/>
  <c r="AS98" i="9"/>
  <c r="AN98" i="9"/>
  <c r="BH98" i="9" s="1"/>
  <c r="BK98" i="9" s="1"/>
  <c r="AM98" i="9"/>
  <c r="BG98" i="9" s="1"/>
  <c r="BJ98" i="9" s="1"/>
  <c r="AL98" i="9"/>
  <c r="BN98" i="9" s="1"/>
  <c r="Z98" i="9"/>
  <c r="AF98" i="9" s="1"/>
  <c r="O98" i="9"/>
  <c r="M98" i="9"/>
  <c r="I98" i="9"/>
  <c r="Q98" i="9" s="1"/>
  <c r="DH97" i="9"/>
  <c r="DG97" i="9"/>
  <c r="DF97" i="9"/>
  <c r="DC97" i="9"/>
  <c r="DB97" i="9"/>
  <c r="CC97" i="9"/>
  <c r="CB97" i="9"/>
  <c r="DI97" i="9" s="1"/>
  <c r="BS97" i="9"/>
  <c r="BR97" i="9"/>
  <c r="BN97" i="9"/>
  <c r="BO97" i="9" s="1"/>
  <c r="BM97" i="9"/>
  <c r="BD97" i="9"/>
  <c r="BE97" i="9" s="1"/>
  <c r="BC97" i="9"/>
  <c r="BH97" i="9" s="1"/>
  <c r="BK97" i="9" s="1"/>
  <c r="AY97" i="9"/>
  <c r="AV97" i="9"/>
  <c r="AZ97" i="9" s="1"/>
  <c r="AU97" i="9"/>
  <c r="AN97" i="9"/>
  <c r="AP97" i="9" s="1"/>
  <c r="AM97" i="9"/>
  <c r="BG97" i="9" s="1"/>
  <c r="BJ97" i="9" s="1"/>
  <c r="AL97" i="9"/>
  <c r="AG97" i="9"/>
  <c r="Z97" i="9"/>
  <c r="AF97" i="9" s="1"/>
  <c r="U97" i="9"/>
  <c r="Q97" i="9"/>
  <c r="O97" i="9"/>
  <c r="M97" i="9"/>
  <c r="I97" i="9"/>
  <c r="R97" i="9" s="1"/>
  <c r="DH96" i="9"/>
  <c r="DG96" i="9"/>
  <c r="DD96" i="9"/>
  <c r="DB96" i="9"/>
  <c r="BY96" i="9"/>
  <c r="DF96" i="9" s="1"/>
  <c r="BS96" i="9"/>
  <c r="BR96" i="9"/>
  <c r="BM96" i="9"/>
  <c r="BI96" i="9"/>
  <c r="BD96" i="9"/>
  <c r="BE96" i="9" s="1"/>
  <c r="BC96" i="9"/>
  <c r="BH96" i="9" s="1"/>
  <c r="AU96" i="9"/>
  <c r="AN96" i="9"/>
  <c r="AP96" i="9" s="1"/>
  <c r="AM96" i="9"/>
  <c r="BG96" i="9" s="1"/>
  <c r="BJ96" i="9" s="1"/>
  <c r="AL96" i="9"/>
  <c r="BN96" i="9" s="1"/>
  <c r="U96" i="9"/>
  <c r="P96" i="9"/>
  <c r="DC96" i="9" s="1"/>
  <c r="O96" i="9"/>
  <c r="M96" i="9"/>
  <c r="I96" i="9"/>
  <c r="Q96" i="9" s="1"/>
  <c r="DH95" i="9"/>
  <c r="DG95" i="9"/>
  <c r="DF95" i="9"/>
  <c r="DD95" i="9"/>
  <c r="DB95" i="9"/>
  <c r="CB95" i="9"/>
  <c r="DI95" i="9" s="1"/>
  <c r="BY95" i="9"/>
  <c r="BS95" i="9"/>
  <c r="BR95" i="9"/>
  <c r="BM95" i="9"/>
  <c r="BI95" i="9"/>
  <c r="BJ95" i="9" s="1"/>
  <c r="BG95" i="9"/>
  <c r="BC95" i="9"/>
  <c r="AV95" i="9" s="1"/>
  <c r="Z95" i="9" s="1"/>
  <c r="AE95" i="9" s="1"/>
  <c r="AU95" i="9"/>
  <c r="AN95" i="9"/>
  <c r="AM95" i="9"/>
  <c r="AL95" i="9"/>
  <c r="CC95" i="9" s="1"/>
  <c r="V95" i="9"/>
  <c r="U95" i="9"/>
  <c r="P95" i="9"/>
  <c r="Q95" i="9" s="1"/>
  <c r="M95" i="9"/>
  <c r="I95" i="9"/>
  <c r="DH94" i="9"/>
  <c r="DG94" i="9"/>
  <c r="DD94" i="9"/>
  <c r="DB94" i="9"/>
  <c r="BY94" i="9"/>
  <c r="DF94" i="9" s="1"/>
  <c r="BS94" i="9"/>
  <c r="BR94" i="9"/>
  <c r="BM94" i="9"/>
  <c r="BI94" i="9"/>
  <c r="BD94" i="9"/>
  <c r="BE94" i="9" s="1"/>
  <c r="BC94" i="9"/>
  <c r="BH94" i="9" s="1"/>
  <c r="AU94" i="9"/>
  <c r="AN94" i="9"/>
  <c r="AP94" i="9" s="1"/>
  <c r="AM94" i="9"/>
  <c r="BG94" i="9" s="1"/>
  <c r="BJ94" i="9" s="1"/>
  <c r="AL94" i="9"/>
  <c r="BN94" i="9" s="1"/>
  <c r="U94" i="9"/>
  <c r="P94" i="9"/>
  <c r="DC94" i="9" s="1"/>
  <c r="O94" i="9"/>
  <c r="M94" i="9"/>
  <c r="I94" i="9"/>
  <c r="Q94" i="9" s="1"/>
  <c r="DB93" i="9"/>
  <c r="CA93" i="9"/>
  <c r="DH93" i="9" s="1"/>
  <c r="BZ93" i="9"/>
  <c r="DG93" i="9" s="1"/>
  <c r="BY93" i="9"/>
  <c r="CB93" i="9" s="1"/>
  <c r="BU93" i="9"/>
  <c r="BS93" i="9"/>
  <c r="BR93" i="9"/>
  <c r="BN93" i="9"/>
  <c r="BO93" i="9" s="1"/>
  <c r="BM93" i="9"/>
  <c r="BD93" i="9"/>
  <c r="BE93" i="9" s="1"/>
  <c r="BC93" i="9"/>
  <c r="BH93" i="9" s="1"/>
  <c r="BK93" i="9" s="1"/>
  <c r="AY93" i="9"/>
  <c r="AV93" i="9"/>
  <c r="AZ93" i="9" s="1"/>
  <c r="AU93" i="9"/>
  <c r="AN93" i="9"/>
  <c r="AP93" i="9" s="1"/>
  <c r="AM93" i="9"/>
  <c r="BG93" i="9" s="1"/>
  <c r="BJ93" i="9" s="1"/>
  <c r="AL93" i="9"/>
  <c r="AG93" i="9"/>
  <c r="Z93" i="9"/>
  <c r="AF93" i="9" s="1"/>
  <c r="U93" i="9"/>
  <c r="P93" i="9"/>
  <c r="DC93" i="9" s="1"/>
  <c r="O93" i="9"/>
  <c r="M93" i="9"/>
  <c r="I93" i="9"/>
  <c r="Q93" i="9" s="1"/>
  <c r="DH92" i="9"/>
  <c r="DG92" i="9"/>
  <c r="DF92" i="9"/>
  <c r="DD92" i="9"/>
  <c r="DB92" i="9"/>
  <c r="CB92" i="9"/>
  <c r="DI92" i="9" s="1"/>
  <c r="BY92" i="9"/>
  <c r="BS92" i="9"/>
  <c r="BR92" i="9"/>
  <c r="BM92" i="9"/>
  <c r="BI92" i="9"/>
  <c r="BJ92" i="9" s="1"/>
  <c r="BG92" i="9"/>
  <c r="BC92" i="9"/>
  <c r="AV92" i="9" s="1"/>
  <c r="Z92" i="9" s="1"/>
  <c r="AE92" i="9" s="1"/>
  <c r="AU92" i="9"/>
  <c r="AN92" i="9"/>
  <c r="AM92" i="9"/>
  <c r="AL92" i="9"/>
  <c r="CC92" i="9" s="1"/>
  <c r="V92" i="9"/>
  <c r="U92" i="9"/>
  <c r="P92" i="9"/>
  <c r="Q92" i="9" s="1"/>
  <c r="M92" i="9"/>
  <c r="I92" i="9"/>
  <c r="DG91" i="9"/>
  <c r="DD91" i="9"/>
  <c r="DB91" i="9"/>
  <c r="DB414" i="9" s="1"/>
  <c r="DB421" i="9" s="1"/>
  <c r="CA91" i="9"/>
  <c r="DH91" i="9" s="1"/>
  <c r="BZ91" i="9"/>
  <c r="BY91" i="9"/>
  <c r="DF91" i="9" s="1"/>
  <c r="BU91" i="9"/>
  <c r="BS91" i="9"/>
  <c r="BR91" i="9"/>
  <c r="BR414" i="9" s="1"/>
  <c r="BM91" i="9"/>
  <c r="BM414" i="9" s="1"/>
  <c r="BI91" i="9"/>
  <c r="BI414" i="9" s="1"/>
  <c r="BG91" i="9"/>
  <c r="BC91" i="9"/>
  <c r="BC414" i="9" s="1"/>
  <c r="AU91" i="9"/>
  <c r="AN91" i="9"/>
  <c r="BH91" i="9" s="1"/>
  <c r="AM91" i="9"/>
  <c r="AL91" i="9"/>
  <c r="V91" i="9"/>
  <c r="U91" i="9"/>
  <c r="P91" i="9"/>
  <c r="M91" i="9"/>
  <c r="I91" i="9"/>
  <c r="DH90" i="9"/>
  <c r="DG90" i="9"/>
  <c r="DD90" i="9"/>
  <c r="DB90" i="9"/>
  <c r="BY90" i="9"/>
  <c r="DF90" i="9" s="1"/>
  <c r="BV90" i="9"/>
  <c r="BS90" i="9"/>
  <c r="BR90" i="9"/>
  <c r="BM90" i="9"/>
  <c r="BI90" i="9"/>
  <c r="BJ90" i="9" s="1"/>
  <c r="BG90" i="9"/>
  <c r="BC90" i="9"/>
  <c r="AV90" i="9"/>
  <c r="Z90" i="9" s="1"/>
  <c r="AE90" i="9" s="1"/>
  <c r="AU90" i="9"/>
  <c r="AN90" i="9"/>
  <c r="BH90" i="9" s="1"/>
  <c r="AM90" i="9"/>
  <c r="AL90" i="9"/>
  <c r="V90" i="9"/>
  <c r="U90" i="9"/>
  <c r="P90" i="9"/>
  <c r="DC90" i="9" s="1"/>
  <c r="M90" i="9"/>
  <c r="I90" i="9"/>
  <c r="F90" i="9"/>
  <c r="E90" i="9"/>
  <c r="E373" i="9" s="1"/>
  <c r="D90" i="9"/>
  <c r="C90" i="9"/>
  <c r="DD89" i="9"/>
  <c r="CA89" i="9"/>
  <c r="DH89" i="9" s="1"/>
  <c r="BZ89" i="9"/>
  <c r="DG89" i="9" s="1"/>
  <c r="BY89" i="9"/>
  <c r="DF89" i="9" s="1"/>
  <c r="BU89" i="9"/>
  <c r="BS89" i="9"/>
  <c r="BR89" i="9"/>
  <c r="BM89" i="9"/>
  <c r="BI89" i="9"/>
  <c r="BG89" i="9"/>
  <c r="BC89" i="9"/>
  <c r="AV89" i="9" s="1"/>
  <c r="Z89" i="9" s="1"/>
  <c r="AF89" i="9" s="1"/>
  <c r="AU89" i="9"/>
  <c r="AN89" i="9"/>
  <c r="AP89" i="9" s="1"/>
  <c r="AM89" i="9"/>
  <c r="AL89" i="9"/>
  <c r="V89" i="9"/>
  <c r="U89" i="9"/>
  <c r="P89" i="9"/>
  <c r="DC89" i="9" s="1"/>
  <c r="M89" i="9"/>
  <c r="I89" i="9"/>
  <c r="DG88" i="9"/>
  <c r="DD88" i="9"/>
  <c r="DC88" i="9"/>
  <c r="DB88" i="9"/>
  <c r="CA88" i="9"/>
  <c r="DH88" i="9" s="1"/>
  <c r="BZ88" i="9"/>
  <c r="BY88" i="9"/>
  <c r="DF88" i="9" s="1"/>
  <c r="BS88" i="9"/>
  <c r="BR88" i="9"/>
  <c r="BM88" i="9"/>
  <c r="BI88" i="9"/>
  <c r="BD88" i="9"/>
  <c r="BC88" i="9"/>
  <c r="BH88" i="9" s="1"/>
  <c r="AU88" i="9"/>
  <c r="AN88" i="9"/>
  <c r="AP88" i="9" s="1"/>
  <c r="AM88" i="9"/>
  <c r="AO88" i="9" s="1"/>
  <c r="AL88" i="9"/>
  <c r="U88" i="9"/>
  <c r="Q88" i="9"/>
  <c r="O88" i="9"/>
  <c r="M88" i="9"/>
  <c r="I88" i="9"/>
  <c r="R88" i="9" s="1"/>
  <c r="D88" i="9"/>
  <c r="D373" i="9" s="1"/>
  <c r="C88" i="9"/>
  <c r="DG87" i="9"/>
  <c r="DD87" i="9"/>
  <c r="DB87" i="9"/>
  <c r="DB399" i="9" s="1"/>
  <c r="CA87" i="9"/>
  <c r="DH87" i="9" s="1"/>
  <c r="BZ87" i="9"/>
  <c r="BY87" i="9"/>
  <c r="DF87" i="9" s="1"/>
  <c r="BS87" i="9"/>
  <c r="BR87" i="9"/>
  <c r="BM87" i="9"/>
  <c r="BM399" i="9" s="1"/>
  <c r="BI87" i="9"/>
  <c r="BI399" i="9" s="1"/>
  <c r="BD87" i="9"/>
  <c r="BE87" i="9" s="1"/>
  <c r="BC87" i="9"/>
  <c r="AU87" i="9"/>
  <c r="AN87" i="9"/>
  <c r="AP87" i="9" s="1"/>
  <c r="AM87" i="9"/>
  <c r="AO87" i="9" s="1"/>
  <c r="AL87" i="9"/>
  <c r="BN87" i="9" s="1"/>
  <c r="U87" i="9"/>
  <c r="U399" i="9" s="1"/>
  <c r="P87" i="9"/>
  <c r="P399" i="9" s="1"/>
  <c r="O87" i="9"/>
  <c r="M87" i="9"/>
  <c r="M399" i="9" s="1"/>
  <c r="I87" i="9"/>
  <c r="I399" i="9" s="1"/>
  <c r="DH86" i="9"/>
  <c r="DG86" i="9"/>
  <c r="DC86" i="9"/>
  <c r="DB86" i="9"/>
  <c r="DB85" i="9" s="1"/>
  <c r="BY86" i="9"/>
  <c r="DF86" i="9" s="1"/>
  <c r="BS86" i="9"/>
  <c r="BR86" i="9"/>
  <c r="BM86" i="9"/>
  <c r="BM85" i="9" s="1"/>
  <c r="AV85" i="9" s="1"/>
  <c r="Z85" i="9" s="1"/>
  <c r="AF85" i="9" s="1"/>
  <c r="BI86" i="9"/>
  <c r="BD86" i="9"/>
  <c r="BC86" i="9"/>
  <c r="BH86" i="9" s="1"/>
  <c r="AU86" i="9"/>
  <c r="AN86" i="9"/>
  <c r="AP86" i="9" s="1"/>
  <c r="AM86" i="9"/>
  <c r="AO86" i="9" s="1"/>
  <c r="AL86" i="9"/>
  <c r="BN86" i="9" s="1"/>
  <c r="U86" i="9"/>
  <c r="Q86" i="9"/>
  <c r="O86" i="9"/>
  <c r="M86" i="9"/>
  <c r="I86" i="9"/>
  <c r="R86" i="9" s="1"/>
  <c r="CA85" i="9"/>
  <c r="DH85" i="9" s="1"/>
  <c r="BZ85" i="9"/>
  <c r="DG85" i="9" s="1"/>
  <c r="BW85" i="9"/>
  <c r="BV85" i="9"/>
  <c r="BU85" i="9"/>
  <c r="BS85" i="9"/>
  <c r="BR85" i="9"/>
  <c r="BQ85" i="9"/>
  <c r="BQ455" i="9" s="1"/>
  <c r="BL85" i="9"/>
  <c r="BL455" i="9" s="1"/>
  <c r="BI85" i="9"/>
  <c r="BC85" i="9"/>
  <c r="BB85" i="9"/>
  <c r="BB455" i="9" s="1"/>
  <c r="AT85" i="9"/>
  <c r="AS85" i="9"/>
  <c r="AS455" i="9" s="1"/>
  <c r="AR85" i="9"/>
  <c r="AQ85" i="9"/>
  <c r="AQ455" i="9" s="1"/>
  <c r="AN85" i="9"/>
  <c r="AP85" i="9" s="1"/>
  <c r="AM85" i="9"/>
  <c r="BG85" i="9" s="1"/>
  <c r="BJ85" i="9" s="1"/>
  <c r="AL85" i="9"/>
  <c r="T85" i="9"/>
  <c r="T455" i="9" s="1"/>
  <c r="S85" i="9"/>
  <c r="P85" i="9"/>
  <c r="DC85" i="9" s="1"/>
  <c r="N85" i="9"/>
  <c r="M85" i="9"/>
  <c r="L85" i="9"/>
  <c r="K85" i="9"/>
  <c r="J85" i="9"/>
  <c r="I85" i="9"/>
  <c r="H85" i="9"/>
  <c r="G85" i="9"/>
  <c r="F85" i="9"/>
  <c r="E85" i="9"/>
  <c r="D85" i="9"/>
  <c r="C85" i="9"/>
  <c r="DH84" i="9"/>
  <c r="DG84" i="9"/>
  <c r="DF84" i="9"/>
  <c r="DD84" i="9"/>
  <c r="DB84" i="9"/>
  <c r="CP84" i="9"/>
  <c r="CB84" i="9"/>
  <c r="DI84" i="9" s="1"/>
  <c r="BS84" i="9"/>
  <c r="BR84" i="9"/>
  <c r="BM84" i="9"/>
  <c r="BG84" i="9"/>
  <c r="BJ84" i="9" s="1"/>
  <c r="BC84" i="9"/>
  <c r="AV84" i="9" s="1"/>
  <c r="AU84" i="9"/>
  <c r="AN84" i="9"/>
  <c r="AP84" i="9" s="1"/>
  <c r="AM84" i="9"/>
  <c r="AL84" i="9"/>
  <c r="CC84" i="9" s="1"/>
  <c r="Y84" i="9"/>
  <c r="V84" i="9"/>
  <c r="U84" i="9"/>
  <c r="X84" i="9" s="1"/>
  <c r="O84" i="9"/>
  <c r="M84" i="9"/>
  <c r="I84" i="9"/>
  <c r="R84" i="9" s="1"/>
  <c r="DH83" i="9"/>
  <c r="DG83" i="9"/>
  <c r="DF83" i="9"/>
  <c r="DB83" i="9"/>
  <c r="CP83" i="9"/>
  <c r="CB83" i="9"/>
  <c r="DI83" i="9" s="1"/>
  <c r="BY83" i="9"/>
  <c r="BS83" i="9"/>
  <c r="BR83" i="9"/>
  <c r="BM83" i="9"/>
  <c r="BI83" i="9"/>
  <c r="BG83" i="9"/>
  <c r="BC83" i="9"/>
  <c r="AV83" i="9" s="1"/>
  <c r="Z83" i="9" s="1"/>
  <c r="AF83" i="9" s="1"/>
  <c r="AU83" i="9"/>
  <c r="AN83" i="9"/>
  <c r="AP83" i="9" s="1"/>
  <c r="AM83" i="9"/>
  <c r="AL83" i="9"/>
  <c r="BN83" i="9" s="1"/>
  <c r="V83" i="9"/>
  <c r="U83" i="9"/>
  <c r="Y83" i="9" s="1"/>
  <c r="P83" i="9"/>
  <c r="X83" i="9" s="1"/>
  <c r="M83" i="9"/>
  <c r="I83" i="9"/>
  <c r="DI82" i="9"/>
  <c r="DH82" i="9"/>
  <c r="DG82" i="9"/>
  <c r="DF82" i="9"/>
  <c r="DB82" i="9"/>
  <c r="CC82" i="9"/>
  <c r="CB82" i="9"/>
  <c r="BS82" i="9"/>
  <c r="BR82" i="9"/>
  <c r="BN82" i="9"/>
  <c r="BM82" i="9"/>
  <c r="BD82" i="9"/>
  <c r="BC82" i="9"/>
  <c r="BH82" i="9" s="1"/>
  <c r="BK82" i="9" s="1"/>
  <c r="AY82" i="9"/>
  <c r="AV82" i="9"/>
  <c r="AZ82" i="9" s="1"/>
  <c r="AU82" i="9"/>
  <c r="AN82" i="9"/>
  <c r="AP82" i="9" s="1"/>
  <c r="AM82" i="9"/>
  <c r="AO82" i="9" s="1"/>
  <c r="AL82" i="9"/>
  <c r="AG82" i="9"/>
  <c r="Z82" i="9"/>
  <c r="AF82" i="9" s="1"/>
  <c r="U82" i="9"/>
  <c r="Q82" i="9"/>
  <c r="O82" i="9"/>
  <c r="M82" i="9"/>
  <c r="I82" i="9"/>
  <c r="R82" i="9" s="1"/>
  <c r="DH81" i="9"/>
  <c r="DG81" i="9"/>
  <c r="DF81" i="9"/>
  <c r="CB81" i="9"/>
  <c r="DI81" i="9" s="1"/>
  <c r="BS81" i="9"/>
  <c r="BR81" i="9"/>
  <c r="BM81" i="9"/>
  <c r="BG81" i="9"/>
  <c r="BJ81" i="9" s="1"/>
  <c r="BC81" i="9"/>
  <c r="AV81" i="9" s="1"/>
  <c r="AU81" i="9"/>
  <c r="AN81" i="9"/>
  <c r="AP81" i="9" s="1"/>
  <c r="AM81" i="9"/>
  <c r="AL81" i="9"/>
  <c r="CC81" i="9" s="1"/>
  <c r="X81" i="9"/>
  <c r="V81" i="9"/>
  <c r="U81" i="9"/>
  <c r="O81" i="9"/>
  <c r="M81" i="9"/>
  <c r="I81" i="9"/>
  <c r="R81" i="9" s="1"/>
  <c r="DH80" i="9"/>
  <c r="DG80" i="9"/>
  <c r="DF80" i="9"/>
  <c r="DB80" i="9"/>
  <c r="CB80" i="9"/>
  <c r="DI80" i="9" s="1"/>
  <c r="BS80" i="9"/>
  <c r="BR80" i="9"/>
  <c r="BQ80" i="9"/>
  <c r="BN80" i="9"/>
  <c r="BM80" i="9"/>
  <c r="BL80" i="9"/>
  <c r="BC80" i="9"/>
  <c r="AV80" i="9" s="1"/>
  <c r="BB80" i="9"/>
  <c r="AU80" i="9"/>
  <c r="AS80" i="9"/>
  <c r="AQ80" i="9"/>
  <c r="AN80" i="9"/>
  <c r="AM80" i="9"/>
  <c r="BG80" i="9" s="1"/>
  <c r="BJ80" i="9" s="1"/>
  <c r="AL80" i="9"/>
  <c r="CC80" i="9" s="1"/>
  <c r="U80" i="9"/>
  <c r="CP80" i="9" s="1"/>
  <c r="P80" i="9"/>
  <c r="R80" i="9" s="1"/>
  <c r="O80" i="9"/>
  <c r="M80" i="9"/>
  <c r="I80" i="9"/>
  <c r="Q80" i="9" s="1"/>
  <c r="DH79" i="9"/>
  <c r="DG79" i="9"/>
  <c r="DF79" i="9"/>
  <c r="DD79" i="9"/>
  <c r="DB79" i="9"/>
  <c r="CC79" i="9"/>
  <c r="CB79" i="9"/>
  <c r="DI79" i="9" s="1"/>
  <c r="BS79" i="9"/>
  <c r="BR79" i="9"/>
  <c r="BN79" i="9"/>
  <c r="BM79" i="9"/>
  <c r="BD79" i="9"/>
  <c r="BF79" i="9" s="1"/>
  <c r="BC79" i="9"/>
  <c r="BH79" i="9" s="1"/>
  <c r="BK79" i="9" s="1"/>
  <c r="AY79" i="9"/>
  <c r="AU79" i="9"/>
  <c r="AN79" i="9"/>
  <c r="AP79" i="9" s="1"/>
  <c r="AM79" i="9"/>
  <c r="AO79" i="9" s="1"/>
  <c r="AL79" i="9"/>
  <c r="AG79" i="9"/>
  <c r="U79" i="9"/>
  <c r="P79" i="9"/>
  <c r="R79" i="9" s="1"/>
  <c r="O79" i="9"/>
  <c r="M79" i="9"/>
  <c r="I79" i="9"/>
  <c r="Q79" i="9" s="1"/>
  <c r="DH78" i="9"/>
  <c r="DG78" i="9"/>
  <c r="DD78" i="9"/>
  <c r="DB78" i="9"/>
  <c r="BY78" i="9"/>
  <c r="DF78" i="9" s="1"/>
  <c r="BS78" i="9"/>
  <c r="BR78" i="9"/>
  <c r="BQ78" i="9"/>
  <c r="BM78" i="9"/>
  <c r="BL78" i="9"/>
  <c r="BI78" i="9"/>
  <c r="BC78" i="9"/>
  <c r="BB78" i="9"/>
  <c r="AU78" i="9" s="1"/>
  <c r="AV78" i="9"/>
  <c r="Z78" i="9" s="1"/>
  <c r="AF78" i="9" s="1"/>
  <c r="AS78" i="9"/>
  <c r="AM78" i="9" s="1"/>
  <c r="BG78" i="9" s="1"/>
  <c r="BJ78" i="9" s="1"/>
  <c r="AQ78" i="9"/>
  <c r="AN78" i="9"/>
  <c r="AL78" i="9"/>
  <c r="P78" i="9"/>
  <c r="R78" i="9" s="1"/>
  <c r="M78" i="9"/>
  <c r="I78" i="9"/>
  <c r="DI77" i="9"/>
  <c r="DH77" i="9"/>
  <c r="DG77" i="9"/>
  <c r="DF77" i="9"/>
  <c r="DB77" i="9"/>
  <c r="CB77" i="9"/>
  <c r="BS77" i="9"/>
  <c r="BR77" i="9"/>
  <c r="BQ77" i="9"/>
  <c r="BQ404" i="9" s="1"/>
  <c r="BM77" i="9"/>
  <c r="BL77" i="9"/>
  <c r="BL404" i="9" s="1"/>
  <c r="BC77" i="9"/>
  <c r="BB77" i="9"/>
  <c r="BB404" i="9" s="1"/>
  <c r="AV77" i="9"/>
  <c r="Z77" i="9" s="1"/>
  <c r="AF77" i="9" s="1"/>
  <c r="AS77" i="9"/>
  <c r="AS404" i="9" s="1"/>
  <c r="AQ77" i="9"/>
  <c r="AQ404" i="9" s="1"/>
  <c r="AN77" i="9"/>
  <c r="AL77" i="9"/>
  <c r="CC77" i="9" s="1"/>
  <c r="O77" i="9"/>
  <c r="M77" i="9"/>
  <c r="I77" i="9"/>
  <c r="R77" i="9" s="1"/>
  <c r="DH76" i="9"/>
  <c r="DG76" i="9"/>
  <c r="DF76" i="9"/>
  <c r="DB76" i="9"/>
  <c r="CB76" i="9"/>
  <c r="DI76" i="9" s="1"/>
  <c r="BS76" i="9"/>
  <c r="BR76" i="9"/>
  <c r="BM76" i="9"/>
  <c r="BG76" i="9"/>
  <c r="BJ76" i="9" s="1"/>
  <c r="BC76" i="9"/>
  <c r="AV76" i="9" s="1"/>
  <c r="Z76" i="9" s="1"/>
  <c r="AF76" i="9" s="1"/>
  <c r="AU76" i="9"/>
  <c r="AN76" i="9"/>
  <c r="AP76" i="9" s="1"/>
  <c r="AM76" i="9"/>
  <c r="AL76" i="9"/>
  <c r="CC76" i="9" s="1"/>
  <c r="X76" i="9"/>
  <c r="V76" i="9"/>
  <c r="U76" i="9"/>
  <c r="CP76" i="9" s="1"/>
  <c r="O76" i="9"/>
  <c r="M76" i="9"/>
  <c r="I76" i="9"/>
  <c r="R76" i="9" s="1"/>
  <c r="DH75" i="9"/>
  <c r="DG75" i="9"/>
  <c r="DD75" i="9"/>
  <c r="DB75" i="9"/>
  <c r="BY75" i="9"/>
  <c r="DF75" i="9" s="1"/>
  <c r="BS75" i="9"/>
  <c r="BR75" i="9"/>
  <c r="BM75" i="9"/>
  <c r="BI75" i="9"/>
  <c r="BI404" i="9" s="1"/>
  <c r="BD75" i="9"/>
  <c r="BC75" i="9"/>
  <c r="BH75" i="9" s="1"/>
  <c r="AU75" i="9"/>
  <c r="AN75" i="9"/>
  <c r="AP75" i="9" s="1"/>
  <c r="AM75" i="9"/>
  <c r="AO75" i="9" s="1"/>
  <c r="AL75" i="9"/>
  <c r="U75" i="9"/>
  <c r="P75" i="9"/>
  <c r="P404" i="9" s="1"/>
  <c r="O75" i="9"/>
  <c r="M75" i="9"/>
  <c r="I75" i="9"/>
  <c r="Q75" i="9" s="1"/>
  <c r="DH74" i="9"/>
  <c r="DG74" i="9"/>
  <c r="DF74" i="9"/>
  <c r="DD74" i="9"/>
  <c r="DB74" i="9"/>
  <c r="CB74" i="9"/>
  <c r="DI74" i="9" s="1"/>
  <c r="BS74" i="9"/>
  <c r="BR74" i="9"/>
  <c r="BM74" i="9"/>
  <c r="BC74" i="9"/>
  <c r="AV74" i="9" s="1"/>
  <c r="Z74" i="9" s="1"/>
  <c r="AE74" i="9" s="1"/>
  <c r="AU74" i="9"/>
  <c r="AN74" i="9"/>
  <c r="AM74" i="9"/>
  <c r="AO74" i="9" s="1"/>
  <c r="AL74" i="9"/>
  <c r="CC74" i="9" s="1"/>
  <c r="U74" i="9"/>
  <c r="Q74" i="9"/>
  <c r="O74" i="9"/>
  <c r="M74" i="9"/>
  <c r="I74" i="9"/>
  <c r="R74" i="9" s="1"/>
  <c r="DH73" i="9"/>
  <c r="DG73" i="9"/>
  <c r="DF73" i="9"/>
  <c r="DD73" i="9"/>
  <c r="DB73" i="9"/>
  <c r="DB404" i="9" s="1"/>
  <c r="CB73" i="9"/>
  <c r="DI73" i="9" s="1"/>
  <c r="BS73" i="9"/>
  <c r="BR73" i="9"/>
  <c r="BR404" i="9" s="1"/>
  <c r="BM73" i="9"/>
  <c r="BC73" i="9"/>
  <c r="BC404" i="9" s="1"/>
  <c r="AU73" i="9"/>
  <c r="AN73" i="9"/>
  <c r="AP73" i="9" s="1"/>
  <c r="AM73" i="9"/>
  <c r="BG73" i="9" s="1"/>
  <c r="AL73" i="9"/>
  <c r="CC73" i="9" s="1"/>
  <c r="X73" i="9"/>
  <c r="V73" i="9"/>
  <c r="U73" i="9"/>
  <c r="O73" i="9"/>
  <c r="M73" i="9"/>
  <c r="M404" i="9" s="1"/>
  <c r="I73" i="9"/>
  <c r="I404" i="9" s="1"/>
  <c r="DH72" i="9"/>
  <c r="DB72" i="9"/>
  <c r="CA72" i="9"/>
  <c r="BZ72" i="9"/>
  <c r="DG72" i="9" s="1"/>
  <c r="BY72" i="9"/>
  <c r="DF72" i="9" s="1"/>
  <c r="BW72" i="9"/>
  <c r="BV72" i="9"/>
  <c r="BU72" i="9"/>
  <c r="BR72" i="9"/>
  <c r="BQ72" i="9"/>
  <c r="BQ460" i="9" s="1"/>
  <c r="BQ501" i="9" s="1"/>
  <c r="BM72" i="9"/>
  <c r="BL72" i="9"/>
  <c r="BL460" i="9" s="1"/>
  <c r="BL501" i="9" s="1"/>
  <c r="BI72" i="9"/>
  <c r="BB72" i="9"/>
  <c r="BB460" i="9" s="1"/>
  <c r="BB501" i="9" s="1"/>
  <c r="AT72" i="9"/>
  <c r="AS72" i="9"/>
  <c r="AS460" i="9" s="1"/>
  <c r="AS501" i="9" s="1"/>
  <c r="AR72" i="9"/>
  <c r="AQ72" i="9"/>
  <c r="AQ460" i="9" s="1"/>
  <c r="AQ501" i="9" s="1"/>
  <c r="AN72" i="9"/>
  <c r="AP72" i="9" s="1"/>
  <c r="AM72" i="9"/>
  <c r="BG72" i="9" s="1"/>
  <c r="BJ72" i="9" s="1"/>
  <c r="AL72" i="9"/>
  <c r="T72" i="9"/>
  <c r="T460" i="9" s="1"/>
  <c r="T501" i="9" s="1"/>
  <c r="S72" i="9"/>
  <c r="P72" i="9"/>
  <c r="R72" i="9" s="1"/>
  <c r="N72" i="9"/>
  <c r="M72" i="9"/>
  <c r="L72" i="9"/>
  <c r="K72" i="9"/>
  <c r="J72" i="9"/>
  <c r="I72" i="9"/>
  <c r="H72" i="9"/>
  <c r="G72" i="9"/>
  <c r="F72" i="9"/>
  <c r="E72" i="9"/>
  <c r="D72" i="9"/>
  <c r="C72" i="9"/>
  <c r="DH71" i="9"/>
  <c r="DG71" i="9"/>
  <c r="DF71" i="9"/>
  <c r="DB71" i="9"/>
  <c r="CB71" i="9"/>
  <c r="DI71" i="9" s="1"/>
  <c r="BS71" i="9"/>
  <c r="BR71" i="9"/>
  <c r="BM71" i="9"/>
  <c r="BC71" i="9"/>
  <c r="AU71" i="9"/>
  <c r="AN71" i="9"/>
  <c r="AP71" i="9" s="1"/>
  <c r="AM71" i="9"/>
  <c r="BG71" i="9" s="1"/>
  <c r="BJ71" i="9" s="1"/>
  <c r="AL71" i="9"/>
  <c r="CC71" i="9" s="1"/>
  <c r="U71" i="9"/>
  <c r="O71" i="9"/>
  <c r="M71" i="9"/>
  <c r="I71" i="9"/>
  <c r="R71" i="9" s="1"/>
  <c r="DH70" i="9"/>
  <c r="DG70" i="9"/>
  <c r="DB70" i="9"/>
  <c r="BY70" i="9"/>
  <c r="DF70" i="9" s="1"/>
  <c r="BS70" i="9"/>
  <c r="BR70" i="9"/>
  <c r="BM70" i="9"/>
  <c r="BI70" i="9"/>
  <c r="BC70" i="9"/>
  <c r="AV70" i="9" s="1"/>
  <c r="Z70" i="9" s="1"/>
  <c r="AE70" i="9" s="1"/>
  <c r="AU70" i="9"/>
  <c r="AN70" i="9"/>
  <c r="BH70" i="9" s="1"/>
  <c r="AM70" i="9"/>
  <c r="BG70" i="9" s="1"/>
  <c r="BJ70" i="9" s="1"/>
  <c r="AL70" i="9"/>
  <c r="U70" i="9"/>
  <c r="P70" i="9"/>
  <c r="R70" i="9" s="1"/>
  <c r="O70" i="9"/>
  <c r="M70" i="9"/>
  <c r="I70" i="9"/>
  <c r="Q70" i="9" s="1"/>
  <c r="DH69" i="9"/>
  <c r="DG69" i="9"/>
  <c r="DB69" i="9"/>
  <c r="BY69" i="9"/>
  <c r="DF69" i="9" s="1"/>
  <c r="BS69" i="9"/>
  <c r="BR69" i="9"/>
  <c r="BM69" i="9"/>
  <c r="BI69" i="9"/>
  <c r="BC69" i="9"/>
  <c r="AV69" i="9" s="1"/>
  <c r="Z69" i="9" s="1"/>
  <c r="AE69" i="9" s="1"/>
  <c r="AU69" i="9"/>
  <c r="AN69" i="9"/>
  <c r="BH69" i="9" s="1"/>
  <c r="AM69" i="9"/>
  <c r="AO69" i="9" s="1"/>
  <c r="AL69" i="9"/>
  <c r="U69" i="9"/>
  <c r="P69" i="9"/>
  <c r="Q69" i="9" s="1"/>
  <c r="O69" i="9"/>
  <c r="M69" i="9"/>
  <c r="I69" i="9"/>
  <c r="DH68" i="9"/>
  <c r="DG68" i="9"/>
  <c r="DB68" i="9"/>
  <c r="BY68" i="9"/>
  <c r="DF68" i="9" s="1"/>
  <c r="BS68" i="9"/>
  <c r="BR68" i="9"/>
  <c r="BM68" i="9"/>
  <c r="BI68" i="9"/>
  <c r="BJ68" i="9" s="1"/>
  <c r="BC68" i="9"/>
  <c r="AV68" i="9" s="1"/>
  <c r="Z68" i="9" s="1"/>
  <c r="AE68" i="9" s="1"/>
  <c r="AU68" i="9"/>
  <c r="AN68" i="9"/>
  <c r="AM68" i="9"/>
  <c r="BG68" i="9" s="1"/>
  <c r="AL68" i="9"/>
  <c r="V68" i="9"/>
  <c r="U68" i="9"/>
  <c r="P68" i="9"/>
  <c r="Q68" i="9" s="1"/>
  <c r="M68" i="9"/>
  <c r="I68" i="9"/>
  <c r="DB67" i="9"/>
  <c r="CA67" i="9"/>
  <c r="DH67" i="9" s="1"/>
  <c r="BZ67" i="9"/>
  <c r="DG67" i="9" s="1"/>
  <c r="BY67" i="9"/>
  <c r="DF67" i="9" s="1"/>
  <c r="BU67" i="9"/>
  <c r="BS67" i="9"/>
  <c r="BR67" i="9"/>
  <c r="BM67" i="9"/>
  <c r="BI67" i="9"/>
  <c r="BC67" i="9"/>
  <c r="AV67" i="9"/>
  <c r="Z67" i="9" s="1"/>
  <c r="AF67" i="9" s="1"/>
  <c r="AU67" i="9"/>
  <c r="AN67" i="9"/>
  <c r="AP67" i="9" s="1"/>
  <c r="AM67" i="9"/>
  <c r="BG67" i="9" s="1"/>
  <c r="BJ67" i="9" s="1"/>
  <c r="AL67" i="9"/>
  <c r="U67" i="9"/>
  <c r="P67" i="9"/>
  <c r="P373" i="9" s="1"/>
  <c r="M67" i="9"/>
  <c r="I67" i="9"/>
  <c r="DH66" i="9"/>
  <c r="DG66" i="9"/>
  <c r="DB66" i="9"/>
  <c r="CB66" i="9"/>
  <c r="DI66" i="9" s="1"/>
  <c r="BY66" i="9"/>
  <c r="DF66" i="9" s="1"/>
  <c r="BS66" i="9"/>
  <c r="BR66" i="9"/>
  <c r="BM66" i="9"/>
  <c r="BI66" i="9"/>
  <c r="BG66" i="9"/>
  <c r="BC66" i="9"/>
  <c r="AU66" i="9"/>
  <c r="AN66" i="9"/>
  <c r="AP66" i="9" s="1"/>
  <c r="AM66" i="9"/>
  <c r="AL66" i="9"/>
  <c r="BN66" i="9" s="1"/>
  <c r="V66" i="9"/>
  <c r="U66" i="9"/>
  <c r="P66" i="9"/>
  <c r="Y66" i="9" s="1"/>
  <c r="M66" i="9"/>
  <c r="I66" i="9"/>
  <c r="DH65" i="9"/>
  <c r="DG65" i="9"/>
  <c r="DF65" i="9"/>
  <c r="DB65" i="9"/>
  <c r="CB65" i="9"/>
  <c r="DI65" i="9" s="1"/>
  <c r="BS65" i="9"/>
  <c r="BR65" i="9"/>
  <c r="BM65" i="9"/>
  <c r="BG65" i="9"/>
  <c r="BJ65" i="9" s="1"/>
  <c r="BC65" i="9"/>
  <c r="AV65" i="9" s="1"/>
  <c r="AU65" i="9"/>
  <c r="AN65" i="9"/>
  <c r="AP65" i="9" s="1"/>
  <c r="AM65" i="9"/>
  <c r="AL65" i="9"/>
  <c r="CC65" i="9" s="1"/>
  <c r="Y65" i="9"/>
  <c r="V65" i="9"/>
  <c r="U65" i="9"/>
  <c r="O65" i="9"/>
  <c r="M65" i="9"/>
  <c r="I65" i="9"/>
  <c r="R65" i="9" s="1"/>
  <c r="DH64" i="9"/>
  <c r="DG64" i="9"/>
  <c r="DB64" i="9"/>
  <c r="BY64" i="9"/>
  <c r="DF64" i="9" s="1"/>
  <c r="BS64" i="9"/>
  <c r="BR64" i="9"/>
  <c r="BM64" i="9"/>
  <c r="BI64" i="9"/>
  <c r="BD64" i="9"/>
  <c r="BC64" i="9"/>
  <c r="BH64" i="9" s="1"/>
  <c r="AU64" i="9"/>
  <c r="AN64" i="9"/>
  <c r="AP64" i="9" s="1"/>
  <c r="AM64" i="9"/>
  <c r="AO64" i="9" s="1"/>
  <c r="AL64" i="9"/>
  <c r="BN64" i="9" s="1"/>
  <c r="U64" i="9"/>
  <c r="P64" i="9"/>
  <c r="R64" i="9" s="1"/>
  <c r="O64" i="9"/>
  <c r="M64" i="9"/>
  <c r="I64" i="9"/>
  <c r="Q64" i="9" s="1"/>
  <c r="DH63" i="9"/>
  <c r="DG63" i="9"/>
  <c r="DF63" i="9"/>
  <c r="DB63" i="9"/>
  <c r="CC63" i="9"/>
  <c r="CB63" i="9"/>
  <c r="DI63" i="9" s="1"/>
  <c r="BS63" i="9"/>
  <c r="BR63" i="9"/>
  <c r="BN63" i="9"/>
  <c r="BM63" i="9"/>
  <c r="BD63" i="9"/>
  <c r="BC63" i="9"/>
  <c r="BH63" i="9" s="1"/>
  <c r="BK63" i="9" s="1"/>
  <c r="AY63" i="9"/>
  <c r="AV63" i="9"/>
  <c r="AZ63" i="9" s="1"/>
  <c r="AU63" i="9"/>
  <c r="AN63" i="9"/>
  <c r="AP63" i="9" s="1"/>
  <c r="AM63" i="9"/>
  <c r="AO63" i="9" s="1"/>
  <c r="AL63" i="9"/>
  <c r="AG63" i="9"/>
  <c r="Z63" i="9"/>
  <c r="AF63" i="9" s="1"/>
  <c r="U63" i="9"/>
  <c r="Q63" i="9"/>
  <c r="O63" i="9"/>
  <c r="M63" i="9"/>
  <c r="I63" i="9"/>
  <c r="R63" i="9" s="1"/>
  <c r="DH62" i="9"/>
  <c r="DG62" i="9"/>
  <c r="DB62" i="9"/>
  <c r="CB62" i="9"/>
  <c r="DI62" i="9" s="1"/>
  <c r="BY62" i="9"/>
  <c r="DF62" i="9" s="1"/>
  <c r="BS62" i="9"/>
  <c r="BR62" i="9"/>
  <c r="BM62" i="9"/>
  <c r="BI62" i="9"/>
  <c r="BG62" i="9"/>
  <c r="BC62" i="9"/>
  <c r="AU62" i="9"/>
  <c r="AN62" i="9"/>
  <c r="AP62" i="9" s="1"/>
  <c r="AM62" i="9"/>
  <c r="AL62" i="9"/>
  <c r="BN62" i="9" s="1"/>
  <c r="X62" i="9"/>
  <c r="V62" i="9"/>
  <c r="U62" i="9"/>
  <c r="O62" i="9"/>
  <c r="M62" i="9"/>
  <c r="I62" i="9"/>
  <c r="R62" i="9" s="1"/>
  <c r="DH61" i="9"/>
  <c r="DG61" i="9"/>
  <c r="DB61" i="9"/>
  <c r="BY61" i="9"/>
  <c r="DF61" i="9" s="1"/>
  <c r="BS61" i="9"/>
  <c r="BR61" i="9"/>
  <c r="BM61" i="9"/>
  <c r="BI61" i="9"/>
  <c r="BD61" i="9"/>
  <c r="BC61" i="9"/>
  <c r="BH61" i="9" s="1"/>
  <c r="AU61" i="9"/>
  <c r="AN61" i="9"/>
  <c r="AP61" i="9" s="1"/>
  <c r="AM61" i="9"/>
  <c r="AO61" i="9" s="1"/>
  <c r="AL61" i="9"/>
  <c r="BN61" i="9" s="1"/>
  <c r="U61" i="9"/>
  <c r="P61" i="9"/>
  <c r="R61" i="9" s="1"/>
  <c r="O61" i="9"/>
  <c r="M61" i="9"/>
  <c r="I61" i="9"/>
  <c r="Q61" i="9" s="1"/>
  <c r="E61" i="9"/>
  <c r="E370" i="9" s="1"/>
  <c r="D61" i="9"/>
  <c r="D370" i="9" s="1"/>
  <c r="C61" i="9"/>
  <c r="C370" i="9" s="1"/>
  <c r="DB60" i="9"/>
  <c r="CA60" i="9"/>
  <c r="DH60" i="9" s="1"/>
  <c r="BZ60" i="9"/>
  <c r="DG60" i="9" s="1"/>
  <c r="BY60" i="9"/>
  <c r="DF60" i="9" s="1"/>
  <c r="BU60" i="9"/>
  <c r="BS60" i="9"/>
  <c r="BR60" i="9"/>
  <c r="BM60" i="9"/>
  <c r="BC60" i="9"/>
  <c r="AV60" i="9" s="1"/>
  <c r="Z60" i="9" s="1"/>
  <c r="AE60" i="9" s="1"/>
  <c r="AU60" i="9"/>
  <c r="AN60" i="9"/>
  <c r="AP60" i="9" s="1"/>
  <c r="AM60" i="9"/>
  <c r="BG60" i="9" s="1"/>
  <c r="BJ60" i="9" s="1"/>
  <c r="AL60" i="9"/>
  <c r="Y60" i="9"/>
  <c r="V60" i="9"/>
  <c r="U60" i="9"/>
  <c r="O60" i="9"/>
  <c r="M60" i="9"/>
  <c r="I60" i="9"/>
  <c r="R60" i="9" s="1"/>
  <c r="DB59" i="9"/>
  <c r="CA59" i="9"/>
  <c r="DH59" i="9" s="1"/>
  <c r="BZ59" i="9"/>
  <c r="DG59" i="9" s="1"/>
  <c r="BY59" i="9"/>
  <c r="DF59" i="9" s="1"/>
  <c r="BU59" i="9"/>
  <c r="BS59" i="9"/>
  <c r="BR59" i="9"/>
  <c r="BM59" i="9"/>
  <c r="BI59" i="9"/>
  <c r="BC59" i="9"/>
  <c r="AV59" i="9" s="1"/>
  <c r="Z59" i="9" s="1"/>
  <c r="AF59" i="9" s="1"/>
  <c r="AU59" i="9"/>
  <c r="AN59" i="9"/>
  <c r="AP59" i="9" s="1"/>
  <c r="AM59" i="9"/>
  <c r="BG59" i="9" s="1"/>
  <c r="AL59" i="9"/>
  <c r="V59" i="9"/>
  <c r="U59" i="9"/>
  <c r="P59" i="9"/>
  <c r="R59" i="9" s="1"/>
  <c r="M59" i="9"/>
  <c r="I59" i="9"/>
  <c r="E59" i="9"/>
  <c r="E374" i="9" s="1"/>
  <c r="D59" i="9"/>
  <c r="D374" i="9" s="1"/>
  <c r="C59" i="9"/>
  <c r="C374" i="9" s="1"/>
  <c r="DB58" i="9"/>
  <c r="CA58" i="9"/>
  <c r="DH58" i="9" s="1"/>
  <c r="BZ58" i="9"/>
  <c r="DG58" i="9" s="1"/>
  <c r="BY58" i="9"/>
  <c r="DF58" i="9" s="1"/>
  <c r="BU58" i="9"/>
  <c r="BS58" i="9"/>
  <c r="BR58" i="9"/>
  <c r="BM58" i="9"/>
  <c r="BC58" i="9"/>
  <c r="AU58" i="9"/>
  <c r="AN58" i="9"/>
  <c r="AM58" i="9"/>
  <c r="AO58" i="9" s="1"/>
  <c r="AL58" i="9"/>
  <c r="U58" i="9"/>
  <c r="P58" i="9"/>
  <c r="R58" i="9" s="1"/>
  <c r="O58" i="9"/>
  <c r="M58" i="9"/>
  <c r="I58" i="9"/>
  <c r="Q58" i="9" s="1"/>
  <c r="DB57" i="9"/>
  <c r="DB405" i="9" s="1"/>
  <c r="CA57" i="9"/>
  <c r="DH57" i="9" s="1"/>
  <c r="BZ57" i="9"/>
  <c r="DG57" i="9" s="1"/>
  <c r="BY57" i="9"/>
  <c r="DF57" i="9" s="1"/>
  <c r="BU57" i="9"/>
  <c r="BS57" i="9"/>
  <c r="BR57" i="9"/>
  <c r="BR405" i="9" s="1"/>
  <c r="BM57" i="9"/>
  <c r="BM405" i="9" s="1"/>
  <c r="BI57" i="9"/>
  <c r="BI405" i="9" s="1"/>
  <c r="BC57" i="9"/>
  <c r="BC405" i="9" s="1"/>
  <c r="AU57" i="9"/>
  <c r="AN57" i="9"/>
  <c r="AP57" i="9" s="1"/>
  <c r="AM57" i="9"/>
  <c r="BG57" i="9" s="1"/>
  <c r="AL57" i="9"/>
  <c r="U57" i="9"/>
  <c r="U405" i="9" s="1"/>
  <c r="P57" i="9"/>
  <c r="P405" i="9" s="1"/>
  <c r="O57" i="9"/>
  <c r="M57" i="9"/>
  <c r="M405" i="9" s="1"/>
  <c r="I57" i="9"/>
  <c r="I405" i="9" s="1"/>
  <c r="DB56" i="9"/>
  <c r="CR56" i="9"/>
  <c r="CA56" i="9"/>
  <c r="DH56" i="9" s="1"/>
  <c r="BZ56" i="9"/>
  <c r="DG56" i="9" s="1"/>
  <c r="BY56" i="9"/>
  <c r="DF56" i="9" s="1"/>
  <c r="BW56" i="9"/>
  <c r="BV56" i="9"/>
  <c r="BU56" i="9"/>
  <c r="BS56" i="9"/>
  <c r="BR56" i="9"/>
  <c r="BQ56" i="9"/>
  <c r="BQ461" i="9" s="1"/>
  <c r="BQ502" i="9" s="1"/>
  <c r="BM56" i="9"/>
  <c r="BL56" i="9"/>
  <c r="BL461" i="9" s="1"/>
  <c r="BL502" i="9" s="1"/>
  <c r="BI56" i="9"/>
  <c r="BC56" i="9"/>
  <c r="BB56" i="9"/>
  <c r="BB461" i="9" s="1"/>
  <c r="BB502" i="9" s="1"/>
  <c r="AV56" i="9"/>
  <c r="Z56" i="9" s="1"/>
  <c r="AE56" i="9" s="1"/>
  <c r="AU56" i="9"/>
  <c r="AT56" i="9"/>
  <c r="AS56" i="9"/>
  <c r="AS461" i="9" s="1"/>
  <c r="AS502" i="9" s="1"/>
  <c r="AR56" i="9"/>
  <c r="AQ56" i="9"/>
  <c r="AQ461" i="9" s="1"/>
  <c r="AQ502" i="9" s="1"/>
  <c r="AN56" i="9"/>
  <c r="AO56" i="9" s="1"/>
  <c r="AM56" i="9"/>
  <c r="BG56" i="9" s="1"/>
  <c r="AL56" i="9"/>
  <c r="U56" i="9"/>
  <c r="U461" i="9" s="1"/>
  <c r="U502" i="9" s="1"/>
  <c r="T56" i="9"/>
  <c r="T461" i="9" s="1"/>
  <c r="T502" i="9" s="1"/>
  <c r="S56" i="9"/>
  <c r="P56" i="9"/>
  <c r="Q56" i="9" s="1"/>
  <c r="N56" i="9"/>
  <c r="M56" i="9"/>
  <c r="L56" i="9"/>
  <c r="K56" i="9"/>
  <c r="J56" i="9"/>
  <c r="I56" i="9"/>
  <c r="H56" i="9"/>
  <c r="G56" i="9"/>
  <c r="F56" i="9"/>
  <c r="E56" i="9"/>
  <c r="D56" i="9"/>
  <c r="C56" i="9"/>
  <c r="DH55" i="9"/>
  <c r="DG55" i="9"/>
  <c r="DF55" i="9"/>
  <c r="CB55" i="9"/>
  <c r="DI55" i="9" s="1"/>
  <c r="AV55" i="9"/>
  <c r="AU55" i="9"/>
  <c r="AN55" i="9"/>
  <c r="AO55" i="9" s="1"/>
  <c r="AM55" i="9"/>
  <c r="BG55" i="9" s="1"/>
  <c r="BJ55" i="9" s="1"/>
  <c r="AL55" i="9"/>
  <c r="CC55" i="9" s="1"/>
  <c r="Z55" i="9"/>
  <c r="AE55" i="9" s="1"/>
  <c r="X55" i="9"/>
  <c r="V55" i="9"/>
  <c r="U55" i="9"/>
  <c r="O55" i="9"/>
  <c r="M55" i="9"/>
  <c r="I55" i="9"/>
  <c r="Q55" i="9" s="1"/>
  <c r="DH54" i="9"/>
  <c r="DG54" i="9"/>
  <c r="DF54" i="9"/>
  <c r="DB54" i="9"/>
  <c r="CB54" i="9"/>
  <c r="DI54" i="9" s="1"/>
  <c r="BY54" i="9"/>
  <c r="BS54" i="9"/>
  <c r="BR54" i="9"/>
  <c r="BM54" i="9"/>
  <c r="BI54" i="9"/>
  <c r="BC54" i="9"/>
  <c r="AV54" i="9" s="1"/>
  <c r="Z54" i="9" s="1"/>
  <c r="AE54" i="9" s="1"/>
  <c r="AU54" i="9"/>
  <c r="AN54" i="9"/>
  <c r="AM54" i="9"/>
  <c r="BG54" i="9" s="1"/>
  <c r="AL54" i="9"/>
  <c r="CC54" i="9" s="1"/>
  <c r="U54" i="9"/>
  <c r="P54" i="9"/>
  <c r="R54" i="9" s="1"/>
  <c r="O54" i="9"/>
  <c r="M54" i="9"/>
  <c r="I54" i="9"/>
  <c r="Q54" i="9" s="1"/>
  <c r="DH53" i="9"/>
  <c r="DG53" i="9"/>
  <c r="DF53" i="9"/>
  <c r="CB53" i="9"/>
  <c r="DI53" i="9" s="1"/>
  <c r="AV53" i="9"/>
  <c r="AU53" i="9"/>
  <c r="AW53" i="9" s="1"/>
  <c r="AN53" i="9"/>
  <c r="BH53" i="9" s="1"/>
  <c r="BK53" i="9" s="1"/>
  <c r="AM53" i="9"/>
  <c r="BG53" i="9" s="1"/>
  <c r="BJ53" i="9" s="1"/>
  <c r="AL53" i="9"/>
  <c r="CC53" i="9" s="1"/>
  <c r="AE53" i="9"/>
  <c r="AA53" i="9"/>
  <c r="Z53" i="9"/>
  <c r="AF53" i="9" s="1"/>
  <c r="U53" i="9"/>
  <c r="Q53" i="9"/>
  <c r="O53" i="9"/>
  <c r="M53" i="9"/>
  <c r="I53" i="9"/>
  <c r="R53" i="9" s="1"/>
  <c r="DG52" i="9"/>
  <c r="DB52" i="9"/>
  <c r="DB401" i="9" s="1"/>
  <c r="CA52" i="9"/>
  <c r="DH52" i="9" s="1"/>
  <c r="BZ52" i="9"/>
  <c r="BY52" i="9"/>
  <c r="DF52" i="9" s="1"/>
  <c r="BS52" i="9"/>
  <c r="BR52" i="9"/>
  <c r="BR401" i="9" s="1"/>
  <c r="BQ52" i="9"/>
  <c r="BM52" i="9"/>
  <c r="BM401" i="9" s="1"/>
  <c r="BL52" i="9"/>
  <c r="BI52" i="9"/>
  <c r="BI401" i="9" s="1"/>
  <c r="BC52" i="9"/>
  <c r="BC401" i="9" s="1"/>
  <c r="BB52" i="9"/>
  <c r="AS52" i="9"/>
  <c r="AQ52" i="9"/>
  <c r="AN52" i="9"/>
  <c r="AL52" i="9"/>
  <c r="X52" i="9"/>
  <c r="V52" i="9"/>
  <c r="U52" i="9"/>
  <c r="S52" i="9"/>
  <c r="S401" i="9" s="1"/>
  <c r="P52" i="9"/>
  <c r="P401" i="9" s="1"/>
  <c r="O52" i="9"/>
  <c r="O401" i="9" s="1"/>
  <c r="M52" i="9"/>
  <c r="M401" i="9" s="1"/>
  <c r="I52" i="9"/>
  <c r="I401" i="9" s="1"/>
  <c r="DH51" i="9"/>
  <c r="DG51" i="9"/>
  <c r="DF51" i="9"/>
  <c r="DB51" i="9"/>
  <c r="CB51" i="9"/>
  <c r="DI51" i="9" s="1"/>
  <c r="BY51" i="9"/>
  <c r="BS51" i="9"/>
  <c r="BR51" i="9"/>
  <c r="BM51" i="9"/>
  <c r="BI51" i="9"/>
  <c r="BC51" i="9"/>
  <c r="AV51" i="9" s="1"/>
  <c r="Z51" i="9" s="1"/>
  <c r="AE51" i="9" s="1"/>
  <c r="AU51" i="9"/>
  <c r="AN51" i="9"/>
  <c r="BH51" i="9" s="1"/>
  <c r="AM51" i="9"/>
  <c r="BG51" i="9" s="1"/>
  <c r="AL51" i="9"/>
  <c r="CC51" i="9" s="1"/>
  <c r="U51" i="9"/>
  <c r="P51" i="9"/>
  <c r="R51" i="9" s="1"/>
  <c r="O51" i="9"/>
  <c r="M51" i="9"/>
  <c r="M368" i="9" s="1"/>
  <c r="I51" i="9"/>
  <c r="I368" i="9" s="1"/>
  <c r="DH50" i="9"/>
  <c r="DG50" i="9"/>
  <c r="DF50" i="9"/>
  <c r="CB50" i="9"/>
  <c r="DI50" i="9" s="1"/>
  <c r="AV50" i="9"/>
  <c r="AU50" i="9"/>
  <c r="AW50" i="9" s="1"/>
  <c r="AN50" i="9"/>
  <c r="BH50" i="9" s="1"/>
  <c r="BK50" i="9" s="1"/>
  <c r="AM50" i="9"/>
  <c r="BG50" i="9" s="1"/>
  <c r="BJ50" i="9" s="1"/>
  <c r="AL50" i="9"/>
  <c r="CC50" i="9" s="1"/>
  <c r="Z50" i="9"/>
  <c r="AF50" i="9" s="1"/>
  <c r="U50" i="9"/>
  <c r="Q50" i="9"/>
  <c r="O50" i="9"/>
  <c r="M50" i="9"/>
  <c r="I50" i="9"/>
  <c r="R50" i="9" s="1"/>
  <c r="DI49" i="9"/>
  <c r="DH49" i="9"/>
  <c r="DG49" i="9"/>
  <c r="DF49" i="9"/>
  <c r="DB49" i="9"/>
  <c r="CB49" i="9"/>
  <c r="BS49" i="9"/>
  <c r="BR49" i="9"/>
  <c r="BQ49" i="9"/>
  <c r="BM49" i="9"/>
  <c r="AV49" i="9" s="1"/>
  <c r="Z49" i="9" s="1"/>
  <c r="AF49" i="9" s="1"/>
  <c r="BL49" i="9"/>
  <c r="BD49" i="9"/>
  <c r="BE49" i="9" s="1"/>
  <c r="BC49" i="9"/>
  <c r="BH49" i="9" s="1"/>
  <c r="BK49" i="9" s="1"/>
  <c r="BB49" i="9"/>
  <c r="AU49" i="9" s="1"/>
  <c r="AS49" i="9"/>
  <c r="AN49" i="9"/>
  <c r="AP49" i="9" s="1"/>
  <c r="AM49" i="9"/>
  <c r="BG49" i="9" s="1"/>
  <c r="BJ49" i="9" s="1"/>
  <c r="AL49" i="9"/>
  <c r="BN49" i="9" s="1"/>
  <c r="U49" i="9"/>
  <c r="P49" i="9"/>
  <c r="R49" i="9" s="1"/>
  <c r="O49" i="9"/>
  <c r="M49" i="9"/>
  <c r="I49" i="9"/>
  <c r="Q49" i="9" s="1"/>
  <c r="DH48" i="9"/>
  <c r="DG48" i="9"/>
  <c r="DF48" i="9"/>
  <c r="DB48" i="9"/>
  <c r="CB48" i="9"/>
  <c r="DI48" i="9" s="1"/>
  <c r="BS48" i="9"/>
  <c r="BR48" i="9"/>
  <c r="BM48" i="9"/>
  <c r="BG48" i="9"/>
  <c r="BJ48" i="9" s="1"/>
  <c r="BC48" i="9"/>
  <c r="AV48" i="9" s="1"/>
  <c r="AU48" i="9"/>
  <c r="AN48" i="9"/>
  <c r="BH48" i="9" s="1"/>
  <c r="BK48" i="9" s="1"/>
  <c r="AM48" i="9"/>
  <c r="AL48" i="9"/>
  <c r="CC48" i="9" s="1"/>
  <c r="Y48" i="9"/>
  <c r="V48" i="9"/>
  <c r="U48" i="9"/>
  <c r="O48" i="9"/>
  <c r="M48" i="9"/>
  <c r="I48" i="9"/>
  <c r="Q48" i="9" s="1"/>
  <c r="DH47" i="9"/>
  <c r="DG47" i="9"/>
  <c r="DF47" i="9"/>
  <c r="CB47" i="9"/>
  <c r="DI47" i="9" s="1"/>
  <c r="BS47" i="9"/>
  <c r="BR47" i="9"/>
  <c r="BM47" i="9"/>
  <c r="BC47" i="9"/>
  <c r="AV47" i="9" s="1"/>
  <c r="Z47" i="9" s="1"/>
  <c r="AE47" i="9" s="1"/>
  <c r="AU47" i="9"/>
  <c r="AN47" i="9"/>
  <c r="AO47" i="9" s="1"/>
  <c r="AM47" i="9"/>
  <c r="BG47" i="9" s="1"/>
  <c r="BJ47" i="9" s="1"/>
  <c r="AL47" i="9"/>
  <c r="CC47" i="9" s="1"/>
  <c r="U47" i="9"/>
  <c r="O47" i="9"/>
  <c r="M47" i="9"/>
  <c r="I47" i="9"/>
  <c r="Q47" i="9" s="1"/>
  <c r="DH46" i="9"/>
  <c r="DG46" i="9"/>
  <c r="DF46" i="9"/>
  <c r="DB46" i="9"/>
  <c r="CB46" i="9"/>
  <c r="DI46" i="9" s="1"/>
  <c r="BY46" i="9"/>
  <c r="BS46" i="9"/>
  <c r="BR46" i="9"/>
  <c r="BQ46" i="9"/>
  <c r="BM46" i="9"/>
  <c r="BL46" i="9"/>
  <c r="BI46" i="9"/>
  <c r="BC46" i="9"/>
  <c r="BB46" i="9"/>
  <c r="AU46" i="9"/>
  <c r="AS46" i="9"/>
  <c r="AQ46" i="9"/>
  <c r="AN46" i="9"/>
  <c r="BH46" i="9" s="1"/>
  <c r="AM46" i="9"/>
  <c r="BG46" i="9" s="1"/>
  <c r="AL46" i="9"/>
  <c r="CC46" i="9" s="1"/>
  <c r="U46" i="9"/>
  <c r="P46" i="9"/>
  <c r="R46" i="9" s="1"/>
  <c r="O46" i="9"/>
  <c r="M46" i="9"/>
  <c r="I46" i="9"/>
  <c r="Q46" i="9" s="1"/>
  <c r="DH45" i="9"/>
  <c r="DG45" i="9"/>
  <c r="DF45" i="9"/>
  <c r="CC45" i="9"/>
  <c r="CB45" i="9"/>
  <c r="DI45" i="9" s="1"/>
  <c r="BS45" i="9"/>
  <c r="BR45" i="9"/>
  <c r="BN45" i="9"/>
  <c r="BO45" i="9" s="1"/>
  <c r="BM45" i="9"/>
  <c r="BD45" i="9"/>
  <c r="BE45" i="9" s="1"/>
  <c r="BC45" i="9"/>
  <c r="BH45" i="9" s="1"/>
  <c r="BK45" i="9" s="1"/>
  <c r="AY45" i="9"/>
  <c r="AV45" i="9"/>
  <c r="AZ45" i="9" s="1"/>
  <c r="AU45" i="9"/>
  <c r="AN45" i="9"/>
  <c r="AP45" i="9" s="1"/>
  <c r="AM45" i="9"/>
  <c r="BG45" i="9" s="1"/>
  <c r="BJ45" i="9" s="1"/>
  <c r="AL45" i="9"/>
  <c r="AG45" i="9"/>
  <c r="Z45" i="9"/>
  <c r="AF45" i="9" s="1"/>
  <c r="U45" i="9"/>
  <c r="Q45" i="9"/>
  <c r="O45" i="9"/>
  <c r="M45" i="9"/>
  <c r="I45" i="9"/>
  <c r="R45" i="9" s="1"/>
  <c r="DI44" i="9"/>
  <c r="DH44" i="9"/>
  <c r="DG44" i="9"/>
  <c r="DF44" i="9"/>
  <c r="DB44" i="9"/>
  <c r="CC44" i="9"/>
  <c r="CB44" i="9"/>
  <c r="BS44" i="9"/>
  <c r="BR44" i="9"/>
  <c r="BN44" i="9"/>
  <c r="BO44" i="9" s="1"/>
  <c r="BM44" i="9"/>
  <c r="BD44" i="9"/>
  <c r="BE44" i="9" s="1"/>
  <c r="BC44" i="9"/>
  <c r="BH44" i="9" s="1"/>
  <c r="BK44" i="9" s="1"/>
  <c r="AY44" i="9"/>
  <c r="AV44" i="9"/>
  <c r="AZ44" i="9" s="1"/>
  <c r="AU44" i="9"/>
  <c r="AN44" i="9"/>
  <c r="AP44" i="9" s="1"/>
  <c r="AM44" i="9"/>
  <c r="BG44" i="9" s="1"/>
  <c r="BJ44" i="9" s="1"/>
  <c r="AL44" i="9"/>
  <c r="AG44" i="9"/>
  <c r="Z44" i="9"/>
  <c r="AF44" i="9" s="1"/>
  <c r="U44" i="9"/>
  <c r="Q44" i="9"/>
  <c r="O44" i="9"/>
  <c r="M44" i="9"/>
  <c r="I44" i="9"/>
  <c r="R44" i="9" s="1"/>
  <c r="DH43" i="9"/>
  <c r="DG43" i="9"/>
  <c r="DF43" i="9"/>
  <c r="CB43" i="9"/>
  <c r="DI43" i="9" s="1"/>
  <c r="BS43" i="9"/>
  <c r="BR43" i="9"/>
  <c r="BM43" i="9"/>
  <c r="BG43" i="9"/>
  <c r="BJ43" i="9" s="1"/>
  <c r="BC43" i="9"/>
  <c r="AV43" i="9" s="1"/>
  <c r="AU43" i="9"/>
  <c r="AN43" i="9"/>
  <c r="BH43" i="9" s="1"/>
  <c r="BK43" i="9" s="1"/>
  <c r="AM43" i="9"/>
  <c r="AL43" i="9"/>
  <c r="CC43" i="9" s="1"/>
  <c r="Y43" i="9"/>
  <c r="V43" i="9"/>
  <c r="U43" i="9"/>
  <c r="O43" i="9"/>
  <c r="M43" i="9"/>
  <c r="I43" i="9"/>
  <c r="Q43" i="9" s="1"/>
  <c r="DH42" i="9"/>
  <c r="DG42" i="9"/>
  <c r="DF42" i="9"/>
  <c r="DB42" i="9"/>
  <c r="CB42" i="9"/>
  <c r="DI42" i="9" s="1"/>
  <c r="BY42" i="9"/>
  <c r="BS42" i="9"/>
  <c r="BR42" i="9"/>
  <c r="BQ42" i="9"/>
  <c r="BM42" i="9"/>
  <c r="BL42" i="9"/>
  <c r="BI42" i="9"/>
  <c r="BJ42" i="9" s="1"/>
  <c r="BC42" i="9"/>
  <c r="BB42" i="9"/>
  <c r="AU42" i="9"/>
  <c r="AS42" i="9"/>
  <c r="AQ42" i="9"/>
  <c r="AN42" i="9"/>
  <c r="BH42" i="9" s="1"/>
  <c r="AM42" i="9"/>
  <c r="BG42" i="9" s="1"/>
  <c r="AL42" i="9"/>
  <c r="CC42" i="9" s="1"/>
  <c r="U42" i="9"/>
  <c r="P42" i="9"/>
  <c r="R42" i="9" s="1"/>
  <c r="O42" i="9"/>
  <c r="M42" i="9"/>
  <c r="I42" i="9"/>
  <c r="Q42" i="9" s="1"/>
  <c r="DH41" i="9"/>
  <c r="DG41" i="9"/>
  <c r="DF41" i="9"/>
  <c r="DB41" i="9"/>
  <c r="CB41" i="9"/>
  <c r="DI41" i="9" s="1"/>
  <c r="BY41" i="9"/>
  <c r="BS41" i="9"/>
  <c r="BR41" i="9"/>
  <c r="BQ41" i="9"/>
  <c r="BM41" i="9"/>
  <c r="BL41" i="9"/>
  <c r="BI41" i="9"/>
  <c r="BC41" i="9"/>
  <c r="AV41" i="9" s="1"/>
  <c r="BB41" i="9"/>
  <c r="AU41" i="9"/>
  <c r="AS41" i="9"/>
  <c r="AQ41" i="9"/>
  <c r="AN41" i="9"/>
  <c r="AM41" i="9"/>
  <c r="BG41" i="9" s="1"/>
  <c r="AL41" i="9"/>
  <c r="CC41" i="9" s="1"/>
  <c r="U41" i="9"/>
  <c r="P41" i="9"/>
  <c r="R41" i="9" s="1"/>
  <c r="O41" i="9"/>
  <c r="M41" i="9"/>
  <c r="I41" i="9"/>
  <c r="Q41" i="9" s="1"/>
  <c r="DH40" i="9"/>
  <c r="DG40" i="9"/>
  <c r="DF40" i="9"/>
  <c r="DB40" i="9"/>
  <c r="CB40" i="9"/>
  <c r="DI40" i="9" s="1"/>
  <c r="BY40" i="9"/>
  <c r="BS40" i="9"/>
  <c r="BR40" i="9"/>
  <c r="BQ40" i="9"/>
  <c r="BM40" i="9"/>
  <c r="BL40" i="9"/>
  <c r="BI40" i="9"/>
  <c r="BJ40" i="9" s="1"/>
  <c r="BC40" i="9"/>
  <c r="BB40" i="9"/>
  <c r="AU40" i="9"/>
  <c r="AS40" i="9"/>
  <c r="AQ40" i="9"/>
  <c r="AN40" i="9"/>
  <c r="BH40" i="9" s="1"/>
  <c r="AM40" i="9"/>
  <c r="BG40" i="9" s="1"/>
  <c r="AL40" i="9"/>
  <c r="CC40" i="9" s="1"/>
  <c r="U40" i="9"/>
  <c r="P40" i="9"/>
  <c r="R40" i="9" s="1"/>
  <c r="O40" i="9"/>
  <c r="M40" i="9"/>
  <c r="I40" i="9"/>
  <c r="Q40" i="9" s="1"/>
  <c r="E40" i="9"/>
  <c r="E376" i="9" s="1"/>
  <c r="DH39" i="9"/>
  <c r="DG39" i="9"/>
  <c r="DF39" i="9"/>
  <c r="DB39" i="9"/>
  <c r="DB400" i="9" s="1"/>
  <c r="CB39" i="9"/>
  <c r="DI39" i="9" s="1"/>
  <c r="BY39" i="9"/>
  <c r="BS39" i="9"/>
  <c r="BR39" i="9"/>
  <c r="BR400" i="9" s="1"/>
  <c r="BQ39" i="9"/>
  <c r="BM39" i="9"/>
  <c r="BM400" i="9" s="1"/>
  <c r="BL39" i="9"/>
  <c r="BI39" i="9"/>
  <c r="BI400" i="9" s="1"/>
  <c r="BC39" i="9"/>
  <c r="BB39" i="9"/>
  <c r="AU39" i="9"/>
  <c r="AS39" i="9"/>
  <c r="AQ39" i="9"/>
  <c r="AN39" i="9"/>
  <c r="BH39" i="9" s="1"/>
  <c r="AM39" i="9"/>
  <c r="BG39" i="9" s="1"/>
  <c r="AL39" i="9"/>
  <c r="CC39" i="9" s="1"/>
  <c r="U39" i="9"/>
  <c r="U400" i="9" s="1"/>
  <c r="S39" i="9"/>
  <c r="P39" i="9"/>
  <c r="M39" i="9"/>
  <c r="M400" i="9" s="1"/>
  <c r="I39" i="9"/>
  <c r="I400" i="9" s="1"/>
  <c r="F39" i="9"/>
  <c r="C39" i="9"/>
  <c r="C376" i="9" s="1"/>
  <c r="DG38" i="9"/>
  <c r="DB38" i="9"/>
  <c r="CA38" i="9"/>
  <c r="DH38" i="9" s="1"/>
  <c r="BZ38" i="9"/>
  <c r="BY38" i="9"/>
  <c r="DF38" i="9" s="1"/>
  <c r="BW38" i="9"/>
  <c r="BV38" i="9"/>
  <c r="BU38" i="9"/>
  <c r="BS38" i="9"/>
  <c r="BQ38" i="9"/>
  <c r="BQ456" i="9" s="1"/>
  <c r="BQ497" i="9" s="1"/>
  <c r="BL38" i="9"/>
  <c r="BL456" i="9" s="1"/>
  <c r="BL497" i="9" s="1"/>
  <c r="BI38" i="9"/>
  <c r="BC38" i="9"/>
  <c r="BB38" i="9"/>
  <c r="BB456" i="9" s="1"/>
  <c r="BB497" i="9" s="1"/>
  <c r="AU38" i="9"/>
  <c r="AT38" i="9"/>
  <c r="AS38" i="9"/>
  <c r="AS456" i="9" s="1"/>
  <c r="AS497" i="9" s="1"/>
  <c r="AR38" i="9"/>
  <c r="AQ38" i="9"/>
  <c r="AQ456" i="9" s="1"/>
  <c r="AQ497" i="9" s="1"/>
  <c r="AN38" i="9"/>
  <c r="AP38" i="9" s="1"/>
  <c r="AM38" i="9"/>
  <c r="BG38" i="9" s="1"/>
  <c r="AL38" i="9"/>
  <c r="U38" i="9"/>
  <c r="U456" i="9" s="1"/>
  <c r="U497" i="9" s="1"/>
  <c r="T38" i="9"/>
  <c r="T456" i="9" s="1"/>
  <c r="T497" i="9" s="1"/>
  <c r="S38" i="9"/>
  <c r="P38" i="9"/>
  <c r="R38" i="9" s="1"/>
  <c r="N38" i="9"/>
  <c r="M38" i="9"/>
  <c r="L38" i="9"/>
  <c r="K38" i="9"/>
  <c r="J38" i="9"/>
  <c r="I38" i="9"/>
  <c r="Q38" i="9" s="1"/>
  <c r="H38" i="9"/>
  <c r="G38" i="9"/>
  <c r="F38" i="9"/>
  <c r="E38" i="9"/>
  <c r="D38" i="9"/>
  <c r="C38" i="9"/>
  <c r="DH37" i="9"/>
  <c r="DG37" i="9"/>
  <c r="DF37" i="9"/>
  <c r="CB37" i="9"/>
  <c r="DI37" i="9" s="1"/>
  <c r="BS37" i="9"/>
  <c r="BS35" i="9" s="1"/>
  <c r="BR37" i="9"/>
  <c r="BM37" i="9"/>
  <c r="BM35" i="9" s="1"/>
  <c r="BC37" i="9"/>
  <c r="AV37" i="9"/>
  <c r="AU37" i="9"/>
  <c r="AN37" i="9"/>
  <c r="AO37" i="9" s="1"/>
  <c r="AM37" i="9"/>
  <c r="BG37" i="9" s="1"/>
  <c r="BJ37" i="9" s="1"/>
  <c r="AL37" i="9"/>
  <c r="CC37" i="9" s="1"/>
  <c r="U37" i="9"/>
  <c r="Q37" i="9"/>
  <c r="O37" i="9"/>
  <c r="M37" i="9"/>
  <c r="I37" i="9"/>
  <c r="R37" i="9" s="1"/>
  <c r="DD36" i="9"/>
  <c r="DB36" i="9"/>
  <c r="CA36" i="9"/>
  <c r="DH36" i="9" s="1"/>
  <c r="BZ36" i="9"/>
  <c r="DG36" i="9" s="1"/>
  <c r="BY36" i="9"/>
  <c r="DF36" i="9" s="1"/>
  <c r="BS36" i="9"/>
  <c r="BR36" i="9"/>
  <c r="BR35" i="9" s="1"/>
  <c r="BM36" i="9"/>
  <c r="BI36" i="9"/>
  <c r="BG36" i="9"/>
  <c r="BC36" i="9"/>
  <c r="AV36" i="9" s="1"/>
  <c r="Z36" i="9" s="1"/>
  <c r="AE36" i="9" s="1"/>
  <c r="AU36" i="9"/>
  <c r="AN36" i="9"/>
  <c r="BH36" i="9" s="1"/>
  <c r="AM36" i="9"/>
  <c r="AL36" i="9"/>
  <c r="X36" i="9"/>
  <c r="V36" i="9"/>
  <c r="U36" i="9"/>
  <c r="O36" i="9"/>
  <c r="M36" i="9"/>
  <c r="I36" i="9"/>
  <c r="F36" i="9"/>
  <c r="F376" i="9" s="1"/>
  <c r="DH35" i="9"/>
  <c r="DF35" i="9"/>
  <c r="DB35" i="9"/>
  <c r="CA35" i="9"/>
  <c r="BZ35" i="9"/>
  <c r="DG35" i="9" s="1"/>
  <c r="BY35" i="9"/>
  <c r="BW35" i="9"/>
  <c r="BV35" i="9"/>
  <c r="BU35" i="9"/>
  <c r="BQ35" i="9"/>
  <c r="BQ459" i="9" s="1"/>
  <c r="BQ500" i="9" s="1"/>
  <c r="BL35" i="9"/>
  <c r="BL459" i="9" s="1"/>
  <c r="BL500" i="9" s="1"/>
  <c r="BI35" i="9"/>
  <c r="BC35" i="9"/>
  <c r="BB35" i="9"/>
  <c r="BB459" i="9" s="1"/>
  <c r="BB500" i="9" s="1"/>
  <c r="AT35" i="9"/>
  <c r="AS35" i="9"/>
  <c r="AS459" i="9" s="1"/>
  <c r="AS500" i="9" s="1"/>
  <c r="AR35" i="9"/>
  <c r="AQ35" i="9"/>
  <c r="AQ459" i="9" s="1"/>
  <c r="AQ500" i="9" s="1"/>
  <c r="AN35" i="9"/>
  <c r="AP35" i="9" s="1"/>
  <c r="AM35" i="9"/>
  <c r="BG35" i="9" s="1"/>
  <c r="BJ35" i="9" s="1"/>
  <c r="AL35" i="9"/>
  <c r="U35" i="9"/>
  <c r="U459" i="9" s="1"/>
  <c r="U500" i="9" s="1"/>
  <c r="T35" i="9"/>
  <c r="T459" i="9" s="1"/>
  <c r="T500" i="9" s="1"/>
  <c r="S35" i="9"/>
  <c r="P35" i="9"/>
  <c r="X35" i="9" s="1"/>
  <c r="O35" i="9"/>
  <c r="N35" i="9"/>
  <c r="M35" i="9"/>
  <c r="L35" i="9"/>
  <c r="K35" i="9"/>
  <c r="J35" i="9"/>
  <c r="I35" i="9"/>
  <c r="H35" i="9"/>
  <c r="G35" i="9"/>
  <c r="F35" i="9"/>
  <c r="E35" i="9"/>
  <c r="D35" i="9"/>
  <c r="C35" i="9"/>
  <c r="CA34" i="9"/>
  <c r="CA239" i="9" s="1"/>
  <c r="DH239" i="9" s="1"/>
  <c r="BZ34" i="9"/>
  <c r="BZ239" i="9" s="1"/>
  <c r="DG239" i="9" s="1"/>
  <c r="BW34" i="9"/>
  <c r="BV34" i="9"/>
  <c r="BV239" i="9" s="1"/>
  <c r="BU34" i="9"/>
  <c r="BU239" i="9" s="1"/>
  <c r="BL34" i="9"/>
  <c r="BL239" i="9" s="1"/>
  <c r="BB34" i="9"/>
  <c r="BB239" i="9" s="1"/>
  <c r="AU239" i="9" s="1"/>
  <c r="AU34" i="9"/>
  <c r="AT34" i="9"/>
  <c r="AT239" i="9" s="1"/>
  <c r="AR34" i="9"/>
  <c r="AR239" i="9" s="1"/>
  <c r="AN239" i="9" s="1"/>
  <c r="AN34" i="9"/>
  <c r="T34" i="9"/>
  <c r="S34" i="9"/>
  <c r="N34" i="9"/>
  <c r="N239" i="9" s="1"/>
  <c r="L34" i="9"/>
  <c r="L239" i="9" s="1"/>
  <c r="K34" i="9"/>
  <c r="K239" i="9" s="1"/>
  <c r="J34" i="9"/>
  <c r="J239" i="9" s="1"/>
  <c r="H34" i="9"/>
  <c r="H239" i="9" s="1"/>
  <c r="G34" i="9"/>
  <c r="G239" i="9" s="1"/>
  <c r="F34" i="9"/>
  <c r="F239" i="9" s="1"/>
  <c r="E34" i="9"/>
  <c r="E239" i="9" s="1"/>
  <c r="D34" i="9"/>
  <c r="D239" i="9" s="1"/>
  <c r="C34" i="9"/>
  <c r="DI33" i="9"/>
  <c r="DH33" i="9"/>
  <c r="DG33" i="9"/>
  <c r="DF33" i="9"/>
  <c r="CC33" i="9"/>
  <c r="BP33" i="9"/>
  <c r="BO33" i="9"/>
  <c r="BK33" i="9"/>
  <c r="BF33" i="9"/>
  <c r="BE33" i="9"/>
  <c r="AZ33" i="9"/>
  <c r="AY33" i="9"/>
  <c r="AV33" i="9"/>
  <c r="AU33" i="9"/>
  <c r="AW33" i="9" s="1"/>
  <c r="AN33" i="9"/>
  <c r="AO33" i="9" s="1"/>
  <c r="AM33" i="9"/>
  <c r="BG33" i="9" s="1"/>
  <c r="BJ33" i="9" s="1"/>
  <c r="AG33" i="9"/>
  <c r="AH33" i="9" s="1"/>
  <c r="Y33" i="9"/>
  <c r="V33" i="9"/>
  <c r="P33" i="9"/>
  <c r="X33" i="9" s="1"/>
  <c r="N33" i="9"/>
  <c r="M33" i="9"/>
  <c r="L33" i="9"/>
  <c r="K33" i="9"/>
  <c r="J33" i="9"/>
  <c r="I33" i="9"/>
  <c r="Q33" i="9" s="1"/>
  <c r="F33" i="9"/>
  <c r="E33" i="9"/>
  <c r="DI32" i="9"/>
  <c r="DH32" i="9"/>
  <c r="DG32" i="9"/>
  <c r="DF32" i="9"/>
  <c r="CC32" i="9"/>
  <c r="BP32" i="9"/>
  <c r="BO32" i="9"/>
  <c r="BK32" i="9"/>
  <c r="BF32" i="9"/>
  <c r="BE32" i="9"/>
  <c r="AY32" i="9"/>
  <c r="AG32" i="9" s="1"/>
  <c r="AV32" i="9"/>
  <c r="AZ32" i="9" s="1"/>
  <c r="AU32" i="9"/>
  <c r="AN32" i="9"/>
  <c r="AM32" i="9"/>
  <c r="BG32" i="9" s="1"/>
  <c r="BJ32" i="9" s="1"/>
  <c r="Z32" i="9"/>
  <c r="V32" i="9"/>
  <c r="BW31" i="9"/>
  <c r="BW239" i="9" s="1"/>
  <c r="DH30" i="9"/>
  <c r="DG30" i="9"/>
  <c r="DB30" i="9"/>
  <c r="BY30" i="9"/>
  <c r="DF30" i="9" s="1"/>
  <c r="BS30" i="9"/>
  <c r="BR30" i="9"/>
  <c r="BQ30" i="9"/>
  <c r="BM30" i="9"/>
  <c r="BL30" i="9"/>
  <c r="BC30" i="9"/>
  <c r="BC29" i="9" s="1"/>
  <c r="BC28" i="9" s="1"/>
  <c r="BB30" i="9"/>
  <c r="AV30" i="9"/>
  <c r="Z30" i="9" s="1"/>
  <c r="AF30" i="9" s="1"/>
  <c r="AU30" i="9"/>
  <c r="AS30" i="9"/>
  <c r="AQ30" i="9"/>
  <c r="AN30" i="9"/>
  <c r="AP30" i="9" s="1"/>
  <c r="AM30" i="9"/>
  <c r="BG30" i="9" s="1"/>
  <c r="BJ30" i="9" s="1"/>
  <c r="AL30" i="9"/>
  <c r="U30" i="9"/>
  <c r="X30" i="9" s="1"/>
  <c r="T30" i="9"/>
  <c r="P30" i="9"/>
  <c r="Q30" i="9" s="1"/>
  <c r="M30" i="9"/>
  <c r="I30" i="9"/>
  <c r="DB29" i="9"/>
  <c r="CR29" i="9"/>
  <c r="CQ29" i="9"/>
  <c r="CA29" i="9"/>
  <c r="DH29" i="9" s="1"/>
  <c r="BZ29" i="9"/>
  <c r="DG29" i="9" s="1"/>
  <c r="BY29" i="9"/>
  <c r="DF29" i="9" s="1"/>
  <c r="BW29" i="9"/>
  <c r="BV29" i="9"/>
  <c r="BU29" i="9"/>
  <c r="BS29" i="9"/>
  <c r="BS28" i="9" s="1"/>
  <c r="BR29" i="9"/>
  <c r="BQ29" i="9"/>
  <c r="BQ28" i="9" s="1"/>
  <c r="BM29" i="9"/>
  <c r="BM28" i="9" s="1"/>
  <c r="BL29" i="9"/>
  <c r="BI29" i="9"/>
  <c r="BB29" i="9"/>
  <c r="AU29" i="9"/>
  <c r="AT29" i="9"/>
  <c r="AS29" i="9"/>
  <c r="AR29" i="9"/>
  <c r="AQ29" i="9"/>
  <c r="AN29" i="9"/>
  <c r="AO29" i="9" s="1"/>
  <c r="AM29" i="9"/>
  <c r="BG29" i="9" s="1"/>
  <c r="AL29" i="9"/>
  <c r="U29" i="9"/>
  <c r="Y29" i="9" s="1"/>
  <c r="T29" i="9"/>
  <c r="S29" i="9"/>
  <c r="P29" i="9"/>
  <c r="Q29" i="9" s="1"/>
  <c r="N29" i="9"/>
  <c r="M29" i="9"/>
  <c r="L29" i="9"/>
  <c r="K29" i="9"/>
  <c r="J29" i="9"/>
  <c r="I29" i="9"/>
  <c r="H29" i="9"/>
  <c r="G29" i="9"/>
  <c r="F29" i="9"/>
  <c r="E29" i="9"/>
  <c r="D29" i="9"/>
  <c r="C29" i="9"/>
  <c r="DB28" i="9"/>
  <c r="CR28" i="9"/>
  <c r="CR31" i="9" s="1"/>
  <c r="CQ28" i="9"/>
  <c r="CA28" i="9"/>
  <c r="CA321" i="9" s="1"/>
  <c r="DH321" i="9" s="1"/>
  <c r="BZ28" i="9"/>
  <c r="BZ321" i="9" s="1"/>
  <c r="DG321" i="9" s="1"/>
  <c r="BY28" i="9"/>
  <c r="BW28" i="9"/>
  <c r="BV28" i="9"/>
  <c r="BV321" i="9" s="1"/>
  <c r="BU28" i="9"/>
  <c r="BU321" i="9" s="1"/>
  <c r="BR28" i="9"/>
  <c r="BL28" i="9"/>
  <c r="BI28" i="9"/>
  <c r="BB28" i="9"/>
  <c r="AU28" i="9"/>
  <c r="AT28" i="9"/>
  <c r="AT321" i="9" s="1"/>
  <c r="AS28" i="9"/>
  <c r="AR28" i="9"/>
  <c r="AR321" i="9" s="1"/>
  <c r="AN321" i="9" s="1"/>
  <c r="AQ28" i="9"/>
  <c r="AN28" i="9"/>
  <c r="AP28" i="9" s="1"/>
  <c r="AM28" i="9"/>
  <c r="BG28" i="9" s="1"/>
  <c r="AL28" i="9"/>
  <c r="U28" i="9"/>
  <c r="T28" i="9"/>
  <c r="S28" i="9"/>
  <c r="P28" i="9"/>
  <c r="Q28" i="9" s="1"/>
  <c r="N28" i="9"/>
  <c r="M28" i="9"/>
  <c r="L28" i="9"/>
  <c r="K28" i="9"/>
  <c r="J28" i="9"/>
  <c r="I28" i="9"/>
  <c r="H28" i="9"/>
  <c r="H321" i="9" s="1"/>
  <c r="G28" i="9"/>
  <c r="F28" i="9"/>
  <c r="F321" i="9" s="1"/>
  <c r="F348" i="9" s="1"/>
  <c r="E28" i="9"/>
  <c r="E321" i="9" s="1"/>
  <c r="D28" i="9"/>
  <c r="D321" i="9" s="1"/>
  <c r="C28" i="9"/>
  <c r="C321" i="9" s="1"/>
  <c r="CC27" i="9"/>
  <c r="BP27" i="9"/>
  <c r="BO27" i="9"/>
  <c r="BK27" i="9"/>
  <c r="BJ27" i="9"/>
  <c r="BG27" i="9"/>
  <c r="BF27" i="9"/>
  <c r="BE27" i="9"/>
  <c r="AZ27" i="9"/>
  <c r="AU27" i="9"/>
  <c r="AW27" i="9" s="1"/>
  <c r="DH25" i="9"/>
  <c r="DG25" i="9"/>
  <c r="DF25" i="9"/>
  <c r="DC25" i="9"/>
  <c r="CB25" i="9"/>
  <c r="DI25" i="9" s="1"/>
  <c r="BS25" i="9"/>
  <c r="BR25" i="9"/>
  <c r="BM25" i="9"/>
  <c r="BC25" i="9"/>
  <c r="AV25" i="9"/>
  <c r="Z25" i="9" s="1"/>
  <c r="AF25" i="9" s="1"/>
  <c r="AU25" i="9"/>
  <c r="AN25" i="9"/>
  <c r="BH25" i="9" s="1"/>
  <c r="BK25" i="9" s="1"/>
  <c r="AM25" i="9"/>
  <c r="BG25" i="9" s="1"/>
  <c r="BJ25" i="9" s="1"/>
  <c r="AL25" i="9"/>
  <c r="CC25" i="9" s="1"/>
  <c r="U25" i="9"/>
  <c r="X25" i="9" s="1"/>
  <c r="O25" i="9"/>
  <c r="M25" i="9"/>
  <c r="I25" i="9"/>
  <c r="Q25" i="9" s="1"/>
  <c r="DH24" i="9"/>
  <c r="DG24" i="9"/>
  <c r="DF24" i="9"/>
  <c r="DC24" i="9"/>
  <c r="CB24" i="9"/>
  <c r="DI24" i="9" s="1"/>
  <c r="BS24" i="9"/>
  <c r="BR24" i="9"/>
  <c r="BM24" i="9"/>
  <c r="BC24" i="9"/>
  <c r="AU24" i="9"/>
  <c r="AN24" i="9"/>
  <c r="AO24" i="9" s="1"/>
  <c r="AM24" i="9"/>
  <c r="BG24" i="9" s="1"/>
  <c r="BJ24" i="9" s="1"/>
  <c r="AL24" i="9"/>
  <c r="CC24" i="9" s="1"/>
  <c r="U24" i="9"/>
  <c r="CR24" i="9" s="1"/>
  <c r="O24" i="9"/>
  <c r="M24" i="9"/>
  <c r="I24" i="9"/>
  <c r="Q24" i="9" s="1"/>
  <c r="DH23" i="9"/>
  <c r="DG23" i="9"/>
  <c r="DC23" i="9"/>
  <c r="BW23" i="9"/>
  <c r="BY23" i="9" s="1"/>
  <c r="BS23" i="9"/>
  <c r="BR23" i="9"/>
  <c r="BQ23" i="9"/>
  <c r="BM23" i="9"/>
  <c r="BL23" i="9"/>
  <c r="BC23" i="9"/>
  <c r="BB23" i="9"/>
  <c r="AV23" i="9"/>
  <c r="AU23" i="9"/>
  <c r="AS23" i="9"/>
  <c r="AN23" i="9"/>
  <c r="BH23" i="9" s="1"/>
  <c r="BK23" i="9" s="1"/>
  <c r="AM23" i="9"/>
  <c r="BG23" i="9" s="1"/>
  <c r="BJ23" i="9" s="1"/>
  <c r="AL23" i="9"/>
  <c r="Z23" i="9"/>
  <c r="AE23" i="9" s="1"/>
  <c r="U23" i="9"/>
  <c r="X23" i="9" s="1"/>
  <c r="Q23" i="9"/>
  <c r="O23" i="9"/>
  <c r="M23" i="9"/>
  <c r="I23" i="9"/>
  <c r="R23" i="9" s="1"/>
  <c r="DC22" i="9"/>
  <c r="DB22" i="9"/>
  <c r="CA22" i="9"/>
  <c r="DH22" i="9" s="1"/>
  <c r="BZ22" i="9"/>
  <c r="DG22" i="9" s="1"/>
  <c r="BY22" i="9"/>
  <c r="CB22" i="9" s="1"/>
  <c r="DI22" i="9" s="1"/>
  <c r="BW22" i="9"/>
  <c r="BS22" i="9"/>
  <c r="BR22" i="9"/>
  <c r="BM22" i="9"/>
  <c r="BI22" i="9"/>
  <c r="BC22" i="9"/>
  <c r="AV22" i="9" s="1"/>
  <c r="Z22" i="9" s="1"/>
  <c r="AE22" i="9" s="1"/>
  <c r="AU22" i="9"/>
  <c r="AN22" i="9"/>
  <c r="BH22" i="9" s="1"/>
  <c r="AM22" i="9"/>
  <c r="BG22" i="9" s="1"/>
  <c r="BJ22" i="9" s="1"/>
  <c r="AL22" i="9"/>
  <c r="CC22" i="9" s="1"/>
  <c r="U22" i="9"/>
  <c r="CR22" i="9" s="1"/>
  <c r="O22" i="9"/>
  <c r="M22" i="9"/>
  <c r="I22" i="9"/>
  <c r="R22" i="9" s="1"/>
  <c r="DG21" i="9"/>
  <c r="DF21" i="9"/>
  <c r="DC21" i="9"/>
  <c r="CA21" i="9"/>
  <c r="DH21" i="9" s="1"/>
  <c r="BW21" i="9"/>
  <c r="BS21" i="9"/>
  <c r="BR21" i="9"/>
  <c r="BM21" i="9"/>
  <c r="BC21" i="9"/>
  <c r="AV21" i="9" s="1"/>
  <c r="Z21" i="9" s="1"/>
  <c r="AF21" i="9" s="1"/>
  <c r="AU21" i="9"/>
  <c r="AN21" i="9"/>
  <c r="AP21" i="9" s="1"/>
  <c r="AM21" i="9"/>
  <c r="BG21" i="9" s="1"/>
  <c r="BJ21" i="9" s="1"/>
  <c r="AL21" i="9"/>
  <c r="U21" i="9"/>
  <c r="CR21" i="9" s="1"/>
  <c r="Q21" i="9"/>
  <c r="O21" i="9"/>
  <c r="M21" i="9"/>
  <c r="I21" i="9"/>
  <c r="R21" i="9" s="1"/>
  <c r="DF20" i="9"/>
  <c r="CA20" i="9"/>
  <c r="DH20" i="9" s="1"/>
  <c r="BZ20" i="9"/>
  <c r="CB20" i="9" s="1"/>
  <c r="DI20" i="9" s="1"/>
  <c r="BS20" i="9"/>
  <c r="BR20" i="9"/>
  <c r="BM20" i="9"/>
  <c r="BC20" i="9"/>
  <c r="AU20" i="9"/>
  <c r="AQ20" i="9"/>
  <c r="AQ435" i="9" s="1"/>
  <c r="AQ437" i="9" s="1"/>
  <c r="AN20" i="9"/>
  <c r="AP20" i="9" s="1"/>
  <c r="AM20" i="9"/>
  <c r="BG20" i="9" s="1"/>
  <c r="BJ20" i="9" s="1"/>
  <c r="AL20" i="9"/>
  <c r="CC20" i="9" s="1"/>
  <c r="U20" i="9"/>
  <c r="U435" i="9" s="1"/>
  <c r="U437" i="9" s="1"/>
  <c r="Q20" i="9"/>
  <c r="O20" i="9"/>
  <c r="M20" i="9"/>
  <c r="I20" i="9"/>
  <c r="R20" i="9" s="1"/>
  <c r="DI19" i="9"/>
  <c r="DH19" i="9"/>
  <c r="DG19" i="9"/>
  <c r="DF19" i="9"/>
  <c r="DC19" i="9"/>
  <c r="CB19" i="9"/>
  <c r="BS19" i="9"/>
  <c r="BR19" i="9"/>
  <c r="BM19" i="9"/>
  <c r="BC19" i="9"/>
  <c r="AV19" i="9" s="1"/>
  <c r="Z19" i="9" s="1"/>
  <c r="AC19" i="9" s="1"/>
  <c r="AU19" i="9"/>
  <c r="AN19" i="9"/>
  <c r="AO19" i="9" s="1"/>
  <c r="AM19" i="9"/>
  <c r="BG19" i="9" s="1"/>
  <c r="BJ19" i="9" s="1"/>
  <c r="AL19" i="9"/>
  <c r="CC19" i="9" s="1"/>
  <c r="U19" i="9"/>
  <c r="CR19" i="9" s="1"/>
  <c r="O19" i="9"/>
  <c r="M19" i="9"/>
  <c r="I19" i="9"/>
  <c r="Q19" i="9" s="1"/>
  <c r="DH18" i="9"/>
  <c r="DG18" i="9"/>
  <c r="DF18" i="9"/>
  <c r="DC18" i="9"/>
  <c r="CB18" i="9"/>
  <c r="DI18" i="9" s="1"/>
  <c r="BS18" i="9"/>
  <c r="BR18" i="9"/>
  <c r="BM18" i="9"/>
  <c r="BC18" i="9"/>
  <c r="AV18" i="9" s="1"/>
  <c r="Z18" i="9" s="1"/>
  <c r="AF18" i="9" s="1"/>
  <c r="AU18" i="9"/>
  <c r="AN18" i="9"/>
  <c r="BH18" i="9" s="1"/>
  <c r="BK18" i="9" s="1"/>
  <c r="AM18" i="9"/>
  <c r="BG18" i="9" s="1"/>
  <c r="BJ18" i="9" s="1"/>
  <c r="AL18" i="9"/>
  <c r="CC18" i="9" s="1"/>
  <c r="V18" i="9"/>
  <c r="U18" i="9"/>
  <c r="X18" i="9" s="1"/>
  <c r="O18" i="9"/>
  <c r="M18" i="9"/>
  <c r="M370" i="9" s="1"/>
  <c r="I18" i="9"/>
  <c r="I370" i="9" s="1"/>
  <c r="DG17" i="9"/>
  <c r="DF17" i="9"/>
  <c r="DC17" i="9"/>
  <c r="BW17" i="9"/>
  <c r="CA17" i="9" s="1"/>
  <c r="BS17" i="9"/>
  <c r="BR17" i="9"/>
  <c r="BM17" i="9"/>
  <c r="BC17" i="9"/>
  <c r="AU17" i="9"/>
  <c r="AN17" i="9"/>
  <c r="BH17" i="9" s="1"/>
  <c r="BK17" i="9" s="1"/>
  <c r="AM17" i="9"/>
  <c r="BG17" i="9" s="1"/>
  <c r="BJ17" i="9" s="1"/>
  <c r="AL17" i="9"/>
  <c r="U17" i="9"/>
  <c r="Y17" i="9" s="1"/>
  <c r="O17" i="9"/>
  <c r="M17" i="9"/>
  <c r="I17" i="9"/>
  <c r="Q17" i="9" s="1"/>
  <c r="DG16" i="9"/>
  <c r="DF16" i="9"/>
  <c r="DB16" i="9"/>
  <c r="DC16" i="9" s="1"/>
  <c r="CA16" i="9"/>
  <c r="CB16" i="9" s="1"/>
  <c r="DI16" i="9" s="1"/>
  <c r="BW16" i="9"/>
  <c r="BS16" i="9"/>
  <c r="BR16" i="9"/>
  <c r="BM16" i="9"/>
  <c r="BC16" i="9"/>
  <c r="AV16" i="9" s="1"/>
  <c r="Z16" i="9" s="1"/>
  <c r="AU16" i="9"/>
  <c r="AN16" i="9"/>
  <c r="AO16" i="9" s="1"/>
  <c r="AM16" i="9"/>
  <c r="BG16" i="9" s="1"/>
  <c r="BJ16" i="9" s="1"/>
  <c r="AL16" i="9"/>
  <c r="CC16" i="9" s="1"/>
  <c r="U16" i="9"/>
  <c r="CR16" i="9" s="1"/>
  <c r="O16" i="9"/>
  <c r="M16" i="9"/>
  <c r="M372" i="9" s="1"/>
  <c r="I16" i="9"/>
  <c r="I372" i="9" s="1"/>
  <c r="DB15" i="9"/>
  <c r="DC15" i="9" s="1"/>
  <c r="CA15" i="9"/>
  <c r="DH15" i="9" s="1"/>
  <c r="BZ15" i="9"/>
  <c r="DG15" i="9" s="1"/>
  <c r="BY15" i="9"/>
  <c r="CB15" i="9" s="1"/>
  <c r="DI15" i="9" s="1"/>
  <c r="BW15" i="9"/>
  <c r="BS15" i="9"/>
  <c r="BR15" i="9"/>
  <c r="BM15" i="9"/>
  <c r="BC15" i="9"/>
  <c r="AV15" i="9"/>
  <c r="Z15" i="9" s="1"/>
  <c r="AF15" i="9" s="1"/>
  <c r="AU15" i="9"/>
  <c r="AN15" i="9"/>
  <c r="AP15" i="9" s="1"/>
  <c r="AM15" i="9"/>
  <c r="BG15" i="9" s="1"/>
  <c r="BJ15" i="9" s="1"/>
  <c r="AL15" i="9"/>
  <c r="CC15" i="9" s="1"/>
  <c r="U15" i="9"/>
  <c r="CR15" i="9" s="1"/>
  <c r="Q15" i="9"/>
  <c r="O15" i="9"/>
  <c r="M15" i="9"/>
  <c r="I15" i="9"/>
  <c r="R15" i="9" s="1"/>
  <c r="DG14" i="9"/>
  <c r="DF14" i="9"/>
  <c r="DC14" i="9"/>
  <c r="DB14" i="9"/>
  <c r="BW14" i="9"/>
  <c r="CA14" i="9" s="1"/>
  <c r="BS14" i="9"/>
  <c r="BR14" i="9"/>
  <c r="BM14" i="9"/>
  <c r="BC14" i="9"/>
  <c r="AV14" i="9" s="1"/>
  <c r="Z14" i="9" s="1"/>
  <c r="AE14" i="9" s="1"/>
  <c r="AU14" i="9"/>
  <c r="AN14" i="9"/>
  <c r="BH14" i="9" s="1"/>
  <c r="AM14" i="9"/>
  <c r="BG14" i="9" s="1"/>
  <c r="BJ14" i="9" s="1"/>
  <c r="AL14" i="9"/>
  <c r="U14" i="9"/>
  <c r="U467" i="9" s="1"/>
  <c r="U508" i="9" s="1"/>
  <c r="Q14" i="9"/>
  <c r="O14" i="9"/>
  <c r="M14" i="9"/>
  <c r="M369" i="9" s="1"/>
  <c r="I14" i="9"/>
  <c r="I369" i="9" s="1"/>
  <c r="DB13" i="9"/>
  <c r="BZ13" i="9"/>
  <c r="DG13" i="9" s="1"/>
  <c r="BW13" i="9"/>
  <c r="BV13" i="9"/>
  <c r="BU13" i="9"/>
  <c r="BS13" i="9"/>
  <c r="BR13" i="9"/>
  <c r="BQ13" i="9"/>
  <c r="BQ469" i="9" s="1"/>
  <c r="BQ510" i="9" s="1"/>
  <c r="BM13" i="9"/>
  <c r="BL13" i="9"/>
  <c r="BL469" i="9" s="1"/>
  <c r="BL510" i="9" s="1"/>
  <c r="BI13" i="9"/>
  <c r="BC13" i="9"/>
  <c r="BB13" i="9"/>
  <c r="BB469" i="9" s="1"/>
  <c r="BB510" i="9" s="1"/>
  <c r="AV13" i="9"/>
  <c r="Z13" i="9" s="1"/>
  <c r="AE13" i="9" s="1"/>
  <c r="AU13" i="9"/>
  <c r="AT13" i="9"/>
  <c r="AS13" i="9"/>
  <c r="AS469" i="9" s="1"/>
  <c r="AS510" i="9" s="1"/>
  <c r="AR13" i="9"/>
  <c r="AQ13" i="9"/>
  <c r="AQ469" i="9" s="1"/>
  <c r="AQ510" i="9" s="1"/>
  <c r="AN13" i="9"/>
  <c r="AO13" i="9" s="1"/>
  <c r="AM13" i="9"/>
  <c r="BG13" i="9" s="1"/>
  <c r="BJ13" i="9" s="1"/>
  <c r="AL13" i="9"/>
  <c r="U13" i="9"/>
  <c r="U469" i="9" s="1"/>
  <c r="U510" i="9" s="1"/>
  <c r="T13" i="9"/>
  <c r="T469" i="9" s="1"/>
  <c r="T510" i="9" s="1"/>
  <c r="S13" i="9"/>
  <c r="P13" i="9"/>
  <c r="Q13" i="9" s="1"/>
  <c r="O13" i="9"/>
  <c r="N13" i="9"/>
  <c r="M13" i="9"/>
  <c r="L13" i="9"/>
  <c r="K13" i="9"/>
  <c r="J13" i="9"/>
  <c r="I13" i="9"/>
  <c r="H13" i="9"/>
  <c r="G13" i="9"/>
  <c r="G338" i="9" s="1"/>
  <c r="F13" i="9"/>
  <c r="F338" i="9" s="1"/>
  <c r="E13" i="9"/>
  <c r="E338" i="9" s="1"/>
  <c r="D13" i="9"/>
  <c r="D338" i="9" s="1"/>
  <c r="C13" i="9"/>
  <c r="C338" i="9" s="1"/>
  <c r="DG12" i="9"/>
  <c r="DF12" i="9"/>
  <c r="CA12" i="9"/>
  <c r="DH12" i="9" s="1"/>
  <c r="BS12" i="9"/>
  <c r="BR12" i="9"/>
  <c r="BM12" i="9"/>
  <c r="BC12" i="9"/>
  <c r="CM12" i="9" s="1"/>
  <c r="AU12" i="9"/>
  <c r="AN12" i="9"/>
  <c r="BH12" i="9" s="1"/>
  <c r="BK12" i="9" s="1"/>
  <c r="AM12" i="9"/>
  <c r="BG12" i="9" s="1"/>
  <c r="BJ12" i="9" s="1"/>
  <c r="AL12" i="9"/>
  <c r="BN12" i="9" s="1"/>
  <c r="Y12" i="9"/>
  <c r="V12" i="9"/>
  <c r="U12" i="9"/>
  <c r="X12" i="9" s="1"/>
  <c r="O12" i="9"/>
  <c r="M12" i="9"/>
  <c r="I12" i="9"/>
  <c r="Q12" i="9" s="1"/>
  <c r="F12" i="9"/>
  <c r="F373" i="9" s="1"/>
  <c r="C12" i="9"/>
  <c r="C373" i="9" s="1"/>
  <c r="DG11" i="9"/>
  <c r="DF11" i="9"/>
  <c r="CA11" i="9"/>
  <c r="CB11" i="9" s="1"/>
  <c r="DI11" i="9" s="1"/>
  <c r="BS11" i="9"/>
  <c r="BR11" i="9"/>
  <c r="BM11" i="9"/>
  <c r="BC11" i="9"/>
  <c r="AU11" i="9"/>
  <c r="AN11" i="9"/>
  <c r="BH11" i="9" s="1"/>
  <c r="BK11" i="9" s="1"/>
  <c r="AM11" i="9"/>
  <c r="BG11" i="9" s="1"/>
  <c r="BJ11" i="9" s="1"/>
  <c r="AL11" i="9"/>
  <c r="BN11" i="9" s="1"/>
  <c r="Y11" i="9"/>
  <c r="V11" i="9"/>
  <c r="U11" i="9"/>
  <c r="CR11" i="9" s="1"/>
  <c r="O11" i="9"/>
  <c r="M11" i="9"/>
  <c r="M373" i="9" s="1"/>
  <c r="I11" i="9"/>
  <c r="I373" i="9" s="1"/>
  <c r="DG10" i="9"/>
  <c r="DF10" i="9"/>
  <c r="CA10" i="9"/>
  <c r="CB10" i="9" s="1"/>
  <c r="BS10" i="9"/>
  <c r="BR10" i="9"/>
  <c r="BM10" i="9"/>
  <c r="BC10" i="9"/>
  <c r="AV10" i="9"/>
  <c r="AU10" i="9"/>
  <c r="AS10" i="9"/>
  <c r="AM10" i="9" s="1"/>
  <c r="BG10" i="9" s="1"/>
  <c r="BJ10" i="9" s="1"/>
  <c r="AQ10" i="9"/>
  <c r="AN10" i="9"/>
  <c r="BH10" i="9" s="1"/>
  <c r="AL10" i="9"/>
  <c r="BN10" i="9" s="1"/>
  <c r="Z10" i="9"/>
  <c r="AE10" i="9" s="1"/>
  <c r="Y10" i="9"/>
  <c r="V10" i="9"/>
  <c r="U10" i="9"/>
  <c r="CR10" i="9" s="1"/>
  <c r="O10" i="9"/>
  <c r="M10" i="9"/>
  <c r="M376" i="9" s="1"/>
  <c r="I10" i="9"/>
  <c r="I376" i="9" s="1"/>
  <c r="DB9" i="9"/>
  <c r="CQ9" i="9"/>
  <c r="CQ451" i="9" s="1"/>
  <c r="CQ492" i="9" s="1"/>
  <c r="CP9" i="9"/>
  <c r="CP451" i="9" s="1"/>
  <c r="CP492" i="9" s="1"/>
  <c r="CA9" i="9"/>
  <c r="DH9" i="9" s="1"/>
  <c r="DH6" i="9" s="1"/>
  <c r="BZ9" i="9"/>
  <c r="CA306" i="9" s="1"/>
  <c r="BY9" i="9"/>
  <c r="DF9" i="9" s="1"/>
  <c r="BX9" i="9"/>
  <c r="BS9" i="9"/>
  <c r="BR9" i="9"/>
  <c r="BQ9" i="9"/>
  <c r="BQ451" i="9" s="1"/>
  <c r="BQ492" i="9" s="1"/>
  <c r="BM9" i="9"/>
  <c r="BL9" i="9"/>
  <c r="BL451" i="9" s="1"/>
  <c r="BL492" i="9" s="1"/>
  <c r="BI9" i="9"/>
  <c r="BC9" i="9"/>
  <c r="BB9" i="9"/>
  <c r="BB451" i="9" s="1"/>
  <c r="BB492" i="9" s="1"/>
  <c r="AV9" i="9"/>
  <c r="Z9" i="9" s="1"/>
  <c r="AE9" i="9" s="1"/>
  <c r="AU9" i="9"/>
  <c r="AT9" i="9"/>
  <c r="AS9" i="9"/>
  <c r="AS451" i="9" s="1"/>
  <c r="AS492" i="9" s="1"/>
  <c r="AR9" i="9"/>
  <c r="AQ9" i="9"/>
  <c r="AQ451" i="9" s="1"/>
  <c r="AQ492" i="9" s="1"/>
  <c r="AN9" i="9"/>
  <c r="AP9" i="9" s="1"/>
  <c r="AM9" i="9"/>
  <c r="BG9" i="9" s="1"/>
  <c r="AL9" i="9"/>
  <c r="U9" i="9"/>
  <c r="U451" i="9" s="1"/>
  <c r="U492" i="9" s="1"/>
  <c r="T9" i="9"/>
  <c r="T451" i="9" s="1"/>
  <c r="T492" i="9" s="1"/>
  <c r="S9" i="9"/>
  <c r="P9" i="9"/>
  <c r="Q9" i="9" s="1"/>
  <c r="O9" i="9"/>
  <c r="N9" i="9"/>
  <c r="M9" i="9"/>
  <c r="L9" i="9"/>
  <c r="K9" i="9"/>
  <c r="J9" i="9"/>
  <c r="I9" i="9"/>
  <c r="H9" i="9"/>
  <c r="G9" i="9"/>
  <c r="F9" i="9"/>
  <c r="E9" i="9"/>
  <c r="D9" i="9"/>
  <c r="C9" i="9"/>
  <c r="DH8" i="9"/>
  <c r="DF8" i="9"/>
  <c r="BZ8" i="9"/>
  <c r="BZ306" i="9" s="1"/>
  <c r="BS8" i="9"/>
  <c r="BR8" i="9"/>
  <c r="BM8" i="9"/>
  <c r="BC8" i="9"/>
  <c r="AV8" i="9" s="1"/>
  <c r="AU8" i="9"/>
  <c r="AN8" i="9"/>
  <c r="AP8" i="9" s="1"/>
  <c r="AM8" i="9"/>
  <c r="BG8" i="9" s="1"/>
  <c r="BJ8" i="9" s="1"/>
  <c r="AL8" i="9"/>
  <c r="Y8" i="9"/>
  <c r="V8" i="9"/>
  <c r="U8" i="9"/>
  <c r="U450" i="9" s="1"/>
  <c r="U491" i="9" s="1"/>
  <c r="O8" i="9"/>
  <c r="M8" i="9"/>
  <c r="M377" i="9" s="1"/>
  <c r="I8" i="9"/>
  <c r="I377" i="9" s="1"/>
  <c r="DH7" i="9"/>
  <c r="DG7" i="9"/>
  <c r="DB7" i="9"/>
  <c r="CT7" i="9"/>
  <c r="CV7" i="9" s="1"/>
  <c r="CB7" i="9"/>
  <c r="DI7" i="9" s="1"/>
  <c r="BY7" i="9"/>
  <c r="DF7" i="9" s="1"/>
  <c r="DF6" i="9" s="1"/>
  <c r="BS7" i="9"/>
  <c r="BR7" i="9"/>
  <c r="BR6" i="9" s="1"/>
  <c r="BR5" i="9" s="1"/>
  <c r="BQ7" i="9"/>
  <c r="BQ449" i="9" s="1"/>
  <c r="BM7" i="9"/>
  <c r="BM6" i="9" s="1"/>
  <c r="BL7" i="9"/>
  <c r="BL449" i="9" s="1"/>
  <c r="BC7" i="9"/>
  <c r="BB7" i="9"/>
  <c r="BB449" i="9" s="1"/>
  <c r="AV7" i="9"/>
  <c r="Z7" i="9" s="1"/>
  <c r="AE7" i="9" s="1"/>
  <c r="AU7" i="9"/>
  <c r="AS7" i="9"/>
  <c r="AS449" i="9" s="1"/>
  <c r="AQ7" i="9"/>
  <c r="AQ449" i="9" s="1"/>
  <c r="AN7" i="9"/>
  <c r="BH7" i="9" s="1"/>
  <c r="AM7" i="9"/>
  <c r="AO7" i="9" s="1"/>
  <c r="AL7" i="9"/>
  <c r="CC7" i="9" s="1"/>
  <c r="U7" i="9"/>
  <c r="U449" i="9" s="1"/>
  <c r="T7" i="9"/>
  <c r="T449" i="9" s="1"/>
  <c r="O7" i="9"/>
  <c r="M7" i="9"/>
  <c r="M371" i="9" s="1"/>
  <c r="I7" i="9"/>
  <c r="I371" i="9" s="1"/>
  <c r="DB6" i="9"/>
  <c r="CA6" i="9"/>
  <c r="BZ6" i="9"/>
  <c r="BY6" i="9"/>
  <c r="BX6" i="9"/>
  <c r="BW6" i="9"/>
  <c r="BV6" i="9"/>
  <c r="BU6" i="9"/>
  <c r="BS6" i="9"/>
  <c r="BS5" i="9" s="1"/>
  <c r="BS26" i="9" s="1"/>
  <c r="BQ6" i="9"/>
  <c r="BL6" i="9"/>
  <c r="BI6" i="9"/>
  <c r="BC6" i="9"/>
  <c r="BC5" i="9" s="1"/>
  <c r="BC26" i="9" s="1"/>
  <c r="BB6" i="9"/>
  <c r="AU6" i="9"/>
  <c r="AT6" i="9"/>
  <c r="AS6" i="9"/>
  <c r="AR6" i="9"/>
  <c r="AQ6" i="9"/>
  <c r="AN6" i="9"/>
  <c r="AO6" i="9" s="1"/>
  <c r="AM6" i="9"/>
  <c r="BG6" i="9" s="1"/>
  <c r="AL6" i="9"/>
  <c r="U6" i="9"/>
  <c r="Y6" i="9" s="1"/>
  <c r="T6" i="9"/>
  <c r="S6" i="9"/>
  <c r="P6" i="9"/>
  <c r="Q6" i="9" s="1"/>
  <c r="O6" i="9"/>
  <c r="N6" i="9"/>
  <c r="M6" i="9"/>
  <c r="L6" i="9"/>
  <c r="K6" i="9"/>
  <c r="J6" i="9"/>
  <c r="I6" i="9"/>
  <c r="H6" i="9"/>
  <c r="G6" i="9"/>
  <c r="F6" i="9"/>
  <c r="E6" i="9"/>
  <c r="D6" i="9"/>
  <c r="C6" i="9"/>
  <c r="DB5" i="9"/>
  <c r="BZ5" i="9"/>
  <c r="BX5" i="9"/>
  <c r="BW5" i="9"/>
  <c r="BW26" i="9" s="1"/>
  <c r="BV5" i="9"/>
  <c r="BV26" i="9" s="1"/>
  <c r="BU5" i="9"/>
  <c r="BU26" i="9" s="1"/>
  <c r="BQ5" i="9"/>
  <c r="BQ26" i="9" s="1"/>
  <c r="BL5" i="9"/>
  <c r="BI5" i="9"/>
  <c r="BI26" i="9" s="1"/>
  <c r="BB5" i="9"/>
  <c r="AU5" i="9"/>
  <c r="AT5" i="9"/>
  <c r="AT325" i="9" s="1"/>
  <c r="AS5" i="9"/>
  <c r="AS26" i="9" s="1"/>
  <c r="AR5" i="9"/>
  <c r="AR325" i="9" s="1"/>
  <c r="AN325" i="9" s="1"/>
  <c r="AQ5" i="9"/>
  <c r="AQ26" i="9" s="1"/>
  <c r="AN5" i="9"/>
  <c r="AO5" i="9" s="1"/>
  <c r="AM5" i="9"/>
  <c r="BG5" i="9" s="1"/>
  <c r="AL5" i="9"/>
  <c r="U5" i="9"/>
  <c r="U26" i="9" s="1"/>
  <c r="T5" i="9"/>
  <c r="S5" i="9"/>
  <c r="S26" i="9" s="1"/>
  <c r="P5" i="9"/>
  <c r="O5" i="9"/>
  <c r="O26" i="9" s="1"/>
  <c r="N5" i="9"/>
  <c r="M5" i="9"/>
  <c r="M26" i="9" s="1"/>
  <c r="L5" i="9"/>
  <c r="K5" i="9"/>
  <c r="K26" i="9" s="1"/>
  <c r="J5" i="9"/>
  <c r="I5" i="9"/>
  <c r="I26" i="9" s="1"/>
  <c r="H5" i="9"/>
  <c r="G5" i="9"/>
  <c r="G26" i="9" s="1"/>
  <c r="F5" i="9"/>
  <c r="E5" i="9"/>
  <c r="E26" i="9" s="1"/>
  <c r="D5" i="9"/>
  <c r="D366" i="9" s="1"/>
  <c r="D381" i="9" s="1"/>
  <c r="C5" i="9"/>
  <c r="C26" i="9" s="1"/>
  <c r="DL43" i="8"/>
  <c r="CV43" i="8"/>
  <c r="CF43" i="8"/>
  <c r="BD43" i="8"/>
  <c r="BR43" i="8" s="1"/>
  <c r="DL40" i="8"/>
  <c r="CV40" i="8"/>
  <c r="CF40" i="8"/>
  <c r="BD40" i="8"/>
  <c r="BR40" i="8" s="1"/>
  <c r="BD37" i="8"/>
  <c r="BR37" i="8" s="1"/>
  <c r="BD35" i="8"/>
  <c r="BR35" i="8" s="1"/>
  <c r="BD34" i="8"/>
  <c r="BR34" i="8" s="1"/>
  <c r="BR33" i="8"/>
  <c r="BD33" i="8"/>
  <c r="BD32" i="8"/>
  <c r="BR32" i="8" s="1"/>
  <c r="BD31" i="8"/>
  <c r="BR31" i="8" s="1"/>
  <c r="CV30" i="8"/>
  <c r="CV36" i="8" s="1"/>
  <c r="CV38" i="8" s="1"/>
  <c r="DL27" i="8"/>
  <c r="DL30" i="8" s="1"/>
  <c r="DL36" i="8" s="1"/>
  <c r="DL38" i="8" s="1"/>
  <c r="CV27" i="8"/>
  <c r="CF27" i="8"/>
  <c r="CF30" i="8" s="1"/>
  <c r="CF36" i="8" s="1"/>
  <c r="CF38" i="8" s="1"/>
  <c r="BD25" i="8"/>
  <c r="BR25" i="8" s="1"/>
  <c r="BD21" i="8"/>
  <c r="BR21" i="8" s="1"/>
  <c r="DE84" i="7"/>
  <c r="CV84" i="7"/>
  <c r="BB84" i="7"/>
  <c r="BK84" i="7" s="1"/>
  <c r="DE83" i="7"/>
  <c r="CV83" i="7" s="1"/>
  <c r="BK83" i="7"/>
  <c r="BB83" i="7"/>
  <c r="DE82" i="7"/>
  <c r="CV82" i="7" s="1"/>
  <c r="BB82" i="7"/>
  <c r="BK82" i="7" s="1"/>
  <c r="CH67" i="7"/>
  <c r="BB67" i="7"/>
  <c r="BK67" i="7" s="1"/>
  <c r="CH66" i="7"/>
  <c r="BK66" i="7"/>
  <c r="BB66" i="7"/>
  <c r="CH64" i="7"/>
  <c r="BB64" i="7"/>
  <c r="CO63" i="7"/>
  <c r="CA63" i="7"/>
  <c r="BB63" i="7" s="1"/>
  <c r="BK63" i="7" s="1"/>
  <c r="BT63" i="7"/>
  <c r="CH63" i="7" s="1"/>
  <c r="CH61" i="7"/>
  <c r="BB61" i="7"/>
  <c r="BK61" i="7" s="1"/>
  <c r="CH60" i="7"/>
  <c r="BK60" i="7"/>
  <c r="BB60" i="7"/>
  <c r="CO59" i="7"/>
  <c r="CA59" i="7"/>
  <c r="BT59" i="7"/>
  <c r="CH59" i="7" s="1"/>
  <c r="BB59" i="7"/>
  <c r="BK59" i="7" s="1"/>
  <c r="CH57" i="7"/>
  <c r="BB57" i="7"/>
  <c r="BK57" i="7" s="1"/>
  <c r="CO56" i="7"/>
  <c r="CA56" i="7"/>
  <c r="BT56" i="7"/>
  <c r="CH56" i="7" s="1"/>
  <c r="BB56" i="7" s="1"/>
  <c r="BK56" i="7" s="1"/>
  <c r="CH55" i="7"/>
  <c r="BK55" i="7"/>
  <c r="BB55" i="7"/>
  <c r="CH54" i="7"/>
  <c r="BB54" i="7"/>
  <c r="BK54" i="7" s="1"/>
  <c r="CH53" i="7"/>
  <c r="BK53" i="7"/>
  <c r="BB53" i="7"/>
  <c r="CH52" i="7"/>
  <c r="BB52" i="7"/>
  <c r="BK52" i="7" s="1"/>
  <c r="CO51" i="7"/>
  <c r="CA51" i="7"/>
  <c r="BT51" i="7"/>
  <c r="CH51" i="7" s="1"/>
  <c r="BB51" i="7" s="1"/>
  <c r="BK51" i="7" s="1"/>
  <c r="CH49" i="7"/>
  <c r="BB49" i="7"/>
  <c r="BK49" i="7" s="1"/>
  <c r="CO48" i="7"/>
  <c r="CA48" i="7"/>
  <c r="BT48" i="7"/>
  <c r="CH48" i="7" s="1"/>
  <c r="BB48" i="7" s="1"/>
  <c r="BK48" i="7" s="1"/>
  <c r="CO47" i="7"/>
  <c r="CH47" i="7"/>
  <c r="BB47" i="7" s="1"/>
  <c r="BK47" i="7" s="1"/>
  <c r="BT47" i="7"/>
  <c r="CO46" i="7"/>
  <c r="CA46" i="7"/>
  <c r="BT46" i="7"/>
  <c r="CH46" i="7" s="1"/>
  <c r="BB46" i="7" s="1"/>
  <c r="BK46" i="7" s="1"/>
  <c r="CO45" i="7"/>
  <c r="CA45" i="7"/>
  <c r="BT45" i="7"/>
  <c r="CH45" i="7" s="1"/>
  <c r="BB45" i="7" s="1"/>
  <c r="BK45" i="7" s="1"/>
  <c r="CO44" i="7"/>
  <c r="CA44" i="7"/>
  <c r="BT44" i="7"/>
  <c r="CH44" i="7" s="1"/>
  <c r="BB44" i="7" s="1"/>
  <c r="BK44" i="7" s="1"/>
  <c r="CO43" i="7"/>
  <c r="CA43" i="7"/>
  <c r="BT43" i="7"/>
  <c r="CH43" i="7" s="1"/>
  <c r="BB43" i="7" s="1"/>
  <c r="BK43" i="7" s="1"/>
  <c r="EB42" i="7"/>
  <c r="CH42" i="7"/>
  <c r="EB41" i="7"/>
  <c r="CH41" i="7"/>
  <c r="EB40" i="7"/>
  <c r="CH40" i="7"/>
  <c r="EB39" i="7"/>
  <c r="CH39" i="7"/>
  <c r="EB38" i="7"/>
  <c r="CV38" i="7"/>
  <c r="DE38" i="7" s="1"/>
  <c r="EB37" i="7"/>
  <c r="CV37" i="7"/>
  <c r="DE37" i="7" s="1"/>
  <c r="CH37" i="7"/>
  <c r="BB37" i="7"/>
  <c r="BK37" i="7" s="1"/>
  <c r="EB36" i="7"/>
  <c r="CV36" i="7"/>
  <c r="DE36" i="7" s="1"/>
  <c r="CH36" i="7"/>
  <c r="BB36" i="7"/>
  <c r="BK36" i="7" s="1"/>
  <c r="CO35" i="7"/>
  <c r="CO38" i="7" s="1"/>
  <c r="CA35" i="7"/>
  <c r="CA38" i="7" s="1"/>
  <c r="BT35" i="7"/>
  <c r="BT38" i="7" s="1"/>
  <c r="CH38" i="7" s="1"/>
  <c r="BB38" i="7" s="1"/>
  <c r="BK38" i="7" s="1"/>
  <c r="CO34" i="7"/>
  <c r="CO65" i="7" s="1"/>
  <c r="CO62" i="7" s="1"/>
  <c r="CA34" i="7"/>
  <c r="CA65" i="7" s="1"/>
  <c r="CA62" i="7" s="1"/>
  <c r="BT34" i="7"/>
  <c r="BT65" i="7" s="1"/>
  <c r="CH33" i="7"/>
  <c r="BK33" i="7"/>
  <c r="CH32" i="7"/>
  <c r="BK32" i="7"/>
  <c r="CO31" i="7"/>
  <c r="CA31" i="7"/>
  <c r="BT31" i="7"/>
  <c r="CH31" i="7" s="1"/>
  <c r="BB31" i="7" s="1"/>
  <c r="BK31" i="7" s="1"/>
  <c r="CO30" i="7"/>
  <c r="CA30" i="7"/>
  <c r="BT30" i="7"/>
  <c r="CH30" i="7" s="1"/>
  <c r="BB30" i="7" s="1"/>
  <c r="BK30" i="7" s="1"/>
  <c r="CO29" i="7"/>
  <c r="CA29" i="7"/>
  <c r="BT29" i="7"/>
  <c r="CH29" i="7" s="1"/>
  <c r="BB29" i="7" s="1"/>
  <c r="BK29" i="7" s="1"/>
  <c r="CH28" i="7"/>
  <c r="BK28" i="7"/>
  <c r="CH27" i="7"/>
  <c r="BK27" i="7"/>
  <c r="CH26" i="7"/>
  <c r="BK26" i="7"/>
  <c r="CH25" i="7"/>
  <c r="BK25" i="7"/>
  <c r="CH24" i="7"/>
  <c r="BB24" i="7"/>
  <c r="BK24" i="7" s="1"/>
  <c r="CO23" i="7"/>
  <c r="CA23" i="7"/>
  <c r="BT23" i="7"/>
  <c r="CH23" i="7" s="1"/>
  <c r="BB23" i="7" s="1"/>
  <c r="BK23" i="7" s="1"/>
  <c r="CO22" i="7"/>
  <c r="CO50" i="7" s="1"/>
  <c r="CA22" i="7"/>
  <c r="CA50" i="7" s="1"/>
  <c r="BT22" i="7"/>
  <c r="BT50" i="7" s="1"/>
  <c r="CH50" i="7" s="1"/>
  <c r="BB50" i="7" s="1"/>
  <c r="BK50" i="7" s="1"/>
  <c r="CH21" i="7"/>
  <c r="BK21" i="7"/>
  <c r="BB21" i="7"/>
  <c r="AV35" i="9" l="1"/>
  <c r="Z35" i="9" s="1"/>
  <c r="AF35" i="9" s="1"/>
  <c r="BP197" i="9"/>
  <c r="BH236" i="9"/>
  <c r="BK236" i="9" s="1"/>
  <c r="AV242" i="9"/>
  <c r="BH247" i="9"/>
  <c r="BK247" i="9" s="1"/>
  <c r="BH251" i="9"/>
  <c r="BK251" i="9" s="1"/>
  <c r="AV263" i="9"/>
  <c r="Z263" i="9" s="1"/>
  <c r="AE263" i="9" s="1"/>
  <c r="AV282" i="9"/>
  <c r="Z282" i="9" s="1"/>
  <c r="AE282" i="9" s="1"/>
  <c r="AV11" i="9"/>
  <c r="Z11" i="9" s="1"/>
  <c r="AV58" i="9"/>
  <c r="Z58" i="9" s="1"/>
  <c r="AF58" i="9" s="1"/>
  <c r="AV66" i="9"/>
  <c r="BS72" i="9"/>
  <c r="AV100" i="9"/>
  <c r="Z100" i="9" s="1"/>
  <c r="AE100" i="9" s="1"/>
  <c r="AV135" i="9"/>
  <c r="AV137" i="9"/>
  <c r="Z137" i="9" s="1"/>
  <c r="AF137" i="9" s="1"/>
  <c r="BC140" i="9"/>
  <c r="BS146" i="9"/>
  <c r="BH155" i="9"/>
  <c r="AV156" i="9"/>
  <c r="AV157" i="9"/>
  <c r="AV167" i="9"/>
  <c r="AV175" i="9"/>
  <c r="BH181" i="9"/>
  <c r="BK181" i="9" s="1"/>
  <c r="AV223" i="9"/>
  <c r="Z223" i="9" s="1"/>
  <c r="AE223" i="9" s="1"/>
  <c r="AW228" i="9"/>
  <c r="AV230" i="9"/>
  <c r="AW256" i="9"/>
  <c r="AW269" i="9"/>
  <c r="BM5" i="9"/>
  <c r="AV6" i="9"/>
  <c r="Z6" i="9" s="1"/>
  <c r="AE6" i="9" s="1"/>
  <c r="AV12" i="9"/>
  <c r="Z12" i="9" s="1"/>
  <c r="AE12" i="9" s="1"/>
  <c r="AV17" i="9"/>
  <c r="Z17" i="9" s="1"/>
  <c r="AE17" i="9" s="1"/>
  <c r="BH58" i="9"/>
  <c r="BK58" i="9" s="1"/>
  <c r="AV62" i="9"/>
  <c r="Z62" i="9" s="1"/>
  <c r="AF62" i="9" s="1"/>
  <c r="AV71" i="9"/>
  <c r="Z71" i="9" s="1"/>
  <c r="BC72" i="9"/>
  <c r="AV72" i="9" s="1"/>
  <c r="Z72" i="9" s="1"/>
  <c r="AF72" i="9" s="1"/>
  <c r="AV73" i="9"/>
  <c r="Z73" i="9" s="1"/>
  <c r="AF73" i="9" s="1"/>
  <c r="BM404" i="9"/>
  <c r="BH74" i="9"/>
  <c r="BK74" i="9" s="1"/>
  <c r="BC399" i="9"/>
  <c r="BR399" i="9"/>
  <c r="AV101" i="9"/>
  <c r="Z101" i="9" s="1"/>
  <c r="AE101" i="9" s="1"/>
  <c r="AV102" i="9"/>
  <c r="Z102" i="9" s="1"/>
  <c r="AE102" i="9" s="1"/>
  <c r="BH115" i="9"/>
  <c r="BK115" i="9" s="1"/>
  <c r="AV116" i="9"/>
  <c r="BP119" i="9"/>
  <c r="AV128" i="9"/>
  <c r="Z128" i="9" s="1"/>
  <c r="AE128" i="9" s="1"/>
  <c r="BP163" i="9"/>
  <c r="AV166" i="9"/>
  <c r="BH173" i="9"/>
  <c r="BK173" i="9" s="1"/>
  <c r="BP174" i="9"/>
  <c r="BH264" i="9"/>
  <c r="BK264" i="9" s="1"/>
  <c r="AV279" i="9"/>
  <c r="AV285" i="9"/>
  <c r="Z285" i="9" s="1"/>
  <c r="AE285" i="9" s="1"/>
  <c r="AV20" i="9"/>
  <c r="AV29" i="9"/>
  <c r="BQ34" i="9"/>
  <c r="BQ239" i="9" s="1"/>
  <c r="BM38" i="9"/>
  <c r="AV38" i="9" s="1"/>
  <c r="BR38" i="9"/>
  <c r="BC400" i="9"/>
  <c r="AV57" i="9"/>
  <c r="Z57" i="9" s="1"/>
  <c r="AF57" i="9" s="1"/>
  <c r="AW175" i="9"/>
  <c r="AW203" i="9"/>
  <c r="AV276" i="9"/>
  <c r="Z276" i="9" s="1"/>
  <c r="AE276" i="9" s="1"/>
  <c r="AW29" i="9"/>
  <c r="Z29" i="9"/>
  <c r="AE29" i="9" s="1"/>
  <c r="AV24" i="9"/>
  <c r="Z24" i="9" s="1"/>
  <c r="AC24" i="9" s="1"/>
  <c r="AW63" i="9"/>
  <c r="BH68" i="9"/>
  <c r="BH77" i="9"/>
  <c r="BK77" i="9" s="1"/>
  <c r="BH78" i="9"/>
  <c r="AV79" i="9"/>
  <c r="BH80" i="9"/>
  <c r="BK80" i="9" s="1"/>
  <c r="BP80" i="9"/>
  <c r="BP82" i="9"/>
  <c r="BH124" i="9"/>
  <c r="BK124" i="9" s="1"/>
  <c r="BH125" i="9"/>
  <c r="BK125" i="9" s="1"/>
  <c r="BH128" i="9"/>
  <c r="BH134" i="9"/>
  <c r="BK134" i="9" s="1"/>
  <c r="BH136" i="9"/>
  <c r="AV164" i="9"/>
  <c r="AW165" i="9"/>
  <c r="AW179" i="9"/>
  <c r="AW187" i="9"/>
  <c r="BA203" i="9"/>
  <c r="BH206" i="9"/>
  <c r="BK206" i="9" s="1"/>
  <c r="AW212" i="9"/>
  <c r="BH231" i="9"/>
  <c r="AW272" i="9"/>
  <c r="AW282" i="9"/>
  <c r="AW285" i="9"/>
  <c r="AV296" i="9"/>
  <c r="AA12" i="9"/>
  <c r="AV28" i="9"/>
  <c r="Z28" i="9" s="1"/>
  <c r="AF28" i="9" s="1"/>
  <c r="AV40" i="9"/>
  <c r="BH41" i="9"/>
  <c r="AV42" i="9"/>
  <c r="AW44" i="9"/>
  <c r="AA58" i="9"/>
  <c r="BF86" i="9"/>
  <c r="BH92" i="9"/>
  <c r="BH95" i="9"/>
  <c r="AV99" i="9"/>
  <c r="Z99" i="9" s="1"/>
  <c r="AE99" i="9" s="1"/>
  <c r="BH102" i="9"/>
  <c r="AV132" i="9"/>
  <c r="AV140" i="9"/>
  <c r="BH145" i="9"/>
  <c r="BK145" i="9" s="1"/>
  <c r="AW151" i="9"/>
  <c r="AV168" i="9"/>
  <c r="Z168" i="9" s="1"/>
  <c r="AF168" i="9" s="1"/>
  <c r="BH203" i="9"/>
  <c r="BK203" i="9" s="1"/>
  <c r="AV206" i="9"/>
  <c r="AA246" i="9"/>
  <c r="AW273" i="9"/>
  <c r="BH288" i="9"/>
  <c r="BK288" i="9" s="1"/>
  <c r="BH290" i="9"/>
  <c r="BK290" i="9" s="1"/>
  <c r="AV297" i="9"/>
  <c r="AV305" i="9"/>
  <c r="AV313" i="9"/>
  <c r="AE11" i="9"/>
  <c r="AA11" i="9"/>
  <c r="AF11" i="9"/>
  <c r="AF16" i="9"/>
  <c r="AA16" i="9"/>
  <c r="AW20" i="9"/>
  <c r="Z20" i="9"/>
  <c r="AF20" i="9" s="1"/>
  <c r="AF71" i="9"/>
  <c r="AA71" i="9"/>
  <c r="AZ79" i="9"/>
  <c r="Z79" i="9"/>
  <c r="AF104" i="9"/>
  <c r="AA104" i="9"/>
  <c r="AE104" i="9"/>
  <c r="AF10" i="9"/>
  <c r="AA18" i="9"/>
  <c r="AA19" i="9"/>
  <c r="AW37" i="9"/>
  <c r="AJ45" i="9"/>
  <c r="AW45" i="9"/>
  <c r="BA45" i="9"/>
  <c r="AW47" i="9"/>
  <c r="BH54" i="9"/>
  <c r="AE58" i="9"/>
  <c r="AW58" i="9"/>
  <c r="AA60" i="9"/>
  <c r="AF60" i="9"/>
  <c r="BF61" i="9"/>
  <c r="BK61" i="9"/>
  <c r="AE63" i="9"/>
  <c r="BP63" i="9"/>
  <c r="AV64" i="9"/>
  <c r="AW69" i="9"/>
  <c r="AV75" i="9"/>
  <c r="AC79" i="9"/>
  <c r="AK79" i="9"/>
  <c r="AW79" i="9"/>
  <c r="BA79" i="9"/>
  <c r="AE82" i="9"/>
  <c r="BK86" i="9"/>
  <c r="BH87" i="9"/>
  <c r="AV88" i="9"/>
  <c r="AE93" i="9"/>
  <c r="BK94" i="9"/>
  <c r="AV96" i="9"/>
  <c r="AA97" i="9"/>
  <c r="AJ97" i="9"/>
  <c r="AW97" i="9"/>
  <c r="BA97" i="9"/>
  <c r="AW101" i="9"/>
  <c r="AW104" i="9"/>
  <c r="BH104" i="9"/>
  <c r="BK104" i="9" s="1"/>
  <c r="AE106" i="9"/>
  <c r="AA107" i="9"/>
  <c r="AJ107" i="9"/>
  <c r="AW107" i="9"/>
  <c r="BA107" i="9"/>
  <c r="AA108" i="9"/>
  <c r="AJ108" i="9"/>
  <c r="AW108" i="9"/>
  <c r="BA108" i="9"/>
  <c r="AA110" i="9"/>
  <c r="AJ110" i="9"/>
  <c r="AW110" i="9"/>
  <c r="BA110" i="9"/>
  <c r="BH112" i="9"/>
  <c r="BK112" i="9" s="1"/>
  <c r="BK113" i="9"/>
  <c r="AA114" i="9"/>
  <c r="AJ114" i="9"/>
  <c r="AW114" i="9"/>
  <c r="BA114" i="9"/>
  <c r="AV117" i="9"/>
  <c r="AV119" i="9"/>
  <c r="AE122" i="9"/>
  <c r="BH126" i="9"/>
  <c r="BH127" i="9"/>
  <c r="BK127" i="9" s="1"/>
  <c r="AF159" i="9"/>
  <c r="AA159" i="9"/>
  <c r="AE159" i="9"/>
  <c r="AF190" i="9"/>
  <c r="AA190" i="9"/>
  <c r="AE190" i="9"/>
  <c r="AW7" i="9"/>
  <c r="AA10" i="9"/>
  <c r="AF12" i="9"/>
  <c r="AE19" i="9"/>
  <c r="AW19" i="9"/>
  <c r="AJ44" i="9"/>
  <c r="BA44" i="9"/>
  <c r="AV46" i="9"/>
  <c r="AV52" i="9"/>
  <c r="Z52" i="9" s="1"/>
  <c r="AE52" i="9" s="1"/>
  <c r="AD60" i="9"/>
  <c r="AV61" i="9"/>
  <c r="AW61" i="9" s="1"/>
  <c r="AA63" i="9"/>
  <c r="AK63" i="9"/>
  <c r="BA63" i="9"/>
  <c r="BF63" i="9"/>
  <c r="BF64" i="9"/>
  <c r="BK64" i="9"/>
  <c r="AC74" i="9"/>
  <c r="AA74" i="9"/>
  <c r="AW74" i="9"/>
  <c r="BF75" i="9"/>
  <c r="BP79" i="9"/>
  <c r="AA82" i="9"/>
  <c r="AK82" i="9"/>
  <c r="AW82" i="9"/>
  <c r="BA82" i="9"/>
  <c r="BF82" i="9"/>
  <c r="AV86" i="9"/>
  <c r="BF88" i="9"/>
  <c r="BK88" i="9"/>
  <c r="AV91" i="9"/>
  <c r="Z91" i="9" s="1"/>
  <c r="AE91" i="9" s="1"/>
  <c r="AA93" i="9"/>
  <c r="AJ93" i="9"/>
  <c r="AW93" i="9"/>
  <c r="BA93" i="9"/>
  <c r="AV94" i="9"/>
  <c r="BK96" i="9"/>
  <c r="AE97" i="9"/>
  <c r="AA106" i="9"/>
  <c r="AJ106" i="9"/>
  <c r="AW106" i="9"/>
  <c r="BA106" i="9"/>
  <c r="AE107" i="9"/>
  <c r="AE108" i="9"/>
  <c r="AE110" i="9"/>
  <c r="AV113" i="9"/>
  <c r="AE114" i="9"/>
  <c r="AW116" i="9"/>
  <c r="BK117" i="9"/>
  <c r="AW118" i="9"/>
  <c r="AA122" i="9"/>
  <c r="AJ122" i="9"/>
  <c r="AW122" i="9"/>
  <c r="BA122" i="9"/>
  <c r="AZ132" i="9"/>
  <c r="Z132" i="9"/>
  <c r="AB183" i="9"/>
  <c r="AF183" i="9"/>
  <c r="AF193" i="9"/>
  <c r="AA193" i="9"/>
  <c r="AE193" i="9"/>
  <c r="AA131" i="9"/>
  <c r="AJ131" i="9"/>
  <c r="AW131" i="9"/>
  <c r="BA131" i="9"/>
  <c r="AJ133" i="9"/>
  <c r="AW133" i="9"/>
  <c r="BA133" i="9"/>
  <c r="AW135" i="9"/>
  <c r="AE141" i="9"/>
  <c r="AV142" i="9"/>
  <c r="AA144" i="9"/>
  <c r="AJ144" i="9"/>
  <c r="AW144" i="9"/>
  <c r="BA144" i="9"/>
  <c r="AE147" i="9"/>
  <c r="BC146" i="9"/>
  <c r="BM146" i="9"/>
  <c r="AA149" i="9"/>
  <c r="AJ149" i="9"/>
  <c r="AW149" i="9"/>
  <c r="BA149" i="9"/>
  <c r="AA151" i="9"/>
  <c r="AJ151" i="9"/>
  <c r="BA151" i="9"/>
  <c r="AE152" i="9"/>
  <c r="AV153" i="9"/>
  <c r="AW159" i="9"/>
  <c r="BH159" i="9"/>
  <c r="BK159" i="9" s="1"/>
  <c r="BF163" i="9"/>
  <c r="BK163" i="9"/>
  <c r="BR160" i="9"/>
  <c r="AC165" i="9"/>
  <c r="BA165" i="9"/>
  <c r="BH165" i="9"/>
  <c r="BK165" i="9" s="1"/>
  <c r="AA168" i="9"/>
  <c r="AW169" i="9"/>
  <c r="BH169" i="9"/>
  <c r="BK169" i="9" s="1"/>
  <c r="BF174" i="9"/>
  <c r="BK174" i="9"/>
  <c r="BH177" i="9"/>
  <c r="BK177" i="9" s="1"/>
  <c r="BA179" i="9"/>
  <c r="BH179" i="9"/>
  <c r="BK179" i="9" s="1"/>
  <c r="AV180" i="9"/>
  <c r="AW180" i="9" s="1"/>
  <c r="AV185" i="9"/>
  <c r="Z185" i="9" s="1"/>
  <c r="AA187" i="9"/>
  <c r="AE187" i="9"/>
  <c r="BF187" i="9"/>
  <c r="AW190" i="9"/>
  <c r="BH190" i="9"/>
  <c r="BK190" i="9" s="1"/>
  <c r="AW192" i="9"/>
  <c r="AW193" i="9"/>
  <c r="BH193" i="9"/>
  <c r="BK193" i="9" s="1"/>
  <c r="AV194" i="9"/>
  <c r="AW194" i="9" s="1"/>
  <c r="AV196" i="9"/>
  <c r="AW196" i="9" s="1"/>
  <c r="AV197" i="9"/>
  <c r="AW197" i="9" s="1"/>
  <c r="AE225" i="9"/>
  <c r="AD225" i="9"/>
  <c r="AF225" i="9"/>
  <c r="AA225" i="9"/>
  <c r="AC235" i="9"/>
  <c r="AE235" i="9"/>
  <c r="AA235" i="9"/>
  <c r="AZ296" i="9"/>
  <c r="Z296" i="9"/>
  <c r="AF296" i="9" s="1"/>
  <c r="AE314" i="9"/>
  <c r="AF314" i="9"/>
  <c r="AA314" i="9"/>
  <c r="AD314" i="9"/>
  <c r="AE131" i="9"/>
  <c r="AJ132" i="9"/>
  <c r="AW132" i="9"/>
  <c r="BA132" i="9"/>
  <c r="AA141" i="9"/>
  <c r="AJ141" i="9"/>
  <c r="AW141" i="9"/>
  <c r="BA141" i="9"/>
  <c r="BR140" i="9"/>
  <c r="BR139" i="9" s="1"/>
  <c r="BR34" i="9" s="1"/>
  <c r="BR239" i="9" s="1"/>
  <c r="AE144" i="9"/>
  <c r="AA147" i="9"/>
  <c r="AJ147" i="9"/>
  <c r="AW147" i="9"/>
  <c r="BA147" i="9"/>
  <c r="BH148" i="9"/>
  <c r="AV148" i="9"/>
  <c r="AE149" i="9"/>
  <c r="AV150" i="9"/>
  <c r="AE151" i="9"/>
  <c r="AA152" i="9"/>
  <c r="AJ152" i="9"/>
  <c r="AW152" i="9"/>
  <c r="BA152" i="9"/>
  <c r="BK153" i="9"/>
  <c r="AV163" i="9"/>
  <c r="AA165" i="9"/>
  <c r="AE165" i="9"/>
  <c r="AE168" i="9"/>
  <c r="BS170" i="9"/>
  <c r="AV174" i="9"/>
  <c r="AC187" i="9"/>
  <c r="BA187" i="9"/>
  <c r="AV188" i="9"/>
  <c r="AW188" i="9" s="1"/>
  <c r="AV198" i="9"/>
  <c r="AW198" i="9" s="1"/>
  <c r="AZ206" i="9"/>
  <c r="Z206" i="9"/>
  <c r="AC206" i="9" s="1"/>
  <c r="AZ297" i="9"/>
  <c r="Z297" i="9"/>
  <c r="AF297" i="9" s="1"/>
  <c r="AA203" i="9"/>
  <c r="AE203" i="9"/>
  <c r="AV204" i="9"/>
  <c r="AV207" i="9"/>
  <c r="Z207" i="9" s="1"/>
  <c r="BF212" i="9"/>
  <c r="BF217" i="9"/>
  <c r="BK217" i="9"/>
  <c r="AV218" i="9"/>
  <c r="AW221" i="9"/>
  <c r="AF222" i="9"/>
  <c r="BH223" i="9"/>
  <c r="BK223" i="9" s="1"/>
  <c r="AA226" i="9"/>
  <c r="AF226" i="9"/>
  <c r="BH229" i="9"/>
  <c r="BK229" i="9" s="1"/>
  <c r="AA245" i="9"/>
  <c r="AJ245" i="9"/>
  <c r="AW245" i="9"/>
  <c r="BA245" i="9"/>
  <c r="AE246" i="9"/>
  <c r="AW252" i="9"/>
  <c r="BK261" i="9"/>
  <c r="AJ267" i="9"/>
  <c r="AW267" i="9"/>
  <c r="BA267" i="9"/>
  <c r="AW270" i="9"/>
  <c r="BH284" i="9"/>
  <c r="BK284" i="9" s="1"/>
  <c r="AA294" i="9"/>
  <c r="AJ294" i="9"/>
  <c r="AW294" i="9"/>
  <c r="BA294" i="9"/>
  <c r="BH305" i="9"/>
  <c r="AW314" i="9"/>
  <c r="BH314" i="9"/>
  <c r="BK314" i="9" s="1"/>
  <c r="AV199" i="9"/>
  <c r="AC203" i="9"/>
  <c r="AW206" i="9"/>
  <c r="BA206" i="9"/>
  <c r="AW207" i="9"/>
  <c r="BA212" i="9"/>
  <c r="AV217" i="9"/>
  <c r="Z217" i="9" s="1"/>
  <c r="BF218" i="9"/>
  <c r="BK218" i="9"/>
  <c r="AA222" i="9"/>
  <c r="AW225" i="9"/>
  <c r="AD226" i="9"/>
  <c r="AA227" i="9"/>
  <c r="BJ234" i="9"/>
  <c r="BJ242" i="9"/>
  <c r="AE245" i="9"/>
  <c r="AJ246" i="9"/>
  <c r="AW246" i="9"/>
  <c r="BA246" i="9"/>
  <c r="AV249" i="9"/>
  <c r="AW250" i="9"/>
  <c r="AW259" i="9"/>
  <c r="AW260" i="9"/>
  <c r="AV261" i="9"/>
  <c r="BH265" i="9"/>
  <c r="BK265" i="9" s="1"/>
  <c r="AA276" i="9"/>
  <c r="AJ280" i="9"/>
  <c r="AW280" i="9"/>
  <c r="BA280" i="9"/>
  <c r="AW293" i="9"/>
  <c r="BA293" i="9"/>
  <c r="AE294" i="9"/>
  <c r="BA295" i="9"/>
  <c r="AW296" i="9"/>
  <c r="BA296" i="9"/>
  <c r="AJ297" i="9"/>
  <c r="AW297" i="9"/>
  <c r="BA297" i="9"/>
  <c r="AW312" i="9"/>
  <c r="BP10" i="9"/>
  <c r="BO10" i="9"/>
  <c r="BN9" i="9"/>
  <c r="DI10" i="9"/>
  <c r="BP11" i="9"/>
  <c r="BO11" i="9"/>
  <c r="DH14" i="9"/>
  <c r="CA13" i="9"/>
  <c r="CB14" i="9"/>
  <c r="BK22" i="9"/>
  <c r="BJ29" i="9"/>
  <c r="AJ32" i="9"/>
  <c r="AH32" i="9"/>
  <c r="AX41" i="9"/>
  <c r="AW41" i="9"/>
  <c r="Z41" i="9"/>
  <c r="AX46" i="9"/>
  <c r="AW46" i="9"/>
  <c r="Z46" i="9"/>
  <c r="BP49" i="9"/>
  <c r="BO49" i="9"/>
  <c r="AY49" i="9"/>
  <c r="AG49" i="9" s="1"/>
  <c r="BJ57" i="9"/>
  <c r="BO61" i="9"/>
  <c r="AY61" i="9"/>
  <c r="AG61" i="9" s="1"/>
  <c r="BP61" i="9"/>
  <c r="BA61" i="9"/>
  <c r="AZ61" i="9"/>
  <c r="Z61" i="9"/>
  <c r="BP62" i="9"/>
  <c r="BO62" i="9"/>
  <c r="BP66" i="9"/>
  <c r="BO66" i="9"/>
  <c r="BK69" i="9"/>
  <c r="BK70" i="9"/>
  <c r="BJ73" i="9"/>
  <c r="BK78" i="9"/>
  <c r="AW80" i="9"/>
  <c r="AX80" i="9"/>
  <c r="Z80" i="9"/>
  <c r="BO86" i="9"/>
  <c r="AY86" i="9"/>
  <c r="AG86" i="9" s="1"/>
  <c r="BP86" i="9"/>
  <c r="BA86" i="9"/>
  <c r="AW86" i="9"/>
  <c r="Z86" i="9"/>
  <c r="AZ86" i="9"/>
  <c r="AX86" i="9"/>
  <c r="BP94" i="9"/>
  <c r="BO94" i="9"/>
  <c r="AY94" i="9"/>
  <c r="AG94" i="9" s="1"/>
  <c r="AX94" i="9"/>
  <c r="Z94" i="9"/>
  <c r="BA94" i="9"/>
  <c r="AW94" i="9"/>
  <c r="BP98" i="9"/>
  <c r="BO98" i="9"/>
  <c r="Y98" i="9"/>
  <c r="W98" i="9"/>
  <c r="X98" i="9"/>
  <c r="V98" i="9"/>
  <c r="BP113" i="9"/>
  <c r="BO113" i="9"/>
  <c r="AY113" i="9"/>
  <c r="AG113" i="9" s="1"/>
  <c r="AX113" i="9"/>
  <c r="Z113" i="9"/>
  <c r="BA113" i="9"/>
  <c r="AW113" i="9"/>
  <c r="AM26" i="9"/>
  <c r="BK7" i="9"/>
  <c r="BK10" i="9"/>
  <c r="BH9" i="9"/>
  <c r="BK9" i="9" s="1"/>
  <c r="BP12" i="9"/>
  <c r="BO12" i="9"/>
  <c r="CC14" i="9"/>
  <c r="BK14" i="9"/>
  <c r="DH17" i="9"/>
  <c r="CB17" i="9"/>
  <c r="DI17" i="9" s="1"/>
  <c r="BY13" i="9"/>
  <c r="DF23" i="9"/>
  <c r="CB23" i="9"/>
  <c r="DI23" i="9" s="1"/>
  <c r="BJ38" i="9"/>
  <c r="BG400" i="9"/>
  <c r="DJ39" i="9"/>
  <c r="AX40" i="9"/>
  <c r="AW40" i="9"/>
  <c r="Z40" i="9"/>
  <c r="BJ41" i="9"/>
  <c r="AX42" i="9"/>
  <c r="AW42" i="9"/>
  <c r="Z42" i="9"/>
  <c r="BJ46" i="9"/>
  <c r="BJ51" i="9"/>
  <c r="BJ54" i="9"/>
  <c r="BO64" i="9"/>
  <c r="AY64" i="9"/>
  <c r="AG64" i="9" s="1"/>
  <c r="BP64" i="9"/>
  <c r="BA64" i="9"/>
  <c r="AW64" i="9"/>
  <c r="Z64" i="9"/>
  <c r="AZ64" i="9"/>
  <c r="AX64" i="9"/>
  <c r="AW75" i="9"/>
  <c r="AX75" i="9"/>
  <c r="Z75" i="9"/>
  <c r="BP83" i="9"/>
  <c r="BO83" i="9"/>
  <c r="BO87" i="9"/>
  <c r="AY87" i="9"/>
  <c r="AG87" i="9" s="1"/>
  <c r="BP87" i="9"/>
  <c r="AW88" i="9"/>
  <c r="AX88" i="9"/>
  <c r="Z88" i="9"/>
  <c r="DI93" i="9"/>
  <c r="CC93" i="9"/>
  <c r="BP96" i="9"/>
  <c r="BO96" i="9"/>
  <c r="AY96" i="9"/>
  <c r="AG96" i="9" s="1"/>
  <c r="AX96" i="9"/>
  <c r="AW96" i="9"/>
  <c r="Z96" i="9"/>
  <c r="BP117" i="9"/>
  <c r="BO117" i="9"/>
  <c r="AY117" i="9"/>
  <c r="AG117" i="9" s="1"/>
  <c r="AX117" i="9"/>
  <c r="AW117" i="9"/>
  <c r="Z117" i="9"/>
  <c r="AW121" i="9"/>
  <c r="AX121" i="9"/>
  <c r="F366" i="9"/>
  <c r="F381" i="9" s="1"/>
  <c r="F325" i="9"/>
  <c r="H366" i="9"/>
  <c r="H381" i="9" s="1"/>
  <c r="H325" i="9"/>
  <c r="J366" i="9"/>
  <c r="J336" i="9"/>
  <c r="J325" i="9"/>
  <c r="L366" i="9"/>
  <c r="L336" i="9"/>
  <c r="L325" i="9"/>
  <c r="N366" i="9"/>
  <c r="N381" i="9" s="1"/>
  <c r="N336" i="9"/>
  <c r="N328" i="9"/>
  <c r="N325" i="9"/>
  <c r="P336" i="9"/>
  <c r="R5" i="9"/>
  <c r="T329" i="9"/>
  <c r="T327" i="9"/>
  <c r="T325" i="9"/>
  <c r="V5" i="9"/>
  <c r="X5" i="9"/>
  <c r="AP5" i="9"/>
  <c r="BJ5" i="9"/>
  <c r="R6" i="9"/>
  <c r="V6" i="9"/>
  <c r="X6" i="9"/>
  <c r="AB6" i="9"/>
  <c r="AD6" i="9"/>
  <c r="AF6" i="9"/>
  <c r="AP6" i="9"/>
  <c r="AX6" i="9"/>
  <c r="BJ6" i="9"/>
  <c r="Q7" i="9"/>
  <c r="T490" i="9"/>
  <c r="T489" i="9" s="1"/>
  <c r="T488" i="9" s="1"/>
  <c r="T448" i="9"/>
  <c r="T447" i="9" s="1"/>
  <c r="V7" i="9"/>
  <c r="X7" i="9"/>
  <c r="AB7" i="9"/>
  <c r="AD7" i="9"/>
  <c r="AF7" i="9"/>
  <c r="AP7" i="9"/>
  <c r="AS490" i="9"/>
  <c r="AS489" i="9" s="1"/>
  <c r="AS488" i="9" s="1"/>
  <c r="AS448" i="9"/>
  <c r="AS447" i="9" s="1"/>
  <c r="AX7" i="9"/>
  <c r="BG7" i="9"/>
  <c r="BJ7" i="9" s="1"/>
  <c r="BL490" i="9"/>
  <c r="BL489" i="9" s="1"/>
  <c r="BL488" i="9" s="1"/>
  <c r="BL448" i="9"/>
  <c r="BL447" i="9" s="1"/>
  <c r="BN7" i="9"/>
  <c r="Q8" i="9"/>
  <c r="Q377" i="9" s="1"/>
  <c r="X8" i="9"/>
  <c r="Z8" i="9"/>
  <c r="AO8" i="9"/>
  <c r="AW8" i="9"/>
  <c r="BD8" i="9"/>
  <c r="BH8" i="9"/>
  <c r="BK8" i="9" s="1"/>
  <c r="BN8" i="9"/>
  <c r="CB8" i="9"/>
  <c r="CC8" i="9" s="1"/>
  <c r="CQ8" i="9"/>
  <c r="DG8" i="9"/>
  <c r="R9" i="9"/>
  <c r="V9" i="9"/>
  <c r="Y9" i="9"/>
  <c r="AA9" i="9"/>
  <c r="AD9" i="9"/>
  <c r="AF9" i="9"/>
  <c r="AX9" i="9"/>
  <c r="BJ9" i="9"/>
  <c r="DH306" i="9"/>
  <c r="CA304" i="9"/>
  <c r="R10" i="9"/>
  <c r="AD10" i="9"/>
  <c r="AP10" i="9"/>
  <c r="AX10" i="9"/>
  <c r="CC10" i="9"/>
  <c r="DH10" i="9"/>
  <c r="R11" i="9"/>
  <c r="AD11" i="9"/>
  <c r="AP11" i="9"/>
  <c r="AX11" i="9"/>
  <c r="CC11" i="9"/>
  <c r="DH11" i="9"/>
  <c r="R12" i="9"/>
  <c r="AD12" i="9"/>
  <c r="AP12" i="9"/>
  <c r="AX12" i="9"/>
  <c r="CR12" i="9"/>
  <c r="CR9" i="9" s="1"/>
  <c r="R13" i="9"/>
  <c r="V13" i="9"/>
  <c r="Y13" i="9"/>
  <c r="AA13" i="9"/>
  <c r="AD13" i="9"/>
  <c r="AF13" i="9"/>
  <c r="AP13" i="9"/>
  <c r="AX13" i="9"/>
  <c r="DD13" i="9"/>
  <c r="Q369" i="9"/>
  <c r="X14" i="9"/>
  <c r="AC14" i="9"/>
  <c r="AF14" i="9"/>
  <c r="AO14" i="9"/>
  <c r="CR14" i="9"/>
  <c r="X15" i="9"/>
  <c r="AC15" i="9"/>
  <c r="AE15" i="9"/>
  <c r="AO15" i="9"/>
  <c r="AW15" i="9"/>
  <c r="BD15" i="9"/>
  <c r="BH15" i="9"/>
  <c r="BK15" i="9" s="1"/>
  <c r="BN15" i="9"/>
  <c r="DF15" i="9"/>
  <c r="R16" i="9"/>
  <c r="V16" i="9"/>
  <c r="Y16" i="9"/>
  <c r="AE16" i="9"/>
  <c r="AW16" i="9"/>
  <c r="BD16" i="9"/>
  <c r="BH16" i="9"/>
  <c r="BK16" i="9" s="1"/>
  <c r="BN16" i="9"/>
  <c r="DH16" i="9"/>
  <c r="X17" i="9"/>
  <c r="AC17" i="9"/>
  <c r="AF17" i="9"/>
  <c r="AO17" i="9"/>
  <c r="CR17" i="9"/>
  <c r="R18" i="9"/>
  <c r="Y18" i="9"/>
  <c r="AE18" i="9"/>
  <c r="AO18" i="9"/>
  <c r="CR18" i="9"/>
  <c r="X19" i="9"/>
  <c r="BD19" i="9"/>
  <c r="BH19" i="9"/>
  <c r="BK19" i="9" s="1"/>
  <c r="BN19" i="9"/>
  <c r="X20" i="9"/>
  <c r="AC20" i="9"/>
  <c r="AE20" i="9"/>
  <c r="AO20" i="9"/>
  <c r="AX20" i="9"/>
  <c r="BD20" i="9"/>
  <c r="BH20" i="9"/>
  <c r="BK20" i="9" s="1"/>
  <c r="BN20" i="9"/>
  <c r="DC20" i="9"/>
  <c r="DG20" i="9"/>
  <c r="X21" i="9"/>
  <c r="AC21" i="9"/>
  <c r="AE21" i="9"/>
  <c r="AO21" i="9"/>
  <c r="AW21" i="9"/>
  <c r="BD21" i="9"/>
  <c r="BH21" i="9"/>
  <c r="BK21" i="9" s="1"/>
  <c r="BN21" i="9"/>
  <c r="Q22" i="9"/>
  <c r="X22" i="9"/>
  <c r="AC22" i="9"/>
  <c r="AF22" i="9"/>
  <c r="AO22" i="9"/>
  <c r="BN22" i="9"/>
  <c r="CQ22" i="9"/>
  <c r="DF22" i="9"/>
  <c r="V23" i="9"/>
  <c r="Y23" i="9"/>
  <c r="AA23" i="9"/>
  <c r="AD23" i="9"/>
  <c r="AF23" i="9"/>
  <c r="AP23" i="9"/>
  <c r="AW23" i="9"/>
  <c r="BN23" i="9"/>
  <c r="CP23" i="9"/>
  <c r="X24" i="9"/>
  <c r="AA24" i="9"/>
  <c r="AE24" i="9"/>
  <c r="AW24" i="9"/>
  <c r="BD24" i="9"/>
  <c r="BH24" i="9"/>
  <c r="BK24" i="9" s="1"/>
  <c r="BN24" i="9"/>
  <c r="V25" i="9"/>
  <c r="Y25" i="9"/>
  <c r="AA25" i="9"/>
  <c r="AE25" i="9"/>
  <c r="AO25" i="9"/>
  <c r="CR25" i="9"/>
  <c r="DB26" i="9"/>
  <c r="F27" i="9"/>
  <c r="G336" i="9"/>
  <c r="G321" i="9"/>
  <c r="K321" i="9"/>
  <c r="K337" i="9"/>
  <c r="S337" i="9"/>
  <c r="S321" i="9"/>
  <c r="U462" i="9"/>
  <c r="U503" i="9" s="1"/>
  <c r="W28" i="9"/>
  <c r="Y28" i="9"/>
  <c r="AA28" i="9"/>
  <c r="AC28" i="9"/>
  <c r="AE28" i="9"/>
  <c r="AO28" i="9"/>
  <c r="AQ462" i="9"/>
  <c r="AQ503" i="9" s="1"/>
  <c r="AS462" i="9"/>
  <c r="AS503" i="9" s="1"/>
  <c r="AW28" i="9"/>
  <c r="BB462" i="9"/>
  <c r="BB503" i="9" s="1"/>
  <c r="BB321" i="9"/>
  <c r="BJ28" i="9"/>
  <c r="BL462" i="9"/>
  <c r="BL503" i="9" s="1"/>
  <c r="BL321" i="9"/>
  <c r="CQ462" i="9"/>
  <c r="CQ503" i="9" s="1"/>
  <c r="DG28" i="9"/>
  <c r="R29" i="9"/>
  <c r="V29" i="9"/>
  <c r="X29" i="9"/>
  <c r="AB29" i="9"/>
  <c r="AD29" i="9"/>
  <c r="AF29" i="9"/>
  <c r="AP29" i="9"/>
  <c r="AX29" i="9"/>
  <c r="R30" i="9"/>
  <c r="W30" i="9"/>
  <c r="Y30" i="9"/>
  <c r="AA30" i="9"/>
  <c r="AC30" i="9"/>
  <c r="AE30" i="9"/>
  <c r="AO30" i="9"/>
  <c r="AW30" i="9"/>
  <c r="BD30" i="9"/>
  <c r="BH30" i="9"/>
  <c r="CB30" i="9"/>
  <c r="CP30" i="9"/>
  <c r="CP29" i="9" s="1"/>
  <c r="CP28" i="9" s="1"/>
  <c r="C31" i="9"/>
  <c r="E31" i="9"/>
  <c r="G31" i="9"/>
  <c r="I31" i="9"/>
  <c r="K31" i="9"/>
  <c r="M31" i="9"/>
  <c r="S31" i="9"/>
  <c r="U31" i="9"/>
  <c r="AQ31" i="9"/>
  <c r="AM31" i="9" s="1"/>
  <c r="AS31" i="9"/>
  <c r="BB31" i="9"/>
  <c r="AU31" i="9" s="1"/>
  <c r="BL31" i="9"/>
  <c r="BR31" i="9"/>
  <c r="BU31" i="9"/>
  <c r="BZ31" i="9"/>
  <c r="DG31" i="9" s="1"/>
  <c r="AC32" i="9"/>
  <c r="AO32" i="9"/>
  <c r="T328" i="9"/>
  <c r="T239" i="9"/>
  <c r="DH34" i="9"/>
  <c r="Q35" i="9"/>
  <c r="W35" i="9"/>
  <c r="Y35" i="9"/>
  <c r="AA35" i="9"/>
  <c r="AC35" i="9"/>
  <c r="AE35" i="9"/>
  <c r="AO35" i="9"/>
  <c r="AU35" i="9"/>
  <c r="AW35" i="9"/>
  <c r="I425" i="9"/>
  <c r="I407" i="9"/>
  <c r="I403" i="9"/>
  <c r="O403" i="9"/>
  <c r="R36" i="9"/>
  <c r="AB36" i="9"/>
  <c r="AD36" i="9"/>
  <c r="AF36" i="9"/>
  <c r="AP36" i="9"/>
  <c r="AX36" i="9"/>
  <c r="BC407" i="9"/>
  <c r="BC403" i="9"/>
  <c r="BG403" i="9"/>
  <c r="BI407" i="9"/>
  <c r="BI403" i="9"/>
  <c r="BK36" i="9"/>
  <c r="BN36" i="9"/>
  <c r="CB36" i="9"/>
  <c r="W37" i="9"/>
  <c r="Y37" i="9"/>
  <c r="BD37" i="9"/>
  <c r="BH37" i="9"/>
  <c r="BK37" i="9" s="1"/>
  <c r="BN37" i="9"/>
  <c r="W38" i="9"/>
  <c r="Y38" i="9"/>
  <c r="AO38" i="9"/>
  <c r="P376" i="9"/>
  <c r="P425" i="9"/>
  <c r="P407" i="9"/>
  <c r="P400" i="9"/>
  <c r="R39" i="9"/>
  <c r="W39" i="9"/>
  <c r="Y39" i="9"/>
  <c r="AO39" i="9"/>
  <c r="AQ407" i="9"/>
  <c r="AQ400" i="9"/>
  <c r="BK39" i="9"/>
  <c r="BQ407" i="9"/>
  <c r="BQ400" i="9"/>
  <c r="X40" i="9"/>
  <c r="AO40" i="9"/>
  <c r="BK40" i="9"/>
  <c r="X41" i="9"/>
  <c r="AO41" i="9"/>
  <c r="BK41" i="9"/>
  <c r="X42" i="9"/>
  <c r="AO42" i="9"/>
  <c r="BK42" i="9"/>
  <c r="R43" i="9"/>
  <c r="AP43" i="9"/>
  <c r="AX43" i="9"/>
  <c r="X44" i="9"/>
  <c r="AC44" i="9"/>
  <c r="AE44" i="9"/>
  <c r="AI44" i="9"/>
  <c r="AK44" i="9"/>
  <c r="AO44" i="9"/>
  <c r="BF44" i="9"/>
  <c r="BP44" i="9"/>
  <c r="X45" i="9"/>
  <c r="AC45" i="9"/>
  <c r="AE45" i="9"/>
  <c r="AI45" i="9"/>
  <c r="AK45" i="9"/>
  <c r="AO45" i="9"/>
  <c r="BF45" i="9"/>
  <c r="BP45" i="9"/>
  <c r="X46" i="9"/>
  <c r="AO46" i="9"/>
  <c r="BK46" i="9"/>
  <c r="X47" i="9"/>
  <c r="AC47" i="9"/>
  <c r="AF47" i="9"/>
  <c r="BD47" i="9"/>
  <c r="BH47" i="9"/>
  <c r="BK47" i="9" s="1"/>
  <c r="BN47" i="9"/>
  <c r="R48" i="9"/>
  <c r="AP48" i="9"/>
  <c r="AX48" i="9"/>
  <c r="X49" i="9"/>
  <c r="AC49" i="9"/>
  <c r="AE49" i="9"/>
  <c r="AO49" i="9"/>
  <c r="BF49" i="9"/>
  <c r="CC49" i="9"/>
  <c r="X50" i="9"/>
  <c r="AC50" i="9"/>
  <c r="AE50" i="9"/>
  <c r="AO50" i="9"/>
  <c r="BN50" i="9"/>
  <c r="Q51" i="9"/>
  <c r="Q368" i="9" s="1"/>
  <c r="X51" i="9"/>
  <c r="AC51" i="9"/>
  <c r="AF51" i="9"/>
  <c r="AO51" i="9"/>
  <c r="BK51" i="9"/>
  <c r="BN51" i="9"/>
  <c r="Q52" i="9"/>
  <c r="Q401" i="9" s="1"/>
  <c r="AB52" i="9"/>
  <c r="AD52" i="9"/>
  <c r="AF52" i="9"/>
  <c r="AS457" i="9"/>
  <c r="AS498" i="9" s="1"/>
  <c r="AS401" i="9"/>
  <c r="BB457" i="9"/>
  <c r="BB498" i="9" s="1"/>
  <c r="BB401" i="9"/>
  <c r="BD52" i="9"/>
  <c r="BH52" i="9"/>
  <c r="BH401" i="9" s="1"/>
  <c r="BL457" i="9"/>
  <c r="BL498" i="9" s="1"/>
  <c r="BL401" i="9"/>
  <c r="BN52" i="9"/>
  <c r="W53" i="9"/>
  <c r="Y53" i="9"/>
  <c r="AC53" i="9"/>
  <c r="AO53" i="9"/>
  <c r="BN53" i="9"/>
  <c r="X54" i="9"/>
  <c r="AC54" i="9"/>
  <c r="AF54" i="9"/>
  <c r="AO54" i="9"/>
  <c r="BK54" i="9"/>
  <c r="BN54" i="9"/>
  <c r="R55" i="9"/>
  <c r="AB55" i="9"/>
  <c r="AD55" i="9"/>
  <c r="AF55" i="9"/>
  <c r="AP55" i="9"/>
  <c r="AX55" i="9"/>
  <c r="BD55" i="9"/>
  <c r="BH55" i="9"/>
  <c r="BK55" i="9" s="1"/>
  <c r="R56" i="9"/>
  <c r="V56" i="9"/>
  <c r="X56" i="9"/>
  <c r="AB56" i="9"/>
  <c r="AD56" i="9"/>
  <c r="AF56" i="9"/>
  <c r="AP56" i="9"/>
  <c r="AX56" i="9"/>
  <c r="BJ56" i="9"/>
  <c r="Q57" i="9"/>
  <c r="W57" i="9"/>
  <c r="Y57" i="9"/>
  <c r="AA57" i="9"/>
  <c r="AC57" i="9"/>
  <c r="AE57" i="9"/>
  <c r="AO57" i="9"/>
  <c r="AW57" i="9"/>
  <c r="BD57" i="9"/>
  <c r="BH57" i="9"/>
  <c r="CB57" i="9"/>
  <c r="CC57" i="9" s="1"/>
  <c r="V58" i="9"/>
  <c r="X58" i="9"/>
  <c r="AB58" i="9"/>
  <c r="AD58" i="9"/>
  <c r="AP58" i="9"/>
  <c r="AX58" i="9"/>
  <c r="BG58" i="9"/>
  <c r="BJ58" i="9" s="1"/>
  <c r="CB58" i="9"/>
  <c r="DI58" i="9" s="1"/>
  <c r="O59" i="9"/>
  <c r="Q59" i="9"/>
  <c r="W59" i="9"/>
  <c r="Y59" i="9"/>
  <c r="AA59" i="9"/>
  <c r="AC59" i="9"/>
  <c r="AE59" i="9"/>
  <c r="AO59" i="9"/>
  <c r="AW59" i="9"/>
  <c r="BD59" i="9"/>
  <c r="BH59" i="9"/>
  <c r="BK59" i="9" s="1"/>
  <c r="BJ59" i="9"/>
  <c r="CB59" i="9"/>
  <c r="DI59" i="9" s="1"/>
  <c r="Q60" i="9"/>
  <c r="X60" i="9"/>
  <c r="AC60" i="9"/>
  <c r="AO60" i="9"/>
  <c r="AW60" i="9"/>
  <c r="BD60" i="9"/>
  <c r="BH60" i="9"/>
  <c r="BK60" i="9" s="1"/>
  <c r="BN60" i="9"/>
  <c r="V61" i="9"/>
  <c r="X61" i="9"/>
  <c r="BE61" i="9"/>
  <c r="BG61" i="9"/>
  <c r="BJ61" i="9" s="1"/>
  <c r="CB61" i="9"/>
  <c r="Q62" i="9"/>
  <c r="W62" i="9"/>
  <c r="Y62" i="9"/>
  <c r="AA62" i="9"/>
  <c r="AC62" i="9"/>
  <c r="AE62" i="9"/>
  <c r="AO62" i="9"/>
  <c r="AW62" i="9"/>
  <c r="BD62" i="9"/>
  <c r="BH62" i="9"/>
  <c r="BK62" i="9" s="1"/>
  <c r="BJ62" i="9"/>
  <c r="CC62" i="9"/>
  <c r="V63" i="9"/>
  <c r="X63" i="9"/>
  <c r="AB63" i="9"/>
  <c r="AD63" i="9"/>
  <c r="AH63" i="9"/>
  <c r="AJ63" i="9"/>
  <c r="AX63" i="9"/>
  <c r="BE63" i="9"/>
  <c r="BG63" i="9"/>
  <c r="BJ63" i="9" s="1"/>
  <c r="BO63" i="9"/>
  <c r="V64" i="9"/>
  <c r="Y64" i="9"/>
  <c r="BE64" i="9"/>
  <c r="BG64" i="9"/>
  <c r="BJ64" i="9" s="1"/>
  <c r="CB64" i="9"/>
  <c r="Q65" i="9"/>
  <c r="X65" i="9"/>
  <c r="Z65" i="9"/>
  <c r="AO65" i="9"/>
  <c r="AW65" i="9"/>
  <c r="BD65" i="9"/>
  <c r="BH65" i="9"/>
  <c r="BK65" i="9" s="1"/>
  <c r="BN65" i="9"/>
  <c r="O66" i="9"/>
  <c r="Q66" i="9"/>
  <c r="X66" i="9"/>
  <c r="Z66" i="9"/>
  <c r="AO66" i="9"/>
  <c r="AW66" i="9"/>
  <c r="BD66" i="9"/>
  <c r="BH66" i="9"/>
  <c r="BK66" i="9" s="1"/>
  <c r="BJ66" i="9"/>
  <c r="CC66" i="9"/>
  <c r="O67" i="9"/>
  <c r="O405" i="9" s="1"/>
  <c r="Q67" i="9"/>
  <c r="W67" i="9"/>
  <c r="Y67" i="9"/>
  <c r="AA67" i="9"/>
  <c r="AC67" i="9"/>
  <c r="AE67" i="9"/>
  <c r="AO67" i="9"/>
  <c r="AW67" i="9"/>
  <c r="BD67" i="9"/>
  <c r="BH67" i="9"/>
  <c r="BK67" i="9" s="1"/>
  <c r="CB67" i="9"/>
  <c r="DI67" i="9" s="1"/>
  <c r="R68" i="9"/>
  <c r="X68" i="9"/>
  <c r="AB68" i="9"/>
  <c r="AD68" i="9"/>
  <c r="AF68" i="9"/>
  <c r="AP68" i="9"/>
  <c r="AX68" i="9"/>
  <c r="BK68" i="9"/>
  <c r="BN68" i="9"/>
  <c r="CB68" i="9"/>
  <c r="DI68" i="9" s="1"/>
  <c r="R69" i="9"/>
  <c r="V69" i="9"/>
  <c r="X69" i="9"/>
  <c r="AB69" i="9"/>
  <c r="AD69" i="9"/>
  <c r="AF69" i="9"/>
  <c r="AP69" i="9"/>
  <c r="AX69" i="9"/>
  <c r="BG69" i="9"/>
  <c r="BJ69" i="9" s="1"/>
  <c r="BN69" i="9"/>
  <c r="CB69" i="9"/>
  <c r="DI69" i="9" s="1"/>
  <c r="V70" i="9"/>
  <c r="X70" i="9"/>
  <c r="AB70" i="9"/>
  <c r="AD70" i="9"/>
  <c r="AF70" i="9"/>
  <c r="AP70" i="9"/>
  <c r="AX70" i="9"/>
  <c r="BN70" i="9"/>
  <c r="CB70" i="9"/>
  <c r="DI70" i="9" s="1"/>
  <c r="Q71" i="9"/>
  <c r="X71" i="9"/>
  <c r="AC71" i="9"/>
  <c r="AE71" i="9"/>
  <c r="AO71" i="9"/>
  <c r="AW71" i="9"/>
  <c r="BD71" i="9"/>
  <c r="BH71" i="9"/>
  <c r="BK71" i="9" s="1"/>
  <c r="BN71" i="9"/>
  <c r="Q72" i="9"/>
  <c r="AA72" i="9"/>
  <c r="AE72" i="9"/>
  <c r="AO72" i="9"/>
  <c r="AU72" i="9"/>
  <c r="AW72" i="9" s="1"/>
  <c r="Q73" i="9"/>
  <c r="W73" i="9"/>
  <c r="Y73" i="9"/>
  <c r="AA73" i="9"/>
  <c r="AC73" i="9"/>
  <c r="AE73" i="9"/>
  <c r="AO73" i="9"/>
  <c r="AW73" i="9"/>
  <c r="BD73" i="9"/>
  <c r="BH73" i="9"/>
  <c r="BN73" i="9"/>
  <c r="V74" i="9"/>
  <c r="X74" i="9"/>
  <c r="AB74" i="9"/>
  <c r="AD74" i="9"/>
  <c r="AF74" i="9"/>
  <c r="AP74" i="9"/>
  <c r="AX74" i="9"/>
  <c r="BG74" i="9"/>
  <c r="BJ74" i="9" s="1"/>
  <c r="CP74" i="9"/>
  <c r="R75" i="9"/>
  <c r="V75" i="9"/>
  <c r="X75" i="9"/>
  <c r="BE75" i="9"/>
  <c r="BG75" i="9"/>
  <c r="BJ75" i="9" s="1"/>
  <c r="BK75" i="9"/>
  <c r="BN75" i="9"/>
  <c r="CB75" i="9"/>
  <c r="Q76" i="9"/>
  <c r="W76" i="9"/>
  <c r="Y76" i="9"/>
  <c r="AA76" i="9"/>
  <c r="AC76" i="9"/>
  <c r="AE76" i="9"/>
  <c r="AO76" i="9"/>
  <c r="AW76" i="9"/>
  <c r="BD76" i="9"/>
  <c r="BH76" i="9"/>
  <c r="BK76" i="9" s="1"/>
  <c r="BN76" i="9"/>
  <c r="Q77" i="9"/>
  <c r="U77" i="9"/>
  <c r="AA77" i="9"/>
  <c r="AC77" i="9"/>
  <c r="AE77" i="9"/>
  <c r="AM77" i="9"/>
  <c r="BG77" i="9" s="1"/>
  <c r="BJ77" i="9" s="1"/>
  <c r="AO77" i="9"/>
  <c r="AU77" i="9"/>
  <c r="AW77" i="9"/>
  <c r="BN77" i="9"/>
  <c r="O78" i="9"/>
  <c r="Q78" i="9"/>
  <c r="U78" i="9"/>
  <c r="AA78" i="9"/>
  <c r="AC78" i="9"/>
  <c r="AE78" i="9"/>
  <c r="AO78" i="9"/>
  <c r="AW78" i="9"/>
  <c r="CB78" i="9"/>
  <c r="DI78" i="9" s="1"/>
  <c r="V79" i="9"/>
  <c r="X79" i="9"/>
  <c r="AB79" i="9"/>
  <c r="AD79" i="9"/>
  <c r="AH79" i="9"/>
  <c r="AJ79" i="9"/>
  <c r="AX79" i="9"/>
  <c r="BE79" i="9"/>
  <c r="BG79" i="9"/>
  <c r="BJ79" i="9" s="1"/>
  <c r="BO79" i="9"/>
  <c r="CP79" i="9"/>
  <c r="V80" i="9"/>
  <c r="X80" i="9"/>
  <c r="AP80" i="9"/>
  <c r="BD80" i="9"/>
  <c r="BO80" i="9"/>
  <c r="Q81" i="9"/>
  <c r="W81" i="9"/>
  <c r="Z81" i="9"/>
  <c r="AO81" i="9"/>
  <c r="AW81" i="9"/>
  <c r="BD81" i="9"/>
  <c r="BH81" i="9"/>
  <c r="BK81" i="9" s="1"/>
  <c r="BN81" i="9"/>
  <c r="V82" i="9"/>
  <c r="X82" i="9"/>
  <c r="AB82" i="9"/>
  <c r="AD82" i="9"/>
  <c r="AH82" i="9"/>
  <c r="AJ82" i="9"/>
  <c r="AX82" i="9"/>
  <c r="BE82" i="9"/>
  <c r="BG82" i="9"/>
  <c r="BJ82" i="9" s="1"/>
  <c r="BO82" i="9"/>
  <c r="O83" i="9"/>
  <c r="Q83" i="9"/>
  <c r="W83" i="9"/>
  <c r="AA83" i="9"/>
  <c r="AC83" i="9"/>
  <c r="AE83" i="9"/>
  <c r="AO83" i="9"/>
  <c r="AW83" i="9"/>
  <c r="BD83" i="9"/>
  <c r="BH83" i="9"/>
  <c r="BK83" i="9" s="1"/>
  <c r="BJ83" i="9"/>
  <c r="CC83" i="9"/>
  <c r="Q84" i="9"/>
  <c r="Z84" i="9"/>
  <c r="AO84" i="9"/>
  <c r="AW84" i="9"/>
  <c r="BD84" i="9"/>
  <c r="BH84" i="9"/>
  <c r="BK84" i="9" s="1"/>
  <c r="BN84" i="9"/>
  <c r="Q85" i="9"/>
  <c r="AA85" i="9"/>
  <c r="AE85" i="9"/>
  <c r="AO85" i="9"/>
  <c r="AQ496" i="9"/>
  <c r="AS496" i="9"/>
  <c r="AU85" i="9"/>
  <c r="AW85" i="9"/>
  <c r="BQ496" i="9"/>
  <c r="BY85" i="9"/>
  <c r="V86" i="9"/>
  <c r="Y86" i="9"/>
  <c r="BE86" i="9"/>
  <c r="BG86" i="9"/>
  <c r="BJ86" i="9" s="1"/>
  <c r="CB86" i="9"/>
  <c r="P413" i="9"/>
  <c r="R87" i="9"/>
  <c r="V87" i="9"/>
  <c r="X87" i="9"/>
  <c r="AV87" i="9"/>
  <c r="BG87" i="9"/>
  <c r="BI413" i="9"/>
  <c r="BK87" i="9"/>
  <c r="CB87" i="9"/>
  <c r="DC87" i="9"/>
  <c r="V88" i="9"/>
  <c r="X88" i="9"/>
  <c r="BE88" i="9"/>
  <c r="BG88" i="9"/>
  <c r="BJ88" i="9" s="1"/>
  <c r="BN88" i="9"/>
  <c r="BN85" i="9" s="1"/>
  <c r="CB88" i="9"/>
  <c r="DI88" i="9" s="1"/>
  <c r="O89" i="9"/>
  <c r="Q89" i="9"/>
  <c r="W89" i="9"/>
  <c r="Y89" i="9"/>
  <c r="AA89" i="9"/>
  <c r="AC89" i="9"/>
  <c r="AE89" i="9"/>
  <c r="AO89" i="9"/>
  <c r="AW89" i="9"/>
  <c r="BD89" i="9"/>
  <c r="BH89" i="9"/>
  <c r="BK89" i="9" s="1"/>
  <c r="BJ89" i="9"/>
  <c r="CB89" i="9"/>
  <c r="DI89" i="9" s="1"/>
  <c r="R90" i="9"/>
  <c r="X90" i="9"/>
  <c r="AB90" i="9"/>
  <c r="AD90" i="9"/>
  <c r="AF90" i="9"/>
  <c r="AP90" i="9"/>
  <c r="AX90" i="9"/>
  <c r="BK90" i="9"/>
  <c r="BN90" i="9"/>
  <c r="M426" i="9"/>
  <c r="M414" i="9"/>
  <c r="M421" i="9" s="1"/>
  <c r="P426" i="9"/>
  <c r="P414" i="9"/>
  <c r="R91" i="9"/>
  <c r="X91" i="9"/>
  <c r="AB91" i="9"/>
  <c r="AD91" i="9"/>
  <c r="AF91" i="9"/>
  <c r="AP91" i="9"/>
  <c r="AX91" i="9"/>
  <c r="BG414" i="9"/>
  <c r="BK91" i="9"/>
  <c r="BN91" i="9"/>
  <c r="M374" i="9"/>
  <c r="R92" i="9"/>
  <c r="X92" i="9"/>
  <c r="AB92" i="9"/>
  <c r="AD92" i="9"/>
  <c r="AF92" i="9"/>
  <c r="AP92" i="9"/>
  <c r="AX92" i="9"/>
  <c r="BK92" i="9"/>
  <c r="BN92" i="9"/>
  <c r="DC92" i="9"/>
  <c r="W93" i="9"/>
  <c r="Y93" i="9"/>
  <c r="AC93" i="9"/>
  <c r="AI93" i="9"/>
  <c r="AK93" i="9"/>
  <c r="AO93" i="9"/>
  <c r="BF93" i="9"/>
  <c r="BP93" i="9"/>
  <c r="DF93" i="9"/>
  <c r="W94" i="9"/>
  <c r="Y94" i="9"/>
  <c r="AO94" i="9"/>
  <c r="BF94" i="9"/>
  <c r="R95" i="9"/>
  <c r="X95" i="9"/>
  <c r="AB95" i="9"/>
  <c r="AD95" i="9"/>
  <c r="AF95" i="9"/>
  <c r="AP95" i="9"/>
  <c r="AX95" i="9"/>
  <c r="BK95" i="9"/>
  <c r="BN95" i="9"/>
  <c r="DC95" i="9"/>
  <c r="X96" i="9"/>
  <c r="AO96" i="9"/>
  <c r="BF96" i="9"/>
  <c r="W97" i="9"/>
  <c r="Y97" i="9"/>
  <c r="AC97" i="9"/>
  <c r="AI97" i="9"/>
  <c r="AK97" i="9"/>
  <c r="AO97" i="9"/>
  <c r="BF97" i="9"/>
  <c r="BP97" i="9"/>
  <c r="R98" i="9"/>
  <c r="AB98" i="9"/>
  <c r="AE98" i="9"/>
  <c r="AO98" i="9"/>
  <c r="R99" i="9"/>
  <c r="X99" i="9"/>
  <c r="AB99" i="9"/>
  <c r="AD99" i="9"/>
  <c r="AF99" i="9"/>
  <c r="AP99" i="9"/>
  <c r="AX99" i="9"/>
  <c r="BK99" i="9"/>
  <c r="BN99" i="9"/>
  <c r="R100" i="9"/>
  <c r="AB100" i="9"/>
  <c r="AF100" i="9"/>
  <c r="AP100" i="9"/>
  <c r="AX100" i="9"/>
  <c r="BD100" i="9"/>
  <c r="BH100" i="9"/>
  <c r="BK100" i="9" s="1"/>
  <c r="BN100" i="9"/>
  <c r="CB100" i="9"/>
  <c r="DI100" i="9" s="1"/>
  <c r="DC100" i="9"/>
  <c r="R101" i="9"/>
  <c r="X101" i="9"/>
  <c r="AB101" i="9"/>
  <c r="AD101" i="9"/>
  <c r="AF101" i="9"/>
  <c r="AP101" i="9"/>
  <c r="BD101" i="9"/>
  <c r="BH101" i="9"/>
  <c r="BK101" i="9" s="1"/>
  <c r="BN101" i="9"/>
  <c r="R102" i="9"/>
  <c r="X102" i="9"/>
  <c r="AB102" i="9"/>
  <c r="AD102" i="9"/>
  <c r="AF102" i="9"/>
  <c r="AP102" i="9"/>
  <c r="AX102" i="9"/>
  <c r="BK102" i="9"/>
  <c r="BN102" i="9"/>
  <c r="R103" i="9"/>
  <c r="Y103" i="9"/>
  <c r="AP103" i="9"/>
  <c r="AX103" i="9"/>
  <c r="DC103" i="9"/>
  <c r="W104" i="9"/>
  <c r="Y104" i="9"/>
  <c r="AC104" i="9"/>
  <c r="AO104" i="9"/>
  <c r="BF104" i="9"/>
  <c r="BP104" i="9"/>
  <c r="R105" i="9"/>
  <c r="AB105" i="9"/>
  <c r="AD105" i="9"/>
  <c r="AF105" i="9"/>
  <c r="AP105" i="9"/>
  <c r="AX105" i="9"/>
  <c r="W106" i="9"/>
  <c r="Y106" i="9"/>
  <c r="AC106" i="9"/>
  <c r="AI106" i="9"/>
  <c r="AK106" i="9"/>
  <c r="AO106" i="9"/>
  <c r="BF106" i="9"/>
  <c r="BP106" i="9"/>
  <c r="W107" i="9"/>
  <c r="Y107" i="9"/>
  <c r="AC107" i="9"/>
  <c r="AI107" i="9"/>
  <c r="AK107" i="9"/>
  <c r="AO107" i="9"/>
  <c r="BF107" i="9"/>
  <c r="BP107" i="9"/>
  <c r="W108" i="9"/>
  <c r="Y108" i="9"/>
  <c r="AC108" i="9"/>
  <c r="AI108" i="9"/>
  <c r="AK108" i="9"/>
  <c r="AO108" i="9"/>
  <c r="BF108" i="9"/>
  <c r="BP108" i="9"/>
  <c r="R109" i="9"/>
  <c r="AB109" i="9"/>
  <c r="AD109" i="9"/>
  <c r="AF109" i="9"/>
  <c r="AP109" i="9"/>
  <c r="AX109" i="9"/>
  <c r="W110" i="9"/>
  <c r="Y110" i="9"/>
  <c r="AC110" i="9"/>
  <c r="AI110" i="9"/>
  <c r="AK110" i="9"/>
  <c r="AO110" i="9"/>
  <c r="BF110" i="9"/>
  <c r="BP110" i="9"/>
  <c r="R111" i="9"/>
  <c r="AB111" i="9"/>
  <c r="AD111" i="9"/>
  <c r="AF111" i="9"/>
  <c r="AP111" i="9"/>
  <c r="AX111" i="9"/>
  <c r="BK111" i="9"/>
  <c r="BN111" i="9"/>
  <c r="R112" i="9"/>
  <c r="AB112" i="9"/>
  <c r="AD112" i="9"/>
  <c r="AF112" i="9"/>
  <c r="AP112" i="9"/>
  <c r="AX112" i="9"/>
  <c r="W113" i="9"/>
  <c r="Y113" i="9"/>
  <c r="AO113" i="9"/>
  <c r="BF113" i="9"/>
  <c r="W114" i="9"/>
  <c r="Y114" i="9"/>
  <c r="AC114" i="9"/>
  <c r="AI114" i="9"/>
  <c r="AK114" i="9"/>
  <c r="AO114" i="9"/>
  <c r="BF114" i="9"/>
  <c r="BP114" i="9"/>
  <c r="R115" i="9"/>
  <c r="X115" i="9"/>
  <c r="AB115" i="9"/>
  <c r="AD115" i="9"/>
  <c r="AF115" i="9"/>
  <c r="AP115" i="9"/>
  <c r="AX115" i="9"/>
  <c r="CP115" i="9"/>
  <c r="R116" i="9"/>
  <c r="BD116" i="9"/>
  <c r="BH116" i="9"/>
  <c r="BK116" i="9" s="1"/>
  <c r="BN116" i="9"/>
  <c r="X117" i="9"/>
  <c r="AO117" i="9"/>
  <c r="BF117" i="9"/>
  <c r="CC117" i="9"/>
  <c r="DF117" i="9"/>
  <c r="R118" i="9"/>
  <c r="AB118" i="9"/>
  <c r="AD118" i="9"/>
  <c r="AF118" i="9"/>
  <c r="AP118" i="9"/>
  <c r="BD118" i="9"/>
  <c r="BH118" i="9"/>
  <c r="BK118" i="9" s="1"/>
  <c r="BN118" i="9"/>
  <c r="R119" i="9"/>
  <c r="X119" i="9"/>
  <c r="AO119" i="9"/>
  <c r="AW120" i="9"/>
  <c r="CC121" i="9"/>
  <c r="BN121" i="9"/>
  <c r="BH121" i="9"/>
  <c r="BK121" i="9" s="1"/>
  <c r="BD121" i="9"/>
  <c r="AO121" i="9"/>
  <c r="Z121" i="9"/>
  <c r="AX140" i="9"/>
  <c r="Z140" i="9"/>
  <c r="AW140" i="9"/>
  <c r="BP142" i="9"/>
  <c r="BO142" i="9"/>
  <c r="AY142" i="9"/>
  <c r="AG142" i="9" s="1"/>
  <c r="AZ142" i="9"/>
  <c r="AX142" i="9"/>
  <c r="Z142" i="9"/>
  <c r="BA142" i="9"/>
  <c r="AW142" i="9"/>
  <c r="DI147" i="9"/>
  <c r="CC147" i="9"/>
  <c r="AV146" i="9"/>
  <c r="BN150" i="9"/>
  <c r="AL146" i="9"/>
  <c r="BP153" i="9"/>
  <c r="BO153" i="9"/>
  <c r="AY153" i="9"/>
  <c r="AG153" i="9" s="1"/>
  <c r="AX153" i="9"/>
  <c r="Z153" i="9"/>
  <c r="BA153" i="9"/>
  <c r="AW153" i="9"/>
  <c r="AO160" i="9"/>
  <c r="AP160" i="9"/>
  <c r="AW191" i="9"/>
  <c r="AX191" i="9"/>
  <c r="Z191" i="9"/>
  <c r="AW200" i="9"/>
  <c r="AX200" i="9"/>
  <c r="AW204" i="9"/>
  <c r="AX204" i="9"/>
  <c r="C366" i="9"/>
  <c r="C381" i="9" s="1"/>
  <c r="C325" i="9"/>
  <c r="E325" i="9"/>
  <c r="E366" i="9"/>
  <c r="E381" i="9" s="1"/>
  <c r="G366" i="9"/>
  <c r="G381" i="9" s="1"/>
  <c r="G325" i="9"/>
  <c r="I336" i="9"/>
  <c r="K366" i="9"/>
  <c r="K325" i="9"/>
  <c r="K336" i="9"/>
  <c r="M336" i="9"/>
  <c r="O336" i="9"/>
  <c r="Q5" i="9"/>
  <c r="S336" i="9"/>
  <c r="S329" i="9"/>
  <c r="S327" i="9"/>
  <c r="S325" i="9"/>
  <c r="S366" i="9"/>
  <c r="S381" i="9" s="1"/>
  <c r="W5" i="9"/>
  <c r="Y5" i="9"/>
  <c r="W6" i="9"/>
  <c r="AA6" i="9"/>
  <c r="AC6" i="9"/>
  <c r="AW6" i="9"/>
  <c r="R7" i="9"/>
  <c r="U490" i="9"/>
  <c r="U448" i="9"/>
  <c r="U447" i="9" s="1"/>
  <c r="W7" i="9"/>
  <c r="Y7" i="9"/>
  <c r="AA7" i="9"/>
  <c r="AC7" i="9"/>
  <c r="AQ490" i="9"/>
  <c r="AQ489" i="9" s="1"/>
  <c r="AQ488" i="9" s="1"/>
  <c r="AQ448" i="9"/>
  <c r="AQ447" i="9" s="1"/>
  <c r="BB490" i="9"/>
  <c r="BB489" i="9" s="1"/>
  <c r="BB488" i="9" s="1"/>
  <c r="BB448" i="9"/>
  <c r="BB447" i="9" s="1"/>
  <c r="BD7" i="9"/>
  <c r="BQ490" i="9"/>
  <c r="BQ489" i="9" s="1"/>
  <c r="BQ488" i="9" s="1"/>
  <c r="BQ448" i="9"/>
  <c r="BQ447" i="9" s="1"/>
  <c r="CP7" i="9"/>
  <c r="R8" i="9"/>
  <c r="AX8" i="9"/>
  <c r="DG306" i="9"/>
  <c r="BZ304" i="9"/>
  <c r="CT8" i="9"/>
  <c r="X9" i="9"/>
  <c r="AC9" i="9"/>
  <c r="AO9" i="9"/>
  <c r="AW9" i="9"/>
  <c r="CT9" i="9"/>
  <c r="DG9" i="9"/>
  <c r="Q10" i="9"/>
  <c r="X10" i="9"/>
  <c r="AC10" i="9"/>
  <c r="AO10" i="9"/>
  <c r="AW10" i="9"/>
  <c r="BD10" i="9"/>
  <c r="Q11" i="9"/>
  <c r="X11" i="9"/>
  <c r="AC11" i="9"/>
  <c r="AO11" i="9"/>
  <c r="AW11" i="9"/>
  <c r="BD11" i="9"/>
  <c r="AC12" i="9"/>
  <c r="AO12" i="9"/>
  <c r="AW12" i="9"/>
  <c r="BD12" i="9"/>
  <c r="CB12" i="9"/>
  <c r="DI12" i="9" s="1"/>
  <c r="X13" i="9"/>
  <c r="AC13" i="9"/>
  <c r="AW13" i="9"/>
  <c r="R14" i="9"/>
  <c r="V14" i="9"/>
  <c r="Y14" i="9"/>
  <c r="AA14" i="9"/>
  <c r="AW14" i="9"/>
  <c r="BD14" i="9"/>
  <c r="BN14" i="9"/>
  <c r="V15" i="9"/>
  <c r="Y15" i="9"/>
  <c r="AA15" i="9"/>
  <c r="AD15" i="9"/>
  <c r="AX15" i="9"/>
  <c r="Q16" i="9"/>
  <c r="Q372" i="9" s="1"/>
  <c r="X16" i="9"/>
  <c r="AC16" i="9"/>
  <c r="V17" i="9"/>
  <c r="AA17" i="9"/>
  <c r="AW17" i="9"/>
  <c r="BD17" i="9"/>
  <c r="BN17" i="9"/>
  <c r="Q18" i="9"/>
  <c r="AC18" i="9"/>
  <c r="AW18" i="9"/>
  <c r="BD18" i="9"/>
  <c r="BN18" i="9"/>
  <c r="V19" i="9"/>
  <c r="V20" i="9"/>
  <c r="Y20" i="9"/>
  <c r="AA20" i="9"/>
  <c r="AD20" i="9"/>
  <c r="V21" i="9"/>
  <c r="Y21" i="9"/>
  <c r="AA21" i="9"/>
  <c r="AD21" i="9"/>
  <c r="AX21" i="9"/>
  <c r="CB21" i="9"/>
  <c r="DI21" i="9" s="1"/>
  <c r="V22" i="9"/>
  <c r="Y22" i="9"/>
  <c r="AA22" i="9"/>
  <c r="AW22" i="9"/>
  <c r="BD22" i="9"/>
  <c r="CP22" i="9"/>
  <c r="AC23" i="9"/>
  <c r="AO23" i="9"/>
  <c r="AX23" i="9"/>
  <c r="BD23" i="9"/>
  <c r="V24" i="9"/>
  <c r="AC25" i="9"/>
  <c r="AW25" i="9"/>
  <c r="BD25" i="9"/>
  <c r="BN25" i="9"/>
  <c r="D26" i="9"/>
  <c r="D344" i="9" s="1"/>
  <c r="F26" i="9"/>
  <c r="H26" i="9"/>
  <c r="J26" i="9"/>
  <c r="L26" i="9"/>
  <c r="N26" i="9"/>
  <c r="P26" i="9"/>
  <c r="T26" i="9"/>
  <c r="V26" i="9" s="1"/>
  <c r="AL26" i="9"/>
  <c r="AR26" i="9"/>
  <c r="AN26" i="9" s="1"/>
  <c r="AT26" i="9"/>
  <c r="BB26" i="9"/>
  <c r="BL26" i="9"/>
  <c r="BR26" i="9"/>
  <c r="BR311" i="9" s="1"/>
  <c r="BR310" i="9" s="1"/>
  <c r="BR309" i="9" s="1"/>
  <c r="BR319" i="9" s="1"/>
  <c r="BR323" i="9" s="1"/>
  <c r="BZ26" i="9"/>
  <c r="DG26" i="9" s="1"/>
  <c r="E27" i="9"/>
  <c r="J337" i="9"/>
  <c r="J321" i="9"/>
  <c r="L337" i="9"/>
  <c r="L321" i="9"/>
  <c r="N337" i="9"/>
  <c r="N321" i="9"/>
  <c r="R28" i="9"/>
  <c r="T462" i="9"/>
  <c r="T503" i="9" s="1"/>
  <c r="T321" i="9"/>
  <c r="V28" i="9"/>
  <c r="X28" i="9"/>
  <c r="AB28" i="9"/>
  <c r="AD28" i="9"/>
  <c r="AX28" i="9"/>
  <c r="BQ462" i="9"/>
  <c r="BQ503" i="9" s="1"/>
  <c r="BQ321" i="9"/>
  <c r="BX28" i="9"/>
  <c r="CR462" i="9"/>
  <c r="CR503" i="9" s="1"/>
  <c r="DF28" i="9"/>
  <c r="DH28" i="9"/>
  <c r="W29" i="9"/>
  <c r="AA29" i="9"/>
  <c r="AC29" i="9"/>
  <c r="O30" i="9"/>
  <c r="O29" i="9" s="1"/>
  <c r="O28" i="9" s="1"/>
  <c r="V30" i="9"/>
  <c r="AB30" i="9"/>
  <c r="AD30" i="9"/>
  <c r="AX30" i="9"/>
  <c r="BN30" i="9"/>
  <c r="D31" i="9"/>
  <c r="F31" i="9"/>
  <c r="H31" i="9"/>
  <c r="J31" i="9"/>
  <c r="L31" i="9"/>
  <c r="N31" i="9"/>
  <c r="N32" i="9" s="1"/>
  <c r="P31" i="9"/>
  <c r="T31" i="9"/>
  <c r="AL31" i="9"/>
  <c r="AR31" i="9"/>
  <c r="AN31" i="9" s="1"/>
  <c r="AT31" i="9"/>
  <c r="BC31" i="9"/>
  <c r="BI31" i="9"/>
  <c r="BM31" i="9"/>
  <c r="BQ31" i="9"/>
  <c r="BQ311" i="9" s="1"/>
  <c r="BS31" i="9"/>
  <c r="BV31" i="9"/>
  <c r="BY31" i="9"/>
  <c r="DF31" i="9" s="1"/>
  <c r="CA31" i="9"/>
  <c r="DH31" i="9" s="1"/>
  <c r="CQ31" i="9"/>
  <c r="DB31" i="9"/>
  <c r="AA32" i="9"/>
  <c r="AW32" i="9"/>
  <c r="R33" i="9"/>
  <c r="Z33" i="9"/>
  <c r="C347" i="9"/>
  <c r="C239" i="9"/>
  <c r="C344" i="9" s="1"/>
  <c r="S328" i="9"/>
  <c r="S239" i="9"/>
  <c r="DG34" i="9"/>
  <c r="R35" i="9"/>
  <c r="V35" i="9"/>
  <c r="AB35" i="9"/>
  <c r="AD35" i="9"/>
  <c r="AX35" i="9"/>
  <c r="M425" i="9"/>
  <c r="M407" i="9"/>
  <c r="M403" i="9"/>
  <c r="M413" i="9" s="1"/>
  <c r="Q36" i="9"/>
  <c r="U403" i="9"/>
  <c r="W36" i="9"/>
  <c r="Y36" i="9"/>
  <c r="AA36" i="9"/>
  <c r="AC36" i="9"/>
  <c r="AO36" i="9"/>
  <c r="AW36" i="9"/>
  <c r="BD36" i="9"/>
  <c r="BJ36" i="9"/>
  <c r="BM407" i="9"/>
  <c r="BM403" i="9"/>
  <c r="BR407" i="9"/>
  <c r="BR403" i="9"/>
  <c r="DB407" i="9"/>
  <c r="DB403" i="9"/>
  <c r="V37" i="9"/>
  <c r="X37" i="9"/>
  <c r="Z37" i="9"/>
  <c r="V38" i="9"/>
  <c r="X38" i="9"/>
  <c r="O39" i="9"/>
  <c r="Q39" i="9"/>
  <c r="Q400" i="9" s="1"/>
  <c r="S376" i="9"/>
  <c r="S425" i="9"/>
  <c r="S407" i="9"/>
  <c r="S400" i="9"/>
  <c r="V39" i="9"/>
  <c r="X39" i="9"/>
  <c r="AP39" i="9"/>
  <c r="AS407" i="9"/>
  <c r="AS400" i="9"/>
  <c r="AV39" i="9"/>
  <c r="BB407" i="9"/>
  <c r="BB400" i="9"/>
  <c r="BD39" i="9"/>
  <c r="BJ39" i="9"/>
  <c r="BL407" i="9"/>
  <c r="BL400" i="9"/>
  <c r="BN39" i="9"/>
  <c r="V40" i="9"/>
  <c r="Y40" i="9"/>
  <c r="AP40" i="9"/>
  <c r="BD40" i="9"/>
  <c r="BN40" i="9"/>
  <c r="V41" i="9"/>
  <c r="Y41" i="9"/>
  <c r="AP41" i="9"/>
  <c r="BD41" i="9"/>
  <c r="BN41" i="9"/>
  <c r="V42" i="9"/>
  <c r="Y42" i="9"/>
  <c r="AP42" i="9"/>
  <c r="BD42" i="9"/>
  <c r="BN42" i="9"/>
  <c r="X43" i="9"/>
  <c r="Z43" i="9"/>
  <c r="AO43" i="9"/>
  <c r="AW43" i="9"/>
  <c r="BD43" i="9"/>
  <c r="BN43" i="9"/>
  <c r="V44" i="9"/>
  <c r="Y44" i="9"/>
  <c r="AA44" i="9"/>
  <c r="AD44" i="9"/>
  <c r="AH44" i="9"/>
  <c r="AX44" i="9"/>
  <c r="V45" i="9"/>
  <c r="Y45" i="9"/>
  <c r="AA45" i="9"/>
  <c r="AD45" i="9"/>
  <c r="AH45" i="9"/>
  <c r="AX45" i="9"/>
  <c r="V46" i="9"/>
  <c r="Y46" i="9"/>
  <c r="AP46" i="9"/>
  <c r="BD46" i="9"/>
  <c r="BN46" i="9"/>
  <c r="V47" i="9"/>
  <c r="Y47" i="9"/>
  <c r="AA47" i="9"/>
  <c r="X48" i="9"/>
  <c r="Z48" i="9"/>
  <c r="AO48" i="9"/>
  <c r="AW48" i="9"/>
  <c r="BD48" i="9"/>
  <c r="BN48" i="9"/>
  <c r="V49" i="9"/>
  <c r="Y49" i="9"/>
  <c r="AA49" i="9"/>
  <c r="AD49" i="9"/>
  <c r="AW49" i="9"/>
  <c r="V50" i="9"/>
  <c r="Y50" i="9"/>
  <c r="AA50" i="9"/>
  <c r="AD50" i="9"/>
  <c r="AP50" i="9"/>
  <c r="AX50" i="9"/>
  <c r="BD50" i="9"/>
  <c r="V51" i="9"/>
  <c r="Y51" i="9"/>
  <c r="AA51" i="9"/>
  <c r="AW51" i="9"/>
  <c r="BD51" i="9"/>
  <c r="R52" i="9"/>
  <c r="U457" i="9"/>
  <c r="U498" i="9" s="1"/>
  <c r="U401" i="9"/>
  <c r="W52" i="9"/>
  <c r="Y52" i="9"/>
  <c r="AA52" i="9"/>
  <c r="AC52" i="9"/>
  <c r="AM52" i="9"/>
  <c r="BG52" i="9" s="1"/>
  <c r="AQ457" i="9"/>
  <c r="AQ498" i="9" s="1"/>
  <c r="AQ401" i="9"/>
  <c r="AU52" i="9"/>
  <c r="AX52" i="9" s="1"/>
  <c r="AW52" i="9"/>
  <c r="BK52" i="9"/>
  <c r="BQ457" i="9"/>
  <c r="BQ498" i="9" s="1"/>
  <c r="BQ401" i="9"/>
  <c r="CB52" i="9"/>
  <c r="V53" i="9"/>
  <c r="X53" i="9"/>
  <c r="AB53" i="9"/>
  <c r="AD53" i="9"/>
  <c r="AP53" i="9"/>
  <c r="AX53" i="9"/>
  <c r="BD53" i="9"/>
  <c r="V54" i="9"/>
  <c r="Y54" i="9"/>
  <c r="AA54" i="9"/>
  <c r="AW54" i="9"/>
  <c r="BD54" i="9"/>
  <c r="W55" i="9"/>
  <c r="Y55" i="9"/>
  <c r="AA55" i="9"/>
  <c r="AC55" i="9"/>
  <c r="AW55" i="9"/>
  <c r="BN55" i="9"/>
  <c r="W56" i="9"/>
  <c r="Y56" i="9"/>
  <c r="AA56" i="9"/>
  <c r="AC56" i="9"/>
  <c r="AW56" i="9"/>
  <c r="R57" i="9"/>
  <c r="V57" i="9"/>
  <c r="X57" i="9"/>
  <c r="AB57" i="9"/>
  <c r="AD57" i="9"/>
  <c r="AX57" i="9"/>
  <c r="BK57" i="9"/>
  <c r="BN57" i="9"/>
  <c r="W58" i="9"/>
  <c r="Y58" i="9"/>
  <c r="AC58" i="9"/>
  <c r="BD58" i="9"/>
  <c r="BN58" i="9"/>
  <c r="X59" i="9"/>
  <c r="AB59" i="9"/>
  <c r="AD59" i="9"/>
  <c r="AX59" i="9"/>
  <c r="BN59" i="9"/>
  <c r="AX60" i="9"/>
  <c r="CB60" i="9"/>
  <c r="DI60" i="9" s="1"/>
  <c r="W61" i="9"/>
  <c r="Y61" i="9"/>
  <c r="AB62" i="9"/>
  <c r="AD62" i="9"/>
  <c r="AX62" i="9"/>
  <c r="W63" i="9"/>
  <c r="Y63" i="9"/>
  <c r="AC63" i="9"/>
  <c r="AI63" i="9"/>
  <c r="X64" i="9"/>
  <c r="AX65" i="9"/>
  <c r="R66" i="9"/>
  <c r="AX66" i="9"/>
  <c r="R67" i="9"/>
  <c r="V67" i="9"/>
  <c r="X67" i="9"/>
  <c r="AB67" i="9"/>
  <c r="AD67" i="9"/>
  <c r="AX67" i="9"/>
  <c r="BN67" i="9"/>
  <c r="O68" i="9"/>
  <c r="W68" i="9"/>
  <c r="Y68" i="9"/>
  <c r="AA68" i="9"/>
  <c r="AC68" i="9"/>
  <c r="AO68" i="9"/>
  <c r="AW68" i="9"/>
  <c r="BD68" i="9"/>
  <c r="W69" i="9"/>
  <c r="Y69" i="9"/>
  <c r="AA69" i="9"/>
  <c r="AC69" i="9"/>
  <c r="BD69" i="9"/>
  <c r="W70" i="9"/>
  <c r="Y70" i="9"/>
  <c r="AA70" i="9"/>
  <c r="AC70" i="9"/>
  <c r="AO70" i="9"/>
  <c r="AW70" i="9"/>
  <c r="BD70" i="9"/>
  <c r="V71" i="9"/>
  <c r="Y71" i="9"/>
  <c r="AD71" i="9"/>
  <c r="AX71" i="9"/>
  <c r="AB72" i="9"/>
  <c r="AX72" i="9"/>
  <c r="O404" i="9"/>
  <c r="R73" i="9"/>
  <c r="AB73" i="9"/>
  <c r="AD73" i="9"/>
  <c r="AX73" i="9"/>
  <c r="CP73" i="9"/>
  <c r="W74" i="9"/>
  <c r="Y74" i="9"/>
  <c r="BD74" i="9"/>
  <c r="BN74" i="9"/>
  <c r="W75" i="9"/>
  <c r="Y75" i="9"/>
  <c r="AB76" i="9"/>
  <c r="AD76" i="9"/>
  <c r="AX76" i="9"/>
  <c r="AB77" i="9"/>
  <c r="AD77" i="9"/>
  <c r="AP77" i="9"/>
  <c r="AX77" i="9"/>
  <c r="BD77" i="9"/>
  <c r="AB78" i="9"/>
  <c r="AD78" i="9"/>
  <c r="AP78" i="9"/>
  <c r="AX78" i="9"/>
  <c r="BD78" i="9"/>
  <c r="BN78" i="9"/>
  <c r="W79" i="9"/>
  <c r="Y79" i="9"/>
  <c r="AI79" i="9"/>
  <c r="W80" i="9"/>
  <c r="Y80" i="9"/>
  <c r="AO80" i="9"/>
  <c r="AX81" i="9"/>
  <c r="W82" i="9"/>
  <c r="Y82" i="9"/>
  <c r="AC82" i="9"/>
  <c r="AI82" i="9"/>
  <c r="R83" i="9"/>
  <c r="AB83" i="9"/>
  <c r="AD83" i="9"/>
  <c r="AX83" i="9"/>
  <c r="AX84" i="9"/>
  <c r="R85" i="9"/>
  <c r="T496" i="9"/>
  <c r="T454" i="9"/>
  <c r="AB85" i="9"/>
  <c r="AX85" i="9"/>
  <c r="BB496" i="9"/>
  <c r="BB454" i="9"/>
  <c r="BL496" i="9"/>
  <c r="BL454" i="9"/>
  <c r="X86" i="9"/>
  <c r="I413" i="9"/>
  <c r="Q87" i="9"/>
  <c r="W87" i="9"/>
  <c r="Y87" i="9"/>
  <c r="BF87" i="9"/>
  <c r="DB413" i="9"/>
  <c r="W88" i="9"/>
  <c r="Y88" i="9"/>
  <c r="R89" i="9"/>
  <c r="X89" i="9"/>
  <c r="AB89" i="9"/>
  <c r="AD89" i="9"/>
  <c r="AX89" i="9"/>
  <c r="BN89" i="9"/>
  <c r="O90" i="9"/>
  <c r="Q90" i="9"/>
  <c r="W90" i="9"/>
  <c r="Y90" i="9"/>
  <c r="AA90" i="9"/>
  <c r="AC90" i="9"/>
  <c r="AO90" i="9"/>
  <c r="AW90" i="9"/>
  <c r="BD90" i="9"/>
  <c r="CB90" i="9"/>
  <c r="DI90" i="9" s="1"/>
  <c r="I426" i="9"/>
  <c r="I414" i="9"/>
  <c r="O91" i="9"/>
  <c r="Q91" i="9"/>
  <c r="U426" i="9"/>
  <c r="U414" i="9"/>
  <c r="U421" i="9" s="1"/>
  <c r="W91" i="9"/>
  <c r="Y91" i="9"/>
  <c r="AA91" i="9"/>
  <c r="AC91" i="9"/>
  <c r="AO91" i="9"/>
  <c r="AW91" i="9"/>
  <c r="BD91" i="9"/>
  <c r="BJ91" i="9"/>
  <c r="CB91" i="9"/>
  <c r="DI91" i="9" s="1"/>
  <c r="DC91" i="9"/>
  <c r="I374" i="9"/>
  <c r="O92" i="9"/>
  <c r="W92" i="9"/>
  <c r="Y92" i="9"/>
  <c r="AA92" i="9"/>
  <c r="AC92" i="9"/>
  <c r="AO92" i="9"/>
  <c r="AW92" i="9"/>
  <c r="BD92" i="9"/>
  <c r="R93" i="9"/>
  <c r="V93" i="9"/>
  <c r="X93" i="9"/>
  <c r="AB93" i="9"/>
  <c r="AD93" i="9"/>
  <c r="AH93" i="9"/>
  <c r="AX93" i="9"/>
  <c r="R94" i="9"/>
  <c r="V94" i="9"/>
  <c r="X94" i="9"/>
  <c r="CB94" i="9"/>
  <c r="O95" i="9"/>
  <c r="W95" i="9"/>
  <c r="Y95" i="9"/>
  <c r="AA95" i="9"/>
  <c r="AC95" i="9"/>
  <c r="AO95" i="9"/>
  <c r="AW95" i="9"/>
  <c r="BD95" i="9"/>
  <c r="R96" i="9"/>
  <c r="V96" i="9"/>
  <c r="Y96" i="9"/>
  <c r="CB96" i="9"/>
  <c r="V97" i="9"/>
  <c r="X97" i="9"/>
  <c r="AB97" i="9"/>
  <c r="AD97" i="9"/>
  <c r="AH97" i="9"/>
  <c r="AX97" i="9"/>
  <c r="AA98" i="9"/>
  <c r="AC98" i="9"/>
  <c r="BD98" i="9"/>
  <c r="O99" i="9"/>
  <c r="Q99" i="9"/>
  <c r="Q374" i="9" s="1"/>
  <c r="W99" i="9"/>
  <c r="Y99" i="9"/>
  <c r="AA99" i="9"/>
  <c r="AC99" i="9"/>
  <c r="AO99" i="9"/>
  <c r="AW99" i="9"/>
  <c r="BD99" i="9"/>
  <c r="CB99" i="9"/>
  <c r="DI99" i="9" s="1"/>
  <c r="O100" i="9"/>
  <c r="U100" i="9"/>
  <c r="AA100" i="9"/>
  <c r="AC100" i="9"/>
  <c r="AW100" i="9"/>
  <c r="O101" i="9"/>
  <c r="Q101" i="9"/>
  <c r="W101" i="9"/>
  <c r="Y101" i="9"/>
  <c r="AA101" i="9"/>
  <c r="AC101" i="9"/>
  <c r="AX101" i="9"/>
  <c r="CB101" i="9"/>
  <c r="DI101" i="9" s="1"/>
  <c r="O102" i="9"/>
  <c r="Q102" i="9"/>
  <c r="W102" i="9"/>
  <c r="Y102" i="9"/>
  <c r="AA102" i="9"/>
  <c r="AC102" i="9"/>
  <c r="AO102" i="9"/>
  <c r="AW102" i="9"/>
  <c r="BD102" i="9"/>
  <c r="CB102" i="9"/>
  <c r="DI102" i="9" s="1"/>
  <c r="O103" i="9"/>
  <c r="X103" i="9"/>
  <c r="Z103" i="9"/>
  <c r="AO103" i="9"/>
  <c r="AW103" i="9"/>
  <c r="BD103" i="9"/>
  <c r="BN103" i="9"/>
  <c r="V104" i="9"/>
  <c r="X104" i="9"/>
  <c r="AB104" i="9"/>
  <c r="AD104" i="9"/>
  <c r="AY104" i="9"/>
  <c r="W105" i="9"/>
  <c r="Y105" i="9"/>
  <c r="AA105" i="9"/>
  <c r="AC105" i="9"/>
  <c r="AO105" i="9"/>
  <c r="AW105" i="9"/>
  <c r="BD105" i="9"/>
  <c r="BN105" i="9"/>
  <c r="V106" i="9"/>
  <c r="X106" i="9"/>
  <c r="AB106" i="9"/>
  <c r="AD106" i="9"/>
  <c r="AH106" i="9"/>
  <c r="AX106" i="9"/>
  <c r="R107" i="9"/>
  <c r="V107" i="9"/>
  <c r="X107" i="9"/>
  <c r="AB107" i="9"/>
  <c r="AD107" i="9"/>
  <c r="AH107" i="9"/>
  <c r="AX107" i="9"/>
  <c r="R108" i="9"/>
  <c r="V108" i="9"/>
  <c r="X108" i="9"/>
  <c r="AB108" i="9"/>
  <c r="AD108" i="9"/>
  <c r="AH108" i="9"/>
  <c r="AX108" i="9"/>
  <c r="W109" i="9"/>
  <c r="Y109" i="9"/>
  <c r="AA109" i="9"/>
  <c r="AC109" i="9"/>
  <c r="AO109" i="9"/>
  <c r="AW109" i="9"/>
  <c r="BD109" i="9"/>
  <c r="BN109" i="9"/>
  <c r="R110" i="9"/>
  <c r="V110" i="9"/>
  <c r="X110" i="9"/>
  <c r="AB110" i="9"/>
  <c r="AD110" i="9"/>
  <c r="AH110" i="9"/>
  <c r="AX110" i="9"/>
  <c r="W111" i="9"/>
  <c r="Y111" i="9"/>
  <c r="AA111" i="9"/>
  <c r="AC111" i="9"/>
  <c r="AO111" i="9"/>
  <c r="AW111" i="9"/>
  <c r="BD111" i="9"/>
  <c r="W112" i="9"/>
  <c r="Y112" i="9"/>
  <c r="AA112" i="9"/>
  <c r="AC112" i="9"/>
  <c r="AO112" i="9"/>
  <c r="AW112" i="9"/>
  <c r="BD112" i="9"/>
  <c r="BN112" i="9"/>
  <c r="V113" i="9"/>
  <c r="X113" i="9"/>
  <c r="CB113" i="9"/>
  <c r="DI113" i="9" s="1"/>
  <c r="V114" i="9"/>
  <c r="X114" i="9"/>
  <c r="AB114" i="9"/>
  <c r="AD114" i="9"/>
  <c r="AH114" i="9"/>
  <c r="AX114" i="9"/>
  <c r="O115" i="9"/>
  <c r="Q115" i="9"/>
  <c r="W115" i="9"/>
  <c r="AA115" i="9"/>
  <c r="AC115" i="9"/>
  <c r="AO115" i="9"/>
  <c r="AW115" i="9"/>
  <c r="BD115" i="9"/>
  <c r="BN115" i="9"/>
  <c r="X116" i="9"/>
  <c r="Z116" i="9"/>
  <c r="AX116" i="9"/>
  <c r="V117" i="9"/>
  <c r="Y117" i="9"/>
  <c r="W118" i="9"/>
  <c r="Y118" i="9"/>
  <c r="AA118" i="9"/>
  <c r="AC118" i="9"/>
  <c r="AX118" i="9"/>
  <c r="O119" i="9"/>
  <c r="Q119" i="9"/>
  <c r="W119" i="9"/>
  <c r="Y119" i="9"/>
  <c r="AP119" i="9"/>
  <c r="AY119" i="9"/>
  <c r="BF119" i="9"/>
  <c r="BK119" i="9"/>
  <c r="AX119" i="9"/>
  <c r="DF119" i="9"/>
  <c r="R120" i="9"/>
  <c r="Z120" i="9"/>
  <c r="CC120" i="9"/>
  <c r="BN120" i="9"/>
  <c r="BH120" i="9"/>
  <c r="BK120" i="9" s="1"/>
  <c r="BD120" i="9"/>
  <c r="AO120" i="9"/>
  <c r="AX120" i="9"/>
  <c r="R121" i="9"/>
  <c r="AP121" i="9"/>
  <c r="BP129" i="9"/>
  <c r="BO129" i="9"/>
  <c r="BJ136" i="9"/>
  <c r="AK138" i="9"/>
  <c r="AI138" i="9"/>
  <c r="AJ138" i="9"/>
  <c r="AH138" i="9"/>
  <c r="BJ140" i="9"/>
  <c r="BJ141" i="9"/>
  <c r="DI142" i="9"/>
  <c r="CB140" i="9"/>
  <c r="CC142" i="9"/>
  <c r="BG417" i="9"/>
  <c r="BJ147" i="9"/>
  <c r="BK148" i="9"/>
  <c r="AX150" i="9"/>
  <c r="Z150" i="9"/>
  <c r="AW150" i="9"/>
  <c r="DI153" i="9"/>
  <c r="CC153" i="9"/>
  <c r="AW164" i="9"/>
  <c r="AX164" i="9"/>
  <c r="Z164" i="9"/>
  <c r="BO169" i="9"/>
  <c r="BP169" i="9"/>
  <c r="AW178" i="9"/>
  <c r="AX178" i="9"/>
  <c r="Z178" i="9"/>
  <c r="BO180" i="9"/>
  <c r="BP180" i="9"/>
  <c r="AW182" i="9"/>
  <c r="AX182" i="9"/>
  <c r="BN183" i="9"/>
  <c r="AL170" i="9"/>
  <c r="AW186" i="9"/>
  <c r="AX186" i="9"/>
  <c r="Z186" i="9"/>
  <c r="AW208" i="9"/>
  <c r="AX208" i="9"/>
  <c r="Z208" i="9"/>
  <c r="AW214" i="9"/>
  <c r="AX214" i="9"/>
  <c r="Z214" i="9"/>
  <c r="AW215" i="9"/>
  <c r="AX215" i="9"/>
  <c r="Z215" i="9"/>
  <c r="BO216" i="9"/>
  <c r="BP216" i="9"/>
  <c r="W122" i="9"/>
  <c r="Y122" i="9"/>
  <c r="AC122" i="9"/>
  <c r="AI122" i="9"/>
  <c r="AK122" i="9"/>
  <c r="AO122" i="9"/>
  <c r="BF122" i="9"/>
  <c r="BP122" i="9"/>
  <c r="R123" i="9"/>
  <c r="AB123" i="9"/>
  <c r="AD123" i="9"/>
  <c r="AF123" i="9"/>
  <c r="AP123" i="9"/>
  <c r="AX123" i="9"/>
  <c r="X124" i="9"/>
  <c r="AC124" i="9"/>
  <c r="AE124" i="9"/>
  <c r="AO124" i="9"/>
  <c r="AX124" i="9"/>
  <c r="R125" i="9"/>
  <c r="AB125" i="9"/>
  <c r="AD125" i="9"/>
  <c r="AF125" i="9"/>
  <c r="AP125" i="9"/>
  <c r="AX125" i="9"/>
  <c r="R126" i="9"/>
  <c r="X126" i="9"/>
  <c r="AB126" i="9"/>
  <c r="AD126" i="9"/>
  <c r="AF126" i="9"/>
  <c r="AP126" i="9"/>
  <c r="BK126" i="9"/>
  <c r="BN126" i="9"/>
  <c r="DC126" i="9"/>
  <c r="R127" i="9"/>
  <c r="X127" i="9"/>
  <c r="AB127" i="9"/>
  <c r="AD127" i="9"/>
  <c r="AF127" i="9"/>
  <c r="AP127" i="9"/>
  <c r="AX127" i="9"/>
  <c r="CB127" i="9"/>
  <c r="DI127" i="9" s="1"/>
  <c r="DC127" i="9"/>
  <c r="R128" i="9"/>
  <c r="X128" i="9"/>
  <c r="AB128" i="9"/>
  <c r="AD128" i="9"/>
  <c r="AF128" i="9"/>
  <c r="AP128" i="9"/>
  <c r="AX128" i="9"/>
  <c r="BK128" i="9"/>
  <c r="BN128" i="9"/>
  <c r="DF128" i="9"/>
  <c r="R129" i="9"/>
  <c r="AB129" i="9"/>
  <c r="AD129" i="9"/>
  <c r="AF129" i="9"/>
  <c r="AP129" i="9"/>
  <c r="AX129" i="9"/>
  <c r="BK129" i="9"/>
  <c r="BQ413" i="9"/>
  <c r="CC129" i="9"/>
  <c r="DF129" i="9"/>
  <c r="R130" i="9"/>
  <c r="AB130" i="9"/>
  <c r="AD130" i="9"/>
  <c r="AF130" i="9"/>
  <c r="AP130" i="9"/>
  <c r="AX130" i="9"/>
  <c r="BK130" i="9"/>
  <c r="BN130" i="9"/>
  <c r="W131" i="9"/>
  <c r="Y131" i="9"/>
  <c r="AC131" i="9"/>
  <c r="AI131" i="9"/>
  <c r="AK131" i="9"/>
  <c r="AO131" i="9"/>
  <c r="BF131" i="9"/>
  <c r="BP131" i="9"/>
  <c r="W132" i="9"/>
  <c r="Y132" i="9"/>
  <c r="AC132" i="9"/>
  <c r="AI132" i="9"/>
  <c r="AK132" i="9"/>
  <c r="AO132" i="9"/>
  <c r="BF132" i="9"/>
  <c r="BP132" i="9"/>
  <c r="X133" i="9"/>
  <c r="AC133" i="9"/>
  <c r="AE133" i="9"/>
  <c r="AI133" i="9"/>
  <c r="AK133" i="9"/>
  <c r="AO133" i="9"/>
  <c r="BF133" i="9"/>
  <c r="BP133" i="9"/>
  <c r="R134" i="9"/>
  <c r="AP134" i="9"/>
  <c r="AX134" i="9"/>
  <c r="R135" i="9"/>
  <c r="BD135" i="9"/>
  <c r="BH135" i="9"/>
  <c r="BK135" i="9" s="1"/>
  <c r="BN135" i="9"/>
  <c r="Q375" i="9"/>
  <c r="X136" i="9"/>
  <c r="AC136" i="9"/>
  <c r="AE136" i="9"/>
  <c r="AO136" i="9"/>
  <c r="AX136" i="9"/>
  <c r="BK136" i="9"/>
  <c r="BN136" i="9"/>
  <c r="X137" i="9"/>
  <c r="AC137" i="9"/>
  <c r="AE137" i="9"/>
  <c r="AO137" i="9"/>
  <c r="AX137" i="9"/>
  <c r="AB138" i="9"/>
  <c r="AD138" i="9"/>
  <c r="AF138" i="9"/>
  <c r="AO138" i="9"/>
  <c r="BA138" i="9"/>
  <c r="W140" i="9"/>
  <c r="Y140" i="9"/>
  <c r="AO140" i="9"/>
  <c r="Q141" i="9"/>
  <c r="W141" i="9"/>
  <c r="Y141" i="9"/>
  <c r="AC141" i="9"/>
  <c r="AI141" i="9"/>
  <c r="AK141" i="9"/>
  <c r="AO141" i="9"/>
  <c r="BF141" i="9"/>
  <c r="BK141" i="9"/>
  <c r="BP141" i="9"/>
  <c r="W142" i="9"/>
  <c r="Y142" i="9"/>
  <c r="AO142" i="9"/>
  <c r="BF142" i="9"/>
  <c r="DF142" i="9"/>
  <c r="R143" i="9"/>
  <c r="AB143" i="9"/>
  <c r="AD143" i="9"/>
  <c r="AF143" i="9"/>
  <c r="AP143" i="9"/>
  <c r="AX143" i="9"/>
  <c r="W144" i="9"/>
  <c r="Y144" i="9"/>
  <c r="AC144" i="9"/>
  <c r="AI144" i="9"/>
  <c r="AK144" i="9"/>
  <c r="AO144" i="9"/>
  <c r="BF144" i="9"/>
  <c r="BP144" i="9"/>
  <c r="R145" i="9"/>
  <c r="AB145" i="9"/>
  <c r="AD145" i="9"/>
  <c r="AF145" i="9"/>
  <c r="AP145" i="9"/>
  <c r="AX145" i="9"/>
  <c r="AP146" i="9"/>
  <c r="DC146" i="9"/>
  <c r="W147" i="9"/>
  <c r="Y147" i="9"/>
  <c r="AC147" i="9"/>
  <c r="AI147" i="9"/>
  <c r="AK147" i="9"/>
  <c r="AO147" i="9"/>
  <c r="BF147" i="9"/>
  <c r="BH417" i="9"/>
  <c r="BK147" i="9"/>
  <c r="BP147" i="9"/>
  <c r="DF147" i="9"/>
  <c r="R148" i="9"/>
  <c r="AP148" i="9"/>
  <c r="AX148" i="9"/>
  <c r="W149" i="9"/>
  <c r="Y149" i="9"/>
  <c r="AC149" i="9"/>
  <c r="AI149" i="9"/>
  <c r="AK149" i="9"/>
  <c r="AO149" i="9"/>
  <c r="BF149" i="9"/>
  <c r="BP149" i="9"/>
  <c r="W150" i="9"/>
  <c r="Y150" i="9"/>
  <c r="AO150" i="9"/>
  <c r="BF150" i="9"/>
  <c r="CB150" i="9"/>
  <c r="DI150" i="9" s="1"/>
  <c r="CP150" i="9"/>
  <c r="W151" i="9"/>
  <c r="Y151" i="9"/>
  <c r="AC151" i="9"/>
  <c r="AI151" i="9"/>
  <c r="AK151" i="9"/>
  <c r="AO151" i="9"/>
  <c r="BF151" i="9"/>
  <c r="BP151" i="9"/>
  <c r="W152" i="9"/>
  <c r="Y152" i="9"/>
  <c r="AC152" i="9"/>
  <c r="AI152" i="9"/>
  <c r="AK152" i="9"/>
  <c r="AO152" i="9"/>
  <c r="BF152" i="9"/>
  <c r="BP152" i="9"/>
  <c r="W153" i="9"/>
  <c r="Y153" i="9"/>
  <c r="AO153" i="9"/>
  <c r="BF153" i="9"/>
  <c r="DF153" i="9"/>
  <c r="R154" i="9"/>
  <c r="AB154" i="9"/>
  <c r="AD154" i="9"/>
  <c r="AF154" i="9"/>
  <c r="AP154" i="9"/>
  <c r="AX154" i="9"/>
  <c r="R155" i="9"/>
  <c r="X155" i="9"/>
  <c r="AB155" i="9"/>
  <c r="AD155" i="9"/>
  <c r="AF155" i="9"/>
  <c r="AP155" i="9"/>
  <c r="AX155" i="9"/>
  <c r="BK155" i="9"/>
  <c r="BO155" i="9"/>
  <c r="CC155" i="9"/>
  <c r="AW156" i="9"/>
  <c r="Q157" i="9"/>
  <c r="O157" i="9"/>
  <c r="X157" i="9"/>
  <c r="AW157" i="9"/>
  <c r="BJ157" i="9"/>
  <c r="BD157" i="9"/>
  <c r="DC157" i="9"/>
  <c r="Q158" i="9"/>
  <c r="O158" i="9"/>
  <c r="X158" i="9"/>
  <c r="AW158" i="9"/>
  <c r="X159" i="9"/>
  <c r="V159" i="9"/>
  <c r="Y159" i="9"/>
  <c r="BH161" i="9"/>
  <c r="AO161" i="9"/>
  <c r="BN161" i="9"/>
  <c r="CC161" i="9"/>
  <c r="X162" i="9"/>
  <c r="V162" i="9"/>
  <c r="U160" i="9"/>
  <c r="Y162" i="9"/>
  <c r="AO162" i="9"/>
  <c r="AY163" i="9"/>
  <c r="AG163" i="9" s="1"/>
  <c r="AZ163" i="9"/>
  <c r="AX163" i="9"/>
  <c r="Z163" i="9"/>
  <c r="DF163" i="9"/>
  <c r="BH164" i="9"/>
  <c r="BK164" i="9" s="1"/>
  <c r="AO164" i="9"/>
  <c r="BN164" i="9"/>
  <c r="AJ165" i="9"/>
  <c r="AH165" i="9"/>
  <c r="AK165" i="9"/>
  <c r="AO165" i="9"/>
  <c r="AW166" i="9"/>
  <c r="AW167" i="9"/>
  <c r="X168" i="9"/>
  <c r="V168" i="9"/>
  <c r="Y168" i="9"/>
  <c r="Q172" i="9"/>
  <c r="O172" i="9"/>
  <c r="X172" i="9"/>
  <c r="AW172" i="9"/>
  <c r="BJ172" i="9"/>
  <c r="BD172" i="9"/>
  <c r="BI170" i="9"/>
  <c r="DC172" i="9"/>
  <c r="AE173" i="9"/>
  <c r="AA173" i="9"/>
  <c r="Q174" i="9"/>
  <c r="AY174" i="9"/>
  <c r="AG174" i="9" s="1"/>
  <c r="AX174" i="9"/>
  <c r="Z174" i="9"/>
  <c r="CB174" i="9"/>
  <c r="BY170" i="9"/>
  <c r="DF170" i="9" s="1"/>
  <c r="DF174" i="9"/>
  <c r="V175" i="9"/>
  <c r="AE176" i="9"/>
  <c r="AA176" i="9"/>
  <c r="AQ402" i="9"/>
  <c r="AQ170" i="9"/>
  <c r="CC178" i="9"/>
  <c r="BN178" i="9"/>
  <c r="BH178" i="9"/>
  <c r="BK178" i="9" s="1"/>
  <c r="BD178" i="9"/>
  <c r="AO178" i="9"/>
  <c r="AJ179" i="9"/>
  <c r="AH179" i="9"/>
  <c r="AK179" i="9"/>
  <c r="AO179" i="9"/>
  <c r="BE180" i="9"/>
  <c r="AY180" i="9"/>
  <c r="AZ180" i="9" s="1"/>
  <c r="CC182" i="9"/>
  <c r="BN182" i="9"/>
  <c r="BH182" i="9"/>
  <c r="BK182" i="9" s="1"/>
  <c r="BD182" i="9"/>
  <c r="AO182" i="9"/>
  <c r="Z182" i="9"/>
  <c r="CB183" i="9"/>
  <c r="DI183" i="9" s="1"/>
  <c r="AW184" i="9"/>
  <c r="X185" i="9"/>
  <c r="V185" i="9"/>
  <c r="Y185" i="9"/>
  <c r="BH186" i="9"/>
  <c r="BK186" i="9" s="1"/>
  <c r="AO186" i="9"/>
  <c r="BN186" i="9"/>
  <c r="AJ187" i="9"/>
  <c r="AH187" i="9"/>
  <c r="AK187" i="9"/>
  <c r="AO187" i="9"/>
  <c r="X188" i="9"/>
  <c r="V188" i="9"/>
  <c r="Y188" i="9"/>
  <c r="AO188" i="9"/>
  <c r="Q189" i="9"/>
  <c r="O189" i="9"/>
  <c r="X189" i="9"/>
  <c r="AW189" i="9"/>
  <c r="BJ189" i="9"/>
  <c r="BD189" i="9"/>
  <c r="DC189" i="9"/>
  <c r="X190" i="9"/>
  <c r="V190" i="9"/>
  <c r="Y190" i="9"/>
  <c r="CC191" i="9"/>
  <c r="BN191" i="9"/>
  <c r="BH191" i="9"/>
  <c r="BK191" i="9" s="1"/>
  <c r="BD191" i="9"/>
  <c r="AO191" i="9"/>
  <c r="X193" i="9"/>
  <c r="V193" i="9"/>
  <c r="Y193" i="9"/>
  <c r="DH193" i="9"/>
  <c r="X194" i="9"/>
  <c r="V194" i="9"/>
  <c r="Y194" i="9"/>
  <c r="AO194" i="9"/>
  <c r="AW195" i="9"/>
  <c r="AO196" i="9"/>
  <c r="X197" i="9"/>
  <c r="V197" i="9"/>
  <c r="Y197" i="9"/>
  <c r="AO197" i="9"/>
  <c r="X198" i="9"/>
  <c r="V198" i="9"/>
  <c r="Y198" i="9"/>
  <c r="AO198" i="9"/>
  <c r="AO199" i="9"/>
  <c r="DC200" i="9"/>
  <c r="Q200" i="9"/>
  <c r="O200" i="9"/>
  <c r="Y200" i="9"/>
  <c r="BH200" i="9"/>
  <c r="BK200" i="9" s="1"/>
  <c r="BD200" i="9"/>
  <c r="AO200" i="9"/>
  <c r="Z200" i="9"/>
  <c r="DF200" i="9"/>
  <c r="AW201" i="9"/>
  <c r="Y202" i="9"/>
  <c r="V202" i="9"/>
  <c r="AE202" i="9"/>
  <c r="AA202" i="9"/>
  <c r="AF202" i="9"/>
  <c r="AO202" i="9"/>
  <c r="AW202" i="9"/>
  <c r="AJ203" i="9"/>
  <c r="AH203" i="9"/>
  <c r="AK203" i="9"/>
  <c r="AO203" i="9"/>
  <c r="BH204" i="9"/>
  <c r="BK204" i="9" s="1"/>
  <c r="AO204" i="9"/>
  <c r="Z204" i="9"/>
  <c r="BN204" i="9"/>
  <c r="Y205" i="9"/>
  <c r="V205" i="9"/>
  <c r="AE205" i="9"/>
  <c r="AA205" i="9"/>
  <c r="AF205" i="9"/>
  <c r="AO205" i="9"/>
  <c r="AW205" i="9"/>
  <c r="DF205" i="9"/>
  <c r="CB205" i="9"/>
  <c r="AJ206" i="9"/>
  <c r="AH206" i="9"/>
  <c r="AK206" i="9"/>
  <c r="AO206" i="9"/>
  <c r="Y207" i="9"/>
  <c r="V207" i="9"/>
  <c r="AF207" i="9"/>
  <c r="AD207" i="9"/>
  <c r="AA207" i="9"/>
  <c r="AE207" i="9"/>
  <c r="CC208" i="9"/>
  <c r="BN208" i="9"/>
  <c r="BH208" i="9"/>
  <c r="BK208" i="9" s="1"/>
  <c r="BD208" i="9"/>
  <c r="AO208" i="9"/>
  <c r="AO209" i="9"/>
  <c r="AW209" i="9"/>
  <c r="AW210" i="9"/>
  <c r="BJ210" i="9"/>
  <c r="BD210" i="9"/>
  <c r="CB210" i="9"/>
  <c r="DI210" i="9" s="1"/>
  <c r="AO211" i="9"/>
  <c r="AW211" i="9"/>
  <c r="AJ212" i="9"/>
  <c r="AH212" i="9"/>
  <c r="AK212" i="9"/>
  <c r="AO212" i="9"/>
  <c r="AW213" i="9"/>
  <c r="BH214" i="9"/>
  <c r="BK214" i="9" s="1"/>
  <c r="AO214" i="9"/>
  <c r="BN214" i="9"/>
  <c r="CC215" i="9"/>
  <c r="BN215" i="9"/>
  <c r="BH215" i="9"/>
  <c r="BK215" i="9" s="1"/>
  <c r="BD215" i="9"/>
  <c r="AO215" i="9"/>
  <c r="AB216" i="9"/>
  <c r="AW216" i="9"/>
  <c r="Y217" i="9"/>
  <c r="V217" i="9"/>
  <c r="AF217" i="9"/>
  <c r="AD217" i="9"/>
  <c r="AA217" i="9"/>
  <c r="AE217" i="9"/>
  <c r="AY217" i="9"/>
  <c r="AG217" i="9" s="1"/>
  <c r="AZ217" i="9"/>
  <c r="AX217" i="9"/>
  <c r="DF217" i="9"/>
  <c r="CB217" i="9"/>
  <c r="BO218" i="9"/>
  <c r="AY218" i="9"/>
  <c r="AG218" i="9" s="1"/>
  <c r="BP218" i="9"/>
  <c r="BA218" i="9"/>
  <c r="AW218" i="9"/>
  <c r="AZ218" i="9"/>
  <c r="AX218" i="9"/>
  <c r="Z218" i="9"/>
  <c r="W120" i="9"/>
  <c r="Y120" i="9"/>
  <c r="X121" i="9"/>
  <c r="V122" i="9"/>
  <c r="X122" i="9"/>
  <c r="AB122" i="9"/>
  <c r="AD122" i="9"/>
  <c r="AH122" i="9"/>
  <c r="AX122" i="9"/>
  <c r="W123" i="9"/>
  <c r="Y123" i="9"/>
  <c r="AA123" i="9"/>
  <c r="AC123" i="9"/>
  <c r="AO123" i="9"/>
  <c r="AW123" i="9"/>
  <c r="BD123" i="9"/>
  <c r="BN123" i="9"/>
  <c r="O124" i="9"/>
  <c r="Q124" i="9"/>
  <c r="V124" i="9"/>
  <c r="Y124" i="9"/>
  <c r="AA124" i="9"/>
  <c r="AD124" i="9"/>
  <c r="AW124" i="9"/>
  <c r="BD124" i="9"/>
  <c r="BN124" i="9"/>
  <c r="W125" i="9"/>
  <c r="Y125" i="9"/>
  <c r="AA125" i="9"/>
  <c r="AC125" i="9"/>
  <c r="AO125" i="9"/>
  <c r="AW125" i="9"/>
  <c r="BD125" i="9"/>
  <c r="BN125" i="9"/>
  <c r="O126" i="9"/>
  <c r="W126" i="9"/>
  <c r="Y126" i="9"/>
  <c r="AA126" i="9"/>
  <c r="AC126" i="9"/>
  <c r="AO126" i="9"/>
  <c r="AW126" i="9"/>
  <c r="BD126" i="9"/>
  <c r="O127" i="9"/>
  <c r="W127" i="9"/>
  <c r="Y127" i="9"/>
  <c r="AA127" i="9"/>
  <c r="AC127" i="9"/>
  <c r="AO127" i="9"/>
  <c r="AW127" i="9"/>
  <c r="BD127" i="9"/>
  <c r="BN127" i="9"/>
  <c r="O128" i="9"/>
  <c r="Q128" i="9"/>
  <c r="W128" i="9"/>
  <c r="Y128" i="9"/>
  <c r="AA128" i="9"/>
  <c r="AC128" i="9"/>
  <c r="AO128" i="9"/>
  <c r="AW128" i="9"/>
  <c r="BD128" i="9"/>
  <c r="W129" i="9"/>
  <c r="Y129" i="9"/>
  <c r="AA129" i="9"/>
  <c r="AC129" i="9"/>
  <c r="AO129" i="9"/>
  <c r="AW129" i="9"/>
  <c r="BD129" i="9"/>
  <c r="BL413" i="9"/>
  <c r="W130" i="9"/>
  <c r="Y130" i="9"/>
  <c r="AA130" i="9"/>
  <c r="AC130" i="9"/>
  <c r="AO130" i="9"/>
  <c r="AW130" i="9"/>
  <c r="BD130" i="9"/>
  <c r="V131" i="9"/>
  <c r="X131" i="9"/>
  <c r="AB131" i="9"/>
  <c r="AD131" i="9"/>
  <c r="AH131" i="9"/>
  <c r="AX131" i="9"/>
  <c r="V132" i="9"/>
  <c r="X132" i="9"/>
  <c r="AB132" i="9"/>
  <c r="AD132" i="9"/>
  <c r="AH132" i="9"/>
  <c r="AX132" i="9"/>
  <c r="V133" i="9"/>
  <c r="Y133" i="9"/>
  <c r="AA133" i="9"/>
  <c r="AD133" i="9"/>
  <c r="AH133" i="9"/>
  <c r="AX133" i="9"/>
  <c r="Z134" i="9"/>
  <c r="AO134" i="9"/>
  <c r="AW134" i="9"/>
  <c r="BD134" i="9"/>
  <c r="BN134" i="9"/>
  <c r="X135" i="9"/>
  <c r="Z135" i="9"/>
  <c r="R136" i="9"/>
  <c r="V136" i="9"/>
  <c r="Y136" i="9"/>
  <c r="AA136" i="9"/>
  <c r="AD136" i="9"/>
  <c r="AP136" i="9"/>
  <c r="AW136" i="9"/>
  <c r="BD136" i="9"/>
  <c r="V137" i="9"/>
  <c r="Y137" i="9"/>
  <c r="AA137" i="9"/>
  <c r="AD137" i="9"/>
  <c r="AW137" i="9"/>
  <c r="BD137" i="9"/>
  <c r="BN137" i="9"/>
  <c r="AA138" i="9"/>
  <c r="AC138" i="9"/>
  <c r="AX138" i="9"/>
  <c r="R140" i="9"/>
  <c r="V140" i="9"/>
  <c r="BH140" i="9"/>
  <c r="R141" i="9"/>
  <c r="V141" i="9"/>
  <c r="X141" i="9"/>
  <c r="AB141" i="9"/>
  <c r="AD141" i="9"/>
  <c r="AH141" i="9"/>
  <c r="AX141" i="9"/>
  <c r="BC402" i="9"/>
  <c r="BC413" i="9" s="1"/>
  <c r="BE141" i="9"/>
  <c r="BM402" i="9"/>
  <c r="BM413" i="9" s="1"/>
  <c r="BR402" i="9"/>
  <c r="BR413" i="9" s="1"/>
  <c r="DC141" i="9"/>
  <c r="R142" i="9"/>
  <c r="V142" i="9"/>
  <c r="X142" i="9"/>
  <c r="BK142" i="9"/>
  <c r="W143" i="9"/>
  <c r="Y143" i="9"/>
  <c r="AA143" i="9"/>
  <c r="AC143" i="9"/>
  <c r="AO143" i="9"/>
  <c r="AW143" i="9"/>
  <c r="BD143" i="9"/>
  <c r="BN143" i="9"/>
  <c r="V144" i="9"/>
  <c r="X144" i="9"/>
  <c r="AB144" i="9"/>
  <c r="AD144" i="9"/>
  <c r="AH144" i="9"/>
  <c r="AX144" i="9"/>
  <c r="W145" i="9"/>
  <c r="Y145" i="9"/>
  <c r="AA145" i="9"/>
  <c r="AC145" i="9"/>
  <c r="AO145" i="9"/>
  <c r="AW145" i="9"/>
  <c r="BD145" i="9"/>
  <c r="BN145" i="9"/>
  <c r="I146" i="9"/>
  <c r="M146" i="9"/>
  <c r="M139" i="9" s="1"/>
  <c r="M34" i="9" s="1"/>
  <c r="M239" i="9" s="1"/>
  <c r="U146" i="9"/>
  <c r="BY146" i="9"/>
  <c r="DB146" i="9"/>
  <c r="I417" i="9"/>
  <c r="R147" i="9"/>
  <c r="V147" i="9"/>
  <c r="X147" i="9"/>
  <c r="AB147" i="9"/>
  <c r="AD147" i="9"/>
  <c r="AH147" i="9"/>
  <c r="AX147" i="9"/>
  <c r="BC417" i="9"/>
  <c r="BC421" i="9" s="1"/>
  <c r="BE147" i="9"/>
  <c r="BM417" i="9"/>
  <c r="BM421" i="9" s="1"/>
  <c r="BR417" i="9"/>
  <c r="BR421" i="9" s="1"/>
  <c r="CP147" i="9"/>
  <c r="Z148" i="9"/>
  <c r="AO148" i="9"/>
  <c r="AW148" i="9"/>
  <c r="BD148" i="9"/>
  <c r="BN148" i="9"/>
  <c r="V149" i="9"/>
  <c r="X149" i="9"/>
  <c r="AB149" i="9"/>
  <c r="AD149" i="9"/>
  <c r="AH149" i="9"/>
  <c r="AX149" i="9"/>
  <c r="P417" i="9"/>
  <c r="R150" i="9"/>
  <c r="V150" i="9"/>
  <c r="BI417" i="9"/>
  <c r="BI421" i="9" s="1"/>
  <c r="BK150" i="9"/>
  <c r="V151" i="9"/>
  <c r="X151" i="9"/>
  <c r="AB151" i="9"/>
  <c r="AD151" i="9"/>
  <c r="AH151" i="9"/>
  <c r="AX151" i="9"/>
  <c r="V152" i="9"/>
  <c r="X152" i="9"/>
  <c r="AB152" i="9"/>
  <c r="AD152" i="9"/>
  <c r="AH152" i="9"/>
  <c r="AX152" i="9"/>
  <c r="R153" i="9"/>
  <c r="V153" i="9"/>
  <c r="X153" i="9"/>
  <c r="W154" i="9"/>
  <c r="Y154" i="9"/>
  <c r="AA154" i="9"/>
  <c r="AC154" i="9"/>
  <c r="AO154" i="9"/>
  <c r="AW154" i="9"/>
  <c r="BD154" i="9"/>
  <c r="BN154" i="9"/>
  <c r="O155" i="9"/>
  <c r="O146" i="9" s="1"/>
  <c r="Q155" i="9"/>
  <c r="Q417" i="9" s="1"/>
  <c r="W155" i="9"/>
  <c r="Y155" i="9"/>
  <c r="AA155" i="9"/>
  <c r="AC155" i="9"/>
  <c r="AO155" i="9"/>
  <c r="AW155" i="9"/>
  <c r="BD155" i="9"/>
  <c r="DF155" i="9"/>
  <c r="R156" i="9"/>
  <c r="Z156" i="9"/>
  <c r="CC156" i="9"/>
  <c r="BN156" i="9"/>
  <c r="BH156" i="9"/>
  <c r="BK156" i="9" s="1"/>
  <c r="BD156" i="9"/>
  <c r="AO156" i="9"/>
  <c r="AX156" i="9"/>
  <c r="R157" i="9"/>
  <c r="Z157" i="9"/>
  <c r="CC157" i="9"/>
  <c r="BH157" i="9"/>
  <c r="BK157" i="9" s="1"/>
  <c r="AO157" i="9"/>
  <c r="AX157" i="9"/>
  <c r="BN157" i="9"/>
  <c r="R158" i="9"/>
  <c r="Z158" i="9"/>
  <c r="CC158" i="9"/>
  <c r="BN158" i="9"/>
  <c r="BH158" i="9"/>
  <c r="BK158" i="9" s="1"/>
  <c r="BD158" i="9"/>
  <c r="AO158" i="9"/>
  <c r="AX158" i="9"/>
  <c r="DC158" i="9"/>
  <c r="W159" i="9"/>
  <c r="AC159" i="9"/>
  <c r="AO159" i="9"/>
  <c r="AY159" i="9"/>
  <c r="BF159" i="9"/>
  <c r="CB160" i="9"/>
  <c r="DI160" i="9" s="1"/>
  <c r="DC161" i="9"/>
  <c r="Q161" i="9"/>
  <c r="O161" i="9"/>
  <c r="O160" i="9" s="1"/>
  <c r="X161" i="9"/>
  <c r="AP161" i="9"/>
  <c r="AV161" i="9"/>
  <c r="BJ161" i="9"/>
  <c r="BD161" i="9"/>
  <c r="BI160" i="9"/>
  <c r="BS160" i="9"/>
  <c r="BS139" i="9" s="1"/>
  <c r="BS34" i="9" s="1"/>
  <c r="I160" i="9"/>
  <c r="R160" i="9" s="1"/>
  <c r="Q162" i="9"/>
  <c r="W162" i="9"/>
  <c r="AP162" i="9"/>
  <c r="AY162" i="9"/>
  <c r="AG162" i="9" s="1"/>
  <c r="BF162" i="9"/>
  <c r="BK162" i="9"/>
  <c r="AV162" i="9"/>
  <c r="BM160" i="9"/>
  <c r="CB162" i="9"/>
  <c r="BY160" i="9"/>
  <c r="DF160" i="9" s="1"/>
  <c r="DF162" i="9"/>
  <c r="X163" i="9"/>
  <c r="V163" i="9"/>
  <c r="Y163" i="9"/>
  <c r="AO163" i="9"/>
  <c r="AW163" i="9"/>
  <c r="BA163" i="9"/>
  <c r="BO163" i="9"/>
  <c r="CC163" i="9"/>
  <c r="AP164" i="9"/>
  <c r="BJ164" i="9"/>
  <c r="BD164" i="9"/>
  <c r="X165" i="9"/>
  <c r="V165" i="9"/>
  <c r="Y165" i="9"/>
  <c r="AI165" i="9"/>
  <c r="AP165" i="9"/>
  <c r="BP165" i="9"/>
  <c r="R166" i="9"/>
  <c r="Z166" i="9"/>
  <c r="CC166" i="9"/>
  <c r="BN166" i="9"/>
  <c r="BH166" i="9"/>
  <c r="BK166" i="9" s="1"/>
  <c r="BD166" i="9"/>
  <c r="AO166" i="9"/>
  <c r="AX166" i="9"/>
  <c r="R167" i="9"/>
  <c r="Z167" i="9"/>
  <c r="CC167" i="9"/>
  <c r="BN167" i="9"/>
  <c r="BH167" i="9"/>
  <c r="BK167" i="9" s="1"/>
  <c r="BD167" i="9"/>
  <c r="AO167" i="9"/>
  <c r="AX167" i="9"/>
  <c r="W168" i="9"/>
  <c r="AC168" i="9"/>
  <c r="AO168" i="9"/>
  <c r="AZ168" i="9"/>
  <c r="AY168" i="9"/>
  <c r="BF168" i="9"/>
  <c r="AO169" i="9"/>
  <c r="AG169" i="9"/>
  <c r="Z169" i="9"/>
  <c r="AZ169" i="9"/>
  <c r="AY169" i="9"/>
  <c r="BA169" i="9" s="1"/>
  <c r="BF169" i="9"/>
  <c r="P170" i="9"/>
  <c r="AU170" i="9"/>
  <c r="Y171" i="9"/>
  <c r="V171" i="9"/>
  <c r="AE171" i="9"/>
  <c r="AA171" i="9"/>
  <c r="AF171" i="9"/>
  <c r="AO171" i="9"/>
  <c r="AW171" i="9"/>
  <c r="BC170" i="9"/>
  <c r="BM170" i="9"/>
  <c r="R172" i="9"/>
  <c r="Z172" i="9"/>
  <c r="CC172" i="9"/>
  <c r="BH172" i="9"/>
  <c r="BK172" i="9" s="1"/>
  <c r="AO172" i="9"/>
  <c r="AX172" i="9"/>
  <c r="BN172" i="9"/>
  <c r="AC173" i="9"/>
  <c r="AO173" i="9"/>
  <c r="AW173" i="9"/>
  <c r="X174" i="9"/>
  <c r="V174" i="9"/>
  <c r="Y174" i="9"/>
  <c r="AO174" i="9"/>
  <c r="AW174" i="9"/>
  <c r="BA174" i="9"/>
  <c r="BO174" i="9"/>
  <c r="DB170" i="9"/>
  <c r="X175" i="9"/>
  <c r="AO175" i="9"/>
  <c r="Z175" i="9"/>
  <c r="BD175" i="9"/>
  <c r="BH175" i="9"/>
  <c r="BK175" i="9" s="1"/>
  <c r="BP175" i="9"/>
  <c r="AC176" i="9"/>
  <c r="AO176" i="9"/>
  <c r="AW176" i="9"/>
  <c r="U177" i="9"/>
  <c r="U425" i="9" s="1"/>
  <c r="AM177" i="9"/>
  <c r="AX177" i="9"/>
  <c r="Z177" i="9"/>
  <c r="BO177" i="9"/>
  <c r="Q178" i="9"/>
  <c r="O178" i="9"/>
  <c r="X178" i="9"/>
  <c r="AP178" i="9"/>
  <c r="Y179" i="9"/>
  <c r="V179" i="9"/>
  <c r="AF179" i="9"/>
  <c r="AD179" i="9"/>
  <c r="AA179" i="9"/>
  <c r="AE179" i="9"/>
  <c r="AI179" i="9"/>
  <c r="AP179" i="9"/>
  <c r="BP179" i="9"/>
  <c r="R180" i="9"/>
  <c r="Z180" i="9"/>
  <c r="AO180" i="9"/>
  <c r="AG180" i="9"/>
  <c r="AX180" i="9"/>
  <c r="BF180" i="9"/>
  <c r="AO181" i="9"/>
  <c r="AW181" i="9"/>
  <c r="Z181" i="9"/>
  <c r="R182" i="9"/>
  <c r="AP182" i="9"/>
  <c r="Q183" i="9"/>
  <c r="O183" i="9"/>
  <c r="AE183" i="9"/>
  <c r="AC183" i="9"/>
  <c r="AA183" i="9"/>
  <c r="AD183" i="9"/>
  <c r="BH183" i="9"/>
  <c r="BK183" i="9" s="1"/>
  <c r="BD183" i="9"/>
  <c r="AO183" i="9"/>
  <c r="AX183" i="9"/>
  <c r="Y183" i="9"/>
  <c r="W183" i="9"/>
  <c r="R184" i="9"/>
  <c r="Z184" i="9"/>
  <c r="CC184" i="9"/>
  <c r="BN184" i="9"/>
  <c r="BH184" i="9"/>
  <c r="BK184" i="9" s="1"/>
  <c r="BD184" i="9"/>
  <c r="AO184" i="9"/>
  <c r="AX184" i="9"/>
  <c r="W185" i="9"/>
  <c r="AC185" i="9"/>
  <c r="AO185" i="9"/>
  <c r="AZ185" i="9"/>
  <c r="AY185" i="9"/>
  <c r="BF185" i="9"/>
  <c r="AP186" i="9"/>
  <c r="BJ186" i="9"/>
  <c r="BD186" i="9"/>
  <c r="X187" i="9"/>
  <c r="V187" i="9"/>
  <c r="Y187" i="9"/>
  <c r="AI187" i="9"/>
  <c r="AP187" i="9"/>
  <c r="BP187" i="9"/>
  <c r="W188" i="9"/>
  <c r="AP188" i="9"/>
  <c r="AY188" i="9"/>
  <c r="BF188" i="9"/>
  <c r="BK188" i="9"/>
  <c r="AX188" i="9"/>
  <c r="Z188" i="9"/>
  <c r="DF188" i="9"/>
  <c r="CB188" i="9"/>
  <c r="R189" i="9"/>
  <c r="Z189" i="9"/>
  <c r="CC189" i="9"/>
  <c r="BH189" i="9"/>
  <c r="BK189" i="9" s="1"/>
  <c r="AO189" i="9"/>
  <c r="AX189" i="9"/>
  <c r="BN189" i="9"/>
  <c r="W190" i="9"/>
  <c r="AC190" i="9"/>
  <c r="AO190" i="9"/>
  <c r="AY190" i="9"/>
  <c r="BF190" i="9"/>
  <c r="AP191" i="9"/>
  <c r="Y192" i="9"/>
  <c r="V192" i="9"/>
  <c r="AE192" i="9"/>
  <c r="AA192" i="9"/>
  <c r="AF192" i="9"/>
  <c r="AO192" i="9"/>
  <c r="BD192" i="9"/>
  <c r="BH192" i="9"/>
  <c r="BK192" i="9" s="1"/>
  <c r="BP192" i="9"/>
  <c r="W193" i="9"/>
  <c r="AC193" i="9"/>
  <c r="AO193" i="9"/>
  <c r="AZ193" i="9"/>
  <c r="AY193" i="9"/>
  <c r="BF193" i="9"/>
  <c r="CC193" i="9"/>
  <c r="DF193" i="9"/>
  <c r="W194" i="9"/>
  <c r="AP194" i="9"/>
  <c r="AY194" i="9"/>
  <c r="BF194" i="9"/>
  <c r="BK194" i="9"/>
  <c r="AZ194" i="9"/>
  <c r="AX194" i="9"/>
  <c r="Z194" i="9"/>
  <c r="DF194" i="9"/>
  <c r="R195" i="9"/>
  <c r="Z195" i="9"/>
  <c r="CC195" i="9"/>
  <c r="BN195" i="9"/>
  <c r="BH195" i="9"/>
  <c r="BK195" i="9" s="1"/>
  <c r="BD195" i="9"/>
  <c r="AO195" i="9"/>
  <c r="AX195" i="9"/>
  <c r="R196" i="9"/>
  <c r="X196" i="9"/>
  <c r="V196" i="9"/>
  <c r="Y196" i="9"/>
  <c r="AP196" i="9"/>
  <c r="AY196" i="9"/>
  <c r="BF196" i="9"/>
  <c r="BK196" i="9"/>
  <c r="AX196" i="9"/>
  <c r="Z196" i="9"/>
  <c r="CC196" i="9"/>
  <c r="BN196" i="9"/>
  <c r="W197" i="9"/>
  <c r="AP197" i="9"/>
  <c r="AY197" i="9"/>
  <c r="BF197" i="9"/>
  <c r="BK197" i="9"/>
  <c r="AZ197" i="9"/>
  <c r="AX197" i="9"/>
  <c r="Z197" i="9"/>
  <c r="W198" i="9"/>
  <c r="AP198" i="9"/>
  <c r="AY198" i="9"/>
  <c r="BF198" i="9"/>
  <c r="BK198" i="9"/>
  <c r="AX198" i="9"/>
  <c r="Z198" i="9"/>
  <c r="DF198" i="9"/>
  <c r="R199" i="9"/>
  <c r="Y199" i="9"/>
  <c r="V199" i="9"/>
  <c r="AP199" i="9"/>
  <c r="AY199" i="9"/>
  <c r="BF199" i="9"/>
  <c r="BK199" i="9"/>
  <c r="AX199" i="9"/>
  <c r="DF199" i="9"/>
  <c r="CB199" i="9"/>
  <c r="R200" i="9"/>
  <c r="AP200" i="9"/>
  <c r="BO200" i="9"/>
  <c r="CC200" i="9"/>
  <c r="Q201" i="9"/>
  <c r="O201" i="9"/>
  <c r="Y201" i="9"/>
  <c r="CC201" i="9"/>
  <c r="BN201" i="9"/>
  <c r="BH201" i="9"/>
  <c r="BK201" i="9" s="1"/>
  <c r="BD201" i="9"/>
  <c r="AO201" i="9"/>
  <c r="Z201" i="9"/>
  <c r="AX201" i="9"/>
  <c r="DC201" i="9"/>
  <c r="X202" i="9"/>
  <c r="AC202" i="9"/>
  <c r="CC202" i="9"/>
  <c r="BH202" i="9"/>
  <c r="BK202" i="9" s="1"/>
  <c r="X203" i="9"/>
  <c r="V203" i="9"/>
  <c r="Y203" i="9"/>
  <c r="AI203" i="9"/>
  <c r="AP203" i="9"/>
  <c r="BP203" i="9"/>
  <c r="R204" i="9"/>
  <c r="AP204" i="9"/>
  <c r="BJ204" i="9"/>
  <c r="BD204" i="9"/>
  <c r="X205" i="9"/>
  <c r="AC205" i="9"/>
  <c r="BP205" i="9"/>
  <c r="BH205" i="9"/>
  <c r="BK205" i="9" s="1"/>
  <c r="BO205" i="9"/>
  <c r="Y206" i="9"/>
  <c r="V206" i="9"/>
  <c r="AF206" i="9"/>
  <c r="AD206" i="9"/>
  <c r="AA206" i="9"/>
  <c r="AE206" i="9"/>
  <c r="AI206" i="9"/>
  <c r="AP206" i="9"/>
  <c r="BP206" i="9"/>
  <c r="X207" i="9"/>
  <c r="AC207" i="9"/>
  <c r="AO207" i="9"/>
  <c r="AY207" i="9"/>
  <c r="BF207" i="9"/>
  <c r="AP208" i="9"/>
  <c r="Z209" i="9"/>
  <c r="CC209" i="9"/>
  <c r="BH209" i="9"/>
  <c r="BK209" i="9" s="1"/>
  <c r="CC210" i="9"/>
  <c r="BH210" i="9"/>
  <c r="BK210" i="9" s="1"/>
  <c r="AO210" i="9"/>
  <c r="Z210" i="9"/>
  <c r="AX210" i="9"/>
  <c r="BN210" i="9"/>
  <c r="Z211" i="9"/>
  <c r="BF211" i="9"/>
  <c r="Y212" i="9"/>
  <c r="V212" i="9"/>
  <c r="AF212" i="9"/>
  <c r="AD212" i="9"/>
  <c r="AA212" i="9"/>
  <c r="AE212" i="9"/>
  <c r="AI212" i="9"/>
  <c r="AP212" i="9"/>
  <c r="BP212" i="9"/>
  <c r="DF212" i="9"/>
  <c r="CC213" i="9"/>
  <c r="BN213" i="9"/>
  <c r="BH213" i="9"/>
  <c r="BK213" i="9" s="1"/>
  <c r="BD213" i="9"/>
  <c r="AO213" i="9"/>
  <c r="Z213" i="9"/>
  <c r="AX213" i="9"/>
  <c r="DC214" i="9"/>
  <c r="Q214" i="9"/>
  <c r="O214" i="9"/>
  <c r="X214" i="9"/>
  <c r="AP214" i="9"/>
  <c r="BJ214" i="9"/>
  <c r="BD214" i="9"/>
  <c r="AP215" i="9"/>
  <c r="Q216" i="9"/>
  <c r="O216" i="9"/>
  <c r="AE216" i="9"/>
  <c r="AA216" i="9"/>
  <c r="CC216" i="9"/>
  <c r="AM216" i="9"/>
  <c r="BG216" i="9" s="1"/>
  <c r="BJ216" i="9" s="1"/>
  <c r="U216" i="9"/>
  <c r="AS170" i="9"/>
  <c r="AS139" i="9" s="1"/>
  <c r="AX216" i="9"/>
  <c r="BD216" i="9"/>
  <c r="BH216" i="9"/>
  <c r="BK216" i="9" s="1"/>
  <c r="DC216" i="9"/>
  <c r="X217" i="9"/>
  <c r="AC217" i="9"/>
  <c r="AO217" i="9"/>
  <c r="AW217" i="9"/>
  <c r="BA217" i="9"/>
  <c r="BO217" i="9"/>
  <c r="W156" i="9"/>
  <c r="Y156" i="9"/>
  <c r="W157" i="9"/>
  <c r="Y157" i="9"/>
  <c r="W158" i="9"/>
  <c r="Y158" i="9"/>
  <c r="AB159" i="9"/>
  <c r="AD159" i="9"/>
  <c r="AX159" i="9"/>
  <c r="W161" i="9"/>
  <c r="Y161" i="9"/>
  <c r="R162" i="9"/>
  <c r="R163" i="9"/>
  <c r="W164" i="9"/>
  <c r="Y164" i="9"/>
  <c r="AB165" i="9"/>
  <c r="AD165" i="9"/>
  <c r="AX165" i="9"/>
  <c r="W166" i="9"/>
  <c r="Y166" i="9"/>
  <c r="W167" i="9"/>
  <c r="Y167" i="9"/>
  <c r="AB168" i="9"/>
  <c r="AD168" i="9"/>
  <c r="AX168" i="9"/>
  <c r="X169" i="9"/>
  <c r="AX169" i="9"/>
  <c r="BD171" i="9"/>
  <c r="BN171" i="9"/>
  <c r="W172" i="9"/>
  <c r="Y172" i="9"/>
  <c r="X173" i="9"/>
  <c r="BD173" i="9"/>
  <c r="BN173" i="9"/>
  <c r="R174" i="9"/>
  <c r="X176" i="9"/>
  <c r="BD176" i="9"/>
  <c r="BN176" i="9"/>
  <c r="R177" i="9"/>
  <c r="AP177" i="9"/>
  <c r="BD177" i="9"/>
  <c r="W178" i="9"/>
  <c r="Y178" i="9"/>
  <c r="AX179" i="9"/>
  <c r="W180" i="9"/>
  <c r="Y180" i="9"/>
  <c r="X181" i="9"/>
  <c r="BD181" i="9"/>
  <c r="BN181" i="9"/>
  <c r="X182" i="9"/>
  <c r="W184" i="9"/>
  <c r="Y184" i="9"/>
  <c r="AB185" i="9"/>
  <c r="AD185" i="9"/>
  <c r="AX185" i="9"/>
  <c r="W186" i="9"/>
  <c r="Y186" i="9"/>
  <c r="R187" i="9"/>
  <c r="AB187" i="9"/>
  <c r="AD187" i="9"/>
  <c r="AX187" i="9"/>
  <c r="W189" i="9"/>
  <c r="Y189" i="9"/>
  <c r="AB190" i="9"/>
  <c r="AD190" i="9"/>
  <c r="AX190" i="9"/>
  <c r="W191" i="9"/>
  <c r="Y191" i="9"/>
  <c r="AB193" i="9"/>
  <c r="AD193" i="9"/>
  <c r="AX193" i="9"/>
  <c r="R194" i="9"/>
  <c r="W195" i="9"/>
  <c r="Y195" i="9"/>
  <c r="R198" i="9"/>
  <c r="X200" i="9"/>
  <c r="X201" i="9"/>
  <c r="BD202" i="9"/>
  <c r="BN202" i="9"/>
  <c r="AB203" i="9"/>
  <c r="AD203" i="9"/>
  <c r="AX203" i="9"/>
  <c r="X204" i="9"/>
  <c r="BD205" i="9"/>
  <c r="AX206" i="9"/>
  <c r="AX207" i="9"/>
  <c r="W208" i="9"/>
  <c r="Y208" i="9"/>
  <c r="X209" i="9"/>
  <c r="BD209" i="9"/>
  <c r="BN209" i="9"/>
  <c r="X211" i="9"/>
  <c r="BN211" i="9"/>
  <c r="R212" i="9"/>
  <c r="AX212" i="9"/>
  <c r="W214" i="9"/>
  <c r="Y214" i="9"/>
  <c r="W215" i="9"/>
  <c r="Y215" i="9"/>
  <c r="R218" i="9"/>
  <c r="V218" i="9"/>
  <c r="X218" i="9"/>
  <c r="BE218" i="9"/>
  <c r="BG218" i="9"/>
  <c r="BJ218" i="9" s="1"/>
  <c r="CB218" i="9"/>
  <c r="Q219" i="9"/>
  <c r="X219" i="9"/>
  <c r="Z219" i="9"/>
  <c r="AO219" i="9"/>
  <c r="AW219" i="9"/>
  <c r="BD219" i="9"/>
  <c r="BH219" i="9"/>
  <c r="BK219" i="9" s="1"/>
  <c r="BJ219" i="9"/>
  <c r="AB220" i="9"/>
  <c r="AX220" i="9"/>
  <c r="AW220" i="9"/>
  <c r="BJ227" i="9"/>
  <c r="BJ230" i="9"/>
  <c r="BP231" i="9"/>
  <c r="BO231" i="9"/>
  <c r="BK231" i="9"/>
  <c r="BH230" i="9"/>
  <c r="BK230" i="9" s="1"/>
  <c r="BP236" i="9"/>
  <c r="BO236" i="9"/>
  <c r="AX242" i="9"/>
  <c r="Z242" i="9"/>
  <c r="AW242" i="9"/>
  <c r="AX243" i="9"/>
  <c r="Z243" i="9"/>
  <c r="AW243" i="9"/>
  <c r="DI245" i="9"/>
  <c r="CC245" i="9"/>
  <c r="BP247" i="9"/>
  <c r="BO247" i="9"/>
  <c r="CC248" i="9"/>
  <c r="BN248" i="9"/>
  <c r="AL242" i="9"/>
  <c r="W218" i="9"/>
  <c r="Y218" i="9"/>
  <c r="AX219" i="9"/>
  <c r="BN219" i="9"/>
  <c r="AE220" i="9"/>
  <c r="AC220" i="9"/>
  <c r="AA220" i="9"/>
  <c r="AD220" i="9"/>
  <c r="CC220" i="9"/>
  <c r="BN220" i="9"/>
  <c r="BH220" i="9"/>
  <c r="BK220" i="9" s="1"/>
  <c r="BD220" i="9"/>
  <c r="AO220" i="9"/>
  <c r="BP225" i="9"/>
  <c r="BO225" i="9"/>
  <c r="AX230" i="9"/>
  <c r="Z230" i="9"/>
  <c r="AW230" i="9"/>
  <c r="BP232" i="9"/>
  <c r="BO232" i="9"/>
  <c r="BP237" i="9"/>
  <c r="BO237" i="9"/>
  <c r="BP238" i="9"/>
  <c r="BO238" i="9"/>
  <c r="BK243" i="9"/>
  <c r="AW249" i="9"/>
  <c r="BP253" i="9"/>
  <c r="BO253" i="9"/>
  <c r="BN255" i="9"/>
  <c r="AX258" i="9"/>
  <c r="AW258" i="9"/>
  <c r="Z258" i="9"/>
  <c r="BN258" i="9"/>
  <c r="W220" i="9"/>
  <c r="Y220" i="9"/>
  <c r="R221" i="9"/>
  <c r="BD221" i="9"/>
  <c r="BH221" i="9"/>
  <c r="BK221" i="9" s="1"/>
  <c r="R222" i="9"/>
  <c r="AD222" i="9"/>
  <c r="AP222" i="9"/>
  <c r="AX222" i="9"/>
  <c r="X223" i="9"/>
  <c r="AC223" i="9"/>
  <c r="AF223" i="9"/>
  <c r="AO223" i="9"/>
  <c r="Q224" i="9"/>
  <c r="W224" i="9"/>
  <c r="Y224" i="9"/>
  <c r="AA224" i="9"/>
  <c r="AC224" i="9"/>
  <c r="AE224" i="9"/>
  <c r="AO224" i="9"/>
  <c r="AW224" i="9"/>
  <c r="BD224" i="9"/>
  <c r="BH224" i="9"/>
  <c r="BK224" i="9" s="1"/>
  <c r="BN224" i="9"/>
  <c r="R225" i="9"/>
  <c r="AP225" i="9"/>
  <c r="BD225" i="9"/>
  <c r="BH225" i="9"/>
  <c r="BK225" i="9" s="1"/>
  <c r="CC225" i="9"/>
  <c r="DF225" i="9"/>
  <c r="R226" i="9"/>
  <c r="AP226" i="9"/>
  <c r="AX226" i="9"/>
  <c r="R227" i="9"/>
  <c r="V227" i="9"/>
  <c r="Y227" i="9"/>
  <c r="AD227" i="9"/>
  <c r="AF227" i="9"/>
  <c r="AP227" i="9"/>
  <c r="AX227" i="9"/>
  <c r="BK227" i="9"/>
  <c r="BN227" i="9"/>
  <c r="DC227" i="9"/>
  <c r="X228" i="9"/>
  <c r="AC228" i="9"/>
  <c r="AE228" i="9"/>
  <c r="AO228" i="9"/>
  <c r="BD228" i="9"/>
  <c r="BH228" i="9"/>
  <c r="BK228" i="9" s="1"/>
  <c r="BN228" i="9"/>
  <c r="R229" i="9"/>
  <c r="AP229" i="9"/>
  <c r="AX229" i="9"/>
  <c r="W230" i="9"/>
  <c r="Y230" i="9"/>
  <c r="AO230" i="9"/>
  <c r="W231" i="9"/>
  <c r="Y231" i="9"/>
  <c r="AO231" i="9"/>
  <c r="AX231" i="9"/>
  <c r="DC231" i="9"/>
  <c r="W232" i="9"/>
  <c r="Y232" i="9"/>
  <c r="AO232" i="9"/>
  <c r="AX232" i="9"/>
  <c r="R233" i="9"/>
  <c r="X233" i="9"/>
  <c r="AB233" i="9"/>
  <c r="AD233" i="9"/>
  <c r="AF233" i="9"/>
  <c r="AP233" i="9"/>
  <c r="AX233" i="9"/>
  <c r="CB233" i="9"/>
  <c r="DI233" i="9" s="1"/>
  <c r="DC233" i="9"/>
  <c r="R234" i="9"/>
  <c r="AB234" i="9"/>
  <c r="AD234" i="9"/>
  <c r="AF234" i="9"/>
  <c r="AP234" i="9"/>
  <c r="AX234" i="9"/>
  <c r="BK234" i="9"/>
  <c r="BN234" i="9"/>
  <c r="X235" i="9"/>
  <c r="AO235" i="9"/>
  <c r="AC236" i="9"/>
  <c r="AO236" i="9"/>
  <c r="CC236" i="9"/>
  <c r="AC237" i="9"/>
  <c r="AO237" i="9"/>
  <c r="CC237" i="9"/>
  <c r="AC238" i="9"/>
  <c r="AO238" i="9"/>
  <c r="CC238" i="9"/>
  <c r="C361" i="9"/>
  <c r="C348" i="9"/>
  <c r="C301" i="9"/>
  <c r="E361" i="9"/>
  <c r="E301" i="9"/>
  <c r="G361" i="9"/>
  <c r="G301" i="9"/>
  <c r="K361" i="9"/>
  <c r="K301" i="9"/>
  <c r="Q241" i="9"/>
  <c r="AO241" i="9"/>
  <c r="AQ470" i="9"/>
  <c r="AQ511" i="9" s="1"/>
  <c r="AQ301" i="9"/>
  <c r="AS470" i="9"/>
  <c r="AS511" i="9" s="1"/>
  <c r="AS301" i="9"/>
  <c r="AS317" i="9" s="1"/>
  <c r="AS475" i="9" s="1"/>
  <c r="AS516" i="9" s="1"/>
  <c r="BC317" i="9"/>
  <c r="AV317" i="9" s="1"/>
  <c r="AV301" i="9"/>
  <c r="BQ470" i="9"/>
  <c r="BQ511" i="9" s="1"/>
  <c r="BQ301" i="9"/>
  <c r="BQ317" i="9" s="1"/>
  <c r="BQ475" i="9" s="1"/>
  <c r="BQ516" i="9" s="1"/>
  <c r="DF241" i="9"/>
  <c r="DH241" i="9"/>
  <c r="AO242" i="9"/>
  <c r="DD242" i="9"/>
  <c r="Q427" i="9"/>
  <c r="W243" i="9"/>
  <c r="Y243" i="9"/>
  <c r="AO243" i="9"/>
  <c r="AQ509" i="9"/>
  <c r="BL509" i="9"/>
  <c r="BP243" i="9"/>
  <c r="R244" i="9"/>
  <c r="AP244" i="9"/>
  <c r="AX244" i="9"/>
  <c r="BD244" i="9"/>
  <c r="BH244" i="9"/>
  <c r="BK244" i="9" s="1"/>
  <c r="W245" i="9"/>
  <c r="Y245" i="9"/>
  <c r="AC245" i="9"/>
  <c r="AI245" i="9"/>
  <c r="AK245" i="9"/>
  <c r="AO245" i="9"/>
  <c r="BF245" i="9"/>
  <c r="BP245" i="9"/>
  <c r="W246" i="9"/>
  <c r="Y246" i="9"/>
  <c r="AC246" i="9"/>
  <c r="AI246" i="9"/>
  <c r="AK246" i="9"/>
  <c r="AO246" i="9"/>
  <c r="BF246" i="9"/>
  <c r="BP246" i="9"/>
  <c r="R247" i="9"/>
  <c r="AP247" i="9"/>
  <c r="AX247" i="9"/>
  <c r="X248" i="9"/>
  <c r="AC248" i="9"/>
  <c r="AF248" i="9"/>
  <c r="AO248" i="9"/>
  <c r="CR248" i="9"/>
  <c r="BD249" i="9"/>
  <c r="BH249" i="9"/>
  <c r="BK249" i="9" s="1"/>
  <c r="X250" i="9"/>
  <c r="AC250" i="9"/>
  <c r="AF250" i="9"/>
  <c r="BD250" i="9"/>
  <c r="BH250" i="9"/>
  <c r="BK250" i="9" s="1"/>
  <c r="BN250" i="9"/>
  <c r="AC251" i="9"/>
  <c r="AO251" i="9"/>
  <c r="R252" i="9"/>
  <c r="BD252" i="9"/>
  <c r="BH252" i="9"/>
  <c r="BK252" i="9" s="1"/>
  <c r="BN252" i="9"/>
  <c r="R253" i="9"/>
  <c r="AP253" i="9"/>
  <c r="AX253" i="9"/>
  <c r="R254" i="9"/>
  <c r="AO254" i="9"/>
  <c r="X255" i="9"/>
  <c r="AC255" i="9"/>
  <c r="AE255" i="9"/>
  <c r="AO255" i="9"/>
  <c r="AX255" i="9"/>
  <c r="CB255" i="9"/>
  <c r="DI255" i="9" s="1"/>
  <c r="R256" i="9"/>
  <c r="BD256" i="9"/>
  <c r="BH256" i="9"/>
  <c r="BK256" i="9" s="1"/>
  <c r="BN256" i="9"/>
  <c r="R257" i="9"/>
  <c r="AP257" i="9"/>
  <c r="AX257" i="9"/>
  <c r="BD257" i="9"/>
  <c r="BH257" i="9"/>
  <c r="BK257" i="9" s="1"/>
  <c r="CB257" i="9"/>
  <c r="DI257" i="9" s="1"/>
  <c r="X258" i="9"/>
  <c r="AO258" i="9"/>
  <c r="AO259" i="9"/>
  <c r="Z259" i="9"/>
  <c r="BD259" i="9"/>
  <c r="BH259" i="9"/>
  <c r="BK259" i="9" s="1"/>
  <c r="BN261" i="9"/>
  <c r="BP262" i="9"/>
  <c r="BO262" i="9"/>
  <c r="DI266" i="9"/>
  <c r="CC266" i="9"/>
  <c r="BP268" i="9"/>
  <c r="BO268" i="9"/>
  <c r="BP279" i="9"/>
  <c r="BO279" i="9"/>
  <c r="BP281" i="9"/>
  <c r="BO281" i="9"/>
  <c r="BP292" i="9"/>
  <c r="BO292" i="9"/>
  <c r="X221" i="9"/>
  <c r="Z221" i="9"/>
  <c r="AX221" i="9"/>
  <c r="BN221" i="9"/>
  <c r="X222" i="9"/>
  <c r="AC222" i="9"/>
  <c r="AO222" i="9"/>
  <c r="AW222" i="9"/>
  <c r="BD222" i="9"/>
  <c r="BN222" i="9"/>
  <c r="V223" i="9"/>
  <c r="Y223" i="9"/>
  <c r="AA223" i="9"/>
  <c r="AW223" i="9"/>
  <c r="BD223" i="9"/>
  <c r="BN223" i="9"/>
  <c r="V224" i="9"/>
  <c r="X224" i="9"/>
  <c r="AB224" i="9"/>
  <c r="AD224" i="9"/>
  <c r="AX224" i="9"/>
  <c r="X225" i="9"/>
  <c r="AC225" i="9"/>
  <c r="AX225" i="9"/>
  <c r="X226" i="9"/>
  <c r="AC226" i="9"/>
  <c r="AO226" i="9"/>
  <c r="AW226" i="9"/>
  <c r="BD226" i="9"/>
  <c r="BN226" i="9"/>
  <c r="O227" i="9"/>
  <c r="X227" i="9"/>
  <c r="AC227" i="9"/>
  <c r="AO227" i="9"/>
  <c r="AW227" i="9"/>
  <c r="BD227" i="9"/>
  <c r="V228" i="9"/>
  <c r="Y228" i="9"/>
  <c r="AA228" i="9"/>
  <c r="AD228" i="9"/>
  <c r="AX228" i="9"/>
  <c r="X229" i="9"/>
  <c r="Z229" i="9"/>
  <c r="AO229" i="9"/>
  <c r="AW229" i="9"/>
  <c r="BD229" i="9"/>
  <c r="BN229" i="9"/>
  <c r="R230" i="9"/>
  <c r="V230" i="9"/>
  <c r="V231" i="9"/>
  <c r="X231" i="9"/>
  <c r="Z231" i="9"/>
  <c r="AW231" i="9"/>
  <c r="BD231" i="9"/>
  <c r="CB231" i="9"/>
  <c r="CC231" i="9" s="1"/>
  <c r="V232" i="9"/>
  <c r="X232" i="9"/>
  <c r="Z232" i="9"/>
  <c r="AW232" i="9"/>
  <c r="BD232" i="9"/>
  <c r="CB232" i="9"/>
  <c r="DI232" i="9" s="1"/>
  <c r="O233" i="9"/>
  <c r="O230" i="9" s="1"/>
  <c r="W233" i="9"/>
  <c r="Y233" i="9"/>
  <c r="AA233" i="9"/>
  <c r="AC233" i="9"/>
  <c r="AO233" i="9"/>
  <c r="AW233" i="9"/>
  <c r="BD233" i="9"/>
  <c r="BN233" i="9"/>
  <c r="W234" i="9"/>
  <c r="Y234" i="9"/>
  <c r="AA234" i="9"/>
  <c r="AC234" i="9"/>
  <c r="AO234" i="9"/>
  <c r="AW234" i="9"/>
  <c r="BD234" i="9"/>
  <c r="V235" i="9"/>
  <c r="AW235" i="9"/>
  <c r="BD235" i="9"/>
  <c r="BN235" i="9"/>
  <c r="X236" i="9"/>
  <c r="AA236" i="9"/>
  <c r="AW236" i="9"/>
  <c r="BD236" i="9"/>
  <c r="X237" i="9"/>
  <c r="AA237" i="9"/>
  <c r="AW237" i="9"/>
  <c r="BD237" i="9"/>
  <c r="AA238" i="9"/>
  <c r="AW238" i="9"/>
  <c r="BD238" i="9"/>
  <c r="D361" i="9"/>
  <c r="D301" i="9"/>
  <c r="F361" i="9"/>
  <c r="F301" i="9"/>
  <c r="J361" i="9"/>
  <c r="J301" i="9"/>
  <c r="L361" i="9"/>
  <c r="L301" i="9"/>
  <c r="Q301" i="9"/>
  <c r="R301" i="9"/>
  <c r="R241" i="9"/>
  <c r="T470" i="9"/>
  <c r="T511" i="9" s="1"/>
  <c r="T301" i="9"/>
  <c r="Z301" i="9"/>
  <c r="AV241" i="9"/>
  <c r="BB470" i="9"/>
  <c r="BB511" i="9" s="1"/>
  <c r="BB301" i="9"/>
  <c r="BJ241" i="9"/>
  <c r="BL470" i="9"/>
  <c r="BL511" i="9" s="1"/>
  <c r="BL301" i="9"/>
  <c r="BL317" i="9" s="1"/>
  <c r="BL475" i="9" s="1"/>
  <c r="BL516" i="9" s="1"/>
  <c r="DC241" i="9"/>
  <c r="DG241" i="9"/>
  <c r="R242" i="9"/>
  <c r="R243" i="9"/>
  <c r="V243" i="9"/>
  <c r="X243" i="9"/>
  <c r="AP243" i="9"/>
  <c r="AS509" i="9"/>
  <c r="BB509" i="9"/>
  <c r="BD243" i="9"/>
  <c r="BQ509" i="9"/>
  <c r="CB243" i="9"/>
  <c r="U244" i="9"/>
  <c r="Z244" i="9"/>
  <c r="AW244" i="9"/>
  <c r="BN244" i="9"/>
  <c r="V245" i="9"/>
  <c r="X245" i="9"/>
  <c r="AB245" i="9"/>
  <c r="AD245" i="9"/>
  <c r="AH245" i="9"/>
  <c r="AX245" i="9"/>
  <c r="V246" i="9"/>
  <c r="X246" i="9"/>
  <c r="AB246" i="9"/>
  <c r="AD246" i="9"/>
  <c r="AH246" i="9"/>
  <c r="AX246" i="9"/>
  <c r="X247" i="9"/>
  <c r="Z247" i="9"/>
  <c r="AO247" i="9"/>
  <c r="AW247" i="9"/>
  <c r="BD247" i="9"/>
  <c r="CB247" i="9"/>
  <c r="DI247" i="9" s="1"/>
  <c r="R248" i="9"/>
  <c r="V248" i="9"/>
  <c r="AA248" i="9"/>
  <c r="AW248" i="9"/>
  <c r="BD248" i="9"/>
  <c r="Z249" i="9"/>
  <c r="BN249" i="9"/>
  <c r="V250" i="9"/>
  <c r="Y250" i="9"/>
  <c r="AA250" i="9"/>
  <c r="AA251" i="9"/>
  <c r="AW251" i="9"/>
  <c r="BD251" i="9"/>
  <c r="BN251" i="9"/>
  <c r="Z252" i="9"/>
  <c r="X253" i="9"/>
  <c r="Z253" i="9"/>
  <c r="AO253" i="9"/>
  <c r="AW253" i="9"/>
  <c r="BD253" i="9"/>
  <c r="CB253" i="9"/>
  <c r="DI253" i="9" s="1"/>
  <c r="X254" i="9"/>
  <c r="Z254" i="9"/>
  <c r="AW254" i="9"/>
  <c r="BD254" i="9"/>
  <c r="BN254" i="9"/>
  <c r="V255" i="9"/>
  <c r="Y255" i="9"/>
  <c r="AA255" i="9"/>
  <c r="AD255" i="9"/>
  <c r="AW255" i="9"/>
  <c r="BD255" i="9"/>
  <c r="X256" i="9"/>
  <c r="Z256" i="9"/>
  <c r="CB256" i="9"/>
  <c r="DI256" i="9" s="1"/>
  <c r="U257" i="9"/>
  <c r="Z257" i="9"/>
  <c r="AW257" i="9"/>
  <c r="BN257" i="9"/>
  <c r="V258" i="9"/>
  <c r="Y258" i="9"/>
  <c r="BH258" i="9"/>
  <c r="BK258" i="9" s="1"/>
  <c r="BD258" i="9"/>
  <c r="AP258" i="9"/>
  <c r="BN259" i="9"/>
  <c r="AX261" i="9"/>
  <c r="AW261" i="9"/>
  <c r="Z261" i="9"/>
  <c r="DI262" i="9"/>
  <c r="CC262" i="9"/>
  <c r="BP265" i="9"/>
  <c r="BO265" i="9"/>
  <c r="BP266" i="9"/>
  <c r="BO266" i="9"/>
  <c r="BP272" i="9"/>
  <c r="BO272" i="9"/>
  <c r="BP278" i="9"/>
  <c r="BO278" i="9"/>
  <c r="X260" i="9"/>
  <c r="BD260" i="9"/>
  <c r="BH260" i="9"/>
  <c r="BK260" i="9" s="1"/>
  <c r="BN260" i="9"/>
  <c r="X261" i="9"/>
  <c r="AO261" i="9"/>
  <c r="BF261" i="9"/>
  <c r="CB261" i="9"/>
  <c r="DI261" i="9" s="1"/>
  <c r="X262" i="9"/>
  <c r="AC262" i="9"/>
  <c r="AF262" i="9"/>
  <c r="AO262" i="9"/>
  <c r="DG262" i="9"/>
  <c r="AC263" i="9"/>
  <c r="AO263" i="9"/>
  <c r="R264" i="9"/>
  <c r="AP264" i="9"/>
  <c r="AX264" i="9"/>
  <c r="CB264" i="9"/>
  <c r="DI264" i="9" s="1"/>
  <c r="R265" i="9"/>
  <c r="AP265" i="9"/>
  <c r="AX265" i="9"/>
  <c r="CC265" i="9"/>
  <c r="DG265" i="9"/>
  <c r="X266" i="9"/>
  <c r="AC266" i="9"/>
  <c r="AE266" i="9"/>
  <c r="AO266" i="9"/>
  <c r="AX266" i="9"/>
  <c r="DG266" i="9"/>
  <c r="X267" i="9"/>
  <c r="AC267" i="9"/>
  <c r="AE267" i="9"/>
  <c r="AI267" i="9"/>
  <c r="AK267" i="9"/>
  <c r="AO267" i="9"/>
  <c r="BF267" i="9"/>
  <c r="BP267" i="9"/>
  <c r="R268" i="9"/>
  <c r="AP268" i="9"/>
  <c r="AX268" i="9"/>
  <c r="BD268" i="9"/>
  <c r="BH268" i="9"/>
  <c r="BK268" i="9" s="1"/>
  <c r="CC268" i="9"/>
  <c r="BD269" i="9"/>
  <c r="BH269" i="9"/>
  <c r="BK269" i="9" s="1"/>
  <c r="BN269" i="9"/>
  <c r="X270" i="9"/>
  <c r="BD270" i="9"/>
  <c r="BH270" i="9"/>
  <c r="BK270" i="9" s="1"/>
  <c r="BN270" i="9"/>
  <c r="X271" i="9"/>
  <c r="AO271" i="9"/>
  <c r="AX271" i="9"/>
  <c r="R272" i="9"/>
  <c r="AP272" i="9"/>
  <c r="AX272" i="9"/>
  <c r="CC272" i="9"/>
  <c r="DG272" i="9"/>
  <c r="X273" i="9"/>
  <c r="BD273" i="9"/>
  <c r="BH273" i="9"/>
  <c r="BK273" i="9" s="1"/>
  <c r="BN273" i="9"/>
  <c r="AC274" i="9"/>
  <c r="AO274" i="9"/>
  <c r="R275" i="9"/>
  <c r="AO275" i="9"/>
  <c r="CB275" i="9"/>
  <c r="DI275" i="9" s="1"/>
  <c r="X276" i="9"/>
  <c r="AD276" i="9"/>
  <c r="AO276" i="9"/>
  <c r="BF276" i="9"/>
  <c r="BP276" i="9"/>
  <c r="R277" i="9"/>
  <c r="AP277" i="9"/>
  <c r="AX277" i="9"/>
  <c r="R278" i="9"/>
  <c r="AP278" i="9"/>
  <c r="AX278" i="9"/>
  <c r="CC278" i="9"/>
  <c r="DG278" i="9"/>
  <c r="AO279" i="9"/>
  <c r="X280" i="9"/>
  <c r="AC280" i="9"/>
  <c r="AE280" i="9"/>
  <c r="AI280" i="9"/>
  <c r="AK280" i="9"/>
  <c r="AO280" i="9"/>
  <c r="BF280" i="9"/>
  <c r="BP280" i="9"/>
  <c r="CR280" i="9"/>
  <c r="R281" i="9"/>
  <c r="AP281" i="9"/>
  <c r="AX281" i="9"/>
  <c r="CC281" i="9"/>
  <c r="DG281" i="9"/>
  <c r="X282" i="9"/>
  <c r="AC282" i="9"/>
  <c r="AF282" i="9"/>
  <c r="BD282" i="9"/>
  <c r="BH282" i="9"/>
  <c r="BK282" i="9" s="1"/>
  <c r="BN282" i="9"/>
  <c r="R283" i="9"/>
  <c r="AB283" i="9"/>
  <c r="AD283" i="9"/>
  <c r="AF283" i="9"/>
  <c r="AP283" i="9"/>
  <c r="AX283" i="9"/>
  <c r="CB283" i="9"/>
  <c r="DI283" i="9" s="1"/>
  <c r="R284" i="9"/>
  <c r="AB284" i="9"/>
  <c r="AD284" i="9"/>
  <c r="AF284" i="9"/>
  <c r="AP284" i="9"/>
  <c r="AX284" i="9"/>
  <c r="CB284" i="9"/>
  <c r="DI284" i="9" s="1"/>
  <c r="R285" i="9"/>
  <c r="AB285" i="9"/>
  <c r="AD285" i="9"/>
  <c r="AF285" i="9"/>
  <c r="BD285" i="9"/>
  <c r="BH285" i="9"/>
  <c r="BK285" i="9" s="1"/>
  <c r="BN285" i="9"/>
  <c r="X286" i="9"/>
  <c r="AC286" i="9"/>
  <c r="AE286" i="9"/>
  <c r="AO286" i="9"/>
  <c r="AX286" i="9"/>
  <c r="CB286" i="9"/>
  <c r="DI286" i="9" s="1"/>
  <c r="R287" i="9"/>
  <c r="AB287" i="9"/>
  <c r="AD287" i="9"/>
  <c r="AF287" i="9"/>
  <c r="AP287" i="9"/>
  <c r="AX287" i="9"/>
  <c r="CB287" i="9"/>
  <c r="DI287" i="9" s="1"/>
  <c r="R288" i="9"/>
  <c r="AB288" i="9"/>
  <c r="AD288" i="9"/>
  <c r="AF288" i="9"/>
  <c r="AP288" i="9"/>
  <c r="AX288" i="9"/>
  <c r="CB288" i="9"/>
  <c r="DI288" i="9" s="1"/>
  <c r="R289" i="9"/>
  <c r="AB289" i="9"/>
  <c r="AD289" i="9"/>
  <c r="AF289" i="9"/>
  <c r="AP289" i="9"/>
  <c r="AX289" i="9"/>
  <c r="CB289" i="9"/>
  <c r="DI289" i="9" s="1"/>
  <c r="R290" i="9"/>
  <c r="AB290" i="9"/>
  <c r="AD290" i="9"/>
  <c r="AF290" i="9"/>
  <c r="AP290" i="9"/>
  <c r="AX290" i="9"/>
  <c r="R291" i="9"/>
  <c r="AB291" i="9"/>
  <c r="AD291" i="9"/>
  <c r="AF291" i="9"/>
  <c r="AP291" i="9"/>
  <c r="AX291" i="9"/>
  <c r="CB291" i="9"/>
  <c r="DI291" i="9" s="1"/>
  <c r="R292" i="9"/>
  <c r="AB292" i="9"/>
  <c r="AD292" i="9"/>
  <c r="AF292" i="9"/>
  <c r="AP292" i="9"/>
  <c r="AX292" i="9"/>
  <c r="CC292" i="9"/>
  <c r="Y293" i="9"/>
  <c r="V293" i="9"/>
  <c r="AF293" i="9"/>
  <c r="AD293" i="9"/>
  <c r="AA293" i="9"/>
  <c r="AE293" i="9"/>
  <c r="DI294" i="9"/>
  <c r="CC294" i="9"/>
  <c r="AH300" i="9"/>
  <c r="BK305" i="9"/>
  <c r="BH304" i="9"/>
  <c r="BH303" i="9" s="1"/>
  <c r="BH307" i="9" s="1"/>
  <c r="CB258" i="9"/>
  <c r="DI258" i="9" s="1"/>
  <c r="X259" i="9"/>
  <c r="V260" i="9"/>
  <c r="Z260" i="9"/>
  <c r="V261" i="9"/>
  <c r="Y261" i="9"/>
  <c r="V262" i="9"/>
  <c r="Y262" i="9"/>
  <c r="AA262" i="9"/>
  <c r="AW262" i="9"/>
  <c r="BD262" i="9"/>
  <c r="X263" i="9"/>
  <c r="AA263" i="9"/>
  <c r="AW263" i="9"/>
  <c r="BD263" i="9"/>
  <c r="BN263" i="9"/>
  <c r="X264" i="9"/>
  <c r="Z264" i="9"/>
  <c r="AO264" i="9"/>
  <c r="AW264" i="9"/>
  <c r="BD264" i="9"/>
  <c r="BN264" i="9"/>
  <c r="X265" i="9"/>
  <c r="Z265" i="9"/>
  <c r="AO265" i="9"/>
  <c r="AW265" i="9"/>
  <c r="BD265" i="9"/>
  <c r="V266" i="9"/>
  <c r="Y266" i="9"/>
  <c r="AA266" i="9"/>
  <c r="AD266" i="9"/>
  <c r="AW266" i="9"/>
  <c r="BD266" i="9"/>
  <c r="V267" i="9"/>
  <c r="Y267" i="9"/>
  <c r="AA267" i="9"/>
  <c r="AD267" i="9"/>
  <c r="AH267" i="9"/>
  <c r="AX267" i="9"/>
  <c r="U268" i="9"/>
  <c r="Z268" i="9"/>
  <c r="AW268" i="9"/>
  <c r="X269" i="9"/>
  <c r="Z269" i="9"/>
  <c r="V270" i="9"/>
  <c r="Z270" i="9"/>
  <c r="V271" i="9"/>
  <c r="Z271" i="9"/>
  <c r="AW271" i="9"/>
  <c r="BD271" i="9"/>
  <c r="BN271" i="9"/>
  <c r="X272" i="9"/>
  <c r="Z272" i="9"/>
  <c r="AO272" i="9"/>
  <c r="BD272" i="9"/>
  <c r="V273" i="9"/>
  <c r="Z273" i="9"/>
  <c r="AA274" i="9"/>
  <c r="AW274" i="9"/>
  <c r="BD274" i="9"/>
  <c r="BN274" i="9"/>
  <c r="X275" i="9"/>
  <c r="Z275" i="9"/>
  <c r="AW275" i="9"/>
  <c r="BD275" i="9"/>
  <c r="BN275" i="9"/>
  <c r="V276" i="9"/>
  <c r="AC276" i="9"/>
  <c r="AY276" i="9"/>
  <c r="Z277" i="9"/>
  <c r="AO277" i="9"/>
  <c r="AW277" i="9"/>
  <c r="BD277" i="9"/>
  <c r="BN277" i="9"/>
  <c r="X278" i="9"/>
  <c r="Z278" i="9"/>
  <c r="AO278" i="9"/>
  <c r="AW278" i="9"/>
  <c r="BD278" i="9"/>
  <c r="X279" i="9"/>
  <c r="Z279" i="9"/>
  <c r="AW279" i="9"/>
  <c r="BD279" i="9"/>
  <c r="CB279" i="9"/>
  <c r="V280" i="9"/>
  <c r="AA280" i="9"/>
  <c r="AD280" i="9"/>
  <c r="AH280" i="9"/>
  <c r="AX280" i="9"/>
  <c r="X281" i="9"/>
  <c r="Z281" i="9"/>
  <c r="AO281" i="9"/>
  <c r="AW281" i="9"/>
  <c r="BD281" i="9"/>
  <c r="V282" i="9"/>
  <c r="Y282" i="9"/>
  <c r="AA282" i="9"/>
  <c r="W283" i="9"/>
  <c r="Y283" i="9"/>
  <c r="AA283" i="9"/>
  <c r="AC283" i="9"/>
  <c r="AO283" i="9"/>
  <c r="AW283" i="9"/>
  <c r="BD283" i="9"/>
  <c r="BN283" i="9"/>
  <c r="W284" i="9"/>
  <c r="Y284" i="9"/>
  <c r="AA284" i="9"/>
  <c r="AC284" i="9"/>
  <c r="AO284" i="9"/>
  <c r="AW284" i="9"/>
  <c r="BD284" i="9"/>
  <c r="BN284" i="9"/>
  <c r="W285" i="9"/>
  <c r="Y285" i="9"/>
  <c r="AA285" i="9"/>
  <c r="AC285" i="9"/>
  <c r="AX285" i="9"/>
  <c r="CB285" i="9"/>
  <c r="DI285" i="9" s="1"/>
  <c r="V286" i="9"/>
  <c r="Y286" i="9"/>
  <c r="AA286" i="9"/>
  <c r="AD286" i="9"/>
  <c r="AW286" i="9"/>
  <c r="BD286" i="9"/>
  <c r="BN286" i="9"/>
  <c r="W287" i="9"/>
  <c r="Y287" i="9"/>
  <c r="AA287" i="9"/>
  <c r="AC287" i="9"/>
  <c r="AO287" i="9"/>
  <c r="AW287" i="9"/>
  <c r="BD287" i="9"/>
  <c r="BN287" i="9"/>
  <c r="W288" i="9"/>
  <c r="Y288" i="9"/>
  <c r="AA288" i="9"/>
  <c r="AC288" i="9"/>
  <c r="AO288" i="9"/>
  <c r="AW288" i="9"/>
  <c r="BD288" i="9"/>
  <c r="BN288" i="9"/>
  <c r="W289" i="9"/>
  <c r="Y289" i="9"/>
  <c r="AA289" i="9"/>
  <c r="AC289" i="9"/>
  <c r="AO289" i="9"/>
  <c r="AW289" i="9"/>
  <c r="BD289" i="9"/>
  <c r="BN289" i="9"/>
  <c r="W290" i="9"/>
  <c r="Y290" i="9"/>
  <c r="AA290" i="9"/>
  <c r="AC290" i="9"/>
  <c r="AO290" i="9"/>
  <c r="AW290" i="9"/>
  <c r="BD290" i="9"/>
  <c r="BN290" i="9"/>
  <c r="W291" i="9"/>
  <c r="Y291" i="9"/>
  <c r="AA291" i="9"/>
  <c r="AC291" i="9"/>
  <c r="AO291" i="9"/>
  <c r="AW291" i="9"/>
  <c r="BD291" i="9"/>
  <c r="BN291" i="9"/>
  <c r="W292" i="9"/>
  <c r="Y292" i="9"/>
  <c r="AA292" i="9"/>
  <c r="AC292" i="9"/>
  <c r="AO292" i="9"/>
  <c r="AW292" i="9"/>
  <c r="BD292" i="9"/>
  <c r="X293" i="9"/>
  <c r="AC293" i="9"/>
  <c r="AJ293" i="9"/>
  <c r="AH293" i="9"/>
  <c r="AK293" i="9"/>
  <c r="AI293" i="9"/>
  <c r="BN299" i="9"/>
  <c r="V307" i="9"/>
  <c r="Z307" i="9"/>
  <c r="AO307" i="9"/>
  <c r="AU307" i="9"/>
  <c r="AW307" i="9" s="1"/>
  <c r="BK307" i="9"/>
  <c r="BJ307" i="9"/>
  <c r="BW321" i="9"/>
  <c r="Z304" i="9"/>
  <c r="AO304" i="9"/>
  <c r="BK304" i="9"/>
  <c r="AO293" i="9"/>
  <c r="BF293" i="9"/>
  <c r="BP293" i="9"/>
  <c r="W294" i="9"/>
  <c r="Y294" i="9"/>
  <c r="AC294" i="9"/>
  <c r="AI294" i="9"/>
  <c r="AK294" i="9"/>
  <c r="AO294" i="9"/>
  <c r="BF294" i="9"/>
  <c r="BP294" i="9"/>
  <c r="X295" i="9"/>
  <c r="AC295" i="9"/>
  <c r="AE295" i="9"/>
  <c r="AI295" i="9"/>
  <c r="AK295" i="9"/>
  <c r="AO295" i="9"/>
  <c r="BF295" i="9"/>
  <c r="BP295" i="9"/>
  <c r="X296" i="9"/>
  <c r="AC296" i="9"/>
  <c r="AE296" i="9"/>
  <c r="AI296" i="9"/>
  <c r="AK296" i="9"/>
  <c r="AO296" i="9"/>
  <c r="BF296" i="9"/>
  <c r="BP296" i="9"/>
  <c r="X297" i="9"/>
  <c r="AC297" i="9"/>
  <c r="AE297" i="9"/>
  <c r="AI297" i="9"/>
  <c r="AK297" i="9"/>
  <c r="AO297" i="9"/>
  <c r="BF297" i="9"/>
  <c r="BP297" i="9"/>
  <c r="AE298" i="9"/>
  <c r="AP298" i="9"/>
  <c r="AX298" i="9"/>
  <c r="BD298" i="9"/>
  <c r="BH298" i="9"/>
  <c r="BK298" i="9" s="1"/>
  <c r="X299" i="9"/>
  <c r="AO299" i="9"/>
  <c r="CB299" i="9"/>
  <c r="DI299" i="9" s="1"/>
  <c r="AO300" i="9"/>
  <c r="BA300" i="9"/>
  <c r="BF300" i="9"/>
  <c r="BP300" i="9"/>
  <c r="DG300" i="9"/>
  <c r="Q303" i="9"/>
  <c r="X303" i="9"/>
  <c r="BK303" i="9"/>
  <c r="CC303" i="9"/>
  <c r="R304" i="9"/>
  <c r="Y304" i="9"/>
  <c r="R305" i="9"/>
  <c r="AO305" i="9"/>
  <c r="AC306" i="9"/>
  <c r="AO306" i="9"/>
  <c r="P307" i="9"/>
  <c r="BL307" i="9"/>
  <c r="CP307" i="9" s="1"/>
  <c r="CQ307" i="9" s="1"/>
  <c r="CR307" i="9" s="1"/>
  <c r="D323" i="9"/>
  <c r="F323" i="9"/>
  <c r="H323" i="9"/>
  <c r="J323" i="9"/>
  <c r="L323" i="9"/>
  <c r="N323" i="9"/>
  <c r="Q319" i="9"/>
  <c r="R319" i="9"/>
  <c r="R309" i="9"/>
  <c r="T323" i="9"/>
  <c r="CC319" i="9"/>
  <c r="AR323" i="9"/>
  <c r="AN319" i="9"/>
  <c r="AT323" i="9"/>
  <c r="DG319" i="9"/>
  <c r="DI319" i="9"/>
  <c r="BN311" i="9"/>
  <c r="BD311" i="9"/>
  <c r="AO313" i="9"/>
  <c r="AW313" i="9"/>
  <c r="Z313" i="9"/>
  <c r="BG314" i="9"/>
  <c r="BJ314" i="9" s="1"/>
  <c r="AO314" i="9"/>
  <c r="BH317" i="9"/>
  <c r="BK317" i="9" s="1"/>
  <c r="AX293" i="9"/>
  <c r="V294" i="9"/>
  <c r="X294" i="9"/>
  <c r="AB294" i="9"/>
  <c r="AD294" i="9"/>
  <c r="AH294" i="9"/>
  <c r="AX294" i="9"/>
  <c r="V295" i="9"/>
  <c r="Y295" i="9"/>
  <c r="AA295" i="9"/>
  <c r="AD295" i="9"/>
  <c r="AH295" i="9"/>
  <c r="AX295" i="9"/>
  <c r="V296" i="9"/>
  <c r="Y296" i="9"/>
  <c r="AA296" i="9"/>
  <c r="AD296" i="9"/>
  <c r="AH296" i="9"/>
  <c r="AX296" i="9"/>
  <c r="CB296" i="9"/>
  <c r="V297" i="9"/>
  <c r="Y297" i="9"/>
  <c r="AA297" i="9"/>
  <c r="AD297" i="9"/>
  <c r="AH297" i="9"/>
  <c r="AX297" i="9"/>
  <c r="U298" i="9"/>
  <c r="AD298" i="9" s="1"/>
  <c r="AA298" i="9"/>
  <c r="AW298" i="9"/>
  <c r="BN298" i="9"/>
  <c r="V299" i="9"/>
  <c r="Z299" i="9"/>
  <c r="AW299" i="9"/>
  <c r="BD299" i="9"/>
  <c r="Z300" i="9"/>
  <c r="AW300" i="9"/>
  <c r="V303" i="9"/>
  <c r="Y303" i="9"/>
  <c r="AM303" i="9"/>
  <c r="BG303" i="9" s="1"/>
  <c r="AV303" i="9"/>
  <c r="BJ303" i="9"/>
  <c r="AW304" i="9"/>
  <c r="BY304" i="9"/>
  <c r="Z305" i="9"/>
  <c r="AW305" i="9"/>
  <c r="BD305" i="9"/>
  <c r="BN305" i="9"/>
  <c r="X306" i="9"/>
  <c r="AA306" i="9"/>
  <c r="AW306" i="9"/>
  <c r="BD306" i="9"/>
  <c r="BN306" i="9"/>
  <c r="C323" i="9"/>
  <c r="E323" i="9"/>
  <c r="G323" i="9"/>
  <c r="G347" i="9" s="1"/>
  <c r="G351" i="9" s="1"/>
  <c r="K323" i="9"/>
  <c r="M323" i="9"/>
  <c r="Q309" i="9"/>
  <c r="S323" i="9"/>
  <c r="DF319" i="9"/>
  <c r="DH319" i="9"/>
  <c r="CC309" i="9"/>
  <c r="DG309" i="9"/>
  <c r="DI309" i="9"/>
  <c r="R312" i="9"/>
  <c r="AE312" i="9"/>
  <c r="AA312" i="9"/>
  <c r="AF312" i="9"/>
  <c r="AO312" i="9"/>
  <c r="BD312" i="9"/>
  <c r="BH312" i="9"/>
  <c r="BK312" i="9" s="1"/>
  <c r="BP312" i="9"/>
  <c r="BH313" i="9"/>
  <c r="BK313" i="9" s="1"/>
  <c r="BP313" i="9"/>
  <c r="AP314" i="9"/>
  <c r="BO317" i="9"/>
  <c r="G353" i="9"/>
  <c r="BF314" i="9"/>
  <c r="BP314" i="9"/>
  <c r="X315" i="9"/>
  <c r="AP315" i="9"/>
  <c r="BK315" i="9"/>
  <c r="BN315" i="9"/>
  <c r="AO316" i="9"/>
  <c r="R317" i="9"/>
  <c r="BP317" i="9"/>
  <c r="AC318" i="9"/>
  <c r="BP318" i="9"/>
  <c r="S413" i="9"/>
  <c r="AQ413" i="9"/>
  <c r="AS413" i="9"/>
  <c r="BB413" i="9"/>
  <c r="BD313" i="9"/>
  <c r="X314" i="9"/>
  <c r="AC314" i="9"/>
  <c r="AY314" i="9"/>
  <c r="V315" i="9"/>
  <c r="Z315" i="9"/>
  <c r="AO315" i="9"/>
  <c r="AW315" i="9"/>
  <c r="BD315" i="9"/>
  <c r="Z316" i="9"/>
  <c r="AW316" i="9"/>
  <c r="BD316" i="9"/>
  <c r="BD317" i="9"/>
  <c r="AA318" i="9"/>
  <c r="AO318" i="9"/>
  <c r="BD318" i="9"/>
  <c r="BB437" i="9"/>
  <c r="S471" i="9"/>
  <c r="S454" i="9"/>
  <c r="S461" i="9" s="1"/>
  <c r="S504" i="9"/>
  <c r="S507" i="9" s="1"/>
  <c r="V518" i="9"/>
  <c r="V504" i="9"/>
  <c r="V507" i="9" s="1"/>
  <c r="S512" i="9"/>
  <c r="V512" i="9"/>
  <c r="BD27" i="8"/>
  <c r="CH65" i="7"/>
  <c r="BB65" i="7"/>
  <c r="BK65" i="7" s="1"/>
  <c r="BT62" i="7"/>
  <c r="CH34" i="7"/>
  <c r="BB34" i="7" s="1"/>
  <c r="BK34" i="7" s="1"/>
  <c r="CH35" i="7"/>
  <c r="BB35" i="7" s="1"/>
  <c r="BK35" i="7" s="1"/>
  <c r="CH22" i="7"/>
  <c r="BB22" i="7" s="1"/>
  <c r="BK22" i="7" s="1"/>
  <c r="AX61" i="9" l="1"/>
  <c r="AJ296" i="9"/>
  <c r="Z38" i="9"/>
  <c r="AX38" i="9"/>
  <c r="AW38" i="9"/>
  <c r="AW276" i="9"/>
  <c r="BM26" i="9"/>
  <c r="AV26" i="9" s="1"/>
  <c r="AV5" i="9"/>
  <c r="AV170" i="9"/>
  <c r="BM139" i="9"/>
  <c r="BM34" i="9" s="1"/>
  <c r="AW168" i="9"/>
  <c r="AF185" i="9"/>
  <c r="AE185" i="9"/>
  <c r="AA185" i="9"/>
  <c r="AW119" i="9"/>
  <c r="Z119" i="9"/>
  <c r="BR321" i="9"/>
  <c r="AW199" i="9"/>
  <c r="Z199" i="9"/>
  <c r="AW185" i="9"/>
  <c r="AF132" i="9"/>
  <c r="AA132" i="9"/>
  <c r="AE132" i="9"/>
  <c r="AF79" i="9"/>
  <c r="AE79" i="9"/>
  <c r="AA79" i="9"/>
  <c r="BM239" i="9"/>
  <c r="BM321" i="9"/>
  <c r="BQ474" i="9"/>
  <c r="BQ515" i="9" s="1"/>
  <c r="BQ310" i="9"/>
  <c r="BQ309" i="9" s="1"/>
  <c r="BS239" i="9"/>
  <c r="BS321" i="9"/>
  <c r="BS311" i="9"/>
  <c r="BS310" i="9" s="1"/>
  <c r="BS309" i="9" s="1"/>
  <c r="BS319" i="9" s="1"/>
  <c r="BS323" i="9" s="1"/>
  <c r="BM311" i="9"/>
  <c r="BM310" i="9" s="1"/>
  <c r="BM309" i="9" s="1"/>
  <c r="BM319" i="9" s="1"/>
  <c r="BM323" i="9" s="1"/>
  <c r="BP85" i="9"/>
  <c r="BO85" i="9"/>
  <c r="CR451" i="9"/>
  <c r="CR6" i="9"/>
  <c r="BF316" i="9"/>
  <c r="BE316" i="9"/>
  <c r="AY316" i="9"/>
  <c r="BE312" i="9"/>
  <c r="AY312" i="9"/>
  <c r="BF312" i="9"/>
  <c r="BP306" i="9"/>
  <c r="BO306" i="9"/>
  <c r="BF305" i="9"/>
  <c r="BE305" i="9"/>
  <c r="AY305" i="9"/>
  <c r="BD304" i="9"/>
  <c r="AF305" i="9"/>
  <c r="AC305" i="9"/>
  <c r="AE305" i="9"/>
  <c r="AA305" i="9"/>
  <c r="AW303" i="9"/>
  <c r="Z303" i="9"/>
  <c r="AC300" i="9"/>
  <c r="AE300" i="9"/>
  <c r="AA300" i="9"/>
  <c r="AN323" i="9"/>
  <c r="Q307" i="9"/>
  <c r="R307" i="9"/>
  <c r="BE298" i="9"/>
  <c r="AY298" i="9"/>
  <c r="BF298" i="9"/>
  <c r="AF304" i="9"/>
  <c r="AC304" i="9"/>
  <c r="AE304" i="9"/>
  <c r="AA304" i="9"/>
  <c r="AO303" i="9"/>
  <c r="Y307" i="9"/>
  <c r="BP299" i="9"/>
  <c r="BO299" i="9"/>
  <c r="BF291" i="9"/>
  <c r="AY291" i="9"/>
  <c r="BE291" i="9"/>
  <c r="BP290" i="9"/>
  <c r="BO290" i="9"/>
  <c r="BF289" i="9"/>
  <c r="AY289" i="9"/>
  <c r="BE289" i="9"/>
  <c r="BP288" i="9"/>
  <c r="BO288" i="9"/>
  <c r="BF287" i="9"/>
  <c r="AY287" i="9"/>
  <c r="BE287" i="9"/>
  <c r="BP286" i="9"/>
  <c r="BO286" i="9"/>
  <c r="BF284" i="9"/>
  <c r="AY284" i="9"/>
  <c r="BE284" i="9"/>
  <c r="BP283" i="9"/>
  <c r="BO283" i="9"/>
  <c r="BF281" i="9"/>
  <c r="AY281" i="9"/>
  <c r="BE281" i="9"/>
  <c r="AE281" i="9"/>
  <c r="AC281" i="9"/>
  <c r="AF281" i="9"/>
  <c r="AD281" i="9"/>
  <c r="AA281" i="9"/>
  <c r="DI279" i="9"/>
  <c r="CC279" i="9"/>
  <c r="BF278" i="9"/>
  <c r="AY278" i="9"/>
  <c r="BE278" i="9"/>
  <c r="AE278" i="9"/>
  <c r="AC278" i="9"/>
  <c r="AF278" i="9"/>
  <c r="AD278" i="9"/>
  <c r="AA278" i="9"/>
  <c r="BP277" i="9"/>
  <c r="BO277" i="9"/>
  <c r="AZ276" i="9"/>
  <c r="AG276" i="9"/>
  <c r="BF275" i="9"/>
  <c r="BE275" i="9"/>
  <c r="AY275" i="9"/>
  <c r="AF275" i="9"/>
  <c r="AC275" i="9"/>
  <c r="AE275" i="9"/>
  <c r="AA275" i="9"/>
  <c r="BP274" i="9"/>
  <c r="BO274" i="9"/>
  <c r="AC273" i="9"/>
  <c r="AE273" i="9"/>
  <c r="AA273" i="9"/>
  <c r="BF272" i="9"/>
  <c r="AY272" i="9"/>
  <c r="BE272" i="9"/>
  <c r="BF271" i="9"/>
  <c r="AY271" i="9"/>
  <c r="BE271" i="9"/>
  <c r="AE271" i="9"/>
  <c r="AC271" i="9"/>
  <c r="AD271" i="9"/>
  <c r="AA271" i="9"/>
  <c r="AC270" i="9"/>
  <c r="AE270" i="9"/>
  <c r="AA270" i="9"/>
  <c r="AF269" i="9"/>
  <c r="AC269" i="9"/>
  <c r="AE269" i="9"/>
  <c r="AA269" i="9"/>
  <c r="AE268" i="9"/>
  <c r="AC268" i="9"/>
  <c r="AF268" i="9"/>
  <c r="AD268" i="9"/>
  <c r="AA268" i="9"/>
  <c r="BF265" i="9"/>
  <c r="AY265" i="9"/>
  <c r="BE265" i="9"/>
  <c r="AE265" i="9"/>
  <c r="AC265" i="9"/>
  <c r="AF265" i="9"/>
  <c r="AD265" i="9"/>
  <c r="AA265" i="9"/>
  <c r="BP264" i="9"/>
  <c r="BO264" i="9"/>
  <c r="BF263" i="9"/>
  <c r="BE263" i="9"/>
  <c r="AY263" i="9"/>
  <c r="AC260" i="9"/>
  <c r="AE260" i="9"/>
  <c r="AA260" i="9"/>
  <c r="AK300" i="9"/>
  <c r="BO282" i="9"/>
  <c r="BP282" i="9"/>
  <c r="BE282" i="9"/>
  <c r="AY282" i="9"/>
  <c r="BF282" i="9"/>
  <c r="BO270" i="9"/>
  <c r="BP270" i="9"/>
  <c r="BE270" i="9"/>
  <c r="AY270" i="9"/>
  <c r="BF270" i="9"/>
  <c r="BO269" i="9"/>
  <c r="BP269" i="9"/>
  <c r="BE269" i="9"/>
  <c r="AY269" i="9"/>
  <c r="BF269" i="9"/>
  <c r="BO260" i="9"/>
  <c r="BP260" i="9"/>
  <c r="BE260" i="9"/>
  <c r="AY260" i="9"/>
  <c r="BF260" i="9"/>
  <c r="AF261" i="9"/>
  <c r="AD261" i="9"/>
  <c r="AA261" i="9"/>
  <c r="AE261" i="9"/>
  <c r="AC261" i="9"/>
  <c r="BF258" i="9"/>
  <c r="BE258" i="9"/>
  <c r="AY258" i="9"/>
  <c r="BP257" i="9"/>
  <c r="BO257" i="9"/>
  <c r="X257" i="9"/>
  <c r="Y257" i="9"/>
  <c r="V257" i="9"/>
  <c r="AF256" i="9"/>
  <c r="AC256" i="9"/>
  <c r="AE256" i="9"/>
  <c r="AA256" i="9"/>
  <c r="BF255" i="9"/>
  <c r="AY255" i="9"/>
  <c r="BE255" i="9"/>
  <c r="BP254" i="9"/>
  <c r="BO254" i="9"/>
  <c r="BF253" i="9"/>
  <c r="AY253" i="9"/>
  <c r="BE253" i="9"/>
  <c r="AE253" i="9"/>
  <c r="AC253" i="9"/>
  <c r="AF253" i="9"/>
  <c r="AD253" i="9"/>
  <c r="AA253" i="9"/>
  <c r="AF252" i="9"/>
  <c r="AC252" i="9"/>
  <c r="AE252" i="9"/>
  <c r="AA252" i="9"/>
  <c r="BF251" i="9"/>
  <c r="BE251" i="9"/>
  <c r="AY251" i="9"/>
  <c r="AF249" i="9"/>
  <c r="AC249" i="9"/>
  <c r="AE249" i="9"/>
  <c r="AA249" i="9"/>
  <c r="BP244" i="9"/>
  <c r="BN242" i="9"/>
  <c r="BO244" i="9"/>
  <c r="X244" i="9"/>
  <c r="Y244" i="9"/>
  <c r="V244" i="9"/>
  <c r="U242" i="9"/>
  <c r="DI243" i="9"/>
  <c r="CB242" i="9"/>
  <c r="BB317" i="9"/>
  <c r="AU301" i="9"/>
  <c r="AW301" i="9" s="1"/>
  <c r="AX241" i="9"/>
  <c r="Z241" i="9"/>
  <c r="AW241" i="9"/>
  <c r="BF238" i="9"/>
  <c r="BE238" i="9"/>
  <c r="AY238" i="9"/>
  <c r="BF237" i="9"/>
  <c r="BE237" i="9"/>
  <c r="AY237" i="9"/>
  <c r="BF235" i="9"/>
  <c r="BE235" i="9"/>
  <c r="AY235" i="9"/>
  <c r="BF233" i="9"/>
  <c r="AY233" i="9"/>
  <c r="BE233" i="9"/>
  <c r="BF231" i="9"/>
  <c r="AY231" i="9"/>
  <c r="BD230" i="9"/>
  <c r="BE231" i="9"/>
  <c r="AF231" i="9"/>
  <c r="AD231" i="9"/>
  <c r="AB231" i="9"/>
  <c r="AE231" i="9"/>
  <c r="AC231" i="9"/>
  <c r="AA231" i="9"/>
  <c r="BF229" i="9"/>
  <c r="AY229" i="9"/>
  <c r="BE229" i="9"/>
  <c r="AE229" i="9"/>
  <c r="AC229" i="9"/>
  <c r="AF229" i="9"/>
  <c r="AD229" i="9"/>
  <c r="AA229" i="9"/>
  <c r="BF227" i="9"/>
  <c r="AY227" i="9"/>
  <c r="BE227" i="9"/>
  <c r="BP226" i="9"/>
  <c r="BO226" i="9"/>
  <c r="BP223" i="9"/>
  <c r="BO223" i="9"/>
  <c r="BP222" i="9"/>
  <c r="BO222" i="9"/>
  <c r="AE221" i="9"/>
  <c r="AC221" i="9"/>
  <c r="AF221" i="9"/>
  <c r="AD221" i="9"/>
  <c r="AA221" i="9"/>
  <c r="CC289" i="9"/>
  <c r="CC287" i="9"/>
  <c r="CC284" i="9"/>
  <c r="CC275" i="9"/>
  <c r="CC261" i="9"/>
  <c r="BE259" i="9"/>
  <c r="AY259" i="9"/>
  <c r="BF259" i="9"/>
  <c r="BE257" i="9"/>
  <c r="AY257" i="9"/>
  <c r="BF257" i="9"/>
  <c r="CC253" i="9"/>
  <c r="BE249" i="9"/>
  <c r="AY249" i="9"/>
  <c r="BF249" i="9"/>
  <c r="CC247" i="9"/>
  <c r="U468" i="9"/>
  <c r="AQ317" i="9"/>
  <c r="AM301" i="9"/>
  <c r="BO234" i="9"/>
  <c r="BP234" i="9"/>
  <c r="CC232" i="9"/>
  <c r="CC258" i="9"/>
  <c r="AF258" i="9"/>
  <c r="AD258" i="9"/>
  <c r="AA258" i="9"/>
  <c r="AE258" i="9"/>
  <c r="AC258" i="9"/>
  <c r="CC255" i="9"/>
  <c r="BH242" i="9"/>
  <c r="CC243" i="9"/>
  <c r="CC256" i="9"/>
  <c r="AL241" i="9"/>
  <c r="CC242" i="9"/>
  <c r="AF243" i="9"/>
  <c r="AD243" i="9"/>
  <c r="AB243" i="9"/>
  <c r="AE243" i="9"/>
  <c r="AC243" i="9"/>
  <c r="AA243" i="9"/>
  <c r="AF219" i="9"/>
  <c r="AD219" i="9"/>
  <c r="AA219" i="9"/>
  <c r="AE219" i="9"/>
  <c r="AC219" i="9"/>
  <c r="BP211" i="9"/>
  <c r="BO211" i="9"/>
  <c r="BP209" i="9"/>
  <c r="BO209" i="9"/>
  <c r="BF202" i="9"/>
  <c r="BE202" i="9"/>
  <c r="AY202" i="9"/>
  <c r="BP181" i="9"/>
  <c r="BO181" i="9"/>
  <c r="BP176" i="9"/>
  <c r="BO176" i="9"/>
  <c r="BP173" i="9"/>
  <c r="BO173" i="9"/>
  <c r="BF171" i="9"/>
  <c r="BE171" i="9"/>
  <c r="AY171" i="9"/>
  <c r="BD170" i="9"/>
  <c r="BE216" i="9"/>
  <c r="AY216" i="9"/>
  <c r="BF216" i="9"/>
  <c r="AS458" i="9"/>
  <c r="AS34" i="9"/>
  <c r="AE213" i="9"/>
  <c r="AC213" i="9"/>
  <c r="AD213" i="9"/>
  <c r="AF213" i="9"/>
  <c r="AA213" i="9"/>
  <c r="AE211" i="9"/>
  <c r="AA211" i="9"/>
  <c r="AC211" i="9"/>
  <c r="BO210" i="9"/>
  <c r="BP210" i="9"/>
  <c r="AE209" i="9"/>
  <c r="AA209" i="9"/>
  <c r="AC209" i="9"/>
  <c r="AG207" i="9"/>
  <c r="BA207" i="9"/>
  <c r="AE201" i="9"/>
  <c r="AC201" i="9"/>
  <c r="AD201" i="9"/>
  <c r="AF201" i="9"/>
  <c r="AA201" i="9"/>
  <c r="DI199" i="9"/>
  <c r="CC199" i="9"/>
  <c r="BA199" i="9"/>
  <c r="AG199" i="9"/>
  <c r="BA198" i="9"/>
  <c r="AG198" i="9"/>
  <c r="AF197" i="9"/>
  <c r="AD197" i="9"/>
  <c r="AB197" i="9"/>
  <c r="AE197" i="9"/>
  <c r="AA197" i="9"/>
  <c r="AC197" i="9"/>
  <c r="AG196" i="9"/>
  <c r="BA196" i="9"/>
  <c r="BF195" i="9"/>
  <c r="AY195" i="9"/>
  <c r="BE195" i="9"/>
  <c r="BP195" i="9"/>
  <c r="BO195" i="9"/>
  <c r="AE195" i="9"/>
  <c r="AC195" i="9"/>
  <c r="AA195" i="9"/>
  <c r="AD195" i="9"/>
  <c r="AF195" i="9"/>
  <c r="AB195" i="9"/>
  <c r="AF194" i="9"/>
  <c r="AD194" i="9"/>
  <c r="AB194" i="9"/>
  <c r="AE194" i="9"/>
  <c r="AA194" i="9"/>
  <c r="AC194" i="9"/>
  <c r="BE192" i="9"/>
  <c r="AY192" i="9"/>
  <c r="BF192" i="9"/>
  <c r="AG190" i="9"/>
  <c r="BA190" i="9"/>
  <c r="AE189" i="9"/>
  <c r="AC189" i="9"/>
  <c r="AA189" i="9"/>
  <c r="AD189" i="9"/>
  <c r="AF189" i="9"/>
  <c r="AB189" i="9"/>
  <c r="BA188" i="9"/>
  <c r="AG188" i="9"/>
  <c r="AK180" i="9"/>
  <c r="AI180" i="9"/>
  <c r="AH180" i="9"/>
  <c r="AJ180" i="9"/>
  <c r="AE180" i="9"/>
  <c r="AC180" i="9"/>
  <c r="AA180" i="9"/>
  <c r="AD180" i="9"/>
  <c r="AF180" i="9"/>
  <c r="AB180" i="9"/>
  <c r="BG177" i="9"/>
  <c r="AO177" i="9"/>
  <c r="BE175" i="9"/>
  <c r="AY175" i="9"/>
  <c r="BF175" i="9"/>
  <c r="BH170" i="9"/>
  <c r="AE172" i="9"/>
  <c r="AC172" i="9"/>
  <c r="AA172" i="9"/>
  <c r="AD172" i="9"/>
  <c r="AF172" i="9"/>
  <c r="AB172" i="9"/>
  <c r="AW170" i="9"/>
  <c r="AX170" i="9"/>
  <c r="Z170" i="9"/>
  <c r="AK169" i="9"/>
  <c r="AI169" i="9"/>
  <c r="AH169" i="9"/>
  <c r="AJ169" i="9"/>
  <c r="BF166" i="9"/>
  <c r="AY166" i="9"/>
  <c r="BE166" i="9"/>
  <c r="BP166" i="9"/>
  <c r="BO166" i="9"/>
  <c r="AE166" i="9"/>
  <c r="AC166" i="9"/>
  <c r="AA166" i="9"/>
  <c r="AD166" i="9"/>
  <c r="AF166" i="9"/>
  <c r="AB166" i="9"/>
  <c r="BF164" i="9"/>
  <c r="AY164" i="9"/>
  <c r="BE164" i="9"/>
  <c r="AH162" i="9"/>
  <c r="AI162" i="9"/>
  <c r="BJ160" i="9"/>
  <c r="BI139" i="9"/>
  <c r="AG159" i="9"/>
  <c r="BA159" i="9"/>
  <c r="AE157" i="9"/>
  <c r="AC157" i="9"/>
  <c r="AA157" i="9"/>
  <c r="AD157" i="9"/>
  <c r="AF157" i="9"/>
  <c r="AB157" i="9"/>
  <c r="BF154" i="9"/>
  <c r="AY154" i="9"/>
  <c r="BE154" i="9"/>
  <c r="BF148" i="9"/>
  <c r="AY148" i="9"/>
  <c r="BE148" i="9"/>
  <c r="BD146" i="9"/>
  <c r="AE148" i="9"/>
  <c r="AC148" i="9"/>
  <c r="AF148" i="9"/>
  <c r="AD148" i="9"/>
  <c r="AA148" i="9"/>
  <c r="DF146" i="9"/>
  <c r="BY139" i="9"/>
  <c r="DF139" i="9" s="1"/>
  <c r="Y146" i="9"/>
  <c r="W146" i="9"/>
  <c r="X146" i="9"/>
  <c r="V146" i="9"/>
  <c r="I139" i="9"/>
  <c r="I34" i="9" s="1"/>
  <c r="BF145" i="9"/>
  <c r="AY145" i="9"/>
  <c r="BE145" i="9"/>
  <c r="BF143" i="9"/>
  <c r="AY143" i="9"/>
  <c r="BE143" i="9"/>
  <c r="BF137" i="9"/>
  <c r="AY137" i="9"/>
  <c r="BE137" i="9"/>
  <c r="BF136" i="9"/>
  <c r="AY136" i="9"/>
  <c r="BE136" i="9"/>
  <c r="AF135" i="9"/>
  <c r="AC135" i="9"/>
  <c r="AE135" i="9"/>
  <c r="AA135" i="9"/>
  <c r="BP134" i="9"/>
  <c r="BO134" i="9"/>
  <c r="BF130" i="9"/>
  <c r="AY130" i="9"/>
  <c r="BE130" i="9"/>
  <c r="BF129" i="9"/>
  <c r="AY129" i="9"/>
  <c r="BE129" i="9"/>
  <c r="BF127" i="9"/>
  <c r="AY127" i="9"/>
  <c r="BE127" i="9"/>
  <c r="BP125" i="9"/>
  <c r="BO125" i="9"/>
  <c r="BF124" i="9"/>
  <c r="AY124" i="9"/>
  <c r="BE124" i="9"/>
  <c r="BP123" i="9"/>
  <c r="BO123" i="9"/>
  <c r="AE218" i="9"/>
  <c r="AC218" i="9"/>
  <c r="AA218" i="9"/>
  <c r="AF218" i="9"/>
  <c r="AD218" i="9"/>
  <c r="AB218" i="9"/>
  <c r="AK218" i="9"/>
  <c r="AI218" i="9"/>
  <c r="AJ218" i="9"/>
  <c r="AH218" i="9"/>
  <c r="BF210" i="9"/>
  <c r="AY210" i="9"/>
  <c r="BE210" i="9"/>
  <c r="BF208" i="9"/>
  <c r="AY208" i="9"/>
  <c r="BE208" i="9"/>
  <c r="BP208" i="9"/>
  <c r="BO208" i="9"/>
  <c r="AE204" i="9"/>
  <c r="AC204" i="9"/>
  <c r="AF204" i="9"/>
  <c r="AA204" i="9"/>
  <c r="AD204" i="9"/>
  <c r="BF200" i="9"/>
  <c r="AY200" i="9"/>
  <c r="BE200" i="9"/>
  <c r="BF191" i="9"/>
  <c r="AY191" i="9"/>
  <c r="BE191" i="9"/>
  <c r="BP191" i="9"/>
  <c r="BO191" i="9"/>
  <c r="BF189" i="9"/>
  <c r="AY189" i="9"/>
  <c r="BE189" i="9"/>
  <c r="BF182" i="9"/>
  <c r="AY182" i="9"/>
  <c r="BE182" i="9"/>
  <c r="BP182" i="9"/>
  <c r="BO182" i="9"/>
  <c r="DI174" i="9"/>
  <c r="CC174" i="9"/>
  <c r="AJ174" i="9"/>
  <c r="AH174" i="9"/>
  <c r="AK174" i="9"/>
  <c r="AI174" i="9"/>
  <c r="BK170" i="9"/>
  <c r="O170" i="9"/>
  <c r="O139" i="9" s="1"/>
  <c r="AF163" i="9"/>
  <c r="AD163" i="9"/>
  <c r="AB163" i="9"/>
  <c r="AC163" i="9"/>
  <c r="AE163" i="9"/>
  <c r="AA163" i="9"/>
  <c r="Y160" i="9"/>
  <c r="W160" i="9"/>
  <c r="V160" i="9"/>
  <c r="X160" i="9"/>
  <c r="BO161" i="9"/>
  <c r="BP161" i="9"/>
  <c r="BN160" i="9"/>
  <c r="BH402" i="9"/>
  <c r="BD402" i="9"/>
  <c r="Q402" i="9"/>
  <c r="BK140" i="9"/>
  <c r="BO135" i="9"/>
  <c r="BP135" i="9"/>
  <c r="BE135" i="9"/>
  <c r="AY135" i="9"/>
  <c r="BF135" i="9"/>
  <c r="BO130" i="9"/>
  <c r="BP130" i="9"/>
  <c r="BO126" i="9"/>
  <c r="BP126" i="9"/>
  <c r="AE214" i="9"/>
  <c r="AC214" i="9"/>
  <c r="AA214" i="9"/>
  <c r="AF214" i="9"/>
  <c r="AB214" i="9"/>
  <c r="AD214" i="9"/>
  <c r="AE186" i="9"/>
  <c r="AC186" i="9"/>
  <c r="AA186" i="9"/>
  <c r="AF186" i="9"/>
  <c r="AB186" i="9"/>
  <c r="AD186" i="9"/>
  <c r="BO183" i="9"/>
  <c r="BP183" i="9"/>
  <c r="AE178" i="9"/>
  <c r="AC178" i="9"/>
  <c r="AA178" i="9"/>
  <c r="AF178" i="9"/>
  <c r="AB178" i="9"/>
  <c r="AD178" i="9"/>
  <c r="BF120" i="9"/>
  <c r="AY120" i="9"/>
  <c r="BE120" i="9"/>
  <c r="BP120" i="9"/>
  <c r="BO120" i="9"/>
  <c r="AE120" i="9"/>
  <c r="AC120" i="9"/>
  <c r="AA120" i="9"/>
  <c r="AD120" i="9"/>
  <c r="AF120" i="9"/>
  <c r="AB120" i="9"/>
  <c r="AG119" i="9"/>
  <c r="BA119" i="9"/>
  <c r="AE116" i="9"/>
  <c r="AC116" i="9"/>
  <c r="AF116" i="9"/>
  <c r="AD116" i="9"/>
  <c r="AA116" i="9"/>
  <c r="BP115" i="9"/>
  <c r="BO115" i="9"/>
  <c r="BF112" i="9"/>
  <c r="AY112" i="9"/>
  <c r="BE112" i="9"/>
  <c r="BF111" i="9"/>
  <c r="AY111" i="9"/>
  <c r="BE111" i="9"/>
  <c r="BP109" i="9"/>
  <c r="BO109" i="9"/>
  <c r="BP105" i="9"/>
  <c r="BO105" i="9"/>
  <c r="AZ104" i="9"/>
  <c r="AG104" i="9"/>
  <c r="BF103" i="9"/>
  <c r="AY103" i="9"/>
  <c r="BE103" i="9"/>
  <c r="AE103" i="9"/>
  <c r="AC103" i="9"/>
  <c r="AF103" i="9"/>
  <c r="AD103" i="9"/>
  <c r="AA103" i="9"/>
  <c r="DI96" i="9"/>
  <c r="CC96" i="9"/>
  <c r="BF95" i="9"/>
  <c r="AY95" i="9"/>
  <c r="BE95" i="9"/>
  <c r="DI94" i="9"/>
  <c r="CC94" i="9"/>
  <c r="BF92" i="9"/>
  <c r="AY92" i="9"/>
  <c r="BE92" i="9"/>
  <c r="O426" i="9"/>
  <c r="O414" i="9"/>
  <c r="O399" i="9"/>
  <c r="T495" i="9"/>
  <c r="T494" i="9" s="1"/>
  <c r="T504" i="9" s="1"/>
  <c r="T507" i="9" s="1"/>
  <c r="T512" i="9" s="1"/>
  <c r="T453" i="9"/>
  <c r="T463" i="9" s="1"/>
  <c r="T466" i="9" s="1"/>
  <c r="T471" i="9" s="1"/>
  <c r="BF78" i="9"/>
  <c r="BE78" i="9"/>
  <c r="AY78" i="9"/>
  <c r="BF74" i="9"/>
  <c r="AY74" i="9"/>
  <c r="BE74" i="9"/>
  <c r="BF70" i="9"/>
  <c r="AY70" i="9"/>
  <c r="BE70" i="9"/>
  <c r="BF68" i="9"/>
  <c r="AY68" i="9"/>
  <c r="BE68" i="9"/>
  <c r="BP67" i="9"/>
  <c r="BO67" i="9"/>
  <c r="BP59" i="9"/>
  <c r="BO59" i="9"/>
  <c r="BF58" i="9"/>
  <c r="AY58" i="9"/>
  <c r="BE58" i="9"/>
  <c r="BP55" i="9"/>
  <c r="BO55" i="9"/>
  <c r="CB38" i="9"/>
  <c r="DI52" i="9"/>
  <c r="BG401" i="9"/>
  <c r="BJ52" i="9"/>
  <c r="BP48" i="9"/>
  <c r="BO48" i="9"/>
  <c r="BP46" i="9"/>
  <c r="BO46" i="9"/>
  <c r="BF43" i="9"/>
  <c r="AY43" i="9"/>
  <c r="BE43" i="9"/>
  <c r="AE43" i="9"/>
  <c r="AC43" i="9"/>
  <c r="AF43" i="9"/>
  <c r="AD43" i="9"/>
  <c r="AA43" i="9"/>
  <c r="BP42" i="9"/>
  <c r="BO42" i="9"/>
  <c r="BF41" i="9"/>
  <c r="BE41" i="9"/>
  <c r="AY41" i="9"/>
  <c r="BP40" i="9"/>
  <c r="BO40" i="9"/>
  <c r="BP39" i="9"/>
  <c r="BN38" i="9"/>
  <c r="BO39" i="9"/>
  <c r="BD400" i="9"/>
  <c r="BF39" i="9"/>
  <c r="BD38" i="9"/>
  <c r="BE39" i="9"/>
  <c r="AY39" i="9"/>
  <c r="AG39" i="9" s="1"/>
  <c r="O400" i="9"/>
  <c r="O38" i="9"/>
  <c r="BD407" i="9"/>
  <c r="BD403" i="9"/>
  <c r="BF36" i="9"/>
  <c r="AY36" i="9"/>
  <c r="BD35" i="9"/>
  <c r="BE36" i="9"/>
  <c r="AF33" i="9"/>
  <c r="AC33" i="9"/>
  <c r="AE33" i="9"/>
  <c r="AA33" i="9"/>
  <c r="R31" i="9"/>
  <c r="Q31" i="9"/>
  <c r="L32" i="9"/>
  <c r="O31" i="9"/>
  <c r="BL311" i="9"/>
  <c r="R26" i="9"/>
  <c r="Q26" i="9"/>
  <c r="BF25" i="9"/>
  <c r="BE25" i="9"/>
  <c r="AY25" i="9"/>
  <c r="BF23" i="9"/>
  <c r="BE23" i="9"/>
  <c r="AY23" i="9"/>
  <c r="BP18" i="9"/>
  <c r="BO18" i="9"/>
  <c r="Q370" i="9"/>
  <c r="BF17" i="9"/>
  <c r="BE17" i="9"/>
  <c r="AY17" i="9"/>
  <c r="BP14" i="9"/>
  <c r="BO14" i="9"/>
  <c r="BN13" i="9"/>
  <c r="BF10" i="9"/>
  <c r="AY10" i="9"/>
  <c r="BE10" i="9"/>
  <c r="BD9" i="9"/>
  <c r="Q376" i="9"/>
  <c r="DG304" i="9"/>
  <c r="BZ303" i="9"/>
  <c r="CP449" i="9"/>
  <c r="CP448" i="9" s="1"/>
  <c r="CP447" i="9" s="1"/>
  <c r="CP6" i="9"/>
  <c r="Q336" i="9"/>
  <c r="M325" i="9"/>
  <c r="AV160" i="9"/>
  <c r="AF153" i="9"/>
  <c r="AD153" i="9"/>
  <c r="AB153" i="9"/>
  <c r="AE153" i="9"/>
  <c r="AC153" i="9"/>
  <c r="AA153" i="9"/>
  <c r="AZ153" i="9"/>
  <c r="AL139" i="9"/>
  <c r="CC150" i="9"/>
  <c r="BC139" i="9"/>
  <c r="CB146" i="9"/>
  <c r="DI146" i="9" s="1"/>
  <c r="AJ142" i="9"/>
  <c r="AH142" i="9"/>
  <c r="AK142" i="9"/>
  <c r="AI142" i="9"/>
  <c r="BF121" i="9"/>
  <c r="AY121" i="9"/>
  <c r="BE121" i="9"/>
  <c r="BP121" i="9"/>
  <c r="BO121" i="9"/>
  <c r="BO116" i="9"/>
  <c r="BP116" i="9"/>
  <c r="BE116" i="9"/>
  <c r="BF116" i="9"/>
  <c r="AY116" i="9"/>
  <c r="BO100" i="9"/>
  <c r="BP100" i="9"/>
  <c r="BE100" i="9"/>
  <c r="AY100" i="9"/>
  <c r="BF100" i="9"/>
  <c r="BO99" i="9"/>
  <c r="BP99" i="9"/>
  <c r="BO95" i="9"/>
  <c r="BP95" i="9"/>
  <c r="BO92" i="9"/>
  <c r="BP92" i="9"/>
  <c r="BG421" i="9"/>
  <c r="P421" i="9"/>
  <c r="BE89" i="9"/>
  <c r="BD85" i="9"/>
  <c r="BF89" i="9"/>
  <c r="AY89" i="9"/>
  <c r="BG399" i="9"/>
  <c r="BJ87" i="9"/>
  <c r="BA87" i="9"/>
  <c r="AW87" i="9"/>
  <c r="AZ87" i="9"/>
  <c r="AX87" i="9"/>
  <c r="Z87" i="9"/>
  <c r="CC86" i="9"/>
  <c r="CB85" i="9"/>
  <c r="DI86" i="9"/>
  <c r="BQ454" i="9"/>
  <c r="AF84" i="9"/>
  <c r="AD84" i="9"/>
  <c r="AA84" i="9"/>
  <c r="AE84" i="9"/>
  <c r="AC84" i="9"/>
  <c r="BO81" i="9"/>
  <c r="BP81" i="9"/>
  <c r="BE81" i="9"/>
  <c r="BF81" i="9"/>
  <c r="AY81" i="9"/>
  <c r="X78" i="9"/>
  <c r="V78" i="9"/>
  <c r="Y78" i="9"/>
  <c r="W78" i="9"/>
  <c r="O72" i="9"/>
  <c r="CB72" i="9"/>
  <c r="DI75" i="9"/>
  <c r="BH404" i="9"/>
  <c r="BH72" i="9"/>
  <c r="BK72" i="9" s="1"/>
  <c r="BK73" i="9"/>
  <c r="Q404" i="9"/>
  <c r="BO71" i="9"/>
  <c r="BP71" i="9"/>
  <c r="BE71" i="9"/>
  <c r="BF71" i="9"/>
  <c r="AY71" i="9"/>
  <c r="BO70" i="9"/>
  <c r="BP70" i="9"/>
  <c r="BO68" i="9"/>
  <c r="BP68" i="9"/>
  <c r="AF66" i="9"/>
  <c r="AD66" i="9"/>
  <c r="AA66" i="9"/>
  <c r="AE66" i="9"/>
  <c r="AC66" i="9"/>
  <c r="BO65" i="9"/>
  <c r="BP65" i="9"/>
  <c r="BE65" i="9"/>
  <c r="BF65" i="9"/>
  <c r="AY65" i="9"/>
  <c r="BE62" i="9"/>
  <c r="BF62" i="9"/>
  <c r="AY62" i="9"/>
  <c r="CC61" i="9"/>
  <c r="DI61" i="9"/>
  <c r="BO60" i="9"/>
  <c r="BP60" i="9"/>
  <c r="BE60" i="9"/>
  <c r="BF60" i="9"/>
  <c r="AY60" i="9"/>
  <c r="BE59" i="9"/>
  <c r="BF59" i="9"/>
  <c r="AY59" i="9"/>
  <c r="O56" i="9"/>
  <c r="BH405" i="9"/>
  <c r="BH56" i="9"/>
  <c r="BK56" i="9" s="1"/>
  <c r="Q405" i="9"/>
  <c r="BE55" i="9"/>
  <c r="AY55" i="9"/>
  <c r="BF55" i="9"/>
  <c r="BO54" i="9"/>
  <c r="BP54" i="9"/>
  <c r="BO52" i="9"/>
  <c r="BP52" i="9"/>
  <c r="BD401" i="9"/>
  <c r="BE52" i="9"/>
  <c r="AY52" i="9"/>
  <c r="BF52" i="9"/>
  <c r="BO51" i="9"/>
  <c r="BP51" i="9"/>
  <c r="BO50" i="9"/>
  <c r="BP50" i="9"/>
  <c r="BO36" i="9"/>
  <c r="BN35" i="9"/>
  <c r="BP36" i="9"/>
  <c r="O407" i="9"/>
  <c r="AJ33" i="9"/>
  <c r="BG31" i="9"/>
  <c r="BJ31" i="9" s="1"/>
  <c r="K32" i="9"/>
  <c r="DI30" i="9"/>
  <c r="CB29" i="9"/>
  <c r="BE30" i="9"/>
  <c r="BD29" i="9"/>
  <c r="BF30" i="9"/>
  <c r="AY30" i="9"/>
  <c r="M321" i="9"/>
  <c r="BO22" i="9"/>
  <c r="BP22" i="9"/>
  <c r="BO21" i="9"/>
  <c r="BP21" i="9"/>
  <c r="BE21" i="9"/>
  <c r="BF21" i="9"/>
  <c r="AY21" i="9"/>
  <c r="BO20" i="9"/>
  <c r="BP20" i="9"/>
  <c r="BE20" i="9"/>
  <c r="AY20" i="9"/>
  <c r="BF20" i="9"/>
  <c r="BO16" i="9"/>
  <c r="BP16" i="9"/>
  <c r="BE16" i="9"/>
  <c r="AY16" i="9"/>
  <c r="BF16" i="9"/>
  <c r="CR467" i="9"/>
  <c r="CR508" i="9" s="1"/>
  <c r="CQ450" i="9"/>
  <c r="CQ6" i="9"/>
  <c r="BO8" i="9"/>
  <c r="BP8" i="9"/>
  <c r="BE8" i="9"/>
  <c r="BF8" i="9"/>
  <c r="AY8" i="9"/>
  <c r="BO7" i="9"/>
  <c r="BP7" i="9"/>
  <c r="BN6" i="9"/>
  <c r="T518" i="9"/>
  <c r="N360" i="9"/>
  <c r="N338" i="9"/>
  <c r="L381" i="9"/>
  <c r="L394" i="9"/>
  <c r="J360" i="9"/>
  <c r="J393" i="9" s="1"/>
  <c r="J338" i="9"/>
  <c r="AJ117" i="9"/>
  <c r="AH117" i="9"/>
  <c r="AK117" i="9"/>
  <c r="AI117" i="9"/>
  <c r="AJ96" i="9"/>
  <c r="AH96" i="9"/>
  <c r="AK96" i="9"/>
  <c r="AI96" i="9"/>
  <c r="CC90" i="9"/>
  <c r="CC89" i="9"/>
  <c r="CC88" i="9"/>
  <c r="AK87" i="9"/>
  <c r="AI87" i="9"/>
  <c r="AJ87" i="9"/>
  <c r="AH87" i="9"/>
  <c r="CC78" i="9"/>
  <c r="AE75" i="9"/>
  <c r="AC75" i="9"/>
  <c r="AA75" i="9"/>
  <c r="AF75" i="9"/>
  <c r="AD75" i="9"/>
  <c r="AB75" i="9"/>
  <c r="CC59" i="9"/>
  <c r="AF40" i="9"/>
  <c r="AD40" i="9"/>
  <c r="AA40" i="9"/>
  <c r="AE40" i="9"/>
  <c r="AC40" i="9"/>
  <c r="BH35" i="9"/>
  <c r="BH407" i="9"/>
  <c r="DF13" i="9"/>
  <c r="DF5" i="9" s="1"/>
  <c r="BY5" i="9"/>
  <c r="Y26" i="9"/>
  <c r="X26" i="9"/>
  <c r="BG26" i="9"/>
  <c r="BJ26" i="9" s="1"/>
  <c r="AJ113" i="9"/>
  <c r="AH113" i="9"/>
  <c r="AK113" i="9"/>
  <c r="AI113" i="9"/>
  <c r="CC102" i="9"/>
  <c r="AJ94" i="9"/>
  <c r="AH94" i="9"/>
  <c r="AK94" i="9"/>
  <c r="AI94" i="9"/>
  <c r="CC91" i="9"/>
  <c r="AE86" i="9"/>
  <c r="AC86" i="9"/>
  <c r="AF86" i="9"/>
  <c r="AD86" i="9"/>
  <c r="AA86" i="9"/>
  <c r="AE80" i="9"/>
  <c r="AC80" i="9"/>
  <c r="AA80" i="9"/>
  <c r="AF80" i="9"/>
  <c r="AD80" i="9"/>
  <c r="AB80" i="9"/>
  <c r="CC68" i="9"/>
  <c r="AE61" i="9"/>
  <c r="AC61" i="9"/>
  <c r="AA61" i="9"/>
  <c r="AF61" i="9"/>
  <c r="AD61" i="9"/>
  <c r="AB61" i="9"/>
  <c r="AK61" i="9"/>
  <c r="AI61" i="9"/>
  <c r="AJ61" i="9"/>
  <c r="AH61" i="9"/>
  <c r="CC58" i="9"/>
  <c r="AJ49" i="9"/>
  <c r="AH49" i="9"/>
  <c r="AK49" i="9"/>
  <c r="AI49" i="9"/>
  <c r="AF46" i="9"/>
  <c r="AD46" i="9"/>
  <c r="AA46" i="9"/>
  <c r="AE46" i="9"/>
  <c r="AC46" i="9"/>
  <c r="AF41" i="9"/>
  <c r="AD41" i="9"/>
  <c r="AA41" i="9"/>
  <c r="AE41" i="9"/>
  <c r="AC41" i="9"/>
  <c r="BH38" i="9"/>
  <c r="BK38" i="9" s="1"/>
  <c r="AF38" i="9"/>
  <c r="AD38" i="9"/>
  <c r="AB38" i="9"/>
  <c r="AE38" i="9"/>
  <c r="AC38" i="9"/>
  <c r="AA38" i="9"/>
  <c r="CC17" i="9"/>
  <c r="DH13" i="9"/>
  <c r="DH5" i="9" s="1"/>
  <c r="CA5" i="9"/>
  <c r="CB9" i="9"/>
  <c r="BO9" i="9"/>
  <c r="BP9" i="9"/>
  <c r="BF317" i="9"/>
  <c r="BE317" i="9"/>
  <c r="AY317" i="9"/>
  <c r="AG317" i="9" s="1"/>
  <c r="AC316" i="9"/>
  <c r="AE316" i="9"/>
  <c r="AA316" i="9"/>
  <c r="AE315" i="9"/>
  <c r="AC315" i="9"/>
  <c r="AD315" i="9"/>
  <c r="AA315" i="9"/>
  <c r="BO315" i="9"/>
  <c r="BP315" i="9"/>
  <c r="BF318" i="9"/>
  <c r="AY318" i="9"/>
  <c r="BE318" i="9"/>
  <c r="BF315" i="9"/>
  <c r="BE315" i="9"/>
  <c r="AY315" i="9"/>
  <c r="AG314" i="9"/>
  <c r="AZ314" i="9"/>
  <c r="BF313" i="9"/>
  <c r="BE313" i="9"/>
  <c r="AY313" i="9"/>
  <c r="BF306" i="9"/>
  <c r="BE306" i="9"/>
  <c r="AY306" i="9"/>
  <c r="BP305" i="9"/>
  <c r="BO305" i="9"/>
  <c r="BN304" i="9"/>
  <c r="DF304" i="9"/>
  <c r="BY303" i="9"/>
  <c r="BF299" i="9"/>
  <c r="BE299" i="9"/>
  <c r="AY299" i="9"/>
  <c r="AC299" i="9"/>
  <c r="AE299" i="9"/>
  <c r="AA299" i="9"/>
  <c r="BP298" i="9"/>
  <c r="BO298" i="9"/>
  <c r="X298" i="9"/>
  <c r="V298" i="9"/>
  <c r="DI296" i="9"/>
  <c r="CC296" i="9"/>
  <c r="AF313" i="9"/>
  <c r="AC313" i="9"/>
  <c r="AE313" i="9"/>
  <c r="AA313" i="9"/>
  <c r="AY311" i="9"/>
  <c r="AG311" i="9" s="1"/>
  <c r="BD310" i="9"/>
  <c r="BP311" i="9"/>
  <c r="BO311" i="9"/>
  <c r="BN310" i="9"/>
  <c r="AC298" i="9"/>
  <c r="AF307" i="9"/>
  <c r="AC307" i="9"/>
  <c r="AE307" i="9"/>
  <c r="AA307" i="9"/>
  <c r="X307" i="9"/>
  <c r="CC299" i="9"/>
  <c r="BF292" i="9"/>
  <c r="AY292" i="9"/>
  <c r="BE292" i="9"/>
  <c r="BP291" i="9"/>
  <c r="BO291" i="9"/>
  <c r="BF290" i="9"/>
  <c r="AY290" i="9"/>
  <c r="BE290" i="9"/>
  <c r="BP289" i="9"/>
  <c r="BO289" i="9"/>
  <c r="BF288" i="9"/>
  <c r="AY288" i="9"/>
  <c r="BE288" i="9"/>
  <c r="BP287" i="9"/>
  <c r="BO287" i="9"/>
  <c r="BF286" i="9"/>
  <c r="AY286" i="9"/>
  <c r="BE286" i="9"/>
  <c r="BP284" i="9"/>
  <c r="BO284" i="9"/>
  <c r="BF283" i="9"/>
  <c r="AY283" i="9"/>
  <c r="BE283" i="9"/>
  <c r="BF279" i="9"/>
  <c r="BE279" i="9"/>
  <c r="AY279" i="9"/>
  <c r="AF279" i="9"/>
  <c r="AC279" i="9"/>
  <c r="AE279" i="9"/>
  <c r="AA279" i="9"/>
  <c r="BF277" i="9"/>
  <c r="AY277" i="9"/>
  <c r="BE277" i="9"/>
  <c r="AE277" i="9"/>
  <c r="AC277" i="9"/>
  <c r="AF277" i="9"/>
  <c r="AD277" i="9"/>
  <c r="AA277" i="9"/>
  <c r="BP275" i="9"/>
  <c r="BO275" i="9"/>
  <c r="BF274" i="9"/>
  <c r="BE274" i="9"/>
  <c r="AY274" i="9"/>
  <c r="AE272" i="9"/>
  <c r="AC272" i="9"/>
  <c r="AF272" i="9"/>
  <c r="AD272" i="9"/>
  <c r="AA272" i="9"/>
  <c r="BP271" i="9"/>
  <c r="BO271" i="9"/>
  <c r="X268" i="9"/>
  <c r="Y268" i="9"/>
  <c r="V268" i="9"/>
  <c r="BF266" i="9"/>
  <c r="AY266" i="9"/>
  <c r="BE266" i="9"/>
  <c r="BF264" i="9"/>
  <c r="AY264" i="9"/>
  <c r="BE264" i="9"/>
  <c r="AE264" i="9"/>
  <c r="AC264" i="9"/>
  <c r="AF264" i="9"/>
  <c r="AD264" i="9"/>
  <c r="AA264" i="9"/>
  <c r="BP263" i="9"/>
  <c r="BO263" i="9"/>
  <c r="BF262" i="9"/>
  <c r="BE262" i="9"/>
  <c r="AY262" i="9"/>
  <c r="AJ300" i="9"/>
  <c r="BO285" i="9"/>
  <c r="BP285" i="9"/>
  <c r="BE285" i="9"/>
  <c r="BF285" i="9"/>
  <c r="AY285" i="9"/>
  <c r="BO273" i="9"/>
  <c r="BP273" i="9"/>
  <c r="BE273" i="9"/>
  <c r="AY273" i="9"/>
  <c r="BF273" i="9"/>
  <c r="BE268" i="9"/>
  <c r="AY268" i="9"/>
  <c r="BF268" i="9"/>
  <c r="CC286" i="9"/>
  <c r="BO259" i="9"/>
  <c r="BP259" i="9"/>
  <c r="AE257" i="9"/>
  <c r="AC257" i="9"/>
  <c r="AF257" i="9"/>
  <c r="AD257" i="9"/>
  <c r="AA257" i="9"/>
  <c r="BF254" i="9"/>
  <c r="BE254" i="9"/>
  <c r="AY254" i="9"/>
  <c r="AF254" i="9"/>
  <c r="AC254" i="9"/>
  <c r="AE254" i="9"/>
  <c r="AA254" i="9"/>
  <c r="BP251" i="9"/>
  <c r="BO251" i="9"/>
  <c r="BP249" i="9"/>
  <c r="BO249" i="9"/>
  <c r="BF248" i="9"/>
  <c r="BE248" i="9"/>
  <c r="AY248" i="9"/>
  <c r="BF247" i="9"/>
  <c r="AY247" i="9"/>
  <c r="BE247" i="9"/>
  <c r="AE247" i="9"/>
  <c r="AC247" i="9"/>
  <c r="AF247" i="9"/>
  <c r="AD247" i="9"/>
  <c r="AA247" i="9"/>
  <c r="AE244" i="9"/>
  <c r="AC244" i="9"/>
  <c r="AF244" i="9"/>
  <c r="AD244" i="9"/>
  <c r="AA244" i="9"/>
  <c r="BF243" i="9"/>
  <c r="BD242" i="9"/>
  <c r="BE243" i="9"/>
  <c r="AY243" i="9"/>
  <c r="AE301" i="9"/>
  <c r="AA301" i="9"/>
  <c r="AF301" i="9"/>
  <c r="AB301" i="9"/>
  <c r="BF236" i="9"/>
  <c r="BE236" i="9"/>
  <c r="AY236" i="9"/>
  <c r="BP235" i="9"/>
  <c r="BO235" i="9"/>
  <c r="BF234" i="9"/>
  <c r="AY234" i="9"/>
  <c r="BE234" i="9"/>
  <c r="BP233" i="9"/>
  <c r="BO233" i="9"/>
  <c r="BF232" i="9"/>
  <c r="AY232" i="9"/>
  <c r="BE232" i="9"/>
  <c r="AF232" i="9"/>
  <c r="AD232" i="9"/>
  <c r="AB232" i="9"/>
  <c r="AE232" i="9"/>
  <c r="AC232" i="9"/>
  <c r="AA232" i="9"/>
  <c r="CB230" i="9"/>
  <c r="DI231" i="9"/>
  <c r="BP229" i="9"/>
  <c r="BO229" i="9"/>
  <c r="BF226" i="9"/>
  <c r="AY226" i="9"/>
  <c r="BE226" i="9"/>
  <c r="BF223" i="9"/>
  <c r="BE223" i="9"/>
  <c r="AY223" i="9"/>
  <c r="BF222" i="9"/>
  <c r="AY222" i="9"/>
  <c r="BE222" i="9"/>
  <c r="BP221" i="9"/>
  <c r="BO221" i="9"/>
  <c r="CC291" i="9"/>
  <c r="CC288" i="9"/>
  <c r="CC285" i="9"/>
  <c r="CC283" i="9"/>
  <c r="CC264" i="9"/>
  <c r="BP261" i="9"/>
  <c r="BO261" i="9"/>
  <c r="AY261" i="9"/>
  <c r="AF259" i="9"/>
  <c r="AC259" i="9"/>
  <c r="AE259" i="9"/>
  <c r="AA259" i="9"/>
  <c r="BO256" i="9"/>
  <c r="BP256" i="9"/>
  <c r="BE256" i="9"/>
  <c r="AY256" i="9"/>
  <c r="BF256" i="9"/>
  <c r="BO252" i="9"/>
  <c r="BP252" i="9"/>
  <c r="BE252" i="9"/>
  <c r="AY252" i="9"/>
  <c r="BF252" i="9"/>
  <c r="BO250" i="9"/>
  <c r="BP250" i="9"/>
  <c r="BE250" i="9"/>
  <c r="AY250" i="9"/>
  <c r="BF250" i="9"/>
  <c r="BE244" i="9"/>
  <c r="AY244" i="9"/>
  <c r="BF244" i="9"/>
  <c r="U427" i="9"/>
  <c r="AZ317" i="9"/>
  <c r="BA317" i="9"/>
  <c r="Z317" i="9"/>
  <c r="BO228" i="9"/>
  <c r="BP228" i="9"/>
  <c r="BE228" i="9"/>
  <c r="BF228" i="9"/>
  <c r="AY228" i="9"/>
  <c r="BO227" i="9"/>
  <c r="BP227" i="9"/>
  <c r="BE225" i="9"/>
  <c r="BF225" i="9"/>
  <c r="AY225" i="9"/>
  <c r="BO224" i="9"/>
  <c r="BP224" i="9"/>
  <c r="BE224" i="9"/>
  <c r="BF224" i="9"/>
  <c r="AY224" i="9"/>
  <c r="BE221" i="9"/>
  <c r="BF221" i="9"/>
  <c r="AY221" i="9"/>
  <c r="BP258" i="9"/>
  <c r="BO258" i="9"/>
  <c r="BP255" i="9"/>
  <c r="BO255" i="9"/>
  <c r="AF230" i="9"/>
  <c r="AD230" i="9"/>
  <c r="AB230" i="9"/>
  <c r="AE230" i="9"/>
  <c r="AC230" i="9"/>
  <c r="AA230" i="9"/>
  <c r="BE220" i="9"/>
  <c r="BF220" i="9"/>
  <c r="AY220" i="9"/>
  <c r="BO220" i="9"/>
  <c r="BP220" i="9"/>
  <c r="BP219" i="9"/>
  <c r="BO219" i="9"/>
  <c r="CC257" i="9"/>
  <c r="BP248" i="9"/>
  <c r="BO248" i="9"/>
  <c r="AF242" i="9"/>
  <c r="AD242" i="9"/>
  <c r="AB242" i="9"/>
  <c r="AE242" i="9"/>
  <c r="AC242" i="9"/>
  <c r="AA242" i="9"/>
  <c r="CC233" i="9"/>
  <c r="BN230" i="9"/>
  <c r="BE219" i="9"/>
  <c r="BF219" i="9"/>
  <c r="AY219" i="9"/>
  <c r="CC218" i="9"/>
  <c r="DI218" i="9"/>
  <c r="BF209" i="9"/>
  <c r="BE209" i="9"/>
  <c r="AY209" i="9"/>
  <c r="BF205" i="9"/>
  <c r="BE205" i="9"/>
  <c r="AY205" i="9"/>
  <c r="BP202" i="9"/>
  <c r="BO202" i="9"/>
  <c r="BF181" i="9"/>
  <c r="BE181" i="9"/>
  <c r="AY181" i="9"/>
  <c r="BF177" i="9"/>
  <c r="BE177" i="9"/>
  <c r="AY177" i="9"/>
  <c r="BF176" i="9"/>
  <c r="BE176" i="9"/>
  <c r="AY176" i="9"/>
  <c r="BF173" i="9"/>
  <c r="BE173" i="9"/>
  <c r="AY173" i="9"/>
  <c r="BP171" i="9"/>
  <c r="BN170" i="9"/>
  <c r="BO171" i="9"/>
  <c r="Y216" i="9"/>
  <c r="W216" i="9"/>
  <c r="V216" i="9"/>
  <c r="X216" i="9"/>
  <c r="AP216" i="9"/>
  <c r="AD216" i="9"/>
  <c r="AC216" i="9"/>
  <c r="BF214" i="9"/>
  <c r="AY214" i="9"/>
  <c r="BE214" i="9"/>
  <c r="BF213" i="9"/>
  <c r="AY213" i="9"/>
  <c r="BE213" i="9"/>
  <c r="BP213" i="9"/>
  <c r="BO213" i="9"/>
  <c r="AY211" i="9"/>
  <c r="AD210" i="9"/>
  <c r="AB210" i="9"/>
  <c r="AC210" i="9"/>
  <c r="AE210" i="9"/>
  <c r="AA210" i="9"/>
  <c r="AZ207" i="9"/>
  <c r="BF204" i="9"/>
  <c r="AY204" i="9"/>
  <c r="BE204" i="9"/>
  <c r="BF201" i="9"/>
  <c r="AY201" i="9"/>
  <c r="BE201" i="9"/>
  <c r="BP201" i="9"/>
  <c r="BO201" i="9"/>
  <c r="AZ199" i="9"/>
  <c r="AF198" i="9"/>
  <c r="AD198" i="9"/>
  <c r="AB198" i="9"/>
  <c r="AE198" i="9"/>
  <c r="AA198" i="9"/>
  <c r="AC198" i="9"/>
  <c r="AZ198" i="9"/>
  <c r="BA197" i="9"/>
  <c r="AG197" i="9"/>
  <c r="BP196" i="9"/>
  <c r="BO196" i="9"/>
  <c r="AF196" i="9"/>
  <c r="AD196" i="9"/>
  <c r="AB196" i="9"/>
  <c r="AC196" i="9"/>
  <c r="AE196" i="9"/>
  <c r="AA196" i="9"/>
  <c r="AZ196" i="9"/>
  <c r="BA194" i="9"/>
  <c r="AG194" i="9"/>
  <c r="AG193" i="9"/>
  <c r="BA193" i="9"/>
  <c r="AZ190" i="9"/>
  <c r="BO189" i="9"/>
  <c r="BP189" i="9"/>
  <c r="DI188" i="9"/>
  <c r="CC188" i="9"/>
  <c r="AF188" i="9"/>
  <c r="AD188" i="9"/>
  <c r="AB188" i="9"/>
  <c r="AE188" i="9"/>
  <c r="AA188" i="9"/>
  <c r="AC188" i="9"/>
  <c r="AZ188" i="9"/>
  <c r="BF186" i="9"/>
  <c r="AY186" i="9"/>
  <c r="BE186" i="9"/>
  <c r="AG185" i="9"/>
  <c r="BA185" i="9"/>
  <c r="BF184" i="9"/>
  <c r="AY184" i="9"/>
  <c r="BE184" i="9"/>
  <c r="BP184" i="9"/>
  <c r="BO184" i="9"/>
  <c r="AE184" i="9"/>
  <c r="AC184" i="9"/>
  <c r="AA184" i="9"/>
  <c r="AD184" i="9"/>
  <c r="AF184" i="9"/>
  <c r="AB184" i="9"/>
  <c r="BF183" i="9"/>
  <c r="BE183" i="9"/>
  <c r="AY183" i="9"/>
  <c r="AF181" i="9"/>
  <c r="AC181" i="9"/>
  <c r="AE181" i="9"/>
  <c r="AA181" i="9"/>
  <c r="AF177" i="9"/>
  <c r="AD177" i="9"/>
  <c r="AB177" i="9"/>
  <c r="AC177" i="9"/>
  <c r="AE177" i="9"/>
  <c r="AA177" i="9"/>
  <c r="X177" i="9"/>
  <c r="V177" i="9"/>
  <c r="Y177" i="9"/>
  <c r="W177" i="9"/>
  <c r="AC175" i="9"/>
  <c r="AE175" i="9"/>
  <c r="AA175" i="9"/>
  <c r="BO172" i="9"/>
  <c r="BP172" i="9"/>
  <c r="U170" i="9"/>
  <c r="CB170" i="9"/>
  <c r="DI170" i="9" s="1"/>
  <c r="Q170" i="9"/>
  <c r="P139" i="9"/>
  <c r="DC170" i="9"/>
  <c r="R170" i="9"/>
  <c r="AE169" i="9"/>
  <c r="AC169" i="9"/>
  <c r="AD169" i="9"/>
  <c r="AF169" i="9"/>
  <c r="AA169" i="9"/>
  <c r="AG168" i="9"/>
  <c r="BA168" i="9"/>
  <c r="BF167" i="9"/>
  <c r="AY167" i="9"/>
  <c r="BE167" i="9"/>
  <c r="BP167" i="9"/>
  <c r="BO167" i="9"/>
  <c r="AE167" i="9"/>
  <c r="AC167" i="9"/>
  <c r="AA167" i="9"/>
  <c r="AD167" i="9"/>
  <c r="AF167" i="9"/>
  <c r="AB167" i="9"/>
  <c r="DI162" i="9"/>
  <c r="CC162" i="9"/>
  <c r="AZ162" i="9"/>
  <c r="AX162" i="9"/>
  <c r="Z162" i="9"/>
  <c r="BA162" i="9"/>
  <c r="AW162" i="9"/>
  <c r="BF161" i="9"/>
  <c r="AY161" i="9"/>
  <c r="AG161" i="9" s="1"/>
  <c r="BE161" i="9"/>
  <c r="BD160" i="9"/>
  <c r="BA161" i="9"/>
  <c r="AW161" i="9"/>
  <c r="AZ161" i="9"/>
  <c r="AX161" i="9"/>
  <c r="Z161" i="9"/>
  <c r="Q160" i="9"/>
  <c r="AZ159" i="9"/>
  <c r="BF158" i="9"/>
  <c r="AY158" i="9"/>
  <c r="BE158" i="9"/>
  <c r="BP158" i="9"/>
  <c r="BO158" i="9"/>
  <c r="AE158" i="9"/>
  <c r="AC158" i="9"/>
  <c r="AA158" i="9"/>
  <c r="AD158" i="9"/>
  <c r="AF158" i="9"/>
  <c r="AB158" i="9"/>
  <c r="BO157" i="9"/>
  <c r="BP157" i="9"/>
  <c r="BF156" i="9"/>
  <c r="AY156" i="9"/>
  <c r="BE156" i="9"/>
  <c r="BP156" i="9"/>
  <c r="BO156" i="9"/>
  <c r="AE156" i="9"/>
  <c r="AC156" i="9"/>
  <c r="AA156" i="9"/>
  <c r="AD156" i="9"/>
  <c r="AF156" i="9"/>
  <c r="AB156" i="9"/>
  <c r="BF155" i="9"/>
  <c r="AY155" i="9"/>
  <c r="BE155" i="9"/>
  <c r="BP154" i="9"/>
  <c r="BO154" i="9"/>
  <c r="BP148" i="9"/>
  <c r="BO148" i="9"/>
  <c r="BN146" i="9"/>
  <c r="O417" i="9"/>
  <c r="DB139" i="9"/>
  <c r="DB34" i="9" s="1"/>
  <c r="BP145" i="9"/>
  <c r="BO145" i="9"/>
  <c r="BP143" i="9"/>
  <c r="BO143" i="9"/>
  <c r="BN140" i="9"/>
  <c r="BD140" i="9"/>
  <c r="BP137" i="9"/>
  <c r="BO137" i="9"/>
  <c r="BF134" i="9"/>
  <c r="AY134" i="9"/>
  <c r="BE134" i="9"/>
  <c r="AE134" i="9"/>
  <c r="AC134" i="9"/>
  <c r="AF134" i="9"/>
  <c r="AD134" i="9"/>
  <c r="AA134" i="9"/>
  <c r="BF128" i="9"/>
  <c r="AY128" i="9"/>
  <c r="BE128" i="9"/>
  <c r="BP127" i="9"/>
  <c r="BO127" i="9"/>
  <c r="BF126" i="9"/>
  <c r="BE126" i="9"/>
  <c r="AY126" i="9"/>
  <c r="BF125" i="9"/>
  <c r="AY125" i="9"/>
  <c r="BE125" i="9"/>
  <c r="BP124" i="9"/>
  <c r="BO124" i="9"/>
  <c r="BF123" i="9"/>
  <c r="AY123" i="9"/>
  <c r="BE123" i="9"/>
  <c r="DI217" i="9"/>
  <c r="CC217" i="9"/>
  <c r="AJ217" i="9"/>
  <c r="AH217" i="9"/>
  <c r="AK217" i="9"/>
  <c r="AI217" i="9"/>
  <c r="AO216" i="9"/>
  <c r="BF215" i="9"/>
  <c r="AY215" i="9"/>
  <c r="BE215" i="9"/>
  <c r="BP215" i="9"/>
  <c r="BO215" i="9"/>
  <c r="BO214" i="9"/>
  <c r="BP214" i="9"/>
  <c r="CC205" i="9"/>
  <c r="DI205" i="9"/>
  <c r="BO204" i="9"/>
  <c r="BP204" i="9"/>
  <c r="AE200" i="9"/>
  <c r="AC200" i="9"/>
  <c r="AF200" i="9"/>
  <c r="AA200" i="9"/>
  <c r="AD200" i="9"/>
  <c r="BO186" i="9"/>
  <c r="BP186" i="9"/>
  <c r="AE182" i="9"/>
  <c r="AC182" i="9"/>
  <c r="AF182" i="9"/>
  <c r="AA182" i="9"/>
  <c r="AD182" i="9"/>
  <c r="BF178" i="9"/>
  <c r="AY178" i="9"/>
  <c r="BE178" i="9"/>
  <c r="BP178" i="9"/>
  <c r="BO178" i="9"/>
  <c r="AM170" i="9"/>
  <c r="AQ139" i="9"/>
  <c r="AF174" i="9"/>
  <c r="AD174" i="9"/>
  <c r="AB174" i="9"/>
  <c r="AC174" i="9"/>
  <c r="AE174" i="9"/>
  <c r="AA174" i="9"/>
  <c r="AZ174" i="9"/>
  <c r="BF172" i="9"/>
  <c r="AY172" i="9"/>
  <c r="BE172" i="9"/>
  <c r="BO164" i="9"/>
  <c r="BP164" i="9"/>
  <c r="AJ163" i="9"/>
  <c r="AH163" i="9"/>
  <c r="AK163" i="9"/>
  <c r="AI163" i="9"/>
  <c r="BH160" i="9"/>
  <c r="BK160" i="9" s="1"/>
  <c r="BK161" i="9"/>
  <c r="BF157" i="9"/>
  <c r="AY157" i="9"/>
  <c r="BE157" i="9"/>
  <c r="BD417" i="9"/>
  <c r="R146" i="9"/>
  <c r="U402" i="9"/>
  <c r="O402" i="9"/>
  <c r="BO136" i="9"/>
  <c r="BP136" i="9"/>
  <c r="BO128" i="9"/>
  <c r="BP128" i="9"/>
  <c r="AE215" i="9"/>
  <c r="AC215" i="9"/>
  <c r="AA215" i="9"/>
  <c r="AF215" i="9"/>
  <c r="AB215" i="9"/>
  <c r="AD215" i="9"/>
  <c r="AE208" i="9"/>
  <c r="AC208" i="9"/>
  <c r="AA208" i="9"/>
  <c r="AF208" i="9"/>
  <c r="AB208" i="9"/>
  <c r="AD208" i="9"/>
  <c r="CC170" i="9"/>
  <c r="CC183" i="9"/>
  <c r="AE164" i="9"/>
  <c r="AC164" i="9"/>
  <c r="AA164" i="9"/>
  <c r="AF164" i="9"/>
  <c r="AB164" i="9"/>
  <c r="AD164" i="9"/>
  <c r="AF150" i="9"/>
  <c r="AD150" i="9"/>
  <c r="AB150" i="9"/>
  <c r="AE150" i="9"/>
  <c r="AC150" i="9"/>
  <c r="AA150" i="9"/>
  <c r="BH146" i="9"/>
  <c r="BK146" i="9" s="1"/>
  <c r="DI140" i="9"/>
  <c r="CB139" i="9"/>
  <c r="DI139" i="9" s="1"/>
  <c r="CC140" i="9"/>
  <c r="CC127" i="9"/>
  <c r="AZ119" i="9"/>
  <c r="BF115" i="9"/>
  <c r="AY115" i="9"/>
  <c r="BE115" i="9"/>
  <c r="BP112" i="9"/>
  <c r="BO112" i="9"/>
  <c r="BF109" i="9"/>
  <c r="AY109" i="9"/>
  <c r="BE109" i="9"/>
  <c r="BF105" i="9"/>
  <c r="AY105" i="9"/>
  <c r="BE105" i="9"/>
  <c r="BP103" i="9"/>
  <c r="BO103" i="9"/>
  <c r="BF102" i="9"/>
  <c r="AY102" i="9"/>
  <c r="BE102" i="9"/>
  <c r="Y100" i="9"/>
  <c r="W100" i="9"/>
  <c r="X100" i="9"/>
  <c r="V100" i="9"/>
  <c r="BF99" i="9"/>
  <c r="AY99" i="9"/>
  <c r="BE99" i="9"/>
  <c r="BF98" i="9"/>
  <c r="AY98" i="9"/>
  <c r="BE98" i="9"/>
  <c r="BD414" i="9"/>
  <c r="BF91" i="9"/>
  <c r="AY91" i="9"/>
  <c r="BE91" i="9"/>
  <c r="Q426" i="9"/>
  <c r="Q414" i="9"/>
  <c r="Q421" i="9" s="1"/>
  <c r="I421" i="9"/>
  <c r="BF90" i="9"/>
  <c r="AY90" i="9"/>
  <c r="BE90" i="9"/>
  <c r="BP89" i="9"/>
  <c r="BO89" i="9"/>
  <c r="BH399" i="9"/>
  <c r="BD399" i="9"/>
  <c r="Q429" i="9"/>
  <c r="Q399" i="9"/>
  <c r="BL495" i="9"/>
  <c r="BL494" i="9" s="1"/>
  <c r="BL504" i="9" s="1"/>
  <c r="BL507" i="9" s="1"/>
  <c r="BL512" i="9" s="1"/>
  <c r="BL453" i="9"/>
  <c r="BL463" i="9" s="1"/>
  <c r="BL466" i="9" s="1"/>
  <c r="BL471" i="9" s="1"/>
  <c r="BB495" i="9"/>
  <c r="BB494" i="9" s="1"/>
  <c r="BB504" i="9" s="1"/>
  <c r="BB507" i="9" s="1"/>
  <c r="BB512" i="9" s="1"/>
  <c r="BB453" i="9"/>
  <c r="BB463" i="9" s="1"/>
  <c r="BB466" i="9" s="1"/>
  <c r="BB471" i="9" s="1"/>
  <c r="BP78" i="9"/>
  <c r="BO78" i="9"/>
  <c r="BF77" i="9"/>
  <c r="BE77" i="9"/>
  <c r="AY77" i="9"/>
  <c r="BP74" i="9"/>
  <c r="BO74" i="9"/>
  <c r="BF69" i="9"/>
  <c r="AY69" i="9"/>
  <c r="BE69" i="9"/>
  <c r="BP58" i="9"/>
  <c r="BO58" i="9"/>
  <c r="BP57" i="9"/>
  <c r="BO57" i="9"/>
  <c r="BN56" i="9"/>
  <c r="BF54" i="9"/>
  <c r="BE54" i="9"/>
  <c r="AY54" i="9"/>
  <c r="BF53" i="9"/>
  <c r="BE53" i="9"/>
  <c r="AY53" i="9"/>
  <c r="BF51" i="9"/>
  <c r="BE51" i="9"/>
  <c r="AY51" i="9"/>
  <c r="BF50" i="9"/>
  <c r="BE50" i="9"/>
  <c r="AY50" i="9"/>
  <c r="BF48" i="9"/>
  <c r="AY48" i="9"/>
  <c r="BE48" i="9"/>
  <c r="AE48" i="9"/>
  <c r="AC48" i="9"/>
  <c r="AF48" i="9"/>
  <c r="AD48" i="9"/>
  <c r="AA48" i="9"/>
  <c r="BF46" i="9"/>
  <c r="BE46" i="9"/>
  <c r="AY46" i="9"/>
  <c r="BP43" i="9"/>
  <c r="BO43" i="9"/>
  <c r="BF42" i="9"/>
  <c r="BE42" i="9"/>
  <c r="AY42" i="9"/>
  <c r="BP41" i="9"/>
  <c r="BO41" i="9"/>
  <c r="BF40" i="9"/>
  <c r="BE40" i="9"/>
  <c r="AY40" i="9"/>
  <c r="AZ39" i="9"/>
  <c r="AX39" i="9"/>
  <c r="Z39" i="9"/>
  <c r="BA39" i="9"/>
  <c r="AW39" i="9"/>
  <c r="AE37" i="9"/>
  <c r="AB37" i="9"/>
  <c r="AF37" i="9"/>
  <c r="AC37" i="9"/>
  <c r="AA37" i="9"/>
  <c r="U407" i="9"/>
  <c r="Q425" i="9"/>
  <c r="Q407" i="9"/>
  <c r="Q403" i="9"/>
  <c r="C352" i="9"/>
  <c r="AV31" i="9"/>
  <c r="AP31" i="9"/>
  <c r="Z31" i="9"/>
  <c r="AO31" i="9"/>
  <c r="J32" i="9"/>
  <c r="F32" i="9"/>
  <c r="BP30" i="9"/>
  <c r="BN29" i="9"/>
  <c r="BO30" i="9"/>
  <c r="BB311" i="9"/>
  <c r="AU26" i="9"/>
  <c r="AX26" i="9" s="1"/>
  <c r="AP26" i="9"/>
  <c r="Z26" i="9"/>
  <c r="AO26" i="9"/>
  <c r="BP25" i="9"/>
  <c r="BO25" i="9"/>
  <c r="BF22" i="9"/>
  <c r="BE22" i="9"/>
  <c r="AY22" i="9"/>
  <c r="BF18" i="9"/>
  <c r="BE18" i="9"/>
  <c r="AY18" i="9"/>
  <c r="BP17" i="9"/>
  <c r="BO17" i="9"/>
  <c r="BF14" i="9"/>
  <c r="BE14" i="9"/>
  <c r="AY14" i="9"/>
  <c r="BD13" i="9"/>
  <c r="BF12" i="9"/>
  <c r="AY12" i="9"/>
  <c r="BE12" i="9"/>
  <c r="BF11" i="9"/>
  <c r="AY11" i="9"/>
  <c r="BE11" i="9"/>
  <c r="Q373" i="9"/>
  <c r="CV8" i="9"/>
  <c r="CT6" i="9"/>
  <c r="CU7" i="9" s="1"/>
  <c r="CP216" i="9" s="1"/>
  <c r="BF7" i="9"/>
  <c r="AY7" i="9"/>
  <c r="BE7" i="9"/>
  <c r="BD6" i="9"/>
  <c r="CP490" i="9"/>
  <c r="CP489" i="9" s="1"/>
  <c r="CP488" i="9" s="1"/>
  <c r="U489" i="9"/>
  <c r="U488" i="9" s="1"/>
  <c r="S360" i="9"/>
  <c r="S338" i="9"/>
  <c r="M366" i="9"/>
  <c r="M381" i="9" s="1"/>
  <c r="K360" i="9"/>
  <c r="K393" i="9" s="1"/>
  <c r="K338" i="9"/>
  <c r="K394" i="9"/>
  <c r="K381" i="9"/>
  <c r="AE191" i="9"/>
  <c r="AC191" i="9"/>
  <c r="AA191" i="9"/>
  <c r="AF191" i="9"/>
  <c r="AB191" i="9"/>
  <c r="AD191" i="9"/>
  <c r="CC160" i="9"/>
  <c r="AJ153" i="9"/>
  <c r="AH153" i="9"/>
  <c r="AK153" i="9"/>
  <c r="AI153" i="9"/>
  <c r="BP150" i="9"/>
  <c r="BO150" i="9"/>
  <c r="AY150" i="9"/>
  <c r="AW146" i="9"/>
  <c r="AX146" i="9"/>
  <c r="Z146" i="9"/>
  <c r="Q146" i="9"/>
  <c r="AF142" i="9"/>
  <c r="AD142" i="9"/>
  <c r="AB142" i="9"/>
  <c r="AE142" i="9"/>
  <c r="AC142" i="9"/>
  <c r="AA142" i="9"/>
  <c r="AF140" i="9"/>
  <c r="AD140" i="9"/>
  <c r="AB140" i="9"/>
  <c r="AE140" i="9"/>
  <c r="AC140" i="9"/>
  <c r="AA140" i="9"/>
  <c r="AE121" i="9"/>
  <c r="AC121" i="9"/>
  <c r="AF121" i="9"/>
  <c r="AA121" i="9"/>
  <c r="AD121" i="9"/>
  <c r="BO118" i="9"/>
  <c r="BP118" i="9"/>
  <c r="BE118" i="9"/>
  <c r="BF118" i="9"/>
  <c r="AY118" i="9"/>
  <c r="CC113" i="9"/>
  <c r="BO111" i="9"/>
  <c r="BP111" i="9"/>
  <c r="BO102" i="9"/>
  <c r="BP102" i="9"/>
  <c r="BO101" i="9"/>
  <c r="BP101" i="9"/>
  <c r="BE101" i="9"/>
  <c r="BF101" i="9"/>
  <c r="AY101" i="9"/>
  <c r="AD100" i="9"/>
  <c r="BO91" i="9"/>
  <c r="BP91" i="9"/>
  <c r="BO90" i="9"/>
  <c r="BP90" i="9"/>
  <c r="BH85" i="9"/>
  <c r="BK85" i="9" s="1"/>
  <c r="O85" i="9"/>
  <c r="BO88" i="9"/>
  <c r="AY88" i="9"/>
  <c r="BP88" i="9"/>
  <c r="DI87" i="9"/>
  <c r="CC87" i="9"/>
  <c r="BY34" i="9"/>
  <c r="DF85" i="9"/>
  <c r="BO84" i="9"/>
  <c r="BP84" i="9"/>
  <c r="BE84" i="9"/>
  <c r="BF84" i="9"/>
  <c r="AY84" i="9"/>
  <c r="BE83" i="9"/>
  <c r="BF83" i="9"/>
  <c r="AY83" i="9"/>
  <c r="AE81" i="9"/>
  <c r="AC81" i="9"/>
  <c r="AA81" i="9"/>
  <c r="AD81" i="9"/>
  <c r="AB81" i="9"/>
  <c r="BE80" i="9"/>
  <c r="AY80" i="9"/>
  <c r="BF80" i="9"/>
  <c r="BO77" i="9"/>
  <c r="BP77" i="9"/>
  <c r="X77" i="9"/>
  <c r="V77" i="9"/>
  <c r="CP77" i="9"/>
  <c r="Y77" i="9"/>
  <c r="W77" i="9"/>
  <c r="U72" i="9"/>
  <c r="BO76" i="9"/>
  <c r="BP76" i="9"/>
  <c r="BE76" i="9"/>
  <c r="BF76" i="9"/>
  <c r="AY76" i="9"/>
  <c r="BO75" i="9"/>
  <c r="AY75" i="9"/>
  <c r="BP75" i="9"/>
  <c r="BO73" i="9"/>
  <c r="BN72" i="9"/>
  <c r="BP73" i="9"/>
  <c r="BD404" i="9"/>
  <c r="BE73" i="9"/>
  <c r="BD72" i="9"/>
  <c r="BF73" i="9"/>
  <c r="AY73" i="9"/>
  <c r="U404" i="9"/>
  <c r="BO69" i="9"/>
  <c r="BP69" i="9"/>
  <c r="BE67" i="9"/>
  <c r="BF67" i="9"/>
  <c r="AY67" i="9"/>
  <c r="BE66" i="9"/>
  <c r="BF66" i="9"/>
  <c r="AY66" i="9"/>
  <c r="AF65" i="9"/>
  <c r="AD65" i="9"/>
  <c r="AA65" i="9"/>
  <c r="AE65" i="9"/>
  <c r="AC65" i="9"/>
  <c r="CC64" i="9"/>
  <c r="DI64" i="9"/>
  <c r="DI57" i="9"/>
  <c r="CB56" i="9"/>
  <c r="BD405" i="9"/>
  <c r="BE57" i="9"/>
  <c r="BF57" i="9"/>
  <c r="AY57" i="9"/>
  <c r="BD56" i="9"/>
  <c r="BO53" i="9"/>
  <c r="BP53" i="9"/>
  <c r="AP52" i="9"/>
  <c r="BO47" i="9"/>
  <c r="BP47" i="9"/>
  <c r="BE47" i="9"/>
  <c r="AY47" i="9"/>
  <c r="BF47" i="9"/>
  <c r="BO37" i="9"/>
  <c r="BP37" i="9"/>
  <c r="BE37" i="9"/>
  <c r="AY37" i="9"/>
  <c r="BF37" i="9"/>
  <c r="CB35" i="9"/>
  <c r="DI36" i="9"/>
  <c r="BG407" i="9"/>
  <c r="O425" i="9"/>
  <c r="X31" i="9"/>
  <c r="V31" i="9"/>
  <c r="Y31" i="9"/>
  <c r="W31" i="9"/>
  <c r="M32" i="9"/>
  <c r="I32" i="9"/>
  <c r="E32" i="9"/>
  <c r="E344" i="9" s="1"/>
  <c r="CP462" i="9"/>
  <c r="CP503" i="9" s="1"/>
  <c r="CP31" i="9"/>
  <c r="BH29" i="9"/>
  <c r="BK30" i="9"/>
  <c r="AU321" i="9"/>
  <c r="M337" i="9"/>
  <c r="M360" i="9" s="1"/>
  <c r="BO24" i="9"/>
  <c r="BP24" i="9"/>
  <c r="BE24" i="9"/>
  <c r="AY24" i="9"/>
  <c r="BF24" i="9"/>
  <c r="BO23" i="9"/>
  <c r="BP23" i="9"/>
  <c r="BO19" i="9"/>
  <c r="BP19" i="9"/>
  <c r="BE19" i="9"/>
  <c r="AY19" i="9"/>
  <c r="BF19" i="9"/>
  <c r="BO15" i="9"/>
  <c r="BP15" i="9"/>
  <c r="BE15" i="9"/>
  <c r="BF15" i="9"/>
  <c r="AY15" i="9"/>
  <c r="CC12" i="9"/>
  <c r="DH304" i="9"/>
  <c r="CA303" i="9"/>
  <c r="DG6" i="9"/>
  <c r="DG5" i="9" s="1"/>
  <c r="CB6" i="9"/>
  <c r="DI8" i="9"/>
  <c r="AF8" i="9"/>
  <c r="AD8" i="9"/>
  <c r="AA8" i="9"/>
  <c r="AE8" i="9"/>
  <c r="AC8" i="9"/>
  <c r="T477" i="9"/>
  <c r="Q371" i="9"/>
  <c r="BR325" i="9"/>
  <c r="L360" i="9"/>
  <c r="L338" i="9"/>
  <c r="J381" i="9"/>
  <c r="J394" i="9"/>
  <c r="AF117" i="9"/>
  <c r="AD117" i="9"/>
  <c r="AA117" i="9"/>
  <c r="AE117" i="9"/>
  <c r="AC117" i="9"/>
  <c r="BA117" i="9"/>
  <c r="AZ117" i="9"/>
  <c r="CC101" i="9"/>
  <c r="CC100" i="9"/>
  <c r="CC99" i="9"/>
  <c r="AF96" i="9"/>
  <c r="AD96" i="9"/>
  <c r="AA96" i="9"/>
  <c r="AE96" i="9"/>
  <c r="AC96" i="9"/>
  <c r="BA96" i="9"/>
  <c r="AZ96" i="9"/>
  <c r="AE88" i="9"/>
  <c r="AC88" i="9"/>
  <c r="AA88" i="9"/>
  <c r="AF88" i="9"/>
  <c r="AD88" i="9"/>
  <c r="AB88" i="9"/>
  <c r="CC75" i="9"/>
  <c r="CC67" i="9"/>
  <c r="AE64" i="9"/>
  <c r="AC64" i="9"/>
  <c r="AF64" i="9"/>
  <c r="AD64" i="9"/>
  <c r="AA64" i="9"/>
  <c r="AK64" i="9"/>
  <c r="AI64" i="9"/>
  <c r="AJ64" i="9"/>
  <c r="AH64" i="9"/>
  <c r="AO52" i="9"/>
  <c r="AF42" i="9"/>
  <c r="AD42" i="9"/>
  <c r="AA42" i="9"/>
  <c r="AE42" i="9"/>
  <c r="AC42" i="9"/>
  <c r="BH403" i="9"/>
  <c r="CC36" i="9"/>
  <c r="CC30" i="9"/>
  <c r="CC21" i="9"/>
  <c r="BH13" i="9"/>
  <c r="BK13" i="9" s="1"/>
  <c r="BH6" i="9"/>
  <c r="W26" i="9"/>
  <c r="AF113" i="9"/>
  <c r="AD113" i="9"/>
  <c r="AB113" i="9"/>
  <c r="AE113" i="9"/>
  <c r="AC113" i="9"/>
  <c r="AA113" i="9"/>
  <c r="AZ113" i="9"/>
  <c r="U85" i="9"/>
  <c r="AF94" i="9"/>
  <c r="AD94" i="9"/>
  <c r="AB94" i="9"/>
  <c r="AE94" i="9"/>
  <c r="AC94" i="9"/>
  <c r="AA94" i="9"/>
  <c r="AZ94" i="9"/>
  <c r="BH414" i="9"/>
  <c r="BH421" i="9" s="1"/>
  <c r="AK86" i="9"/>
  <c r="AI86" i="9"/>
  <c r="AJ86" i="9"/>
  <c r="AH86" i="9"/>
  <c r="BG404" i="9"/>
  <c r="CC70" i="9"/>
  <c r="CC69" i="9"/>
  <c r="CC60" i="9"/>
  <c r="BG405" i="9"/>
  <c r="CC52" i="9"/>
  <c r="AZ49" i="9"/>
  <c r="BH400" i="9"/>
  <c r="CC23" i="9"/>
  <c r="DI14" i="9"/>
  <c r="CB13" i="9"/>
  <c r="BD30" i="8"/>
  <c r="BR27" i="8"/>
  <c r="CH62" i="7"/>
  <c r="BB62" i="7"/>
  <c r="BK62" i="7" s="1"/>
  <c r="Z5" i="9" l="1"/>
  <c r="AX5" i="9"/>
  <c r="AW5" i="9"/>
  <c r="AC199" i="9"/>
  <c r="AD199" i="9"/>
  <c r="AE199" i="9"/>
  <c r="AF199" i="9"/>
  <c r="AA199" i="9"/>
  <c r="AE119" i="9"/>
  <c r="AB119" i="9"/>
  <c r="AF119" i="9"/>
  <c r="AA119" i="9"/>
  <c r="AD119" i="9"/>
  <c r="AC119" i="9"/>
  <c r="AG15" i="9"/>
  <c r="AZ15" i="9"/>
  <c r="BA15" i="9"/>
  <c r="AZ19" i="9"/>
  <c r="AG19" i="9"/>
  <c r="BH28" i="9"/>
  <c r="BK29" i="9"/>
  <c r="DI35" i="9"/>
  <c r="CB34" i="9"/>
  <c r="CC35" i="9"/>
  <c r="BE56" i="9"/>
  <c r="AY56" i="9"/>
  <c r="BF56" i="9"/>
  <c r="DI13" i="9"/>
  <c r="CC13" i="9"/>
  <c r="CB5" i="9"/>
  <c r="CC6" i="9"/>
  <c r="CA307" i="9"/>
  <c r="DH303" i="9"/>
  <c r="AG24" i="9"/>
  <c r="AZ24" i="9"/>
  <c r="AZ47" i="9"/>
  <c r="AG47" i="9"/>
  <c r="AG57" i="9"/>
  <c r="AZ57" i="9"/>
  <c r="BA57" i="9"/>
  <c r="DI56" i="9"/>
  <c r="CC56" i="9"/>
  <c r="AG67" i="9"/>
  <c r="AZ67" i="9"/>
  <c r="BA67" i="9"/>
  <c r="AZ73" i="9"/>
  <c r="AG73" i="9"/>
  <c r="BA73" i="9"/>
  <c r="BF72" i="9"/>
  <c r="BE72" i="9"/>
  <c r="AY72" i="9"/>
  <c r="BP72" i="9"/>
  <c r="BO72" i="9"/>
  <c r="U460" i="9"/>
  <c r="U501" i="9" s="1"/>
  <c r="X72" i="9"/>
  <c r="V72" i="9"/>
  <c r="Y72" i="9"/>
  <c r="W72" i="9"/>
  <c r="AC72" i="9"/>
  <c r="AD72" i="9"/>
  <c r="AZ83" i="9"/>
  <c r="AG83" i="9"/>
  <c r="BA83" i="9"/>
  <c r="BY239" i="9"/>
  <c r="DF239" i="9" s="1"/>
  <c r="DF34" i="9"/>
  <c r="BY321" i="9"/>
  <c r="DF321" i="9" s="1"/>
  <c r="AG88" i="9"/>
  <c r="BA88" i="9"/>
  <c r="AZ88" i="9"/>
  <c r="AE146" i="9"/>
  <c r="AC146" i="9"/>
  <c r="AA146" i="9"/>
  <c r="AF146" i="9"/>
  <c r="AD146" i="9"/>
  <c r="AB146" i="9"/>
  <c r="BE6" i="9"/>
  <c r="AY6" i="9"/>
  <c r="BF6" i="9"/>
  <c r="BD5" i="9"/>
  <c r="AG7" i="9"/>
  <c r="AZ7" i="9"/>
  <c r="CU8" i="9"/>
  <c r="BA11" i="9"/>
  <c r="AZ11" i="9"/>
  <c r="AG11" i="9"/>
  <c r="AG14" i="9"/>
  <c r="AZ14" i="9"/>
  <c r="AG22" i="9"/>
  <c r="AZ22" i="9"/>
  <c r="BB474" i="9"/>
  <c r="BB515" i="9" s="1"/>
  <c r="AU311" i="9"/>
  <c r="BB310" i="9"/>
  <c r="BP29" i="9"/>
  <c r="BO29" i="9"/>
  <c r="BN28" i="9"/>
  <c r="AF31" i="9"/>
  <c r="AD31" i="9"/>
  <c r="AB31" i="9"/>
  <c r="AE31" i="9"/>
  <c r="AC31" i="9"/>
  <c r="AA31" i="9"/>
  <c r="AX31" i="9"/>
  <c r="AW31" i="9"/>
  <c r="AG40" i="9"/>
  <c r="AZ40" i="9"/>
  <c r="BA40" i="9"/>
  <c r="AG46" i="9"/>
  <c r="AZ46" i="9"/>
  <c r="BA46" i="9"/>
  <c r="AG51" i="9"/>
  <c r="AZ51" i="9"/>
  <c r="AG54" i="9"/>
  <c r="AZ54" i="9"/>
  <c r="AZ77" i="9"/>
  <c r="AG77" i="9"/>
  <c r="BA77" i="9"/>
  <c r="BH413" i="9"/>
  <c r="BA90" i="9"/>
  <c r="AZ90" i="9"/>
  <c r="AG90" i="9"/>
  <c r="BA91" i="9"/>
  <c r="AZ91" i="9"/>
  <c r="AG91" i="9"/>
  <c r="BD421" i="9"/>
  <c r="AZ98" i="9"/>
  <c r="AG98" i="9"/>
  <c r="AZ105" i="9"/>
  <c r="BA105" i="9"/>
  <c r="AG105" i="9"/>
  <c r="AZ115" i="9"/>
  <c r="BA115" i="9"/>
  <c r="AG115" i="9"/>
  <c r="BA172" i="9"/>
  <c r="AZ172" i="9"/>
  <c r="AG172" i="9"/>
  <c r="BG170" i="9"/>
  <c r="BJ170" i="9" s="1"/>
  <c r="AO170" i="9"/>
  <c r="AP170" i="9"/>
  <c r="AG178" i="9"/>
  <c r="BA178" i="9"/>
  <c r="AZ178" i="9"/>
  <c r="BA125" i="9"/>
  <c r="AZ125" i="9"/>
  <c r="AG125" i="9"/>
  <c r="AZ126" i="9"/>
  <c r="AG126" i="9"/>
  <c r="BA128" i="9"/>
  <c r="AZ128" i="9"/>
  <c r="AG128" i="9"/>
  <c r="BA134" i="9"/>
  <c r="AZ134" i="9"/>
  <c r="AG134" i="9"/>
  <c r="BF140" i="9"/>
  <c r="BD139" i="9"/>
  <c r="BE140" i="9"/>
  <c r="AY140" i="9"/>
  <c r="DB239" i="9"/>
  <c r="DB323" i="9" s="1"/>
  <c r="DB325" i="9"/>
  <c r="DB321" i="9"/>
  <c r="AG156" i="9"/>
  <c r="BA156" i="9"/>
  <c r="AZ156" i="9"/>
  <c r="BE160" i="9"/>
  <c r="AY160" i="9"/>
  <c r="AG160" i="9" s="1"/>
  <c r="BF160" i="9"/>
  <c r="AK161" i="9"/>
  <c r="AI161" i="9"/>
  <c r="AJ161" i="9"/>
  <c r="AH161" i="9"/>
  <c r="AF162" i="9"/>
  <c r="AD162" i="9"/>
  <c r="AB162" i="9"/>
  <c r="AE162" i="9"/>
  <c r="AA162" i="9"/>
  <c r="AC162" i="9"/>
  <c r="BA167" i="9"/>
  <c r="AZ167" i="9"/>
  <c r="AG167" i="9"/>
  <c r="Y170" i="9"/>
  <c r="W170" i="9"/>
  <c r="V170" i="9"/>
  <c r="X170" i="9"/>
  <c r="AJ185" i="9"/>
  <c r="AH185" i="9"/>
  <c r="AK185" i="9"/>
  <c r="AI185" i="9"/>
  <c r="BA186" i="9"/>
  <c r="AZ186" i="9"/>
  <c r="AG186" i="9"/>
  <c r="AJ194" i="9"/>
  <c r="AH194" i="9"/>
  <c r="AI194" i="9"/>
  <c r="AK194" i="9"/>
  <c r="BA201" i="9"/>
  <c r="AZ201" i="9"/>
  <c r="AG201" i="9"/>
  <c r="BA214" i="9"/>
  <c r="AZ214" i="9"/>
  <c r="AG214" i="9"/>
  <c r="AG176" i="9"/>
  <c r="AZ176" i="9"/>
  <c r="AG181" i="9"/>
  <c r="AZ181" i="9"/>
  <c r="AG209" i="9"/>
  <c r="AZ209" i="9"/>
  <c r="BP230" i="9"/>
  <c r="BO230" i="9"/>
  <c r="BA221" i="9"/>
  <c r="AG221" i="9"/>
  <c r="AZ221" i="9"/>
  <c r="BA225" i="9"/>
  <c r="AZ225" i="9"/>
  <c r="AG225" i="9"/>
  <c r="AA317" i="9"/>
  <c r="AE317" i="9"/>
  <c r="AZ250" i="9"/>
  <c r="AG250" i="9"/>
  <c r="AZ256" i="9"/>
  <c r="AG256" i="9"/>
  <c r="AG261" i="9"/>
  <c r="AZ261" i="9"/>
  <c r="BA261" i="9"/>
  <c r="DI230" i="9"/>
  <c r="CC230" i="9"/>
  <c r="AG232" i="9"/>
  <c r="BA232" i="9"/>
  <c r="AZ232" i="9"/>
  <c r="AG243" i="9"/>
  <c r="BA243" i="9"/>
  <c r="AZ243" i="9"/>
  <c r="BF242" i="9"/>
  <c r="BD241" i="9"/>
  <c r="BE242" i="9"/>
  <c r="AY242" i="9"/>
  <c r="AG254" i="9"/>
  <c r="AZ254" i="9"/>
  <c r="BA268" i="9"/>
  <c r="AG268" i="9"/>
  <c r="AZ268" i="9"/>
  <c r="AZ264" i="9"/>
  <c r="BA264" i="9"/>
  <c r="AG264" i="9"/>
  <c r="AG274" i="9"/>
  <c r="AZ274" i="9"/>
  <c r="AG286" i="9"/>
  <c r="AZ286" i="9"/>
  <c r="BA286" i="9"/>
  <c r="BA290" i="9"/>
  <c r="AZ290" i="9"/>
  <c r="AG290" i="9"/>
  <c r="BE311" i="9"/>
  <c r="AG299" i="9"/>
  <c r="AZ299" i="9"/>
  <c r="AG306" i="9"/>
  <c r="AZ306" i="9"/>
  <c r="AG315" i="9"/>
  <c r="AZ315" i="9"/>
  <c r="AZ318" i="9"/>
  <c r="AG318" i="9"/>
  <c r="DI9" i="9"/>
  <c r="DI6" i="9" s="1"/>
  <c r="DI5" i="9" s="1"/>
  <c r="CC9" i="9"/>
  <c r="BK35" i="9"/>
  <c r="BO6" i="9"/>
  <c r="BP6" i="9"/>
  <c r="BN5" i="9"/>
  <c r="AG20" i="9"/>
  <c r="AZ20" i="9"/>
  <c r="AG21" i="9"/>
  <c r="BA21" i="9"/>
  <c r="AZ21" i="9"/>
  <c r="AG30" i="9"/>
  <c r="AZ30" i="9"/>
  <c r="BF29" i="9"/>
  <c r="AY29" i="9"/>
  <c r="BE29" i="9"/>
  <c r="BD28" i="9"/>
  <c r="CB28" i="9"/>
  <c r="DI29" i="9"/>
  <c r="CC29" i="9"/>
  <c r="AZ52" i="9"/>
  <c r="AG52" i="9"/>
  <c r="BA52" i="9"/>
  <c r="AZ55" i="9"/>
  <c r="BA55" i="9"/>
  <c r="AG55" i="9"/>
  <c r="AG59" i="9"/>
  <c r="AZ59" i="9"/>
  <c r="BA59" i="9"/>
  <c r="BA62" i="9"/>
  <c r="AZ62" i="9"/>
  <c r="AG62" i="9"/>
  <c r="AZ81" i="9"/>
  <c r="BA81" i="9"/>
  <c r="AG81" i="9"/>
  <c r="BQ495" i="9"/>
  <c r="BQ494" i="9" s="1"/>
  <c r="BQ453" i="9"/>
  <c r="DI85" i="9"/>
  <c r="CC85" i="9"/>
  <c r="AE87" i="9"/>
  <c r="AC87" i="9"/>
  <c r="AA87" i="9"/>
  <c r="AF87" i="9"/>
  <c r="AD87" i="9"/>
  <c r="AB87" i="9"/>
  <c r="AZ100" i="9"/>
  <c r="BA100" i="9"/>
  <c r="AG100" i="9"/>
  <c r="BA116" i="9"/>
  <c r="AZ116" i="9"/>
  <c r="AG116" i="9"/>
  <c r="BA121" i="9"/>
  <c r="AZ121" i="9"/>
  <c r="AG121" i="9"/>
  <c r="CC146" i="9"/>
  <c r="BA160" i="9"/>
  <c r="AW160" i="9"/>
  <c r="AZ160" i="9"/>
  <c r="AX160" i="9"/>
  <c r="Z160" i="9"/>
  <c r="M338" i="9"/>
  <c r="AG17" i="9"/>
  <c r="AZ17" i="9"/>
  <c r="AG23" i="9"/>
  <c r="AZ23" i="9"/>
  <c r="BA23" i="9"/>
  <c r="BA36" i="9"/>
  <c r="AG36" i="9"/>
  <c r="AZ36" i="9"/>
  <c r="O34" i="9"/>
  <c r="O33" i="9"/>
  <c r="AJ39" i="9"/>
  <c r="AH39" i="9"/>
  <c r="AK39" i="9"/>
  <c r="AI39" i="9"/>
  <c r="BF38" i="9"/>
  <c r="BE38" i="9"/>
  <c r="AY38" i="9"/>
  <c r="BP38" i="9"/>
  <c r="BO38" i="9"/>
  <c r="AG41" i="9"/>
  <c r="AZ41" i="9"/>
  <c r="BA41" i="9"/>
  <c r="DI38" i="9"/>
  <c r="CC38" i="9"/>
  <c r="BA58" i="9"/>
  <c r="AG58" i="9"/>
  <c r="AZ58" i="9"/>
  <c r="AG70" i="9"/>
  <c r="AZ70" i="9"/>
  <c r="BA70" i="9"/>
  <c r="O413" i="9"/>
  <c r="AG92" i="9"/>
  <c r="BA92" i="9"/>
  <c r="AZ92" i="9"/>
  <c r="BA111" i="9"/>
  <c r="AZ111" i="9"/>
  <c r="AG111" i="9"/>
  <c r="AZ135" i="9"/>
  <c r="AG135" i="9"/>
  <c r="BO160" i="9"/>
  <c r="BP160" i="9"/>
  <c r="BA189" i="9"/>
  <c r="AZ189" i="9"/>
  <c r="AG189" i="9"/>
  <c r="BA200" i="9"/>
  <c r="AZ200" i="9"/>
  <c r="AG200" i="9"/>
  <c r="BA208" i="9"/>
  <c r="AZ208" i="9"/>
  <c r="AG208" i="9"/>
  <c r="AG124" i="9"/>
  <c r="BA124" i="9"/>
  <c r="AZ124" i="9"/>
  <c r="BA129" i="9"/>
  <c r="AZ129" i="9"/>
  <c r="AG129" i="9"/>
  <c r="AG136" i="9"/>
  <c r="AZ136" i="9"/>
  <c r="BA136" i="9"/>
  <c r="AG145" i="9"/>
  <c r="BA145" i="9"/>
  <c r="AZ145" i="9"/>
  <c r="I239" i="9"/>
  <c r="I323" i="9" s="1"/>
  <c r="I337" i="9"/>
  <c r="I338" i="9" s="1"/>
  <c r="I366" i="9"/>
  <c r="I381" i="9" s="1"/>
  <c r="I321" i="9"/>
  <c r="I325" i="9"/>
  <c r="AZ154" i="9"/>
  <c r="AG154" i="9"/>
  <c r="BA154" i="9"/>
  <c r="BI34" i="9"/>
  <c r="AJ162" i="9"/>
  <c r="BA164" i="9"/>
  <c r="AZ164" i="9"/>
  <c r="AG164" i="9"/>
  <c r="AZ175" i="9"/>
  <c r="AG175" i="9"/>
  <c r="AJ188" i="9"/>
  <c r="AH188" i="9"/>
  <c r="AI188" i="9"/>
  <c r="AK188" i="9"/>
  <c r="BA195" i="9"/>
  <c r="AZ195" i="9"/>
  <c r="AG195" i="9"/>
  <c r="AJ198" i="9"/>
  <c r="AH198" i="9"/>
  <c r="AI198" i="9"/>
  <c r="AK198" i="9"/>
  <c r="AJ199" i="9"/>
  <c r="AH199" i="9"/>
  <c r="AI199" i="9"/>
  <c r="AK199" i="9"/>
  <c r="AJ207" i="9"/>
  <c r="AH207" i="9"/>
  <c r="AK207" i="9"/>
  <c r="AI207" i="9"/>
  <c r="AS239" i="9"/>
  <c r="AS311" i="9" s="1"/>
  <c r="AS321" i="9"/>
  <c r="AG171" i="9"/>
  <c r="AZ171" i="9"/>
  <c r="AL301" i="9"/>
  <c r="BG301" i="9"/>
  <c r="BJ301" i="9" s="1"/>
  <c r="AO301" i="9"/>
  <c r="AP301" i="9"/>
  <c r="AX301" i="9"/>
  <c r="U509" i="9"/>
  <c r="AG249" i="9"/>
  <c r="AZ249" i="9"/>
  <c r="AZ257" i="9"/>
  <c r="BA257" i="9"/>
  <c r="AG257" i="9"/>
  <c r="AG227" i="9"/>
  <c r="BA227" i="9"/>
  <c r="AZ227" i="9"/>
  <c r="BA229" i="9"/>
  <c r="AG229" i="9"/>
  <c r="AZ229" i="9"/>
  <c r="AG231" i="9"/>
  <c r="BA231" i="9"/>
  <c r="AZ231" i="9"/>
  <c r="AG237" i="9"/>
  <c r="AZ237" i="9"/>
  <c r="AF241" i="9"/>
  <c r="AB241" i="9"/>
  <c r="AE241" i="9"/>
  <c r="AA241" i="9"/>
  <c r="BB475" i="9"/>
  <c r="BB516" i="9" s="1"/>
  <c r="AU317" i="9"/>
  <c r="CB241" i="9"/>
  <c r="DI242" i="9"/>
  <c r="X242" i="9"/>
  <c r="V242" i="9"/>
  <c r="Y242" i="9"/>
  <c r="W242" i="9"/>
  <c r="U241" i="9"/>
  <c r="BA253" i="9"/>
  <c r="AZ253" i="9"/>
  <c r="AG253" i="9"/>
  <c r="AZ260" i="9"/>
  <c r="AG260" i="9"/>
  <c r="AZ270" i="9"/>
  <c r="AG270" i="9"/>
  <c r="BA265" i="9"/>
  <c r="AG265" i="9"/>
  <c r="AZ265" i="9"/>
  <c r="AZ272" i="9"/>
  <c r="AG272" i="9"/>
  <c r="AJ276" i="9"/>
  <c r="AH276" i="9"/>
  <c r="AK276" i="9"/>
  <c r="AI276" i="9"/>
  <c r="BA278" i="9"/>
  <c r="AG278" i="9"/>
  <c r="AZ278" i="9"/>
  <c r="AG281" i="9"/>
  <c r="BA281" i="9"/>
  <c r="AZ281" i="9"/>
  <c r="BA287" i="9"/>
  <c r="AZ287" i="9"/>
  <c r="AG287" i="9"/>
  <c r="AG291" i="9"/>
  <c r="BA291" i="9"/>
  <c r="AZ291" i="9"/>
  <c r="BE304" i="9"/>
  <c r="BD303" i="9"/>
  <c r="BF304" i="9"/>
  <c r="AY304" i="9"/>
  <c r="BS325" i="9"/>
  <c r="BQ319" i="9"/>
  <c r="BQ323" i="9" s="1"/>
  <c r="BQ325" i="9"/>
  <c r="DB308" i="9"/>
  <c r="BM325" i="9"/>
  <c r="U455" i="9"/>
  <c r="X85" i="9"/>
  <c r="V85" i="9"/>
  <c r="Y85" i="9"/>
  <c r="W85" i="9"/>
  <c r="AC85" i="9"/>
  <c r="AD85" i="9"/>
  <c r="BH5" i="9"/>
  <c r="BK6" i="9"/>
  <c r="AZ37" i="9"/>
  <c r="AG37" i="9"/>
  <c r="AZ66" i="9"/>
  <c r="AG66" i="9"/>
  <c r="BA66" i="9"/>
  <c r="AG75" i="9"/>
  <c r="BA75" i="9"/>
  <c r="AZ75" i="9"/>
  <c r="AG76" i="9"/>
  <c r="AZ76" i="9"/>
  <c r="BA76" i="9"/>
  <c r="AG80" i="9"/>
  <c r="BA80" i="9"/>
  <c r="AZ80" i="9"/>
  <c r="AG84" i="9"/>
  <c r="AZ84" i="9"/>
  <c r="BA84" i="9"/>
  <c r="BA101" i="9"/>
  <c r="AZ101" i="9"/>
  <c r="AG101" i="9"/>
  <c r="BA118" i="9"/>
  <c r="AG118" i="9"/>
  <c r="AZ118" i="9"/>
  <c r="AG150" i="9"/>
  <c r="AZ150" i="9"/>
  <c r="BA150" i="9"/>
  <c r="CP316" i="9"/>
  <c r="CP313" i="9"/>
  <c r="CP472" i="9" s="1"/>
  <c r="CP513" i="9" s="1"/>
  <c r="CP318" i="9"/>
  <c r="CP314" i="9"/>
  <c r="CP312" i="9"/>
  <c r="CP473" i="9" s="1"/>
  <c r="CP514" i="9" s="1"/>
  <c r="CP306" i="9"/>
  <c r="CP291" i="9"/>
  <c r="CP290" i="9"/>
  <c r="CP289" i="9"/>
  <c r="CP288" i="9"/>
  <c r="CP287" i="9"/>
  <c r="CP284" i="9"/>
  <c r="CP283" i="9"/>
  <c r="CP275" i="9"/>
  <c r="CP269" i="9"/>
  <c r="CP264" i="9"/>
  <c r="CP263" i="9"/>
  <c r="CP259" i="9"/>
  <c r="CP215" i="9"/>
  <c r="CP209" i="9"/>
  <c r="CP208" i="9"/>
  <c r="CP191" i="9"/>
  <c r="CP189" i="9"/>
  <c r="CP182" i="9"/>
  <c r="CP178" i="9"/>
  <c r="CP172" i="9"/>
  <c r="CP157" i="9"/>
  <c r="CP211" i="9"/>
  <c r="CP201" i="9"/>
  <c r="CP196" i="9"/>
  <c r="CP195" i="9"/>
  <c r="CP186" i="9"/>
  <c r="CP184" i="9"/>
  <c r="CP181" i="9"/>
  <c r="CP176" i="9"/>
  <c r="CP173" i="9"/>
  <c r="CP171" i="9"/>
  <c r="CP167" i="9"/>
  <c r="CP166" i="9"/>
  <c r="CP164" i="9"/>
  <c r="CP158" i="9"/>
  <c r="CP156" i="9"/>
  <c r="CP154" i="9"/>
  <c r="CP145" i="9"/>
  <c r="CP143" i="9"/>
  <c r="CP130" i="9"/>
  <c r="CP127" i="9"/>
  <c r="CP126" i="9"/>
  <c r="CP125" i="9"/>
  <c r="CP123" i="9"/>
  <c r="CP121" i="9"/>
  <c r="CP81" i="9"/>
  <c r="CP120" i="9"/>
  <c r="CP111" i="9"/>
  <c r="CP109" i="9"/>
  <c r="CP105" i="9"/>
  <c r="CP103" i="9"/>
  <c r="CP95" i="9"/>
  <c r="CP92" i="9"/>
  <c r="CP43" i="9"/>
  <c r="CP98" i="9"/>
  <c r="CP40" i="9"/>
  <c r="CP42" i="9"/>
  <c r="CP48" i="9"/>
  <c r="CP51" i="9"/>
  <c r="CP54" i="9"/>
  <c r="CP75" i="9"/>
  <c r="CP82" i="9"/>
  <c r="CP86" i="9"/>
  <c r="CP88" i="9"/>
  <c r="CP112" i="9"/>
  <c r="CP20" i="9"/>
  <c r="CP37" i="9"/>
  <c r="CP45" i="9"/>
  <c r="CP47" i="9"/>
  <c r="CP52" i="9"/>
  <c r="CP457" i="9" s="1"/>
  <c r="CP498" i="9" s="1"/>
  <c r="CP90" i="9"/>
  <c r="CP94" i="9"/>
  <c r="CP96" i="9"/>
  <c r="CP99" i="9"/>
  <c r="CP101" i="9"/>
  <c r="CP102" i="9"/>
  <c r="CP104" i="9"/>
  <c r="CP106" i="9"/>
  <c r="CP107" i="9"/>
  <c r="CP108" i="9"/>
  <c r="CP152" i="9"/>
  <c r="CP159" i="9"/>
  <c r="CP162" i="9"/>
  <c r="CP168" i="9"/>
  <c r="CP188" i="9"/>
  <c r="CP190" i="9"/>
  <c r="CP194" i="9"/>
  <c r="CP205" i="9"/>
  <c r="CP122" i="9"/>
  <c r="CP131" i="9"/>
  <c r="CP141" i="9"/>
  <c r="CP155" i="9"/>
  <c r="CP174" i="9"/>
  <c r="CP179" i="9"/>
  <c r="CP183" i="9"/>
  <c r="CP187" i="9"/>
  <c r="CP202" i="9"/>
  <c r="CP203" i="9"/>
  <c r="CP169" i="9"/>
  <c r="CP180" i="9"/>
  <c r="CP214" i="9"/>
  <c r="CP221" i="9"/>
  <c r="CP229" i="9"/>
  <c r="CP233" i="9"/>
  <c r="CP234" i="9"/>
  <c r="CP235" i="9"/>
  <c r="CP225" i="9"/>
  <c r="CP232" i="9"/>
  <c r="CP237" i="9"/>
  <c r="CP245" i="9"/>
  <c r="CP267" i="9"/>
  <c r="CP276" i="9"/>
  <c r="CP282" i="9"/>
  <c r="CP286" i="9"/>
  <c r="CP293" i="9"/>
  <c r="CP265" i="9"/>
  <c r="CP272" i="9"/>
  <c r="CP436" i="9" s="1"/>
  <c r="CP278" i="9"/>
  <c r="CP279" i="9"/>
  <c r="CP281" i="9"/>
  <c r="CP285" i="9"/>
  <c r="CP292" i="9"/>
  <c r="CP297" i="9"/>
  <c r="CP299" i="9"/>
  <c r="CP315" i="9"/>
  <c r="CP36" i="9"/>
  <c r="CP35" i="9" s="1"/>
  <c r="CP39" i="9"/>
  <c r="CP41" i="9"/>
  <c r="CP46" i="9"/>
  <c r="CP55" i="9"/>
  <c r="CP87" i="9"/>
  <c r="CP89" i="9"/>
  <c r="CP118" i="9"/>
  <c r="CP44" i="9"/>
  <c r="CP49" i="9"/>
  <c r="CP50" i="9"/>
  <c r="CP53" i="9"/>
  <c r="CP91" i="9"/>
  <c r="CP93" i="9"/>
  <c r="CP97" i="9"/>
  <c r="CP110" i="9"/>
  <c r="CP119" i="9"/>
  <c r="CP124" i="9"/>
  <c r="CP136" i="9"/>
  <c r="CP137" i="9"/>
  <c r="CP175" i="9"/>
  <c r="CP185" i="9"/>
  <c r="CP193" i="9"/>
  <c r="CP197" i="9"/>
  <c r="CP198" i="9"/>
  <c r="CP207" i="9"/>
  <c r="CP217" i="9"/>
  <c r="CP128" i="9"/>
  <c r="CP129" i="9"/>
  <c r="CP132" i="9"/>
  <c r="CP142" i="9"/>
  <c r="CP144" i="9"/>
  <c r="CP153" i="9"/>
  <c r="CP163" i="9"/>
  <c r="CP165" i="9"/>
  <c r="CP192" i="9"/>
  <c r="CP199" i="9"/>
  <c r="CP206" i="9"/>
  <c r="CP212" i="9"/>
  <c r="CP161" i="9"/>
  <c r="CP160" i="9" s="1"/>
  <c r="CP200" i="9"/>
  <c r="CP204" i="9"/>
  <c r="CP218" i="9"/>
  <c r="CP219" i="9"/>
  <c r="CP222" i="9"/>
  <c r="CP223" i="9"/>
  <c r="CP226" i="9"/>
  <c r="CP227" i="9"/>
  <c r="CP246" i="9"/>
  <c r="CP255" i="9"/>
  <c r="CP258" i="9"/>
  <c r="CP220" i="9"/>
  <c r="CP224" i="9"/>
  <c r="CP228" i="9"/>
  <c r="CP231" i="9"/>
  <c r="CP236" i="9"/>
  <c r="CP261" i="9"/>
  <c r="CP271" i="9"/>
  <c r="CP260" i="9"/>
  <c r="CP262" i="9"/>
  <c r="CP266" i="9"/>
  <c r="CP270" i="9"/>
  <c r="CP273" i="9"/>
  <c r="CP295" i="9"/>
  <c r="CP294" i="9"/>
  <c r="CP296" i="9"/>
  <c r="CV6" i="9"/>
  <c r="CW7" i="9" s="1"/>
  <c r="AG12" i="9"/>
  <c r="BA12" i="9"/>
  <c r="AZ12" i="9"/>
  <c r="BE13" i="9"/>
  <c r="AY13" i="9"/>
  <c r="BF13" i="9"/>
  <c r="AG18" i="9"/>
  <c r="AZ18" i="9"/>
  <c r="AF26" i="9"/>
  <c r="AD26" i="9"/>
  <c r="AB26" i="9"/>
  <c r="AE26" i="9"/>
  <c r="AC26" i="9"/>
  <c r="AA26" i="9"/>
  <c r="AF39" i="9"/>
  <c r="AD39" i="9"/>
  <c r="AB39" i="9"/>
  <c r="AE39" i="9"/>
  <c r="AC39" i="9"/>
  <c r="AA39" i="9"/>
  <c r="AG42" i="9"/>
  <c r="AZ42" i="9"/>
  <c r="BA42" i="9"/>
  <c r="BA48" i="9"/>
  <c r="AZ48" i="9"/>
  <c r="AG48" i="9"/>
  <c r="BA50" i="9"/>
  <c r="AG50" i="9"/>
  <c r="AZ50" i="9"/>
  <c r="BA53" i="9"/>
  <c r="AG53" i="9"/>
  <c r="AZ53" i="9"/>
  <c r="BO56" i="9"/>
  <c r="BP56" i="9"/>
  <c r="AG69" i="9"/>
  <c r="AZ69" i="9"/>
  <c r="BA69" i="9"/>
  <c r="Q413" i="9"/>
  <c r="BD413" i="9"/>
  <c r="BA99" i="9"/>
  <c r="AZ99" i="9"/>
  <c r="AG99" i="9"/>
  <c r="CP100" i="9"/>
  <c r="BA102" i="9"/>
  <c r="AZ102" i="9"/>
  <c r="AG102" i="9"/>
  <c r="BA109" i="9"/>
  <c r="AZ109" i="9"/>
  <c r="AG109" i="9"/>
  <c r="U413" i="9"/>
  <c r="BA157" i="9"/>
  <c r="AZ157" i="9"/>
  <c r="AG157" i="9"/>
  <c r="AQ458" i="9"/>
  <c r="AM139" i="9"/>
  <c r="AQ34" i="9"/>
  <c r="BA215" i="9"/>
  <c r="AZ215" i="9"/>
  <c r="AG215" i="9"/>
  <c r="AZ123" i="9"/>
  <c r="BA123" i="9"/>
  <c r="AG123" i="9"/>
  <c r="BP140" i="9"/>
  <c r="BN139" i="9"/>
  <c r="BO140" i="9"/>
  <c r="BO146" i="9"/>
  <c r="BP146" i="9"/>
  <c r="AZ155" i="9"/>
  <c r="BA155" i="9"/>
  <c r="AG155" i="9"/>
  <c r="BA158" i="9"/>
  <c r="AZ158" i="9"/>
  <c r="AG158" i="9"/>
  <c r="AE161" i="9"/>
  <c r="AC161" i="9"/>
  <c r="AA161" i="9"/>
  <c r="AF161" i="9"/>
  <c r="AB161" i="9"/>
  <c r="AD161" i="9"/>
  <c r="AJ168" i="9"/>
  <c r="AH168" i="9"/>
  <c r="AK168" i="9"/>
  <c r="AI168" i="9"/>
  <c r="DC139" i="9"/>
  <c r="R139" i="9"/>
  <c r="Q139" i="9"/>
  <c r="P34" i="9"/>
  <c r="CP177" i="9"/>
  <c r="BA183" i="9"/>
  <c r="AG183" i="9"/>
  <c r="AZ183" i="9"/>
  <c r="AG184" i="9"/>
  <c r="BA184" i="9"/>
  <c r="AZ184" i="9"/>
  <c r="AJ193" i="9"/>
  <c r="AH193" i="9"/>
  <c r="AK193" i="9"/>
  <c r="AI193" i="9"/>
  <c r="AJ197" i="9"/>
  <c r="AH197" i="9"/>
  <c r="AI197" i="9"/>
  <c r="AK197" i="9"/>
  <c r="AG204" i="9"/>
  <c r="BA204" i="9"/>
  <c r="AZ204" i="9"/>
  <c r="AG211" i="9"/>
  <c r="AZ211" i="9"/>
  <c r="BA213" i="9"/>
  <c r="AZ213" i="9"/>
  <c r="AG213" i="9"/>
  <c r="BO170" i="9"/>
  <c r="BP170" i="9"/>
  <c r="AG173" i="9"/>
  <c r="AZ173" i="9"/>
  <c r="BA177" i="9"/>
  <c r="AG177" i="9"/>
  <c r="AZ177" i="9"/>
  <c r="AG205" i="9"/>
  <c r="AZ205" i="9"/>
  <c r="AG219" i="9"/>
  <c r="AZ219" i="9"/>
  <c r="BA219" i="9"/>
  <c r="AZ220" i="9"/>
  <c r="BA220" i="9"/>
  <c r="AG220" i="9"/>
  <c r="AG224" i="9"/>
  <c r="AZ224" i="9"/>
  <c r="BA224" i="9"/>
  <c r="BA228" i="9"/>
  <c r="AG228" i="9"/>
  <c r="AZ228" i="9"/>
  <c r="BA244" i="9"/>
  <c r="AZ244" i="9"/>
  <c r="AG244" i="9"/>
  <c r="AZ252" i="9"/>
  <c r="AG252" i="9"/>
  <c r="BA222" i="9"/>
  <c r="AZ222" i="9"/>
  <c r="AG222" i="9"/>
  <c r="AG223" i="9"/>
  <c r="AZ223" i="9"/>
  <c r="AZ226" i="9"/>
  <c r="BA226" i="9"/>
  <c r="AG226" i="9"/>
  <c r="BA234" i="9"/>
  <c r="AZ234" i="9"/>
  <c r="AG234" i="9"/>
  <c r="AG236" i="9"/>
  <c r="AZ236" i="9"/>
  <c r="BA247" i="9"/>
  <c r="AZ247" i="9"/>
  <c r="AG247" i="9"/>
  <c r="AG248" i="9"/>
  <c r="AZ248" i="9"/>
  <c r="AZ273" i="9"/>
  <c r="AG273" i="9"/>
  <c r="BA285" i="9"/>
  <c r="AZ285" i="9"/>
  <c r="AG285" i="9"/>
  <c r="AG262" i="9"/>
  <c r="AZ262" i="9"/>
  <c r="AG266" i="9"/>
  <c r="BA266" i="9"/>
  <c r="AZ266" i="9"/>
  <c r="CP268" i="9"/>
  <c r="BA277" i="9"/>
  <c r="AZ277" i="9"/>
  <c r="AG277" i="9"/>
  <c r="AG279" i="9"/>
  <c r="AZ279" i="9"/>
  <c r="AZ283" i="9"/>
  <c r="BA283" i="9"/>
  <c r="AG283" i="9"/>
  <c r="AZ288" i="9"/>
  <c r="BA288" i="9"/>
  <c r="AG288" i="9"/>
  <c r="BA292" i="9"/>
  <c r="AZ292" i="9"/>
  <c r="AG292" i="9"/>
  <c r="BP310" i="9"/>
  <c r="BN309" i="9"/>
  <c r="BE310" i="9"/>
  <c r="AY310" i="9"/>
  <c r="AG310" i="9" s="1"/>
  <c r="BD309" i="9"/>
  <c r="CP298" i="9"/>
  <c r="BY307" i="9"/>
  <c r="DF303" i="9"/>
  <c r="BO304" i="9"/>
  <c r="BN303" i="9"/>
  <c r="BP304" i="9"/>
  <c r="AG313" i="9"/>
  <c r="AZ313" i="9"/>
  <c r="AK314" i="9"/>
  <c r="AI314" i="9"/>
  <c r="AJ314" i="9"/>
  <c r="AH314" i="9"/>
  <c r="AK317" i="9"/>
  <c r="AJ317" i="9"/>
  <c r="CA325" i="9"/>
  <c r="DH325" i="9" s="1"/>
  <c r="CA26" i="9"/>
  <c r="DH26" i="9" s="1"/>
  <c r="AW26" i="9"/>
  <c r="BY325" i="9"/>
  <c r="DF325" i="9" s="1"/>
  <c r="BY26" i="9"/>
  <c r="DF26" i="9" s="1"/>
  <c r="AZ8" i="9"/>
  <c r="BA8" i="9"/>
  <c r="AG8" i="9"/>
  <c r="CQ491" i="9"/>
  <c r="CQ489" i="9" s="1"/>
  <c r="CQ488" i="9" s="1"/>
  <c r="CQ448" i="9"/>
  <c r="CQ447" i="9" s="1"/>
  <c r="AG16" i="9"/>
  <c r="AZ16" i="9"/>
  <c r="BP35" i="9"/>
  <c r="BO35" i="9"/>
  <c r="BN34" i="9"/>
  <c r="BA60" i="9"/>
  <c r="AZ60" i="9"/>
  <c r="AG60" i="9"/>
  <c r="AZ65" i="9"/>
  <c r="BA65" i="9"/>
  <c r="AG65" i="9"/>
  <c r="AG71" i="9"/>
  <c r="BA71" i="9"/>
  <c r="AZ71" i="9"/>
  <c r="DI72" i="9"/>
  <c r="CC72" i="9"/>
  <c r="CP78" i="9"/>
  <c r="AZ89" i="9"/>
  <c r="BA89" i="9"/>
  <c r="AG89" i="9"/>
  <c r="BF85" i="9"/>
  <c r="BE85" i="9"/>
  <c r="AY85" i="9"/>
  <c r="AV139" i="9"/>
  <c r="BC34" i="9"/>
  <c r="CC139" i="9"/>
  <c r="AL34" i="9"/>
  <c r="BB477" i="9"/>
  <c r="BZ307" i="9"/>
  <c r="DG303" i="9"/>
  <c r="BZ325" i="9"/>
  <c r="DG325" i="9" s="1"/>
  <c r="CU9" i="9"/>
  <c r="BE9" i="9"/>
  <c r="AY9" i="9"/>
  <c r="BF9" i="9"/>
  <c r="BA10" i="9"/>
  <c r="AG10" i="9"/>
  <c r="AZ10" i="9"/>
  <c r="BO13" i="9"/>
  <c r="BP13" i="9"/>
  <c r="AG25" i="9"/>
  <c r="AZ25" i="9"/>
  <c r="BL474" i="9"/>
  <c r="BL310" i="9"/>
  <c r="BL309" i="9" s="1"/>
  <c r="BF35" i="9"/>
  <c r="BE35" i="9"/>
  <c r="AY35" i="9"/>
  <c r="BD34" i="9"/>
  <c r="BA43" i="9"/>
  <c r="AG43" i="9"/>
  <c r="AZ43" i="9"/>
  <c r="AG68" i="9"/>
  <c r="BA68" i="9"/>
  <c r="AZ68" i="9"/>
  <c r="BA74" i="9"/>
  <c r="AG74" i="9"/>
  <c r="AZ74" i="9"/>
  <c r="AZ78" i="9"/>
  <c r="BA78" i="9"/>
  <c r="AG78" i="9"/>
  <c r="O421" i="9"/>
  <c r="AG95" i="9"/>
  <c r="BA95" i="9"/>
  <c r="AZ95" i="9"/>
  <c r="AG103" i="9"/>
  <c r="BA103" i="9"/>
  <c r="AZ103" i="9"/>
  <c r="AJ104" i="9"/>
  <c r="AH104" i="9"/>
  <c r="AK104" i="9"/>
  <c r="AI104" i="9"/>
  <c r="BA112" i="9"/>
  <c r="AG112" i="9"/>
  <c r="AZ112" i="9"/>
  <c r="AJ119" i="9"/>
  <c r="AI119" i="9"/>
  <c r="AK119" i="9"/>
  <c r="AH119" i="9"/>
  <c r="BA120" i="9"/>
  <c r="AZ120" i="9"/>
  <c r="AG120" i="9"/>
  <c r="BA182" i="9"/>
  <c r="AZ182" i="9"/>
  <c r="AG182" i="9"/>
  <c r="BA191" i="9"/>
  <c r="AZ191" i="9"/>
  <c r="AG191" i="9"/>
  <c r="BA210" i="9"/>
  <c r="AZ210" i="9"/>
  <c r="AG210" i="9"/>
  <c r="AZ127" i="9"/>
  <c r="AG127" i="9"/>
  <c r="BA127" i="9"/>
  <c r="BA130" i="9"/>
  <c r="AG130" i="9"/>
  <c r="AZ130" i="9"/>
  <c r="AG137" i="9"/>
  <c r="BA137" i="9"/>
  <c r="AZ137" i="9"/>
  <c r="BH139" i="9"/>
  <c r="BH34" i="9" s="1"/>
  <c r="BH239" i="9" s="1"/>
  <c r="BA143" i="9"/>
  <c r="AG143" i="9"/>
  <c r="AZ143" i="9"/>
  <c r="U139" i="9"/>
  <c r="BE146" i="9"/>
  <c r="AY146" i="9"/>
  <c r="BF146" i="9"/>
  <c r="AG148" i="9"/>
  <c r="BA148" i="9"/>
  <c r="AZ148" i="9"/>
  <c r="AJ159" i="9"/>
  <c r="AH159" i="9"/>
  <c r="AK159" i="9"/>
  <c r="AI159" i="9"/>
  <c r="AK162" i="9"/>
  <c r="BA166" i="9"/>
  <c r="AZ166" i="9"/>
  <c r="AG166" i="9"/>
  <c r="AE170" i="9"/>
  <c r="AC170" i="9"/>
  <c r="AA170" i="9"/>
  <c r="AD170" i="9"/>
  <c r="AF170" i="9"/>
  <c r="AB170" i="9"/>
  <c r="BJ177" i="9"/>
  <c r="BG402" i="9"/>
  <c r="BG413" i="9" s="1"/>
  <c r="AJ190" i="9"/>
  <c r="AH190" i="9"/>
  <c r="AK190" i="9"/>
  <c r="AI190" i="9"/>
  <c r="AZ192" i="9"/>
  <c r="AG192" i="9"/>
  <c r="AJ196" i="9"/>
  <c r="AH196" i="9"/>
  <c r="AK196" i="9"/>
  <c r="AI196" i="9"/>
  <c r="AS499" i="9"/>
  <c r="AS454" i="9"/>
  <c r="BA216" i="9"/>
  <c r="AZ216" i="9"/>
  <c r="AG216" i="9"/>
  <c r="BE170" i="9"/>
  <c r="AY170" i="9"/>
  <c r="BF170" i="9"/>
  <c r="AG202" i="9"/>
  <c r="AZ202" i="9"/>
  <c r="BH241" i="9"/>
  <c r="BK242" i="9"/>
  <c r="AQ475" i="9"/>
  <c r="AQ516" i="9" s="1"/>
  <c r="AM317" i="9"/>
  <c r="AZ259" i="9"/>
  <c r="AG259" i="9"/>
  <c r="BF230" i="9"/>
  <c r="BE230" i="9"/>
  <c r="AY230" i="9"/>
  <c r="AZ233" i="9"/>
  <c r="AG233" i="9"/>
  <c r="BA233" i="9"/>
  <c r="AG235" i="9"/>
  <c r="AZ235" i="9"/>
  <c r="AG238" i="9"/>
  <c r="AZ238" i="9"/>
  <c r="BP242" i="9"/>
  <c r="BN241" i="9"/>
  <c r="BO242" i="9"/>
  <c r="AG251" i="9"/>
  <c r="AZ251" i="9"/>
  <c r="AG255" i="9"/>
  <c r="BA255" i="9"/>
  <c r="AZ255" i="9"/>
  <c r="CP257" i="9"/>
  <c r="AG258" i="9"/>
  <c r="AZ258" i="9"/>
  <c r="AZ269" i="9"/>
  <c r="AG269" i="9"/>
  <c r="AZ282" i="9"/>
  <c r="AG282" i="9"/>
  <c r="AG263" i="9"/>
  <c r="AZ263" i="9"/>
  <c r="AG271" i="9"/>
  <c r="AZ271" i="9"/>
  <c r="BA271" i="9"/>
  <c r="AG275" i="9"/>
  <c r="AZ275" i="9"/>
  <c r="BA284" i="9"/>
  <c r="AZ284" i="9"/>
  <c r="AG284" i="9"/>
  <c r="BA289" i="9"/>
  <c r="AZ289" i="9"/>
  <c r="AG289" i="9"/>
  <c r="AZ298" i="9"/>
  <c r="AG298" i="9"/>
  <c r="BA298" i="9"/>
  <c r="AE303" i="9"/>
  <c r="AA303" i="9"/>
  <c r="AF303" i="9"/>
  <c r="AC303" i="9"/>
  <c r="AG305" i="9"/>
  <c r="AZ305" i="9"/>
  <c r="AZ312" i="9"/>
  <c r="AG312" i="9"/>
  <c r="AG316" i="9"/>
  <c r="AZ316" i="9"/>
  <c r="CR448" i="9"/>
  <c r="CR447" i="9" s="1"/>
  <c r="CR492" i="9"/>
  <c r="CR489" i="9" s="1"/>
  <c r="CR488" i="9" s="1"/>
  <c r="BD36" i="8"/>
  <c r="BR30" i="8"/>
  <c r="CP52" i="5"/>
  <c r="CO52" i="5"/>
  <c r="CN52" i="5"/>
  <c r="CM52" i="5"/>
  <c r="CL52" i="5"/>
  <c r="CK52" i="5"/>
  <c r="CJ52" i="5"/>
  <c r="CI52" i="5"/>
  <c r="CH52" i="5"/>
  <c r="AB5" i="9" l="1"/>
  <c r="AF5" i="9"/>
  <c r="AA5" i="9"/>
  <c r="AE5" i="9"/>
  <c r="AD5" i="9"/>
  <c r="AC5" i="9"/>
  <c r="AJ282" i="9"/>
  <c r="AH282" i="9"/>
  <c r="AK269" i="9"/>
  <c r="AH269" i="9"/>
  <c r="AJ269" i="9"/>
  <c r="AH238" i="9"/>
  <c r="AJ238" i="9"/>
  <c r="AJ235" i="9"/>
  <c r="AK235" i="9"/>
  <c r="AH235" i="9"/>
  <c r="AK233" i="9"/>
  <c r="AI233" i="9"/>
  <c r="AJ233" i="9"/>
  <c r="AH233" i="9"/>
  <c r="AG230" i="9"/>
  <c r="AZ230" i="9"/>
  <c r="BA230" i="9"/>
  <c r="BH301" i="9"/>
  <c r="BK301" i="9" s="1"/>
  <c r="BK241" i="9"/>
  <c r="AJ202" i="9"/>
  <c r="AH202" i="9"/>
  <c r="AK202" i="9"/>
  <c r="AG170" i="9"/>
  <c r="BA170" i="9"/>
  <c r="AZ170" i="9"/>
  <c r="AK216" i="9"/>
  <c r="AI216" i="9"/>
  <c r="AH216" i="9"/>
  <c r="AJ216" i="9"/>
  <c r="AJ137" i="9"/>
  <c r="AH137" i="9"/>
  <c r="AK137" i="9"/>
  <c r="AI137" i="9"/>
  <c r="AK130" i="9"/>
  <c r="AI130" i="9"/>
  <c r="AJ130" i="9"/>
  <c r="AH130" i="9"/>
  <c r="AK191" i="9"/>
  <c r="AI191" i="9"/>
  <c r="AJ191" i="9"/>
  <c r="AH191" i="9"/>
  <c r="AK120" i="9"/>
  <c r="AI120" i="9"/>
  <c r="AH120" i="9"/>
  <c r="AJ120" i="9"/>
  <c r="AK112" i="9"/>
  <c r="AI112" i="9"/>
  <c r="AJ112" i="9"/>
  <c r="AH112" i="9"/>
  <c r="AK103" i="9"/>
  <c r="AI103" i="9"/>
  <c r="AJ103" i="9"/>
  <c r="AH103" i="9"/>
  <c r="AZ35" i="9"/>
  <c r="AG35" i="9"/>
  <c r="BA35" i="9"/>
  <c r="BL515" i="9"/>
  <c r="BL518" i="9" s="1"/>
  <c r="BL477" i="9"/>
  <c r="AH25" i="9"/>
  <c r="AJ25" i="9"/>
  <c r="AK10" i="9"/>
  <c r="AI10" i="9"/>
  <c r="AJ10" i="9"/>
  <c r="AH10" i="9"/>
  <c r="DG307" i="9"/>
  <c r="BZ323" i="9"/>
  <c r="DG323" i="9" s="1"/>
  <c r="AX139" i="9"/>
  <c r="Z139" i="9"/>
  <c r="AW139" i="9"/>
  <c r="AJ89" i="9"/>
  <c r="AH89" i="9"/>
  <c r="AK89" i="9"/>
  <c r="AI89" i="9"/>
  <c r="AJ71" i="9"/>
  <c r="AH71" i="9"/>
  <c r="AK71" i="9"/>
  <c r="AI71" i="9"/>
  <c r="AJ60" i="9"/>
  <c r="AH60" i="9"/>
  <c r="AK60" i="9"/>
  <c r="AI60" i="9"/>
  <c r="AJ8" i="9"/>
  <c r="AH8" i="9"/>
  <c r="AK8" i="9"/>
  <c r="AI8" i="9"/>
  <c r="DF307" i="9"/>
  <c r="BY323" i="9"/>
  <c r="DF323" i="9" s="1"/>
  <c r="BD319" i="9"/>
  <c r="AY309" i="9"/>
  <c r="AG309" i="9" s="1"/>
  <c r="BN319" i="9"/>
  <c r="BO309" i="9"/>
  <c r="BP309" i="9"/>
  <c r="AK288" i="9"/>
  <c r="AI288" i="9"/>
  <c r="AJ288" i="9"/>
  <c r="AH288" i="9"/>
  <c r="AK277" i="9"/>
  <c r="AI277" i="9"/>
  <c r="AJ277" i="9"/>
  <c r="AH277" i="9"/>
  <c r="AJ266" i="9"/>
  <c r="AH266" i="9"/>
  <c r="AK266" i="9"/>
  <c r="AI266" i="9"/>
  <c r="AJ262" i="9"/>
  <c r="AK262" i="9"/>
  <c r="AH262" i="9"/>
  <c r="AJ273" i="9"/>
  <c r="AH273" i="9"/>
  <c r="AK247" i="9"/>
  <c r="AI247" i="9"/>
  <c r="AJ247" i="9"/>
  <c r="AH247" i="9"/>
  <c r="AH236" i="9"/>
  <c r="AJ236" i="9"/>
  <c r="AK226" i="9"/>
  <c r="AI226" i="9"/>
  <c r="AJ226" i="9"/>
  <c r="AH226" i="9"/>
  <c r="AJ223" i="9"/>
  <c r="AK223" i="9"/>
  <c r="AH223" i="9"/>
  <c r="AK252" i="9"/>
  <c r="AH252" i="9"/>
  <c r="AJ252" i="9"/>
  <c r="AK244" i="9"/>
  <c r="AI244" i="9"/>
  <c r="AJ244" i="9"/>
  <c r="AH244" i="9"/>
  <c r="AJ228" i="9"/>
  <c r="AH228" i="9"/>
  <c r="AK228" i="9"/>
  <c r="AI228" i="9"/>
  <c r="AJ224" i="9"/>
  <c r="AH224" i="9"/>
  <c r="AK224" i="9"/>
  <c r="AI224" i="9"/>
  <c r="AJ219" i="9"/>
  <c r="AH219" i="9"/>
  <c r="AK219" i="9"/>
  <c r="AI219" i="9"/>
  <c r="AJ205" i="9"/>
  <c r="AH205" i="9"/>
  <c r="AK205" i="9"/>
  <c r="AJ177" i="9"/>
  <c r="AH177" i="9"/>
  <c r="AK177" i="9"/>
  <c r="AI177" i="9"/>
  <c r="AK213" i="9"/>
  <c r="AI213" i="9"/>
  <c r="AH213" i="9"/>
  <c r="AJ213" i="9"/>
  <c r="AH211" i="9"/>
  <c r="AJ211" i="9"/>
  <c r="AK184" i="9"/>
  <c r="AI184" i="9"/>
  <c r="AH184" i="9"/>
  <c r="AJ184" i="9"/>
  <c r="AK183" i="9"/>
  <c r="AI183" i="9"/>
  <c r="AH183" i="9"/>
  <c r="AJ183" i="9"/>
  <c r="AK155" i="9"/>
  <c r="AI155" i="9"/>
  <c r="AJ155" i="9"/>
  <c r="AH155" i="9"/>
  <c r="BP139" i="9"/>
  <c r="BO139" i="9"/>
  <c r="AK123" i="9"/>
  <c r="AI123" i="9"/>
  <c r="AJ123" i="9"/>
  <c r="AH123" i="9"/>
  <c r="AQ239" i="9"/>
  <c r="AM34" i="9"/>
  <c r="AQ321" i="9"/>
  <c r="AM321" i="9" s="1"/>
  <c r="AQ499" i="9"/>
  <c r="AQ454" i="9"/>
  <c r="AK102" i="9"/>
  <c r="AI102" i="9"/>
  <c r="AJ102" i="9"/>
  <c r="AH102" i="9"/>
  <c r="AK99" i="9"/>
  <c r="AI99" i="9"/>
  <c r="AJ99" i="9"/>
  <c r="AH99" i="9"/>
  <c r="AJ50" i="9"/>
  <c r="AH50" i="9"/>
  <c r="AK50" i="9"/>
  <c r="AI50" i="9"/>
  <c r="AK48" i="9"/>
  <c r="AI48" i="9"/>
  <c r="AJ48" i="9"/>
  <c r="AH48" i="9"/>
  <c r="CP254" i="9"/>
  <c r="CP66" i="9"/>
  <c r="CP65" i="9"/>
  <c r="CP62" i="9"/>
  <c r="CP60" i="9"/>
  <c r="CP71" i="9"/>
  <c r="CP58" i="9"/>
  <c r="CP61" i="9"/>
  <c r="CP69" i="9"/>
  <c r="CP253" i="9"/>
  <c r="CP243" i="9"/>
  <c r="CP57" i="9"/>
  <c r="CP59" i="9"/>
  <c r="CP63" i="9"/>
  <c r="CP64" i="9"/>
  <c r="CP67" i="9"/>
  <c r="CP68" i="9"/>
  <c r="CP70" i="9"/>
  <c r="CP244" i="9"/>
  <c r="CP38" i="9"/>
  <c r="CP456" i="9" s="1"/>
  <c r="CP497" i="9" s="1"/>
  <c r="CP140" i="9"/>
  <c r="CP146" i="9"/>
  <c r="CP85" i="9"/>
  <c r="CP455" i="9" s="1"/>
  <c r="CP72" i="9"/>
  <c r="CP460" i="9" s="1"/>
  <c r="CP501" i="9" s="1"/>
  <c r="AJ84" i="9"/>
  <c r="AH84" i="9"/>
  <c r="AK84" i="9"/>
  <c r="AI84" i="9"/>
  <c r="AJ76" i="9"/>
  <c r="AH76" i="9"/>
  <c r="AK76" i="9"/>
  <c r="AI76" i="9"/>
  <c r="BH26" i="9"/>
  <c r="BK26" i="9" s="1"/>
  <c r="BK5" i="9"/>
  <c r="AZ304" i="9"/>
  <c r="AG304" i="9"/>
  <c r="BF303" i="9"/>
  <c r="AY303" i="9"/>
  <c r="BD307" i="9"/>
  <c r="BE303" i="9"/>
  <c r="AK291" i="9"/>
  <c r="AI291" i="9"/>
  <c r="AJ291" i="9"/>
  <c r="AH291" i="9"/>
  <c r="AK281" i="9"/>
  <c r="AI281" i="9"/>
  <c r="AJ281" i="9"/>
  <c r="AH281" i="9"/>
  <c r="AK278" i="9"/>
  <c r="AI278" i="9"/>
  <c r="AJ278" i="9"/>
  <c r="AH278" i="9"/>
  <c r="AK272" i="9"/>
  <c r="AI272" i="9"/>
  <c r="AJ272" i="9"/>
  <c r="AH272" i="9"/>
  <c r="U470" i="9"/>
  <c r="U301" i="9"/>
  <c r="X241" i="9"/>
  <c r="V241" i="9"/>
  <c r="Y241" i="9"/>
  <c r="W241" i="9"/>
  <c r="CB301" i="9"/>
  <c r="DI241" i="9"/>
  <c r="AC241" i="9"/>
  <c r="AH237" i="9"/>
  <c r="AJ237" i="9"/>
  <c r="AK257" i="9"/>
  <c r="AI257" i="9"/>
  <c r="AJ257" i="9"/>
  <c r="AH257" i="9"/>
  <c r="AK249" i="9"/>
  <c r="AH249" i="9"/>
  <c r="AJ249" i="9"/>
  <c r="CC301" i="9"/>
  <c r="AJ171" i="9"/>
  <c r="AK171" i="9"/>
  <c r="AH171" i="9"/>
  <c r="AK195" i="9"/>
  <c r="AI195" i="9"/>
  <c r="AH195" i="9"/>
  <c r="AJ195" i="9"/>
  <c r="BK139" i="9"/>
  <c r="AK145" i="9"/>
  <c r="AI145" i="9"/>
  <c r="AJ145" i="9"/>
  <c r="AH145" i="9"/>
  <c r="AK129" i="9"/>
  <c r="AI129" i="9"/>
  <c r="AJ129" i="9"/>
  <c r="AH129" i="9"/>
  <c r="AK208" i="9"/>
  <c r="AI208" i="9"/>
  <c r="AJ208" i="9"/>
  <c r="AH208" i="9"/>
  <c r="AK189" i="9"/>
  <c r="AI189" i="9"/>
  <c r="AH189" i="9"/>
  <c r="AJ189" i="9"/>
  <c r="AK92" i="9"/>
  <c r="AI92" i="9"/>
  <c r="AJ92" i="9"/>
  <c r="AH92" i="9"/>
  <c r="AK70" i="9"/>
  <c r="AI70" i="9"/>
  <c r="AJ70" i="9"/>
  <c r="AH70" i="9"/>
  <c r="AK58" i="9"/>
  <c r="AI58" i="9"/>
  <c r="AJ58" i="9"/>
  <c r="AH58" i="9"/>
  <c r="AJ41" i="9"/>
  <c r="AH41" i="9"/>
  <c r="AK41" i="9"/>
  <c r="AI41" i="9"/>
  <c r="AK23" i="9"/>
  <c r="AI23" i="9"/>
  <c r="AJ23" i="9"/>
  <c r="AH23" i="9"/>
  <c r="AJ17" i="9"/>
  <c r="AK17" i="9"/>
  <c r="AH17" i="9"/>
  <c r="AK116" i="9"/>
  <c r="AI116" i="9"/>
  <c r="AJ116" i="9"/>
  <c r="AH116" i="9"/>
  <c r="BQ504" i="9"/>
  <c r="BQ507" i="9" s="1"/>
  <c r="BQ512" i="9" s="1"/>
  <c r="BQ518" i="9"/>
  <c r="AJ62" i="9"/>
  <c r="AH62" i="9"/>
  <c r="AK62" i="9"/>
  <c r="AI62" i="9"/>
  <c r="AK55" i="9"/>
  <c r="AI55" i="9"/>
  <c r="AJ55" i="9"/>
  <c r="AH55" i="9"/>
  <c r="AK52" i="9"/>
  <c r="AI52" i="9"/>
  <c r="AJ52" i="9"/>
  <c r="AH52" i="9"/>
  <c r="CB321" i="9"/>
  <c r="DI321" i="9" s="1"/>
  <c r="CB31" i="9"/>
  <c r="DI28" i="9"/>
  <c r="CC28" i="9"/>
  <c r="AJ30" i="9"/>
  <c r="AH30" i="9"/>
  <c r="AK30" i="9"/>
  <c r="AI30" i="9"/>
  <c r="AH318" i="9"/>
  <c r="AJ318" i="9"/>
  <c r="AJ286" i="9"/>
  <c r="AH286" i="9"/>
  <c r="AK286" i="9"/>
  <c r="AI286" i="9"/>
  <c r="AH274" i="9"/>
  <c r="AJ274" i="9"/>
  <c r="AH254" i="9"/>
  <c r="AJ254" i="9"/>
  <c r="AJ232" i="9"/>
  <c r="AH232" i="9"/>
  <c r="AK232" i="9"/>
  <c r="AI232" i="9"/>
  <c r="AK256" i="9"/>
  <c r="AH256" i="9"/>
  <c r="AJ256" i="9"/>
  <c r="AJ250" i="9"/>
  <c r="AH250" i="9"/>
  <c r="AK225" i="9"/>
  <c r="AI225" i="9"/>
  <c r="AJ225" i="9"/>
  <c r="AH225" i="9"/>
  <c r="AK221" i="9"/>
  <c r="AI221" i="9"/>
  <c r="AJ221" i="9"/>
  <c r="AH221" i="9"/>
  <c r="AK214" i="9"/>
  <c r="AI214" i="9"/>
  <c r="AJ214" i="9"/>
  <c r="AH214" i="9"/>
  <c r="AK186" i="9"/>
  <c r="AI186" i="9"/>
  <c r="AJ186" i="9"/>
  <c r="AH186" i="9"/>
  <c r="AK128" i="9"/>
  <c r="AI128" i="9"/>
  <c r="AJ128" i="9"/>
  <c r="AH128" i="9"/>
  <c r="AK178" i="9"/>
  <c r="AI178" i="9"/>
  <c r="AJ178" i="9"/>
  <c r="AH178" i="9"/>
  <c r="AK172" i="9"/>
  <c r="AI172" i="9"/>
  <c r="AH172" i="9"/>
  <c r="AJ172" i="9"/>
  <c r="AK105" i="9"/>
  <c r="AI105" i="9"/>
  <c r="AJ105" i="9"/>
  <c r="AH105" i="9"/>
  <c r="AK91" i="9"/>
  <c r="AI91" i="9"/>
  <c r="AJ91" i="9"/>
  <c r="AH91" i="9"/>
  <c r="AJ77" i="9"/>
  <c r="AH77" i="9"/>
  <c r="AK77" i="9"/>
  <c r="AI77" i="9"/>
  <c r="AJ46" i="9"/>
  <c r="AH46" i="9"/>
  <c r="AK46" i="9"/>
  <c r="AI46" i="9"/>
  <c r="AU310" i="9"/>
  <c r="BB309" i="9"/>
  <c r="BE309" i="9" s="1"/>
  <c r="BB518" i="9"/>
  <c r="AJ22" i="9"/>
  <c r="AK22" i="9"/>
  <c r="AH22" i="9"/>
  <c r="AJ14" i="9"/>
  <c r="AK14" i="9"/>
  <c r="AH14" i="9"/>
  <c r="CQ318" i="9"/>
  <c r="CQ312" i="9"/>
  <c r="CQ473" i="9" s="1"/>
  <c r="CQ514" i="9" s="1"/>
  <c r="CQ316" i="9"/>
  <c r="CQ313" i="9"/>
  <c r="CQ472" i="9" s="1"/>
  <c r="CQ513" i="9" s="1"/>
  <c r="CQ285" i="9"/>
  <c r="CQ281" i="9"/>
  <c r="CQ279" i="9"/>
  <c r="CQ278" i="9"/>
  <c r="CQ272" i="9"/>
  <c r="CQ436" i="9" s="1"/>
  <c r="CQ265" i="9"/>
  <c r="CQ214" i="9"/>
  <c r="CQ204" i="9"/>
  <c r="CQ180" i="9"/>
  <c r="CQ169" i="9"/>
  <c r="CQ161" i="9"/>
  <c r="CQ206" i="9"/>
  <c r="CQ203" i="9"/>
  <c r="CQ200" i="9"/>
  <c r="CQ192" i="9"/>
  <c r="CQ187" i="9"/>
  <c r="CQ179" i="9"/>
  <c r="CQ174" i="9"/>
  <c r="CQ165" i="9"/>
  <c r="CQ163" i="9"/>
  <c r="CQ129" i="9"/>
  <c r="CQ128" i="9"/>
  <c r="CQ102" i="9"/>
  <c r="CQ101" i="9"/>
  <c r="CQ99" i="9"/>
  <c r="CQ41" i="9"/>
  <c r="CQ46" i="9"/>
  <c r="CQ55" i="9"/>
  <c r="CQ75" i="9"/>
  <c r="CQ89" i="9"/>
  <c r="CQ105" i="9"/>
  <c r="CQ40" i="9"/>
  <c r="CQ92" i="9"/>
  <c r="CQ95" i="9"/>
  <c r="CQ103" i="9"/>
  <c r="CQ20" i="9"/>
  <c r="CQ44" i="9"/>
  <c r="CQ49" i="9"/>
  <c r="CQ50" i="9"/>
  <c r="CQ96" i="9"/>
  <c r="CQ107" i="9"/>
  <c r="CQ123" i="9"/>
  <c r="CQ126" i="9"/>
  <c r="CQ136" i="9"/>
  <c r="CQ145" i="9"/>
  <c r="CQ154" i="9"/>
  <c r="CQ39" i="9"/>
  <c r="CQ119" i="9"/>
  <c r="CQ131" i="9"/>
  <c r="CQ141" i="9"/>
  <c r="CQ144" i="9"/>
  <c r="CQ153" i="9"/>
  <c r="CQ156" i="9"/>
  <c r="CQ157" i="9"/>
  <c r="CQ158" i="9"/>
  <c r="CQ172" i="9"/>
  <c r="CQ176" i="9"/>
  <c r="CQ184" i="9"/>
  <c r="CQ162" i="9"/>
  <c r="CQ164" i="9"/>
  <c r="CQ168" i="9"/>
  <c r="CQ178" i="9"/>
  <c r="CQ181" i="9"/>
  <c r="CQ185" i="9"/>
  <c r="CQ191" i="9"/>
  <c r="CQ194" i="9"/>
  <c r="CQ196" i="9"/>
  <c r="CQ197" i="9"/>
  <c r="CQ199" i="9"/>
  <c r="CQ208" i="9"/>
  <c r="CQ209" i="9"/>
  <c r="CQ211" i="9"/>
  <c r="CQ218" i="9"/>
  <c r="CQ221" i="9"/>
  <c r="CQ235" i="9"/>
  <c r="CQ227" i="9"/>
  <c r="CQ234" i="9"/>
  <c r="CQ246" i="9"/>
  <c r="CQ255" i="9"/>
  <c r="CQ220" i="9"/>
  <c r="CQ231" i="9"/>
  <c r="CQ232" i="9"/>
  <c r="CQ245" i="9"/>
  <c r="CQ258" i="9"/>
  <c r="CQ282" i="9"/>
  <c r="CQ284" i="9"/>
  <c r="CQ287" i="9"/>
  <c r="CQ289" i="9"/>
  <c r="CQ261" i="9"/>
  <c r="CQ263" i="9"/>
  <c r="CQ276" i="9"/>
  <c r="CQ260" i="9"/>
  <c r="CQ266" i="9"/>
  <c r="CQ270" i="9"/>
  <c r="CQ299" i="9"/>
  <c r="CQ295" i="9"/>
  <c r="CQ297" i="9"/>
  <c r="CQ294" i="9"/>
  <c r="CQ314" i="9"/>
  <c r="CQ48" i="9"/>
  <c r="CQ52" i="9"/>
  <c r="CQ457" i="9" s="1"/>
  <c r="CQ498" i="9" s="1"/>
  <c r="CQ82" i="9"/>
  <c r="CQ88" i="9"/>
  <c r="CQ98" i="9"/>
  <c r="CQ109" i="9"/>
  <c r="CQ111" i="9"/>
  <c r="CQ118" i="9"/>
  <c r="CQ42" i="9"/>
  <c r="CQ43" i="9"/>
  <c r="CQ51" i="9"/>
  <c r="CQ54" i="9"/>
  <c r="CQ81" i="9"/>
  <c r="CQ86" i="9"/>
  <c r="CQ91" i="9"/>
  <c r="CQ112" i="9"/>
  <c r="CQ37" i="9"/>
  <c r="CQ45" i="9"/>
  <c r="CQ47" i="9"/>
  <c r="CQ53" i="9"/>
  <c r="CQ90" i="9"/>
  <c r="CQ93" i="9"/>
  <c r="CQ94" i="9"/>
  <c r="CQ97" i="9"/>
  <c r="CQ104" i="9"/>
  <c r="CQ106" i="9"/>
  <c r="CQ108" i="9"/>
  <c r="CQ110" i="9"/>
  <c r="CQ120" i="9"/>
  <c r="CQ121" i="9"/>
  <c r="CQ127" i="9"/>
  <c r="CQ143" i="9"/>
  <c r="CQ36" i="9"/>
  <c r="CQ35" i="9" s="1"/>
  <c r="CQ87" i="9"/>
  <c r="CQ124" i="9"/>
  <c r="CQ125" i="9"/>
  <c r="CQ130" i="9"/>
  <c r="CQ137" i="9"/>
  <c r="CQ152" i="9"/>
  <c r="CQ122" i="9"/>
  <c r="CQ132" i="9"/>
  <c r="CQ142" i="9"/>
  <c r="CQ166" i="9"/>
  <c r="CQ167" i="9"/>
  <c r="CQ173" i="9"/>
  <c r="CQ175" i="9"/>
  <c r="CQ182" i="9"/>
  <c r="CQ189" i="9"/>
  <c r="CQ193" i="9"/>
  <c r="CQ195" i="9"/>
  <c r="CQ202" i="9"/>
  <c r="CQ205" i="9"/>
  <c r="CQ217" i="9"/>
  <c r="CQ155" i="9"/>
  <c r="CQ159" i="9"/>
  <c r="CQ171" i="9"/>
  <c r="CQ183" i="9"/>
  <c r="CQ186" i="9"/>
  <c r="CQ188" i="9"/>
  <c r="CQ190" i="9"/>
  <c r="CQ198" i="9"/>
  <c r="CQ201" i="9"/>
  <c r="CQ207" i="9"/>
  <c r="CQ212" i="9"/>
  <c r="CQ215" i="9"/>
  <c r="CQ219" i="9"/>
  <c r="CQ223" i="9"/>
  <c r="CQ226" i="9"/>
  <c r="CQ222" i="9"/>
  <c r="CQ229" i="9"/>
  <c r="CQ233" i="9"/>
  <c r="CQ224" i="9"/>
  <c r="CQ225" i="9"/>
  <c r="CQ228" i="9"/>
  <c r="CQ236" i="9"/>
  <c r="CQ237" i="9"/>
  <c r="CQ267" i="9"/>
  <c r="CQ269" i="9"/>
  <c r="CQ271" i="9"/>
  <c r="CQ283" i="9"/>
  <c r="CQ288" i="9"/>
  <c r="CQ290" i="9"/>
  <c r="CQ291" i="9"/>
  <c r="CQ259" i="9"/>
  <c r="CQ264" i="9"/>
  <c r="CQ275" i="9"/>
  <c r="CQ286" i="9"/>
  <c r="CQ262" i="9"/>
  <c r="CQ273" i="9"/>
  <c r="CQ293" i="9"/>
  <c r="CQ306" i="9"/>
  <c r="CQ292" i="9"/>
  <c r="CQ296" i="9"/>
  <c r="CQ315" i="9"/>
  <c r="CQ78" i="9"/>
  <c r="CQ298" i="9"/>
  <c r="CQ268" i="9"/>
  <c r="CQ216" i="9"/>
  <c r="CQ100" i="9"/>
  <c r="CQ257" i="9"/>
  <c r="CQ177" i="9"/>
  <c r="AK7" i="9"/>
  <c r="AI7" i="9"/>
  <c r="AJ7" i="9"/>
  <c r="AH7" i="9"/>
  <c r="AK88" i="9"/>
  <c r="AI88" i="9"/>
  <c r="AJ88" i="9"/>
  <c r="AH88" i="9"/>
  <c r="AJ57" i="9"/>
  <c r="AH57" i="9"/>
  <c r="AK57" i="9"/>
  <c r="AI57" i="9"/>
  <c r="AJ24" i="9"/>
  <c r="AH24" i="9"/>
  <c r="DH307" i="9"/>
  <c r="CA323" i="9"/>
  <c r="DH323" i="9" s="1"/>
  <c r="CB325" i="9"/>
  <c r="DI325" i="9" s="1"/>
  <c r="CB26" i="9"/>
  <c r="CC5" i="9"/>
  <c r="AG56" i="9"/>
  <c r="BA56" i="9"/>
  <c r="AZ56" i="9"/>
  <c r="BH321" i="9"/>
  <c r="BH31" i="9"/>
  <c r="BK31" i="9" s="1"/>
  <c r="BK28" i="9"/>
  <c r="AJ312" i="9"/>
  <c r="AK312" i="9"/>
  <c r="AH312" i="9"/>
  <c r="AK284" i="9"/>
  <c r="AI284" i="9"/>
  <c r="AJ284" i="9"/>
  <c r="AH284" i="9"/>
  <c r="AH275" i="9"/>
  <c r="AJ275" i="9"/>
  <c r="AJ316" i="9"/>
  <c r="AH316" i="9"/>
  <c r="AH305" i="9"/>
  <c r="AJ305" i="9"/>
  <c r="AK298" i="9"/>
  <c r="AI298" i="9"/>
  <c r="AJ298" i="9"/>
  <c r="AH298" i="9"/>
  <c r="AK289" i="9"/>
  <c r="AI289" i="9"/>
  <c r="AJ289" i="9"/>
  <c r="AH289" i="9"/>
  <c r="AJ271" i="9"/>
  <c r="AH271" i="9"/>
  <c r="AK271" i="9"/>
  <c r="AI271" i="9"/>
  <c r="AH263" i="9"/>
  <c r="AJ263" i="9"/>
  <c r="AJ258" i="9"/>
  <c r="AH258" i="9"/>
  <c r="AK258" i="9"/>
  <c r="AI258" i="9"/>
  <c r="AJ255" i="9"/>
  <c r="AH255" i="9"/>
  <c r="AK255" i="9"/>
  <c r="AI255" i="9"/>
  <c r="AH251" i="9"/>
  <c r="AJ251" i="9"/>
  <c r="BN301" i="9"/>
  <c r="BP241" i="9"/>
  <c r="BO241" i="9"/>
  <c r="AK259" i="9"/>
  <c r="AH259" i="9"/>
  <c r="AJ259" i="9"/>
  <c r="BG317" i="9"/>
  <c r="BJ317" i="9" s="1"/>
  <c r="AO317" i="9"/>
  <c r="AP317" i="9"/>
  <c r="AS495" i="9"/>
  <c r="AS494" i="9" s="1"/>
  <c r="AS453" i="9"/>
  <c r="AJ192" i="9"/>
  <c r="AH192" i="9"/>
  <c r="AK166" i="9"/>
  <c r="AI166" i="9"/>
  <c r="AH166" i="9"/>
  <c r="AJ166" i="9"/>
  <c r="AK148" i="9"/>
  <c r="AI148" i="9"/>
  <c r="AJ148" i="9"/>
  <c r="AH148" i="9"/>
  <c r="AG146" i="9"/>
  <c r="BA146" i="9"/>
  <c r="AZ146" i="9"/>
  <c r="U458" i="9"/>
  <c r="U499" i="9" s="1"/>
  <c r="X139" i="9"/>
  <c r="V139" i="9"/>
  <c r="Y139" i="9"/>
  <c r="W139" i="9"/>
  <c r="AK143" i="9"/>
  <c r="AI143" i="9"/>
  <c r="AJ143" i="9"/>
  <c r="AH143" i="9"/>
  <c r="AK127" i="9"/>
  <c r="AI127" i="9"/>
  <c r="AJ127" i="9"/>
  <c r="AH127" i="9"/>
  <c r="AK210" i="9"/>
  <c r="AI210" i="9"/>
  <c r="AH210" i="9"/>
  <c r="AJ210" i="9"/>
  <c r="AK182" i="9"/>
  <c r="AI182" i="9"/>
  <c r="AJ182" i="9"/>
  <c r="AH182" i="9"/>
  <c r="AK95" i="9"/>
  <c r="AI95" i="9"/>
  <c r="AJ95" i="9"/>
  <c r="AH95" i="9"/>
  <c r="AJ78" i="9"/>
  <c r="AH78" i="9"/>
  <c r="AK78" i="9"/>
  <c r="AI78" i="9"/>
  <c r="AK74" i="9"/>
  <c r="AI74" i="9"/>
  <c r="AJ74" i="9"/>
  <c r="AH74" i="9"/>
  <c r="AK68" i="9"/>
  <c r="AI68" i="9"/>
  <c r="AJ68" i="9"/>
  <c r="AH68" i="9"/>
  <c r="AK43" i="9"/>
  <c r="AI43" i="9"/>
  <c r="AJ43" i="9"/>
  <c r="AH43" i="9"/>
  <c r="BD239" i="9"/>
  <c r="BE34" i="9"/>
  <c r="AY34" i="9"/>
  <c r="AG34" i="9" s="1"/>
  <c r="BF34" i="9"/>
  <c r="BL319" i="9"/>
  <c r="BL323" i="9" s="1"/>
  <c r="BL325" i="9"/>
  <c r="AG9" i="9"/>
  <c r="BA9" i="9"/>
  <c r="AZ9" i="9"/>
  <c r="CR316" i="9"/>
  <c r="CR313" i="9"/>
  <c r="CR472" i="9" s="1"/>
  <c r="CR513" i="9" s="1"/>
  <c r="CR318" i="9"/>
  <c r="CR314" i="9"/>
  <c r="CR312" i="9"/>
  <c r="CR473" i="9" s="1"/>
  <c r="CR514" i="9" s="1"/>
  <c r="CR306" i="9"/>
  <c r="CR291" i="9"/>
  <c r="CR290" i="9"/>
  <c r="CR289" i="9"/>
  <c r="CR288" i="9"/>
  <c r="CR287" i="9"/>
  <c r="CR284" i="9"/>
  <c r="CR283" i="9"/>
  <c r="CR275" i="9"/>
  <c r="CR269" i="9"/>
  <c r="CR264" i="9"/>
  <c r="CR263" i="9"/>
  <c r="CR259" i="9"/>
  <c r="CR211" i="9"/>
  <c r="CR201" i="9"/>
  <c r="CR195" i="9"/>
  <c r="CR186" i="9"/>
  <c r="CR184" i="9"/>
  <c r="CR181" i="9"/>
  <c r="CR176" i="9"/>
  <c r="CR173" i="9"/>
  <c r="CR167" i="9"/>
  <c r="CR166" i="9"/>
  <c r="CR164" i="9"/>
  <c r="CR158" i="9"/>
  <c r="CR156" i="9"/>
  <c r="CR215" i="9"/>
  <c r="CR209" i="9"/>
  <c r="CR208" i="9"/>
  <c r="CR191" i="9"/>
  <c r="CR189" i="9"/>
  <c r="CR183" i="9"/>
  <c r="CR182" i="9"/>
  <c r="CR178" i="9"/>
  <c r="CR172" i="9"/>
  <c r="CR157" i="9"/>
  <c r="CR154" i="9"/>
  <c r="CR145" i="9"/>
  <c r="CR143" i="9"/>
  <c r="CR130" i="9"/>
  <c r="CR127" i="9"/>
  <c r="CR126" i="9"/>
  <c r="CR125" i="9"/>
  <c r="CR123" i="9"/>
  <c r="CR120" i="9"/>
  <c r="CR81" i="9"/>
  <c r="CR121" i="9"/>
  <c r="CR111" i="9"/>
  <c r="CR109" i="9"/>
  <c r="CR105" i="9"/>
  <c r="CR103" i="9"/>
  <c r="CR95" i="9"/>
  <c r="CR92" i="9"/>
  <c r="CR43" i="9"/>
  <c r="CR47" i="9"/>
  <c r="CR49" i="9"/>
  <c r="CR53" i="9"/>
  <c r="CR90" i="9"/>
  <c r="CR93" i="9"/>
  <c r="CR96" i="9"/>
  <c r="CR106" i="9"/>
  <c r="CR45" i="9"/>
  <c r="CR107" i="9"/>
  <c r="CR110" i="9"/>
  <c r="CR39" i="9"/>
  <c r="CR41" i="9"/>
  <c r="CR46" i="9"/>
  <c r="CR55" i="9"/>
  <c r="CR87" i="9"/>
  <c r="CR89" i="9"/>
  <c r="CR118" i="9"/>
  <c r="CR91" i="9"/>
  <c r="CR119" i="9"/>
  <c r="CR128" i="9"/>
  <c r="CR142" i="9"/>
  <c r="CR153" i="9"/>
  <c r="CR124" i="9"/>
  <c r="CR136" i="9"/>
  <c r="CR137" i="9"/>
  <c r="CR175" i="9"/>
  <c r="CR185" i="9"/>
  <c r="CR193" i="9"/>
  <c r="CR197" i="9"/>
  <c r="CR198" i="9"/>
  <c r="CR200" i="9"/>
  <c r="CR202" i="9"/>
  <c r="CR207" i="9"/>
  <c r="CR217" i="9"/>
  <c r="CR163" i="9"/>
  <c r="CR165" i="9"/>
  <c r="CR192" i="9"/>
  <c r="CR199" i="9"/>
  <c r="CR206" i="9"/>
  <c r="CR212" i="9"/>
  <c r="CR214" i="9"/>
  <c r="CR218" i="9"/>
  <c r="CR219" i="9"/>
  <c r="CR220" i="9"/>
  <c r="CR236" i="9"/>
  <c r="CR222" i="9"/>
  <c r="CR223" i="9"/>
  <c r="CR226" i="9"/>
  <c r="CR227" i="9"/>
  <c r="CR246" i="9"/>
  <c r="CR255" i="9"/>
  <c r="CR258" i="9"/>
  <c r="CR265" i="9"/>
  <c r="CR270" i="9"/>
  <c r="CR273" i="9"/>
  <c r="CR281" i="9"/>
  <c r="CR261" i="9"/>
  <c r="CR271" i="9"/>
  <c r="CR294" i="9"/>
  <c r="CR295" i="9"/>
  <c r="CR44" i="9"/>
  <c r="CR50" i="9"/>
  <c r="CR98" i="9"/>
  <c r="CR99" i="9"/>
  <c r="CR101" i="9"/>
  <c r="CR104" i="9"/>
  <c r="CR36" i="9"/>
  <c r="CR35" i="9" s="1"/>
  <c r="CR37" i="9"/>
  <c r="CR94" i="9"/>
  <c r="CR97" i="9"/>
  <c r="CR102" i="9"/>
  <c r="CR108" i="9"/>
  <c r="CR40" i="9"/>
  <c r="CR42" i="9"/>
  <c r="CR48" i="9"/>
  <c r="CR51" i="9"/>
  <c r="CR54" i="9"/>
  <c r="CR75" i="9"/>
  <c r="CR82" i="9"/>
  <c r="CR86" i="9"/>
  <c r="CR88" i="9"/>
  <c r="CR112" i="9"/>
  <c r="CR122" i="9"/>
  <c r="CR131" i="9"/>
  <c r="CR144" i="9"/>
  <c r="CR20" i="9"/>
  <c r="CR52" i="9"/>
  <c r="CR457" i="9" s="1"/>
  <c r="CR498" i="9" s="1"/>
  <c r="CR129" i="9"/>
  <c r="CR132" i="9"/>
  <c r="CR152" i="9"/>
  <c r="CR159" i="9"/>
  <c r="CR162" i="9"/>
  <c r="CR168" i="9"/>
  <c r="CR180" i="9"/>
  <c r="CR188" i="9"/>
  <c r="CR190" i="9"/>
  <c r="CR194" i="9"/>
  <c r="CR204" i="9"/>
  <c r="CR205" i="9"/>
  <c r="CR141" i="9"/>
  <c r="CR155" i="9"/>
  <c r="CR161" i="9"/>
  <c r="CR169" i="9"/>
  <c r="CR171" i="9"/>
  <c r="CR174" i="9"/>
  <c r="CR179" i="9"/>
  <c r="CR187" i="9"/>
  <c r="CR196" i="9"/>
  <c r="CR203" i="9"/>
  <c r="CR224" i="9"/>
  <c r="CR225" i="9"/>
  <c r="CR232" i="9"/>
  <c r="CR237" i="9"/>
  <c r="CR245" i="9"/>
  <c r="CR228" i="9"/>
  <c r="CR231" i="9"/>
  <c r="CR221" i="9"/>
  <c r="CR229" i="9"/>
  <c r="CR233" i="9"/>
  <c r="CR234" i="9"/>
  <c r="CR235" i="9"/>
  <c r="CR262" i="9"/>
  <c r="CR278" i="9"/>
  <c r="CR285" i="9"/>
  <c r="CR260" i="9"/>
  <c r="CR266" i="9"/>
  <c r="CR279" i="9"/>
  <c r="CR267" i="9"/>
  <c r="CR276" i="9"/>
  <c r="CR282" i="9"/>
  <c r="CR286" i="9"/>
  <c r="CR293" i="9"/>
  <c r="CR272" i="9"/>
  <c r="CR436" i="9" s="1"/>
  <c r="CR292" i="9"/>
  <c r="CR296" i="9"/>
  <c r="CR297" i="9"/>
  <c r="CR299" i="9"/>
  <c r="CR315" i="9"/>
  <c r="CR177" i="9"/>
  <c r="CR257" i="9"/>
  <c r="CR78" i="9"/>
  <c r="CR298" i="9"/>
  <c r="CR268" i="9"/>
  <c r="CR216" i="9"/>
  <c r="CR100" i="9"/>
  <c r="AL239" i="9"/>
  <c r="CC34" i="9"/>
  <c r="AL325" i="9"/>
  <c r="AL321" i="9"/>
  <c r="CC321" i="9" s="1"/>
  <c r="BC239" i="9"/>
  <c r="AV34" i="9"/>
  <c r="BC321" i="9"/>
  <c r="AV321" i="9" s="1"/>
  <c r="AZ85" i="9"/>
  <c r="AG85" i="9"/>
  <c r="BA85" i="9"/>
  <c r="AJ65" i="9"/>
  <c r="AH65" i="9"/>
  <c r="AK65" i="9"/>
  <c r="AI65" i="9"/>
  <c r="BN239" i="9"/>
  <c r="BO34" i="9"/>
  <c r="BP34" i="9"/>
  <c r="AK16" i="9"/>
  <c r="AH16" i="9"/>
  <c r="AJ16" i="9"/>
  <c r="AK313" i="9"/>
  <c r="AH313" i="9"/>
  <c r="AJ313" i="9"/>
  <c r="BP303" i="9"/>
  <c r="BN307" i="9"/>
  <c r="BO303" i="9"/>
  <c r="BO310" i="9"/>
  <c r="AK292" i="9"/>
  <c r="AI292" i="9"/>
  <c r="AJ292" i="9"/>
  <c r="AH292" i="9"/>
  <c r="AK283" i="9"/>
  <c r="AI283" i="9"/>
  <c r="AJ283" i="9"/>
  <c r="AH283" i="9"/>
  <c r="AH279" i="9"/>
  <c r="AJ279" i="9"/>
  <c r="AK285" i="9"/>
  <c r="AI285" i="9"/>
  <c r="AJ285" i="9"/>
  <c r="AH285" i="9"/>
  <c r="AJ248" i="9"/>
  <c r="AK248" i="9"/>
  <c r="AH248" i="9"/>
  <c r="AK234" i="9"/>
  <c r="AI234" i="9"/>
  <c r="AJ234" i="9"/>
  <c r="AH234" i="9"/>
  <c r="AK222" i="9"/>
  <c r="AI222" i="9"/>
  <c r="AJ222" i="9"/>
  <c r="AH222" i="9"/>
  <c r="AK220" i="9"/>
  <c r="AI220" i="9"/>
  <c r="AH220" i="9"/>
  <c r="AJ220" i="9"/>
  <c r="AH173" i="9"/>
  <c r="AJ173" i="9"/>
  <c r="AK204" i="9"/>
  <c r="AI204" i="9"/>
  <c r="AJ204" i="9"/>
  <c r="AH204" i="9"/>
  <c r="P328" i="9"/>
  <c r="P239" i="9"/>
  <c r="Q34" i="9"/>
  <c r="R34" i="9"/>
  <c r="P366" i="9"/>
  <c r="P381" i="9" s="1"/>
  <c r="P329" i="9"/>
  <c r="P325" i="9"/>
  <c r="P321" i="9"/>
  <c r="P327" i="9"/>
  <c r="P308" i="9"/>
  <c r="P337" i="9"/>
  <c r="P32" i="9"/>
  <c r="AK158" i="9"/>
  <c r="AI158" i="9"/>
  <c r="AH158" i="9"/>
  <c r="AJ158" i="9"/>
  <c r="AK215" i="9"/>
  <c r="AI215" i="9"/>
  <c r="AJ215" i="9"/>
  <c r="AH215" i="9"/>
  <c r="BG139" i="9"/>
  <c r="BJ139" i="9" s="1"/>
  <c r="AO139" i="9"/>
  <c r="AP139" i="9"/>
  <c r="AK157" i="9"/>
  <c r="AI157" i="9"/>
  <c r="AH157" i="9"/>
  <c r="AJ157" i="9"/>
  <c r="AK109" i="9"/>
  <c r="AI109" i="9"/>
  <c r="AJ109" i="9"/>
  <c r="AH109" i="9"/>
  <c r="AK69" i="9"/>
  <c r="AI69" i="9"/>
  <c r="AJ69" i="9"/>
  <c r="AH69" i="9"/>
  <c r="AJ53" i="9"/>
  <c r="AH53" i="9"/>
  <c r="AK53" i="9"/>
  <c r="AI53" i="9"/>
  <c r="AJ42" i="9"/>
  <c r="AH42" i="9"/>
  <c r="AK42" i="9"/>
  <c r="AI42" i="9"/>
  <c r="AH18" i="9"/>
  <c r="AJ18" i="9"/>
  <c r="AG13" i="9"/>
  <c r="AZ13" i="9"/>
  <c r="BA13" i="9"/>
  <c r="AK12" i="9"/>
  <c r="AI12" i="9"/>
  <c r="AJ12" i="9"/>
  <c r="AH12" i="9"/>
  <c r="CW8" i="9"/>
  <c r="CW6" i="9" s="1"/>
  <c r="CP230" i="9"/>
  <c r="CP459" i="9"/>
  <c r="CP500" i="9" s="1"/>
  <c r="CP435" i="9"/>
  <c r="CP437" i="9" s="1"/>
  <c r="CP13" i="9"/>
  <c r="CU6" i="9"/>
  <c r="CP170" i="9"/>
  <c r="AJ150" i="9"/>
  <c r="AH150" i="9"/>
  <c r="AK150" i="9"/>
  <c r="AI150" i="9"/>
  <c r="AK118" i="9"/>
  <c r="AI118" i="9"/>
  <c r="AJ118" i="9"/>
  <c r="AH118" i="9"/>
  <c r="AK101" i="9"/>
  <c r="AI101" i="9"/>
  <c r="AJ101" i="9"/>
  <c r="AH101" i="9"/>
  <c r="AK80" i="9"/>
  <c r="AI80" i="9"/>
  <c r="AJ80" i="9"/>
  <c r="AH80" i="9"/>
  <c r="AK75" i="9"/>
  <c r="AI75" i="9"/>
  <c r="AJ75" i="9"/>
  <c r="AH75" i="9"/>
  <c r="AJ66" i="9"/>
  <c r="AH66" i="9"/>
  <c r="AK66" i="9"/>
  <c r="AI66" i="9"/>
  <c r="AJ37" i="9"/>
  <c r="AH37" i="9"/>
  <c r="U496" i="9"/>
  <c r="U454" i="9"/>
  <c r="AK287" i="9"/>
  <c r="AI287" i="9"/>
  <c r="AJ287" i="9"/>
  <c r="AH287" i="9"/>
  <c r="AK265" i="9"/>
  <c r="AI265" i="9"/>
  <c r="AJ265" i="9"/>
  <c r="AH265" i="9"/>
  <c r="AJ270" i="9"/>
  <c r="AH270" i="9"/>
  <c r="AJ260" i="9"/>
  <c r="AH260" i="9"/>
  <c r="AK253" i="9"/>
  <c r="AI253" i="9"/>
  <c r="AJ253" i="9"/>
  <c r="AH253" i="9"/>
  <c r="AX317" i="9"/>
  <c r="AW317" i="9"/>
  <c r="AD241" i="9"/>
  <c r="AJ231" i="9"/>
  <c r="AH231" i="9"/>
  <c r="AK231" i="9"/>
  <c r="AI231" i="9"/>
  <c r="AK229" i="9"/>
  <c r="AI229" i="9"/>
  <c r="AJ229" i="9"/>
  <c r="AH229" i="9"/>
  <c r="AK227" i="9"/>
  <c r="AI227" i="9"/>
  <c r="AJ227" i="9"/>
  <c r="AH227" i="9"/>
  <c r="CC241" i="9"/>
  <c r="AS474" i="9"/>
  <c r="AS515" i="9" s="1"/>
  <c r="AS310" i="9"/>
  <c r="AS309" i="9" s="1"/>
  <c r="AJ175" i="9"/>
  <c r="AH175" i="9"/>
  <c r="AK164" i="9"/>
  <c r="AI164" i="9"/>
  <c r="AJ164" i="9"/>
  <c r="AH164" i="9"/>
  <c r="BI239" i="9"/>
  <c r="BK34" i="9"/>
  <c r="DD31" i="9"/>
  <c r="BI325" i="9"/>
  <c r="BI321" i="9"/>
  <c r="AK154" i="9"/>
  <c r="AI154" i="9"/>
  <c r="AJ154" i="9"/>
  <c r="AH154" i="9"/>
  <c r="AJ136" i="9"/>
  <c r="AH136" i="9"/>
  <c r="AK136" i="9"/>
  <c r="AI136" i="9"/>
  <c r="AJ124" i="9"/>
  <c r="AH124" i="9"/>
  <c r="AK124" i="9"/>
  <c r="AI124" i="9"/>
  <c r="AK200" i="9"/>
  <c r="AI200" i="9"/>
  <c r="AJ200" i="9"/>
  <c r="AH200" i="9"/>
  <c r="AK135" i="9"/>
  <c r="AH135" i="9"/>
  <c r="AJ135" i="9"/>
  <c r="AK111" i="9"/>
  <c r="AI111" i="9"/>
  <c r="AJ111" i="9"/>
  <c r="AH111" i="9"/>
  <c r="AG38" i="9"/>
  <c r="BA38" i="9"/>
  <c r="AZ38" i="9"/>
  <c r="O239" i="9"/>
  <c r="O323" i="9" s="1"/>
  <c r="O337" i="9"/>
  <c r="O308" i="9"/>
  <c r="O321" i="9"/>
  <c r="O325" i="9"/>
  <c r="AK36" i="9"/>
  <c r="AI36" i="9"/>
  <c r="AJ36" i="9"/>
  <c r="AH36" i="9"/>
  <c r="O32" i="9"/>
  <c r="AE160" i="9"/>
  <c r="AC160" i="9"/>
  <c r="AA160" i="9"/>
  <c r="AD160" i="9"/>
  <c r="AF160" i="9"/>
  <c r="AB160" i="9"/>
  <c r="AK121" i="9"/>
  <c r="AI121" i="9"/>
  <c r="AJ121" i="9"/>
  <c r="AH121" i="9"/>
  <c r="AK100" i="9"/>
  <c r="AI100" i="9"/>
  <c r="AJ100" i="9"/>
  <c r="AH100" i="9"/>
  <c r="BQ463" i="9"/>
  <c r="BQ466" i="9" s="1"/>
  <c r="BQ471" i="9" s="1"/>
  <c r="BQ477" i="9"/>
  <c r="AJ81" i="9"/>
  <c r="AH81" i="9"/>
  <c r="AK81" i="9"/>
  <c r="AI81" i="9"/>
  <c r="AJ59" i="9"/>
  <c r="AH59" i="9"/>
  <c r="AK59" i="9"/>
  <c r="AI59" i="9"/>
  <c r="BD321" i="9"/>
  <c r="BE28" i="9"/>
  <c r="BD31" i="9"/>
  <c r="BF28" i="9"/>
  <c r="AY28" i="9"/>
  <c r="AG29" i="9"/>
  <c r="AZ29" i="9"/>
  <c r="AJ21" i="9"/>
  <c r="AH21" i="9"/>
  <c r="AK21" i="9"/>
  <c r="AI21" i="9"/>
  <c r="AJ20" i="9"/>
  <c r="AH20" i="9"/>
  <c r="AK20" i="9"/>
  <c r="AI20" i="9"/>
  <c r="BN325" i="9"/>
  <c r="BN26" i="9"/>
  <c r="BO5" i="9"/>
  <c r="BP5" i="9"/>
  <c r="AJ315" i="9"/>
  <c r="AH315" i="9"/>
  <c r="AK315" i="9"/>
  <c r="AI315" i="9"/>
  <c r="AH306" i="9"/>
  <c r="AJ306" i="9"/>
  <c r="AJ299" i="9"/>
  <c r="AK299" i="9"/>
  <c r="AH299" i="9"/>
  <c r="AK290" i="9"/>
  <c r="AI290" i="9"/>
  <c r="AJ290" i="9"/>
  <c r="AH290" i="9"/>
  <c r="AK264" i="9"/>
  <c r="AI264" i="9"/>
  <c r="AJ264" i="9"/>
  <c r="AH264" i="9"/>
  <c r="AK268" i="9"/>
  <c r="AI268" i="9"/>
  <c r="AJ268" i="9"/>
  <c r="AH268" i="9"/>
  <c r="AG242" i="9"/>
  <c r="AZ242" i="9"/>
  <c r="BA242" i="9"/>
  <c r="BD301" i="9"/>
  <c r="BF241" i="9"/>
  <c r="BE241" i="9"/>
  <c r="AY241" i="9"/>
  <c r="AJ243" i="9"/>
  <c r="AH243" i="9"/>
  <c r="AK243" i="9"/>
  <c r="AI243" i="9"/>
  <c r="AJ261" i="9"/>
  <c r="AH261" i="9"/>
  <c r="AK261" i="9"/>
  <c r="AI261" i="9"/>
  <c r="AH209" i="9"/>
  <c r="AJ209" i="9"/>
  <c r="AH181" i="9"/>
  <c r="AJ181" i="9"/>
  <c r="AH176" i="9"/>
  <c r="AJ176" i="9"/>
  <c r="AK201" i="9"/>
  <c r="AI201" i="9"/>
  <c r="AH201" i="9"/>
  <c r="AJ201" i="9"/>
  <c r="AK167" i="9"/>
  <c r="AI167" i="9"/>
  <c r="AH167" i="9"/>
  <c r="AJ167" i="9"/>
  <c r="AK160" i="9"/>
  <c r="AI160" i="9"/>
  <c r="AH160" i="9"/>
  <c r="AJ160" i="9"/>
  <c r="AK156" i="9"/>
  <c r="AI156" i="9"/>
  <c r="AH156" i="9"/>
  <c r="AJ156" i="9"/>
  <c r="AG140" i="9"/>
  <c r="AZ140" i="9"/>
  <c r="BA140" i="9"/>
  <c r="BF139" i="9"/>
  <c r="BE139" i="9"/>
  <c r="AY139" i="9"/>
  <c r="AG139" i="9" s="1"/>
  <c r="AK134" i="9"/>
  <c r="AI134" i="9"/>
  <c r="AJ134" i="9"/>
  <c r="AH134" i="9"/>
  <c r="AK126" i="9"/>
  <c r="AI126" i="9"/>
  <c r="AJ126" i="9"/>
  <c r="AH126" i="9"/>
  <c r="AK125" i="9"/>
  <c r="AI125" i="9"/>
  <c r="AJ125" i="9"/>
  <c r="AH125" i="9"/>
  <c r="AK115" i="9"/>
  <c r="AI115" i="9"/>
  <c r="AJ115" i="9"/>
  <c r="AH115" i="9"/>
  <c r="AH98" i="9"/>
  <c r="AJ98" i="9"/>
  <c r="AK90" i="9"/>
  <c r="AI90" i="9"/>
  <c r="AJ90" i="9"/>
  <c r="AH90" i="9"/>
  <c r="AJ54" i="9"/>
  <c r="AK54" i="9"/>
  <c r="AH54" i="9"/>
  <c r="AJ51" i="9"/>
  <c r="AK51" i="9"/>
  <c r="AH51" i="9"/>
  <c r="AJ40" i="9"/>
  <c r="AH40" i="9"/>
  <c r="AK40" i="9"/>
  <c r="AI40" i="9"/>
  <c r="BN321" i="9"/>
  <c r="BO28" i="9"/>
  <c r="BN31" i="9"/>
  <c r="BP28" i="9"/>
  <c r="AK11" i="9"/>
  <c r="AI11" i="9"/>
  <c r="AJ11" i="9"/>
  <c r="AH11" i="9"/>
  <c r="BD325" i="9"/>
  <c r="BD26" i="9"/>
  <c r="BE5" i="9"/>
  <c r="AY5" i="9"/>
  <c r="BF5" i="9"/>
  <c r="AG6" i="9"/>
  <c r="BA6" i="9"/>
  <c r="AZ6" i="9"/>
  <c r="AJ83" i="9"/>
  <c r="AH83" i="9"/>
  <c r="AK83" i="9"/>
  <c r="AI83" i="9"/>
  <c r="U34" i="9"/>
  <c r="AG72" i="9"/>
  <c r="BA72" i="9"/>
  <c r="AZ72" i="9"/>
  <c r="AJ73" i="9"/>
  <c r="AH73" i="9"/>
  <c r="AK73" i="9"/>
  <c r="AI73" i="9"/>
  <c r="AJ67" i="9"/>
  <c r="AH67" i="9"/>
  <c r="AK67" i="9"/>
  <c r="AI67" i="9"/>
  <c r="AJ47" i="9"/>
  <c r="AH47" i="9"/>
  <c r="CB239" i="9"/>
  <c r="DI239" i="9" s="1"/>
  <c r="DI34" i="9"/>
  <c r="AJ19" i="9"/>
  <c r="AH19" i="9"/>
  <c r="AJ15" i="9"/>
  <c r="AH15" i="9"/>
  <c r="AK15" i="9"/>
  <c r="AI15" i="9"/>
  <c r="BD38" i="8"/>
  <c r="BR38" i="8" s="1"/>
  <c r="BR36" i="8"/>
  <c r="BO31" i="9" l="1"/>
  <c r="BP31" i="9"/>
  <c r="AJ140" i="9"/>
  <c r="AH140" i="9"/>
  <c r="AK140" i="9"/>
  <c r="AI140" i="9"/>
  <c r="BE301" i="9"/>
  <c r="AY301" i="9"/>
  <c r="BF301" i="9"/>
  <c r="BO325" i="9"/>
  <c r="BP325" i="9"/>
  <c r="AK29" i="9"/>
  <c r="AI29" i="9"/>
  <c r="AJ29" i="9"/>
  <c r="AH29" i="9"/>
  <c r="O338" i="9"/>
  <c r="O360" i="9"/>
  <c r="AJ38" i="9"/>
  <c r="AH38" i="9"/>
  <c r="AK38" i="9"/>
  <c r="AI38" i="9"/>
  <c r="BK321" i="9"/>
  <c r="AS319" i="9"/>
  <c r="AS323" i="9" s="1"/>
  <c r="AS325" i="9"/>
  <c r="U495" i="9"/>
  <c r="U494" i="9" s="1"/>
  <c r="U453" i="9"/>
  <c r="CP469" i="9"/>
  <c r="CP510" i="9" s="1"/>
  <c r="CP5" i="9"/>
  <c r="AK13" i="9"/>
  <c r="AI13" i="9"/>
  <c r="AJ13" i="9"/>
  <c r="AH13" i="9"/>
  <c r="Y32" i="9"/>
  <c r="Q32" i="9"/>
  <c r="X32" i="9"/>
  <c r="R32" i="9"/>
  <c r="AE32" i="9"/>
  <c r="AF32" i="9"/>
  <c r="Y308" i="9"/>
  <c r="X308" i="9"/>
  <c r="Q308" i="9"/>
  <c r="Q321" i="9"/>
  <c r="R321" i="9"/>
  <c r="DC239" i="9"/>
  <c r="R239" i="9"/>
  <c r="Q239" i="9"/>
  <c r="P323" i="9"/>
  <c r="BP239" i="9"/>
  <c r="BO239" i="9"/>
  <c r="AJ85" i="9"/>
  <c r="AH85" i="9"/>
  <c r="AK85" i="9"/>
  <c r="AI85" i="9"/>
  <c r="AW321" i="9"/>
  <c r="AX321" i="9"/>
  <c r="Z321" i="9"/>
  <c r="BA34" i="9"/>
  <c r="AW34" i="9"/>
  <c r="AZ34" i="9"/>
  <c r="AX34" i="9"/>
  <c r="Z34" i="9"/>
  <c r="CR459" i="9"/>
  <c r="CR500" i="9" s="1"/>
  <c r="CR38" i="9"/>
  <c r="CR456" i="9" s="1"/>
  <c r="CR497" i="9" s="1"/>
  <c r="AK9" i="9"/>
  <c r="AI9" i="9"/>
  <c r="AJ9" i="9"/>
  <c r="AH9" i="9"/>
  <c r="AI34" i="9"/>
  <c r="AH34" i="9"/>
  <c r="BF239" i="9"/>
  <c r="BE239" i="9"/>
  <c r="AY239" i="9"/>
  <c r="AG239" i="9" s="1"/>
  <c r="AK146" i="9"/>
  <c r="AI146" i="9"/>
  <c r="AJ146" i="9"/>
  <c r="AH146" i="9"/>
  <c r="AS504" i="9"/>
  <c r="AS507" i="9" s="1"/>
  <c r="AS512" i="9" s="1"/>
  <c r="AS518" i="9"/>
  <c r="AK56" i="9"/>
  <c r="AI56" i="9"/>
  <c r="AJ56" i="9"/>
  <c r="AH56" i="9"/>
  <c r="DI26" i="9"/>
  <c r="CC26" i="9"/>
  <c r="CQ146" i="9"/>
  <c r="CQ459" i="9"/>
  <c r="CQ500" i="9" s="1"/>
  <c r="CQ140" i="9"/>
  <c r="CQ435" i="9"/>
  <c r="CQ437" i="9" s="1"/>
  <c r="CQ13" i="9"/>
  <c r="DI31" i="9"/>
  <c r="CC31" i="9"/>
  <c r="U317" i="9"/>
  <c r="Y301" i="9"/>
  <c r="W301" i="9"/>
  <c r="X301" i="9"/>
  <c r="V301" i="9"/>
  <c r="AD301" i="9"/>
  <c r="AC301" i="9"/>
  <c r="AG303" i="9"/>
  <c r="AZ303" i="9"/>
  <c r="AH304" i="9"/>
  <c r="AJ304" i="9"/>
  <c r="CP56" i="9"/>
  <c r="BG321" i="9"/>
  <c r="BJ321" i="9" s="1"/>
  <c r="AO321" i="9"/>
  <c r="AP321" i="9"/>
  <c r="AM239" i="9"/>
  <c r="AQ311" i="9"/>
  <c r="BA139" i="9"/>
  <c r="U328" i="9"/>
  <c r="U239" i="9"/>
  <c r="Y34" i="9"/>
  <c r="W34" i="9"/>
  <c r="X34" i="9"/>
  <c r="V34" i="9"/>
  <c r="U321" i="9"/>
  <c r="U327" i="9"/>
  <c r="AY325" i="9"/>
  <c r="AG325" i="9" s="1"/>
  <c r="BO321" i="9"/>
  <c r="BP321" i="9"/>
  <c r="AJ72" i="9"/>
  <c r="AH72" i="9"/>
  <c r="AK72" i="9"/>
  <c r="AI72" i="9"/>
  <c r="AK6" i="9"/>
  <c r="AI6" i="9"/>
  <c r="AJ6" i="9"/>
  <c r="AH6" i="9"/>
  <c r="AZ5" i="9"/>
  <c r="AG5" i="9"/>
  <c r="BA5" i="9"/>
  <c r="BF26" i="9"/>
  <c r="BE26" i="9"/>
  <c r="AY26" i="9"/>
  <c r="AJ139" i="9"/>
  <c r="AH139" i="9"/>
  <c r="AK139" i="9"/>
  <c r="AI139" i="9"/>
  <c r="AG241" i="9"/>
  <c r="BA241" i="9"/>
  <c r="AZ241" i="9"/>
  <c r="AJ242" i="9"/>
  <c r="AH242" i="9"/>
  <c r="AK242" i="9"/>
  <c r="AI242" i="9"/>
  <c r="BP26" i="9"/>
  <c r="BO26" i="9"/>
  <c r="AG28" i="9"/>
  <c r="AZ28" i="9"/>
  <c r="BE31" i="9"/>
  <c r="BF31" i="9"/>
  <c r="AY31" i="9"/>
  <c r="BE321" i="9"/>
  <c r="AY321" i="9"/>
  <c r="AG321" i="9" s="1"/>
  <c r="BF321" i="9"/>
  <c r="BK239" i="9"/>
  <c r="BI323" i="9"/>
  <c r="CQ253" i="9"/>
  <c r="CQ58" i="9"/>
  <c r="CQ62" i="9"/>
  <c r="CQ63" i="9"/>
  <c r="CQ60" i="9"/>
  <c r="CQ71" i="9"/>
  <c r="CQ59" i="9"/>
  <c r="CQ64" i="9"/>
  <c r="CQ66" i="9"/>
  <c r="CQ69" i="9"/>
  <c r="CQ70" i="9"/>
  <c r="CQ61" i="9"/>
  <c r="CQ65" i="9"/>
  <c r="CQ67" i="9"/>
  <c r="CQ68" i="9"/>
  <c r="CQ57" i="9"/>
  <c r="CQ254" i="9"/>
  <c r="CQ243" i="9"/>
  <c r="CQ244" i="9"/>
  <c r="P338" i="9"/>
  <c r="P360" i="9"/>
  <c r="Q325" i="9"/>
  <c r="R325" i="9"/>
  <c r="Q328" i="9"/>
  <c r="Q337" i="9"/>
  <c r="Q327" i="9"/>
  <c r="Q366" i="9"/>
  <c r="Q381" i="9" s="1"/>
  <c r="Q329" i="9"/>
  <c r="BO307" i="9"/>
  <c r="BP307" i="9"/>
  <c r="AV239" i="9"/>
  <c r="BC311" i="9"/>
  <c r="CC239" i="9"/>
  <c r="CR230" i="9"/>
  <c r="CR461" i="9" s="1"/>
  <c r="CR502" i="9" s="1"/>
  <c r="CR242" i="9"/>
  <c r="CR241" i="9" s="1"/>
  <c r="CR170" i="9"/>
  <c r="CR160" i="9"/>
  <c r="CR140" i="9"/>
  <c r="CR146" i="9"/>
  <c r="CR435" i="9"/>
  <c r="CR437" i="9" s="1"/>
  <c r="CR13" i="9"/>
  <c r="CR85" i="9"/>
  <c r="CR455" i="9" s="1"/>
  <c r="CR72" i="9"/>
  <c r="CR460" i="9" s="1"/>
  <c r="CR501" i="9" s="1"/>
  <c r="AS463" i="9"/>
  <c r="AS466" i="9" s="1"/>
  <c r="AS471" i="9" s="1"/>
  <c r="AS477" i="9"/>
  <c r="BO301" i="9"/>
  <c r="BP301" i="9"/>
  <c r="CQ170" i="9"/>
  <c r="CQ85" i="9"/>
  <c r="CQ455" i="9" s="1"/>
  <c r="CQ230" i="9"/>
  <c r="CQ38" i="9"/>
  <c r="CQ456" i="9" s="1"/>
  <c r="CQ497" i="9" s="1"/>
  <c r="CQ72" i="9"/>
  <c r="CQ460" i="9" s="1"/>
  <c r="CQ501" i="9" s="1"/>
  <c r="CQ160" i="9"/>
  <c r="BB319" i="9"/>
  <c r="AU309" i="9"/>
  <c r="BB325" i="9"/>
  <c r="AU325" i="9" s="1"/>
  <c r="AL323" i="9"/>
  <c r="DI301" i="9"/>
  <c r="CB323" i="9"/>
  <c r="DI323" i="9" s="1"/>
  <c r="U511" i="9"/>
  <c r="BE307" i="9"/>
  <c r="BF307" i="9"/>
  <c r="AY307" i="9"/>
  <c r="CP496" i="9"/>
  <c r="CP139" i="9"/>
  <c r="CP458" i="9" s="1"/>
  <c r="CP499" i="9" s="1"/>
  <c r="CP468" i="9"/>
  <c r="CP242" i="9"/>
  <c r="CP241" i="9" s="1"/>
  <c r="AQ495" i="9"/>
  <c r="AQ494" i="9" s="1"/>
  <c r="AQ453" i="9"/>
  <c r="BG34" i="9"/>
  <c r="BJ34" i="9" s="1"/>
  <c r="AP34" i="9"/>
  <c r="AO34" i="9"/>
  <c r="BO319" i="9"/>
  <c r="BN323" i="9"/>
  <c r="BP319" i="9"/>
  <c r="BE319" i="9"/>
  <c r="AY319" i="9"/>
  <c r="AG319" i="9" s="1"/>
  <c r="BD323" i="9"/>
  <c r="AF139" i="9"/>
  <c r="AD139" i="9"/>
  <c r="AB139" i="9"/>
  <c r="AE139" i="9"/>
  <c r="AC139" i="9"/>
  <c r="AA139" i="9"/>
  <c r="AZ139" i="9"/>
  <c r="AJ35" i="9"/>
  <c r="AH35" i="9"/>
  <c r="AK35" i="9"/>
  <c r="AI35" i="9"/>
  <c r="AK170" i="9"/>
  <c r="AI170" i="9"/>
  <c r="AH170" i="9"/>
  <c r="AJ170" i="9"/>
  <c r="AJ230" i="9"/>
  <c r="AH230" i="9"/>
  <c r="AK230" i="9"/>
  <c r="AI230" i="9"/>
  <c r="D14" i="1"/>
  <c r="AY323" i="9" l="1"/>
  <c r="AG323" i="9" s="1"/>
  <c r="BO323" i="9"/>
  <c r="BP323" i="9"/>
  <c r="AQ504" i="9"/>
  <c r="AQ507" i="9" s="1"/>
  <c r="AQ512" i="9" s="1"/>
  <c r="CP509" i="9"/>
  <c r="AG307" i="9"/>
  <c r="AZ307" i="9"/>
  <c r="AU319" i="9"/>
  <c r="BB323" i="9"/>
  <c r="AU323" i="9" s="1"/>
  <c r="CQ496" i="9"/>
  <c r="CR469" i="9"/>
  <c r="CR510" i="9" s="1"/>
  <c r="CR5" i="9"/>
  <c r="CR470" i="9"/>
  <c r="CR301" i="9"/>
  <c r="CR317" i="9" s="1"/>
  <c r="CR475" i="9" s="1"/>
  <c r="CR516" i="9" s="1"/>
  <c r="AZ239" i="9"/>
  <c r="AX239" i="9"/>
  <c r="BA239" i="9"/>
  <c r="AW239" i="9"/>
  <c r="Z239" i="9"/>
  <c r="Q360" i="9"/>
  <c r="Q338" i="9"/>
  <c r="AJ241" i="9"/>
  <c r="AH241" i="9"/>
  <c r="AK241" i="9"/>
  <c r="AI241" i="9"/>
  <c r="Y321" i="9"/>
  <c r="W321" i="9"/>
  <c r="X321" i="9"/>
  <c r="V321" i="9"/>
  <c r="AQ474" i="9"/>
  <c r="AQ515" i="9" s="1"/>
  <c r="AQ518" i="9" s="1"/>
  <c r="AM311" i="9"/>
  <c r="AQ310" i="9"/>
  <c r="X317" i="9"/>
  <c r="V317" i="9"/>
  <c r="U475" i="9"/>
  <c r="U516" i="9" s="1"/>
  <c r="AD317" i="9"/>
  <c r="AC317" i="9"/>
  <c r="AI317" i="9"/>
  <c r="AH317" i="9"/>
  <c r="AE34" i="9"/>
  <c r="AC34" i="9"/>
  <c r="AA34" i="9"/>
  <c r="AF34" i="9"/>
  <c r="AD34" i="9"/>
  <c r="AB34" i="9"/>
  <c r="Q323" i="9"/>
  <c r="R323" i="9"/>
  <c r="U504" i="9"/>
  <c r="U507" i="9" s="1"/>
  <c r="U512" i="9" s="1"/>
  <c r="AG301" i="9"/>
  <c r="BA301" i="9"/>
  <c r="AZ301" i="9"/>
  <c r="AQ463" i="9"/>
  <c r="AQ466" i="9" s="1"/>
  <c r="AQ471" i="9" s="1"/>
  <c r="AQ477" i="9"/>
  <c r="CP470" i="9"/>
  <c r="CP511" i="9" s="1"/>
  <c r="CP301" i="9"/>
  <c r="CP317" i="9" s="1"/>
  <c r="CP475" i="9" s="1"/>
  <c r="CP516" i="9" s="1"/>
  <c r="CC323" i="9"/>
  <c r="CR496" i="9"/>
  <c r="CR454" i="9"/>
  <c r="CR139" i="9"/>
  <c r="CR458" i="9" s="1"/>
  <c r="CR499" i="9" s="1"/>
  <c r="AV311" i="9"/>
  <c r="BC310" i="9"/>
  <c r="BH311" i="9"/>
  <c r="BF311" i="9"/>
  <c r="CQ468" i="9"/>
  <c r="CQ242" i="9"/>
  <c r="CQ241" i="9" s="1"/>
  <c r="CQ56" i="9"/>
  <c r="CQ461" i="9" s="1"/>
  <c r="CQ502" i="9" s="1"/>
  <c r="AK321" i="9"/>
  <c r="AI321" i="9"/>
  <c r="AJ321" i="9"/>
  <c r="AH321" i="9"/>
  <c r="AG31" i="9"/>
  <c r="AZ31" i="9"/>
  <c r="AJ28" i="9"/>
  <c r="AH28" i="9"/>
  <c r="AK28" i="9"/>
  <c r="AI28" i="9"/>
  <c r="AG26" i="9"/>
  <c r="AZ26" i="9"/>
  <c r="BA26" i="9"/>
  <c r="AK5" i="9"/>
  <c r="AI5" i="9"/>
  <c r="AJ5" i="9"/>
  <c r="AH5" i="9"/>
  <c r="BE325" i="9"/>
  <c r="X239" i="9"/>
  <c r="V239" i="9"/>
  <c r="Y239" i="9"/>
  <c r="W239" i="9"/>
  <c r="U311" i="9"/>
  <c r="BG239" i="9"/>
  <c r="BJ239" i="9" s="1"/>
  <c r="AP239" i="9"/>
  <c r="AO239" i="9"/>
  <c r="CP461" i="9"/>
  <c r="CP34" i="9"/>
  <c r="AJ303" i="9"/>
  <c r="AH303" i="9"/>
  <c r="CQ469" i="9"/>
  <c r="CQ510" i="9" s="1"/>
  <c r="CQ5" i="9"/>
  <c r="CQ139" i="9"/>
  <c r="CQ458" i="9" s="1"/>
  <c r="CQ499" i="9" s="1"/>
  <c r="AJ239" i="9"/>
  <c r="AH239" i="9"/>
  <c r="AK239" i="9"/>
  <c r="AI239" i="9"/>
  <c r="AJ34" i="9"/>
  <c r="AK34" i="9"/>
  <c r="AE321" i="9"/>
  <c r="AC321" i="9"/>
  <c r="AA321" i="9"/>
  <c r="AF321" i="9"/>
  <c r="AD321" i="9"/>
  <c r="AB321" i="9"/>
  <c r="AZ321" i="9"/>
  <c r="BA321" i="9"/>
  <c r="CP26" i="9"/>
  <c r="U463" i="9"/>
  <c r="U466" i="9" s="1"/>
  <c r="U471" i="9" s="1"/>
  <c r="D36" i="1"/>
  <c r="CQ26" i="9" l="1"/>
  <c r="CP239" i="9"/>
  <c r="CP321" i="9"/>
  <c r="CQ509" i="9"/>
  <c r="BH310" i="9"/>
  <c r="BK311" i="9"/>
  <c r="AZ311" i="9"/>
  <c r="AX311" i="9"/>
  <c r="Z311" i="9"/>
  <c r="BA311" i="9"/>
  <c r="AW311" i="9"/>
  <c r="CR495" i="9"/>
  <c r="CR494" i="9" s="1"/>
  <c r="CR453" i="9"/>
  <c r="CQ34" i="9"/>
  <c r="AQ309" i="9"/>
  <c r="AM310" i="9"/>
  <c r="CR26" i="9"/>
  <c r="CQ454" i="9"/>
  <c r="AH307" i="9"/>
  <c r="AJ307" i="9"/>
  <c r="CP311" i="9"/>
  <c r="CP502" i="9"/>
  <c r="CP454" i="9"/>
  <c r="U474" i="9"/>
  <c r="Y311" i="9"/>
  <c r="W311" i="9"/>
  <c r="V311" i="9"/>
  <c r="X311" i="9"/>
  <c r="U310" i="9"/>
  <c r="AH311" i="9"/>
  <c r="AI311" i="9"/>
  <c r="AJ26" i="9"/>
  <c r="AH26" i="9"/>
  <c r="AK26" i="9"/>
  <c r="AI26" i="9"/>
  <c r="AJ31" i="9"/>
  <c r="AH31" i="9"/>
  <c r="AK31" i="9"/>
  <c r="AI31" i="9"/>
  <c r="CQ470" i="9"/>
  <c r="CQ511" i="9" s="1"/>
  <c r="CQ301" i="9"/>
  <c r="CQ317" i="9" s="1"/>
  <c r="CQ475" i="9" s="1"/>
  <c r="CQ516" i="9" s="1"/>
  <c r="AV310" i="9"/>
  <c r="BC309" i="9"/>
  <c r="BF310" i="9"/>
  <c r="AK301" i="9"/>
  <c r="AI301" i="9"/>
  <c r="AJ301" i="9"/>
  <c r="AH301" i="9"/>
  <c r="CR34" i="9"/>
  <c r="BG311" i="9"/>
  <c r="BJ311" i="9" s="1"/>
  <c r="AO311" i="9"/>
  <c r="AP311" i="9"/>
  <c r="AF239" i="9"/>
  <c r="AD239" i="9"/>
  <c r="AB239" i="9"/>
  <c r="AE239" i="9"/>
  <c r="AC239" i="9"/>
  <c r="AA239" i="9"/>
  <c r="CR511" i="9"/>
  <c r="BE323" i="9"/>
  <c r="AZ310" i="9" l="1"/>
  <c r="AX310" i="9"/>
  <c r="Z310" i="9"/>
  <c r="BA310" i="9"/>
  <c r="AW310" i="9"/>
  <c r="U515" i="9"/>
  <c r="U518" i="9" s="1"/>
  <c r="T519" i="9" s="1"/>
  <c r="U477" i="9"/>
  <c r="T478" i="9" s="1"/>
  <c r="BG310" i="9"/>
  <c r="BJ310" i="9" s="1"/>
  <c r="AO310" i="9"/>
  <c r="AP310" i="9"/>
  <c r="CQ239" i="9"/>
  <c r="CQ321" i="9"/>
  <c r="CR504" i="9"/>
  <c r="CR507" i="9" s="1"/>
  <c r="CQ311" i="9"/>
  <c r="CR512" i="9"/>
  <c r="CR239" i="9"/>
  <c r="CR311" i="9" s="1"/>
  <c r="CR321" i="9"/>
  <c r="BC319" i="9"/>
  <c r="AV309" i="9"/>
  <c r="BC325" i="9"/>
  <c r="BF309" i="9"/>
  <c r="X310" i="9"/>
  <c r="V310" i="9"/>
  <c r="U309" i="9"/>
  <c r="Y310" i="9"/>
  <c r="W310" i="9"/>
  <c r="AH310" i="9"/>
  <c r="AI310" i="9"/>
  <c r="CP495" i="9"/>
  <c r="CP494" i="9" s="1"/>
  <c r="CP453" i="9"/>
  <c r="CP474" i="9"/>
  <c r="CP515" i="9" s="1"/>
  <c r="CP310" i="9"/>
  <c r="CP309" i="9" s="1"/>
  <c r="CQ495" i="9"/>
  <c r="CQ494" i="9" s="1"/>
  <c r="CQ453" i="9"/>
  <c r="AQ319" i="9"/>
  <c r="AM309" i="9"/>
  <c r="AQ325" i="9"/>
  <c r="AM325" i="9" s="1"/>
  <c r="CR463" i="9"/>
  <c r="CR466" i="9" s="1"/>
  <c r="CR471" i="9" s="1"/>
  <c r="AE311" i="9"/>
  <c r="AC311" i="9"/>
  <c r="AA311" i="9"/>
  <c r="AD311" i="9"/>
  <c r="AF311" i="9"/>
  <c r="AB311" i="9"/>
  <c r="AK311" i="9"/>
  <c r="AJ311" i="9"/>
  <c r="BH309" i="9"/>
  <c r="BK310" i="9"/>
  <c r="CR474" i="9" l="1"/>
  <c r="CR310" i="9"/>
  <c r="CR309" i="9" s="1"/>
  <c r="BH319" i="9"/>
  <c r="BK309" i="9"/>
  <c r="BH325" i="9"/>
  <c r="BK325" i="9" s="1"/>
  <c r="BG309" i="9"/>
  <c r="BJ309" i="9" s="1"/>
  <c r="AO309" i="9"/>
  <c r="AP309" i="9"/>
  <c r="CQ504" i="9"/>
  <c r="CQ507" i="9" s="1"/>
  <c r="CQ512" i="9" s="1"/>
  <c r="CP504" i="9"/>
  <c r="CP507" i="9" s="1"/>
  <c r="CP512" i="9" s="1"/>
  <c r="CP518" i="9"/>
  <c r="BA309" i="9"/>
  <c r="AW309" i="9"/>
  <c r="AZ309" i="9"/>
  <c r="AX309" i="9"/>
  <c r="Z309" i="9"/>
  <c r="BG325" i="9"/>
  <c r="BJ325" i="9" s="1"/>
  <c r="AO325" i="9"/>
  <c r="AP325" i="9"/>
  <c r="AQ323" i="9"/>
  <c r="AM323" i="9" s="1"/>
  <c r="AM319" i="9"/>
  <c r="CQ463" i="9"/>
  <c r="CQ466" i="9" s="1"/>
  <c r="CQ471" i="9" s="1"/>
  <c r="CP319" i="9"/>
  <c r="CP323" i="9" s="1"/>
  <c r="CP325" i="9"/>
  <c r="CP463" i="9"/>
  <c r="CP466" i="9" s="1"/>
  <c r="CP471" i="9" s="1"/>
  <c r="CP477" i="9"/>
  <c r="U319" i="9"/>
  <c r="Y309" i="9"/>
  <c r="W309" i="9"/>
  <c r="X309" i="9"/>
  <c r="V309" i="9"/>
  <c r="U325" i="9"/>
  <c r="AI309" i="9"/>
  <c r="AH309" i="9"/>
  <c r="AV325" i="9"/>
  <c r="BF325" i="9"/>
  <c r="BC323" i="9"/>
  <c r="AV319" i="9"/>
  <c r="BF319" i="9"/>
  <c r="CQ474" i="9"/>
  <c r="CQ515" i="9" s="1"/>
  <c r="CQ518" i="9" s="1"/>
  <c r="CQ310" i="9"/>
  <c r="CQ309" i="9" s="1"/>
  <c r="AF310" i="9"/>
  <c r="AD310" i="9"/>
  <c r="AB310" i="9"/>
  <c r="AE310" i="9"/>
  <c r="AC310" i="9"/>
  <c r="AA310" i="9"/>
  <c r="AJ310" i="9"/>
  <c r="AK310" i="9"/>
  <c r="BW86" i="5"/>
  <c r="DI86" i="5" l="1"/>
  <c r="DJ11" i="5"/>
  <c r="AV323" i="9"/>
  <c r="BF323" i="9"/>
  <c r="BA319" i="9"/>
  <c r="AW319" i="9"/>
  <c r="AZ319" i="9"/>
  <c r="AX319" i="9"/>
  <c r="Z319" i="9"/>
  <c r="Y325" i="9"/>
  <c r="W325" i="9"/>
  <c r="X325" i="9"/>
  <c r="V325" i="9"/>
  <c r="AI325" i="9"/>
  <c r="AH325" i="9"/>
  <c r="CQ477" i="9"/>
  <c r="BG319" i="9"/>
  <c r="BJ319" i="9" s="1"/>
  <c r="AO319" i="9"/>
  <c r="AP319" i="9"/>
  <c r="CR319" i="9"/>
  <c r="CR323" i="9" s="1"/>
  <c r="CR325" i="9"/>
  <c r="CQ319" i="9"/>
  <c r="CQ323" i="9" s="1"/>
  <c r="CQ325" i="9"/>
  <c r="BA325" i="9"/>
  <c r="AW325" i="9"/>
  <c r="AZ325" i="9"/>
  <c r="AX325" i="9"/>
  <c r="U323" i="9"/>
  <c r="Y319" i="9"/>
  <c r="W319" i="9"/>
  <c r="X319" i="9"/>
  <c r="V319" i="9"/>
  <c r="AI319" i="9"/>
  <c r="AH319" i="9"/>
  <c r="BG323" i="9"/>
  <c r="BJ323" i="9" s="1"/>
  <c r="AO323" i="9"/>
  <c r="AP323" i="9"/>
  <c r="AE309" i="9"/>
  <c r="AC309" i="9"/>
  <c r="AA309" i="9"/>
  <c r="AF309" i="9"/>
  <c r="AD309" i="9"/>
  <c r="AB309" i="9"/>
  <c r="AK309" i="9"/>
  <c r="AJ309" i="9"/>
  <c r="Z325" i="9"/>
  <c r="BH323" i="9"/>
  <c r="BK323" i="9" s="1"/>
  <c r="BK319" i="9"/>
  <c r="CR515" i="9"/>
  <c r="CR518" i="9" s="1"/>
  <c r="CR477" i="9"/>
  <c r="K68" i="5"/>
  <c r="K66" i="5"/>
  <c r="AE325" i="9" l="1"/>
  <c r="AC325" i="9"/>
  <c r="AA325" i="9"/>
  <c r="AF325" i="9"/>
  <c r="AD325" i="9"/>
  <c r="AB325" i="9"/>
  <c r="AK325" i="9"/>
  <c r="AJ325" i="9"/>
  <c r="Y323" i="9"/>
  <c r="W323" i="9"/>
  <c r="X323" i="9"/>
  <c r="V323" i="9"/>
  <c r="AI323" i="9"/>
  <c r="AH323" i="9"/>
  <c r="AE319" i="9"/>
  <c r="AC319" i="9"/>
  <c r="AA319" i="9"/>
  <c r="AF319" i="9"/>
  <c r="AD319" i="9"/>
  <c r="AB319" i="9"/>
  <c r="AK319" i="9"/>
  <c r="AJ319" i="9"/>
  <c r="BA323" i="9"/>
  <c r="AW323" i="9"/>
  <c r="AZ323" i="9"/>
  <c r="AX323" i="9"/>
  <c r="Z323" i="9"/>
  <c r="K55" i="5"/>
  <c r="K49" i="5"/>
  <c r="K31" i="5"/>
  <c r="R378" i="6"/>
  <c r="Q378" i="6"/>
  <c r="P378" i="6"/>
  <c r="O378" i="6"/>
  <c r="N378" i="6"/>
  <c r="AC377" i="6"/>
  <c r="AB377" i="6"/>
  <c r="R377" i="6"/>
  <c r="Q377" i="6"/>
  <c r="P377" i="6"/>
  <c r="O377" i="6"/>
  <c r="N377" i="6"/>
  <c r="R376" i="6"/>
  <c r="Q376" i="6"/>
  <c r="P376" i="6"/>
  <c r="O376" i="6"/>
  <c r="N376" i="6"/>
  <c r="AB375" i="6"/>
  <c r="R375" i="6"/>
  <c r="Q375" i="6"/>
  <c r="P375" i="6"/>
  <c r="O375" i="6"/>
  <c r="N375" i="6"/>
  <c r="P367" i="6"/>
  <c r="AB361" i="6"/>
  <c r="R361" i="6"/>
  <c r="T361" i="6" s="1"/>
  <c r="Q361" i="6"/>
  <c r="V361" i="6" s="1"/>
  <c r="P361" i="6"/>
  <c r="O361" i="6"/>
  <c r="X361" i="6" s="1"/>
  <c r="N361" i="6"/>
  <c r="M361" i="6"/>
  <c r="L361" i="6"/>
  <c r="K361" i="6"/>
  <c r="J361" i="6"/>
  <c r="J357" i="6"/>
  <c r="AB349" i="6"/>
  <c r="R349" i="6"/>
  <c r="R362" i="6" s="1"/>
  <c r="Q349" i="6"/>
  <c r="Q362" i="6" s="1"/>
  <c r="P349" i="6"/>
  <c r="P362" i="6" s="1"/>
  <c r="O349" i="6"/>
  <c r="O362" i="6" s="1"/>
  <c r="X362" i="6" s="1"/>
  <c r="N349" i="6"/>
  <c r="N362" i="6" s="1"/>
  <c r="M349" i="6"/>
  <c r="M362" i="6" s="1"/>
  <c r="AC347" i="6"/>
  <c r="AB347" i="6"/>
  <c r="R347" i="6"/>
  <c r="Q347" i="6"/>
  <c r="P347" i="6"/>
  <c r="O347" i="6"/>
  <c r="N347" i="6"/>
  <c r="M347" i="6"/>
  <c r="L347" i="6"/>
  <c r="K347" i="6"/>
  <c r="J347" i="6"/>
  <c r="AB346" i="6"/>
  <c r="AB348" i="6" s="1"/>
  <c r="R346" i="6"/>
  <c r="R348" i="6" s="1"/>
  <c r="Q346" i="6"/>
  <c r="Q348" i="6" s="1"/>
  <c r="P346" i="6"/>
  <c r="P348" i="6" s="1"/>
  <c r="P350" i="6" s="1"/>
  <c r="O346" i="6"/>
  <c r="O348" i="6" s="1"/>
  <c r="N346" i="6"/>
  <c r="N348" i="6" s="1"/>
  <c r="N350" i="6" s="1"/>
  <c r="M346" i="6"/>
  <c r="M348" i="6" s="1"/>
  <c r="M350" i="6" s="1"/>
  <c r="L346" i="6"/>
  <c r="L348" i="6" s="1"/>
  <c r="K346" i="6"/>
  <c r="K348" i="6" s="1"/>
  <c r="J346" i="6"/>
  <c r="J348" i="6" s="1"/>
  <c r="X344" i="6"/>
  <c r="W344" i="6"/>
  <c r="V344" i="6"/>
  <c r="U344" i="6"/>
  <c r="R344" i="6"/>
  <c r="Q344" i="6"/>
  <c r="P344" i="6"/>
  <c r="O344" i="6"/>
  <c r="N344" i="6"/>
  <c r="M344" i="6"/>
  <c r="W335" i="6"/>
  <c r="V335" i="6"/>
  <c r="U335" i="6"/>
  <c r="AC331" i="6"/>
  <c r="AC330" i="6"/>
  <c r="AA320" i="6"/>
  <c r="X320" i="6"/>
  <c r="W320" i="6"/>
  <c r="V320" i="6"/>
  <c r="U320" i="6"/>
  <c r="T320" i="6"/>
  <c r="S320" i="6"/>
  <c r="AA319" i="6"/>
  <c r="X319" i="6"/>
  <c r="W319" i="6"/>
  <c r="V319" i="6"/>
  <c r="U319" i="6"/>
  <c r="T319" i="6"/>
  <c r="S319" i="6"/>
  <c r="AA318" i="6"/>
  <c r="X318" i="6"/>
  <c r="W318" i="6"/>
  <c r="V318" i="6"/>
  <c r="U318" i="6"/>
  <c r="T318" i="6"/>
  <c r="S318" i="6"/>
  <c r="AA317" i="6"/>
  <c r="Z317" i="6"/>
  <c r="Y317" i="6"/>
  <c r="X317" i="6"/>
  <c r="W317" i="6"/>
  <c r="V317" i="6"/>
  <c r="U317" i="6"/>
  <c r="T317" i="6"/>
  <c r="S317" i="6"/>
  <c r="AA316" i="6"/>
  <c r="Z316" i="6"/>
  <c r="Y316" i="6"/>
  <c r="X316" i="6"/>
  <c r="W316" i="6"/>
  <c r="V316" i="6"/>
  <c r="U316" i="6"/>
  <c r="T316" i="6"/>
  <c r="S316" i="6"/>
  <c r="Z315" i="6"/>
  <c r="Y315" i="6"/>
  <c r="X315" i="6"/>
  <c r="W315" i="6"/>
  <c r="V315" i="6"/>
  <c r="U315" i="6"/>
  <c r="T315" i="6"/>
  <c r="S315" i="6"/>
  <c r="AA314" i="6"/>
  <c r="Z314" i="6"/>
  <c r="Y314" i="6"/>
  <c r="X314" i="6"/>
  <c r="W314" i="6"/>
  <c r="V314" i="6"/>
  <c r="U314" i="6"/>
  <c r="T314" i="6"/>
  <c r="S314" i="6"/>
  <c r="AA313" i="6"/>
  <c r="Z313" i="6"/>
  <c r="Y313" i="6"/>
  <c r="X313" i="6"/>
  <c r="W313" i="6"/>
  <c r="V313" i="6"/>
  <c r="U313" i="6"/>
  <c r="T313" i="6"/>
  <c r="S313" i="6"/>
  <c r="AA312" i="6"/>
  <c r="Z312" i="6"/>
  <c r="Y312" i="6"/>
  <c r="X312" i="6"/>
  <c r="W312" i="6"/>
  <c r="V312" i="6"/>
  <c r="U312" i="6"/>
  <c r="T312" i="6"/>
  <c r="S312" i="6"/>
  <c r="AA311" i="6"/>
  <c r="Z311" i="6"/>
  <c r="Y311" i="6"/>
  <c r="X311" i="6"/>
  <c r="W311" i="6"/>
  <c r="V311" i="6"/>
  <c r="U311" i="6"/>
  <c r="T311" i="6"/>
  <c r="S311" i="6"/>
  <c r="AA310" i="6"/>
  <c r="Z310" i="6"/>
  <c r="Y310" i="6"/>
  <c r="X310" i="6"/>
  <c r="W310" i="6"/>
  <c r="V310" i="6"/>
  <c r="U310" i="6"/>
  <c r="T310" i="6"/>
  <c r="S310" i="6"/>
  <c r="Z309" i="6"/>
  <c r="Y309" i="6"/>
  <c r="X309" i="6"/>
  <c r="W309" i="6"/>
  <c r="V309" i="6"/>
  <c r="U309" i="6"/>
  <c r="T309" i="6"/>
  <c r="S309" i="6"/>
  <c r="Z308" i="6"/>
  <c r="Y308" i="6"/>
  <c r="X308" i="6"/>
  <c r="W308" i="6"/>
  <c r="V308" i="6"/>
  <c r="U308" i="6"/>
  <c r="T308" i="6"/>
  <c r="S308" i="6"/>
  <c r="Z307" i="6"/>
  <c r="Y307" i="6"/>
  <c r="X307" i="6"/>
  <c r="W307" i="6"/>
  <c r="V307" i="6"/>
  <c r="U307" i="6"/>
  <c r="T307" i="6"/>
  <c r="S307" i="6"/>
  <c r="X306" i="6"/>
  <c r="W306" i="6"/>
  <c r="V306" i="6"/>
  <c r="U306" i="6"/>
  <c r="T306" i="6"/>
  <c r="S306" i="6"/>
  <c r="AA305" i="6"/>
  <c r="Z305" i="6"/>
  <c r="Y305" i="6"/>
  <c r="X305" i="6"/>
  <c r="W305" i="6"/>
  <c r="V305" i="6"/>
  <c r="U305" i="6"/>
  <c r="T305" i="6"/>
  <c r="S305" i="6"/>
  <c r="AA304" i="6"/>
  <c r="Z304" i="6"/>
  <c r="Y304" i="6"/>
  <c r="X304" i="6"/>
  <c r="W304" i="6"/>
  <c r="V304" i="6"/>
  <c r="U304" i="6"/>
  <c r="T304" i="6"/>
  <c r="S304" i="6"/>
  <c r="AA303" i="6"/>
  <c r="Z303" i="6"/>
  <c r="Y303" i="6"/>
  <c r="X303" i="6"/>
  <c r="W303" i="6"/>
  <c r="V303" i="6"/>
  <c r="U303" i="6"/>
  <c r="T303" i="6"/>
  <c r="S303" i="6"/>
  <c r="AA302" i="6"/>
  <c r="Z302" i="6"/>
  <c r="Y302" i="6"/>
  <c r="X302" i="6"/>
  <c r="W302" i="6"/>
  <c r="V302" i="6"/>
  <c r="U302" i="6"/>
  <c r="T302" i="6"/>
  <c r="S302" i="6"/>
  <c r="AA301" i="6"/>
  <c r="Z301" i="6"/>
  <c r="Y301" i="6"/>
  <c r="X301" i="6"/>
  <c r="W301" i="6"/>
  <c r="V301" i="6"/>
  <c r="U301" i="6"/>
  <c r="T301" i="6"/>
  <c r="S301" i="6"/>
  <c r="AA300" i="6"/>
  <c r="Z300" i="6"/>
  <c r="Y300" i="6"/>
  <c r="X300" i="6"/>
  <c r="W300" i="6"/>
  <c r="V300" i="6"/>
  <c r="U300" i="6"/>
  <c r="T300" i="6"/>
  <c r="S300" i="6"/>
  <c r="AA299" i="6"/>
  <c r="Z299" i="6"/>
  <c r="Y299" i="6"/>
  <c r="X299" i="6"/>
  <c r="W299" i="6"/>
  <c r="V299" i="6"/>
  <c r="U299" i="6"/>
  <c r="T299" i="6"/>
  <c r="S299" i="6"/>
  <c r="AA298" i="6"/>
  <c r="Z298" i="6"/>
  <c r="Y298" i="6"/>
  <c r="X298" i="6"/>
  <c r="W298" i="6"/>
  <c r="V298" i="6"/>
  <c r="U298" i="6"/>
  <c r="T298" i="6"/>
  <c r="S298" i="6"/>
  <c r="AA297" i="6"/>
  <c r="Z297" i="6"/>
  <c r="Y297" i="6"/>
  <c r="X297" i="6"/>
  <c r="W297" i="6"/>
  <c r="V297" i="6"/>
  <c r="U297" i="6"/>
  <c r="T297" i="6"/>
  <c r="S297" i="6"/>
  <c r="AA296" i="6"/>
  <c r="Z296" i="6"/>
  <c r="Y296" i="6"/>
  <c r="X296" i="6"/>
  <c r="W296" i="6"/>
  <c r="V296" i="6"/>
  <c r="U296" i="6"/>
  <c r="T296" i="6"/>
  <c r="S296" i="6"/>
  <c r="AA295" i="6"/>
  <c r="Z295" i="6"/>
  <c r="Y295" i="6"/>
  <c r="X295" i="6"/>
  <c r="W295" i="6"/>
  <c r="V295" i="6"/>
  <c r="U295" i="6"/>
  <c r="T295" i="6"/>
  <c r="S295" i="6"/>
  <c r="AA294" i="6"/>
  <c r="Z294" i="6"/>
  <c r="Y294" i="6"/>
  <c r="X294" i="6"/>
  <c r="W294" i="6"/>
  <c r="V294" i="6"/>
  <c r="U294" i="6"/>
  <c r="T294" i="6"/>
  <c r="S294" i="6"/>
  <c r="AA293" i="6"/>
  <c r="Z293" i="6"/>
  <c r="Y293" i="6"/>
  <c r="X293" i="6"/>
  <c r="W293" i="6"/>
  <c r="V293" i="6"/>
  <c r="U293" i="6"/>
  <c r="T293" i="6"/>
  <c r="S293" i="6"/>
  <c r="AA292" i="6"/>
  <c r="Z292" i="6"/>
  <c r="Y292" i="6"/>
  <c r="X292" i="6"/>
  <c r="W292" i="6"/>
  <c r="V292" i="6"/>
  <c r="U292" i="6"/>
  <c r="T292" i="6"/>
  <c r="S292" i="6"/>
  <c r="Z291" i="6"/>
  <c r="Y291" i="6"/>
  <c r="X291" i="6"/>
  <c r="W291" i="6"/>
  <c r="V291" i="6"/>
  <c r="U291" i="6"/>
  <c r="T291" i="6"/>
  <c r="S291" i="6"/>
  <c r="Z290" i="6"/>
  <c r="Y290" i="6"/>
  <c r="X290" i="6"/>
  <c r="W290" i="6"/>
  <c r="V290" i="6"/>
  <c r="U290" i="6"/>
  <c r="T290" i="6"/>
  <c r="S290" i="6"/>
  <c r="Z289" i="6"/>
  <c r="Y289" i="6"/>
  <c r="X289" i="6"/>
  <c r="W289" i="6"/>
  <c r="V289" i="6"/>
  <c r="U289" i="6"/>
  <c r="T289" i="6"/>
  <c r="S289" i="6"/>
  <c r="Z288" i="6"/>
  <c r="Y288" i="6"/>
  <c r="X288" i="6"/>
  <c r="W288" i="6"/>
  <c r="V288" i="6"/>
  <c r="U288" i="6"/>
  <c r="T288" i="6"/>
  <c r="S288" i="6"/>
  <c r="Z287" i="6"/>
  <c r="Y287" i="6"/>
  <c r="X287" i="6"/>
  <c r="W287" i="6"/>
  <c r="V287" i="6"/>
  <c r="U287" i="6"/>
  <c r="T287" i="6"/>
  <c r="S287" i="6"/>
  <c r="Z286" i="6"/>
  <c r="Z285" i="6" s="1"/>
  <c r="Y286" i="6"/>
  <c r="X286" i="6"/>
  <c r="W286" i="6"/>
  <c r="V286" i="6"/>
  <c r="U286" i="6"/>
  <c r="T286" i="6"/>
  <c r="S286" i="6"/>
  <c r="AA285" i="6"/>
  <c r="Y285" i="6"/>
  <c r="BW72" i="5" s="1"/>
  <c r="R285" i="6"/>
  <c r="U285" i="6" s="1"/>
  <c r="Q285" i="6"/>
  <c r="W285" i="6" s="1"/>
  <c r="P285" i="6"/>
  <c r="O285" i="6"/>
  <c r="X285" i="6" s="1"/>
  <c r="N285" i="6"/>
  <c r="M285" i="6"/>
  <c r="L285" i="6"/>
  <c r="K285" i="6"/>
  <c r="J285" i="6"/>
  <c r="I285" i="6"/>
  <c r="H285" i="6"/>
  <c r="G285" i="6"/>
  <c r="AA284" i="6"/>
  <c r="Z284" i="6"/>
  <c r="Y284" i="6"/>
  <c r="BW71" i="5" s="1"/>
  <c r="DI71" i="5" s="1"/>
  <c r="X284" i="6"/>
  <c r="W284" i="6"/>
  <c r="V284" i="6"/>
  <c r="U284" i="6"/>
  <c r="T284" i="6"/>
  <c r="S284" i="6"/>
  <c r="AA283" i="6"/>
  <c r="Z283" i="6"/>
  <c r="Y283" i="6"/>
  <c r="X283" i="6"/>
  <c r="W283" i="6"/>
  <c r="V283" i="6"/>
  <c r="U283" i="6"/>
  <c r="T283" i="6"/>
  <c r="S283" i="6"/>
  <c r="AA282" i="6"/>
  <c r="Z282" i="6"/>
  <c r="Y282" i="6"/>
  <c r="X282" i="6"/>
  <c r="W282" i="6"/>
  <c r="V282" i="6"/>
  <c r="U282" i="6"/>
  <c r="T282" i="6"/>
  <c r="S282" i="6"/>
  <c r="AA281" i="6"/>
  <c r="Z281" i="6"/>
  <c r="Y281" i="6"/>
  <c r="BW69" i="5" s="1"/>
  <c r="X281" i="6"/>
  <c r="W281" i="6"/>
  <c r="V281" i="6"/>
  <c r="U281" i="6"/>
  <c r="T281" i="6"/>
  <c r="S281" i="6"/>
  <c r="R280" i="6"/>
  <c r="U280" i="6" s="1"/>
  <c r="Q280" i="6"/>
  <c r="W280" i="6" s="1"/>
  <c r="P280" i="6"/>
  <c r="O280" i="6"/>
  <c r="X280" i="6" s="1"/>
  <c r="N280" i="6"/>
  <c r="M280" i="6"/>
  <c r="L280" i="6"/>
  <c r="K280" i="6"/>
  <c r="J280" i="6"/>
  <c r="I280" i="6"/>
  <c r="H280" i="6"/>
  <c r="G280" i="6"/>
  <c r="AA279" i="6"/>
  <c r="Z279" i="6"/>
  <c r="Y279" i="6"/>
  <c r="X279" i="6"/>
  <c r="W279" i="6"/>
  <c r="V279" i="6"/>
  <c r="U279" i="6"/>
  <c r="T279" i="6"/>
  <c r="S279" i="6"/>
  <c r="AA278" i="6"/>
  <c r="Z278" i="6"/>
  <c r="Z277" i="6" s="1"/>
  <c r="Y278" i="6"/>
  <c r="X278" i="6"/>
  <c r="W278" i="6"/>
  <c r="V278" i="6"/>
  <c r="U278" i="6"/>
  <c r="T278" i="6"/>
  <c r="S278" i="6"/>
  <c r="AA277" i="6"/>
  <c r="Y277" i="6"/>
  <c r="BW66" i="5" s="1"/>
  <c r="DI66" i="5" s="1"/>
  <c r="R277" i="6"/>
  <c r="V277" i="6" s="1"/>
  <c r="Q277" i="6"/>
  <c r="W277" i="6" s="1"/>
  <c r="P277" i="6"/>
  <c r="O277" i="6"/>
  <c r="X277" i="6" s="1"/>
  <c r="N277" i="6"/>
  <c r="M277" i="6"/>
  <c r="S277" i="6" s="1"/>
  <c r="L277" i="6"/>
  <c r="K277" i="6"/>
  <c r="J277" i="6"/>
  <c r="I277" i="6"/>
  <c r="H277" i="6"/>
  <c r="G277" i="6"/>
  <c r="AA276" i="6"/>
  <c r="AH276" i="6" s="1"/>
  <c r="Z276" i="6"/>
  <c r="Y276" i="6"/>
  <c r="BW59" i="5" s="1"/>
  <c r="DI59" i="5" s="1"/>
  <c r="X276" i="6"/>
  <c r="X347" i="6" s="1"/>
  <c r="W276" i="6"/>
  <c r="W347" i="6" s="1"/>
  <c r="V276" i="6"/>
  <c r="V347" i="6" s="1"/>
  <c r="U276" i="6"/>
  <c r="U347" i="6" s="1"/>
  <c r="T276" i="6"/>
  <c r="T347" i="6" s="1"/>
  <c r="S276" i="6"/>
  <c r="S347" i="6" s="1"/>
  <c r="AB275" i="6"/>
  <c r="AB378" i="6" s="1"/>
  <c r="AA275" i="6"/>
  <c r="AA378" i="6" s="1"/>
  <c r="Z275" i="6"/>
  <c r="Z378" i="6" s="1"/>
  <c r="Y275" i="6"/>
  <c r="Y378" i="6" s="1"/>
  <c r="X275" i="6"/>
  <c r="W275" i="6"/>
  <c r="V275" i="6"/>
  <c r="U275" i="6"/>
  <c r="T275" i="6"/>
  <c r="S275" i="6"/>
  <c r="AA274" i="6"/>
  <c r="Z274" i="6"/>
  <c r="Y274" i="6"/>
  <c r="X274" i="6"/>
  <c r="W274" i="6"/>
  <c r="V274" i="6"/>
  <c r="U274" i="6"/>
  <c r="T274" i="6"/>
  <c r="S274" i="6"/>
  <c r="AA273" i="6"/>
  <c r="Z273" i="6"/>
  <c r="Y273" i="6"/>
  <c r="X273" i="6"/>
  <c r="W273" i="6"/>
  <c r="V273" i="6"/>
  <c r="U273" i="6"/>
  <c r="T273" i="6"/>
  <c r="S273" i="6"/>
  <c r="AA272" i="6"/>
  <c r="Z272" i="6"/>
  <c r="Y272" i="6"/>
  <c r="X272" i="6"/>
  <c r="W272" i="6"/>
  <c r="V272" i="6"/>
  <c r="U272" i="6"/>
  <c r="T272" i="6"/>
  <c r="S272" i="6"/>
  <c r="AA271" i="6"/>
  <c r="Z271" i="6"/>
  <c r="Y271" i="6"/>
  <c r="X271" i="6"/>
  <c r="W271" i="6"/>
  <c r="V271" i="6"/>
  <c r="U271" i="6"/>
  <c r="S271" i="6"/>
  <c r="AA270" i="6"/>
  <c r="Z270" i="6"/>
  <c r="Y270" i="6"/>
  <c r="X270" i="6"/>
  <c r="W270" i="6"/>
  <c r="V270" i="6"/>
  <c r="U270" i="6"/>
  <c r="T270" i="6"/>
  <c r="S270" i="6"/>
  <c r="AA269" i="6"/>
  <c r="Z269" i="6"/>
  <c r="Y269" i="6"/>
  <c r="X269" i="6"/>
  <c r="W269" i="6"/>
  <c r="V269" i="6"/>
  <c r="U269" i="6"/>
  <c r="T269" i="6"/>
  <c r="S269" i="6"/>
  <c r="AA268" i="6"/>
  <c r="Z268" i="6"/>
  <c r="Y268" i="6"/>
  <c r="X268" i="6"/>
  <c r="W268" i="6"/>
  <c r="V268" i="6"/>
  <c r="U268" i="6"/>
  <c r="S268" i="6"/>
  <c r="Z267" i="6"/>
  <c r="Z379" i="6" s="1"/>
  <c r="T267" i="6"/>
  <c r="R267" i="6"/>
  <c r="R379" i="6" s="1"/>
  <c r="Q267" i="6"/>
  <c r="Q379" i="6" s="1"/>
  <c r="P267" i="6"/>
  <c r="P379" i="6" s="1"/>
  <c r="O267" i="6"/>
  <c r="O379" i="6" s="1"/>
  <c r="N267" i="6"/>
  <c r="N379" i="6" s="1"/>
  <c r="M267" i="6"/>
  <c r="L267" i="6"/>
  <c r="K267" i="6"/>
  <c r="J267" i="6"/>
  <c r="I267" i="6"/>
  <c r="H267" i="6"/>
  <c r="G267" i="6"/>
  <c r="AC266" i="6"/>
  <c r="AA266" i="6"/>
  <c r="AH266" i="6" s="1"/>
  <c r="Z266" i="6"/>
  <c r="AF266" i="6" s="1"/>
  <c r="Y266" i="6"/>
  <c r="AD266" i="6" s="1"/>
  <c r="X266" i="6"/>
  <c r="W266" i="6"/>
  <c r="V266" i="6"/>
  <c r="U266" i="6"/>
  <c r="T266" i="6"/>
  <c r="S266" i="6"/>
  <c r="AA265" i="6"/>
  <c r="AH265" i="6" s="1"/>
  <c r="Z265" i="6"/>
  <c r="AF265" i="6" s="1"/>
  <c r="Y265" i="6"/>
  <c r="AD265" i="6" s="1"/>
  <c r="X265" i="6"/>
  <c r="W265" i="6"/>
  <c r="V265" i="6"/>
  <c r="U265" i="6"/>
  <c r="T265" i="6"/>
  <c r="S265" i="6"/>
  <c r="AC264" i="6"/>
  <c r="AA264" i="6"/>
  <c r="AI264" i="6" s="1"/>
  <c r="Z264" i="6"/>
  <c r="AG264" i="6" s="1"/>
  <c r="Y264" i="6"/>
  <c r="AE264" i="6" s="1"/>
  <c r="X264" i="6"/>
  <c r="W264" i="6"/>
  <c r="V264" i="6"/>
  <c r="U264" i="6"/>
  <c r="T264" i="6"/>
  <c r="S264" i="6"/>
  <c r="AC263" i="6"/>
  <c r="AA263" i="6"/>
  <c r="AI263" i="6" s="1"/>
  <c r="Z263" i="6"/>
  <c r="AG263" i="6" s="1"/>
  <c r="Y263" i="6"/>
  <c r="AE263" i="6" s="1"/>
  <c r="X263" i="6"/>
  <c r="W263" i="6"/>
  <c r="V263" i="6"/>
  <c r="U263" i="6"/>
  <c r="T263" i="6"/>
  <c r="S263" i="6"/>
  <c r="AC262" i="6"/>
  <c r="AB262" i="6"/>
  <c r="Z262" i="6"/>
  <c r="O262" i="6"/>
  <c r="X262" i="6" s="1"/>
  <c r="N262" i="6"/>
  <c r="M262" i="6"/>
  <c r="L262" i="6"/>
  <c r="K262" i="6"/>
  <c r="J262" i="6"/>
  <c r="I262" i="6"/>
  <c r="H262" i="6"/>
  <c r="G262" i="6"/>
  <c r="AA261" i="6"/>
  <c r="Z261" i="6"/>
  <c r="Y261" i="6"/>
  <c r="X261" i="6"/>
  <c r="W261" i="6"/>
  <c r="V261" i="6"/>
  <c r="U261" i="6"/>
  <c r="T261" i="6"/>
  <c r="S261" i="6"/>
  <c r="AA260" i="6"/>
  <c r="Z260" i="6"/>
  <c r="Y260" i="6"/>
  <c r="X260" i="6"/>
  <c r="W260" i="6"/>
  <c r="V260" i="6"/>
  <c r="U260" i="6"/>
  <c r="T260" i="6"/>
  <c r="S260" i="6"/>
  <c r="AA259" i="6"/>
  <c r="Z259" i="6"/>
  <c r="Y259" i="6"/>
  <c r="X259" i="6"/>
  <c r="W259" i="6"/>
  <c r="V259" i="6"/>
  <c r="U259" i="6"/>
  <c r="T259" i="6"/>
  <c r="S259" i="6"/>
  <c r="AA258" i="6"/>
  <c r="Z258" i="6"/>
  <c r="Y258" i="6"/>
  <c r="X258" i="6"/>
  <c r="W258" i="6"/>
  <c r="V258" i="6"/>
  <c r="U258" i="6"/>
  <c r="T258" i="6"/>
  <c r="S258" i="6"/>
  <c r="AA257" i="6"/>
  <c r="AC257" i="6" s="1"/>
  <c r="Z257" i="6"/>
  <c r="Y257" i="6"/>
  <c r="X257" i="6"/>
  <c r="W257" i="6"/>
  <c r="V257" i="6"/>
  <c r="U257" i="6"/>
  <c r="T257" i="6"/>
  <c r="S257" i="6"/>
  <c r="AA256" i="6"/>
  <c r="Z256" i="6"/>
  <c r="Y256" i="6"/>
  <c r="X256" i="6"/>
  <c r="W256" i="6"/>
  <c r="V256" i="6"/>
  <c r="U256" i="6"/>
  <c r="T256" i="6"/>
  <c r="S256" i="6"/>
  <c r="AA255" i="6"/>
  <c r="Z255" i="6"/>
  <c r="Y255" i="6"/>
  <c r="X255" i="6"/>
  <c r="W255" i="6"/>
  <c r="V255" i="6"/>
  <c r="U255" i="6"/>
  <c r="T255" i="6"/>
  <c r="S255" i="6"/>
  <c r="AA254" i="6"/>
  <c r="AA376" i="6" s="1"/>
  <c r="Z254" i="6"/>
  <c r="Z376" i="6" s="1"/>
  <c r="Y254" i="6"/>
  <c r="Y376" i="6" s="1"/>
  <c r="X254" i="6"/>
  <c r="W254" i="6"/>
  <c r="V254" i="6"/>
  <c r="U254" i="6"/>
  <c r="T254" i="6"/>
  <c r="S254" i="6"/>
  <c r="AC253" i="6"/>
  <c r="AA253" i="6"/>
  <c r="AH253" i="6" s="1"/>
  <c r="Z253" i="6"/>
  <c r="AG253" i="6" s="1"/>
  <c r="Y253" i="6"/>
  <c r="AD253" i="6" s="1"/>
  <c r="X253" i="6"/>
  <c r="W253" i="6"/>
  <c r="V253" i="6"/>
  <c r="U253" i="6"/>
  <c r="T253" i="6"/>
  <c r="S253" i="6"/>
  <c r="AC252" i="6"/>
  <c r="AA252" i="6"/>
  <c r="AH252" i="6" s="1"/>
  <c r="Z252" i="6"/>
  <c r="AG252" i="6" s="1"/>
  <c r="Y252" i="6"/>
  <c r="AD252" i="6" s="1"/>
  <c r="X252" i="6"/>
  <c r="W252" i="6"/>
  <c r="V252" i="6"/>
  <c r="U252" i="6"/>
  <c r="T252" i="6"/>
  <c r="S252" i="6"/>
  <c r="AC251" i="6"/>
  <c r="AA251" i="6"/>
  <c r="AI251" i="6" s="1"/>
  <c r="Z251" i="6"/>
  <c r="AG251" i="6" s="1"/>
  <c r="Y251" i="6"/>
  <c r="AD251" i="6" s="1"/>
  <c r="X251" i="6"/>
  <c r="W251" i="6"/>
  <c r="V251" i="6"/>
  <c r="U251" i="6"/>
  <c r="T251" i="6"/>
  <c r="S251" i="6"/>
  <c r="AI250" i="6"/>
  <c r="AH250" i="6"/>
  <c r="AC250" i="6"/>
  <c r="Z250" i="6"/>
  <c r="AG250" i="6" s="1"/>
  <c r="Y250" i="6"/>
  <c r="AD250" i="6" s="1"/>
  <c r="X250" i="6"/>
  <c r="X349" i="6" s="1"/>
  <c r="W250" i="6"/>
  <c r="V250" i="6"/>
  <c r="V349" i="6" s="1"/>
  <c r="U250" i="6"/>
  <c r="T250" i="6"/>
  <c r="T349" i="6" s="1"/>
  <c r="S250" i="6"/>
  <c r="AA249" i="6"/>
  <c r="U249" i="6"/>
  <c r="R249" i="6"/>
  <c r="Q249" i="6"/>
  <c r="P249" i="6"/>
  <c r="O249" i="6"/>
  <c r="O321" i="6" s="1"/>
  <c r="N249" i="6"/>
  <c r="N321" i="6" s="1"/>
  <c r="M249" i="6"/>
  <c r="M321" i="6" s="1"/>
  <c r="L249" i="6"/>
  <c r="L321" i="6" s="1"/>
  <c r="K249" i="6"/>
  <c r="K321" i="6" s="1"/>
  <c r="J249" i="6"/>
  <c r="J321" i="6" s="1"/>
  <c r="I249" i="6"/>
  <c r="I321" i="6" s="1"/>
  <c r="H249" i="6"/>
  <c r="H321" i="6" s="1"/>
  <c r="G249" i="6"/>
  <c r="G321" i="6" s="1"/>
  <c r="AC248" i="6"/>
  <c r="AC346" i="6" s="1"/>
  <c r="AC348" i="6" s="1"/>
  <c r="AA248" i="6"/>
  <c r="AA346" i="6" s="1"/>
  <c r="Z248" i="6"/>
  <c r="Z346" i="6" s="1"/>
  <c r="Y248" i="6"/>
  <c r="Y346" i="6" s="1"/>
  <c r="X248" i="6"/>
  <c r="X346" i="6" s="1"/>
  <c r="W248" i="6"/>
  <c r="W346" i="6" s="1"/>
  <c r="V248" i="6"/>
  <c r="V346" i="6" s="1"/>
  <c r="U248" i="6"/>
  <c r="U346" i="6" s="1"/>
  <c r="T248" i="6"/>
  <c r="T346" i="6" s="1"/>
  <c r="S248" i="6"/>
  <c r="S346" i="6" s="1"/>
  <c r="AA247" i="6"/>
  <c r="Z247" i="6"/>
  <c r="Y247" i="6"/>
  <c r="BW56" i="5" s="1"/>
  <c r="DI56" i="5" s="1"/>
  <c r="X247" i="6"/>
  <c r="W247" i="6"/>
  <c r="V247" i="6"/>
  <c r="U247" i="6"/>
  <c r="T247" i="6"/>
  <c r="S247" i="6"/>
  <c r="AA245" i="6"/>
  <c r="Z245" i="6"/>
  <c r="Y245" i="6"/>
  <c r="BW49" i="5" s="1"/>
  <c r="DI49" i="5" s="1"/>
  <c r="X245" i="6"/>
  <c r="W245" i="6"/>
  <c r="V245" i="6"/>
  <c r="U245" i="6"/>
  <c r="T245" i="6"/>
  <c r="S245" i="6"/>
  <c r="AG244" i="6"/>
  <c r="AF244" i="6"/>
  <c r="AE244" i="6"/>
  <c r="AD244" i="6"/>
  <c r="AC244" i="6"/>
  <c r="AA244" i="6"/>
  <c r="AH244" i="6" s="1"/>
  <c r="X244" i="6"/>
  <c r="W244" i="6"/>
  <c r="V244" i="6"/>
  <c r="U244" i="6"/>
  <c r="T244" i="6"/>
  <c r="S244" i="6"/>
  <c r="AA243" i="6"/>
  <c r="Z243" i="6"/>
  <c r="Y243" i="6"/>
  <c r="BW50" i="5" s="1"/>
  <c r="DI50" i="5" s="1"/>
  <c r="X243" i="6"/>
  <c r="W243" i="6"/>
  <c r="V243" i="6"/>
  <c r="U243" i="6"/>
  <c r="T243" i="6"/>
  <c r="S243" i="6"/>
  <c r="AA242" i="6"/>
  <c r="Z242" i="6"/>
  <c r="Y242" i="6"/>
  <c r="X242" i="6"/>
  <c r="R242" i="6"/>
  <c r="V242" i="6" s="1"/>
  <c r="Q242" i="6"/>
  <c r="W242" i="6" s="1"/>
  <c r="P242" i="6"/>
  <c r="O242" i="6"/>
  <c r="N242" i="6"/>
  <c r="M242" i="6"/>
  <c r="L242" i="6"/>
  <c r="K242" i="6"/>
  <c r="J242" i="6"/>
  <c r="I242" i="6"/>
  <c r="H242" i="6"/>
  <c r="G242" i="6"/>
  <c r="AA241" i="6"/>
  <c r="AA240" i="6" s="1"/>
  <c r="Z241" i="6"/>
  <c r="Y241" i="6"/>
  <c r="Y240" i="6" s="1"/>
  <c r="BW47" i="5" s="1"/>
  <c r="DI47" i="5" s="1"/>
  <c r="X241" i="6"/>
  <c r="W241" i="6"/>
  <c r="V241" i="6"/>
  <c r="U241" i="6"/>
  <c r="T241" i="6"/>
  <c r="S241" i="6"/>
  <c r="Z240" i="6"/>
  <c r="X240" i="6"/>
  <c r="W240" i="6"/>
  <c r="V240" i="6"/>
  <c r="U240" i="6"/>
  <c r="T240" i="6"/>
  <c r="S240" i="6"/>
  <c r="L240" i="6"/>
  <c r="K240" i="6"/>
  <c r="J240" i="6"/>
  <c r="I240" i="6"/>
  <c r="H240" i="6"/>
  <c r="G240" i="6"/>
  <c r="AA239" i="6"/>
  <c r="Z239" i="6"/>
  <c r="Y239" i="6"/>
  <c r="X239" i="6"/>
  <c r="W239" i="6"/>
  <c r="V239" i="6"/>
  <c r="U239" i="6"/>
  <c r="T239" i="6"/>
  <c r="S239" i="6"/>
  <c r="AA238" i="6"/>
  <c r="Z238" i="6"/>
  <c r="Y238" i="6"/>
  <c r="X238" i="6"/>
  <c r="W238" i="6"/>
  <c r="V238" i="6"/>
  <c r="U238" i="6"/>
  <c r="T238" i="6"/>
  <c r="S238" i="6"/>
  <c r="AA237" i="6"/>
  <c r="Z237" i="6"/>
  <c r="Y237" i="6"/>
  <c r="X237" i="6"/>
  <c r="W237" i="6"/>
  <c r="V237" i="6"/>
  <c r="U237" i="6"/>
  <c r="T237" i="6"/>
  <c r="S237" i="6"/>
  <c r="AA236" i="6"/>
  <c r="Z236" i="6"/>
  <c r="Z234" i="6" s="1"/>
  <c r="Y236" i="6"/>
  <c r="X236" i="6"/>
  <c r="W236" i="6"/>
  <c r="V236" i="6"/>
  <c r="U236" i="6"/>
  <c r="T236" i="6"/>
  <c r="S236" i="6"/>
  <c r="AA235" i="6"/>
  <c r="AA234" i="6" s="1"/>
  <c r="Z235" i="6"/>
  <c r="Y235" i="6"/>
  <c r="X235" i="6"/>
  <c r="W235" i="6"/>
  <c r="V235" i="6"/>
  <c r="U235" i="6"/>
  <c r="T235" i="6"/>
  <c r="S235" i="6"/>
  <c r="X234" i="6"/>
  <c r="R234" i="6"/>
  <c r="V234" i="6" s="1"/>
  <c r="Q234" i="6"/>
  <c r="W234" i="6" s="1"/>
  <c r="P234" i="6"/>
  <c r="O234" i="6"/>
  <c r="N234" i="6"/>
  <c r="M234" i="6"/>
  <c r="L234" i="6"/>
  <c r="K234" i="6"/>
  <c r="J234" i="6"/>
  <c r="I234" i="6"/>
  <c r="H234" i="6"/>
  <c r="G234" i="6"/>
  <c r="Z233" i="6"/>
  <c r="Y233" i="6"/>
  <c r="X233" i="6"/>
  <c r="W233" i="6"/>
  <c r="V233" i="6"/>
  <c r="U233" i="6"/>
  <c r="T233" i="6"/>
  <c r="S233" i="6"/>
  <c r="AA232" i="6"/>
  <c r="Z232" i="6"/>
  <c r="Y232" i="6"/>
  <c r="X232" i="6"/>
  <c r="W232" i="6"/>
  <c r="V232" i="6"/>
  <c r="U232" i="6"/>
  <c r="T232" i="6"/>
  <c r="S232" i="6"/>
  <c r="AA231" i="6"/>
  <c r="Z231" i="6"/>
  <c r="Y231" i="6"/>
  <c r="X231" i="6"/>
  <c r="W231" i="6"/>
  <c r="V231" i="6"/>
  <c r="U231" i="6"/>
  <c r="T231" i="6"/>
  <c r="S231" i="6"/>
  <c r="AA230" i="6"/>
  <c r="Z230" i="6"/>
  <c r="Y230" i="6"/>
  <c r="X230" i="6"/>
  <c r="W230" i="6"/>
  <c r="V230" i="6"/>
  <c r="U230" i="6"/>
  <c r="T230" i="6"/>
  <c r="S230" i="6"/>
  <c r="AA229" i="6"/>
  <c r="Z229" i="6"/>
  <c r="Y229" i="6"/>
  <c r="X229" i="6"/>
  <c r="W229" i="6"/>
  <c r="V229" i="6"/>
  <c r="U229" i="6"/>
  <c r="T229" i="6"/>
  <c r="S229" i="6"/>
  <c r="Y228" i="6"/>
  <c r="BW45" i="5" s="1"/>
  <c r="DI45" i="5" s="1"/>
  <c r="U228" i="6"/>
  <c r="R228" i="6"/>
  <c r="V228" i="6" s="1"/>
  <c r="Q228" i="6"/>
  <c r="W228" i="6" s="1"/>
  <c r="P228" i="6"/>
  <c r="O228" i="6"/>
  <c r="X228" i="6" s="1"/>
  <c r="N228" i="6"/>
  <c r="M228" i="6"/>
  <c r="S228" i="6" s="1"/>
  <c r="L228" i="6"/>
  <c r="K228" i="6"/>
  <c r="J228" i="6"/>
  <c r="I228" i="6"/>
  <c r="H228" i="6"/>
  <c r="G228" i="6"/>
  <c r="AA227" i="6"/>
  <c r="Z227" i="6"/>
  <c r="Y227" i="6"/>
  <c r="X227" i="6"/>
  <c r="W227" i="6"/>
  <c r="V227" i="6"/>
  <c r="U227" i="6"/>
  <c r="T227" i="6"/>
  <c r="S227" i="6"/>
  <c r="AA226" i="6"/>
  <c r="Z226" i="6"/>
  <c r="Y226" i="6"/>
  <c r="X226" i="6"/>
  <c r="W226" i="6"/>
  <c r="V226" i="6"/>
  <c r="U226" i="6"/>
  <c r="T226" i="6"/>
  <c r="S226" i="6"/>
  <c r="AA225" i="6"/>
  <c r="Z225" i="6"/>
  <c r="Y225" i="6"/>
  <c r="X225" i="6"/>
  <c r="W225" i="6"/>
  <c r="V225" i="6"/>
  <c r="U225" i="6"/>
  <c r="T225" i="6"/>
  <c r="S225" i="6"/>
  <c r="AA224" i="6"/>
  <c r="Z224" i="6"/>
  <c r="Y224" i="6"/>
  <c r="X224" i="6"/>
  <c r="W224" i="6"/>
  <c r="V224" i="6"/>
  <c r="U224" i="6"/>
  <c r="T224" i="6"/>
  <c r="S224" i="6"/>
  <c r="AA223" i="6"/>
  <c r="Z223" i="6"/>
  <c r="Y223" i="6"/>
  <c r="X223" i="6"/>
  <c r="W223" i="6"/>
  <c r="V223" i="6"/>
  <c r="U223" i="6"/>
  <c r="T223" i="6"/>
  <c r="S223" i="6"/>
  <c r="AA222" i="6"/>
  <c r="Z222" i="6"/>
  <c r="Z220" i="6" s="1"/>
  <c r="Y222" i="6"/>
  <c r="X222" i="6"/>
  <c r="W222" i="6"/>
  <c r="V222" i="6"/>
  <c r="U222" i="6"/>
  <c r="T222" i="6"/>
  <c r="S222" i="6"/>
  <c r="AA221" i="6"/>
  <c r="AA220" i="6" s="1"/>
  <c r="Z221" i="6"/>
  <c r="Y221" i="6"/>
  <c r="X221" i="6"/>
  <c r="W221" i="6"/>
  <c r="V221" i="6"/>
  <c r="U221" i="6"/>
  <c r="T221" i="6"/>
  <c r="S221" i="6"/>
  <c r="X220" i="6"/>
  <c r="R220" i="6"/>
  <c r="V220" i="6" s="1"/>
  <c r="Q220" i="6"/>
  <c r="W220" i="6" s="1"/>
  <c r="P220" i="6"/>
  <c r="O220" i="6"/>
  <c r="N220" i="6"/>
  <c r="M220" i="6"/>
  <c r="L220" i="6"/>
  <c r="K220" i="6"/>
  <c r="J220" i="6"/>
  <c r="I220" i="6"/>
  <c r="H220" i="6"/>
  <c r="G220" i="6"/>
  <c r="AA219" i="6"/>
  <c r="Z219" i="6"/>
  <c r="Y219" i="6"/>
  <c r="X219" i="6"/>
  <c r="W219" i="6"/>
  <c r="V219" i="6"/>
  <c r="U219" i="6"/>
  <c r="T219" i="6"/>
  <c r="S219" i="6"/>
  <c r="AA218" i="6"/>
  <c r="Z218" i="6"/>
  <c r="Y218" i="6"/>
  <c r="X218" i="6"/>
  <c r="W218" i="6"/>
  <c r="V218" i="6"/>
  <c r="U218" i="6"/>
  <c r="T218" i="6"/>
  <c r="S218" i="6"/>
  <c r="AA217" i="6"/>
  <c r="Z217" i="6"/>
  <c r="Y217" i="6"/>
  <c r="X217" i="6"/>
  <c r="W217" i="6"/>
  <c r="V217" i="6"/>
  <c r="U217" i="6"/>
  <c r="T217" i="6"/>
  <c r="S217" i="6"/>
  <c r="AA216" i="6"/>
  <c r="Z216" i="6"/>
  <c r="Z214" i="6" s="1"/>
  <c r="Y216" i="6"/>
  <c r="X216" i="6"/>
  <c r="W216" i="6"/>
  <c r="V216" i="6"/>
  <c r="U216" i="6"/>
  <c r="T216" i="6"/>
  <c r="S216" i="6"/>
  <c r="AA215" i="6"/>
  <c r="Z215" i="6"/>
  <c r="Y215" i="6"/>
  <c r="X215" i="6"/>
  <c r="W215" i="6"/>
  <c r="V215" i="6"/>
  <c r="U215" i="6"/>
  <c r="T215" i="6"/>
  <c r="S215" i="6"/>
  <c r="X214" i="6"/>
  <c r="R214" i="6"/>
  <c r="V214" i="6" s="1"/>
  <c r="Q214" i="6"/>
  <c r="W214" i="6" s="1"/>
  <c r="P214" i="6"/>
  <c r="O214" i="6"/>
  <c r="N214" i="6"/>
  <c r="M214" i="6"/>
  <c r="L214" i="6"/>
  <c r="K214" i="6"/>
  <c r="J214" i="6"/>
  <c r="I214" i="6"/>
  <c r="H214" i="6"/>
  <c r="G214" i="6"/>
  <c r="AA213" i="6"/>
  <c r="Z213" i="6"/>
  <c r="Y213" i="6"/>
  <c r="X213" i="6"/>
  <c r="W213" i="6"/>
  <c r="V213" i="6"/>
  <c r="U213" i="6"/>
  <c r="T213" i="6"/>
  <c r="S213" i="6"/>
  <c r="AA212" i="6"/>
  <c r="Z212" i="6"/>
  <c r="Z211" i="6" s="1"/>
  <c r="Y212" i="6"/>
  <c r="X212" i="6"/>
  <c r="W212" i="6"/>
  <c r="V212" i="6"/>
  <c r="U212" i="6"/>
  <c r="T212" i="6"/>
  <c r="S212" i="6"/>
  <c r="AA211" i="6"/>
  <c r="U211" i="6"/>
  <c r="R211" i="6"/>
  <c r="V211" i="6" s="1"/>
  <c r="Q211" i="6"/>
  <c r="W211" i="6" s="1"/>
  <c r="P211" i="6"/>
  <c r="O211" i="6"/>
  <c r="X211" i="6" s="1"/>
  <c r="N211" i="6"/>
  <c r="M211" i="6"/>
  <c r="S211" i="6" s="1"/>
  <c r="L211" i="6"/>
  <c r="K211" i="6"/>
  <c r="J211" i="6"/>
  <c r="I211" i="6"/>
  <c r="H211" i="6"/>
  <c r="G211" i="6"/>
  <c r="AA210" i="6"/>
  <c r="Z210" i="6"/>
  <c r="Y210" i="6"/>
  <c r="X210" i="6"/>
  <c r="W210" i="6"/>
  <c r="V210" i="6"/>
  <c r="U210" i="6"/>
  <c r="T210" i="6"/>
  <c r="S210" i="6"/>
  <c r="AA209" i="6"/>
  <c r="Z209" i="6"/>
  <c r="Y209" i="6"/>
  <c r="X209" i="6"/>
  <c r="W209" i="6"/>
  <c r="V209" i="6"/>
  <c r="U209" i="6"/>
  <c r="T209" i="6"/>
  <c r="S209" i="6"/>
  <c r="AA208" i="6"/>
  <c r="Z208" i="6"/>
  <c r="Y208" i="6"/>
  <c r="X208" i="6"/>
  <c r="W208" i="6"/>
  <c r="V208" i="6"/>
  <c r="U208" i="6"/>
  <c r="T208" i="6"/>
  <c r="S208" i="6"/>
  <c r="AA207" i="6"/>
  <c r="Z207" i="6"/>
  <c r="Y207" i="6"/>
  <c r="X207" i="6"/>
  <c r="W207" i="6"/>
  <c r="V207" i="6"/>
  <c r="U207" i="6"/>
  <c r="T207" i="6"/>
  <c r="S207" i="6"/>
  <c r="Z206" i="6"/>
  <c r="R206" i="6"/>
  <c r="V206" i="6" s="1"/>
  <c r="Q206" i="6"/>
  <c r="W206" i="6" s="1"/>
  <c r="P206" i="6"/>
  <c r="O206" i="6"/>
  <c r="X206" i="6" s="1"/>
  <c r="N206" i="6"/>
  <c r="M206" i="6"/>
  <c r="L206" i="6"/>
  <c r="K206" i="6"/>
  <c r="J206" i="6"/>
  <c r="I206" i="6"/>
  <c r="H206" i="6"/>
  <c r="G206" i="6"/>
  <c r="R205" i="6"/>
  <c r="U205" i="6" s="1"/>
  <c r="Q205" i="6"/>
  <c r="W205" i="6" s="1"/>
  <c r="P205" i="6"/>
  <c r="O205" i="6"/>
  <c r="X205" i="6" s="1"/>
  <c r="N205" i="6"/>
  <c r="M205" i="6"/>
  <c r="L205" i="6"/>
  <c r="K205" i="6"/>
  <c r="J205" i="6"/>
  <c r="I205" i="6"/>
  <c r="H205" i="6"/>
  <c r="G205" i="6"/>
  <c r="X204" i="6"/>
  <c r="W204" i="6"/>
  <c r="V204" i="6"/>
  <c r="U204" i="6"/>
  <c r="T204" i="6"/>
  <c r="S204" i="6"/>
  <c r="X203" i="6"/>
  <c r="W203" i="6"/>
  <c r="V203" i="6"/>
  <c r="U203" i="6"/>
  <c r="T203" i="6"/>
  <c r="S203" i="6"/>
  <c r="X202" i="6"/>
  <c r="W202" i="6"/>
  <c r="V202" i="6"/>
  <c r="U202" i="6"/>
  <c r="T202" i="6"/>
  <c r="S202" i="6"/>
  <c r="AA201" i="6"/>
  <c r="Z201" i="6"/>
  <c r="Y201" i="6"/>
  <c r="X201" i="6"/>
  <c r="W201" i="6"/>
  <c r="V201" i="6"/>
  <c r="U201" i="6"/>
  <c r="T201" i="6"/>
  <c r="S201" i="6"/>
  <c r="AA200" i="6"/>
  <c r="Z200" i="6"/>
  <c r="Y200" i="6"/>
  <c r="X200" i="6"/>
  <c r="W200" i="6"/>
  <c r="V200" i="6"/>
  <c r="U200" i="6"/>
  <c r="T200" i="6"/>
  <c r="S200" i="6"/>
  <c r="AA199" i="6"/>
  <c r="Z199" i="6"/>
  <c r="Y199" i="6"/>
  <c r="X199" i="6"/>
  <c r="W199" i="6"/>
  <c r="V199" i="6"/>
  <c r="U199" i="6"/>
  <c r="T199" i="6"/>
  <c r="S199" i="6"/>
  <c r="AA198" i="6"/>
  <c r="Z198" i="6"/>
  <c r="Y198" i="6"/>
  <c r="X198" i="6"/>
  <c r="W198" i="6"/>
  <c r="V198" i="6"/>
  <c r="U198" i="6"/>
  <c r="T198" i="6"/>
  <c r="S198" i="6"/>
  <c r="AA197" i="6"/>
  <c r="Z197" i="6"/>
  <c r="Y197" i="6"/>
  <c r="X197" i="6"/>
  <c r="W197" i="6"/>
  <c r="V197" i="6"/>
  <c r="U197" i="6"/>
  <c r="T197" i="6"/>
  <c r="S197" i="6"/>
  <c r="AA196" i="6"/>
  <c r="Z196" i="6"/>
  <c r="Y196" i="6"/>
  <c r="X196" i="6"/>
  <c r="W196" i="6"/>
  <c r="V196" i="6"/>
  <c r="U196" i="6"/>
  <c r="T196" i="6"/>
  <c r="S196" i="6"/>
  <c r="AA195" i="6"/>
  <c r="Z195" i="6"/>
  <c r="Y195" i="6"/>
  <c r="X195" i="6"/>
  <c r="W195" i="6"/>
  <c r="V195" i="6"/>
  <c r="U195" i="6"/>
  <c r="T195" i="6"/>
  <c r="S195" i="6"/>
  <c r="AA194" i="6"/>
  <c r="Z194" i="6"/>
  <c r="Y194" i="6"/>
  <c r="X194" i="6"/>
  <c r="W194" i="6"/>
  <c r="V194" i="6"/>
  <c r="U194" i="6"/>
  <c r="T194" i="6"/>
  <c r="S194" i="6"/>
  <c r="AA193" i="6"/>
  <c r="Z193" i="6"/>
  <c r="Y193" i="6"/>
  <c r="X193" i="6"/>
  <c r="W193" i="6"/>
  <c r="V193" i="6"/>
  <c r="U193" i="6"/>
  <c r="T193" i="6"/>
  <c r="S193" i="6"/>
  <c r="AA192" i="6"/>
  <c r="Z192" i="6"/>
  <c r="Y192" i="6"/>
  <c r="X192" i="6"/>
  <c r="W192" i="6"/>
  <c r="V192" i="6"/>
  <c r="U192" i="6"/>
  <c r="T192" i="6"/>
  <c r="S192" i="6"/>
  <c r="AA191" i="6"/>
  <c r="Z191" i="6"/>
  <c r="Y191" i="6"/>
  <c r="X191" i="6"/>
  <c r="W191" i="6"/>
  <c r="V191" i="6"/>
  <c r="U191" i="6"/>
  <c r="T191" i="6"/>
  <c r="S191" i="6"/>
  <c r="AA190" i="6"/>
  <c r="Z190" i="6"/>
  <c r="Y190" i="6"/>
  <c r="BW29" i="5" s="1"/>
  <c r="DI29" i="5" s="1"/>
  <c r="X190" i="6"/>
  <c r="W190" i="6"/>
  <c r="V190" i="6"/>
  <c r="U190" i="6"/>
  <c r="T190" i="6"/>
  <c r="S190" i="6"/>
  <c r="AA189" i="6"/>
  <c r="Z189" i="6"/>
  <c r="Y189" i="6"/>
  <c r="X189" i="6"/>
  <c r="W189" i="6"/>
  <c r="V189" i="6"/>
  <c r="U189" i="6"/>
  <c r="T189" i="6"/>
  <c r="S189" i="6"/>
  <c r="AA188" i="6"/>
  <c r="Z188" i="6"/>
  <c r="Y188" i="6"/>
  <c r="X188" i="6"/>
  <c r="W188" i="6"/>
  <c r="V188" i="6"/>
  <c r="U188" i="6"/>
  <c r="T188" i="6"/>
  <c r="S188" i="6"/>
  <c r="AA187" i="6"/>
  <c r="Z187" i="6"/>
  <c r="Y187" i="6"/>
  <c r="X187" i="6"/>
  <c r="W187" i="6"/>
  <c r="V187" i="6"/>
  <c r="U187" i="6"/>
  <c r="T187" i="6"/>
  <c r="S187" i="6"/>
  <c r="AA186" i="6"/>
  <c r="Z186" i="6"/>
  <c r="Y186" i="6"/>
  <c r="X186" i="6"/>
  <c r="W186" i="6"/>
  <c r="V186" i="6"/>
  <c r="U186" i="6"/>
  <c r="T186" i="6"/>
  <c r="S186" i="6"/>
  <c r="AA185" i="6"/>
  <c r="Z185" i="6"/>
  <c r="Y185" i="6"/>
  <c r="X185" i="6"/>
  <c r="W185" i="6"/>
  <c r="V185" i="6"/>
  <c r="U185" i="6"/>
  <c r="T185" i="6"/>
  <c r="S185" i="6"/>
  <c r="AA184" i="6"/>
  <c r="Z184" i="6"/>
  <c r="Y184" i="6"/>
  <c r="X184" i="6"/>
  <c r="W184" i="6"/>
  <c r="V184" i="6"/>
  <c r="U184" i="6"/>
  <c r="T184" i="6"/>
  <c r="S184" i="6"/>
  <c r="AA183" i="6"/>
  <c r="Z183" i="6"/>
  <c r="Y183" i="6"/>
  <c r="X183" i="6"/>
  <c r="W183" i="6"/>
  <c r="V183" i="6"/>
  <c r="U183" i="6"/>
  <c r="T183" i="6"/>
  <c r="S183" i="6"/>
  <c r="AA182" i="6"/>
  <c r="Z182" i="6"/>
  <c r="Y182" i="6"/>
  <c r="X182" i="6"/>
  <c r="W182" i="6"/>
  <c r="V182" i="6"/>
  <c r="U182" i="6"/>
  <c r="T182" i="6"/>
  <c r="S182" i="6"/>
  <c r="AA181" i="6"/>
  <c r="AA205" i="6" s="1"/>
  <c r="Z181" i="6"/>
  <c r="Y181" i="6"/>
  <c r="Y205" i="6" s="1"/>
  <c r="X181" i="6"/>
  <c r="W181" i="6"/>
  <c r="V181" i="6"/>
  <c r="U181" i="6"/>
  <c r="T181" i="6"/>
  <c r="S181" i="6"/>
  <c r="R180" i="6"/>
  <c r="U180" i="6" s="1"/>
  <c r="Q180" i="6"/>
  <c r="W180" i="6" s="1"/>
  <c r="P180" i="6"/>
  <c r="O180" i="6"/>
  <c r="X180" i="6" s="1"/>
  <c r="N180" i="6"/>
  <c r="M180" i="6"/>
  <c r="L180" i="6"/>
  <c r="K180" i="6"/>
  <c r="J180" i="6"/>
  <c r="I180" i="6"/>
  <c r="H180" i="6"/>
  <c r="G180" i="6"/>
  <c r="AA179" i="6"/>
  <c r="Z179" i="6"/>
  <c r="Y179" i="6"/>
  <c r="X179" i="6"/>
  <c r="W179" i="6"/>
  <c r="V179" i="6"/>
  <c r="U179" i="6"/>
  <c r="T179" i="6"/>
  <c r="S179" i="6"/>
  <c r="AA178" i="6"/>
  <c r="Z178" i="6"/>
  <c r="Y178" i="6"/>
  <c r="X178" i="6"/>
  <c r="W178" i="6"/>
  <c r="V178" i="6"/>
  <c r="U178" i="6"/>
  <c r="T178" i="6"/>
  <c r="S178" i="6"/>
  <c r="AA177" i="6"/>
  <c r="Z177" i="6"/>
  <c r="Y177" i="6"/>
  <c r="X177" i="6"/>
  <c r="W177" i="6"/>
  <c r="V177" i="6"/>
  <c r="U177" i="6"/>
  <c r="T177" i="6"/>
  <c r="S177" i="6"/>
  <c r="AA176" i="6"/>
  <c r="AA180" i="6" s="1"/>
  <c r="Z176" i="6"/>
  <c r="Y176" i="6"/>
  <c r="Y180" i="6" s="1"/>
  <c r="BW39" i="5" s="1"/>
  <c r="DI39" i="5" s="1"/>
  <c r="X176" i="6"/>
  <c r="W176" i="6"/>
  <c r="V176" i="6"/>
  <c r="U176" i="6"/>
  <c r="T176" i="6"/>
  <c r="S176" i="6"/>
  <c r="U175" i="6"/>
  <c r="R175" i="6"/>
  <c r="V175" i="6" s="1"/>
  <c r="Q175" i="6"/>
  <c r="W175" i="6" s="1"/>
  <c r="P175" i="6"/>
  <c r="O175" i="6"/>
  <c r="X175" i="6" s="1"/>
  <c r="N175" i="6"/>
  <c r="M175" i="6"/>
  <c r="S175" i="6" s="1"/>
  <c r="L175" i="6"/>
  <c r="K175" i="6"/>
  <c r="J175" i="6"/>
  <c r="I175" i="6"/>
  <c r="H175" i="6"/>
  <c r="G175" i="6"/>
  <c r="AA174" i="6"/>
  <c r="Z174" i="6"/>
  <c r="Y174" i="6"/>
  <c r="X174" i="6"/>
  <c r="W174" i="6"/>
  <c r="V174" i="6"/>
  <c r="U174" i="6"/>
  <c r="T174" i="6"/>
  <c r="S174" i="6"/>
  <c r="AA173" i="6"/>
  <c r="Z173" i="6"/>
  <c r="Z175" i="6" s="1"/>
  <c r="Y173" i="6"/>
  <c r="X173" i="6"/>
  <c r="W173" i="6"/>
  <c r="V173" i="6"/>
  <c r="U173" i="6"/>
  <c r="T173" i="6"/>
  <c r="S173" i="6"/>
  <c r="R172" i="6"/>
  <c r="V172" i="6" s="1"/>
  <c r="Q172" i="6"/>
  <c r="W172" i="6" s="1"/>
  <c r="P172" i="6"/>
  <c r="O172" i="6"/>
  <c r="X172" i="6" s="1"/>
  <c r="N172" i="6"/>
  <c r="M172" i="6"/>
  <c r="L172" i="6"/>
  <c r="K172" i="6"/>
  <c r="J172" i="6"/>
  <c r="I172" i="6"/>
  <c r="H172" i="6"/>
  <c r="G172" i="6"/>
  <c r="AA171" i="6"/>
  <c r="Z171" i="6"/>
  <c r="Y171" i="6"/>
  <c r="X171" i="6"/>
  <c r="W171" i="6"/>
  <c r="V171" i="6"/>
  <c r="U171" i="6"/>
  <c r="T171" i="6"/>
  <c r="S171" i="6"/>
  <c r="AA170" i="6"/>
  <c r="Z170" i="6"/>
  <c r="Y170" i="6"/>
  <c r="X170" i="6"/>
  <c r="W170" i="6"/>
  <c r="V170" i="6"/>
  <c r="U170" i="6"/>
  <c r="T170" i="6"/>
  <c r="S170" i="6"/>
  <c r="AA169" i="6"/>
  <c r="AA172" i="6" s="1"/>
  <c r="Z169" i="6"/>
  <c r="Y169" i="6"/>
  <c r="Y172" i="6" s="1"/>
  <c r="BW38" i="5" s="1"/>
  <c r="DI38" i="5" s="1"/>
  <c r="X169" i="6"/>
  <c r="W169" i="6"/>
  <c r="V169" i="6"/>
  <c r="U169" i="6"/>
  <c r="T169" i="6"/>
  <c r="S169" i="6"/>
  <c r="R168" i="6"/>
  <c r="V168" i="6" s="1"/>
  <c r="Q168" i="6"/>
  <c r="W168" i="6" s="1"/>
  <c r="P168" i="6"/>
  <c r="O168" i="6"/>
  <c r="X168" i="6" s="1"/>
  <c r="N168" i="6"/>
  <c r="M168" i="6"/>
  <c r="L168" i="6"/>
  <c r="K168" i="6"/>
  <c r="J168" i="6"/>
  <c r="I168" i="6"/>
  <c r="H168" i="6"/>
  <c r="G168" i="6"/>
  <c r="AA167" i="6"/>
  <c r="Z167" i="6"/>
  <c r="Y167" i="6"/>
  <c r="X167" i="6"/>
  <c r="W167" i="6"/>
  <c r="V167" i="6"/>
  <c r="U167" i="6"/>
  <c r="T167" i="6"/>
  <c r="S167" i="6"/>
  <c r="AA166" i="6"/>
  <c r="Z166" i="6"/>
  <c r="Y166" i="6"/>
  <c r="X166" i="6"/>
  <c r="W166" i="6"/>
  <c r="V166" i="6"/>
  <c r="U166" i="6"/>
  <c r="T166" i="6"/>
  <c r="S166" i="6"/>
  <c r="AA165" i="6"/>
  <c r="Z165" i="6"/>
  <c r="Y165" i="6"/>
  <c r="X165" i="6"/>
  <c r="W165" i="6"/>
  <c r="V165" i="6"/>
  <c r="U165" i="6"/>
  <c r="T165" i="6"/>
  <c r="S165" i="6"/>
  <c r="AA164" i="6"/>
  <c r="Z164" i="6"/>
  <c r="Y164" i="6"/>
  <c r="X164" i="6"/>
  <c r="W164" i="6"/>
  <c r="V164" i="6"/>
  <c r="U164" i="6"/>
  <c r="T164" i="6"/>
  <c r="S164" i="6"/>
  <c r="AA163" i="6"/>
  <c r="Z163" i="6"/>
  <c r="Y163" i="6"/>
  <c r="X163" i="6"/>
  <c r="W163" i="6"/>
  <c r="V163" i="6"/>
  <c r="U163" i="6"/>
  <c r="T163" i="6"/>
  <c r="S163" i="6"/>
  <c r="AA162" i="6"/>
  <c r="Z162" i="6"/>
  <c r="Y162" i="6"/>
  <c r="X162" i="6"/>
  <c r="W162" i="6"/>
  <c r="V162" i="6"/>
  <c r="U162" i="6"/>
  <c r="T162" i="6"/>
  <c r="S162" i="6"/>
  <c r="AA161" i="6"/>
  <c r="Z161" i="6"/>
  <c r="Z168" i="6" s="1"/>
  <c r="Y161" i="6"/>
  <c r="X161" i="6"/>
  <c r="W161" i="6"/>
  <c r="V161" i="6"/>
  <c r="U161" i="6"/>
  <c r="T161" i="6"/>
  <c r="S161" i="6"/>
  <c r="R160" i="6"/>
  <c r="V160" i="6" s="1"/>
  <c r="Q160" i="6"/>
  <c r="W160" i="6" s="1"/>
  <c r="P160" i="6"/>
  <c r="O160" i="6"/>
  <c r="X160" i="6" s="1"/>
  <c r="N160" i="6"/>
  <c r="M160" i="6"/>
  <c r="L160" i="6"/>
  <c r="K160" i="6"/>
  <c r="J160" i="6"/>
  <c r="I160" i="6"/>
  <c r="H160" i="6"/>
  <c r="G160" i="6"/>
  <c r="AA159" i="6"/>
  <c r="Z159" i="6"/>
  <c r="Y159" i="6"/>
  <c r="X159" i="6"/>
  <c r="W159" i="6"/>
  <c r="V159" i="6"/>
  <c r="U159" i="6"/>
  <c r="T159" i="6"/>
  <c r="S159" i="6"/>
  <c r="AA158" i="6"/>
  <c r="Z158" i="6"/>
  <c r="Y158" i="6"/>
  <c r="X158" i="6"/>
  <c r="W158" i="6"/>
  <c r="V158" i="6"/>
  <c r="U158" i="6"/>
  <c r="T158" i="6"/>
  <c r="S158" i="6"/>
  <c r="AA157" i="6"/>
  <c r="Z157" i="6"/>
  <c r="Y157" i="6"/>
  <c r="X157" i="6"/>
  <c r="W157" i="6"/>
  <c r="V157" i="6"/>
  <c r="U157" i="6"/>
  <c r="T157" i="6"/>
  <c r="S157" i="6"/>
  <c r="AA156" i="6"/>
  <c r="Z156" i="6"/>
  <c r="Y156" i="6"/>
  <c r="X156" i="6"/>
  <c r="W156" i="6"/>
  <c r="V156" i="6"/>
  <c r="U156" i="6"/>
  <c r="T156" i="6"/>
  <c r="S156" i="6"/>
  <c r="AA155" i="6"/>
  <c r="Z155" i="6"/>
  <c r="Y155" i="6"/>
  <c r="X155" i="6"/>
  <c r="W155" i="6"/>
  <c r="V155" i="6"/>
  <c r="U155" i="6"/>
  <c r="T155" i="6"/>
  <c r="S155" i="6"/>
  <c r="AA154" i="6"/>
  <c r="Z154" i="6"/>
  <c r="Z160" i="6" s="1"/>
  <c r="Y154" i="6"/>
  <c r="X154" i="6"/>
  <c r="W154" i="6"/>
  <c r="V154" i="6"/>
  <c r="U154" i="6"/>
  <c r="T154" i="6"/>
  <c r="S154" i="6"/>
  <c r="R153" i="6"/>
  <c r="U153" i="6" s="1"/>
  <c r="Q153" i="6"/>
  <c r="W153" i="6" s="1"/>
  <c r="P153" i="6"/>
  <c r="O153" i="6"/>
  <c r="X153" i="6" s="1"/>
  <c r="N153" i="6"/>
  <c r="M153" i="6"/>
  <c r="L153" i="6"/>
  <c r="K153" i="6"/>
  <c r="J153" i="6"/>
  <c r="I153" i="6"/>
  <c r="H153" i="6"/>
  <c r="G153" i="6"/>
  <c r="AA152" i="6"/>
  <c r="AA153" i="6" s="1"/>
  <c r="Z152" i="6"/>
  <c r="Z153" i="6" s="1"/>
  <c r="Y152" i="6"/>
  <c r="Y153" i="6" s="1"/>
  <c r="BW35" i="5" s="1"/>
  <c r="DI35" i="5" s="1"/>
  <c r="X152" i="6"/>
  <c r="W152" i="6"/>
  <c r="V152" i="6"/>
  <c r="U152" i="6"/>
  <c r="T152" i="6"/>
  <c r="S152" i="6"/>
  <c r="R151" i="6"/>
  <c r="U151" i="6" s="1"/>
  <c r="Q151" i="6"/>
  <c r="W151" i="6" s="1"/>
  <c r="P151" i="6"/>
  <c r="O151" i="6"/>
  <c r="X151" i="6" s="1"/>
  <c r="N151" i="6"/>
  <c r="M151" i="6"/>
  <c r="L151" i="6"/>
  <c r="K151" i="6"/>
  <c r="J151" i="6"/>
  <c r="I151" i="6"/>
  <c r="H151" i="6"/>
  <c r="G151" i="6"/>
  <c r="AA150" i="6"/>
  <c r="Z150" i="6"/>
  <c r="Z148" i="6" s="1"/>
  <c r="Y150" i="6"/>
  <c r="X150" i="6"/>
  <c r="W150" i="6"/>
  <c r="V150" i="6"/>
  <c r="U150" i="6"/>
  <c r="T150" i="6"/>
  <c r="S150" i="6"/>
  <c r="AA149" i="6"/>
  <c r="AA148" i="6" s="1"/>
  <c r="Z149" i="6"/>
  <c r="Y149" i="6"/>
  <c r="Y148" i="6" s="1"/>
  <c r="BW34" i="5" s="1"/>
  <c r="DI34" i="5" s="1"/>
  <c r="X149" i="6"/>
  <c r="W149" i="6"/>
  <c r="V149" i="6"/>
  <c r="U149" i="6"/>
  <c r="T149" i="6"/>
  <c r="S149" i="6"/>
  <c r="R148" i="6"/>
  <c r="V148" i="6" s="1"/>
  <c r="Q148" i="6"/>
  <c r="W148" i="6" s="1"/>
  <c r="P148" i="6"/>
  <c r="O148" i="6"/>
  <c r="X148" i="6" s="1"/>
  <c r="N148" i="6"/>
  <c r="M148" i="6"/>
  <c r="L148" i="6"/>
  <c r="K148" i="6"/>
  <c r="J148" i="6"/>
  <c r="I148" i="6"/>
  <c r="H148" i="6"/>
  <c r="G148" i="6"/>
  <c r="AA147" i="6"/>
  <c r="Z147" i="6"/>
  <c r="Y147" i="6"/>
  <c r="X147" i="6"/>
  <c r="W147" i="6"/>
  <c r="V147" i="6"/>
  <c r="U147" i="6"/>
  <c r="T147" i="6"/>
  <c r="S147" i="6"/>
  <c r="AA146" i="6"/>
  <c r="Z146" i="6"/>
  <c r="Y146" i="6"/>
  <c r="X146" i="6"/>
  <c r="W146" i="6"/>
  <c r="V146" i="6"/>
  <c r="U146" i="6"/>
  <c r="T146" i="6"/>
  <c r="S146" i="6"/>
  <c r="AA145" i="6"/>
  <c r="Z145" i="6"/>
  <c r="Y145" i="6"/>
  <c r="X145" i="6"/>
  <c r="W145" i="6"/>
  <c r="V145" i="6"/>
  <c r="U145" i="6"/>
  <c r="T145" i="6"/>
  <c r="S145" i="6"/>
  <c r="AA144" i="6"/>
  <c r="AA143" i="6" s="1"/>
  <c r="Z144" i="6"/>
  <c r="Y144" i="6"/>
  <c r="X144" i="6"/>
  <c r="W144" i="6"/>
  <c r="V144" i="6"/>
  <c r="U144" i="6"/>
  <c r="T144" i="6"/>
  <c r="S144" i="6"/>
  <c r="R143" i="6"/>
  <c r="V143" i="6" s="1"/>
  <c r="Q143" i="6"/>
  <c r="W143" i="6" s="1"/>
  <c r="P143" i="6"/>
  <c r="O143" i="6"/>
  <c r="X143" i="6" s="1"/>
  <c r="N143" i="6"/>
  <c r="M143" i="6"/>
  <c r="L143" i="6"/>
  <c r="K143" i="6"/>
  <c r="J143" i="6"/>
  <c r="I143" i="6"/>
  <c r="H143" i="6"/>
  <c r="G143" i="6"/>
  <c r="AA142" i="6"/>
  <c r="AA141" i="6" s="1"/>
  <c r="Z142" i="6"/>
  <c r="Z141" i="6" s="1"/>
  <c r="Y142" i="6"/>
  <c r="Y141" i="6" s="1"/>
  <c r="BW32" i="5" s="1"/>
  <c r="DI32" i="5" s="1"/>
  <c r="X142" i="6"/>
  <c r="W142" i="6"/>
  <c r="V142" i="6"/>
  <c r="U142" i="6"/>
  <c r="T142" i="6"/>
  <c r="S142" i="6"/>
  <c r="R141" i="6"/>
  <c r="V141" i="6" s="1"/>
  <c r="Q141" i="6"/>
  <c r="W141" i="6" s="1"/>
  <c r="P141" i="6"/>
  <c r="O141" i="6"/>
  <c r="X141" i="6" s="1"/>
  <c r="N141" i="6"/>
  <c r="M141" i="6"/>
  <c r="S141" i="6" s="1"/>
  <c r="L141" i="6"/>
  <c r="K141" i="6"/>
  <c r="J141" i="6"/>
  <c r="I141" i="6"/>
  <c r="H141" i="6"/>
  <c r="G141" i="6"/>
  <c r="AA140" i="6"/>
  <c r="Z140" i="6"/>
  <c r="Y140" i="6"/>
  <c r="X140" i="6"/>
  <c r="W140" i="6"/>
  <c r="V140" i="6"/>
  <c r="U140" i="6"/>
  <c r="T140" i="6"/>
  <c r="S140" i="6"/>
  <c r="AA139" i="6"/>
  <c r="Z139" i="6"/>
  <c r="Y139" i="6"/>
  <c r="X139" i="6"/>
  <c r="W139" i="6"/>
  <c r="V139" i="6"/>
  <c r="U139" i="6"/>
  <c r="T139" i="6"/>
  <c r="S139" i="6"/>
  <c r="AA138" i="6"/>
  <c r="Z138" i="6"/>
  <c r="Y138" i="6"/>
  <c r="X138" i="6"/>
  <c r="W138" i="6"/>
  <c r="V138" i="6"/>
  <c r="U138" i="6"/>
  <c r="T138" i="6"/>
  <c r="S138" i="6"/>
  <c r="AA137" i="6"/>
  <c r="Z137" i="6"/>
  <c r="Y137" i="6"/>
  <c r="X137" i="6"/>
  <c r="W137" i="6"/>
  <c r="V137" i="6"/>
  <c r="U137" i="6"/>
  <c r="T137" i="6"/>
  <c r="S137" i="6"/>
  <c r="AA136" i="6"/>
  <c r="Z136" i="6"/>
  <c r="Y136" i="6"/>
  <c r="X136" i="6"/>
  <c r="W136" i="6"/>
  <c r="V136" i="6"/>
  <c r="U136" i="6"/>
  <c r="T136" i="6"/>
  <c r="S136" i="6"/>
  <c r="AA135" i="6"/>
  <c r="Z135" i="6"/>
  <c r="Y135" i="6"/>
  <c r="X135" i="6"/>
  <c r="W135" i="6"/>
  <c r="V135" i="6"/>
  <c r="U135" i="6"/>
  <c r="T135" i="6"/>
  <c r="S135" i="6"/>
  <c r="AA134" i="6"/>
  <c r="Z134" i="6"/>
  <c r="Y134" i="6"/>
  <c r="X134" i="6"/>
  <c r="W134" i="6"/>
  <c r="V134" i="6"/>
  <c r="U134" i="6"/>
  <c r="T134" i="6"/>
  <c r="S134" i="6"/>
  <c r="AA133" i="6"/>
  <c r="Z133" i="6"/>
  <c r="Y133" i="6"/>
  <c r="X133" i="6"/>
  <c r="W133" i="6"/>
  <c r="V133" i="6"/>
  <c r="U133" i="6"/>
  <c r="T133" i="6"/>
  <c r="S133" i="6"/>
  <c r="AA132" i="6"/>
  <c r="AA131" i="6" s="1"/>
  <c r="Z132" i="6"/>
  <c r="Y132" i="6"/>
  <c r="X132" i="6"/>
  <c r="W132" i="6"/>
  <c r="V132" i="6"/>
  <c r="U132" i="6"/>
  <c r="T132" i="6"/>
  <c r="S132" i="6"/>
  <c r="R131" i="6"/>
  <c r="V131" i="6" s="1"/>
  <c r="Q131" i="6"/>
  <c r="W131" i="6" s="1"/>
  <c r="P131" i="6"/>
  <c r="O131" i="6"/>
  <c r="X131" i="6" s="1"/>
  <c r="N131" i="6"/>
  <c r="M131" i="6"/>
  <c r="L131" i="6"/>
  <c r="K131" i="6"/>
  <c r="J131" i="6"/>
  <c r="I131" i="6"/>
  <c r="H131" i="6"/>
  <c r="G131" i="6"/>
  <c r="R130" i="6"/>
  <c r="U130" i="6" s="1"/>
  <c r="Q130" i="6"/>
  <c r="W130" i="6" s="1"/>
  <c r="P130" i="6"/>
  <c r="O130" i="6"/>
  <c r="X130" i="6" s="1"/>
  <c r="N130" i="6"/>
  <c r="M130" i="6"/>
  <c r="L130" i="6"/>
  <c r="K130" i="6"/>
  <c r="J130" i="6"/>
  <c r="I130" i="6"/>
  <c r="H130" i="6"/>
  <c r="G130" i="6"/>
  <c r="U129" i="6"/>
  <c r="R129" i="6"/>
  <c r="V129" i="6" s="1"/>
  <c r="Q129" i="6"/>
  <c r="W129" i="6" s="1"/>
  <c r="P129" i="6"/>
  <c r="O129" i="6"/>
  <c r="X129" i="6" s="1"/>
  <c r="N129" i="6"/>
  <c r="M129" i="6"/>
  <c r="S129" i="6" s="1"/>
  <c r="L129" i="6"/>
  <c r="K129" i="6"/>
  <c r="J129" i="6"/>
  <c r="I129" i="6"/>
  <c r="H129" i="6"/>
  <c r="G129" i="6"/>
  <c r="AA128" i="6"/>
  <c r="Z128" i="6"/>
  <c r="Y128" i="6"/>
  <c r="X128" i="6"/>
  <c r="W128" i="6"/>
  <c r="V128" i="6"/>
  <c r="U128" i="6"/>
  <c r="T128" i="6"/>
  <c r="S128" i="6"/>
  <c r="AA127" i="6"/>
  <c r="Z127" i="6"/>
  <c r="Y127" i="6"/>
  <c r="X127" i="6"/>
  <c r="W127" i="6"/>
  <c r="V127" i="6"/>
  <c r="U127" i="6"/>
  <c r="T127" i="6"/>
  <c r="S127" i="6"/>
  <c r="AA126" i="6"/>
  <c r="Z126" i="6"/>
  <c r="Y126" i="6"/>
  <c r="X126" i="6"/>
  <c r="W126" i="6"/>
  <c r="V126" i="6"/>
  <c r="U126" i="6"/>
  <c r="T126" i="6"/>
  <c r="S126" i="6"/>
  <c r="AA125" i="6"/>
  <c r="Z125" i="6"/>
  <c r="Y125" i="6"/>
  <c r="X125" i="6"/>
  <c r="W125" i="6"/>
  <c r="V125" i="6"/>
  <c r="U125" i="6"/>
  <c r="T125" i="6"/>
  <c r="S125" i="6"/>
  <c r="AA124" i="6"/>
  <c r="Z124" i="6"/>
  <c r="Y124" i="6"/>
  <c r="X124" i="6"/>
  <c r="W124" i="6"/>
  <c r="V124" i="6"/>
  <c r="U124" i="6"/>
  <c r="T124" i="6"/>
  <c r="S124" i="6"/>
  <c r="AA123" i="6"/>
  <c r="Z123" i="6"/>
  <c r="Y123" i="6"/>
  <c r="X123" i="6"/>
  <c r="W123" i="6"/>
  <c r="V123" i="6"/>
  <c r="U123" i="6"/>
  <c r="T123" i="6"/>
  <c r="S123" i="6"/>
  <c r="AA122" i="6"/>
  <c r="Z122" i="6"/>
  <c r="Y122" i="6"/>
  <c r="X122" i="6"/>
  <c r="W122" i="6"/>
  <c r="V122" i="6"/>
  <c r="U122" i="6"/>
  <c r="T122" i="6"/>
  <c r="S122" i="6"/>
  <c r="AA121" i="6"/>
  <c r="AA120" i="6" s="1"/>
  <c r="Z121" i="6"/>
  <c r="Y121" i="6"/>
  <c r="Y120" i="6" s="1"/>
  <c r="X121" i="6"/>
  <c r="W121" i="6"/>
  <c r="V121" i="6"/>
  <c r="U121" i="6"/>
  <c r="T121" i="6"/>
  <c r="S121" i="6"/>
  <c r="U120" i="6"/>
  <c r="R120" i="6"/>
  <c r="V120" i="6" s="1"/>
  <c r="Q120" i="6"/>
  <c r="W120" i="6" s="1"/>
  <c r="P120" i="6"/>
  <c r="O120" i="6"/>
  <c r="X120" i="6" s="1"/>
  <c r="N120" i="6"/>
  <c r="M120" i="6"/>
  <c r="S120" i="6" s="1"/>
  <c r="L120" i="6"/>
  <c r="K120" i="6"/>
  <c r="J120" i="6"/>
  <c r="I120" i="6"/>
  <c r="H120" i="6"/>
  <c r="G120" i="6"/>
  <c r="AA119" i="6"/>
  <c r="Z119" i="6"/>
  <c r="Y119" i="6"/>
  <c r="X119" i="6"/>
  <c r="W119" i="6"/>
  <c r="V119" i="6"/>
  <c r="U119" i="6"/>
  <c r="T119" i="6"/>
  <c r="S119" i="6"/>
  <c r="AA118" i="6"/>
  <c r="Z118" i="6"/>
  <c r="Y118" i="6"/>
  <c r="X118" i="6"/>
  <c r="W118" i="6"/>
  <c r="V118" i="6"/>
  <c r="U118" i="6"/>
  <c r="T118" i="6"/>
  <c r="S118" i="6"/>
  <c r="AA117" i="6"/>
  <c r="Z117" i="6"/>
  <c r="Y117" i="6"/>
  <c r="X117" i="6"/>
  <c r="W117" i="6"/>
  <c r="V117" i="6"/>
  <c r="U117" i="6"/>
  <c r="T117" i="6"/>
  <c r="S117" i="6"/>
  <c r="AA116" i="6"/>
  <c r="Z116" i="6"/>
  <c r="Z114" i="6" s="1"/>
  <c r="Y116" i="6"/>
  <c r="X116" i="6"/>
  <c r="W116" i="6"/>
  <c r="V116" i="6"/>
  <c r="U116" i="6"/>
  <c r="T116" i="6"/>
  <c r="S116" i="6"/>
  <c r="AA115" i="6"/>
  <c r="AA114" i="6" s="1"/>
  <c r="Z115" i="6"/>
  <c r="Y115" i="6"/>
  <c r="Y114" i="6" s="1"/>
  <c r="X115" i="6"/>
  <c r="W115" i="6"/>
  <c r="V115" i="6"/>
  <c r="U115" i="6"/>
  <c r="T115" i="6"/>
  <c r="S115" i="6"/>
  <c r="U114" i="6"/>
  <c r="R114" i="6"/>
  <c r="V114" i="6" s="1"/>
  <c r="Q114" i="6"/>
  <c r="W114" i="6" s="1"/>
  <c r="P114" i="6"/>
  <c r="O114" i="6"/>
  <c r="X114" i="6" s="1"/>
  <c r="N114" i="6"/>
  <c r="M114" i="6"/>
  <c r="S114" i="6" s="1"/>
  <c r="L114" i="6"/>
  <c r="K114" i="6"/>
  <c r="J114" i="6"/>
  <c r="I114" i="6"/>
  <c r="H114" i="6"/>
  <c r="G114" i="6"/>
  <c r="R113" i="6"/>
  <c r="V113" i="6" s="1"/>
  <c r="Q113" i="6"/>
  <c r="W113" i="6" s="1"/>
  <c r="P113" i="6"/>
  <c r="O113" i="6"/>
  <c r="X113" i="6" s="1"/>
  <c r="N113" i="6"/>
  <c r="M113" i="6"/>
  <c r="S113" i="6" s="1"/>
  <c r="L113" i="6"/>
  <c r="K113" i="6"/>
  <c r="J113" i="6"/>
  <c r="I113" i="6"/>
  <c r="H113" i="6"/>
  <c r="G113" i="6"/>
  <c r="AA112" i="6"/>
  <c r="Z112" i="6"/>
  <c r="Y112" i="6"/>
  <c r="X112" i="6"/>
  <c r="W112" i="6"/>
  <c r="V112" i="6"/>
  <c r="U112" i="6"/>
  <c r="T112" i="6"/>
  <c r="S112" i="6"/>
  <c r="AA111" i="6"/>
  <c r="Z111" i="6"/>
  <c r="Y111" i="6"/>
  <c r="X111" i="6"/>
  <c r="W111" i="6"/>
  <c r="V111" i="6"/>
  <c r="U111" i="6"/>
  <c r="T111" i="6"/>
  <c r="S111" i="6"/>
  <c r="AA110" i="6"/>
  <c r="Z110" i="6"/>
  <c r="Y110" i="6"/>
  <c r="X110" i="6"/>
  <c r="W110" i="6"/>
  <c r="V110" i="6"/>
  <c r="U110" i="6"/>
  <c r="T110" i="6"/>
  <c r="S110" i="6"/>
  <c r="AA109" i="6"/>
  <c r="Z109" i="6"/>
  <c r="Y109" i="6"/>
  <c r="X109" i="6"/>
  <c r="W109" i="6"/>
  <c r="V109" i="6"/>
  <c r="U109" i="6"/>
  <c r="T109" i="6"/>
  <c r="S109" i="6"/>
  <c r="AA108" i="6"/>
  <c r="Z108" i="6"/>
  <c r="Y108" i="6"/>
  <c r="X108" i="6"/>
  <c r="W108" i="6"/>
  <c r="V108" i="6"/>
  <c r="U108" i="6"/>
  <c r="T108" i="6"/>
  <c r="S108" i="6"/>
  <c r="AA107" i="6"/>
  <c r="Z107" i="6"/>
  <c r="Y107" i="6"/>
  <c r="X107" i="6"/>
  <c r="W107" i="6"/>
  <c r="V107" i="6"/>
  <c r="U107" i="6"/>
  <c r="T107" i="6"/>
  <c r="S107" i="6"/>
  <c r="AA106" i="6"/>
  <c r="Z106" i="6"/>
  <c r="Y106" i="6"/>
  <c r="X106" i="6"/>
  <c r="W106" i="6"/>
  <c r="V106" i="6"/>
  <c r="U106" i="6"/>
  <c r="T106" i="6"/>
  <c r="S106" i="6"/>
  <c r="AA105" i="6"/>
  <c r="Z105" i="6"/>
  <c r="Y105" i="6"/>
  <c r="X105" i="6"/>
  <c r="W105" i="6"/>
  <c r="V105" i="6"/>
  <c r="U105" i="6"/>
  <c r="T105" i="6"/>
  <c r="S105" i="6"/>
  <c r="AA104" i="6"/>
  <c r="Z104" i="6"/>
  <c r="Y104" i="6"/>
  <c r="X104" i="6"/>
  <c r="W104" i="6"/>
  <c r="V104" i="6"/>
  <c r="U104" i="6"/>
  <c r="T104" i="6"/>
  <c r="S104" i="6"/>
  <c r="AA103" i="6"/>
  <c r="Z103" i="6"/>
  <c r="Y103" i="6"/>
  <c r="X103" i="6"/>
  <c r="W103" i="6"/>
  <c r="V103" i="6"/>
  <c r="U103" i="6"/>
  <c r="T103" i="6"/>
  <c r="S103" i="6"/>
  <c r="AA102" i="6"/>
  <c r="X102" i="6"/>
  <c r="W102" i="6"/>
  <c r="V102" i="6"/>
  <c r="U102" i="6"/>
  <c r="T102" i="6"/>
  <c r="S102" i="6"/>
  <c r="AA101" i="6"/>
  <c r="Z101" i="6"/>
  <c r="Y101" i="6"/>
  <c r="X101" i="6"/>
  <c r="W101" i="6"/>
  <c r="V101" i="6"/>
  <c r="U101" i="6"/>
  <c r="T101" i="6"/>
  <c r="S101" i="6"/>
  <c r="AA100" i="6"/>
  <c r="Z100" i="6"/>
  <c r="Y100" i="6"/>
  <c r="X100" i="6"/>
  <c r="W100" i="6"/>
  <c r="V100" i="6"/>
  <c r="U100" i="6"/>
  <c r="T100" i="6"/>
  <c r="S100" i="6"/>
  <c r="AA99" i="6"/>
  <c r="Z99" i="6"/>
  <c r="Y99" i="6"/>
  <c r="X99" i="6"/>
  <c r="W99" i="6"/>
  <c r="V99" i="6"/>
  <c r="U99" i="6"/>
  <c r="T99" i="6"/>
  <c r="S99" i="6"/>
  <c r="AA98" i="6"/>
  <c r="Z98" i="6"/>
  <c r="Y98" i="6"/>
  <c r="X98" i="6"/>
  <c r="W98" i="6"/>
  <c r="V98" i="6"/>
  <c r="U98" i="6"/>
  <c r="T98" i="6"/>
  <c r="S98" i="6"/>
  <c r="AA97" i="6"/>
  <c r="AA96" i="6" s="1"/>
  <c r="AA381" i="6" s="1"/>
  <c r="AA382" i="6" s="1"/>
  <c r="Z97" i="6"/>
  <c r="Y97" i="6"/>
  <c r="Y96" i="6" s="1"/>
  <c r="Y381" i="6" s="1"/>
  <c r="Y382" i="6" s="1"/>
  <c r="X97" i="6"/>
  <c r="W97" i="6"/>
  <c r="V97" i="6"/>
  <c r="U97" i="6"/>
  <c r="T97" i="6"/>
  <c r="S97" i="6"/>
  <c r="U96" i="6"/>
  <c r="R96" i="6"/>
  <c r="R381" i="6" s="1"/>
  <c r="R382" i="6" s="1"/>
  <c r="Q96" i="6"/>
  <c r="Q381" i="6" s="1"/>
  <c r="Q382" i="6" s="1"/>
  <c r="P96" i="6"/>
  <c r="P381" i="6" s="1"/>
  <c r="P382" i="6" s="1"/>
  <c r="O96" i="6"/>
  <c r="O381" i="6" s="1"/>
  <c r="O382" i="6" s="1"/>
  <c r="N96" i="6"/>
  <c r="N381" i="6" s="1"/>
  <c r="N382" i="6" s="1"/>
  <c r="M96" i="6"/>
  <c r="S96" i="6" s="1"/>
  <c r="L96" i="6"/>
  <c r="K96" i="6"/>
  <c r="J96" i="6"/>
  <c r="AA95" i="6"/>
  <c r="Z95" i="6"/>
  <c r="Y95" i="6"/>
  <c r="BW25" i="5" s="1"/>
  <c r="DI25" i="5" s="1"/>
  <c r="X95" i="6"/>
  <c r="W95" i="6"/>
  <c r="V95" i="6"/>
  <c r="U95" i="6"/>
  <c r="T95" i="6"/>
  <c r="S95" i="6"/>
  <c r="AA94" i="6"/>
  <c r="Z94" i="6"/>
  <c r="Y94" i="6"/>
  <c r="X94" i="6"/>
  <c r="W94" i="6"/>
  <c r="V94" i="6"/>
  <c r="U94" i="6"/>
  <c r="T94" i="6"/>
  <c r="S94" i="6"/>
  <c r="AA93" i="6"/>
  <c r="Z93" i="6"/>
  <c r="Y93" i="6"/>
  <c r="X93" i="6"/>
  <c r="W93" i="6"/>
  <c r="V93" i="6"/>
  <c r="U93" i="6"/>
  <c r="T93" i="6"/>
  <c r="S93" i="6"/>
  <c r="AA92" i="6"/>
  <c r="Z92" i="6"/>
  <c r="Y92" i="6"/>
  <c r="X92" i="6"/>
  <c r="W92" i="6"/>
  <c r="V92" i="6"/>
  <c r="U92" i="6"/>
  <c r="T92" i="6"/>
  <c r="S92" i="6"/>
  <c r="R91" i="6"/>
  <c r="U91" i="6" s="1"/>
  <c r="Q91" i="6"/>
  <c r="W91" i="6" s="1"/>
  <c r="P91" i="6"/>
  <c r="O91" i="6"/>
  <c r="X91" i="6" s="1"/>
  <c r="N91" i="6"/>
  <c r="M91" i="6"/>
  <c r="L91" i="6"/>
  <c r="K91" i="6"/>
  <c r="J91" i="6"/>
  <c r="I91" i="6"/>
  <c r="H91" i="6"/>
  <c r="G91" i="6"/>
  <c r="R90" i="6"/>
  <c r="V90" i="6" s="1"/>
  <c r="Q90" i="6"/>
  <c r="W90" i="6" s="1"/>
  <c r="P90" i="6"/>
  <c r="O90" i="6"/>
  <c r="X90" i="6" s="1"/>
  <c r="N90" i="6"/>
  <c r="M90" i="6"/>
  <c r="L90" i="6"/>
  <c r="K90" i="6"/>
  <c r="J90" i="6"/>
  <c r="I90" i="6"/>
  <c r="H90" i="6"/>
  <c r="G90" i="6"/>
  <c r="AA89" i="6"/>
  <c r="Z89" i="6"/>
  <c r="Y89" i="6"/>
  <c r="X89" i="6"/>
  <c r="W89" i="6"/>
  <c r="V89" i="6"/>
  <c r="U89" i="6"/>
  <c r="T89" i="6"/>
  <c r="S89" i="6"/>
  <c r="AA88" i="6"/>
  <c r="AA90" i="6" s="1"/>
  <c r="Z88" i="6"/>
  <c r="Y88" i="6"/>
  <c r="X88" i="6"/>
  <c r="W88" i="6"/>
  <c r="V88" i="6"/>
  <c r="U88" i="6"/>
  <c r="T88" i="6"/>
  <c r="S88" i="6"/>
  <c r="R87" i="6"/>
  <c r="U87" i="6" s="1"/>
  <c r="Q87" i="6"/>
  <c r="W87" i="6" s="1"/>
  <c r="P87" i="6"/>
  <c r="O87" i="6"/>
  <c r="X87" i="6" s="1"/>
  <c r="N87" i="6"/>
  <c r="M87" i="6"/>
  <c r="L87" i="6"/>
  <c r="K87" i="6"/>
  <c r="J87" i="6"/>
  <c r="I87" i="6"/>
  <c r="H87" i="6"/>
  <c r="G87" i="6"/>
  <c r="X86" i="6"/>
  <c r="W86" i="6"/>
  <c r="V86" i="6"/>
  <c r="U86" i="6"/>
  <c r="T86" i="6"/>
  <c r="S86" i="6"/>
  <c r="X85" i="6"/>
  <c r="W85" i="6"/>
  <c r="V85" i="6"/>
  <c r="U85" i="6"/>
  <c r="T85" i="6"/>
  <c r="S85" i="6"/>
  <c r="X84" i="6"/>
  <c r="W84" i="6"/>
  <c r="V84" i="6"/>
  <c r="U84" i="6"/>
  <c r="T84" i="6"/>
  <c r="S84" i="6"/>
  <c r="AA83" i="6"/>
  <c r="Z83" i="6"/>
  <c r="Y83" i="6"/>
  <c r="X83" i="6"/>
  <c r="W83" i="6"/>
  <c r="V83" i="6"/>
  <c r="U83" i="6"/>
  <c r="T83" i="6"/>
  <c r="S83" i="6"/>
  <c r="AA82" i="6"/>
  <c r="Z82" i="6"/>
  <c r="Y82" i="6"/>
  <c r="X82" i="6"/>
  <c r="W82" i="6"/>
  <c r="V82" i="6"/>
  <c r="U82" i="6"/>
  <c r="T82" i="6"/>
  <c r="S82" i="6"/>
  <c r="AA81" i="6"/>
  <c r="Z81" i="6"/>
  <c r="Y81" i="6"/>
  <c r="X81" i="6"/>
  <c r="W81" i="6"/>
  <c r="V81" i="6"/>
  <c r="U81" i="6"/>
  <c r="T81" i="6"/>
  <c r="S81" i="6"/>
  <c r="AA80" i="6"/>
  <c r="AA87" i="6" s="1"/>
  <c r="Z80" i="6"/>
  <c r="Y80" i="6"/>
  <c r="Y87" i="6" s="1"/>
  <c r="X80" i="6"/>
  <c r="W80" i="6"/>
  <c r="V80" i="6"/>
  <c r="U80" i="6"/>
  <c r="T80" i="6"/>
  <c r="S80" i="6"/>
  <c r="R79" i="6"/>
  <c r="V79" i="6" s="1"/>
  <c r="Q79" i="6"/>
  <c r="W79" i="6" s="1"/>
  <c r="P79" i="6"/>
  <c r="O79" i="6"/>
  <c r="X79" i="6" s="1"/>
  <c r="N79" i="6"/>
  <c r="M79" i="6"/>
  <c r="L79" i="6"/>
  <c r="K79" i="6"/>
  <c r="J79" i="6"/>
  <c r="I79" i="6"/>
  <c r="H79" i="6"/>
  <c r="G79" i="6"/>
  <c r="AA78" i="6"/>
  <c r="Z78" i="6"/>
  <c r="Y78" i="6"/>
  <c r="X78" i="6"/>
  <c r="W78" i="6"/>
  <c r="V78" i="6"/>
  <c r="U78" i="6"/>
  <c r="T78" i="6"/>
  <c r="S78" i="6"/>
  <c r="AA77" i="6"/>
  <c r="Z77" i="6"/>
  <c r="Y77" i="6"/>
  <c r="X77" i="6"/>
  <c r="W77" i="6"/>
  <c r="V77" i="6"/>
  <c r="U77" i="6"/>
  <c r="T77" i="6"/>
  <c r="S77" i="6"/>
  <c r="AA76" i="6"/>
  <c r="Z76" i="6"/>
  <c r="Y76" i="6"/>
  <c r="X76" i="6"/>
  <c r="W76" i="6"/>
  <c r="V76" i="6"/>
  <c r="U76" i="6"/>
  <c r="T76" i="6"/>
  <c r="S76" i="6"/>
  <c r="AA75" i="6"/>
  <c r="Z75" i="6"/>
  <c r="Y75" i="6"/>
  <c r="X75" i="6"/>
  <c r="W75" i="6"/>
  <c r="V75" i="6"/>
  <c r="U75" i="6"/>
  <c r="T75" i="6"/>
  <c r="S75" i="6"/>
  <c r="AA74" i="6"/>
  <c r="Z74" i="6"/>
  <c r="Y74" i="6"/>
  <c r="X74" i="6"/>
  <c r="W74" i="6"/>
  <c r="V74" i="6"/>
  <c r="U74" i="6"/>
  <c r="T74" i="6"/>
  <c r="S74" i="6"/>
  <c r="AA73" i="6"/>
  <c r="Z73" i="6"/>
  <c r="Y73" i="6"/>
  <c r="X73" i="6"/>
  <c r="W73" i="6"/>
  <c r="V73" i="6"/>
  <c r="U73" i="6"/>
  <c r="T73" i="6"/>
  <c r="S73" i="6"/>
  <c r="AA72" i="6"/>
  <c r="Z72" i="6"/>
  <c r="Y72" i="6"/>
  <c r="X72" i="6"/>
  <c r="W72" i="6"/>
  <c r="V72" i="6"/>
  <c r="U72" i="6"/>
  <c r="T72" i="6"/>
  <c r="S72" i="6"/>
  <c r="AA71" i="6"/>
  <c r="AA79" i="6" s="1"/>
  <c r="Z71" i="6"/>
  <c r="Y71" i="6"/>
  <c r="X71" i="6"/>
  <c r="W71" i="6"/>
  <c r="V71" i="6"/>
  <c r="U71" i="6"/>
  <c r="T71" i="6"/>
  <c r="S71" i="6"/>
  <c r="R70" i="6"/>
  <c r="U70" i="6" s="1"/>
  <c r="Q70" i="6"/>
  <c r="W70" i="6" s="1"/>
  <c r="P70" i="6"/>
  <c r="O70" i="6"/>
  <c r="X70" i="6" s="1"/>
  <c r="N70" i="6"/>
  <c r="M70" i="6"/>
  <c r="L70" i="6"/>
  <c r="K70" i="6"/>
  <c r="J70" i="6"/>
  <c r="I70" i="6"/>
  <c r="H70" i="6"/>
  <c r="G70" i="6"/>
  <c r="AA69" i="6"/>
  <c r="Z69" i="6"/>
  <c r="Y69" i="6"/>
  <c r="X69" i="6"/>
  <c r="W69" i="6"/>
  <c r="V69" i="6"/>
  <c r="U69" i="6"/>
  <c r="T69" i="6"/>
  <c r="S69" i="6"/>
  <c r="AA68" i="6"/>
  <c r="Z68" i="6"/>
  <c r="Y68" i="6"/>
  <c r="X68" i="6"/>
  <c r="W68" i="6"/>
  <c r="V68" i="6"/>
  <c r="U68" i="6"/>
  <c r="T68" i="6"/>
  <c r="S68" i="6"/>
  <c r="AA67" i="6"/>
  <c r="Z67" i="6"/>
  <c r="Y67" i="6"/>
  <c r="X67" i="6"/>
  <c r="W67" i="6"/>
  <c r="V67" i="6"/>
  <c r="U67" i="6"/>
  <c r="T67" i="6"/>
  <c r="S67" i="6"/>
  <c r="AA66" i="6"/>
  <c r="AA70" i="6" s="1"/>
  <c r="Z66" i="6"/>
  <c r="Y66" i="6"/>
  <c r="Y70" i="6" s="1"/>
  <c r="X66" i="6"/>
  <c r="W66" i="6"/>
  <c r="V66" i="6"/>
  <c r="U66" i="6"/>
  <c r="T66" i="6"/>
  <c r="S66" i="6"/>
  <c r="R65" i="6"/>
  <c r="V65" i="6" s="1"/>
  <c r="Q65" i="6"/>
  <c r="W65" i="6" s="1"/>
  <c r="P65" i="6"/>
  <c r="O65" i="6"/>
  <c r="X65" i="6" s="1"/>
  <c r="N65" i="6"/>
  <c r="M65" i="6"/>
  <c r="L65" i="6"/>
  <c r="K65" i="6"/>
  <c r="J65" i="6"/>
  <c r="I65" i="6"/>
  <c r="H65" i="6"/>
  <c r="G65" i="6"/>
  <c r="AA64" i="6"/>
  <c r="Z64" i="6"/>
  <c r="Y64" i="6"/>
  <c r="X64" i="6"/>
  <c r="W64" i="6"/>
  <c r="V64" i="6"/>
  <c r="U64" i="6"/>
  <c r="T64" i="6"/>
  <c r="S64" i="6"/>
  <c r="AA63" i="6"/>
  <c r="Z63" i="6"/>
  <c r="Y63" i="6"/>
  <c r="X63" i="6"/>
  <c r="W63" i="6"/>
  <c r="V63" i="6"/>
  <c r="U63" i="6"/>
  <c r="T63" i="6"/>
  <c r="S63" i="6"/>
  <c r="AA62" i="6"/>
  <c r="Z62" i="6"/>
  <c r="Z65" i="6" s="1"/>
  <c r="Y62" i="6"/>
  <c r="X62" i="6"/>
  <c r="W62" i="6"/>
  <c r="V62" i="6"/>
  <c r="U62" i="6"/>
  <c r="T62" i="6"/>
  <c r="S62" i="6"/>
  <c r="R61" i="6"/>
  <c r="V61" i="6" s="1"/>
  <c r="Q61" i="6"/>
  <c r="W61" i="6" s="1"/>
  <c r="P61" i="6"/>
  <c r="O61" i="6"/>
  <c r="X61" i="6" s="1"/>
  <c r="N61" i="6"/>
  <c r="M61" i="6"/>
  <c r="L61" i="6"/>
  <c r="K61" i="6"/>
  <c r="J61" i="6"/>
  <c r="I61" i="6"/>
  <c r="H61" i="6"/>
  <c r="G61" i="6"/>
  <c r="AA60" i="6"/>
  <c r="Z60" i="6"/>
  <c r="Y60" i="6"/>
  <c r="X60" i="6"/>
  <c r="W60" i="6"/>
  <c r="V60" i="6"/>
  <c r="U60" i="6"/>
  <c r="T60" i="6"/>
  <c r="S60" i="6"/>
  <c r="AA59" i="6"/>
  <c r="Z59" i="6"/>
  <c r="Y59" i="6"/>
  <c r="X59" i="6"/>
  <c r="W59" i="6"/>
  <c r="V59" i="6"/>
  <c r="U59" i="6"/>
  <c r="T59" i="6"/>
  <c r="S59" i="6"/>
  <c r="AA58" i="6"/>
  <c r="Z58" i="6"/>
  <c r="Y58" i="6"/>
  <c r="X58" i="6"/>
  <c r="W58" i="6"/>
  <c r="V58" i="6"/>
  <c r="U58" i="6"/>
  <c r="T58" i="6"/>
  <c r="S58" i="6"/>
  <c r="AA57" i="6"/>
  <c r="Z57" i="6"/>
  <c r="Z61" i="6" s="1"/>
  <c r="Y57" i="6"/>
  <c r="X57" i="6"/>
  <c r="W57" i="6"/>
  <c r="V57" i="6"/>
  <c r="U57" i="6"/>
  <c r="T57" i="6"/>
  <c r="S57" i="6"/>
  <c r="R56" i="6"/>
  <c r="U56" i="6" s="1"/>
  <c r="Q56" i="6"/>
  <c r="W56" i="6" s="1"/>
  <c r="P56" i="6"/>
  <c r="O56" i="6"/>
  <c r="X56" i="6" s="1"/>
  <c r="N56" i="6"/>
  <c r="M56" i="6"/>
  <c r="L56" i="6"/>
  <c r="K56" i="6"/>
  <c r="J56" i="6"/>
  <c r="I56" i="6"/>
  <c r="H56" i="6"/>
  <c r="G56" i="6"/>
  <c r="AA55" i="6"/>
  <c r="Z55" i="6"/>
  <c r="Y55" i="6"/>
  <c r="X55" i="6"/>
  <c r="W55" i="6"/>
  <c r="V55" i="6"/>
  <c r="U55" i="6"/>
  <c r="T55" i="6"/>
  <c r="S55" i="6"/>
  <c r="AA54" i="6"/>
  <c r="Z54" i="6"/>
  <c r="Y54" i="6"/>
  <c r="X54" i="6"/>
  <c r="W54" i="6"/>
  <c r="V54" i="6"/>
  <c r="U54" i="6"/>
  <c r="T54" i="6"/>
  <c r="S54" i="6"/>
  <c r="AA53" i="6"/>
  <c r="AA56" i="6" s="1"/>
  <c r="Z53" i="6"/>
  <c r="Y53" i="6"/>
  <c r="Y56" i="6" s="1"/>
  <c r="X53" i="6"/>
  <c r="W53" i="6"/>
  <c r="V53" i="6"/>
  <c r="U53" i="6"/>
  <c r="T53" i="6"/>
  <c r="S53" i="6"/>
  <c r="R52" i="6"/>
  <c r="U52" i="6" s="1"/>
  <c r="Q52" i="6"/>
  <c r="W52" i="6" s="1"/>
  <c r="P52" i="6"/>
  <c r="O52" i="6"/>
  <c r="X52" i="6" s="1"/>
  <c r="N52" i="6"/>
  <c r="M52" i="6"/>
  <c r="L52" i="6"/>
  <c r="K52" i="6"/>
  <c r="J52" i="6"/>
  <c r="I52" i="6"/>
  <c r="H52" i="6"/>
  <c r="G52" i="6"/>
  <c r="AA51" i="6"/>
  <c r="Z51" i="6"/>
  <c r="Y51" i="6"/>
  <c r="X51" i="6"/>
  <c r="W51" i="6"/>
  <c r="V51" i="6"/>
  <c r="U51" i="6"/>
  <c r="T51" i="6"/>
  <c r="S51" i="6"/>
  <c r="AA50" i="6"/>
  <c r="Z50" i="6"/>
  <c r="Y50" i="6"/>
  <c r="X50" i="6"/>
  <c r="W50" i="6"/>
  <c r="V50" i="6"/>
  <c r="U50" i="6"/>
  <c r="T50" i="6"/>
  <c r="S50" i="6"/>
  <c r="AA49" i="6"/>
  <c r="Z49" i="6"/>
  <c r="Y49" i="6"/>
  <c r="X49" i="6"/>
  <c r="W49" i="6"/>
  <c r="V49" i="6"/>
  <c r="U49" i="6"/>
  <c r="T49" i="6"/>
  <c r="S49" i="6"/>
  <c r="AA48" i="6"/>
  <c r="Z48" i="6"/>
  <c r="Y48" i="6"/>
  <c r="X48" i="6"/>
  <c r="W48" i="6"/>
  <c r="V48" i="6"/>
  <c r="U48" i="6"/>
  <c r="T48" i="6"/>
  <c r="S48" i="6"/>
  <c r="AA47" i="6"/>
  <c r="Z47" i="6"/>
  <c r="Z52" i="6" s="1"/>
  <c r="Y47" i="6"/>
  <c r="X47" i="6"/>
  <c r="W47" i="6"/>
  <c r="V47" i="6"/>
  <c r="U47" i="6"/>
  <c r="T47" i="6"/>
  <c r="S47" i="6"/>
  <c r="R46" i="6"/>
  <c r="U46" i="6" s="1"/>
  <c r="Q46" i="6"/>
  <c r="W46" i="6" s="1"/>
  <c r="P46" i="6"/>
  <c r="O46" i="6"/>
  <c r="X46" i="6" s="1"/>
  <c r="N46" i="6"/>
  <c r="M46" i="6"/>
  <c r="L46" i="6"/>
  <c r="K46" i="6"/>
  <c r="J46" i="6"/>
  <c r="I46" i="6"/>
  <c r="H46" i="6"/>
  <c r="G46" i="6"/>
  <c r="AA45" i="6"/>
  <c r="Z45" i="6"/>
  <c r="Y45" i="6"/>
  <c r="X45" i="6"/>
  <c r="W45" i="6"/>
  <c r="V45" i="6"/>
  <c r="U45" i="6"/>
  <c r="T45" i="6"/>
  <c r="S45" i="6"/>
  <c r="AA44" i="6"/>
  <c r="Z44" i="6"/>
  <c r="Y44" i="6"/>
  <c r="X44" i="6"/>
  <c r="W44" i="6"/>
  <c r="V44" i="6"/>
  <c r="U44" i="6"/>
  <c r="T44" i="6"/>
  <c r="S44" i="6"/>
  <c r="AA43" i="6"/>
  <c r="AA46" i="6" s="1"/>
  <c r="Z43" i="6"/>
  <c r="Y43" i="6"/>
  <c r="Y46" i="6" s="1"/>
  <c r="X43" i="6"/>
  <c r="W43" i="6"/>
  <c r="V43" i="6"/>
  <c r="U43" i="6"/>
  <c r="T43" i="6"/>
  <c r="S43" i="6"/>
  <c r="R42" i="6"/>
  <c r="U42" i="6" s="1"/>
  <c r="Q42" i="6"/>
  <c r="W42" i="6" s="1"/>
  <c r="P42" i="6"/>
  <c r="O42" i="6"/>
  <c r="X42" i="6" s="1"/>
  <c r="N42" i="6"/>
  <c r="M42" i="6"/>
  <c r="L42" i="6"/>
  <c r="K42" i="6"/>
  <c r="J42" i="6"/>
  <c r="I42" i="6"/>
  <c r="H42" i="6"/>
  <c r="G42" i="6"/>
  <c r="Z41" i="6"/>
  <c r="Y41" i="6"/>
  <c r="X41" i="6"/>
  <c r="W41" i="6"/>
  <c r="V41" i="6"/>
  <c r="U41" i="6"/>
  <c r="T41" i="6"/>
  <c r="S41" i="6"/>
  <c r="AA40" i="6"/>
  <c r="Z40" i="6"/>
  <c r="Y40" i="6"/>
  <c r="X40" i="6"/>
  <c r="W40" i="6"/>
  <c r="V40" i="6"/>
  <c r="U40" i="6"/>
  <c r="T40" i="6"/>
  <c r="S40" i="6"/>
  <c r="AA39" i="6"/>
  <c r="Z39" i="6"/>
  <c r="Y39" i="6"/>
  <c r="X39" i="6"/>
  <c r="W39" i="6"/>
  <c r="V39" i="6"/>
  <c r="U39" i="6"/>
  <c r="T39" i="6"/>
  <c r="S39" i="6"/>
  <c r="AA38" i="6"/>
  <c r="Z38" i="6"/>
  <c r="Y38" i="6"/>
  <c r="X38" i="6"/>
  <c r="W38" i="6"/>
  <c r="V38" i="6"/>
  <c r="U38" i="6"/>
  <c r="T38" i="6"/>
  <c r="S38" i="6"/>
  <c r="AA37" i="6"/>
  <c r="Z37" i="6"/>
  <c r="Y37" i="6"/>
  <c r="X37" i="6"/>
  <c r="W37" i="6"/>
  <c r="V37" i="6"/>
  <c r="U37" i="6"/>
  <c r="T37" i="6"/>
  <c r="S37" i="6"/>
  <c r="AA36" i="6"/>
  <c r="Z36" i="6"/>
  <c r="Y36" i="6"/>
  <c r="X36" i="6"/>
  <c r="W36" i="6"/>
  <c r="V36" i="6"/>
  <c r="U36" i="6"/>
  <c r="T36" i="6"/>
  <c r="S36" i="6"/>
  <c r="AA35" i="6"/>
  <c r="AA42" i="6" s="1"/>
  <c r="Z35" i="6"/>
  <c r="Y35" i="6"/>
  <c r="Y42" i="6" s="1"/>
  <c r="X35" i="6"/>
  <c r="W35" i="6"/>
  <c r="V35" i="6"/>
  <c r="U35" i="6"/>
  <c r="T35" i="6"/>
  <c r="S35" i="6"/>
  <c r="R34" i="6"/>
  <c r="U34" i="6" s="1"/>
  <c r="Q34" i="6"/>
  <c r="W34" i="6" s="1"/>
  <c r="P34" i="6"/>
  <c r="O34" i="6"/>
  <c r="X34" i="6" s="1"/>
  <c r="N34" i="6"/>
  <c r="M34" i="6"/>
  <c r="L34" i="6"/>
  <c r="K34" i="6"/>
  <c r="J34" i="6"/>
  <c r="I34" i="6"/>
  <c r="H34" i="6"/>
  <c r="G34" i="6"/>
  <c r="AA33" i="6"/>
  <c r="Z33" i="6"/>
  <c r="Y33" i="6"/>
  <c r="X33" i="6"/>
  <c r="W33" i="6"/>
  <c r="V33" i="6"/>
  <c r="U33" i="6"/>
  <c r="T33" i="6"/>
  <c r="S33" i="6"/>
  <c r="AA32" i="6"/>
  <c r="Z32" i="6"/>
  <c r="Y32" i="6"/>
  <c r="X32" i="6"/>
  <c r="W32" i="6"/>
  <c r="V32" i="6"/>
  <c r="U32" i="6"/>
  <c r="T32" i="6"/>
  <c r="S32" i="6"/>
  <c r="AA31" i="6"/>
  <c r="Z31" i="6"/>
  <c r="Y31" i="6"/>
  <c r="X31" i="6"/>
  <c r="W31" i="6"/>
  <c r="V31" i="6"/>
  <c r="U31" i="6"/>
  <c r="T31" i="6"/>
  <c r="S31" i="6"/>
  <c r="R30" i="6"/>
  <c r="U30" i="6" s="1"/>
  <c r="Q30" i="6"/>
  <c r="W30" i="6" s="1"/>
  <c r="P30" i="6"/>
  <c r="O30" i="6"/>
  <c r="X30" i="6" s="1"/>
  <c r="N30" i="6"/>
  <c r="M30" i="6"/>
  <c r="L30" i="6"/>
  <c r="K30" i="6"/>
  <c r="J30" i="6"/>
  <c r="I30" i="6"/>
  <c r="H30" i="6"/>
  <c r="G30" i="6"/>
  <c r="R29" i="6"/>
  <c r="U29" i="6" s="1"/>
  <c r="Q29" i="6"/>
  <c r="P29" i="6"/>
  <c r="O29" i="6"/>
  <c r="N29" i="6"/>
  <c r="M29" i="6"/>
  <c r="L29" i="6"/>
  <c r="K29" i="6"/>
  <c r="J29" i="6"/>
  <c r="I29" i="6"/>
  <c r="H29" i="6"/>
  <c r="G29" i="6"/>
  <c r="X11" i="6"/>
  <c r="W11" i="6"/>
  <c r="V11" i="6"/>
  <c r="U11" i="6"/>
  <c r="AF12" i="6" s="1"/>
  <c r="R11" i="6"/>
  <c r="J11" i="6"/>
  <c r="AF9" i="6"/>
  <c r="AF11" i="6" s="1"/>
  <c r="AE9" i="6"/>
  <c r="AE11" i="6" s="1"/>
  <c r="AA9" i="6"/>
  <c r="AA11" i="6" s="1"/>
  <c r="Z9" i="6"/>
  <c r="Z11" i="6" s="1"/>
  <c r="Y9" i="6"/>
  <c r="Y11" i="6" s="1"/>
  <c r="T9" i="6"/>
  <c r="T11" i="6" s="1"/>
  <c r="AE12" i="6" s="1"/>
  <c r="M9" i="6"/>
  <c r="Z8" i="6"/>
  <c r="AA8" i="6" s="1"/>
  <c r="Z131" i="6" l="1"/>
  <c r="Y131" i="6"/>
  <c r="Y206" i="6"/>
  <c r="BW41" i="5" s="1"/>
  <c r="DI41" i="5" s="1"/>
  <c r="AA206" i="6"/>
  <c r="Z143" i="6"/>
  <c r="AA280" i="6"/>
  <c r="Y91" i="6"/>
  <c r="AA91" i="6"/>
  <c r="Z91" i="6"/>
  <c r="Y113" i="6"/>
  <c r="BW23" i="5" s="1"/>
  <c r="Y143" i="6"/>
  <c r="BW33" i="5" s="1"/>
  <c r="DI33" i="5" s="1"/>
  <c r="AA113" i="6"/>
  <c r="Z280" i="6"/>
  <c r="Z96" i="6"/>
  <c r="Z381" i="6" s="1"/>
  <c r="Z382" i="6" s="1"/>
  <c r="Z120" i="6"/>
  <c r="Z113" i="6" s="1"/>
  <c r="Y211" i="6"/>
  <c r="BW42" i="5" s="1"/>
  <c r="DI42" i="5" s="1"/>
  <c r="AA228" i="6"/>
  <c r="BW24" i="5"/>
  <c r="DI24" i="5" s="1"/>
  <c r="DI23" i="5"/>
  <c r="BW68" i="5"/>
  <c r="DI68" i="5" s="1"/>
  <c r="DI69" i="5"/>
  <c r="Y34" i="6"/>
  <c r="AA34" i="6"/>
  <c r="BW22" i="5"/>
  <c r="Z42" i="6"/>
  <c r="Z46" i="6"/>
  <c r="Y52" i="6"/>
  <c r="AA52" i="6"/>
  <c r="Z56" i="6"/>
  <c r="AA61" i="6"/>
  <c r="Y65" i="6"/>
  <c r="AA65" i="6"/>
  <c r="Z70" i="6"/>
  <c r="Z79" i="6"/>
  <c r="Z87" i="6"/>
  <c r="Z90" i="6"/>
  <c r="AA160" i="6"/>
  <c r="Y168" i="6"/>
  <c r="BW37" i="5" s="1"/>
  <c r="DI37" i="5" s="1"/>
  <c r="AA168" i="6"/>
  <c r="Z172" i="6"/>
  <c r="Y175" i="6"/>
  <c r="AA175" i="6"/>
  <c r="Z180" i="6"/>
  <c r="Z205" i="6"/>
  <c r="AA214" i="6"/>
  <c r="Z228" i="6"/>
  <c r="Y249" i="6"/>
  <c r="BW55" i="5" s="1"/>
  <c r="DI55" i="5" s="1"/>
  <c r="Y262" i="6"/>
  <c r="BW61" i="5" s="1"/>
  <c r="DI61" i="5" s="1"/>
  <c r="AA262" i="6"/>
  <c r="AI262" i="6" s="1"/>
  <c r="Y267" i="6"/>
  <c r="Y379" i="6" s="1"/>
  <c r="AA267" i="6"/>
  <c r="AA379" i="6" s="1"/>
  <c r="AC329" i="6"/>
  <c r="AE323" i="9"/>
  <c r="AC323" i="9"/>
  <c r="AA323" i="9"/>
  <c r="AF323" i="9"/>
  <c r="AD323" i="9"/>
  <c r="AB323" i="9"/>
  <c r="AK323" i="9"/>
  <c r="AJ323" i="9"/>
  <c r="Y280" i="6"/>
  <c r="Z34" i="6"/>
  <c r="AF253" i="6"/>
  <c r="AB279" i="6"/>
  <c r="BW67" i="5"/>
  <c r="BW40" i="5"/>
  <c r="DI40" i="5" s="1"/>
  <c r="AI244" i="6"/>
  <c r="AF252" i="6"/>
  <c r="BW28" i="5"/>
  <c r="BW58" i="5"/>
  <c r="DI58" i="5" s="1"/>
  <c r="AF248" i="6"/>
  <c r="AF251" i="6"/>
  <c r="AD276" i="6"/>
  <c r="AJ33" i="6"/>
  <c r="BW31" i="5"/>
  <c r="DI31" i="5" s="1"/>
  <c r="AA30" i="6"/>
  <c r="AA29" i="6" s="1"/>
  <c r="AB274" i="6"/>
  <c r="AB273" i="6"/>
  <c r="AB255" i="6"/>
  <c r="AB245" i="6"/>
  <c r="AB241" i="6"/>
  <c r="AB238" i="6"/>
  <c r="AB236" i="6"/>
  <c r="AB233" i="6"/>
  <c r="AB231" i="6"/>
  <c r="AB229" i="6"/>
  <c r="AB225" i="6"/>
  <c r="AB223" i="6"/>
  <c r="AB222" i="6"/>
  <c r="AB218" i="6"/>
  <c r="AB216" i="6"/>
  <c r="AB212" i="6"/>
  <c r="AB210" i="6"/>
  <c r="AB208" i="6"/>
  <c r="AB192" i="6"/>
  <c r="AB183" i="6"/>
  <c r="AB182" i="6"/>
  <c r="AB179" i="6"/>
  <c r="AB176" i="6"/>
  <c r="AB174" i="6"/>
  <c r="AB119" i="6"/>
  <c r="AB117" i="6"/>
  <c r="AB115" i="6"/>
  <c r="AB128" i="6"/>
  <c r="AB83" i="6"/>
  <c r="AB81" i="6"/>
  <c r="AB49" i="6"/>
  <c r="AB106" i="6"/>
  <c r="AB32" i="6"/>
  <c r="AB37" i="6"/>
  <c r="AB39" i="6"/>
  <c r="AB41" i="6"/>
  <c r="AB44" i="6"/>
  <c r="AB51" i="6"/>
  <c r="AB54" i="6"/>
  <c r="AB57" i="6"/>
  <c r="AB59" i="6"/>
  <c r="AB64" i="6"/>
  <c r="AB67" i="6"/>
  <c r="AB69" i="6"/>
  <c r="AB72" i="6"/>
  <c r="AB74" i="6"/>
  <c r="AB76" i="6"/>
  <c r="AB78" i="6"/>
  <c r="AB85" i="6"/>
  <c r="AB88" i="6"/>
  <c r="AB93" i="6"/>
  <c r="AB95" i="6"/>
  <c r="AB97" i="6"/>
  <c r="AB99" i="6"/>
  <c r="AB101" i="6"/>
  <c r="AB103" i="6"/>
  <c r="AB105" i="6"/>
  <c r="AB107" i="6"/>
  <c r="AB33" i="6"/>
  <c r="AB36" i="6"/>
  <c r="AB38" i="6"/>
  <c r="AB40" i="6"/>
  <c r="AB45" i="6"/>
  <c r="AB48" i="6"/>
  <c r="AB50" i="6"/>
  <c r="AB55" i="6"/>
  <c r="AB58" i="6"/>
  <c r="AB60" i="6"/>
  <c r="AB63" i="6"/>
  <c r="AB68" i="6"/>
  <c r="AB71" i="6"/>
  <c r="AB73" i="6"/>
  <c r="AB75" i="6"/>
  <c r="AB77" i="6"/>
  <c r="AB82" i="6"/>
  <c r="AB84" i="6"/>
  <c r="AB86" i="6"/>
  <c r="AB89" i="6"/>
  <c r="AB92" i="6"/>
  <c r="AB94" i="6"/>
  <c r="AB98" i="6"/>
  <c r="AB100" i="6"/>
  <c r="AB102" i="6"/>
  <c r="AB104" i="6"/>
  <c r="G343" i="6"/>
  <c r="G246" i="6"/>
  <c r="I343" i="6"/>
  <c r="I246" i="6"/>
  <c r="K343" i="6"/>
  <c r="K246" i="6"/>
  <c r="M343" i="6"/>
  <c r="M246" i="6"/>
  <c r="O343" i="6"/>
  <c r="O246" i="6"/>
  <c r="Q246" i="6"/>
  <c r="S29" i="6"/>
  <c r="W29" i="6"/>
  <c r="T30" i="6"/>
  <c r="V30" i="6"/>
  <c r="T34" i="6"/>
  <c r="V34" i="6"/>
  <c r="T42" i="6"/>
  <c r="V42" i="6"/>
  <c r="T46" i="6"/>
  <c r="V46" i="6"/>
  <c r="T52" i="6"/>
  <c r="V52" i="6"/>
  <c r="T56" i="6"/>
  <c r="V56" i="6"/>
  <c r="S61" i="6"/>
  <c r="U61" i="6"/>
  <c r="Y61" i="6"/>
  <c r="AB62" i="6"/>
  <c r="S65" i="6"/>
  <c r="U65" i="6"/>
  <c r="AB66" i="6"/>
  <c r="T70" i="6"/>
  <c r="V70" i="6"/>
  <c r="S79" i="6"/>
  <c r="U79" i="6"/>
  <c r="Y79" i="6"/>
  <c r="AB80" i="6"/>
  <c r="T87" i="6"/>
  <c r="V87" i="6"/>
  <c r="S90" i="6"/>
  <c r="U90" i="6"/>
  <c r="Y90" i="6"/>
  <c r="T91" i="6"/>
  <c r="V91" i="6"/>
  <c r="T96" i="6"/>
  <c r="V96" i="6"/>
  <c r="X96" i="6"/>
  <c r="AB96" i="6"/>
  <c r="AB109" i="6"/>
  <c r="AB111" i="6"/>
  <c r="AB116" i="6"/>
  <c r="AB118" i="6"/>
  <c r="AB121" i="6"/>
  <c r="AB123" i="6"/>
  <c r="AB125" i="6"/>
  <c r="AB127" i="6"/>
  <c r="AB132" i="6"/>
  <c r="AB134" i="6"/>
  <c r="AB136" i="6"/>
  <c r="AB138" i="6"/>
  <c r="AB140" i="6"/>
  <c r="AB142" i="6"/>
  <c r="AB144" i="6"/>
  <c r="AB146" i="6"/>
  <c r="AB150" i="6"/>
  <c r="AB154" i="6"/>
  <c r="AB156" i="6"/>
  <c r="AB158" i="6"/>
  <c r="AB163" i="6"/>
  <c r="AB165" i="6"/>
  <c r="AB167" i="6"/>
  <c r="AB170" i="6"/>
  <c r="H343" i="6"/>
  <c r="H246" i="6"/>
  <c r="J343" i="6"/>
  <c r="J246" i="6"/>
  <c r="L343" i="6"/>
  <c r="L246" i="6"/>
  <c r="N343" i="6"/>
  <c r="N246" i="6"/>
  <c r="P246" i="6"/>
  <c r="R246" i="6"/>
  <c r="T29" i="6"/>
  <c r="V29" i="6"/>
  <c r="X29" i="6"/>
  <c r="S30" i="6"/>
  <c r="AB31" i="6"/>
  <c r="S34" i="6"/>
  <c r="AB35" i="6"/>
  <c r="S42" i="6"/>
  <c r="AB43" i="6"/>
  <c r="S46" i="6"/>
  <c r="AB47" i="6"/>
  <c r="S52" i="6"/>
  <c r="AB53" i="6"/>
  <c r="S56" i="6"/>
  <c r="T61" i="6"/>
  <c r="T65" i="6"/>
  <c r="S70" i="6"/>
  <c r="T79" i="6"/>
  <c r="S87" i="6"/>
  <c r="T90" i="6"/>
  <c r="S91" i="6"/>
  <c r="W96" i="6"/>
  <c r="AB108" i="6"/>
  <c r="AB110" i="6"/>
  <c r="AB112" i="6"/>
  <c r="AB122" i="6"/>
  <c r="AB124" i="6"/>
  <c r="AB126" i="6"/>
  <c r="AB133" i="6"/>
  <c r="AB135" i="6"/>
  <c r="AB137" i="6"/>
  <c r="AB139" i="6"/>
  <c r="AB145" i="6"/>
  <c r="AB147" i="6"/>
  <c r="AB149" i="6"/>
  <c r="AB155" i="6"/>
  <c r="AB157" i="6"/>
  <c r="AB159" i="6"/>
  <c r="AB162" i="6"/>
  <c r="AB164" i="6"/>
  <c r="AB166" i="6"/>
  <c r="AB171" i="6"/>
  <c r="U113" i="6"/>
  <c r="T114" i="6"/>
  <c r="T120" i="6"/>
  <c r="T130" i="6"/>
  <c r="V130" i="6"/>
  <c r="S131" i="6"/>
  <c r="U131" i="6"/>
  <c r="U141" i="6"/>
  <c r="S143" i="6"/>
  <c r="U143" i="6"/>
  <c r="S148" i="6"/>
  <c r="U148" i="6"/>
  <c r="T151" i="6"/>
  <c r="V151" i="6"/>
  <c r="T153" i="6"/>
  <c r="V153" i="6"/>
  <c r="S160" i="6"/>
  <c r="U160" i="6"/>
  <c r="Y160" i="6"/>
  <c r="AB161" i="6"/>
  <c r="S168" i="6"/>
  <c r="U168" i="6"/>
  <c r="AB169" i="6"/>
  <c r="S172" i="6"/>
  <c r="U172" i="6"/>
  <c r="AB173" i="6"/>
  <c r="T175" i="6"/>
  <c r="AB177" i="6"/>
  <c r="AB184" i="6"/>
  <c r="AB186" i="6"/>
  <c r="AB188" i="6"/>
  <c r="AB190" i="6"/>
  <c r="AB194" i="6"/>
  <c r="AB196" i="6"/>
  <c r="AB198" i="6"/>
  <c r="AB200" i="6"/>
  <c r="AB202" i="6"/>
  <c r="AB204" i="6"/>
  <c r="AB207" i="6"/>
  <c r="AB209" i="6"/>
  <c r="AB213" i="6"/>
  <c r="AB221" i="6"/>
  <c r="AB227" i="6"/>
  <c r="AB243" i="6"/>
  <c r="T113" i="6"/>
  <c r="T129" i="6"/>
  <c r="S130" i="6"/>
  <c r="T131" i="6"/>
  <c r="T141" i="6"/>
  <c r="T143" i="6"/>
  <c r="T148" i="6"/>
  <c r="S151" i="6"/>
  <c r="AB152" i="6"/>
  <c r="S153" i="6"/>
  <c r="T160" i="6"/>
  <c r="T168" i="6"/>
  <c r="T172" i="6"/>
  <c r="AB178" i="6"/>
  <c r="AB185" i="6"/>
  <c r="AB187" i="6"/>
  <c r="AB189" i="6"/>
  <c r="AB191" i="6"/>
  <c r="AB193" i="6"/>
  <c r="AB195" i="6"/>
  <c r="AB197" i="6"/>
  <c r="AB199" i="6"/>
  <c r="AB201" i="6"/>
  <c r="AB203" i="6"/>
  <c r="AB215" i="6"/>
  <c r="AB217" i="6"/>
  <c r="AB219" i="6"/>
  <c r="AB224" i="6"/>
  <c r="AB226" i="6"/>
  <c r="AB230" i="6"/>
  <c r="AB232" i="6"/>
  <c r="AB235" i="6"/>
  <c r="AB237" i="6"/>
  <c r="AB239" i="6"/>
  <c r="T180" i="6"/>
  <c r="V180" i="6"/>
  <c r="T205" i="6"/>
  <c r="V205" i="6"/>
  <c r="S206" i="6"/>
  <c r="U206" i="6"/>
  <c r="T211" i="6"/>
  <c r="S214" i="6"/>
  <c r="U214" i="6"/>
  <c r="Y214" i="6"/>
  <c r="BW43" i="5" s="1"/>
  <c r="DI43" i="5" s="1"/>
  <c r="S220" i="6"/>
  <c r="U220" i="6"/>
  <c r="Y220" i="6"/>
  <c r="BW44" i="5" s="1"/>
  <c r="DI44" i="5" s="1"/>
  <c r="T228" i="6"/>
  <c r="S234" i="6"/>
  <c r="U234" i="6"/>
  <c r="Y234" i="6"/>
  <c r="BW46" i="5" s="1"/>
  <c r="DI46" i="5" s="1"/>
  <c r="S242" i="6"/>
  <c r="U242" i="6"/>
  <c r="AA321" i="6"/>
  <c r="AE248" i="6"/>
  <c r="AG248" i="6"/>
  <c r="AI248" i="6"/>
  <c r="H342" i="6"/>
  <c r="H324" i="6"/>
  <c r="H339" i="6" s="1"/>
  <c r="H327" i="6"/>
  <c r="J342" i="6"/>
  <c r="J324" i="6"/>
  <c r="J339" i="6" s="1"/>
  <c r="J327" i="6"/>
  <c r="L342" i="6"/>
  <c r="L324" i="6"/>
  <c r="L339" i="6" s="1"/>
  <c r="L327" i="6"/>
  <c r="N342" i="6"/>
  <c r="N324" i="6"/>
  <c r="N339" i="6" s="1"/>
  <c r="N327" i="6"/>
  <c r="T249" i="6"/>
  <c r="V249" i="6"/>
  <c r="X249" i="6"/>
  <c r="Z249" i="6"/>
  <c r="S349" i="6"/>
  <c r="U349" i="6"/>
  <c r="W349" i="6"/>
  <c r="Y375" i="6"/>
  <c r="Y361" i="6"/>
  <c r="Y349" i="6"/>
  <c r="AC375" i="6"/>
  <c r="AC349" i="6"/>
  <c r="AC350" i="6" s="1"/>
  <c r="AE250" i="6"/>
  <c r="AE251" i="6"/>
  <c r="AE252" i="6"/>
  <c r="AI252" i="6"/>
  <c r="AE253" i="6"/>
  <c r="AI253" i="6"/>
  <c r="AB254" i="6"/>
  <c r="AB257" i="6"/>
  <c r="AB259" i="6"/>
  <c r="AB261" i="6"/>
  <c r="AB269" i="6"/>
  <c r="AB272" i="6"/>
  <c r="AB278" i="6"/>
  <c r="AB282" i="6"/>
  <c r="AB284" i="6"/>
  <c r="AB286" i="6"/>
  <c r="AB288" i="6"/>
  <c r="AB290" i="6"/>
  <c r="AB292" i="6"/>
  <c r="AB294" i="6"/>
  <c r="AB296" i="6"/>
  <c r="AB298" i="6"/>
  <c r="AB300" i="6"/>
  <c r="S180" i="6"/>
  <c r="AB181" i="6"/>
  <c r="S205" i="6"/>
  <c r="T206" i="6"/>
  <c r="T214" i="6"/>
  <c r="T220" i="6"/>
  <c r="T234" i="6"/>
  <c r="T242" i="6"/>
  <c r="Z321" i="6"/>
  <c r="AD248" i="6"/>
  <c r="AH248" i="6"/>
  <c r="G342" i="6"/>
  <c r="G327" i="6"/>
  <c r="G324" i="6"/>
  <c r="G339" i="6" s="1"/>
  <c r="I342" i="6"/>
  <c r="I327" i="6"/>
  <c r="I324" i="6"/>
  <c r="I339" i="6" s="1"/>
  <c r="K342" i="6"/>
  <c r="K327" i="6"/>
  <c r="K324" i="6"/>
  <c r="K339" i="6" s="1"/>
  <c r="M342" i="6"/>
  <c r="M327" i="6"/>
  <c r="M324" i="6"/>
  <c r="M339" i="6" s="1"/>
  <c r="O342" i="6"/>
  <c r="X342" i="6" s="1"/>
  <c r="O327" i="6"/>
  <c r="X327" i="6" s="1"/>
  <c r="O324" i="6"/>
  <c r="X321" i="6"/>
  <c r="S249" i="6"/>
  <c r="W249" i="6"/>
  <c r="Z361" i="6"/>
  <c r="Z349" i="6"/>
  <c r="Z375" i="6"/>
  <c r="AF250" i="6"/>
  <c r="AA375" i="6"/>
  <c r="AA361" i="6"/>
  <c r="AA349" i="6"/>
  <c r="AI349" i="6" s="1"/>
  <c r="AH251" i="6"/>
  <c r="AB256" i="6"/>
  <c r="AB258" i="6"/>
  <c r="AB260" i="6"/>
  <c r="AB270" i="6"/>
  <c r="AB271" i="6"/>
  <c r="AH279" i="6"/>
  <c r="AF279" i="6"/>
  <c r="AD279" i="6"/>
  <c r="AI279" i="6"/>
  <c r="AG279" i="6"/>
  <c r="AE279" i="6"/>
  <c r="AC279" i="6"/>
  <c r="AB281" i="6"/>
  <c r="AB283" i="6"/>
  <c r="AB287" i="6"/>
  <c r="AB289" i="6"/>
  <c r="AB291" i="6"/>
  <c r="AB293" i="6"/>
  <c r="AB295" i="6"/>
  <c r="AB297" i="6"/>
  <c r="AB299" i="6"/>
  <c r="P262" i="6"/>
  <c r="Q262" i="6" s="1"/>
  <c r="Q343" i="6" s="1"/>
  <c r="AD262" i="6"/>
  <c r="AF262" i="6"/>
  <c r="AH262" i="6"/>
  <c r="AD263" i="6"/>
  <c r="AF263" i="6"/>
  <c r="AH263" i="6"/>
  <c r="AD264" i="6"/>
  <c r="AF264" i="6"/>
  <c r="AH264" i="6"/>
  <c r="AE265" i="6"/>
  <c r="AG265" i="6"/>
  <c r="AI265" i="6"/>
  <c r="AE266" i="6"/>
  <c r="AG266" i="6"/>
  <c r="AI266" i="6"/>
  <c r="V267" i="6"/>
  <c r="X267" i="6"/>
  <c r="AC275" i="6"/>
  <c r="AC378" i="6" s="1"/>
  <c r="AE275" i="6"/>
  <c r="AG275" i="6"/>
  <c r="AI275" i="6"/>
  <c r="Z377" i="6"/>
  <c r="Z347" i="6"/>
  <c r="Z348" i="6" s="1"/>
  <c r="AF276" i="6"/>
  <c r="U277" i="6"/>
  <c r="T280" i="6"/>
  <c r="V280" i="6"/>
  <c r="T285" i="6"/>
  <c r="V285" i="6"/>
  <c r="AB302" i="6"/>
  <c r="AB304" i="6"/>
  <c r="AB306" i="6"/>
  <c r="AB308" i="6"/>
  <c r="AB310" i="6"/>
  <c r="AB312" i="6"/>
  <c r="AB314" i="6"/>
  <c r="AB316" i="6"/>
  <c r="AB318" i="6"/>
  <c r="AB320" i="6"/>
  <c r="AE262" i="6"/>
  <c r="AG262" i="6"/>
  <c r="S267" i="6"/>
  <c r="U267" i="6"/>
  <c r="W267" i="6"/>
  <c r="AD275" i="6"/>
  <c r="AF275" i="6"/>
  <c r="AH275" i="6"/>
  <c r="Y377" i="6"/>
  <c r="Y347" i="6"/>
  <c r="Y348" i="6" s="1"/>
  <c r="AA377" i="6"/>
  <c r="AA347" i="6"/>
  <c r="AH347" i="6" s="1"/>
  <c r="AE276" i="6"/>
  <c r="AG276" i="6"/>
  <c r="AI276" i="6"/>
  <c r="T277" i="6"/>
  <c r="S280" i="6"/>
  <c r="S285" i="6"/>
  <c r="AB301" i="6"/>
  <c r="AB303" i="6"/>
  <c r="AB305" i="6"/>
  <c r="AB307" i="6"/>
  <c r="AB309" i="6"/>
  <c r="AB311" i="6"/>
  <c r="AB313" i="6"/>
  <c r="AB315" i="6"/>
  <c r="AB317" i="6"/>
  <c r="AB319" i="6"/>
  <c r="O350" i="6"/>
  <c r="X348" i="6"/>
  <c r="X350" i="6" s="1"/>
  <c r="Q350" i="6"/>
  <c r="W348" i="6"/>
  <c r="W350" i="6" s="1"/>
  <c r="V348" i="6"/>
  <c r="V350" i="6" s="1"/>
  <c r="AI347" i="6"/>
  <c r="R350" i="6"/>
  <c r="U348" i="6"/>
  <c r="U350" i="6" s="1"/>
  <c r="S348" i="6"/>
  <c r="S350" i="6" s="1"/>
  <c r="T348" i="6"/>
  <c r="T350" i="6" s="1"/>
  <c r="AB350" i="6"/>
  <c r="AD346" i="6"/>
  <c r="AF346" i="6"/>
  <c r="AH346" i="6"/>
  <c r="J349" i="6"/>
  <c r="J362" i="6" s="1"/>
  <c r="L349" i="6"/>
  <c r="L362" i="6" s="1"/>
  <c r="W362" i="6"/>
  <c r="V362" i="6"/>
  <c r="AH349" i="6"/>
  <c r="AE346" i="6"/>
  <c r="AG346" i="6"/>
  <c r="AI346" i="6"/>
  <c r="K349" i="6"/>
  <c r="K362" i="6" s="1"/>
  <c r="U362" i="6"/>
  <c r="S362" i="6"/>
  <c r="T362" i="6"/>
  <c r="AE349" i="6"/>
  <c r="AG349" i="6"/>
  <c r="S361" i="6"/>
  <c r="U361" i="6"/>
  <c r="W361" i="6"/>
  <c r="AB362" i="6"/>
  <c r="AD349" i="6"/>
  <c r="AF349" i="6"/>
  <c r="Y30" i="6" l="1"/>
  <c r="Y29" i="6" s="1"/>
  <c r="AJ29" i="6" s="1"/>
  <c r="BW60" i="5"/>
  <c r="DI60" i="5" s="1"/>
  <c r="DI28" i="5"/>
  <c r="AA151" i="6"/>
  <c r="AA130" i="6" s="1"/>
  <c r="AA129" i="6" s="1"/>
  <c r="AA343" i="6" s="1"/>
  <c r="Z151" i="6"/>
  <c r="Z130" i="6" s="1"/>
  <c r="Z129" i="6" s="1"/>
  <c r="BW65" i="5"/>
  <c r="DI65" i="5" s="1"/>
  <c r="DI67" i="5"/>
  <c r="BW85" i="5"/>
  <c r="DI85" i="5" s="1"/>
  <c r="DI22" i="5"/>
  <c r="AA246" i="6"/>
  <c r="AG347" i="6"/>
  <c r="AF347" i="6"/>
  <c r="Y362" i="6"/>
  <c r="Y321" i="6"/>
  <c r="BW52" i="5" s="1"/>
  <c r="DI52" i="5" s="1"/>
  <c r="Z30" i="6"/>
  <c r="Z29" i="6" s="1"/>
  <c r="Z246" i="6" s="1"/>
  <c r="AA362" i="6"/>
  <c r="Y151" i="6"/>
  <c r="Y130" i="6" s="1"/>
  <c r="Y129" i="6" s="1"/>
  <c r="BW36" i="5"/>
  <c r="AJ27" i="6"/>
  <c r="BW21" i="5"/>
  <c r="BW20" i="5" s="1"/>
  <c r="AJ131" i="6"/>
  <c r="Y350" i="6"/>
  <c r="AD348" i="6"/>
  <c r="AE348" i="6"/>
  <c r="Z350" i="6"/>
  <c r="AF348" i="6"/>
  <c r="AG348" i="6"/>
  <c r="Y343" i="6"/>
  <c r="Y246" i="6"/>
  <c r="AF315" i="6"/>
  <c r="AC315" i="6"/>
  <c r="AH315" i="6"/>
  <c r="AD315" i="6"/>
  <c r="AF307" i="6"/>
  <c r="AC307" i="6"/>
  <c r="AH307" i="6"/>
  <c r="AD307" i="6"/>
  <c r="AH303" i="6"/>
  <c r="AD303" i="6"/>
  <c r="AI303" i="6"/>
  <c r="AF303" i="6"/>
  <c r="AC303" i="6"/>
  <c r="AF320" i="6"/>
  <c r="AC320" i="6"/>
  <c r="AH320" i="6"/>
  <c r="AD320" i="6"/>
  <c r="AI316" i="6"/>
  <c r="AF316" i="6"/>
  <c r="AC316" i="6"/>
  <c r="AH316" i="6"/>
  <c r="AD316" i="6"/>
  <c r="AH312" i="6"/>
  <c r="AD312" i="6"/>
  <c r="AI312" i="6"/>
  <c r="AF312" i="6"/>
  <c r="AC312" i="6"/>
  <c r="AF308" i="6"/>
  <c r="AC308" i="6"/>
  <c r="AH308" i="6"/>
  <c r="AD308" i="6"/>
  <c r="AI304" i="6"/>
  <c r="AF304" i="6"/>
  <c r="AC304" i="6"/>
  <c r="AH304" i="6"/>
  <c r="AD304" i="6"/>
  <c r="AH299" i="6"/>
  <c r="AD299" i="6"/>
  <c r="AF299" i="6"/>
  <c r="AC299" i="6"/>
  <c r="AI295" i="6"/>
  <c r="AF295" i="6"/>
  <c r="AC295" i="6"/>
  <c r="AH295" i="6"/>
  <c r="AD295" i="6"/>
  <c r="AH291" i="6"/>
  <c r="AD291" i="6"/>
  <c r="AF291" i="6"/>
  <c r="AC291" i="6"/>
  <c r="AH287" i="6"/>
  <c r="AD287" i="6"/>
  <c r="AF287" i="6"/>
  <c r="AC287" i="6"/>
  <c r="AH281" i="6"/>
  <c r="AF281" i="6"/>
  <c r="AD281" i="6"/>
  <c r="AI281" i="6"/>
  <c r="AG281" i="6"/>
  <c r="AE281" i="6"/>
  <c r="AC281" i="6"/>
  <c r="AB280" i="6"/>
  <c r="AH271" i="6"/>
  <c r="AD271" i="6"/>
  <c r="AF271" i="6"/>
  <c r="AC271" i="6"/>
  <c r="AI260" i="6"/>
  <c r="AG260" i="6"/>
  <c r="AE260" i="6"/>
  <c r="AC260" i="6"/>
  <c r="AH260" i="6"/>
  <c r="AF260" i="6"/>
  <c r="AD260" i="6"/>
  <c r="AI256" i="6"/>
  <c r="AG256" i="6"/>
  <c r="AE256" i="6"/>
  <c r="AC256" i="6"/>
  <c r="AH256" i="6"/>
  <c r="AF256" i="6"/>
  <c r="AD256" i="6"/>
  <c r="AA348" i="6"/>
  <c r="Z342" i="6"/>
  <c r="Z324" i="6"/>
  <c r="Z339" i="6" s="1"/>
  <c r="Z327" i="6"/>
  <c r="AH298" i="6"/>
  <c r="AD298" i="6"/>
  <c r="AF298" i="6"/>
  <c r="AC298" i="6"/>
  <c r="AF294" i="6"/>
  <c r="AC294" i="6"/>
  <c r="AH294" i="6"/>
  <c r="AD294" i="6"/>
  <c r="AH290" i="6"/>
  <c r="AD290" i="6"/>
  <c r="AF290" i="6"/>
  <c r="AC290" i="6"/>
  <c r="AH286" i="6"/>
  <c r="AD286" i="6"/>
  <c r="AF286" i="6"/>
  <c r="AC286" i="6"/>
  <c r="AB285" i="6"/>
  <c r="AF282" i="6"/>
  <c r="AC282" i="6"/>
  <c r="AH282" i="6"/>
  <c r="AD282" i="6"/>
  <c r="AH272" i="6"/>
  <c r="AD272" i="6"/>
  <c r="AF272" i="6"/>
  <c r="AC272" i="6"/>
  <c r="AH261" i="6"/>
  <c r="AD261" i="6"/>
  <c r="AI261" i="6"/>
  <c r="AF261" i="6"/>
  <c r="AC261" i="6"/>
  <c r="AH257" i="6"/>
  <c r="AF257" i="6"/>
  <c r="AD257" i="6"/>
  <c r="AI257" i="6"/>
  <c r="AG257" i="6"/>
  <c r="AE257" i="6"/>
  <c r="Y342" i="6"/>
  <c r="Y324" i="6"/>
  <c r="Y339" i="6" s="1"/>
  <c r="AI239" i="6"/>
  <c r="AG239" i="6"/>
  <c r="AE239" i="6"/>
  <c r="AC239" i="6"/>
  <c r="AH239" i="6"/>
  <c r="AF239" i="6"/>
  <c r="AD239" i="6"/>
  <c r="AI235" i="6"/>
  <c r="AG235" i="6"/>
  <c r="AE235" i="6"/>
  <c r="AC235" i="6"/>
  <c r="AB234" i="6"/>
  <c r="AH235" i="6"/>
  <c r="AF235" i="6"/>
  <c r="AD235" i="6"/>
  <c r="AI230" i="6"/>
  <c r="AF230" i="6"/>
  <c r="AC230" i="6"/>
  <c r="AH230" i="6"/>
  <c r="AD230" i="6"/>
  <c r="AI224" i="6"/>
  <c r="AF224" i="6"/>
  <c r="AC224" i="6"/>
  <c r="AH224" i="6"/>
  <c r="AD224" i="6"/>
  <c r="AI217" i="6"/>
  <c r="AG217" i="6"/>
  <c r="AE217" i="6"/>
  <c r="AC217" i="6"/>
  <c r="AH217" i="6"/>
  <c r="AF217" i="6"/>
  <c r="AD217" i="6"/>
  <c r="AF203" i="6"/>
  <c r="AC203" i="6"/>
  <c r="AH203" i="6"/>
  <c r="AD203" i="6"/>
  <c r="AH199" i="6"/>
  <c r="AD199" i="6"/>
  <c r="AI199" i="6"/>
  <c r="AF199" i="6"/>
  <c r="AC199" i="6"/>
  <c r="AI195" i="6"/>
  <c r="AF195" i="6"/>
  <c r="AC195" i="6"/>
  <c r="AH195" i="6"/>
  <c r="AD195" i="6"/>
  <c r="AH191" i="6"/>
  <c r="AD191" i="6"/>
  <c r="AI191" i="6"/>
  <c r="AF191" i="6"/>
  <c r="AC191" i="6"/>
  <c r="AH187" i="6"/>
  <c r="AF187" i="6"/>
  <c r="AD187" i="6"/>
  <c r="AI187" i="6"/>
  <c r="AG187" i="6"/>
  <c r="AE187" i="6"/>
  <c r="AC187" i="6"/>
  <c r="AH178" i="6"/>
  <c r="AD178" i="6"/>
  <c r="AI178" i="6"/>
  <c r="AF178" i="6"/>
  <c r="AC178" i="6"/>
  <c r="AI243" i="6"/>
  <c r="AG243" i="6"/>
  <c r="AE243" i="6"/>
  <c r="AC243" i="6"/>
  <c r="AB242" i="6"/>
  <c r="AH243" i="6"/>
  <c r="AF243" i="6"/>
  <c r="AD243" i="6"/>
  <c r="AI221" i="6"/>
  <c r="AF221" i="6"/>
  <c r="AC221" i="6"/>
  <c r="AB220" i="6"/>
  <c r="AH221" i="6"/>
  <c r="AD221" i="6"/>
  <c r="AI209" i="6"/>
  <c r="AG209" i="6"/>
  <c r="AE209" i="6"/>
  <c r="AC209" i="6"/>
  <c r="AH209" i="6"/>
  <c r="AF209" i="6"/>
  <c r="AD209" i="6"/>
  <c r="AF204" i="6"/>
  <c r="AC204" i="6"/>
  <c r="AH204" i="6"/>
  <c r="AD204" i="6"/>
  <c r="AI200" i="6"/>
  <c r="AF200" i="6"/>
  <c r="AC200" i="6"/>
  <c r="AH200" i="6"/>
  <c r="AD200" i="6"/>
  <c r="AI196" i="6"/>
  <c r="AF196" i="6"/>
  <c r="AD196" i="6"/>
  <c r="AH196" i="6"/>
  <c r="AE196" i="6"/>
  <c r="AC196" i="6"/>
  <c r="AI190" i="6"/>
  <c r="AG190" i="6"/>
  <c r="AE190" i="6"/>
  <c r="AC190" i="6"/>
  <c r="AH190" i="6"/>
  <c r="AF190" i="6"/>
  <c r="AD190" i="6"/>
  <c r="AI186" i="6"/>
  <c r="AF186" i="6"/>
  <c r="AC186" i="6"/>
  <c r="AH186" i="6"/>
  <c r="AD186" i="6"/>
  <c r="AI177" i="6"/>
  <c r="AG177" i="6"/>
  <c r="AE177" i="6"/>
  <c r="AC177" i="6"/>
  <c r="AH177" i="6"/>
  <c r="AF177" i="6"/>
  <c r="AD177" i="6"/>
  <c r="AI173" i="6"/>
  <c r="AF173" i="6"/>
  <c r="AC173" i="6"/>
  <c r="AB175" i="6"/>
  <c r="AH173" i="6"/>
  <c r="AD173" i="6"/>
  <c r="AB168" i="6"/>
  <c r="AI161" i="6"/>
  <c r="AG161" i="6"/>
  <c r="AE161" i="6"/>
  <c r="AC161" i="6"/>
  <c r="AH161" i="6"/>
  <c r="AF161" i="6"/>
  <c r="AD161" i="6"/>
  <c r="AI171" i="6"/>
  <c r="AF171" i="6"/>
  <c r="AC171" i="6"/>
  <c r="AH171" i="6"/>
  <c r="AD171" i="6"/>
  <c r="AH164" i="6"/>
  <c r="AD164" i="6"/>
  <c r="AI164" i="6"/>
  <c r="AF164" i="6"/>
  <c r="AC164" i="6"/>
  <c r="AI159" i="6"/>
  <c r="AG159" i="6"/>
  <c r="AE159" i="6"/>
  <c r="AC159" i="6"/>
  <c r="AH159" i="6"/>
  <c r="AF159" i="6"/>
  <c r="AD159" i="6"/>
  <c r="AI155" i="6"/>
  <c r="AG155" i="6"/>
  <c r="AE155" i="6"/>
  <c r="AC155" i="6"/>
  <c r="AH155" i="6"/>
  <c r="AF155" i="6"/>
  <c r="AD155" i="6"/>
  <c r="AI149" i="6"/>
  <c r="AG149" i="6"/>
  <c r="AE149" i="6"/>
  <c r="AC149" i="6"/>
  <c r="AB148" i="6"/>
  <c r="AH149" i="6"/>
  <c r="AF149" i="6"/>
  <c r="AD149" i="6"/>
  <c r="AH145" i="6"/>
  <c r="AF145" i="6"/>
  <c r="AD145" i="6"/>
  <c r="AI145" i="6"/>
  <c r="AG145" i="6"/>
  <c r="AE145" i="6"/>
  <c r="AC145" i="6"/>
  <c r="AH137" i="6"/>
  <c r="AF137" i="6"/>
  <c r="AD137" i="6"/>
  <c r="AI137" i="6"/>
  <c r="AG137" i="6"/>
  <c r="AE137" i="6"/>
  <c r="AC137" i="6"/>
  <c r="AH133" i="6"/>
  <c r="AF133" i="6"/>
  <c r="AD133" i="6"/>
  <c r="AI133" i="6"/>
  <c r="AG133" i="6"/>
  <c r="AE133" i="6"/>
  <c r="AC133" i="6"/>
  <c r="AI124" i="6"/>
  <c r="AG124" i="6"/>
  <c r="AE124" i="6"/>
  <c r="AC124" i="6"/>
  <c r="AH124" i="6"/>
  <c r="AF124" i="6"/>
  <c r="AD124" i="6"/>
  <c r="AH112" i="6"/>
  <c r="AD112" i="6"/>
  <c r="AF112" i="6"/>
  <c r="AC112" i="6"/>
  <c r="AH108" i="6"/>
  <c r="AF108" i="6"/>
  <c r="AD108" i="6"/>
  <c r="AI108" i="6"/>
  <c r="AG108" i="6"/>
  <c r="AE108" i="6"/>
  <c r="AC108" i="6"/>
  <c r="AH53" i="6"/>
  <c r="AF53" i="6"/>
  <c r="AD53" i="6"/>
  <c r="AB56" i="6"/>
  <c r="AI53" i="6"/>
  <c r="AG53" i="6"/>
  <c r="AE53" i="6"/>
  <c r="AC53" i="6"/>
  <c r="AH47" i="6"/>
  <c r="AF47" i="6"/>
  <c r="AD47" i="6"/>
  <c r="AB52" i="6"/>
  <c r="AI47" i="6"/>
  <c r="AG47" i="6"/>
  <c r="AE47" i="6"/>
  <c r="AC47" i="6"/>
  <c r="AH43" i="6"/>
  <c r="AF43" i="6"/>
  <c r="AD43" i="6"/>
  <c r="AB46" i="6"/>
  <c r="AI43" i="6"/>
  <c r="AG43" i="6"/>
  <c r="AE43" i="6"/>
  <c r="AC43" i="6"/>
  <c r="AH35" i="6"/>
  <c r="AF35" i="6"/>
  <c r="AD35" i="6"/>
  <c r="AB42" i="6"/>
  <c r="AI35" i="6"/>
  <c r="AG35" i="6"/>
  <c r="AE35" i="6"/>
  <c r="AC35" i="6"/>
  <c r="AH31" i="6"/>
  <c r="AF31" i="6"/>
  <c r="AD31" i="6"/>
  <c r="AB34" i="6"/>
  <c r="AI31" i="6"/>
  <c r="AG31" i="6"/>
  <c r="AE31" i="6"/>
  <c r="AC31" i="6"/>
  <c r="P343" i="6"/>
  <c r="AI167" i="6"/>
  <c r="AG167" i="6"/>
  <c r="AE167" i="6"/>
  <c r="AC167" i="6"/>
  <c r="AH167" i="6"/>
  <c r="AF167" i="6"/>
  <c r="AD167" i="6"/>
  <c r="AI163" i="6"/>
  <c r="AG163" i="6"/>
  <c r="AE163" i="6"/>
  <c r="AC163" i="6"/>
  <c r="AH163" i="6"/>
  <c r="AF163" i="6"/>
  <c r="AD163" i="6"/>
  <c r="AH156" i="6"/>
  <c r="AF156" i="6"/>
  <c r="AD156" i="6"/>
  <c r="AI156" i="6"/>
  <c r="AG156" i="6"/>
  <c r="AE156" i="6"/>
  <c r="AC156" i="6"/>
  <c r="AH150" i="6"/>
  <c r="AF150" i="6"/>
  <c r="AD150" i="6"/>
  <c r="AI150" i="6"/>
  <c r="AG150" i="6"/>
  <c r="AE150" i="6"/>
  <c r="AC150" i="6"/>
  <c r="AI144" i="6"/>
  <c r="AG144" i="6"/>
  <c r="AE144" i="6"/>
  <c r="AC144" i="6"/>
  <c r="AB143" i="6"/>
  <c r="AH144" i="6"/>
  <c r="AF144" i="6"/>
  <c r="AD144" i="6"/>
  <c r="AI140" i="6"/>
  <c r="AF140" i="6"/>
  <c r="AC140" i="6"/>
  <c r="AH140" i="6"/>
  <c r="AD140" i="6"/>
  <c r="AI136" i="6"/>
  <c r="AG136" i="6"/>
  <c r="AE136" i="6"/>
  <c r="AC136" i="6"/>
  <c r="AH136" i="6"/>
  <c r="AF136" i="6"/>
  <c r="AD136" i="6"/>
  <c r="AI132" i="6"/>
  <c r="AG132" i="6"/>
  <c r="AE132" i="6"/>
  <c r="AC132" i="6"/>
  <c r="AB131" i="6"/>
  <c r="AH132" i="6"/>
  <c r="AF132" i="6"/>
  <c r="AD132" i="6"/>
  <c r="AH125" i="6"/>
  <c r="AF125" i="6"/>
  <c r="AD125" i="6"/>
  <c r="AI125" i="6"/>
  <c r="AG125" i="6"/>
  <c r="AE125" i="6"/>
  <c r="AC125" i="6"/>
  <c r="AH121" i="6"/>
  <c r="AD121" i="6"/>
  <c r="AI121" i="6"/>
  <c r="AF121" i="6"/>
  <c r="AC121" i="6"/>
  <c r="AB120" i="6"/>
  <c r="AI116" i="6"/>
  <c r="AG116" i="6"/>
  <c r="AE116" i="6"/>
  <c r="AC116" i="6"/>
  <c r="AH116" i="6"/>
  <c r="AF116" i="6"/>
  <c r="AD116" i="6"/>
  <c r="AI109" i="6"/>
  <c r="AG109" i="6"/>
  <c r="AE109" i="6"/>
  <c r="AC109" i="6"/>
  <c r="AH109" i="6"/>
  <c r="AF109" i="6"/>
  <c r="AD109" i="6"/>
  <c r="AI80" i="6"/>
  <c r="AG80" i="6"/>
  <c r="AE80" i="6"/>
  <c r="AC80" i="6"/>
  <c r="AB87" i="6"/>
  <c r="AH80" i="6"/>
  <c r="AF80" i="6"/>
  <c r="AD80" i="6"/>
  <c r="AI66" i="6"/>
  <c r="AG66" i="6"/>
  <c r="AE66" i="6"/>
  <c r="AC66" i="6"/>
  <c r="AB70" i="6"/>
  <c r="AH66" i="6"/>
  <c r="AF66" i="6"/>
  <c r="AD66" i="6"/>
  <c r="AI102" i="6"/>
  <c r="AF102" i="6"/>
  <c r="AC102" i="6"/>
  <c r="AH102" i="6"/>
  <c r="AD102" i="6"/>
  <c r="AI98" i="6"/>
  <c r="AF98" i="6"/>
  <c r="AC98" i="6"/>
  <c r="AH98" i="6"/>
  <c r="AD98" i="6"/>
  <c r="AH92" i="6"/>
  <c r="AD92" i="6"/>
  <c r="AI92" i="6"/>
  <c r="AF92" i="6"/>
  <c r="AC92" i="6"/>
  <c r="AB91" i="6"/>
  <c r="AF86" i="6"/>
  <c r="AC86" i="6"/>
  <c r="AH86" i="6"/>
  <c r="AD86" i="6"/>
  <c r="AI82" i="6"/>
  <c r="AG82" i="6"/>
  <c r="AE82" i="6"/>
  <c r="AC82" i="6"/>
  <c r="AH82" i="6"/>
  <c r="AF82" i="6"/>
  <c r="AD82" i="6"/>
  <c r="AH75" i="6"/>
  <c r="AF75" i="6"/>
  <c r="AD75" i="6"/>
  <c r="AI75" i="6"/>
  <c r="AG75" i="6"/>
  <c r="AE75" i="6"/>
  <c r="AC75" i="6"/>
  <c r="AB79" i="6"/>
  <c r="AH71" i="6"/>
  <c r="AF71" i="6"/>
  <c r="AD71" i="6"/>
  <c r="AI71" i="6"/>
  <c r="AG71" i="6"/>
  <c r="AE71" i="6"/>
  <c r="AC71" i="6"/>
  <c r="AH63" i="6"/>
  <c r="AF63" i="6"/>
  <c r="AD63" i="6"/>
  <c r="AI63" i="6"/>
  <c r="AG63" i="6"/>
  <c r="AE63" i="6"/>
  <c r="AC63" i="6"/>
  <c r="AI58" i="6"/>
  <c r="AG58" i="6"/>
  <c r="AE58" i="6"/>
  <c r="AC58" i="6"/>
  <c r="AH58" i="6"/>
  <c r="AF58" i="6"/>
  <c r="AD58" i="6"/>
  <c r="AI50" i="6"/>
  <c r="AG50" i="6"/>
  <c r="AE50" i="6"/>
  <c r="AC50" i="6"/>
  <c r="AH50" i="6"/>
  <c r="AF50" i="6"/>
  <c r="AD50" i="6"/>
  <c r="AH45" i="6"/>
  <c r="AF45" i="6"/>
  <c r="AD45" i="6"/>
  <c r="AI45" i="6"/>
  <c r="AG45" i="6"/>
  <c r="AE45" i="6"/>
  <c r="AC45" i="6"/>
  <c r="AI38" i="6"/>
  <c r="AG38" i="6"/>
  <c r="AE38" i="6"/>
  <c r="AC38" i="6"/>
  <c r="AH38" i="6"/>
  <c r="AF38" i="6"/>
  <c r="AD38" i="6"/>
  <c r="AH33" i="6"/>
  <c r="AF33" i="6"/>
  <c r="AD33" i="6"/>
  <c r="AI33" i="6"/>
  <c r="AG33" i="6"/>
  <c r="AE33" i="6"/>
  <c r="AC33" i="6"/>
  <c r="AI107" i="6"/>
  <c r="AG107" i="6"/>
  <c r="AH107" i="6"/>
  <c r="AF107" i="6"/>
  <c r="AD107" i="6"/>
  <c r="AE107" i="6"/>
  <c r="AC107" i="6"/>
  <c r="AH103" i="6"/>
  <c r="AD103" i="6"/>
  <c r="AI103" i="6"/>
  <c r="AF103" i="6"/>
  <c r="AC103" i="6"/>
  <c r="AH99" i="6"/>
  <c r="AF99" i="6"/>
  <c r="AD99" i="6"/>
  <c r="AI99" i="6"/>
  <c r="AG99" i="6"/>
  <c r="AE99" i="6"/>
  <c r="AC99" i="6"/>
  <c r="AB247" i="6"/>
  <c r="AI95" i="6"/>
  <c r="AG95" i="6"/>
  <c r="AE95" i="6"/>
  <c r="AC95" i="6"/>
  <c r="AH95" i="6"/>
  <c r="AF95" i="6"/>
  <c r="AD95" i="6"/>
  <c r="AB90" i="6"/>
  <c r="AH88" i="6"/>
  <c r="AD88" i="6"/>
  <c r="AI88" i="6"/>
  <c r="AF88" i="6"/>
  <c r="AC88" i="6"/>
  <c r="AI78" i="6"/>
  <c r="AG78" i="6"/>
  <c r="AE78" i="6"/>
  <c r="AC78" i="6"/>
  <c r="AH78" i="6"/>
  <c r="AF78" i="6"/>
  <c r="AD78" i="6"/>
  <c r="AI74" i="6"/>
  <c r="AG74" i="6"/>
  <c r="AE74" i="6"/>
  <c r="AC74" i="6"/>
  <c r="AH74" i="6"/>
  <c r="AF74" i="6"/>
  <c r="AD74" i="6"/>
  <c r="AH69" i="6"/>
  <c r="AF69" i="6"/>
  <c r="AD69" i="6"/>
  <c r="AI69" i="6"/>
  <c r="AG69" i="6"/>
  <c r="AE69" i="6"/>
  <c r="AC69" i="6"/>
  <c r="AI64" i="6"/>
  <c r="AG64" i="6"/>
  <c r="AE64" i="6"/>
  <c r="AC64" i="6"/>
  <c r="AH64" i="6"/>
  <c r="AF64" i="6"/>
  <c r="AD64" i="6"/>
  <c r="AB61" i="6"/>
  <c r="AH57" i="6"/>
  <c r="AF57" i="6"/>
  <c r="AD57" i="6"/>
  <c r="AI57" i="6"/>
  <c r="AG57" i="6"/>
  <c r="AE57" i="6"/>
  <c r="AC57" i="6"/>
  <c r="AH51" i="6"/>
  <c r="AF51" i="6"/>
  <c r="AD51" i="6"/>
  <c r="AI51" i="6"/>
  <c r="AG51" i="6"/>
  <c r="AE51" i="6"/>
  <c r="AC51" i="6"/>
  <c r="AG41" i="6"/>
  <c r="AD41" i="6"/>
  <c r="AH41" i="6"/>
  <c r="AF41" i="6"/>
  <c r="AC41" i="6"/>
  <c r="AH37" i="6"/>
  <c r="AF37" i="6"/>
  <c r="AD37" i="6"/>
  <c r="AI37" i="6"/>
  <c r="AG37" i="6"/>
  <c r="AE37" i="6"/>
  <c r="AC37" i="6"/>
  <c r="Z341" i="6"/>
  <c r="Z340" i="6" s="1"/>
  <c r="Z338" i="6"/>
  <c r="Z326" i="6"/>
  <c r="Z325" i="6" s="1"/>
  <c r="Z373" i="6" s="1"/>
  <c r="Z374" i="6" s="1"/>
  <c r="Z384" i="6" s="1"/>
  <c r="AI106" i="6"/>
  <c r="AG106" i="6"/>
  <c r="AE106" i="6"/>
  <c r="AC106" i="6"/>
  <c r="AH106" i="6"/>
  <c r="AF106" i="6"/>
  <c r="AD106" i="6"/>
  <c r="AH81" i="6"/>
  <c r="AD81" i="6"/>
  <c r="AI81" i="6"/>
  <c r="AF81" i="6"/>
  <c r="AC81" i="6"/>
  <c r="AI128" i="6"/>
  <c r="AG128" i="6"/>
  <c r="AE128" i="6"/>
  <c r="AC128" i="6"/>
  <c r="AH128" i="6"/>
  <c r="AF128" i="6"/>
  <c r="AD128" i="6"/>
  <c r="AH117" i="6"/>
  <c r="AF117" i="6"/>
  <c r="AD117" i="6"/>
  <c r="AI117" i="6"/>
  <c r="AG117" i="6"/>
  <c r="AE117" i="6"/>
  <c r="AC117" i="6"/>
  <c r="AH174" i="6"/>
  <c r="AD174" i="6"/>
  <c r="AI174" i="6"/>
  <c r="AF174" i="6"/>
  <c r="AC174" i="6"/>
  <c r="AF179" i="6"/>
  <c r="AC179" i="6"/>
  <c r="AH179" i="6"/>
  <c r="AD179" i="6"/>
  <c r="AI183" i="6"/>
  <c r="AG183" i="6"/>
  <c r="AE183" i="6"/>
  <c r="AC183" i="6"/>
  <c r="AH183" i="6"/>
  <c r="AF183" i="6"/>
  <c r="AD183" i="6"/>
  <c r="AH208" i="6"/>
  <c r="AF208" i="6"/>
  <c r="AD208" i="6"/>
  <c r="AI208" i="6"/>
  <c r="AG208" i="6"/>
  <c r="AE208" i="6"/>
  <c r="AC208" i="6"/>
  <c r="AH212" i="6"/>
  <c r="AF212" i="6"/>
  <c r="AD212" i="6"/>
  <c r="AI212" i="6"/>
  <c r="AG212" i="6"/>
  <c r="AE212" i="6"/>
  <c r="AC212" i="6"/>
  <c r="AB211" i="6"/>
  <c r="AH218" i="6"/>
  <c r="AF218" i="6"/>
  <c r="AD218" i="6"/>
  <c r="AI218" i="6"/>
  <c r="AG218" i="6"/>
  <c r="AE218" i="6"/>
  <c r="AC218" i="6"/>
  <c r="AH223" i="6"/>
  <c r="AF223" i="6"/>
  <c r="AD223" i="6"/>
  <c r="AI223" i="6"/>
  <c r="AG223" i="6"/>
  <c r="AE223" i="6"/>
  <c r="AC223" i="6"/>
  <c r="AH229" i="6"/>
  <c r="AF229" i="6"/>
  <c r="AD229" i="6"/>
  <c r="AI229" i="6"/>
  <c r="AG229" i="6"/>
  <c r="AE229" i="6"/>
  <c r="AC229" i="6"/>
  <c r="AB228" i="6"/>
  <c r="AH233" i="6"/>
  <c r="AD233" i="6"/>
  <c r="AF233" i="6"/>
  <c r="AC233" i="6"/>
  <c r="AH238" i="6"/>
  <c r="AD238" i="6"/>
  <c r="AI238" i="6"/>
  <c r="AF238" i="6"/>
  <c r="AC238" i="6"/>
  <c r="AH245" i="6"/>
  <c r="AF245" i="6"/>
  <c r="AD245" i="6"/>
  <c r="AI245" i="6"/>
  <c r="AG245" i="6"/>
  <c r="AE245" i="6"/>
  <c r="AC245" i="6"/>
  <c r="AH273" i="6"/>
  <c r="AD273" i="6"/>
  <c r="AF273" i="6"/>
  <c r="AC273" i="6"/>
  <c r="AG350" i="6"/>
  <c r="AE350" i="6"/>
  <c r="AF350" i="6"/>
  <c r="AD350" i="6"/>
  <c r="AH319" i="6"/>
  <c r="AD319" i="6"/>
  <c r="AI319" i="6"/>
  <c r="AF319" i="6"/>
  <c r="AC319" i="6"/>
  <c r="AI311" i="6"/>
  <c r="AF311" i="6"/>
  <c r="AC311" i="6"/>
  <c r="AH311" i="6"/>
  <c r="AD311" i="6"/>
  <c r="AE347" i="6"/>
  <c r="AD347" i="6"/>
  <c r="AH317" i="6"/>
  <c r="AD317" i="6"/>
  <c r="AI317" i="6"/>
  <c r="AF317" i="6"/>
  <c r="AC317" i="6"/>
  <c r="AF313" i="6"/>
  <c r="AC313" i="6"/>
  <c r="AH313" i="6"/>
  <c r="AD313" i="6"/>
  <c r="AF309" i="6"/>
  <c r="AC309" i="6"/>
  <c r="AH309" i="6"/>
  <c r="AD309" i="6"/>
  <c r="AH305" i="6"/>
  <c r="AD305" i="6"/>
  <c r="AI305" i="6"/>
  <c r="AF305" i="6"/>
  <c r="AC305" i="6"/>
  <c r="AH301" i="6"/>
  <c r="AD301" i="6"/>
  <c r="AI301" i="6"/>
  <c r="AF301" i="6"/>
  <c r="AC301" i="6"/>
  <c r="AI318" i="6"/>
  <c r="AF318" i="6"/>
  <c r="AC318" i="6"/>
  <c r="AH318" i="6"/>
  <c r="AD318" i="6"/>
  <c r="AF314" i="6"/>
  <c r="AC314" i="6"/>
  <c r="AH314" i="6"/>
  <c r="AD314" i="6"/>
  <c r="AF310" i="6"/>
  <c r="AC310" i="6"/>
  <c r="AH310" i="6"/>
  <c r="AD310" i="6"/>
  <c r="AF306" i="6"/>
  <c r="AC306" i="6"/>
  <c r="AH306" i="6"/>
  <c r="AD306" i="6"/>
  <c r="AI302" i="6"/>
  <c r="AF302" i="6"/>
  <c r="AC302" i="6"/>
  <c r="AH302" i="6"/>
  <c r="AD302" i="6"/>
  <c r="W262" i="6"/>
  <c r="R262" i="6"/>
  <c r="AH297" i="6"/>
  <c r="AD297" i="6"/>
  <c r="AF297" i="6"/>
  <c r="AC297" i="6"/>
  <c r="AH293" i="6"/>
  <c r="AD293" i="6"/>
  <c r="AI293" i="6"/>
  <c r="AF293" i="6"/>
  <c r="AC293" i="6"/>
  <c r="AH289" i="6"/>
  <c r="AD289" i="6"/>
  <c r="AF289" i="6"/>
  <c r="AC289" i="6"/>
  <c r="AH283" i="6"/>
  <c r="AF283" i="6"/>
  <c r="AC283" i="6"/>
  <c r="AG283" i="6"/>
  <c r="AD283" i="6"/>
  <c r="AF270" i="6"/>
  <c r="AC270" i="6"/>
  <c r="AH270" i="6"/>
  <c r="AD270" i="6"/>
  <c r="AI258" i="6"/>
  <c r="AG258" i="6"/>
  <c r="AE258" i="6"/>
  <c r="AC258" i="6"/>
  <c r="AH258" i="6"/>
  <c r="AF258" i="6"/>
  <c r="AD258" i="6"/>
  <c r="Z362" i="6"/>
  <c r="Q321" i="6"/>
  <c r="O339" i="6"/>
  <c r="X339" i="6" s="1"/>
  <c r="X324" i="6"/>
  <c r="AH181" i="6"/>
  <c r="AD181" i="6"/>
  <c r="AB205" i="6"/>
  <c r="AI181" i="6"/>
  <c r="AF181" i="6"/>
  <c r="AC181" i="6"/>
  <c r="AI300" i="6"/>
  <c r="AF300" i="6"/>
  <c r="AH300" i="6"/>
  <c r="AD300" i="6"/>
  <c r="AC300" i="6"/>
  <c r="AH296" i="6"/>
  <c r="AD296" i="6"/>
  <c r="AF296" i="6"/>
  <c r="AC296" i="6"/>
  <c r="AH292" i="6"/>
  <c r="AD292" i="6"/>
  <c r="AF292" i="6"/>
  <c r="AC292" i="6"/>
  <c r="AH288" i="6"/>
  <c r="AD288" i="6"/>
  <c r="AF288" i="6"/>
  <c r="AC288" i="6"/>
  <c r="AH284" i="6"/>
  <c r="AF284" i="6"/>
  <c r="AD284" i="6"/>
  <c r="AI284" i="6"/>
  <c r="AG284" i="6"/>
  <c r="AE284" i="6"/>
  <c r="AC284" i="6"/>
  <c r="AI278" i="6"/>
  <c r="AG278" i="6"/>
  <c r="AE278" i="6"/>
  <c r="AC278" i="6"/>
  <c r="AB277" i="6"/>
  <c r="AH278" i="6"/>
  <c r="AF278" i="6"/>
  <c r="AD278" i="6"/>
  <c r="AF269" i="6"/>
  <c r="AC269" i="6"/>
  <c r="AH269" i="6"/>
  <c r="AD269" i="6"/>
  <c r="AH259" i="6"/>
  <c r="AF259" i="6"/>
  <c r="AD259" i="6"/>
  <c r="AI259" i="6"/>
  <c r="AG259" i="6"/>
  <c r="AE259" i="6"/>
  <c r="AC259" i="6"/>
  <c r="AB376" i="6"/>
  <c r="AI254" i="6"/>
  <c r="AG254" i="6"/>
  <c r="AE254" i="6"/>
  <c r="AC254" i="6"/>
  <c r="AH254" i="6"/>
  <c r="AF254" i="6"/>
  <c r="AD254" i="6"/>
  <c r="AB249" i="6"/>
  <c r="P321" i="6"/>
  <c r="AA342" i="6"/>
  <c r="AA327" i="6"/>
  <c r="AA324" i="6"/>
  <c r="AA339" i="6" s="1"/>
  <c r="AI237" i="6"/>
  <c r="AG237" i="6"/>
  <c r="AE237" i="6"/>
  <c r="AC237" i="6"/>
  <c r="AH237" i="6"/>
  <c r="AF237" i="6"/>
  <c r="AD237" i="6"/>
  <c r="AI232" i="6"/>
  <c r="AF232" i="6"/>
  <c r="AC232" i="6"/>
  <c r="AH232" i="6"/>
  <c r="AD232" i="6"/>
  <c r="AF226" i="6"/>
  <c r="AC226" i="6"/>
  <c r="AH226" i="6"/>
  <c r="AD226" i="6"/>
  <c r="AI219" i="6"/>
  <c r="AF219" i="6"/>
  <c r="AC219" i="6"/>
  <c r="AH219" i="6"/>
  <c r="AD219" i="6"/>
  <c r="AI215" i="6"/>
  <c r="AG215" i="6"/>
  <c r="AE215" i="6"/>
  <c r="AC215" i="6"/>
  <c r="AB214" i="6"/>
  <c r="AH215" i="6"/>
  <c r="AF215" i="6"/>
  <c r="AD215" i="6"/>
  <c r="AH201" i="6"/>
  <c r="AD201" i="6"/>
  <c r="AI201" i="6"/>
  <c r="AF201" i="6"/>
  <c r="AC201" i="6"/>
  <c r="AH197" i="6"/>
  <c r="AD197" i="6"/>
  <c r="AI197" i="6"/>
  <c r="AF197" i="6"/>
  <c r="AC197" i="6"/>
  <c r="AI193" i="6"/>
  <c r="AF193" i="6"/>
  <c r="AC193" i="6"/>
  <c r="AH193" i="6"/>
  <c r="AD193" i="6"/>
  <c r="AH189" i="6"/>
  <c r="AD189" i="6"/>
  <c r="AI189" i="6"/>
  <c r="AF189" i="6"/>
  <c r="AC189" i="6"/>
  <c r="AH185" i="6"/>
  <c r="AD185" i="6"/>
  <c r="AI185" i="6"/>
  <c r="AF185" i="6"/>
  <c r="AC185" i="6"/>
  <c r="AH152" i="6"/>
  <c r="AF152" i="6"/>
  <c r="AD152" i="6"/>
  <c r="AB153" i="6"/>
  <c r="AI152" i="6"/>
  <c r="AG152" i="6"/>
  <c r="AE152" i="6"/>
  <c r="AC152" i="6"/>
  <c r="AF227" i="6"/>
  <c r="AC227" i="6"/>
  <c r="AH227" i="6"/>
  <c r="AD227" i="6"/>
  <c r="AI213" i="6"/>
  <c r="AG213" i="6"/>
  <c r="AE213" i="6"/>
  <c r="AC213" i="6"/>
  <c r="AH213" i="6"/>
  <c r="AF213" i="6"/>
  <c r="AD213" i="6"/>
  <c r="AI207" i="6"/>
  <c r="AG207" i="6"/>
  <c r="AE207" i="6"/>
  <c r="AC207" i="6"/>
  <c r="AB206" i="6"/>
  <c r="AH207" i="6"/>
  <c r="AF207" i="6"/>
  <c r="AD207" i="6"/>
  <c r="AF202" i="6"/>
  <c r="AC202" i="6"/>
  <c r="AH202" i="6"/>
  <c r="AD202" i="6"/>
  <c r="AI198" i="6"/>
  <c r="AF198" i="6"/>
  <c r="AC198" i="6"/>
  <c r="AH198" i="6"/>
  <c r="AD198" i="6"/>
  <c r="AH194" i="6"/>
  <c r="AD194" i="6"/>
  <c r="AI194" i="6"/>
  <c r="AF194" i="6"/>
  <c r="AC194" i="6"/>
  <c r="AI188" i="6"/>
  <c r="AG188" i="6"/>
  <c r="AE188" i="6"/>
  <c r="AC188" i="6"/>
  <c r="AH188" i="6"/>
  <c r="AF188" i="6"/>
  <c r="AD188" i="6"/>
  <c r="AH184" i="6"/>
  <c r="AD184" i="6"/>
  <c r="AF184" i="6"/>
  <c r="AC184" i="6"/>
  <c r="AB172" i="6"/>
  <c r="AI169" i="6"/>
  <c r="AG169" i="6"/>
  <c r="AE169" i="6"/>
  <c r="AC169" i="6"/>
  <c r="AH169" i="6"/>
  <c r="AF169" i="6"/>
  <c r="AD169" i="6"/>
  <c r="AH166" i="6"/>
  <c r="AF166" i="6"/>
  <c r="AD166" i="6"/>
  <c r="AI166" i="6"/>
  <c r="AG166" i="6"/>
  <c r="AE166" i="6"/>
  <c r="AC166" i="6"/>
  <c r="AH162" i="6"/>
  <c r="AF162" i="6"/>
  <c r="AD162" i="6"/>
  <c r="AI162" i="6"/>
  <c r="AG162" i="6"/>
  <c r="AE162" i="6"/>
  <c r="AC162" i="6"/>
  <c r="AI157" i="6"/>
  <c r="AG157" i="6"/>
  <c r="AE157" i="6"/>
  <c r="AC157" i="6"/>
  <c r="AH157" i="6"/>
  <c r="AF157" i="6"/>
  <c r="AD157" i="6"/>
  <c r="AI147" i="6"/>
  <c r="AF147" i="6"/>
  <c r="AC147" i="6"/>
  <c r="AH147" i="6"/>
  <c r="AD147" i="6"/>
  <c r="AH139" i="6"/>
  <c r="AF139" i="6"/>
  <c r="AD139" i="6"/>
  <c r="AI139" i="6"/>
  <c r="AG139" i="6"/>
  <c r="AE139" i="6"/>
  <c r="AC139" i="6"/>
  <c r="AH135" i="6"/>
  <c r="AF135" i="6"/>
  <c r="AD135" i="6"/>
  <c r="AI135" i="6"/>
  <c r="AG135" i="6"/>
  <c r="AE135" i="6"/>
  <c r="AC135" i="6"/>
  <c r="AI126" i="6"/>
  <c r="AG126" i="6"/>
  <c r="AE126" i="6"/>
  <c r="AC126" i="6"/>
  <c r="AH126" i="6"/>
  <c r="AF126" i="6"/>
  <c r="AD126" i="6"/>
  <c r="AI122" i="6"/>
  <c r="AG122" i="6"/>
  <c r="AE122" i="6"/>
  <c r="AC122" i="6"/>
  <c r="AH122" i="6"/>
  <c r="AF122" i="6"/>
  <c r="AD122" i="6"/>
  <c r="AH110" i="6"/>
  <c r="AD110" i="6"/>
  <c r="AI110" i="6"/>
  <c r="AF110" i="6"/>
  <c r="AC110" i="6"/>
  <c r="R341" i="6"/>
  <c r="R338" i="6"/>
  <c r="R326" i="6"/>
  <c r="U246" i="6"/>
  <c r="S246" i="6"/>
  <c r="V246" i="6"/>
  <c r="T246" i="6"/>
  <c r="P341" i="6"/>
  <c r="P338" i="6"/>
  <c r="P326" i="6"/>
  <c r="N341" i="6"/>
  <c r="N340" i="6" s="1"/>
  <c r="N338" i="6"/>
  <c r="N337" i="6" s="1"/>
  <c r="N326" i="6"/>
  <c r="N325" i="6" s="1"/>
  <c r="L341" i="6"/>
  <c r="L340" i="6" s="1"/>
  <c r="L338" i="6"/>
  <c r="L337" i="6" s="1"/>
  <c r="L326" i="6"/>
  <c r="L325" i="6" s="1"/>
  <c r="J341" i="6"/>
  <c r="J340" i="6" s="1"/>
  <c r="J338" i="6"/>
  <c r="J337" i="6" s="1"/>
  <c r="J326" i="6"/>
  <c r="J325" i="6" s="1"/>
  <c r="H341" i="6"/>
  <c r="H340" i="6" s="1"/>
  <c r="H338" i="6"/>
  <c r="H337" i="6" s="1"/>
  <c r="H326" i="6"/>
  <c r="H325" i="6" s="1"/>
  <c r="AH170" i="6"/>
  <c r="AF170" i="6"/>
  <c r="AD170" i="6"/>
  <c r="AI170" i="6"/>
  <c r="AG170" i="6"/>
  <c r="AE170" i="6"/>
  <c r="AC170" i="6"/>
  <c r="AI165" i="6"/>
  <c r="AG165" i="6"/>
  <c r="AE165" i="6"/>
  <c r="AC165" i="6"/>
  <c r="AH165" i="6"/>
  <c r="AF165" i="6"/>
  <c r="AD165" i="6"/>
  <c r="AH158" i="6"/>
  <c r="AF158" i="6"/>
  <c r="AD158" i="6"/>
  <c r="AI158" i="6"/>
  <c r="AG158" i="6"/>
  <c r="AE158" i="6"/>
  <c r="AC158" i="6"/>
  <c r="AB160" i="6"/>
  <c r="AH154" i="6"/>
  <c r="AF154" i="6"/>
  <c r="AD154" i="6"/>
  <c r="AI154" i="6"/>
  <c r="AG154" i="6"/>
  <c r="AE154" i="6"/>
  <c r="AC154" i="6"/>
  <c r="AF146" i="6"/>
  <c r="AC146" i="6"/>
  <c r="AH146" i="6"/>
  <c r="AD146" i="6"/>
  <c r="AI142" i="6"/>
  <c r="AG142" i="6"/>
  <c r="AE142" i="6"/>
  <c r="AC142" i="6"/>
  <c r="AB141" i="6"/>
  <c r="AH142" i="6"/>
  <c r="AF142" i="6"/>
  <c r="AD142" i="6"/>
  <c r="AI138" i="6"/>
  <c r="AG138" i="6"/>
  <c r="AE138" i="6"/>
  <c r="AC138" i="6"/>
  <c r="AH138" i="6"/>
  <c r="AF138" i="6"/>
  <c r="AD138" i="6"/>
  <c r="AI134" i="6"/>
  <c r="AG134" i="6"/>
  <c r="AE134" i="6"/>
  <c r="AC134" i="6"/>
  <c r="AH134" i="6"/>
  <c r="AF134" i="6"/>
  <c r="AD134" i="6"/>
  <c r="AH127" i="6"/>
  <c r="AF127" i="6"/>
  <c r="AD127" i="6"/>
  <c r="AI127" i="6"/>
  <c r="AG127" i="6"/>
  <c r="AE127" i="6"/>
  <c r="AC127" i="6"/>
  <c r="AH123" i="6"/>
  <c r="AF123" i="6"/>
  <c r="AD123" i="6"/>
  <c r="AI123" i="6"/>
  <c r="AG123" i="6"/>
  <c r="AE123" i="6"/>
  <c r="AC123" i="6"/>
  <c r="AI118" i="6"/>
  <c r="AG118" i="6"/>
  <c r="AE118" i="6"/>
  <c r="AC118" i="6"/>
  <c r="AH118" i="6"/>
  <c r="AF118" i="6"/>
  <c r="AD118" i="6"/>
  <c r="AI111" i="6"/>
  <c r="AG111" i="6"/>
  <c r="AE111" i="6"/>
  <c r="AC111" i="6"/>
  <c r="AH111" i="6"/>
  <c r="AF111" i="6"/>
  <c r="AD111" i="6"/>
  <c r="AB381" i="6"/>
  <c r="AB382" i="6" s="1"/>
  <c r="AB268" i="6" s="1"/>
  <c r="AI96" i="6"/>
  <c r="AG96" i="6"/>
  <c r="AE96" i="6"/>
  <c r="AC96" i="6"/>
  <c r="AC381" i="6" s="1"/>
  <c r="AC382" i="6" s="1"/>
  <c r="AH96" i="6"/>
  <c r="AF96" i="6"/>
  <c r="AD96" i="6"/>
  <c r="AB65" i="6"/>
  <c r="AI62" i="6"/>
  <c r="AG62" i="6"/>
  <c r="AE62" i="6"/>
  <c r="AC62" i="6"/>
  <c r="AH62" i="6"/>
  <c r="AF62" i="6"/>
  <c r="AD62" i="6"/>
  <c r="Q341" i="6"/>
  <c r="Q338" i="6"/>
  <c r="Q326" i="6"/>
  <c r="W246" i="6"/>
  <c r="O341" i="6"/>
  <c r="O338" i="6"/>
  <c r="O326" i="6"/>
  <c r="X246" i="6"/>
  <c r="M341" i="6"/>
  <c r="M340" i="6" s="1"/>
  <c r="M338" i="6"/>
  <c r="M337" i="6" s="1"/>
  <c r="M326" i="6"/>
  <c r="M325" i="6" s="1"/>
  <c r="M363" i="6" s="1"/>
  <c r="K341" i="6"/>
  <c r="K340" i="6" s="1"/>
  <c r="K338" i="6"/>
  <c r="K337" i="6" s="1"/>
  <c r="K326" i="6"/>
  <c r="K325" i="6" s="1"/>
  <c r="I341" i="6"/>
  <c r="I340" i="6" s="1"/>
  <c r="I338" i="6"/>
  <c r="I337" i="6" s="1"/>
  <c r="I326" i="6"/>
  <c r="I325" i="6" s="1"/>
  <c r="G341" i="6"/>
  <c r="G340" i="6" s="1"/>
  <c r="G338" i="6"/>
  <c r="G337" i="6" s="1"/>
  <c r="G326" i="6"/>
  <c r="G325" i="6" s="1"/>
  <c r="AI104" i="6"/>
  <c r="AG104" i="6"/>
  <c r="AE104" i="6"/>
  <c r="AC104" i="6"/>
  <c r="AH104" i="6"/>
  <c r="AF104" i="6"/>
  <c r="AD104" i="6"/>
  <c r="AI100" i="6"/>
  <c r="AG100" i="6"/>
  <c r="AE100" i="6"/>
  <c r="AC100" i="6"/>
  <c r="AH100" i="6"/>
  <c r="AF100" i="6"/>
  <c r="AD100" i="6"/>
  <c r="AH94" i="6"/>
  <c r="AF94" i="6"/>
  <c r="AD94" i="6"/>
  <c r="AI94" i="6"/>
  <c r="AG94" i="6"/>
  <c r="AE94" i="6"/>
  <c r="AC94" i="6"/>
  <c r="AI89" i="6"/>
  <c r="AF89" i="6"/>
  <c r="AC89" i="6"/>
  <c r="AH89" i="6"/>
  <c r="AD89" i="6"/>
  <c r="AF84" i="6"/>
  <c r="AC84" i="6"/>
  <c r="AH84" i="6"/>
  <c r="AD84" i="6"/>
  <c r="AH77" i="6"/>
  <c r="AF77" i="6"/>
  <c r="AD77" i="6"/>
  <c r="AI77" i="6"/>
  <c r="AG77" i="6"/>
  <c r="AE77" i="6"/>
  <c r="AC77" i="6"/>
  <c r="AH73" i="6"/>
  <c r="AF73" i="6"/>
  <c r="AD73" i="6"/>
  <c r="AI73" i="6"/>
  <c r="AG73" i="6"/>
  <c r="AE73" i="6"/>
  <c r="AC73" i="6"/>
  <c r="AI68" i="6"/>
  <c r="AG68" i="6"/>
  <c r="AE68" i="6"/>
  <c r="AC68" i="6"/>
  <c r="AH68" i="6"/>
  <c r="AF68" i="6"/>
  <c r="AD68" i="6"/>
  <c r="AI60" i="6"/>
  <c r="AF60" i="6"/>
  <c r="AC60" i="6"/>
  <c r="AH60" i="6"/>
  <c r="AD60" i="6"/>
  <c r="AH55" i="6"/>
  <c r="AF55" i="6"/>
  <c r="AD55" i="6"/>
  <c r="AI55" i="6"/>
  <c r="AG55" i="6"/>
  <c r="AE55" i="6"/>
  <c r="AC55" i="6"/>
  <c r="AI48" i="6"/>
  <c r="AG48" i="6"/>
  <c r="AE48" i="6"/>
  <c r="AC48" i="6"/>
  <c r="AH48" i="6"/>
  <c r="AF48" i="6"/>
  <c r="AD48" i="6"/>
  <c r="AI40" i="6"/>
  <c r="AG40" i="6"/>
  <c r="AE40" i="6"/>
  <c r="AC40" i="6"/>
  <c r="AH40" i="6"/>
  <c r="AF40" i="6"/>
  <c r="AD40" i="6"/>
  <c r="AI36" i="6"/>
  <c r="AG36" i="6"/>
  <c r="AE36" i="6"/>
  <c r="AC36" i="6"/>
  <c r="AH36" i="6"/>
  <c r="AF36" i="6"/>
  <c r="AD36" i="6"/>
  <c r="AA341" i="6"/>
  <c r="AA340" i="6" s="1"/>
  <c r="AA338" i="6"/>
  <c r="AA337" i="6" s="1"/>
  <c r="AA326" i="6"/>
  <c r="AA325" i="6" s="1"/>
  <c r="AA373" i="6" s="1"/>
  <c r="AA374" i="6" s="1"/>
  <c r="AA384" i="6" s="1"/>
  <c r="AH105" i="6"/>
  <c r="AF105" i="6"/>
  <c r="AD105" i="6"/>
  <c r="AI105" i="6"/>
  <c r="AG105" i="6"/>
  <c r="AE105" i="6"/>
  <c r="AC105" i="6"/>
  <c r="AH101" i="6"/>
  <c r="AF101" i="6"/>
  <c r="AD101" i="6"/>
  <c r="AI101" i="6"/>
  <c r="AG101" i="6"/>
  <c r="AE101" i="6"/>
  <c r="AC101" i="6"/>
  <c r="AH97" i="6"/>
  <c r="AD97" i="6"/>
  <c r="AI97" i="6"/>
  <c r="AF97" i="6"/>
  <c r="AC97" i="6"/>
  <c r="AI93" i="6"/>
  <c r="AG93" i="6"/>
  <c r="AE93" i="6"/>
  <c r="AC93" i="6"/>
  <c r="AH93" i="6"/>
  <c r="AF93" i="6"/>
  <c r="AD93" i="6"/>
  <c r="AF85" i="6"/>
  <c r="AC85" i="6"/>
  <c r="AH85" i="6"/>
  <c r="AD85" i="6"/>
  <c r="AI76" i="6"/>
  <c r="AG76" i="6"/>
  <c r="AE76" i="6"/>
  <c r="AC76" i="6"/>
  <c r="AH76" i="6"/>
  <c r="AF76" i="6"/>
  <c r="AD76" i="6"/>
  <c r="AI72" i="6"/>
  <c r="AG72" i="6"/>
  <c r="AE72" i="6"/>
  <c r="AC72" i="6"/>
  <c r="AH72" i="6"/>
  <c r="AF72" i="6"/>
  <c r="AD72" i="6"/>
  <c r="AH67" i="6"/>
  <c r="AD67" i="6"/>
  <c r="AI67" i="6"/>
  <c r="AF67" i="6"/>
  <c r="AC67" i="6"/>
  <c r="AH59" i="6"/>
  <c r="AD59" i="6"/>
  <c r="AI59" i="6"/>
  <c r="AF59" i="6"/>
  <c r="AC59" i="6"/>
  <c r="AI54" i="6"/>
  <c r="AG54" i="6"/>
  <c r="AE54" i="6"/>
  <c r="AC54" i="6"/>
  <c r="AH54" i="6"/>
  <c r="AF54" i="6"/>
  <c r="AD54" i="6"/>
  <c r="AI44" i="6"/>
  <c r="AG44" i="6"/>
  <c r="AE44" i="6"/>
  <c r="AC44" i="6"/>
  <c r="AH44" i="6"/>
  <c r="AF44" i="6"/>
  <c r="AD44" i="6"/>
  <c r="AH39" i="6"/>
  <c r="AD39" i="6"/>
  <c r="AI39" i="6"/>
  <c r="AF39" i="6"/>
  <c r="AC39" i="6"/>
  <c r="AI32" i="6"/>
  <c r="AG32" i="6"/>
  <c r="AE32" i="6"/>
  <c r="AC32" i="6"/>
  <c r="AH32" i="6"/>
  <c r="AF32" i="6"/>
  <c r="AD32" i="6"/>
  <c r="AH49" i="6"/>
  <c r="AF49" i="6"/>
  <c r="AD49" i="6"/>
  <c r="AI49" i="6"/>
  <c r="AG49" i="6"/>
  <c r="AE49" i="6"/>
  <c r="AC49" i="6"/>
  <c r="AH83" i="6"/>
  <c r="AD83" i="6"/>
  <c r="AI83" i="6"/>
  <c r="AF83" i="6"/>
  <c r="AC83" i="6"/>
  <c r="AH115" i="6"/>
  <c r="AF115" i="6"/>
  <c r="AD115" i="6"/>
  <c r="AI115" i="6"/>
  <c r="AG115" i="6"/>
  <c r="AE115" i="6"/>
  <c r="AC115" i="6"/>
  <c r="AB114" i="6"/>
  <c r="AH119" i="6"/>
  <c r="AF119" i="6"/>
  <c r="AD119" i="6"/>
  <c r="AI119" i="6"/>
  <c r="AG119" i="6"/>
  <c r="AE119" i="6"/>
  <c r="AC119" i="6"/>
  <c r="AB180" i="6"/>
  <c r="AH176" i="6"/>
  <c r="AD176" i="6"/>
  <c r="AF176" i="6"/>
  <c r="AC176" i="6"/>
  <c r="AF182" i="6"/>
  <c r="AC182" i="6"/>
  <c r="AH182" i="6"/>
  <c r="AD182" i="6"/>
  <c r="AF192" i="6"/>
  <c r="AC192" i="6"/>
  <c r="AH192" i="6"/>
  <c r="AD192" i="6"/>
  <c r="AH210" i="6"/>
  <c r="AD210" i="6"/>
  <c r="AI210" i="6"/>
  <c r="AF210" i="6"/>
  <c r="AC210" i="6"/>
  <c r="AH216" i="6"/>
  <c r="AF216" i="6"/>
  <c r="AD216" i="6"/>
  <c r="AI216" i="6"/>
  <c r="AG216" i="6"/>
  <c r="AE216" i="6"/>
  <c r="AC216" i="6"/>
  <c r="AH222" i="6"/>
  <c r="AD222" i="6"/>
  <c r="AF222" i="6"/>
  <c r="AC222" i="6"/>
  <c r="AH225" i="6"/>
  <c r="AF225" i="6"/>
  <c r="AD225" i="6"/>
  <c r="AI225" i="6"/>
  <c r="AG225" i="6"/>
  <c r="AE225" i="6"/>
  <c r="AC225" i="6"/>
  <c r="AH231" i="6"/>
  <c r="AD231" i="6"/>
  <c r="AI231" i="6"/>
  <c r="AF231" i="6"/>
  <c r="AC231" i="6"/>
  <c r="AH236" i="6"/>
  <c r="AF236" i="6"/>
  <c r="AD236" i="6"/>
  <c r="AI236" i="6"/>
  <c r="AG236" i="6"/>
  <c r="AE236" i="6"/>
  <c r="AC236" i="6"/>
  <c r="AH241" i="6"/>
  <c r="AD241" i="6"/>
  <c r="AB240" i="6"/>
  <c r="AF241" i="6"/>
  <c r="AC241" i="6"/>
  <c r="AH255" i="6"/>
  <c r="AF255" i="6"/>
  <c r="AD255" i="6"/>
  <c r="AI255" i="6"/>
  <c r="AG255" i="6"/>
  <c r="AE255" i="6"/>
  <c r="AC255" i="6"/>
  <c r="AH274" i="6"/>
  <c r="AD274" i="6"/>
  <c r="AF274" i="6"/>
  <c r="AC274" i="6"/>
  <c r="DI20" i="5" l="1"/>
  <c r="DI21" i="5"/>
  <c r="BW30" i="5"/>
  <c r="BW27" i="5" s="1"/>
  <c r="DI36" i="5"/>
  <c r="AC267" i="6"/>
  <c r="AC379" i="6" s="1"/>
  <c r="Z337" i="6"/>
  <c r="Y327" i="6"/>
  <c r="Z343" i="6"/>
  <c r="AI180" i="6"/>
  <c r="AG180" i="6"/>
  <c r="AE180" i="6"/>
  <c r="AC180" i="6"/>
  <c r="AH180" i="6"/>
  <c r="AF180" i="6"/>
  <c r="AD180" i="6"/>
  <c r="AI114" i="6"/>
  <c r="AG114" i="6"/>
  <c r="AE114" i="6"/>
  <c r="AC114" i="6"/>
  <c r="AB113" i="6"/>
  <c r="AH114" i="6"/>
  <c r="AF114" i="6"/>
  <c r="AD114" i="6"/>
  <c r="X326" i="6"/>
  <c r="O325" i="6"/>
  <c r="X341" i="6"/>
  <c r="O340" i="6"/>
  <c r="X340" i="6" s="1"/>
  <c r="W326" i="6"/>
  <c r="W341" i="6"/>
  <c r="AH65" i="6"/>
  <c r="AF65" i="6"/>
  <c r="AD65" i="6"/>
  <c r="AI65" i="6"/>
  <c r="AG65" i="6"/>
  <c r="AE65" i="6"/>
  <c r="AC65" i="6"/>
  <c r="AH268" i="6"/>
  <c r="AF268" i="6"/>
  <c r="AD268" i="6"/>
  <c r="AI268" i="6"/>
  <c r="AG268" i="6"/>
  <c r="AE268" i="6"/>
  <c r="AB267" i="6"/>
  <c r="AH141" i="6"/>
  <c r="AF141" i="6"/>
  <c r="AD141" i="6"/>
  <c r="AI141" i="6"/>
  <c r="AG141" i="6"/>
  <c r="AE141" i="6"/>
  <c r="AC141" i="6"/>
  <c r="AH160" i="6"/>
  <c r="AF160" i="6"/>
  <c r="AD160" i="6"/>
  <c r="AI160" i="6"/>
  <c r="AG160" i="6"/>
  <c r="AE160" i="6"/>
  <c r="AC160" i="6"/>
  <c r="V338" i="6"/>
  <c r="T338" i="6"/>
  <c r="U338" i="6"/>
  <c r="S338" i="6"/>
  <c r="AH172" i="6"/>
  <c r="AF172" i="6"/>
  <c r="AD172" i="6"/>
  <c r="AI172" i="6"/>
  <c r="AG172" i="6"/>
  <c r="AE172" i="6"/>
  <c r="AC172" i="6"/>
  <c r="P342" i="6"/>
  <c r="P340" i="6" s="1"/>
  <c r="P324" i="6"/>
  <c r="P339" i="6" s="1"/>
  <c r="P327" i="6"/>
  <c r="P325" i="6" s="1"/>
  <c r="AH277" i="6"/>
  <c r="AF277" i="6"/>
  <c r="AD277" i="6"/>
  <c r="AI277" i="6"/>
  <c r="AG277" i="6"/>
  <c r="AE277" i="6"/>
  <c r="AC277" i="6"/>
  <c r="AI205" i="6"/>
  <c r="AG205" i="6"/>
  <c r="AE205" i="6"/>
  <c r="AC205" i="6"/>
  <c r="AH205" i="6"/>
  <c r="AF205" i="6"/>
  <c r="AD205" i="6"/>
  <c r="U262" i="6"/>
  <c r="S262" i="6"/>
  <c r="V262" i="6"/>
  <c r="T262" i="6"/>
  <c r="R343" i="6"/>
  <c r="R321" i="6"/>
  <c r="AH79" i="6"/>
  <c r="AF79" i="6"/>
  <c r="AD79" i="6"/>
  <c r="AI79" i="6"/>
  <c r="AG79" i="6"/>
  <c r="AE79" i="6"/>
  <c r="AC79" i="6"/>
  <c r="AI70" i="6"/>
  <c r="AG70" i="6"/>
  <c r="AE70" i="6"/>
  <c r="AC70" i="6"/>
  <c r="AH70" i="6"/>
  <c r="AF70" i="6"/>
  <c r="AD70" i="6"/>
  <c r="AI87" i="6"/>
  <c r="AG87" i="6"/>
  <c r="AE87" i="6"/>
  <c r="AC87" i="6"/>
  <c r="AH87" i="6"/>
  <c r="AF87" i="6"/>
  <c r="AD87" i="6"/>
  <c r="AI175" i="6"/>
  <c r="AG175" i="6"/>
  <c r="AE175" i="6"/>
  <c r="AC175" i="6"/>
  <c r="AH175" i="6"/>
  <c r="AF175" i="6"/>
  <c r="AD175" i="6"/>
  <c r="AH242" i="6"/>
  <c r="AF242" i="6"/>
  <c r="AD242" i="6"/>
  <c r="AI242" i="6"/>
  <c r="AG242" i="6"/>
  <c r="AE242" i="6"/>
  <c r="AC242" i="6"/>
  <c r="AH234" i="6"/>
  <c r="AF234" i="6"/>
  <c r="AD234" i="6"/>
  <c r="AI234" i="6"/>
  <c r="AG234" i="6"/>
  <c r="AE234" i="6"/>
  <c r="AC234" i="6"/>
  <c r="AI285" i="6"/>
  <c r="AF285" i="6"/>
  <c r="AC285" i="6"/>
  <c r="AH285" i="6"/>
  <c r="AD285" i="6"/>
  <c r="AA350" i="6"/>
  <c r="AH348" i="6"/>
  <c r="AI348" i="6"/>
  <c r="Y341" i="6"/>
  <c r="Y340" i="6" s="1"/>
  <c r="Y338" i="6"/>
  <c r="Y337" i="6" s="1"/>
  <c r="Y326" i="6"/>
  <c r="Y325" i="6" s="1"/>
  <c r="Y373" i="6" s="1"/>
  <c r="Y374" i="6" s="1"/>
  <c r="Y384" i="6" s="1"/>
  <c r="AH240" i="6"/>
  <c r="AD240" i="6"/>
  <c r="AF240" i="6"/>
  <c r="AC240" i="6"/>
  <c r="X338" i="6"/>
  <c r="O337" i="6"/>
  <c r="X337" i="6" s="1"/>
  <c r="W338" i="6"/>
  <c r="N373" i="6"/>
  <c r="N374" i="6" s="1"/>
  <c r="N384" i="6" s="1"/>
  <c r="N363" i="6"/>
  <c r="P337" i="6"/>
  <c r="V326" i="6"/>
  <c r="T326" i="6"/>
  <c r="U326" i="6"/>
  <c r="S326" i="6"/>
  <c r="U341" i="6"/>
  <c r="S341" i="6"/>
  <c r="V341" i="6"/>
  <c r="T341" i="6"/>
  <c r="AH206" i="6"/>
  <c r="AF206" i="6"/>
  <c r="AD206" i="6"/>
  <c r="AI206" i="6"/>
  <c r="AG206" i="6"/>
  <c r="AE206" i="6"/>
  <c r="AC206" i="6"/>
  <c r="AI153" i="6"/>
  <c r="AG153" i="6"/>
  <c r="AE153" i="6"/>
  <c r="AC153" i="6"/>
  <c r="AH153" i="6"/>
  <c r="AF153" i="6"/>
  <c r="AD153" i="6"/>
  <c r="AB151" i="6"/>
  <c r="AH214" i="6"/>
  <c r="AF214" i="6"/>
  <c r="AD214" i="6"/>
  <c r="AI214" i="6"/>
  <c r="AG214" i="6"/>
  <c r="AE214" i="6"/>
  <c r="AC214" i="6"/>
  <c r="AI249" i="6"/>
  <c r="AG249" i="6"/>
  <c r="AE249" i="6"/>
  <c r="AH249" i="6"/>
  <c r="AF249" i="6"/>
  <c r="AD249" i="6"/>
  <c r="AC376" i="6"/>
  <c r="AC249" i="6"/>
  <c r="Q342" i="6"/>
  <c r="W342" i="6" s="1"/>
  <c r="Q327" i="6"/>
  <c r="W327" i="6" s="1"/>
  <c r="W321" i="6"/>
  <c r="Q324" i="6"/>
  <c r="AI228" i="6"/>
  <c r="AG228" i="6"/>
  <c r="AE228" i="6"/>
  <c r="AC228" i="6"/>
  <c r="AH228" i="6"/>
  <c r="AF228" i="6"/>
  <c r="AD228" i="6"/>
  <c r="AI211" i="6"/>
  <c r="AG211" i="6"/>
  <c r="AE211" i="6"/>
  <c r="AC211" i="6"/>
  <c r="AH211" i="6"/>
  <c r="AF211" i="6"/>
  <c r="AD211" i="6"/>
  <c r="AH61" i="6"/>
  <c r="AF61" i="6"/>
  <c r="AD61" i="6"/>
  <c r="AI61" i="6"/>
  <c r="AG61" i="6"/>
  <c r="AE61" i="6"/>
  <c r="AC61" i="6"/>
  <c r="AH90" i="6"/>
  <c r="AD90" i="6"/>
  <c r="AI90" i="6"/>
  <c r="AF90" i="6"/>
  <c r="AC90" i="6"/>
  <c r="AB321" i="6"/>
  <c r="AH247" i="6"/>
  <c r="AF247" i="6"/>
  <c r="AD247" i="6"/>
  <c r="AI247" i="6"/>
  <c r="AG247" i="6"/>
  <c r="AE247" i="6"/>
  <c r="AC247" i="6"/>
  <c r="AI91" i="6"/>
  <c r="AG91" i="6"/>
  <c r="AE91" i="6"/>
  <c r="AC91" i="6"/>
  <c r="AH91" i="6"/>
  <c r="AF91" i="6"/>
  <c r="AD91" i="6"/>
  <c r="AI120" i="6"/>
  <c r="AG120" i="6"/>
  <c r="AE120" i="6"/>
  <c r="AC120" i="6"/>
  <c r="AH120" i="6"/>
  <c r="AF120" i="6"/>
  <c r="AD120" i="6"/>
  <c r="AH131" i="6"/>
  <c r="AF131" i="6"/>
  <c r="AD131" i="6"/>
  <c r="AI131" i="6"/>
  <c r="AG131" i="6"/>
  <c r="AE131" i="6"/>
  <c r="AC131" i="6"/>
  <c r="AB130" i="6"/>
  <c r="AH143" i="6"/>
  <c r="AF143" i="6"/>
  <c r="AD143" i="6"/>
  <c r="AI143" i="6"/>
  <c r="AG143" i="6"/>
  <c r="AE143" i="6"/>
  <c r="AC143" i="6"/>
  <c r="AI34" i="6"/>
  <c r="AG34" i="6"/>
  <c r="AE34" i="6"/>
  <c r="AC34" i="6"/>
  <c r="AH34" i="6"/>
  <c r="AF34" i="6"/>
  <c r="AD34" i="6"/>
  <c r="AB30" i="6"/>
  <c r="AI42" i="6"/>
  <c r="AG42" i="6"/>
  <c r="AE42" i="6"/>
  <c r="AC42" i="6"/>
  <c r="AH42" i="6"/>
  <c r="AF42" i="6"/>
  <c r="AD42" i="6"/>
  <c r="AI46" i="6"/>
  <c r="AG46" i="6"/>
  <c r="AE46" i="6"/>
  <c r="AC46" i="6"/>
  <c r="AH46" i="6"/>
  <c r="AF46" i="6"/>
  <c r="AD46" i="6"/>
  <c r="AI52" i="6"/>
  <c r="AG52" i="6"/>
  <c r="AE52" i="6"/>
  <c r="AC52" i="6"/>
  <c r="AH52" i="6"/>
  <c r="AF52" i="6"/>
  <c r="AD52" i="6"/>
  <c r="AI56" i="6"/>
  <c r="AG56" i="6"/>
  <c r="AE56" i="6"/>
  <c r="AC56" i="6"/>
  <c r="AH56" i="6"/>
  <c r="AF56" i="6"/>
  <c r="AD56" i="6"/>
  <c r="AH148" i="6"/>
  <c r="AF148" i="6"/>
  <c r="AD148" i="6"/>
  <c r="AI148" i="6"/>
  <c r="AG148" i="6"/>
  <c r="AE148" i="6"/>
  <c r="AC148" i="6"/>
  <c r="AH168" i="6"/>
  <c r="AF168" i="6"/>
  <c r="AD168" i="6"/>
  <c r="AI168" i="6"/>
  <c r="AG168" i="6"/>
  <c r="AE168" i="6"/>
  <c r="AC168" i="6"/>
  <c r="AH220" i="6"/>
  <c r="AF220" i="6"/>
  <c r="AD220" i="6"/>
  <c r="AI220" i="6"/>
  <c r="AG220" i="6"/>
  <c r="AE220" i="6"/>
  <c r="AC220" i="6"/>
  <c r="AI280" i="6"/>
  <c r="AG280" i="6"/>
  <c r="AE280" i="6"/>
  <c r="AC280" i="6"/>
  <c r="AH280" i="6"/>
  <c r="AF280" i="6"/>
  <c r="AD280" i="6"/>
  <c r="DI30" i="5" l="1"/>
  <c r="P373" i="6"/>
  <c r="P374" i="6" s="1"/>
  <c r="P384" i="6" s="1"/>
  <c r="P365" i="6"/>
  <c r="P363" i="6"/>
  <c r="AI130" i="6"/>
  <c r="AG130" i="6"/>
  <c r="AE130" i="6"/>
  <c r="AC130" i="6"/>
  <c r="AB129" i="6"/>
  <c r="AH130" i="6"/>
  <c r="AF130" i="6"/>
  <c r="AD130" i="6"/>
  <c r="AC321" i="6"/>
  <c r="Q339" i="6"/>
  <c r="W324" i="6"/>
  <c r="AH350" i="6"/>
  <c r="AI350" i="6"/>
  <c r="R342" i="6"/>
  <c r="R324" i="6"/>
  <c r="U321" i="6"/>
  <c r="S321" i="6"/>
  <c r="R327" i="6"/>
  <c r="V321" i="6"/>
  <c r="T321" i="6"/>
  <c r="Q325" i="6"/>
  <c r="AH113" i="6"/>
  <c r="AF113" i="6"/>
  <c r="AD113" i="6"/>
  <c r="AI113" i="6"/>
  <c r="AG113" i="6"/>
  <c r="AE113" i="6"/>
  <c r="AC113" i="6"/>
  <c r="AI30" i="6"/>
  <c r="AG30" i="6"/>
  <c r="AE30" i="6"/>
  <c r="AC30" i="6"/>
  <c r="AB29" i="6"/>
  <c r="AH30" i="6"/>
  <c r="AF30" i="6"/>
  <c r="AD30" i="6"/>
  <c r="AB342" i="6"/>
  <c r="AB324" i="6"/>
  <c r="AI321" i="6"/>
  <c r="AG321" i="6"/>
  <c r="AE321" i="6"/>
  <c r="AB327" i="6"/>
  <c r="AH321" i="6"/>
  <c r="AF321" i="6"/>
  <c r="AD321" i="6"/>
  <c r="AI151" i="6"/>
  <c r="AG151" i="6"/>
  <c r="AE151" i="6"/>
  <c r="AC151" i="6"/>
  <c r="AH151" i="6"/>
  <c r="AF151" i="6"/>
  <c r="AD151" i="6"/>
  <c r="AB379" i="6"/>
  <c r="AI267" i="6"/>
  <c r="AG267" i="6"/>
  <c r="AE267" i="6"/>
  <c r="AH267" i="6"/>
  <c r="AF267" i="6"/>
  <c r="AD267" i="6"/>
  <c r="Q340" i="6"/>
  <c r="W340" i="6" s="1"/>
  <c r="O373" i="6"/>
  <c r="O374" i="6" s="1"/>
  <c r="O384" i="6" s="1"/>
  <c r="O363" i="6"/>
  <c r="X325" i="6"/>
  <c r="DI27" i="5" l="1"/>
  <c r="BW19" i="5"/>
  <c r="AH342" i="6"/>
  <c r="AF342" i="6"/>
  <c r="AD342" i="6"/>
  <c r="AI342" i="6"/>
  <c r="AG342" i="6"/>
  <c r="AE342" i="6"/>
  <c r="AB343" i="6"/>
  <c r="AB246" i="6"/>
  <c r="AH29" i="6"/>
  <c r="AF29" i="6"/>
  <c r="AD29" i="6"/>
  <c r="AI29" i="6"/>
  <c r="AG29" i="6"/>
  <c r="AE29" i="6"/>
  <c r="AC29" i="6"/>
  <c r="Q373" i="6"/>
  <c r="Q374" i="6" s="1"/>
  <c r="Q384" i="6" s="1"/>
  <c r="W325" i="6"/>
  <c r="V324" i="6"/>
  <c r="T324" i="6"/>
  <c r="R339" i="6"/>
  <c r="U324" i="6"/>
  <c r="S324" i="6"/>
  <c r="AC342" i="6"/>
  <c r="AC327" i="6"/>
  <c r="AC324" i="6"/>
  <c r="AC339" i="6" s="1"/>
  <c r="AH129" i="6"/>
  <c r="AF129" i="6"/>
  <c r="AD129" i="6"/>
  <c r="AI129" i="6"/>
  <c r="AG129" i="6"/>
  <c r="AE129" i="6"/>
  <c r="AC129" i="6"/>
  <c r="AI327" i="6"/>
  <c r="AG327" i="6"/>
  <c r="AE327" i="6"/>
  <c r="AH327" i="6"/>
  <c r="AF327" i="6"/>
  <c r="AD327" i="6"/>
  <c r="AB339" i="6"/>
  <c r="AH324" i="6"/>
  <c r="AF324" i="6"/>
  <c r="AD324" i="6"/>
  <c r="AI324" i="6"/>
  <c r="AG324" i="6"/>
  <c r="AE324" i="6"/>
  <c r="U327" i="6"/>
  <c r="S327" i="6"/>
  <c r="V327" i="6"/>
  <c r="T327" i="6"/>
  <c r="R325" i="6"/>
  <c r="V342" i="6"/>
  <c r="T342" i="6"/>
  <c r="U342" i="6"/>
  <c r="S342" i="6"/>
  <c r="R340" i="6"/>
  <c r="W339" i="6"/>
  <c r="Q337" i="6"/>
  <c r="W337" i="6" s="1"/>
  <c r="BW18" i="5" l="1"/>
  <c r="DI19" i="5"/>
  <c r="AI339" i="6"/>
  <c r="AG339" i="6"/>
  <c r="AE339" i="6"/>
  <c r="AH339" i="6"/>
  <c r="AF339" i="6"/>
  <c r="AD339" i="6"/>
  <c r="AB341" i="6"/>
  <c r="AB338" i="6"/>
  <c r="AB326" i="6"/>
  <c r="AI246" i="6"/>
  <c r="AG246" i="6"/>
  <c r="AE246" i="6"/>
  <c r="AC246" i="6"/>
  <c r="AH246" i="6"/>
  <c r="AF246" i="6"/>
  <c r="AD246" i="6"/>
  <c r="V340" i="6"/>
  <c r="T340" i="6"/>
  <c r="U340" i="6"/>
  <c r="S340" i="6"/>
  <c r="R373" i="6"/>
  <c r="R374" i="6" s="1"/>
  <c r="R384" i="6" s="1"/>
  <c r="U325" i="6"/>
  <c r="S325" i="6"/>
  <c r="V325" i="6"/>
  <c r="T325" i="6"/>
  <c r="U339" i="6"/>
  <c r="S339" i="6"/>
  <c r="V339" i="6"/>
  <c r="T339" i="6"/>
  <c r="R337" i="6"/>
  <c r="Q363" i="6"/>
  <c r="AC343" i="6"/>
  <c r="U337" i="6" l="1"/>
  <c r="S337" i="6"/>
  <c r="V337" i="6"/>
  <c r="T337" i="6"/>
  <c r="S363" i="6"/>
  <c r="R363" i="6"/>
  <c r="AH338" i="6"/>
  <c r="AF338" i="6"/>
  <c r="AD338" i="6"/>
  <c r="AI338" i="6"/>
  <c r="AG338" i="6"/>
  <c r="AE338" i="6"/>
  <c r="AB337" i="6"/>
  <c r="AC341" i="6"/>
  <c r="AC340" i="6" s="1"/>
  <c r="AC338" i="6"/>
  <c r="AC337" i="6" s="1"/>
  <c r="AC326" i="6"/>
  <c r="AC325" i="6" s="1"/>
  <c r="AH326" i="6"/>
  <c r="AF326" i="6"/>
  <c r="AD326" i="6"/>
  <c r="AI326" i="6"/>
  <c r="AG326" i="6"/>
  <c r="AE326" i="6"/>
  <c r="AB325" i="6"/>
  <c r="AI341" i="6"/>
  <c r="AG341" i="6"/>
  <c r="AE341" i="6"/>
  <c r="AB340" i="6"/>
  <c r="AH341" i="6"/>
  <c r="AF341" i="6"/>
  <c r="AD341" i="6"/>
  <c r="AC373" i="6" l="1"/>
  <c r="AC374" i="6" s="1"/>
  <c r="AC384" i="6" s="1"/>
  <c r="AC333" i="6"/>
  <c r="AH340" i="6"/>
  <c r="AF340" i="6"/>
  <c r="AD340" i="6"/>
  <c r="AI340" i="6"/>
  <c r="AG340" i="6"/>
  <c r="AE340" i="6"/>
  <c r="AB373" i="6"/>
  <c r="AB374" i="6" s="1"/>
  <c r="AB384" i="6" s="1"/>
  <c r="AI325" i="6"/>
  <c r="AG325" i="6"/>
  <c r="AE325" i="6"/>
  <c r="AH325" i="6"/>
  <c r="AF325" i="6"/>
  <c r="AD325" i="6"/>
  <c r="AI337" i="6"/>
  <c r="AG337" i="6"/>
  <c r="AE337" i="6"/>
  <c r="AH337" i="6"/>
  <c r="AF337" i="6"/>
  <c r="AD337" i="6"/>
  <c r="DI84" i="5" l="1"/>
  <c r="DJ18" i="5" l="1"/>
  <c r="DJ20" i="5" s="1"/>
  <c r="DL10" i="5"/>
  <c r="DJ82" i="5"/>
  <c r="DL17" i="5"/>
  <c r="DJ10" i="5"/>
  <c r="DJ12" i="5" s="1"/>
  <c r="DJ13" i="5" s="1"/>
</calcChain>
</file>

<file path=xl/comments1.xml><?xml version="1.0" encoding="utf-8"?>
<comments xmlns="http://schemas.openxmlformats.org/spreadsheetml/2006/main">
  <authors>
    <author>Автор</author>
  </authors>
  <commentList>
    <comment ref="BW84" authorId="0">
      <text>
        <r>
          <rPr>
            <b/>
            <sz val="9"/>
            <color indexed="81"/>
            <rFont val="Tahoma"/>
            <family val="2"/>
            <charset val="204"/>
          </rPr>
          <t>Автор:</t>
        </r>
        <r>
          <rPr>
            <sz val="9"/>
            <color indexed="81"/>
            <rFont val="Tahoma"/>
            <family val="2"/>
            <charset val="204"/>
          </rPr>
          <t xml:space="preserve">
345140,30 - из расчета выпадающих</t>
        </r>
      </text>
    </comment>
  </commentList>
</comments>
</file>

<file path=xl/comments2.xml><?xml version="1.0" encoding="utf-8"?>
<comments xmlns="http://schemas.openxmlformats.org/spreadsheetml/2006/main">
  <authors>
    <author>Автор</author>
  </authors>
  <commentList>
    <comment ref="R66" authorId="0">
      <text>
        <r>
          <rPr>
            <b/>
            <sz val="10"/>
            <color indexed="81"/>
            <rFont val="Tahoma"/>
            <family val="2"/>
            <charset val="204"/>
          </rPr>
          <t>Ю.В. Нечесов</t>
        </r>
        <r>
          <rPr>
            <sz val="9"/>
            <color indexed="81"/>
            <rFont val="Tahoma"/>
            <family val="2"/>
            <charset val="204"/>
          </rPr>
          <t xml:space="preserve">
</t>
        </r>
      </text>
    </comment>
    <comment ref="R68" authorId="0">
      <text>
        <r>
          <rPr>
            <b/>
            <sz val="10"/>
            <color indexed="81"/>
            <rFont val="Tahoma"/>
            <family val="2"/>
            <charset val="204"/>
          </rPr>
          <t>Ю.В. Нечесов</t>
        </r>
      </text>
    </comment>
    <comment ref="R69" authorId="0">
      <text>
        <r>
          <rPr>
            <b/>
            <sz val="10"/>
            <color indexed="81"/>
            <rFont val="Tahoma"/>
            <family val="2"/>
            <charset val="204"/>
          </rPr>
          <t>Ю.В. Нечесов</t>
        </r>
        <r>
          <rPr>
            <sz val="10"/>
            <color indexed="81"/>
            <rFont val="Tahoma"/>
            <family val="2"/>
            <charset val="204"/>
          </rPr>
          <t xml:space="preserve">
</t>
        </r>
      </text>
    </comment>
    <comment ref="R88" authorId="0">
      <text>
        <r>
          <rPr>
            <b/>
            <sz val="10"/>
            <color indexed="81"/>
            <rFont val="Tahoma"/>
            <family val="2"/>
            <charset val="204"/>
          </rPr>
          <t>И.В. Бедрин</t>
        </r>
        <r>
          <rPr>
            <sz val="9"/>
            <color indexed="81"/>
            <rFont val="Tahoma"/>
            <family val="2"/>
            <charset val="204"/>
          </rPr>
          <t xml:space="preserve">
</t>
        </r>
      </text>
    </comment>
    <comment ref="R89" authorId="0">
      <text>
        <r>
          <rPr>
            <b/>
            <sz val="10"/>
            <color indexed="81"/>
            <rFont val="Tahoma"/>
            <family val="2"/>
            <charset val="204"/>
          </rPr>
          <t>И.В. Бедрин</t>
        </r>
        <r>
          <rPr>
            <sz val="10"/>
            <color indexed="81"/>
            <rFont val="Tahoma"/>
            <family val="2"/>
            <charset val="204"/>
          </rPr>
          <t xml:space="preserve">
</t>
        </r>
      </text>
    </comment>
    <comment ref="AA109" authorId="0">
      <text>
        <r>
          <rPr>
            <b/>
            <sz val="9"/>
            <color indexed="81"/>
            <rFont val="Tahoma"/>
            <family val="2"/>
            <charset val="204"/>
          </rPr>
          <t>Автор:</t>
        </r>
        <r>
          <rPr>
            <sz val="9"/>
            <color indexed="81"/>
            <rFont val="Tahoma"/>
            <family val="2"/>
            <charset val="204"/>
          </rPr>
          <t xml:space="preserve">
корректировка, т.к. заявка меньше предложения РЭК</t>
        </r>
      </text>
    </comment>
    <comment ref="R174" authorId="0">
      <text>
        <r>
          <rPr>
            <b/>
            <sz val="9"/>
            <color indexed="81"/>
            <rFont val="Tahoma"/>
            <family val="2"/>
            <charset val="204"/>
          </rPr>
          <t>расшифровка</t>
        </r>
        <r>
          <rPr>
            <sz val="9"/>
            <color indexed="81"/>
            <rFont val="Tahoma"/>
            <family val="2"/>
            <charset val="204"/>
          </rPr>
          <t xml:space="preserve">
</t>
        </r>
      </text>
    </comment>
    <comment ref="R186" authorId="0">
      <text>
        <r>
          <rPr>
            <b/>
            <sz val="9"/>
            <color indexed="81"/>
            <rFont val="Tahoma"/>
            <family val="2"/>
            <charset val="204"/>
          </rPr>
          <t>расшифровка</t>
        </r>
        <r>
          <rPr>
            <sz val="9"/>
            <color indexed="81"/>
            <rFont val="Tahoma"/>
            <family val="2"/>
            <charset val="204"/>
          </rPr>
          <t xml:space="preserve">
</t>
        </r>
      </text>
    </comment>
    <comment ref="R200" authorId="0">
      <text>
        <r>
          <rPr>
            <b/>
            <sz val="9"/>
            <color indexed="81"/>
            <rFont val="Tahoma"/>
            <family val="2"/>
            <charset val="204"/>
          </rPr>
          <t>0, нет в плане</t>
        </r>
        <r>
          <rPr>
            <sz val="9"/>
            <color indexed="81"/>
            <rFont val="Tahoma"/>
            <family val="2"/>
            <charset val="204"/>
          </rPr>
          <t xml:space="preserve">
</t>
        </r>
      </text>
    </comment>
    <comment ref="R248" authorId="0">
      <text>
        <r>
          <rPr>
            <sz val="9"/>
            <color indexed="81"/>
            <rFont val="Tahoma"/>
            <family val="2"/>
            <charset val="204"/>
          </rPr>
          <t xml:space="preserve">
</t>
        </r>
        <r>
          <rPr>
            <sz val="10"/>
            <color indexed="81"/>
            <rFont val="Tahoma"/>
            <family val="2"/>
            <charset val="204"/>
          </rPr>
          <t>И.В. Бедрин</t>
        </r>
      </text>
    </comment>
    <comment ref="AA252" authorId="0">
      <text>
        <r>
          <rPr>
            <b/>
            <sz val="9"/>
            <color indexed="81"/>
            <rFont val="Tahoma"/>
            <family val="2"/>
            <charset val="204"/>
          </rPr>
          <t>Автор:</t>
        </r>
        <r>
          <rPr>
            <sz val="9"/>
            <color indexed="81"/>
            <rFont val="Tahoma"/>
            <family val="2"/>
            <charset val="204"/>
          </rPr>
          <t xml:space="preserve">
корректировка, т.к. заявка меньше предложения РЭК</t>
        </r>
      </text>
    </comment>
    <comment ref="AA263" authorId="0">
      <text>
        <r>
          <rPr>
            <b/>
            <sz val="9"/>
            <color indexed="81"/>
            <rFont val="Tahoma"/>
            <family val="2"/>
            <charset val="204"/>
          </rPr>
          <t>Автор:</t>
        </r>
        <r>
          <rPr>
            <sz val="9"/>
            <color indexed="81"/>
            <rFont val="Tahoma"/>
            <family val="2"/>
            <charset val="204"/>
          </rPr>
          <t xml:space="preserve">
корректировка, т.к. заявка меньше предложения РЭК</t>
        </r>
      </text>
    </comment>
  </commentList>
</comments>
</file>

<file path=xl/comments3.xml><?xml version="1.0" encoding="utf-8"?>
<comments xmlns="http://schemas.openxmlformats.org/spreadsheetml/2006/main">
  <authors>
    <author>Автор</author>
  </authors>
  <commentList>
    <comment ref="S66" authorId="0">
      <text>
        <r>
          <rPr>
            <b/>
            <sz val="10"/>
            <color indexed="81"/>
            <rFont val="Tahoma"/>
            <family val="2"/>
            <charset val="204"/>
          </rPr>
          <t>Ю.В. Нечесов</t>
        </r>
        <r>
          <rPr>
            <sz val="9"/>
            <color indexed="81"/>
            <rFont val="Tahoma"/>
            <family val="2"/>
            <charset val="204"/>
          </rPr>
          <t xml:space="preserve">
</t>
        </r>
      </text>
    </comment>
    <comment ref="S68" authorId="0">
      <text>
        <r>
          <rPr>
            <b/>
            <sz val="10"/>
            <color indexed="81"/>
            <rFont val="Tahoma"/>
            <family val="2"/>
            <charset val="204"/>
          </rPr>
          <t>Ю.В. Нечесов</t>
        </r>
      </text>
    </comment>
    <comment ref="S69" authorId="0">
      <text>
        <r>
          <rPr>
            <b/>
            <sz val="10"/>
            <color indexed="81"/>
            <rFont val="Tahoma"/>
            <family val="2"/>
            <charset val="204"/>
          </rPr>
          <t>Ю.В. Нечесов</t>
        </r>
        <r>
          <rPr>
            <sz val="10"/>
            <color indexed="81"/>
            <rFont val="Tahoma"/>
            <family val="2"/>
            <charset val="204"/>
          </rPr>
          <t xml:space="preserve">
</t>
        </r>
      </text>
    </comment>
    <comment ref="S88" authorId="0">
      <text>
        <r>
          <rPr>
            <b/>
            <sz val="10"/>
            <color indexed="81"/>
            <rFont val="Tahoma"/>
            <family val="2"/>
            <charset val="204"/>
          </rPr>
          <t>И.В. Бедрин</t>
        </r>
        <r>
          <rPr>
            <sz val="9"/>
            <color indexed="81"/>
            <rFont val="Tahoma"/>
            <family val="2"/>
            <charset val="204"/>
          </rPr>
          <t xml:space="preserve">
</t>
        </r>
      </text>
    </comment>
    <comment ref="S89" authorId="0">
      <text>
        <r>
          <rPr>
            <b/>
            <sz val="10"/>
            <color indexed="81"/>
            <rFont val="Tahoma"/>
            <family val="2"/>
            <charset val="204"/>
          </rPr>
          <t>И.В. Бедрин</t>
        </r>
        <r>
          <rPr>
            <sz val="10"/>
            <color indexed="81"/>
            <rFont val="Tahoma"/>
            <family val="2"/>
            <charset val="204"/>
          </rPr>
          <t xml:space="preserve">
</t>
        </r>
      </text>
    </comment>
    <comment ref="E154" authorId="0">
      <text>
        <r>
          <rPr>
            <b/>
            <sz val="9"/>
            <color indexed="81"/>
            <rFont val="Tahoma"/>
            <family val="2"/>
            <charset val="204"/>
          </rPr>
          <t>Автор:</t>
        </r>
        <r>
          <rPr>
            <sz val="9"/>
            <color indexed="81"/>
            <rFont val="Tahoma"/>
            <family val="2"/>
            <charset val="204"/>
          </rPr>
          <t xml:space="preserve">
объединено со ст. 2.07.04.51</t>
        </r>
      </text>
    </comment>
    <comment ref="S174" authorId="0">
      <text>
        <r>
          <rPr>
            <b/>
            <sz val="9"/>
            <color indexed="81"/>
            <rFont val="Tahoma"/>
            <family val="2"/>
            <charset val="204"/>
          </rPr>
          <t>расшифровка</t>
        </r>
        <r>
          <rPr>
            <sz val="9"/>
            <color indexed="81"/>
            <rFont val="Tahoma"/>
            <family val="2"/>
            <charset val="204"/>
          </rPr>
          <t xml:space="preserve">
</t>
        </r>
      </text>
    </comment>
    <comment ref="S186" authorId="0">
      <text>
        <r>
          <rPr>
            <b/>
            <sz val="9"/>
            <color indexed="81"/>
            <rFont val="Tahoma"/>
            <family val="2"/>
            <charset val="204"/>
          </rPr>
          <t>расшифровка</t>
        </r>
        <r>
          <rPr>
            <sz val="9"/>
            <color indexed="81"/>
            <rFont val="Tahoma"/>
            <family val="2"/>
            <charset val="204"/>
          </rPr>
          <t xml:space="preserve">
</t>
        </r>
      </text>
    </comment>
    <comment ref="S200" authorId="0">
      <text>
        <r>
          <rPr>
            <b/>
            <sz val="9"/>
            <color indexed="81"/>
            <rFont val="Tahoma"/>
            <family val="2"/>
            <charset val="204"/>
          </rPr>
          <t>0, нет в плане</t>
        </r>
        <r>
          <rPr>
            <sz val="9"/>
            <color indexed="81"/>
            <rFont val="Tahoma"/>
            <family val="2"/>
            <charset val="204"/>
          </rPr>
          <t xml:space="preserve">
</t>
        </r>
      </text>
    </comment>
    <comment ref="S249" authorId="0">
      <text>
        <r>
          <rPr>
            <sz val="9"/>
            <color indexed="81"/>
            <rFont val="Tahoma"/>
            <family val="2"/>
            <charset val="204"/>
          </rPr>
          <t xml:space="preserve">
</t>
        </r>
        <r>
          <rPr>
            <sz val="10"/>
            <color indexed="81"/>
            <rFont val="Tahoma"/>
            <family val="2"/>
            <charset val="204"/>
          </rPr>
          <t>И.В. Бедрин</t>
        </r>
      </text>
    </comment>
  </commentList>
</comments>
</file>

<file path=xl/sharedStrings.xml><?xml version="1.0" encoding="utf-8"?>
<sst xmlns="http://schemas.openxmlformats.org/spreadsheetml/2006/main" count="7120" uniqueCount="2241">
  <si>
    <t>Единица измерения</t>
  </si>
  <si>
    <t>1.</t>
  </si>
  <si>
    <t>1.1</t>
  </si>
  <si>
    <t>1.2</t>
  </si>
  <si>
    <t>1.3</t>
  </si>
  <si>
    <t>1.4</t>
  </si>
  <si>
    <t>2.</t>
  </si>
  <si>
    <t>2.1</t>
  </si>
  <si>
    <t>Показатели эффективности деятельности организации</t>
  </si>
  <si>
    <t>Прибыль (убыток) от продаж</t>
  </si>
  <si>
    <t>EBITDA (прибыль до процентов, налогов и амортизации)</t>
  </si>
  <si>
    <t>Чистая прибыль (убыток)</t>
  </si>
  <si>
    <t>Показатели рентабельности организации</t>
  </si>
  <si>
    <t>Рентабельность продаж (величина прибыли от продаж в каждом рубле выручки). Нормальное значение для данной отрасли от 9% и более</t>
  </si>
  <si>
    <t>тыс. рублей</t>
  </si>
  <si>
    <t>процент</t>
  </si>
  <si>
    <t>3.</t>
  </si>
  <si>
    <t>Заявленная мощность</t>
  </si>
  <si>
    <t>Объем полезного отпуска электроэнергии - всего</t>
  </si>
  <si>
    <t>3.1</t>
  </si>
  <si>
    <t>3.2</t>
  </si>
  <si>
    <t>3.3</t>
  </si>
  <si>
    <t>3.4</t>
  </si>
  <si>
    <t>3.5</t>
  </si>
  <si>
    <t>МВт</t>
  </si>
  <si>
    <t>тыс. кВт*ч</t>
  </si>
  <si>
    <t>Показатели регулируемых видов деятельности организации</t>
  </si>
  <si>
    <t>Расходы, связанные с производством и реализацией; подконтрольные расходы - всего</t>
  </si>
  <si>
    <t>Расходы, за исключением указанных в подпункте 4.1; неподконтрольные расходы - всего</t>
  </si>
  <si>
    <t>Выпадающие, излишние доходы (расходы) прошлых лет</t>
  </si>
  <si>
    <t>Справочно:</t>
  </si>
  <si>
    <t>Объем условных единиц</t>
  </si>
  <si>
    <t>Операционные расходы на условную единицу</t>
  </si>
  <si>
    <t>4.</t>
  </si>
  <si>
    <t>4.1</t>
  </si>
  <si>
    <t>В том числе:</t>
  </si>
  <si>
    <t>оплата труда</t>
  </si>
  <si>
    <t>ремонт основных фондов</t>
  </si>
  <si>
    <t>материальные затраты</t>
  </si>
  <si>
    <t>4.2</t>
  </si>
  <si>
    <t>4.3</t>
  </si>
  <si>
    <t>4.4</t>
  </si>
  <si>
    <t>4.4.1</t>
  </si>
  <si>
    <t>у.е.</t>
  </si>
  <si>
    <t>тыс. рублей (у.е.)</t>
  </si>
  <si>
    <t>Среднесписочная численность персонала</t>
  </si>
  <si>
    <t>человек</t>
  </si>
  <si>
    <t>Уставный капитал (складочный капитал, уставный фонд, вклады товарищей)</t>
  </si>
  <si>
    <t>Среднемесячная заработная плата на одного работника</t>
  </si>
  <si>
    <t>тыс. рублей на человека</t>
  </si>
  <si>
    <t>Показатели численности персонала и фонда оплаты труда по регулируемым видам деятельности</t>
  </si>
  <si>
    <t xml:space="preserve">Объем полезного отпуска электроэнергии населению и приравненным к нему категориям потребителей </t>
  </si>
  <si>
    <t>5.</t>
  </si>
  <si>
    <t>5.1</t>
  </si>
  <si>
    <t>5.2</t>
  </si>
  <si>
    <t>5.3</t>
  </si>
  <si>
    <t>2-е полугодие</t>
  </si>
  <si>
    <t>1-е полугодие</t>
  </si>
  <si>
    <t>Для организаций, относящихся к субъектам естественных монополий</t>
  </si>
  <si>
    <t>услуги по передаче электрической энергии (мощности)</t>
  </si>
  <si>
    <t>ставка на содержание сетей</t>
  </si>
  <si>
    <t>ставка на оплату технологического расхода (потерь)</t>
  </si>
  <si>
    <t>одноставочный тариф</t>
  </si>
  <si>
    <t>-</t>
  </si>
  <si>
    <t>Амортизация</t>
  </si>
  <si>
    <t>Лизинг</t>
  </si>
  <si>
    <t>налог на прибыль</t>
  </si>
  <si>
    <t>амортизация</t>
  </si>
  <si>
    <t>по виду деятельности "передача электрической энергии"</t>
  </si>
  <si>
    <t>Расчетный объем услуг в части управления технологическими режимами</t>
  </si>
  <si>
    <t>МВт*ч</t>
  </si>
  <si>
    <t>3.6</t>
  </si>
  <si>
    <t>3.7</t>
  </si>
  <si>
    <t>3.8</t>
  </si>
  <si>
    <t>Суммарный объем производства и потребления электрической энергии участниками оптового рынка электрической энергии</t>
  </si>
  <si>
    <t>1.2.</t>
  </si>
  <si>
    <t>№ по приложению</t>
  </si>
  <si>
    <t>Директор по экономике</t>
  </si>
  <si>
    <t>Директор по реализации услуг</t>
  </si>
  <si>
    <t>Главный инженер - технический директор</t>
  </si>
  <si>
    <t>Директор по корпоративному управлению</t>
  </si>
  <si>
    <t>Директор по финансам</t>
  </si>
  <si>
    <t>Реквизиты программы энергоэффективности (кем утверждена, дата утверждения, номер приказа)</t>
  </si>
  <si>
    <t>Реквизиты инвестиционной программы (кем утверждена, дата утверждения, номер приказа)</t>
  </si>
  <si>
    <t>Полное наименование</t>
  </si>
  <si>
    <t>Сокращенное наименование</t>
  </si>
  <si>
    <t>Место нахождения</t>
  </si>
  <si>
    <t>Фактический адрес</t>
  </si>
  <si>
    <t>ИНН</t>
  </si>
  <si>
    <t>КПП</t>
  </si>
  <si>
    <t>Ф.И.О. руководителя</t>
  </si>
  <si>
    <t>Адрес электронной почты</t>
  </si>
  <si>
    <t>Контактный телефон</t>
  </si>
  <si>
    <t>Факс</t>
  </si>
  <si>
    <t>к приказу«__»______201__ г. №____</t>
  </si>
  <si>
    <t>Сроки предоставления</t>
  </si>
  <si>
    <t xml:space="preserve">наименование </t>
  </si>
  <si>
    <t>информация по перечню</t>
  </si>
  <si>
    <t xml:space="preserve">№ </t>
  </si>
  <si>
    <t>Реквизиты отраслевого тарифного соглашения (дата утвержения, срок действия)</t>
  </si>
  <si>
    <t>Норматив потерь электрической энергии (с указанием реквизитов приказа Минэнерго РФ, которым утверждены нормативы)</t>
  </si>
  <si>
    <t>Форма раскрытия информации о структуре и объемах затрат</t>
  </si>
  <si>
    <t>на оказание услуг по передаче электрической энергии сетевыми</t>
  </si>
  <si>
    <t>организациями, регулирование деятельности которых осуществляется</t>
  </si>
  <si>
    <t>методом долгосрочной индексации необходимой валовой выручки</t>
  </si>
  <si>
    <t>Наименование организации:</t>
  </si>
  <si>
    <t>ИНН:</t>
  </si>
  <si>
    <t>КПП:</t>
  </si>
  <si>
    <t>Долгосрочный период регулирования:</t>
  </si>
  <si>
    <t xml:space="preserve"> гг.</t>
  </si>
  <si>
    <t>№ п/п</t>
  </si>
  <si>
    <t>Показатель</t>
  </si>
  <si>
    <t>Ед. изм.</t>
  </si>
  <si>
    <t>Примечание ***</t>
  </si>
  <si>
    <t>ответственный исполнитель</t>
  </si>
  <si>
    <t>план *</t>
  </si>
  <si>
    <t>I</t>
  </si>
  <si>
    <t>Структура затрат</t>
  </si>
  <si>
    <t>х</t>
  </si>
  <si>
    <t>1</t>
  </si>
  <si>
    <t>Необходимая валовая выручка на содержание</t>
  </si>
  <si>
    <t>тыс. руб.</t>
  </si>
  <si>
    <t>директор по экономике</t>
  </si>
  <si>
    <t>Подконтрольные расходы, всего</t>
  </si>
  <si>
    <t>1.1.1</t>
  </si>
  <si>
    <t>Материальные расходы, всего</t>
  </si>
  <si>
    <t>1.1.1.1</t>
  </si>
  <si>
    <t>в том числе на сырье, материалы, запасные части, инструмент, топливо</t>
  </si>
  <si>
    <t>1.1.1.2</t>
  </si>
  <si>
    <t>на ремонт</t>
  </si>
  <si>
    <t>1.1.1.3</t>
  </si>
  <si>
    <t>1.1.1.3.1</t>
  </si>
  <si>
    <t>в том числе на ремонт</t>
  </si>
  <si>
    <t>1.1.2</t>
  </si>
  <si>
    <t>Фонд оплаты труда</t>
  </si>
  <si>
    <t>1.1.2.1</t>
  </si>
  <si>
    <t>1.1.3</t>
  </si>
  <si>
    <t>Прочие подконтрольные расходы (с расшифровкой)</t>
  </si>
  <si>
    <t>1.1.3.1</t>
  </si>
  <si>
    <t>в том числе прибыль на социальное развитие (включая социальные выплаты)</t>
  </si>
  <si>
    <t>1.1.3.2</t>
  </si>
  <si>
    <t>в том числе транспортные услуги</t>
  </si>
  <si>
    <t>1.1.3.3</t>
  </si>
  <si>
    <t>в том числе прочие расходы (с расшифровкой)****</t>
  </si>
  <si>
    <t>1.1.4</t>
  </si>
  <si>
    <t>Расходы на обслуживание операционных заемных средств в составе подконтрольных расходов</t>
  </si>
  <si>
    <t>1.1.5</t>
  </si>
  <si>
    <t>Расходы из прибыли в составе подконтрольных расходов</t>
  </si>
  <si>
    <t>Неподконтрольные расходы, включенные в НВВ, всего</t>
  </si>
  <si>
    <t>1.2.1</t>
  </si>
  <si>
    <t>1.2.2</t>
  </si>
  <si>
    <t>Расходы на оплату технологического присоединения к сетям смежной сетевой организации</t>
  </si>
  <si>
    <t>директор по капитальному строительству</t>
  </si>
  <si>
    <t>1.2.3</t>
  </si>
  <si>
    <t>1.2.4</t>
  </si>
  <si>
    <t>1.2.5</t>
  </si>
  <si>
    <t>директор по финансам</t>
  </si>
  <si>
    <t>1.2.6</t>
  </si>
  <si>
    <t>1.2.7</t>
  </si>
  <si>
    <t>прибыль на капитальные вложения</t>
  </si>
  <si>
    <t>1.2.8</t>
  </si>
  <si>
    <t>1.2.9</t>
  </si>
  <si>
    <t>прочие налоги</t>
  </si>
  <si>
    <t>1.2.10</t>
  </si>
  <si>
    <t>Расходы сетевой организации, связанные с осуществлением технологического присоединения к электрическим сетям, не включенные в плату за технологическое присоединение</t>
  </si>
  <si>
    <t>директор по капитальному строительству;
директор по экономике</t>
  </si>
  <si>
    <t>1.2.10.1</t>
  </si>
  <si>
    <t>Справочно: "Количество льготных технологических присоединений"</t>
  </si>
  <si>
    <t>ед.</t>
  </si>
  <si>
    <t>1.2.11</t>
  </si>
  <si>
    <t>Средства, подлежащие дополнительному учету по результатам вступивших в законную силу решений суда, решений ФСТ России, принятых по итогам рассмотрения разногласий или досудебного урегулирования споров, решения ФСТ России об отмене решения регулирующего органа, принятого им с превышением полномочий (предписания)</t>
  </si>
  <si>
    <t>1.2.12</t>
  </si>
  <si>
    <t>прочие неподконтрольные расходы (с расшифровкой)</t>
  </si>
  <si>
    <t>недополученный по независящим причинам доход (+)/избыток средств, полученный в предыдущем периоде регулирования (-)</t>
  </si>
  <si>
    <t>II</t>
  </si>
  <si>
    <t>Справочно: расходы на ремонт, всего (пункт 1.1.1.2 + пункт 1.1.2.1 + пункт 1.1.3.1)</t>
  </si>
  <si>
    <t>III</t>
  </si>
  <si>
    <t>Необходимая валовая выручка на оплату технологического расхода (потерь) электроэнергии</t>
  </si>
  <si>
    <t>Справочно:
Объем технологических потерь</t>
  </si>
  <si>
    <t>МВт∙ч</t>
  </si>
  <si>
    <t>директор по экономике;
директор по реализации услуг</t>
  </si>
  <si>
    <t>Справочно:
Цена покупки электрической энергии сетевой организацией в целях компенсации технологического расхода электрической энергии</t>
  </si>
  <si>
    <t>руб./МВт∙ч</t>
  </si>
  <si>
    <t>директор по реализации услуг;
директор по экономике</t>
  </si>
  <si>
    <t>IV</t>
  </si>
  <si>
    <t>Натуральные (количественные) показатели, используемые при определении структуры и объемов затрат на оказание услуг по передаче электрической энергии сетевыми организациями</t>
  </si>
  <si>
    <t>общее количество точек подключения на конец года</t>
  </si>
  <si>
    <t>шт.</t>
  </si>
  <si>
    <t>главный инженер-технический директор;
директор по реализации услуг</t>
  </si>
  <si>
    <t>2</t>
  </si>
  <si>
    <t>Трансформаторная мощность подстанций, всего</t>
  </si>
  <si>
    <t>МВа</t>
  </si>
  <si>
    <t>главный инженер-технический директор</t>
  </si>
  <si>
    <t>3</t>
  </si>
  <si>
    <t>Количество условных единиц по линиям электропередач, всего</t>
  </si>
  <si>
    <t>4</t>
  </si>
  <si>
    <t>Количество условных единиц по подстанциям, всего</t>
  </si>
  <si>
    <t>5</t>
  </si>
  <si>
    <t>Длина линий электропередач, всего</t>
  </si>
  <si>
    <t>км</t>
  </si>
  <si>
    <t>6</t>
  </si>
  <si>
    <t>Доля кабельных линий электропередач</t>
  </si>
  <si>
    <t>%</t>
  </si>
  <si>
    <t>7</t>
  </si>
  <si>
    <t>Ввод в эксплуатацию новых объектов электросетевого комплекса на конец года</t>
  </si>
  <si>
    <t>главный бухгалтер;
директор по капитальному строительству;
директор по имущественным отношениям</t>
  </si>
  <si>
    <t>7.1</t>
  </si>
  <si>
    <t>в том числе за счет платы за технологическое присоединение</t>
  </si>
  <si>
    <t>8</t>
  </si>
  <si>
    <t>норматив технологического расхода (потерь) электрической энергии, установленный Минэнерго России *****</t>
  </si>
  <si>
    <t>директор по реализации услуг</t>
  </si>
  <si>
    <t>Примечание:</t>
  </si>
  <si>
    <r>
      <t>_____</t>
    </r>
    <r>
      <rPr>
        <sz val="10"/>
        <rFont val="Times New Roman"/>
        <family val="1"/>
        <charset val="204"/>
      </rPr>
      <t>*</t>
    </r>
    <r>
      <rPr>
        <sz val="10"/>
        <color indexed="9"/>
        <rFont val="Times New Roman"/>
        <family val="1"/>
        <charset val="204"/>
      </rPr>
      <t>_</t>
    </r>
    <r>
      <rPr>
        <sz val="10"/>
        <rFont val="Times New Roman"/>
        <family val="1"/>
        <charset val="204"/>
      </rPr>
      <t>В случае определения плановых значений показателей органами исполнительной власти в области государственного регулирования тарифов при установлении тарифов на услуги по передаче электрической энергии в столбце &lt;план&gt; указываются соответствующие значения. Плановые значения составляющих подконтрольных расходов раскрываются в отношении расходов, учтенных регулирующим органом на первый год долгосрочного периода регулирования.</t>
    </r>
  </si>
  <si>
    <r>
      <t>_____</t>
    </r>
    <r>
      <rPr>
        <sz val="10"/>
        <rFont val="Times New Roman"/>
        <family val="1"/>
        <charset val="204"/>
      </rPr>
      <t>**</t>
    </r>
    <r>
      <rPr>
        <sz val="10"/>
        <color indexed="9"/>
        <rFont val="Times New Roman"/>
        <family val="1"/>
        <charset val="204"/>
      </rPr>
      <t>_</t>
    </r>
    <r>
      <rPr>
        <sz val="10"/>
        <rFont val="Times New Roman"/>
        <family val="1"/>
        <charset val="204"/>
      </rPr>
      <t>Информация о фактических затратах на оказание регулируемых услуг заполняется на основании данных раздельного учета расходов по регулируемым видам деятельности.</t>
    </r>
  </si>
  <si>
    <r>
      <t>_____</t>
    </r>
    <r>
      <rPr>
        <sz val="10"/>
        <rFont val="Times New Roman"/>
        <family val="1"/>
        <charset val="204"/>
      </rPr>
      <t>***</t>
    </r>
    <r>
      <rPr>
        <sz val="10"/>
        <color indexed="9"/>
        <rFont val="Times New Roman"/>
        <family val="1"/>
        <charset val="204"/>
      </rPr>
      <t>_</t>
    </r>
    <r>
      <rPr>
        <sz val="10"/>
        <rFont val="Times New Roman"/>
        <family val="1"/>
        <charset val="204"/>
      </rPr>
      <t>При наличии отклонений фактических значений показателей от плановых значений более чем на 15 процентов в столбце &lt;Примечание&gt; указываются причины их возникновения.</t>
    </r>
  </si>
  <si>
    <r>
      <t>_____</t>
    </r>
    <r>
      <rPr>
        <sz val="10"/>
        <rFont val="Times New Roman"/>
        <family val="1"/>
        <charset val="204"/>
      </rPr>
      <t>****</t>
    </r>
    <r>
      <rPr>
        <sz val="10"/>
        <color indexed="9"/>
        <rFont val="Times New Roman"/>
        <family val="1"/>
        <charset val="204"/>
      </rPr>
      <t>_</t>
    </r>
    <r>
      <rPr>
        <sz val="10"/>
        <rFont val="Times New Roman"/>
        <family val="1"/>
        <charset val="204"/>
      </rPr>
      <t>В соответствии с пунктом 28 Основ ценообразования в области регулируемых цен (тарифов) в электроэнергетике, утвержденных постановлением Правительства Российской Федерации от 29.12.2011 № 1178.</t>
    </r>
  </si>
  <si>
    <r>
      <t>_____</t>
    </r>
    <r>
      <rPr>
        <sz val="10"/>
        <rFont val="Times New Roman"/>
        <family val="1"/>
        <charset val="204"/>
      </rPr>
      <t>*****</t>
    </r>
    <r>
      <rPr>
        <sz val="10"/>
        <color indexed="9"/>
        <rFont val="Times New Roman"/>
        <family val="1"/>
        <charset val="204"/>
      </rPr>
      <t>_</t>
    </r>
    <r>
      <rPr>
        <sz val="10"/>
        <rFont val="Times New Roman"/>
        <family val="1"/>
        <charset val="204"/>
      </rPr>
      <t>В соответствии с пунктом 4.2.14.8 Положения о Министерстве энергетики Российской Федерации, утвержденного постановлением Правительства Российской Федерации от 28.05.2008 № 400.</t>
    </r>
  </si>
  <si>
    <t>двухставочный тариф</t>
  </si>
  <si>
    <t>Приложение 8</t>
  </si>
  <si>
    <t>Оплата услуг ПАО "ФСК ЕЭС"</t>
  </si>
  <si>
    <t>Акционерное общество "НЭСК-электросети"</t>
  </si>
  <si>
    <t>АО "НЭСК-электросети"</t>
  </si>
  <si>
    <t>г. Краснодар</t>
  </si>
  <si>
    <t>nesk-elseti@nesk.ru</t>
  </si>
  <si>
    <t>2308139496</t>
  </si>
  <si>
    <t>230750001</t>
  </si>
  <si>
    <t>2015</t>
  </si>
  <si>
    <t>2019</t>
  </si>
  <si>
    <t>Расчет коэффициента индексации</t>
  </si>
  <si>
    <t>Расчет коэффициента
 индексации</t>
  </si>
  <si>
    <t>единица
 измерения</t>
  </si>
  <si>
    <t>утверждено РЭК-департаментом 2012г. №20/2012-э от 17.03.2012</t>
  </si>
  <si>
    <t>утверждено РЭК-департаментом 2013г. №1/2013-э от 16.01.2013</t>
  </si>
  <si>
    <t>утверждено РЭК-департаментом 2014г. №24/2013-э от 17.04.2013</t>
  </si>
  <si>
    <t>утверждено РЭК-департаментом №131/2014-э от 09.12.2014 2015-2019</t>
  </si>
  <si>
    <t>предложение АО "НЭСК-электросети" на 2016г.</t>
  </si>
  <si>
    <t>утверждено РЭК-департаментом 
№131/2014-э от 09.12.2014 2015-2019</t>
  </si>
  <si>
    <t>предложение РЭК-ДЦТ КК на 2016г.</t>
  </si>
  <si>
    <t>правильно
 на 2015</t>
  </si>
  <si>
    <t>правильно
 на 2016</t>
  </si>
  <si>
    <t>на  2015г.</t>
  </si>
  <si>
    <t xml:space="preserve"> на 2016г.</t>
  </si>
  <si>
    <t>А</t>
  </si>
  <si>
    <t>В</t>
  </si>
  <si>
    <t>инфляция</t>
  </si>
  <si>
    <t>индекс эффективности операционных расходов</t>
  </si>
  <si>
    <t>количество активов</t>
  </si>
  <si>
    <t>индекс изменения количества активов</t>
  </si>
  <si>
    <t>коэффициент эластичности затрат по росту активов</t>
  </si>
  <si>
    <t>итого коэффициент индексации</t>
  </si>
  <si>
    <t>предидущие показатели</t>
  </si>
  <si>
    <t>Расчет необходимой валовой выручки  на услуги по содержанию электрических сетей</t>
  </si>
  <si>
    <t>№ статьи</t>
  </si>
  <si>
    <t>наименование статьи в соответствии с учетной политикой АО "НЭСК-электросети"</t>
  </si>
  <si>
    <t>наименование статьи в соответствии с учетной политикой ОАО "НЭСК-электросети" в предыдущие периоды регулирования</t>
  </si>
  <si>
    <t>единица измерения</t>
  </si>
  <si>
    <t>2012 год</t>
  </si>
  <si>
    <t>2013 год</t>
  </si>
  <si>
    <t>2014</t>
  </si>
  <si>
    <t>2015 год</t>
  </si>
  <si>
    <t>2016 год</t>
  </si>
  <si>
    <t xml:space="preserve">план (утв. органом регулирования) </t>
  </si>
  <si>
    <t>факт всего  2014 года</t>
  </si>
  <si>
    <t>в т.ч. факт на услуги по передаче электроэнергии АО "НЭСК-электросети"</t>
  </si>
  <si>
    <t>экономически обоснованный факт  РЭК-ДЦТ КК</t>
  </si>
  <si>
    <t xml:space="preserve">отклонение экономически обоснованный факт  РЭК-ДЦТ КК от план (утв. органом регулирования) </t>
  </si>
  <si>
    <t>отклонение экономически обоснованный факт  РЭК-ДЦТ КК от факта на услуги по передаче ээ  АО "НЭСК-электросети"</t>
  </si>
  <si>
    <t>предложение "НЭСК-электросети"</t>
  </si>
  <si>
    <t>предложение РЭК-ДЦТ КК</t>
  </si>
  <si>
    <t>предложение РЭК-ДЦТ КК (налог на имущество и аренда)</t>
  </si>
  <si>
    <t>отклонения предложение РЭК-ДЦТ КК на 2016 год от плана (утв. органом регулирования) на 2015 год</t>
  </si>
  <si>
    <t>отклонения предложение РЭК-ДЦТ КК на 2016 год от плана (утв. органом регулирования) на 2016 год</t>
  </si>
  <si>
    <t>отклонения предложение РЭК-ДЦТ КК на 2016 год от предложений "НЭСК-электросети" на 2016 год</t>
  </si>
  <si>
    <t>факт на услуги по передаче электроэнергии АО "НЭСК-электросети"</t>
  </si>
  <si>
    <r>
      <t>экономически обоснованный факт  РЭК-ДЦТ КК (направлено в РЭК 10.11.15.)</t>
    </r>
    <r>
      <rPr>
        <b/>
        <sz val="12.5"/>
        <color rgb="FFFF0000"/>
        <rFont val="Times New Roman"/>
        <family val="1"/>
        <charset val="204"/>
      </rPr>
      <t xml:space="preserve"> "НЭСК-электросети"</t>
    </r>
  </si>
  <si>
    <t xml:space="preserve">экономически обоснованный факт  РЭК-ДЦТ КК (просмотренный Рогачевой И.А. 18.11.15.) </t>
  </si>
  <si>
    <t xml:space="preserve">отклонение экономически обоснованный факт  РЭК-ДЦТ КК (учтены замечания) от план (утв. органом регулирования) </t>
  </si>
  <si>
    <t>отклонение экономически обоснованный факт  РЭК-ДЦТ КК (учтены замечания) от пересмотр плана</t>
  </si>
  <si>
    <t xml:space="preserve">отклонение между экономически обоснованным фактом  РЭК-ДЦТ КК (просмотренный Рогачевой И.А. 18.11.15.)  от экономически обоснованного факта  РЭК-ДЦТ КК (направлено в РЭК 10.11.15.)  </t>
  </si>
  <si>
    <t xml:space="preserve">отклонение между фактом на услуги по передаче электроэнергии  от плана (утв. органом регулирования) </t>
  </si>
  <si>
    <t>абс.</t>
  </si>
  <si>
    <t>отн.</t>
  </si>
  <si>
    <t>16 (15 - 10)</t>
  </si>
  <si>
    <t>17 (15 - 12)</t>
  </si>
  <si>
    <t>15 (13 - 7)</t>
  </si>
  <si>
    <t>16 (13 - 8)</t>
  </si>
  <si>
    <t>17 (12 - 11)</t>
  </si>
  <si>
    <t>18 (10 - 7)</t>
  </si>
  <si>
    <t>23 (22-19)</t>
  </si>
  <si>
    <t>24 (22/19)</t>
  </si>
  <si>
    <t>25 (22-20)</t>
  </si>
  <si>
    <t>26 (22/20)</t>
  </si>
  <si>
    <t>27 (22-21)</t>
  </si>
  <si>
    <t>28 (22/21)</t>
  </si>
  <si>
    <t>1.1.</t>
  </si>
  <si>
    <t>Материальные затраты</t>
  </si>
  <si>
    <t>1.1.1.</t>
  </si>
  <si>
    <t>Сырье, материалы, запасные части, инструмент, топливо</t>
  </si>
  <si>
    <t>2.06.04</t>
  </si>
  <si>
    <t>ТМЦ Инструменты и приспособления по ремонту автотранспорта</t>
  </si>
  <si>
    <t>инструменты и приспособления по ремонту автотранспорта</t>
  </si>
  <si>
    <t>2.06.05</t>
  </si>
  <si>
    <t>ТМЦ Автотранспорт комплектующие</t>
  </si>
  <si>
    <t>комплектующие автотранспорта</t>
  </si>
  <si>
    <t>2.06.06</t>
  </si>
  <si>
    <t>ТМЦ Автотранспорт материалы на ремонт</t>
  </si>
  <si>
    <t>ремонт автотранспорта (материалы)</t>
  </si>
  <si>
    <t>Итого материалы автотранспорта</t>
  </si>
  <si>
    <t>1.1.1.4</t>
  </si>
  <si>
    <t>2.06.07</t>
  </si>
  <si>
    <t>ТМЦ Канц. расходы бумага</t>
  </si>
  <si>
    <t>канц. расходы : бумага</t>
  </si>
  <si>
    <t>1.1.1.5</t>
  </si>
  <si>
    <t>2.06.08</t>
  </si>
  <si>
    <t>ТМЦ Почтовые расходы: марки, конверты</t>
  </si>
  <si>
    <t>почтовые  расходы : марки, конверты</t>
  </si>
  <si>
    <t>1.1.1.6</t>
  </si>
  <si>
    <t>2.06.09</t>
  </si>
  <si>
    <t>ТМЦ Канц. расходы прочие</t>
  </si>
  <si>
    <t>канц. расходы : прочие</t>
  </si>
  <si>
    <t>1.1.1.7</t>
  </si>
  <si>
    <t>2.06.10</t>
  </si>
  <si>
    <t>ТМЦ Канц. расходы папки</t>
  </si>
  <si>
    <t>канц. расходы : папки</t>
  </si>
  <si>
    <t>1.1.1.8</t>
  </si>
  <si>
    <t>2.06.11</t>
  </si>
  <si>
    <t>ТМЦ  Канц. расходы бланки</t>
  </si>
  <si>
    <t>канц.расходы: бланки</t>
  </si>
  <si>
    <t>9</t>
  </si>
  <si>
    <t>1.1.1.9</t>
  </si>
  <si>
    <t>2.06.12</t>
  </si>
  <si>
    <t>ТМЦ Штампы, печати</t>
  </si>
  <si>
    <t>штампы, печати</t>
  </si>
  <si>
    <t>10</t>
  </si>
  <si>
    <t>1.1.1.10</t>
  </si>
  <si>
    <t>2.06.13</t>
  </si>
  <si>
    <t>ТМЦ Подписка</t>
  </si>
  <si>
    <t>подписка</t>
  </si>
  <si>
    <t>Итого канц.и почт.расходы,подписка</t>
  </si>
  <si>
    <t>11</t>
  </si>
  <si>
    <t>1.1.1.11</t>
  </si>
  <si>
    <t>2.06.14</t>
  </si>
  <si>
    <t>ТМЦ Инструменты и приспособления хоз. назначения</t>
  </si>
  <si>
    <t>инструменты и приспособления хоз. назначения</t>
  </si>
  <si>
    <t>12</t>
  </si>
  <si>
    <t>1.1.1.12</t>
  </si>
  <si>
    <t>2.06.15</t>
  </si>
  <si>
    <t>ТМЦ Материальные расходы хоз. назначения</t>
  </si>
  <si>
    <t>материальные расходы хоз. назначения</t>
  </si>
  <si>
    <t>13</t>
  </si>
  <si>
    <t>1.1.1.13</t>
  </si>
  <si>
    <t>2.06.16</t>
  </si>
  <si>
    <t>ТМЦ Инвентарь, мебель, быт. техника хоз. назначения</t>
  </si>
  <si>
    <t>МБП : инвентарь, мебель, быт. техника</t>
  </si>
  <si>
    <t>Итого мат.расходы хоз.назначения</t>
  </si>
  <si>
    <t>16</t>
  </si>
  <si>
    <t>1.1.1.16</t>
  </si>
  <si>
    <t>2.06.19</t>
  </si>
  <si>
    <t>ТМЦ Оргтехника инструменты и приспособления</t>
  </si>
  <si>
    <t>инструменты и приспособления орг. техника</t>
  </si>
  <si>
    <t>17</t>
  </si>
  <si>
    <t>1.1.1.17</t>
  </si>
  <si>
    <t>2.06.20</t>
  </si>
  <si>
    <t>ТМЦ Оргтехника комплектующие</t>
  </si>
  <si>
    <t>комплектующие вычислит. и оргтехники</t>
  </si>
  <si>
    <t>18</t>
  </si>
  <si>
    <t>1.1.1.18</t>
  </si>
  <si>
    <t>2.06.21</t>
  </si>
  <si>
    <t>ТМЦ Оргтехника (ОС)</t>
  </si>
  <si>
    <t>МБП : оргтехника и вычисл. техника</t>
  </si>
  <si>
    <t>19</t>
  </si>
  <si>
    <t>1.1.1.19</t>
  </si>
  <si>
    <t>2.06.22</t>
  </si>
  <si>
    <t>ТМЦ Оргтехника расходные материалы</t>
  </si>
  <si>
    <t>расходные материалы вычислит. и оргтехники</t>
  </si>
  <si>
    <t>20</t>
  </si>
  <si>
    <t>1.1.1.20</t>
  </si>
  <si>
    <t>2.06.23</t>
  </si>
  <si>
    <t>ТМЦ Оргтехника материалы на ремонт</t>
  </si>
  <si>
    <t>ремонт вычислит. и оргтехники (материалы)</t>
  </si>
  <si>
    <t>Итого оргтехника и комплектующие</t>
  </si>
  <si>
    <t>21</t>
  </si>
  <si>
    <t>1.1.1.21</t>
  </si>
  <si>
    <t>2.06.24</t>
  </si>
  <si>
    <t>ТМЦ Средства связи инструменты и приспособления</t>
  </si>
  <si>
    <t>инструменты и приспособления средств связи</t>
  </si>
  <si>
    <t>22</t>
  </si>
  <si>
    <t>1.1.1.22</t>
  </si>
  <si>
    <t>2.06.25</t>
  </si>
  <si>
    <t>ТМЦ Средства связи</t>
  </si>
  <si>
    <t>МБП : средства связи</t>
  </si>
  <si>
    <t>23</t>
  </si>
  <si>
    <t>1.1.1.23</t>
  </si>
  <si>
    <t>2.06.26</t>
  </si>
  <si>
    <t>ТМЦ Средства связи материалы на ремонт</t>
  </si>
  <si>
    <t>ремонт средств связи (материалы)</t>
  </si>
  <si>
    <t>Итого средства связи</t>
  </si>
  <si>
    <t>25</t>
  </si>
  <si>
    <t>1.1.1.26</t>
  </si>
  <si>
    <t>2.06.29</t>
  </si>
  <si>
    <t xml:space="preserve">ТМЦ Материальные расходы на кап. ремонт производственных объектов </t>
  </si>
  <si>
    <t>материальные расходы на кап. ремонт э/сетей</t>
  </si>
  <si>
    <t>27</t>
  </si>
  <si>
    <t>1.1.1.27</t>
  </si>
  <si>
    <t>2.06.30</t>
  </si>
  <si>
    <t xml:space="preserve">ТМЦ Материальные расходы на тек. ремонт и обслуживание производственных объектов </t>
  </si>
  <si>
    <t>материальные расходы на тек. ремонт и обслуживание э/сетей</t>
  </si>
  <si>
    <t>28</t>
  </si>
  <si>
    <t>1.1.1.28</t>
  </si>
  <si>
    <t>2.06.31</t>
  </si>
  <si>
    <t>ТМЦ Материальные расходы на кап. ремонт административных зданий</t>
  </si>
  <si>
    <t>29</t>
  </si>
  <si>
    <t>1.1.1.29</t>
  </si>
  <si>
    <t>2.06.32</t>
  </si>
  <si>
    <t>ТМЦ Материальные расходы на тек. ремонт административных зданий</t>
  </si>
  <si>
    <t>Итого мат.расходы на ремонт</t>
  </si>
  <si>
    <t>1.1.1.25</t>
  </si>
  <si>
    <t>2.06.28</t>
  </si>
  <si>
    <t>ТМЦ Инструменты и приспособления (спец. инструмент для обслуж. э/сетей)</t>
  </si>
  <si>
    <t>инструменты и приспособления (спец. инструмент для обслуж. э/сетей)</t>
  </si>
  <si>
    <t>30</t>
  </si>
  <si>
    <t>1.1.1.30</t>
  </si>
  <si>
    <t>2.06.33</t>
  </si>
  <si>
    <t>ТМЦ Оборудование и приспособления (ОС)</t>
  </si>
  <si>
    <t>МБП : оборудование, приспособления</t>
  </si>
  <si>
    <t>31</t>
  </si>
  <si>
    <t>1.1.1.31</t>
  </si>
  <si>
    <t>2.06.34</t>
  </si>
  <si>
    <t>ТМЦ Инструменты и приспособления прочие</t>
  </si>
  <si>
    <t>инструменты и приспособления прочие</t>
  </si>
  <si>
    <t>Итого инструменты и приспособления прочие</t>
  </si>
  <si>
    <t>32</t>
  </si>
  <si>
    <t>1.1.1.32</t>
  </si>
  <si>
    <t>2.06.35</t>
  </si>
  <si>
    <t>ТМЦ Материалы для установки (замены) узлов учета</t>
  </si>
  <si>
    <t>ремонт узлов и приборов учета (материалы)</t>
  </si>
  <si>
    <t>33</t>
  </si>
  <si>
    <t>1.1.1.33</t>
  </si>
  <si>
    <t>2.06.36</t>
  </si>
  <si>
    <t>ТМЦ Электросчетчики (ОС)</t>
  </si>
  <si>
    <t>МБП : электросчетчики</t>
  </si>
  <si>
    <t>34</t>
  </si>
  <si>
    <t>1.1.1.34</t>
  </si>
  <si>
    <t>2.06.37</t>
  </si>
  <si>
    <t>ТМЦ Пломбировочный материал</t>
  </si>
  <si>
    <t>пломбы, проволока для опломбирования, сумки для контролеров</t>
  </si>
  <si>
    <t>35</t>
  </si>
  <si>
    <t>1.1.1.35</t>
  </si>
  <si>
    <t>2.06.38</t>
  </si>
  <si>
    <t>ТМЦ Оборудование, приспособления для узлов учета</t>
  </si>
  <si>
    <t>МБП: оборудование, приспособления для узлов учета</t>
  </si>
  <si>
    <t>Итого оборудование и материалы для узлов учета</t>
  </si>
  <si>
    <t>37</t>
  </si>
  <si>
    <t>1.1.1.37</t>
  </si>
  <si>
    <t>2.06.40</t>
  </si>
  <si>
    <t>ТМЦ Материальные расходы по ГО</t>
  </si>
  <si>
    <t>материальные расходы по ГО</t>
  </si>
  <si>
    <t>38</t>
  </si>
  <si>
    <t>1.1.1.38</t>
  </si>
  <si>
    <t>2.06.41</t>
  </si>
  <si>
    <t>ТМЦ Материальные расходы по пожарной безопасности</t>
  </si>
  <si>
    <t>материальные расходы по пожарной безопасности</t>
  </si>
  <si>
    <t>39</t>
  </si>
  <si>
    <t>1.1.1.39</t>
  </si>
  <si>
    <t>2.06.42</t>
  </si>
  <si>
    <t>ТМЦ Средства охраны труда</t>
  </si>
  <si>
    <t>МБП : средства охраны труда</t>
  </si>
  <si>
    <t>40</t>
  </si>
  <si>
    <t>1.1.1.40</t>
  </si>
  <si>
    <t>2.06.43</t>
  </si>
  <si>
    <t>ТМЦ ТБ  материальные расходы, связанные с соблюдением техн. безопасности</t>
  </si>
  <si>
    <t>ТБ : материальные расходы, связанные с соблюдением техн. безопасности</t>
  </si>
  <si>
    <t>41</t>
  </si>
  <si>
    <t>1.1.1.41</t>
  </si>
  <si>
    <t>2.06.44</t>
  </si>
  <si>
    <t>ТМЦ ТБ спецодежда</t>
  </si>
  <si>
    <t>ТБ : спецодежда</t>
  </si>
  <si>
    <t>42</t>
  </si>
  <si>
    <t>1.1.1.42</t>
  </si>
  <si>
    <t>2.06.45</t>
  </si>
  <si>
    <t>ТМЦ ТБ спецпитание</t>
  </si>
  <si>
    <t>ТБ : спецпитание</t>
  </si>
  <si>
    <t>43</t>
  </si>
  <si>
    <t>1.1.1.43</t>
  </si>
  <si>
    <t>2.06.46</t>
  </si>
  <si>
    <t>ТМЦ ТБ спецодежда - комплекты, устойчивых к воздействию эл.дуги</t>
  </si>
  <si>
    <t>ТБ : спецодежда - комплекты, устойчивых к воздействию эл. дуги</t>
  </si>
  <si>
    <t>44</t>
  </si>
  <si>
    <t>1.1.1.44</t>
  </si>
  <si>
    <t>2.06.47</t>
  </si>
  <si>
    <t>ТМЦ Техлитература</t>
  </si>
  <si>
    <t>техлитература</t>
  </si>
  <si>
    <t>Итого ГО,ОТ и пож.безопасность, ТБ</t>
  </si>
  <si>
    <t>14</t>
  </si>
  <si>
    <t>1.1.1.14</t>
  </si>
  <si>
    <t>2.06.17</t>
  </si>
  <si>
    <t>ТМЦ Прочие</t>
  </si>
  <si>
    <t>МБП : прочие</t>
  </si>
  <si>
    <t>15</t>
  </si>
  <si>
    <t>1.1.1.15</t>
  </si>
  <si>
    <t>2.06.18</t>
  </si>
  <si>
    <t>ТМЦ Питьевая вода</t>
  </si>
  <si>
    <t>питьевая вода</t>
  </si>
  <si>
    <t>24</t>
  </si>
  <si>
    <t>1.1.1.24</t>
  </si>
  <si>
    <t>2.06.27</t>
  </si>
  <si>
    <t>ТМЦ Кассовые аппараты и содержание</t>
  </si>
  <si>
    <t>МБП : кассовые аппараты</t>
  </si>
  <si>
    <t>36</t>
  </si>
  <si>
    <t>1.1.1.36</t>
  </si>
  <si>
    <t>2.06.39</t>
  </si>
  <si>
    <t>ТМЦ Материальные расходы по АИИСКУЭ</t>
  </si>
  <si>
    <t>комплектующие и ремонт АИИС КУЭ (материалы)</t>
  </si>
  <si>
    <t>1.1.1.45</t>
  </si>
  <si>
    <t>ТМЦ Материальные расходы по прочим видам деятельности</t>
  </si>
  <si>
    <t>1.1.1.46</t>
  </si>
  <si>
    <t>ТМЦ Материальные расходы по обслуживанию СНО</t>
  </si>
  <si>
    <t>1.1.1.47</t>
  </si>
  <si>
    <t>ТМЦ Материальные расходы по технологическому присоединению</t>
  </si>
  <si>
    <t>Итого мат.расходы прочие</t>
  </si>
  <si>
    <t>1.1.1.48</t>
  </si>
  <si>
    <t>2.06.51</t>
  </si>
  <si>
    <t>ТМЦ Оборудование по антитеррору (ОС)</t>
  </si>
  <si>
    <t>1.1.1.49</t>
  </si>
  <si>
    <t>2.06.52</t>
  </si>
  <si>
    <t>ТМЦ Материальные расходы по антитеррору</t>
  </si>
  <si>
    <t>Итого по антитеррору</t>
  </si>
  <si>
    <t>1.1.2.</t>
  </si>
  <si>
    <t>ГСМ</t>
  </si>
  <si>
    <t>51</t>
  </si>
  <si>
    <t>2.06.01</t>
  </si>
  <si>
    <t>ТМЦ  ГСМ (прочие цели)</t>
  </si>
  <si>
    <t>газ (произв. цели, без хоз. нужд и а/тр)</t>
  </si>
  <si>
    <t>52</t>
  </si>
  <si>
    <t>1.1.2.2</t>
  </si>
  <si>
    <t>2.06.02</t>
  </si>
  <si>
    <t>ТМЦ Автотранспорт прочие ГСМ</t>
  </si>
  <si>
    <t>автотранспорт: прочие ГСМ</t>
  </si>
  <si>
    <t>53</t>
  </si>
  <si>
    <t>1.1.2.3</t>
  </si>
  <si>
    <t xml:space="preserve">2.06.03       </t>
  </si>
  <si>
    <t>ТМЦ Автотранспорт : топливо (бензин, диз. топливо, газ для а/тр)</t>
  </si>
  <si>
    <t>автотранспорт: топливо (бензин, диз. топливо, газ для а/тр)</t>
  </si>
  <si>
    <t>54</t>
  </si>
  <si>
    <t>Расходы на оплату труда</t>
  </si>
  <si>
    <t>55</t>
  </si>
  <si>
    <t>1.3.</t>
  </si>
  <si>
    <t>Денежные выплаты социального характера</t>
  </si>
  <si>
    <t>213</t>
  </si>
  <si>
    <t>1.3.1</t>
  </si>
  <si>
    <t>2.09.37</t>
  </si>
  <si>
    <t>ПВ Материальная помощь по прочим основаниям</t>
  </si>
  <si>
    <t>тыс.руб.</t>
  </si>
  <si>
    <t>216</t>
  </si>
  <si>
    <t>1.3.2</t>
  </si>
  <si>
    <t>2.09.40</t>
  </si>
  <si>
    <t xml:space="preserve">ПВ Единовременные выплаты по соглашению сторон </t>
  </si>
  <si>
    <t>1.3.3</t>
  </si>
  <si>
    <t>2.09.41</t>
  </si>
  <si>
    <t>Соц. хар. Материальная помощь к юбилейным датам</t>
  </si>
  <si>
    <t>1.3.4</t>
  </si>
  <si>
    <t>2.09.42</t>
  </si>
  <si>
    <t>Соц. хар. Материальная помощь в связи с уходом на пенсию</t>
  </si>
  <si>
    <t>1.3.5</t>
  </si>
  <si>
    <t>2.09.43</t>
  </si>
  <si>
    <t>Выплаты по коллективному договору</t>
  </si>
  <si>
    <t>1.3.6</t>
  </si>
  <si>
    <t>Соц. хар. Материальная помощь к ежегодному отпуску</t>
  </si>
  <si>
    <t>1.3.7</t>
  </si>
  <si>
    <t>2.09.44</t>
  </si>
  <si>
    <t>1.3.8</t>
  </si>
  <si>
    <t>2.09.45</t>
  </si>
  <si>
    <t>Соц. хар. Выплаты за звания</t>
  </si>
  <si>
    <t>1.3.9</t>
  </si>
  <si>
    <t>2.09.46</t>
  </si>
  <si>
    <t>Соц. хар. Компенсации работникам находящимся в отпуске по уходу за ребенком</t>
  </si>
  <si>
    <t>1.3.10</t>
  </si>
  <si>
    <t>2.09.47</t>
  </si>
  <si>
    <t>Соц. хар. Материальная помощь по рождению ребенка</t>
  </si>
  <si>
    <t>1.3.11</t>
  </si>
  <si>
    <t>2.09.48</t>
  </si>
  <si>
    <t>Соц. хар. Материальная помощь при призыве на военную службу</t>
  </si>
  <si>
    <t>1.3.12</t>
  </si>
  <si>
    <t>2.09.49</t>
  </si>
  <si>
    <t>Соц. хар. Ежемесячная материальная помощь неработающим пенсионерам</t>
  </si>
  <si>
    <t>1.3.13</t>
  </si>
  <si>
    <t>2.09.50</t>
  </si>
  <si>
    <t>Соц.хар. Расходы на оплату путевок на лечение</t>
  </si>
  <si>
    <t>1.3.14</t>
  </si>
  <si>
    <t>2.09.51</t>
  </si>
  <si>
    <t>Соц. хар. Разовая материальная помощь</t>
  </si>
  <si>
    <t>1.3.15</t>
  </si>
  <si>
    <t>2.09.52</t>
  </si>
  <si>
    <t>Соц. хар. Материальная помощь в связи со смертью</t>
  </si>
  <si>
    <t>1.3.16</t>
  </si>
  <si>
    <t>2.09.53</t>
  </si>
  <si>
    <t xml:space="preserve"> Страховые взносы и страховые отчисления 
от ПВ и соц. хар.</t>
  </si>
  <si>
    <t>1.4.</t>
  </si>
  <si>
    <t>Ремонт основных фондов</t>
  </si>
  <si>
    <t>1.4.1.</t>
  </si>
  <si>
    <t>капитальный и текущий ремонт по основному виду деятельности, в т.ч.</t>
  </si>
  <si>
    <t>56</t>
  </si>
  <si>
    <t>1.4.1.1</t>
  </si>
  <si>
    <t xml:space="preserve">2.07.02.01    </t>
  </si>
  <si>
    <t>Ремонт капитальный производственных объектов (стор.орг.)</t>
  </si>
  <si>
    <t>Капитальный и тек. ремонт э/сетей (стор. орг.)</t>
  </si>
  <si>
    <t>57</t>
  </si>
  <si>
    <t>1.4.1.2</t>
  </si>
  <si>
    <t>2.07.02.03</t>
  </si>
  <si>
    <t>Ремонт капитальный административных зданий (стор. орг.)</t>
  </si>
  <si>
    <t xml:space="preserve">Капитальный и текущий ремонт  зданий (стор. орг.) </t>
  </si>
  <si>
    <t>58</t>
  </si>
  <si>
    <t>1.4.1.3</t>
  </si>
  <si>
    <t>2.07.02.04</t>
  </si>
  <si>
    <t>Ремонт текущий административных зданий (стор. орг.)</t>
  </si>
  <si>
    <t>59</t>
  </si>
  <si>
    <t>1.4.1.4</t>
  </si>
  <si>
    <t>2.07.02.05</t>
  </si>
  <si>
    <t>Ремонт капитальный оборудования (стор. орг.)</t>
  </si>
  <si>
    <t xml:space="preserve">Капитальный и текущий ремонт силовых трансформаторов (стор. орг.) </t>
  </si>
  <si>
    <t>60</t>
  </si>
  <si>
    <t>1.4.1.5</t>
  </si>
  <si>
    <t>2.07.02.06</t>
  </si>
  <si>
    <t>Ремонт текущий оборудования (стор. орг.)</t>
  </si>
  <si>
    <t xml:space="preserve">Капитальный и текущий ремонт зданий ТП (стор. орг.) </t>
  </si>
  <si>
    <t>1.4.2.</t>
  </si>
  <si>
    <t>прочие ремонты:</t>
  </si>
  <si>
    <t>61</t>
  </si>
  <si>
    <t>1.4.2.1</t>
  </si>
  <si>
    <t>2.07.02.02</t>
  </si>
  <si>
    <t>Ремонт текущий производственных объектов (стор. орг.)</t>
  </si>
  <si>
    <t>обрезка деревьев (стор. орг.)</t>
  </si>
  <si>
    <t>62</t>
  </si>
  <si>
    <t>1.4.2.2</t>
  </si>
  <si>
    <t xml:space="preserve">2.07.02.07    </t>
  </si>
  <si>
    <t>Ремонт автотранспорта (стор. орг.)</t>
  </si>
  <si>
    <t>ремонт автотранспорта (стор. орг.)</t>
  </si>
  <si>
    <t>63</t>
  </si>
  <si>
    <t>1.4.2.3</t>
  </si>
  <si>
    <t>2.07.02.08</t>
  </si>
  <si>
    <t>Ремонт средств связи (стор. орг.)</t>
  </si>
  <si>
    <t>ремонт средств связи (стор. орг.)</t>
  </si>
  <si>
    <t>64</t>
  </si>
  <si>
    <t>1.4.2.4</t>
  </si>
  <si>
    <t>2.07.02.09</t>
  </si>
  <si>
    <t>Ремонт ГПМ (стор. орг.)</t>
  </si>
  <si>
    <t>ремонт ГПМ  (стор.орг.)</t>
  </si>
  <si>
    <t>65</t>
  </si>
  <si>
    <t>1.4.2.5</t>
  </si>
  <si>
    <t xml:space="preserve">2.07.02.10    </t>
  </si>
  <si>
    <t>Ремонт и установка приборов учета э/э, измерительного оборудования (стор. орг.)</t>
  </si>
  <si>
    <t>ремонт приборов учета э/эн. (стор. орг.)</t>
  </si>
  <si>
    <t>66</t>
  </si>
  <si>
    <t>1.4.2.6</t>
  </si>
  <si>
    <t>2.07.02.11</t>
  </si>
  <si>
    <t>Ремонт оргтехники (стор. орг.)</t>
  </si>
  <si>
    <t>ремонт вычислительной и оргтехники (стор.организ.)</t>
  </si>
  <si>
    <t>67</t>
  </si>
  <si>
    <t>1.4.2.7</t>
  </si>
  <si>
    <t xml:space="preserve">2.07.02.12    </t>
  </si>
  <si>
    <t xml:space="preserve"> Ремонт мебели и быт. техники (стор.орг.)</t>
  </si>
  <si>
    <t>68</t>
  </si>
  <si>
    <t>1.4.2.8</t>
  </si>
  <si>
    <t>2.07.02.13</t>
  </si>
  <si>
    <t>Ремонт устройств РЗА</t>
  </si>
  <si>
    <t>электромонтажные работы подрядчиков</t>
  </si>
  <si>
    <t>1.5.</t>
  </si>
  <si>
    <t>Прочие расходы, всего, в том числе:</t>
  </si>
  <si>
    <t>1.5.1</t>
  </si>
  <si>
    <t>Оплата работ и услуг сторонних организаций</t>
  </si>
  <si>
    <t>1.5.1.1.</t>
  </si>
  <si>
    <t>Услуги связи</t>
  </si>
  <si>
    <t>69</t>
  </si>
  <si>
    <t>1.5.1.1.1</t>
  </si>
  <si>
    <t xml:space="preserve">2.07.03.01    </t>
  </si>
  <si>
    <t>Связь Сотовая</t>
  </si>
  <si>
    <t>сотовая связь</t>
  </si>
  <si>
    <t>70</t>
  </si>
  <si>
    <t>1.5.1.1.2</t>
  </si>
  <si>
    <t xml:space="preserve">2.07.03.02    </t>
  </si>
  <si>
    <t>Связь Услуги абонплаты</t>
  </si>
  <si>
    <t>услуги связи: Абонплата</t>
  </si>
  <si>
    <t>71</t>
  </si>
  <si>
    <t>1.5.1.1.3</t>
  </si>
  <si>
    <t xml:space="preserve">2.07.03.03    </t>
  </si>
  <si>
    <t>Связь Внутризоновая</t>
  </si>
  <si>
    <t>услуги связи: Внутризоновая связь</t>
  </si>
  <si>
    <t>72</t>
  </si>
  <si>
    <t>1.5.1.1.4</t>
  </si>
  <si>
    <t xml:space="preserve">2.07.03.04    </t>
  </si>
  <si>
    <t xml:space="preserve">Связь Междугородняя и международная </t>
  </si>
  <si>
    <t>услуги связи: Междугородняя и международная связь</t>
  </si>
  <si>
    <t>73</t>
  </si>
  <si>
    <t>1.5.1.1.5</t>
  </si>
  <si>
    <t xml:space="preserve">2.07.03.05    </t>
  </si>
  <si>
    <t xml:space="preserve">Связь Аренда, установка новых точек </t>
  </si>
  <si>
    <t>услуги связи: Аренда, установка новых точек связи</t>
  </si>
  <si>
    <t>74</t>
  </si>
  <si>
    <t>1.5.1.1.6</t>
  </si>
  <si>
    <t xml:space="preserve">2.07.03.06    </t>
  </si>
  <si>
    <t>Связь Интернет</t>
  </si>
  <si>
    <t>интернет</t>
  </si>
  <si>
    <t>75</t>
  </si>
  <si>
    <t>1.5.1.1.7</t>
  </si>
  <si>
    <t xml:space="preserve">2.07.03.07    </t>
  </si>
  <si>
    <t>Связь Радиочастоты</t>
  </si>
  <si>
    <t>радиочастоты</t>
  </si>
  <si>
    <t>76</t>
  </si>
  <si>
    <t>1.5.1.1.8</t>
  </si>
  <si>
    <t xml:space="preserve">2.07.03.08    </t>
  </si>
  <si>
    <t>Связь Радио</t>
  </si>
  <si>
    <t>радио</t>
  </si>
  <si>
    <t>77</t>
  </si>
  <si>
    <t>1.5.1.1.9</t>
  </si>
  <si>
    <t>2.07.03.09</t>
  </si>
  <si>
    <t>Связь IР-телефония</t>
  </si>
  <si>
    <t>прочие (IP-телефония)</t>
  </si>
  <si>
    <t>1.5.1.2.</t>
  </si>
  <si>
    <t>Расходы на услуги вневедомственной охраны</t>
  </si>
  <si>
    <t>Расходы на услуги вневедомственной охраны и коммунального хозяйства</t>
  </si>
  <si>
    <t>78</t>
  </si>
  <si>
    <t>1.5.1.2.1</t>
  </si>
  <si>
    <t>2.07.04.07</t>
  </si>
  <si>
    <t>Прочие услуги Охрана и сигнализация</t>
  </si>
  <si>
    <t>охрана и сигнализация</t>
  </si>
  <si>
    <t>1.5.1.3.</t>
  </si>
  <si>
    <t>Расходы на юридические и информационные услуги</t>
  </si>
  <si>
    <t>80</t>
  </si>
  <si>
    <t>1.5.1.3.1</t>
  </si>
  <si>
    <t>2.07.04.27</t>
  </si>
  <si>
    <t xml:space="preserve">Прочие услуги Информационно-вычислительное обслуживание </t>
  </si>
  <si>
    <t>информационно-вычислительное обслуживание</t>
  </si>
  <si>
    <t>1.5.1.3.2</t>
  </si>
  <si>
    <t>Прочие услуги Программное обеспечение</t>
  </si>
  <si>
    <t>программное обеспечение</t>
  </si>
  <si>
    <t>81</t>
  </si>
  <si>
    <t>1.5.1.3.3</t>
  </si>
  <si>
    <t>2.07.04.11</t>
  </si>
  <si>
    <t>Прочие услуги Юридические услуги</t>
  </si>
  <si>
    <t>юридические услуги и услуги по ведению реестра акционеров</t>
  </si>
  <si>
    <t>82</t>
  </si>
  <si>
    <t>1.5.1.3.4</t>
  </si>
  <si>
    <t>2.07.04.12</t>
  </si>
  <si>
    <t>Прочие услуги  нотариальных контор</t>
  </si>
  <si>
    <t>1.5.1.4.</t>
  </si>
  <si>
    <t>Расходы на аудиторские и консультационные услуги</t>
  </si>
  <si>
    <t>83</t>
  </si>
  <si>
    <t>1.5.1.4.1</t>
  </si>
  <si>
    <t>2.07.04.13</t>
  </si>
  <si>
    <t>Прочие услуги Консультационные услуги</t>
  </si>
  <si>
    <t>консультационные услуги</t>
  </si>
  <si>
    <t>84</t>
  </si>
  <si>
    <t>1.5.1.4.2</t>
  </si>
  <si>
    <t>2.07.04.10</t>
  </si>
  <si>
    <t>Прочие услуги Аудиторские услуги</t>
  </si>
  <si>
    <t>аудиторские услуги</t>
  </si>
  <si>
    <t>1.5.1.5.</t>
  </si>
  <si>
    <t>Прочие услуги сторонних организаций</t>
  </si>
  <si>
    <t>85</t>
  </si>
  <si>
    <t>1.5.1.5.1</t>
  </si>
  <si>
    <t>2.07.04.14</t>
  </si>
  <si>
    <t>Прочие услуги Содержание кассовых аппаратов (стор.орг.)</t>
  </si>
  <si>
    <t>содержание  касс. аппаратов (стор. орг.)</t>
  </si>
  <si>
    <t>Итого содержание кассовых аппаратов</t>
  </si>
  <si>
    <t>127</t>
  </si>
  <si>
    <t>1.5.1.6.</t>
  </si>
  <si>
    <t>2.07.04.46</t>
  </si>
  <si>
    <t>Прочие услуги Сертификация качества э/эн</t>
  </si>
  <si>
    <t>Расходы на сертификацию</t>
  </si>
  <si>
    <t>86</t>
  </si>
  <si>
    <t>1.5.1.5.2</t>
  </si>
  <si>
    <t xml:space="preserve">2.07.04.15    </t>
  </si>
  <si>
    <t>Прочие услуги Поверка изм. Приборов</t>
  </si>
  <si>
    <t>поверка изм. приборов</t>
  </si>
  <si>
    <t>87</t>
  </si>
  <si>
    <t>1.5.1.5.3</t>
  </si>
  <si>
    <t xml:space="preserve">2.07.04.17  </t>
  </si>
  <si>
    <t>Прочие услуги Испытание и наладка оборудования</t>
  </si>
  <si>
    <t>ремонт, наладка, испытания высоковольтных выключателей</t>
  </si>
  <si>
    <t>88</t>
  </si>
  <si>
    <t>1.5.1.5.4</t>
  </si>
  <si>
    <t>2.07.04.18</t>
  </si>
  <si>
    <t>Прочие услуги Аттестация электротехнических лабораторий и высоковольтные испытания сторонними организациями</t>
  </si>
  <si>
    <t>аттестация электротехнических лабораторий и высоковольтных испытаний сторонними организациями</t>
  </si>
  <si>
    <t>90</t>
  </si>
  <si>
    <t>1.5.1.5.6</t>
  </si>
  <si>
    <t>2.07.04.20</t>
  </si>
  <si>
    <t>Прочие услуги Экспертиза ГПМ (стор. орг.)</t>
  </si>
  <si>
    <t>экспертиза ГПМ(стор.орган.)</t>
  </si>
  <si>
    <t>92</t>
  </si>
  <si>
    <t>1.5.1.5.8</t>
  </si>
  <si>
    <t>2.07.04.22</t>
  </si>
  <si>
    <t>Прочие услуги Техническое освидетельствование оборудования специализированными организациями</t>
  </si>
  <si>
    <t>техническое освидетельствование оборудования специализированными организациями</t>
  </si>
  <si>
    <t>Итого поверка и сертификация, экспертиза оборудования</t>
  </si>
  <si>
    <t>79</t>
  </si>
  <si>
    <t>1.5.1.2.2</t>
  </si>
  <si>
    <t>2.07.04.08</t>
  </si>
  <si>
    <t>Прочие услуги Техническое обслуживание приборов пожарной безопасности</t>
  </si>
  <si>
    <t>техническое обслуживание приборов пожарной безопасности</t>
  </si>
  <si>
    <t>89</t>
  </si>
  <si>
    <t>1.5.1.5.5</t>
  </si>
  <si>
    <t>2.07.04.19</t>
  </si>
  <si>
    <t>Прочие услуги Техническое обслуживание и ремонт приборов безопасности (автотранспорт)</t>
  </si>
  <si>
    <t>техническое обслуживание и ремонт приборов безопасности (стор. орг.)</t>
  </si>
  <si>
    <t>91</t>
  </si>
  <si>
    <t>1.5.1.5.7</t>
  </si>
  <si>
    <t>2.07.04.21</t>
  </si>
  <si>
    <t>Прочие услуги Техническое обслуживание и ремонт устройств телемеханики</t>
  </si>
  <si>
    <t xml:space="preserve"> техническое обслуживание и ремонт устройств РЗА и телемеханики</t>
  </si>
  <si>
    <t>93</t>
  </si>
  <si>
    <t>1.5.1.5.9</t>
  </si>
  <si>
    <t>2.07.04.23</t>
  </si>
  <si>
    <t>Прочие услуги Обслуживание телевизионных программ</t>
  </si>
  <si>
    <t>обслуживание телевизионных программ</t>
  </si>
  <si>
    <t>94</t>
  </si>
  <si>
    <t>1.5.1.5.10</t>
  </si>
  <si>
    <t>2.07.04.24</t>
  </si>
  <si>
    <t>Прочие услуги Техобслуживание бытовой техники</t>
  </si>
  <si>
    <t>техобслуживание: Бытовой техники</t>
  </si>
  <si>
    <t>1.5.1.5.11</t>
  </si>
  <si>
    <t>Прочие услуги Техобслуживание орг. техники</t>
  </si>
  <si>
    <t>техобслуживание: Орг.техники</t>
  </si>
  <si>
    <t>96</t>
  </si>
  <si>
    <t>1.5.1.5.12</t>
  </si>
  <si>
    <t>2.07.04.26</t>
  </si>
  <si>
    <t>Прочие услуги Техобслуживание АИИСКУЭ</t>
  </si>
  <si>
    <t>техобслуживание: АИИС КУЭ</t>
  </si>
  <si>
    <t>Итого техобслуживание</t>
  </si>
  <si>
    <t>97</t>
  </si>
  <si>
    <t>1.5.1.5.13</t>
  </si>
  <si>
    <t>2.07.04.28</t>
  </si>
  <si>
    <t>Прочие услуги Мероприятия по охране окр.среды (ПДО,ПДВ и др.)</t>
  </si>
  <si>
    <t>мероприятия по охране окр. среды (ПДО, ПДВ и др.)</t>
  </si>
  <si>
    <t>98</t>
  </si>
  <si>
    <t>1.5.1.5.14</t>
  </si>
  <si>
    <t>2.07.04.29</t>
  </si>
  <si>
    <t>Прочие услуги Демеркуризация и утилизация отходов</t>
  </si>
  <si>
    <t>демеркуризация  и утилизация отходов</t>
  </si>
  <si>
    <t>99</t>
  </si>
  <si>
    <t>1.5.1.5.15</t>
  </si>
  <si>
    <t>2.07.04.30</t>
  </si>
  <si>
    <t>Прочие услуги Утилизация шин</t>
  </si>
  <si>
    <t>Итого мероприятия по охране окр.среды</t>
  </si>
  <si>
    <t>100</t>
  </si>
  <si>
    <t>1.5.1.5.16</t>
  </si>
  <si>
    <t>2.07.04.31</t>
  </si>
  <si>
    <t>Прочие услуги Реклама в СМИ</t>
  </si>
  <si>
    <t>прочие обязательные публикации в СМИ</t>
  </si>
  <si>
    <t>101</t>
  </si>
  <si>
    <t>1.5.1.5.17</t>
  </si>
  <si>
    <t>2.07.04.32</t>
  </si>
  <si>
    <t>Прочие услуги СМИ по размещению объявлений и предупреждений</t>
  </si>
  <si>
    <t xml:space="preserve"> услуги  по размещению объявлений и предупреждений</t>
  </si>
  <si>
    <t>Итого СМИ</t>
  </si>
  <si>
    <t>102</t>
  </si>
  <si>
    <t>1.5.1.5.18</t>
  </si>
  <si>
    <t>2.07.04.33</t>
  </si>
  <si>
    <t>Прочие услуги  Оформление  земельных участков</t>
  </si>
  <si>
    <t>межевание земельных участков</t>
  </si>
  <si>
    <t>103</t>
  </si>
  <si>
    <t>1.5.1.5.19</t>
  </si>
  <si>
    <t>2.07.04.34</t>
  </si>
  <si>
    <t>Прочие услуги  Оформление тех. документации</t>
  </si>
  <si>
    <t>оформление тех. документации</t>
  </si>
  <si>
    <t>104</t>
  </si>
  <si>
    <t>1.5.1.5.20</t>
  </si>
  <si>
    <t>2.07.04.35</t>
  </si>
  <si>
    <t>Прочие услуги Оценка имущества</t>
  </si>
  <si>
    <t>оценка имущества</t>
  </si>
  <si>
    <t>105</t>
  </si>
  <si>
    <t>1.5.1.5.21</t>
  </si>
  <si>
    <t>2.07.04.36</t>
  </si>
  <si>
    <t>Прочие услуги Регистрация прав собственности</t>
  </si>
  <si>
    <t>регистрация прав собственности</t>
  </si>
  <si>
    <t>Итого оформление и регистрация имущества</t>
  </si>
  <si>
    <t>106</t>
  </si>
  <si>
    <t>1.5.1.5.22</t>
  </si>
  <si>
    <t>2.07.04.37</t>
  </si>
  <si>
    <t>Прочие услуги сторонних организаций по улучшению условий труда</t>
  </si>
  <si>
    <t>услуги сторонних организаций по улучшению условий труда</t>
  </si>
  <si>
    <t>107</t>
  </si>
  <si>
    <t>1.5.1.5.23</t>
  </si>
  <si>
    <t>2.07.04.40</t>
  </si>
  <si>
    <t>Прочие услуги типографии</t>
  </si>
  <si>
    <t>услуги типографии: бланки</t>
  </si>
  <si>
    <t>108</t>
  </si>
  <si>
    <t>1.5.1.5.24</t>
  </si>
  <si>
    <t>2.07.04.41</t>
  </si>
  <si>
    <t>Прочие услуги по контрольному съему показаний приборов учета (осуществляемые физическими лицами)</t>
  </si>
  <si>
    <t>услуги по контрольному съему показаний приборов учета (осуществляемые физическими лицами)</t>
  </si>
  <si>
    <t>109</t>
  </si>
  <si>
    <t>1.5.1.5.25</t>
  </si>
  <si>
    <t>2.07.04.42</t>
  </si>
  <si>
    <t>Прочие услуги по договорам подряда</t>
  </si>
  <si>
    <t>110</t>
  </si>
  <si>
    <t>1.5.1.5.26</t>
  </si>
  <si>
    <t xml:space="preserve">2.07.04.43  </t>
  </si>
  <si>
    <t>Прочие услуги почты</t>
  </si>
  <si>
    <t xml:space="preserve">услуги почты </t>
  </si>
  <si>
    <t>111</t>
  </si>
  <si>
    <t>1.5.1.5.27</t>
  </si>
  <si>
    <t>2.07.04.44</t>
  </si>
  <si>
    <t>Прочие услуги Расчеты экспертизы нормативных потерь</t>
  </si>
  <si>
    <t>расчет и  экспертизы нормативных потерь</t>
  </si>
  <si>
    <t>112</t>
  </si>
  <si>
    <t>1.5.1.5.28</t>
  </si>
  <si>
    <t>2.07.04.45</t>
  </si>
  <si>
    <t>Прочие услуги Техосмотр а/тр</t>
  </si>
  <si>
    <t>техосмотр а/тр</t>
  </si>
  <si>
    <t>113</t>
  </si>
  <si>
    <t>1.5.1.5.29</t>
  </si>
  <si>
    <t>2.07.04.47</t>
  </si>
  <si>
    <t>прочие услуги сторонних организаций</t>
  </si>
  <si>
    <t>114</t>
  </si>
  <si>
    <t>1.5.1.5.30</t>
  </si>
  <si>
    <t>2.07.04.48</t>
  </si>
  <si>
    <t>Прочие услуги по доставке груза</t>
  </si>
  <si>
    <t>115</t>
  </si>
  <si>
    <t>1.5.1.5.31</t>
  </si>
  <si>
    <t>2.07.04.49</t>
  </si>
  <si>
    <t>Прочие услуги сторонних транспортных организаций</t>
  </si>
  <si>
    <t>услуги сторонних транспортных организаций</t>
  </si>
  <si>
    <t>116</t>
  </si>
  <si>
    <t>1.5.1.5.32</t>
  </si>
  <si>
    <t xml:space="preserve">2.07.04.50    </t>
  </si>
  <si>
    <t>Прочие услуги Информационные услуги по ГСМ</t>
  </si>
  <si>
    <t>оплата информационных услуг по топливу (обслуживание пластиковых карт по топливу)</t>
  </si>
  <si>
    <t>117</t>
  </si>
  <si>
    <t>1.5.1.5.33</t>
  </si>
  <si>
    <t xml:space="preserve">2.07.04.51  </t>
  </si>
  <si>
    <t>Прочие услуги по проведению периодических испытаний и инспекционного контроля</t>
  </si>
  <si>
    <t>118</t>
  </si>
  <si>
    <t>1.5.1.5.34</t>
  </si>
  <si>
    <t>2.07.04.52</t>
  </si>
  <si>
    <t>Прочие услуги по промышленной безопасности опаснопроизводственных объектов</t>
  </si>
  <si>
    <t>119</t>
  </si>
  <si>
    <t>1.5.1.5.35</t>
  </si>
  <si>
    <t>2.07.04.53</t>
  </si>
  <si>
    <t>Прочие услуги по приобретению дополнительной мощности от смежных сетевых организаций</t>
  </si>
  <si>
    <t>120</t>
  </si>
  <si>
    <t>1.5.1.5.36</t>
  </si>
  <si>
    <t>2.07.04.54</t>
  </si>
  <si>
    <t>Прочие услуги по энергетическому обследованию электросетевого комплекса и объектов</t>
  </si>
  <si>
    <t>энергетическое обследование электросетевого комплекса и объектов</t>
  </si>
  <si>
    <t>121</t>
  </si>
  <si>
    <t>1.5.1.5.37</t>
  </si>
  <si>
    <t>2.07.04.56</t>
  </si>
  <si>
    <t>Прочие услуги по подписке</t>
  </si>
  <si>
    <t>122</t>
  </si>
  <si>
    <t>1.5.1.5.38</t>
  </si>
  <si>
    <t>2.07.04.57</t>
  </si>
  <si>
    <t>Прочие услуги Взносы в некоммерческие предприятия СРО (строительство)</t>
  </si>
  <si>
    <t>123</t>
  </si>
  <si>
    <t>1.5.1.5.39</t>
  </si>
  <si>
    <t>2.07.04.58</t>
  </si>
  <si>
    <t>Прочие услуги  по госпошлине (кроме судебных издержек)</t>
  </si>
  <si>
    <t>расходы по имущественным вопросам(кроме судебных расходов)</t>
  </si>
  <si>
    <t>124</t>
  </si>
  <si>
    <t>1.5.1.5.40</t>
  </si>
  <si>
    <t>2.07.04.59</t>
  </si>
  <si>
    <t>Прочие услуги Членские взносы в некоммерческие предприятия СРО</t>
  </si>
  <si>
    <t>125</t>
  </si>
  <si>
    <t>1.5.1.5.41</t>
  </si>
  <si>
    <t>2.07.04.60</t>
  </si>
  <si>
    <t xml:space="preserve">Прочие услуги по техническому обслуживанию устройств РЗА </t>
  </si>
  <si>
    <t>126</t>
  </si>
  <si>
    <t>1.5.1.5.42</t>
  </si>
  <si>
    <t>2.09.13</t>
  </si>
  <si>
    <t>ПР Участие в форумах, совещаниях, конференциях</t>
  </si>
  <si>
    <t>семинары, совещания, конференции, консультации</t>
  </si>
  <si>
    <t>1.5.1.5.43</t>
  </si>
  <si>
    <t>1.5.1.5.44</t>
  </si>
  <si>
    <t>1.5.1.5.45</t>
  </si>
  <si>
    <t>Страховые взносы  и отчисления от ПВ и соц. хар.</t>
  </si>
  <si>
    <t>Итого прочие услуги</t>
  </si>
  <si>
    <t>1.5.1.7.</t>
  </si>
  <si>
    <t>Расходы на командировки и представительские</t>
  </si>
  <si>
    <t>128</t>
  </si>
  <si>
    <t>1.5.1.7.1</t>
  </si>
  <si>
    <t xml:space="preserve">2.04.01       </t>
  </si>
  <si>
    <t>Командировочные расходы Суточные</t>
  </si>
  <si>
    <t>командировочные расходы - произв. поездки  всего</t>
  </si>
  <si>
    <t>129</t>
  </si>
  <si>
    <t>1.5.1.7.2</t>
  </si>
  <si>
    <t xml:space="preserve">2.04.02       </t>
  </si>
  <si>
    <t>Командировочные расходы Затраты на проезд</t>
  </si>
  <si>
    <t>130</t>
  </si>
  <si>
    <t>1.5.1.7.3</t>
  </si>
  <si>
    <t xml:space="preserve">2.04.03       </t>
  </si>
  <si>
    <t>Командировочные расходы Затраты на проживание</t>
  </si>
  <si>
    <t>131</t>
  </si>
  <si>
    <t>1.5.1.7.4</t>
  </si>
  <si>
    <t>2.04.04</t>
  </si>
  <si>
    <t>Командировочные расходы  Иные платежи и сборы</t>
  </si>
  <si>
    <t>1.5.1.8.</t>
  </si>
  <si>
    <t>Расходы на подготовку кадров</t>
  </si>
  <si>
    <t>132</t>
  </si>
  <si>
    <t>1.5.1.7.5</t>
  </si>
  <si>
    <t>2.04.06</t>
  </si>
  <si>
    <t>Расходы на сотр. Подготовка кадров (обязательное обучение)</t>
  </si>
  <si>
    <t>подготовка кадров (обязательное обучение) - командировочные расходы</t>
  </si>
  <si>
    <t>134</t>
  </si>
  <si>
    <t>1.5.1.8.1</t>
  </si>
  <si>
    <t>2.04.07</t>
  </si>
  <si>
    <t>Расходы на сотр. Повышение квалификации</t>
  </si>
  <si>
    <t>повышение квалификации</t>
  </si>
  <si>
    <t>1.5.1.9.</t>
  </si>
  <si>
    <t>Расходы на обеспечение нормальных условий труда и мер по технике безопасности</t>
  </si>
  <si>
    <t>135</t>
  </si>
  <si>
    <t>1.5.1.9.1</t>
  </si>
  <si>
    <t>2.04.12</t>
  </si>
  <si>
    <t>Расходы на сотр. Медицинский осмотр водителей(предрейсовый)</t>
  </si>
  <si>
    <t>медицинский осмотр водителей (предрейсовый)</t>
  </si>
  <si>
    <t>136</t>
  </si>
  <si>
    <t>1.5.1.9.2</t>
  </si>
  <si>
    <t>2.04.13</t>
  </si>
  <si>
    <t>Расходы на сотр. Медицинский осмотр водителей (периодический)</t>
  </si>
  <si>
    <t>медосмотр водителей периодический и при  поступлении на работу</t>
  </si>
  <si>
    <t>137</t>
  </si>
  <si>
    <t>1.5.1.9.3</t>
  </si>
  <si>
    <t>2.04.14</t>
  </si>
  <si>
    <t>Расходы на сотр. Медицинский осмотр при поступлении на работу</t>
  </si>
  <si>
    <t>медицинский осмотр сотрудников</t>
  </si>
  <si>
    <t>138</t>
  </si>
  <si>
    <t>1.5.1.9.4</t>
  </si>
  <si>
    <t>2.04.15</t>
  </si>
  <si>
    <t>Расходы на сотр. Медицинский осмотр сотрудников (периодический)</t>
  </si>
  <si>
    <t>139</t>
  </si>
  <si>
    <t>1.5.1.9.5</t>
  </si>
  <si>
    <t>2.07.04.38</t>
  </si>
  <si>
    <t>Прочие услуги Специальная оценка условий труда</t>
  </si>
  <si>
    <t>аттестация рабочих мест</t>
  </si>
  <si>
    <t>1.5.1.10.</t>
  </si>
  <si>
    <t>Расходы на страхование</t>
  </si>
  <si>
    <t>140</t>
  </si>
  <si>
    <t>1.5.1.10.1</t>
  </si>
  <si>
    <t>2.04.16</t>
  </si>
  <si>
    <t>Расходы на сотр. по добровольному страхованию работников</t>
  </si>
  <si>
    <t>расходы по   страхованию работников</t>
  </si>
  <si>
    <t>141</t>
  </si>
  <si>
    <t>1.5.1.10.2</t>
  </si>
  <si>
    <t xml:space="preserve">2.07.04.01    </t>
  </si>
  <si>
    <t>Прочие услуги Страхование зданий, сооружений и передаточных устройств</t>
  </si>
  <si>
    <t>страхование зданий, сооружений</t>
  </si>
  <si>
    <t>142</t>
  </si>
  <si>
    <t>1.5.1.10.3</t>
  </si>
  <si>
    <t xml:space="preserve">2.07.04.02   </t>
  </si>
  <si>
    <t>Прочие услуги Обязательное страхование а/тр (ОСАГО)</t>
  </si>
  <si>
    <t>обязательное страхование а/тр (ОСАГО)</t>
  </si>
  <si>
    <t>143</t>
  </si>
  <si>
    <t>1.5.1.10.4</t>
  </si>
  <si>
    <t xml:space="preserve">2.07.04.03 </t>
  </si>
  <si>
    <t>Прочие услуги Добровольное страхование автотранспорта</t>
  </si>
  <si>
    <t>добровольное страхование автотранспорта</t>
  </si>
  <si>
    <t>144</t>
  </si>
  <si>
    <t>1.5.1.10.5</t>
  </si>
  <si>
    <t>2.07.04.04</t>
  </si>
  <si>
    <t>Прочие услуги Страхование особо опасных объектов</t>
  </si>
  <si>
    <t>страхование особо опасных объектов</t>
  </si>
  <si>
    <t>145</t>
  </si>
  <si>
    <t>1.5.1.10.6</t>
  </si>
  <si>
    <t>2.07.04.05</t>
  </si>
  <si>
    <t>Прочие услуги Страхование АИИСКУЭ</t>
  </si>
  <si>
    <t>страхование объектов АИИС КУЭ</t>
  </si>
  <si>
    <t>146</t>
  </si>
  <si>
    <t>1.5.1.10.7</t>
  </si>
  <si>
    <t>2.07.04.06</t>
  </si>
  <si>
    <t>Прочие услуги Страхование рисков ответственности (конкурсы)</t>
  </si>
  <si>
    <t>страхование рисков ответственности</t>
  </si>
  <si>
    <t>1.5.1.11.</t>
  </si>
  <si>
    <t xml:space="preserve"> Прочие расходы по работникам </t>
  </si>
  <si>
    <t>147</t>
  </si>
  <si>
    <t>1.5.1.11.1</t>
  </si>
  <si>
    <t>2.04.08</t>
  </si>
  <si>
    <t>Расходы на сотр. Проездные билеты</t>
  </si>
  <si>
    <t>проездные билеты</t>
  </si>
  <si>
    <t>148</t>
  </si>
  <si>
    <t>1.5.1.11.2</t>
  </si>
  <si>
    <t xml:space="preserve">2.04.09    </t>
  </si>
  <si>
    <t>Расходы на сотр. Компенсация за использование личного а/тр</t>
  </si>
  <si>
    <t>компенсация за использование личного а/тр</t>
  </si>
  <si>
    <t>149</t>
  </si>
  <si>
    <t>1.5.1.11.3</t>
  </si>
  <si>
    <t xml:space="preserve">2.04.10       </t>
  </si>
  <si>
    <t>Расходы на сотр. Компенсационные выплаты (охрана труда)</t>
  </si>
  <si>
    <t>150</t>
  </si>
  <si>
    <t>1.5.1.11.4</t>
  </si>
  <si>
    <t>2.04.11</t>
  </si>
  <si>
    <t>Расходы на сотр. Расходы по больничному листу за счет работодателя</t>
  </si>
  <si>
    <t>расходы по больничному листу за счет работодателя</t>
  </si>
  <si>
    <t>1.5.1.11.5</t>
  </si>
  <si>
    <t>2.04.17</t>
  </si>
  <si>
    <t>ЗП Расходы на оплату жилья сотрудников</t>
  </si>
  <si>
    <t>1.5.1.12.</t>
  </si>
  <si>
    <t xml:space="preserve"> Коммунальные платежи </t>
  </si>
  <si>
    <t>151</t>
  </si>
  <si>
    <t>1.5.1.12.1</t>
  </si>
  <si>
    <t xml:space="preserve">2.07.01.03    </t>
  </si>
  <si>
    <t>Ком. услуги Водопотребление</t>
  </si>
  <si>
    <t>водопотребление, канализация</t>
  </si>
  <si>
    <t>152</t>
  </si>
  <si>
    <t>1.5.1.12.2</t>
  </si>
  <si>
    <t xml:space="preserve">2.07.01.04    </t>
  </si>
  <si>
    <t>Ком. услуги Вывоз мусора</t>
  </si>
  <si>
    <t>вывоз мусора</t>
  </si>
  <si>
    <t>153</t>
  </si>
  <si>
    <t>1.5.1.12.3</t>
  </si>
  <si>
    <t>2.07.01.05</t>
  </si>
  <si>
    <t>Ком. услуги Оплата за газ (хоз. нужды, отопление)</t>
  </si>
  <si>
    <t>оплата за газ (хоз. нужды, отопление)</t>
  </si>
  <si>
    <t>154</t>
  </si>
  <si>
    <t>1.5.1.12.4</t>
  </si>
  <si>
    <t>2.07.04.09</t>
  </si>
  <si>
    <t>Прочие услуги по оперативно-техническому обслуживанию имущества</t>
  </si>
  <si>
    <t>техническое обслуживание приборов и оборудования зданий, сооружений (стор.орг.)</t>
  </si>
  <si>
    <t>155</t>
  </si>
  <si>
    <t>1.5.1.13.1</t>
  </si>
  <si>
    <t>2.07.04.39</t>
  </si>
  <si>
    <t>Прочие услуги  Дератизация помещений</t>
  </si>
  <si>
    <t>дератизация помещений</t>
  </si>
  <si>
    <t>1.5.1.13.</t>
  </si>
  <si>
    <t xml:space="preserve"> Прочие расходы Представительские</t>
  </si>
  <si>
    <t xml:space="preserve"> Прочие расходы </t>
  </si>
  <si>
    <t>156</t>
  </si>
  <si>
    <t>1.5.1.13.2</t>
  </si>
  <si>
    <t>2.08.05</t>
  </si>
  <si>
    <t>Прочие расходы Представительские</t>
  </si>
  <si>
    <t>представительские расходы</t>
  </si>
  <si>
    <t>Итого Проценты к уплате</t>
  </si>
  <si>
    <t>157-158</t>
  </si>
  <si>
    <t>1.6.</t>
  </si>
  <si>
    <t>2.09.01</t>
  </si>
  <si>
    <t>Проценты к уплате (долгосрочные обязательства)</t>
  </si>
  <si>
    <t>Проценты за пользование кредитом</t>
  </si>
  <si>
    <t>2.09.02</t>
  </si>
  <si>
    <t>Проценты к уплате (краткосрочные обязательства)</t>
  </si>
  <si>
    <t>159</t>
  </si>
  <si>
    <t>1.7.</t>
  </si>
  <si>
    <t xml:space="preserve">2.07.01.01    </t>
  </si>
  <si>
    <t>Ком. услуги Расходы на электроэнергию (собственные нужды)</t>
  </si>
  <si>
    <t>Электроэнергия на хозяйственные нужды</t>
  </si>
  <si>
    <t>ИТОГО подконтрольных расходов</t>
  </si>
  <si>
    <t>160</t>
  </si>
  <si>
    <t>2.1.</t>
  </si>
  <si>
    <t>2.03.14</t>
  </si>
  <si>
    <t xml:space="preserve">Страховые взносы </t>
  </si>
  <si>
    <t>Отчисления на социальные нужды</t>
  </si>
  <si>
    <t>161</t>
  </si>
  <si>
    <t>2.2.</t>
  </si>
  <si>
    <t>2.02.01</t>
  </si>
  <si>
    <t>Амортизацонные отчисления</t>
  </si>
  <si>
    <t>Амортизационные отчисления</t>
  </si>
  <si>
    <t>2.3.</t>
  </si>
  <si>
    <t>Плата за аренду имущества и лизинг</t>
  </si>
  <si>
    <t>162</t>
  </si>
  <si>
    <t>2.3.1</t>
  </si>
  <si>
    <t xml:space="preserve">2.05.01       </t>
  </si>
  <si>
    <t>Лизинг АИИСКУЭ</t>
  </si>
  <si>
    <t>лизинг АИИС КУЭ</t>
  </si>
  <si>
    <t>163</t>
  </si>
  <si>
    <t>2.3.2</t>
  </si>
  <si>
    <t xml:space="preserve">2.05.02       </t>
  </si>
  <si>
    <t>Лизинг имущественного комплекса</t>
  </si>
  <si>
    <t>лизинг имущественного комплекса</t>
  </si>
  <si>
    <t>164</t>
  </si>
  <si>
    <t>2.3.3</t>
  </si>
  <si>
    <t xml:space="preserve">2.05.03       </t>
  </si>
  <si>
    <t>Лизинг автотранспорта</t>
  </si>
  <si>
    <t>лизинг автотранспорта</t>
  </si>
  <si>
    <t>165</t>
  </si>
  <si>
    <t>2.3.4</t>
  </si>
  <si>
    <t>2.05.04</t>
  </si>
  <si>
    <t>Лизинг АИСДУ</t>
  </si>
  <si>
    <t>лизинг  АИСДУ</t>
  </si>
  <si>
    <t>166</t>
  </si>
  <si>
    <t>2.3.5</t>
  </si>
  <si>
    <t xml:space="preserve">2.05.05       </t>
  </si>
  <si>
    <t>Аренда сетевых объектов (сторонние орг-ции)</t>
  </si>
  <si>
    <t>аренда сетевых объектов (сторонние орг-ции)</t>
  </si>
  <si>
    <t>167</t>
  </si>
  <si>
    <t>2.3.6</t>
  </si>
  <si>
    <t xml:space="preserve">2.05.06       </t>
  </si>
  <si>
    <t>Аренда автотранспортных средств</t>
  </si>
  <si>
    <t>аренда автотранспортных средств</t>
  </si>
  <si>
    <t>168</t>
  </si>
  <si>
    <t>2.3.7</t>
  </si>
  <si>
    <t xml:space="preserve">2.05.07       </t>
  </si>
  <si>
    <t>Аренда земельных участков</t>
  </si>
  <si>
    <t>аренда земельных участков</t>
  </si>
  <si>
    <t>169</t>
  </si>
  <si>
    <t>2.3.8</t>
  </si>
  <si>
    <t xml:space="preserve">2.05.08       </t>
  </si>
  <si>
    <t>Аренда прочего имущества (сторонние орг-ции)</t>
  </si>
  <si>
    <t>аренда прочего имущества (сторонние орг-ции)</t>
  </si>
  <si>
    <t>170</t>
  </si>
  <si>
    <t>2.3.9</t>
  </si>
  <si>
    <t xml:space="preserve">2.05.09       </t>
  </si>
  <si>
    <t>Аренда программного обеспечения</t>
  </si>
  <si>
    <t>аренда программного обеспечения</t>
  </si>
  <si>
    <t>171</t>
  </si>
  <si>
    <t>2.3.10</t>
  </si>
  <si>
    <t xml:space="preserve">2.05.10       </t>
  </si>
  <si>
    <t>Аренда компьютеров и оргтехники</t>
  </si>
  <si>
    <t>аренда компьютеров</t>
  </si>
  <si>
    <t>172</t>
  </si>
  <si>
    <t>2.3.11</t>
  </si>
  <si>
    <t>2.05.11</t>
  </si>
  <si>
    <t>Аренда муниципального имущественного комплекса</t>
  </si>
  <si>
    <t>аренда муниципального имущественного комплекса</t>
  </si>
  <si>
    <t>173</t>
  </si>
  <si>
    <t>2.3.12</t>
  </si>
  <si>
    <t>2.05.12</t>
  </si>
  <si>
    <t>Аренда (коммунальные услуги)</t>
  </si>
  <si>
    <t>2.4.</t>
  </si>
  <si>
    <t>Налоги</t>
  </si>
  <si>
    <t>Налоги,всего</t>
  </si>
  <si>
    <t>174</t>
  </si>
  <si>
    <t>2.4.1</t>
  </si>
  <si>
    <t xml:space="preserve">2.08.01     </t>
  </si>
  <si>
    <t>Прочие расходы Налог на землю</t>
  </si>
  <si>
    <t>Земельный налог</t>
  </si>
  <si>
    <t>175</t>
  </si>
  <si>
    <t>2.4.2</t>
  </si>
  <si>
    <t>2.08.02</t>
  </si>
  <si>
    <t>Прочие расходы Налог на транспорт</t>
  </si>
  <si>
    <t>Транспортный налог</t>
  </si>
  <si>
    <t>176</t>
  </si>
  <si>
    <t>2.4.3</t>
  </si>
  <si>
    <t>2.08.04</t>
  </si>
  <si>
    <t>Прочие расходы Налог на имущество</t>
  </si>
  <si>
    <t>Налог на имущество</t>
  </si>
  <si>
    <t>177</t>
  </si>
  <si>
    <t>2.4.4</t>
  </si>
  <si>
    <t>2.08.03</t>
  </si>
  <si>
    <t>Прочие расходы Сбор за негативное воздействие на окружающую среду</t>
  </si>
  <si>
    <t>Прочие налоги и сборы</t>
  </si>
  <si>
    <t>2.5</t>
  </si>
  <si>
    <t>Итого налог на прибыль</t>
  </si>
  <si>
    <t>178</t>
  </si>
  <si>
    <t>2.5.1</t>
  </si>
  <si>
    <t xml:space="preserve">2.11.01       </t>
  </si>
  <si>
    <t>Налог на прибыль текущего года</t>
  </si>
  <si>
    <t>Налог на прибыль</t>
  </si>
  <si>
    <t>219</t>
  </si>
  <si>
    <t>2.5.2</t>
  </si>
  <si>
    <t xml:space="preserve">2.11.02       </t>
  </si>
  <si>
    <t>Отложенные налоговые обязательства</t>
  </si>
  <si>
    <t>220</t>
  </si>
  <si>
    <t>2.5.3</t>
  </si>
  <si>
    <t>2.11.03</t>
  </si>
  <si>
    <t>Отложенные налоговые активы</t>
  </si>
  <si>
    <t>221</t>
  </si>
  <si>
    <t>2.5.4</t>
  </si>
  <si>
    <t>2.11.04</t>
  </si>
  <si>
    <t>Налоговые санкции</t>
  </si>
  <si>
    <t>222</t>
  </si>
  <si>
    <t>2.5.5</t>
  </si>
  <si>
    <t>2.11.05</t>
  </si>
  <si>
    <t>Налог на прибыль прошлых периодов</t>
  </si>
  <si>
    <t>223</t>
  </si>
  <si>
    <t>2.5.6</t>
  </si>
  <si>
    <t>2.11.06</t>
  </si>
  <si>
    <t xml:space="preserve">НДС </t>
  </si>
  <si>
    <t>Расходыв в виде сумм НДС</t>
  </si>
  <si>
    <t>224</t>
  </si>
  <si>
    <t>2.5.7</t>
  </si>
  <si>
    <t>2.11.07</t>
  </si>
  <si>
    <t>Постоянные налоговые обязательства</t>
  </si>
  <si>
    <t>2.6.</t>
  </si>
  <si>
    <t>Выпадающие доходы</t>
  </si>
  <si>
    <t>Выпадающие доходы/некомпенсированные затраты</t>
  </si>
  <si>
    <t>2.7.</t>
  </si>
  <si>
    <t>Капитальные вложения производственного характера*</t>
  </si>
  <si>
    <t>2.8.</t>
  </si>
  <si>
    <t>Теплоэнергия на хозяйственные нужды</t>
  </si>
  <si>
    <t>179</t>
  </si>
  <si>
    <t>2.8.1</t>
  </si>
  <si>
    <t xml:space="preserve">2.07.01.02    </t>
  </si>
  <si>
    <t>Ком. услуги Отопление (теплоэнергия), ГВС</t>
  </si>
  <si>
    <t>Теплоэнергия</t>
  </si>
  <si>
    <t>180</t>
  </si>
  <si>
    <t>2.9.</t>
  </si>
  <si>
    <t>2.07.04.55</t>
  </si>
  <si>
    <t>Прочие услуги по НИР</t>
  </si>
  <si>
    <t>Повышение энергоэффективности</t>
  </si>
  <si>
    <t>2.10.</t>
  </si>
  <si>
    <t>Внереализационные расходы</t>
  </si>
  <si>
    <t>181</t>
  </si>
  <si>
    <t>2.10.1</t>
  </si>
  <si>
    <t xml:space="preserve">2.09.04       </t>
  </si>
  <si>
    <t>ПР по услугам кредитных организаций</t>
  </si>
  <si>
    <t>Расходы на услуги банков</t>
  </si>
  <si>
    <t>2.10.2</t>
  </si>
  <si>
    <t>ПР по созданию резерва по сомнительным долгам</t>
  </si>
  <si>
    <t>Расходы на созданию резервов по сомнительным долгам</t>
  </si>
  <si>
    <t>2.10.3</t>
  </si>
  <si>
    <t>ПР по резерву под обесценение финансовых вложений</t>
  </si>
  <si>
    <t>Расходы на создание резервов под обесценение финансовых вложений</t>
  </si>
  <si>
    <t>184</t>
  </si>
  <si>
    <t>2.10.4</t>
  </si>
  <si>
    <t xml:space="preserve">2.09.03       </t>
  </si>
  <si>
    <t>ПР Инкассация</t>
  </si>
  <si>
    <t>Прочие банковские услуги</t>
  </si>
  <si>
    <t>2.11.</t>
  </si>
  <si>
    <t>Прочие расходы</t>
  </si>
  <si>
    <t>Прочие внереализационные расходы</t>
  </si>
  <si>
    <t>185</t>
  </si>
  <si>
    <t>2.11.1</t>
  </si>
  <si>
    <t>2.09.19</t>
  </si>
  <si>
    <t>ПР Другие обоснованные расходы</t>
  </si>
  <si>
    <t>186</t>
  </si>
  <si>
    <t>2.11.2</t>
  </si>
  <si>
    <t xml:space="preserve">2.09.05       </t>
  </si>
  <si>
    <t>ПР связанные с предоставлением имущества в аренду</t>
  </si>
  <si>
    <t>Расходы от услуг по субаренде, аренде</t>
  </si>
  <si>
    <t>187</t>
  </si>
  <si>
    <t>2.11.3</t>
  </si>
  <si>
    <t xml:space="preserve">2.09.06    </t>
  </si>
  <si>
    <t>ПР от реализации прочих активов</t>
  </si>
  <si>
    <t>Расходы от выбытия прочих активов</t>
  </si>
  <si>
    <t>188</t>
  </si>
  <si>
    <t>2.11.4</t>
  </si>
  <si>
    <t>2.09.07</t>
  </si>
  <si>
    <t>ПР от реализации ОС</t>
  </si>
  <si>
    <t>Расходы от реализации ОС</t>
  </si>
  <si>
    <t>189</t>
  </si>
  <si>
    <t>2.11.5</t>
  </si>
  <si>
    <t>2.09.08</t>
  </si>
  <si>
    <t>ПР от реализации акций</t>
  </si>
  <si>
    <t>Расходы от реализации ценных бумаг</t>
  </si>
  <si>
    <t>190</t>
  </si>
  <si>
    <t>2.11.6</t>
  </si>
  <si>
    <t xml:space="preserve">2.09.09       </t>
  </si>
  <si>
    <t>ПР от реализации векселей</t>
  </si>
  <si>
    <t>191</t>
  </si>
  <si>
    <t>2.11.7</t>
  </si>
  <si>
    <t>2.09.10</t>
  </si>
  <si>
    <t>ПР по списанию ОС</t>
  </si>
  <si>
    <t>Расходы по выбытию ОС</t>
  </si>
  <si>
    <t>192</t>
  </si>
  <si>
    <t>2.11.8</t>
  </si>
  <si>
    <t>2.09.11</t>
  </si>
  <si>
    <t>ПР на услуги регистратора</t>
  </si>
  <si>
    <t>Расходы по пров. собрания акционеров, услуги реестродержателя</t>
  </si>
  <si>
    <t>194</t>
  </si>
  <si>
    <t>2.11.9</t>
  </si>
  <si>
    <t>2.09.14</t>
  </si>
  <si>
    <t>ПР Штрафы, пени по договорам  от оказания услуг по технологическому присоединению</t>
  </si>
  <si>
    <t>Расходы в виде штрафов, пеней по договорным обязательствам</t>
  </si>
  <si>
    <t>195</t>
  </si>
  <si>
    <t>2.11.10</t>
  </si>
  <si>
    <t>2.09.15</t>
  </si>
  <si>
    <t>ПР по возмещению причиненного ущерба</t>
  </si>
  <si>
    <t>196</t>
  </si>
  <si>
    <t>2.11.11</t>
  </si>
  <si>
    <t>2.09.16</t>
  </si>
  <si>
    <t>ПР Убытки прошлых лет</t>
  </si>
  <si>
    <t>Расходы прошлых лет, выявленные в отчетном периоде</t>
  </si>
  <si>
    <t>197</t>
  </si>
  <si>
    <t>2.11.12</t>
  </si>
  <si>
    <t>2.09.17</t>
  </si>
  <si>
    <t>ПР по списанию дебиторской задолженности</t>
  </si>
  <si>
    <t>Расходы от списания дебиторской задолженности</t>
  </si>
  <si>
    <t>198</t>
  </si>
  <si>
    <t>2.11.13</t>
  </si>
  <si>
    <t>2.09.18</t>
  </si>
  <si>
    <t>ПР по курсовым разницам</t>
  </si>
  <si>
    <t>199</t>
  </si>
  <si>
    <t>2.11.14</t>
  </si>
  <si>
    <t>2.09.20</t>
  </si>
  <si>
    <t>ПР Суммы НДС, не принимаемые к вычету</t>
  </si>
  <si>
    <t>201</t>
  </si>
  <si>
    <t>2.11.15</t>
  </si>
  <si>
    <t>2.09.22</t>
  </si>
  <si>
    <t>ПР Мероприятия по проведению праздников</t>
  </si>
  <si>
    <t>Расходы по проведению праздничных мероприятий, подарки</t>
  </si>
  <si>
    <t>202</t>
  </si>
  <si>
    <t>2.11.16</t>
  </si>
  <si>
    <t>2.09.23</t>
  </si>
  <si>
    <t>ПР Подарки, поздравления сотрудников и партнеров</t>
  </si>
  <si>
    <t>203</t>
  </si>
  <si>
    <t>2.11.17</t>
  </si>
  <si>
    <t>2.09.24</t>
  </si>
  <si>
    <t>ПР Подарки для детей сотрудников</t>
  </si>
  <si>
    <t>204</t>
  </si>
  <si>
    <t>2.11.18</t>
  </si>
  <si>
    <t>2.09.25</t>
  </si>
  <si>
    <t>ПР по судебным издержкам (судебные расходы и госпошлина)</t>
  </si>
  <si>
    <t>Расходы по уплате госпошлины</t>
  </si>
  <si>
    <t>205</t>
  </si>
  <si>
    <t>2.11.19</t>
  </si>
  <si>
    <t>2.09.26</t>
  </si>
  <si>
    <t>ПР Штрафы административные</t>
  </si>
  <si>
    <t>208</t>
  </si>
  <si>
    <t>2.11.20</t>
  </si>
  <si>
    <t>2.09.29</t>
  </si>
  <si>
    <t>ПР Директорский фонд</t>
  </si>
  <si>
    <t>2.11.21</t>
  </si>
  <si>
    <t>ПР Спонсорская помощь</t>
  </si>
  <si>
    <t>209</t>
  </si>
  <si>
    <t>2.11.22</t>
  </si>
  <si>
    <t>2.09.31</t>
  </si>
  <si>
    <t>ПР по проведению смотра-конкурса</t>
  </si>
  <si>
    <t>210</t>
  </si>
  <si>
    <t>2.11.23</t>
  </si>
  <si>
    <t>2.09.33</t>
  </si>
  <si>
    <t xml:space="preserve">ПР Архитектурно-земельные услуги </t>
  </si>
  <si>
    <t>211</t>
  </si>
  <si>
    <t>2.11.24</t>
  </si>
  <si>
    <t>2.09.34</t>
  </si>
  <si>
    <t>ПР по содержанию ревизионной комиссии</t>
  </si>
  <si>
    <t>212</t>
  </si>
  <si>
    <t>2.11.25</t>
  </si>
  <si>
    <t>2.09.36</t>
  </si>
  <si>
    <t>ПВ Прочие премии из прибыли</t>
  </si>
  <si>
    <t>214</t>
  </si>
  <si>
    <t>2.11.26</t>
  </si>
  <si>
    <t>2.09.38</t>
  </si>
  <si>
    <t>ПВ членам Совета директоров</t>
  </si>
  <si>
    <t>215</t>
  </si>
  <si>
    <t>2.11.27</t>
  </si>
  <si>
    <t>2.09.39</t>
  </si>
  <si>
    <t>ПВ членам ревизионной комиссии</t>
  </si>
  <si>
    <t>2.11.28</t>
  </si>
  <si>
    <t>2.09.35</t>
  </si>
  <si>
    <t>Премия за выявление неучтенного потребления ЭЭ</t>
  </si>
  <si>
    <t>Премия за выявление неучтенного потребления</t>
  </si>
  <si>
    <t>217</t>
  </si>
  <si>
    <t>2.11.29</t>
  </si>
  <si>
    <t>2.10.01</t>
  </si>
  <si>
    <t>ПР Чрезвычайные</t>
  </si>
  <si>
    <t>Расходы чрезвычайные</t>
  </si>
  <si>
    <t>218</t>
  </si>
  <si>
    <t>2.11.30</t>
  </si>
  <si>
    <t>2.10.02</t>
  </si>
  <si>
    <t>ПР Резерв Генерального директора</t>
  </si>
  <si>
    <t>2.11.31</t>
  </si>
  <si>
    <t>ПР по организации НТО</t>
  </si>
  <si>
    <t>2.11.32</t>
  </si>
  <si>
    <t>ПР Прочие публикации в СМИ</t>
  </si>
  <si>
    <t>2.11.33</t>
  </si>
  <si>
    <t>ПР представительские (неподтвержденные документами)</t>
  </si>
  <si>
    <t>2.11.34</t>
  </si>
  <si>
    <t>ПР по проведению корпоративных совещаний с филиалами</t>
  </si>
  <si>
    <t>2.11.35</t>
  </si>
  <si>
    <t xml:space="preserve">ПР по изготовлению аудио-видео материалов и полиграфической продукции </t>
  </si>
  <si>
    <t>ИТОГО неподконтрольных расходов</t>
  </si>
  <si>
    <t>Справочно: амортизация, учитываемая при налогообложении</t>
  </si>
  <si>
    <t>ИТОГО неподконтрольных расходов без выпадающих доходов /некомпенсированных затрат</t>
  </si>
  <si>
    <t>НВВ всего</t>
  </si>
  <si>
    <t>тыс.руб</t>
  </si>
  <si>
    <t>Подконтрольные расходы</t>
  </si>
  <si>
    <t>Неподконтрольные расходы</t>
  </si>
  <si>
    <t>Расходы  (затраты) ФСК</t>
  </si>
  <si>
    <t xml:space="preserve">Содержание </t>
  </si>
  <si>
    <t xml:space="preserve">Потери электроэнергии </t>
  </si>
  <si>
    <t>Примечание: * По ожидаемым результатам Годового общего собрания акционеров, чистая прибыль по виду деятельности «оказание услуги по передаче электрической энергии» по итогам 2013 года не будет распределена на развитие производства (капитальные вложения производственного характера), а будет направлена на приобретение основных средств на развитие электросетевого комплекса.</t>
  </si>
  <si>
    <t>НВВ всего без выпадающих доходов / некомпенсированных затрат</t>
  </si>
  <si>
    <t xml:space="preserve">НВВ всего без выпадающих доходов / некомпенсированных затрат и капитальных вложений производственного характера </t>
  </si>
  <si>
    <t>себестоимость</t>
  </si>
  <si>
    <t>Источники финансирования  инвестиционной программы</t>
  </si>
  <si>
    <t>амортизационные отчисления</t>
  </si>
  <si>
    <t>капитальные вложения производственного характера (прибыль)</t>
  </si>
  <si>
    <t>Итого</t>
  </si>
  <si>
    <t>Всего</t>
  </si>
  <si>
    <t>показатели (индексы) для расчета коэффициента индексации</t>
  </si>
  <si>
    <t>второй долгосрочный период регулирования 2015 – 2019 годы</t>
  </si>
  <si>
    <t xml:space="preserve">1. </t>
  </si>
  <si>
    <t> 5.</t>
  </si>
  <si>
    <t>6.</t>
  </si>
  <si>
    <t>итого коэффициент индексации (расчитывается по формуле см таблицу и комментарии)</t>
  </si>
  <si>
    <t>лизинг производственных активов</t>
  </si>
  <si>
    <t>Всего инвестиционная программа с учетом лизинга</t>
  </si>
  <si>
    <t>выпадающие</t>
  </si>
  <si>
    <t>база</t>
  </si>
  <si>
    <t>расчетная величина капитальных вложений производственного характера</t>
  </si>
  <si>
    <t>НВВ на содержание</t>
  </si>
  <si>
    <t>максимальная мощность</t>
  </si>
  <si>
    <t>Плата за услуги на содержание электрических сетей в расчете на 1_______мощности</t>
  </si>
  <si>
    <t xml:space="preserve">НВВ на компенсацию технологичсекого расхода (потерь) </t>
  </si>
  <si>
    <t>полезный отпуск ээ</t>
  </si>
  <si>
    <t>расчетная область по подсчету 
 налога на прибыль и капитальных вложений производственного характера</t>
  </si>
  <si>
    <t>Ставка на оплату технологического расхода (потерь ) электрической энергии на ее передачу по сетям</t>
  </si>
  <si>
    <t>НВВ (база)</t>
  </si>
  <si>
    <t>НВВ (очищенная)</t>
  </si>
  <si>
    <t>лизинг</t>
  </si>
  <si>
    <t>аренда сетевых 
объектов (стор. орг.)</t>
  </si>
  <si>
    <t>расходы на финансирование капитальных вложений из прибыли</t>
  </si>
  <si>
    <t>выпадающие доходы</t>
  </si>
  <si>
    <t>налогооблагаемая база
 (капитальные вложения, ДВСХ, внереализационные расходы  вкл. в налогооблагаемую базу)</t>
  </si>
  <si>
    <r>
      <t>налог на прибыль</t>
    </r>
    <r>
      <rPr>
        <sz val="13"/>
        <color theme="5" tint="-0.249977111117893"/>
        <rFont val="Times New Roman"/>
        <family val="1"/>
        <charset val="204"/>
      </rPr>
      <t xml:space="preserve"> 20%</t>
    </r>
  </si>
  <si>
    <r>
      <t>максимально возможный уровень расходов на финансирование капитальных вложений производственного характера</t>
    </r>
    <r>
      <rPr>
        <sz val="13"/>
        <color rgb="FFFF0000"/>
        <rFont val="Times New Roman"/>
        <family val="1"/>
        <charset val="204"/>
      </rPr>
      <t xml:space="preserve"> </t>
    </r>
    <r>
      <rPr>
        <sz val="13"/>
        <color theme="5" tint="-0.249977111117893"/>
        <rFont val="Times New Roman"/>
        <family val="1"/>
        <charset val="204"/>
      </rPr>
      <t>12%</t>
    </r>
  </si>
  <si>
    <t>1.1.3.3.1.</t>
  </si>
  <si>
    <t>1.1.6</t>
  </si>
  <si>
    <t>Содержание кассовых аппаратов</t>
  </si>
  <si>
    <t>Поверка и сертификация, экспертиза оборудования</t>
  </si>
  <si>
    <t>Техобслуживание</t>
  </si>
  <si>
    <t>Мероприятия по охране окр.среды</t>
  </si>
  <si>
    <t>Оформление и регистрация имущества</t>
  </si>
  <si>
    <t>Прочие услуги</t>
  </si>
  <si>
    <t>1.1.3.3.2</t>
  </si>
  <si>
    <t>1.1.3.3.3</t>
  </si>
  <si>
    <t>1.1.3.3.4</t>
  </si>
  <si>
    <t>1.1.3.3.5</t>
  </si>
  <si>
    <t>1.1.3.3.6</t>
  </si>
  <si>
    <t>1.1.3.3.7</t>
  </si>
  <si>
    <t>1.1.3.3.8</t>
  </si>
  <si>
    <t>1.1.3.3.9</t>
  </si>
  <si>
    <t>1.1.3.3.10</t>
  </si>
  <si>
    <t>1.1.3.3.11</t>
  </si>
  <si>
    <t>1.1.3.3.12</t>
  </si>
  <si>
    <t>1.1.3.3.13</t>
  </si>
  <si>
    <t>1.1.3.3.14</t>
  </si>
  <si>
    <t>1.1.3.3.15</t>
  </si>
  <si>
    <t>1.1.3.3.16</t>
  </si>
  <si>
    <t>1.1.3.3.17</t>
  </si>
  <si>
    <t>Расходы на возврат и обслуживание долгосрочных заемных средств, направляемых на финансирование капитальных вложений</t>
  </si>
  <si>
    <t>1.2.12.1</t>
  </si>
  <si>
    <t>1.2.12.2</t>
  </si>
  <si>
    <t>1.2.12.3</t>
  </si>
  <si>
    <t>1.2.12.4</t>
  </si>
  <si>
    <t>факт **</t>
  </si>
  <si>
    <t>17,91
(от 05.09.2014 №579)</t>
  </si>
  <si>
    <t>Информация о программе в области энергосбережения и повышения энергетической эффективности АО "НЭСК-электросети" направлена в адрес ГКУ КК "Центр энергосбережений и новых технологий" письмом от 25.01.2016 № 14.3.2 НС-14/06.
Годовые отчетные формы направлены в Министерство энергетики РФ письмом от 19.02.2016 № 17.1 НС-10/83/1262, а также данная информация отражена в формате шаблона ЕИАС.</t>
  </si>
  <si>
    <t>Необходимая валовая выручка по регулируемым видам деятельности организации - всего**</t>
  </si>
  <si>
    <t>Выручка*</t>
  </si>
  <si>
    <t>Инвестиции, осуществляемые за счет тарифных источников***</t>
  </si>
  <si>
    <t>* - в целях сопоставления фактических и плановых показателей с учетом норм Основ ценообразования, по данной строке отражены расходы, уменьшающие налоговую базу налога на прибыль организаций (расходы, связанные с производством и реализацией продукции (услуг), и внереализационные расходы), и расходы, не учитываемые при определении налоговой базы налога на прибыль (относимые на прибыль после налогообложения);</t>
  </si>
  <si>
    <t>*** - финансирование за счет тарифных источников;</t>
  </si>
  <si>
    <t>**** - на основании данных , отраженных в форме бухгалтерской (финансовой) отчетности №1 "Бухгалтерский баланс" по всем видам деятельности</t>
  </si>
  <si>
    <t>Анализ финансовой устойчивости по величине излишка (недостатка) собственных оборотных средств****</t>
  </si>
  <si>
    <t>Расчетный объем услуг в части  обеспечения надежности</t>
  </si>
  <si>
    <t>1. Приказ РЭК-ДЦТ КК от 13.08.2014 №42/2014-э "Об утвержденни инвестиционной программы ОАО "НЭСК-электросети" на 2015-2019 годы" 
2. Приказ РЭК-ДЦТ КК от 03.09.2014 №46/2014-э "О внесении изменений в приказ региональной экономической комиссии-департамента цен и тарифов Краснодарского края от 13.08.2014 №42/2014-э "Об утвержденни инвестиционной программы ОАО "НЭСК-электросети" на 2015-2019 годы" 
3. Приказ РЭК-ДЦТ КК от 29.12.2014 №83/2014-э "О внесении изменения в приказ региональной энергетической комиссии-департамента цен и тарифов Краснодарского края от 13.08.2014 
№ 42/2014-э «Об утверждении инвестиционной программы АО«НЭСК-электросети на 2015-2019 годы»
4. Приказ РЭК-ДЦТ КК от 29.12.2015 №84/2015-э "Об утверждении инвестиционной программы АО "НЭСК-электросети" на 2016 год"</t>
  </si>
  <si>
    <t>1. Приказ РЭК-ДЦТ КК от 13.08.2014 №42/2014-э "Об утвержденни инвестиционной программы ОАО "НЭСК-электросети" на 2015-2019 годы" 
2. Приказ РЭК-ДЦТ КК от 03.09.2014 №46/2014-э "О внесении изменений в приказ региональной экономической комиссии-департамента цен и тарифов Краснодарского края от 13.08.2014 №42/2014-э "Об утвержденни инвестиционной программы ОАО "НЭСК-электросети" на 2015-2019 годы" 
3. Приказ РЭК-ДЦТ КК от 29.12.2014 №83/2014-э "О внесении изменения в приказ региональной энергетической комиссии-департамента цен и тарифов Краснодарского края от 13.08.2014 
№ 42/2014-э «Об утверждении инвестиционной программы АО«НЭСК-электросети на 2015-2019 годы»</t>
  </si>
  <si>
    <t>из формы 1.3.</t>
  </si>
  <si>
    <t>Таблица 1.6</t>
  </si>
  <si>
    <t>Расшифровка расходов субъекта естественных монополий, оказывающего услуги по передаче электроэнергии (мощности) по электрическим сетям, принадлежащим на праве собственности</t>
  </si>
  <si>
    <t>или ином законном основании территориальным сетевым организациям</t>
  </si>
  <si>
    <t>Заполняется:</t>
  </si>
  <si>
    <t>Субъектами естественных монополий, оказывающими услуги по передаче электроэнергии (мощности) по электрическим сетям, принадлежащим на праве собственности</t>
  </si>
  <si>
    <t>Период заполнения:</t>
  </si>
  <si>
    <t>Годовая, Квартальная</t>
  </si>
  <si>
    <t>Требования к заполнению:</t>
  </si>
  <si>
    <t>Заполняется отдельно по каждому субъекту РФ</t>
  </si>
  <si>
    <t>Организация:</t>
  </si>
  <si>
    <t>ОАО "НЭСК-электросети"</t>
  </si>
  <si>
    <t>Идентификационный номер налогоплательщика (ИНН):</t>
  </si>
  <si>
    <t>Местонахождение (адрес):</t>
  </si>
  <si>
    <t>г.Краснодар, ул.Северная, 247</t>
  </si>
  <si>
    <t>Субъект РФ:</t>
  </si>
  <si>
    <t>Краснодарский край</t>
  </si>
  <si>
    <t>Отчетный период:</t>
  </si>
  <si>
    <t>12 месяцев  2015 г</t>
  </si>
  <si>
    <t>Код показа-теля</t>
  </si>
  <si>
    <t>За отчетный период, всего по предприятию</t>
  </si>
  <si>
    <t>из графы 4:
по Субъекту РФ, указанному в заголовке формы</t>
  </si>
  <si>
    <t>из графы 5 по видам деятельности *</t>
  </si>
  <si>
    <t>За аналогичный период пре-дыдущего года, всего по предприятию</t>
  </si>
  <si>
    <t>из графы 10: по Субъекту РФ, указанному в заголовке формы</t>
  </si>
  <si>
    <t>из графы 10 по видам деятельности *</t>
  </si>
  <si>
    <t>Примечания:
принцип разделения показателей по субъектам РФ
и по видам деятельности согласно ОРД предприятия</t>
  </si>
  <si>
    <t>Передача
по расп-редели-тельным сетям</t>
  </si>
  <si>
    <t>Техноло-гическое присоеди-нение</t>
  </si>
  <si>
    <t>Передача
и техно-логичес-кое присоеди-нение</t>
  </si>
  <si>
    <t>Прочие виды деятель-ности</t>
  </si>
  <si>
    <t>8 (сумма
гр. 6 и 7)</t>
  </si>
  <si>
    <t>14 (сумма гр. 12 и 13)</t>
  </si>
  <si>
    <t>Расходы, учитываемые в целях налогообложения прибыли, всего, в том числе (сумма строк 110, 120, 130, 140, 150, 160, 170, 180, 190)</t>
  </si>
  <si>
    <t>Материальные расходы (сумма строк 111, 112, 113)</t>
  </si>
  <si>
    <t>Расходы на приобретение сырья и материалов</t>
  </si>
  <si>
    <t>Расходы на приобретение электрической энергии на компенсацию технологического расхода (потерь) электрической энергии в сетях, в том числе по уровням напряжения:</t>
  </si>
  <si>
    <t>ВН</t>
  </si>
  <si>
    <t>СН1</t>
  </si>
  <si>
    <t>СН2</t>
  </si>
  <si>
    <t>НН</t>
  </si>
  <si>
    <t>Расходы на приобретение электрической энергии на хозяйственные нужды</t>
  </si>
  <si>
    <t>Расходы на оплату услуг сторонних организаций (сумма строк 121, 122, 123, 124)</t>
  </si>
  <si>
    <t>Оплата услуг ОАО "ФСК ЕЭС"</t>
  </si>
  <si>
    <t>Оплата услуг по передаче электрической энергии, оказываемых другими сетевыми организациями</t>
  </si>
  <si>
    <t>Расходы на ремонт основных средств, выполняемые подрядным способом</t>
  </si>
  <si>
    <t>Управленческий персонал</t>
  </si>
  <si>
    <t>Специалисты и технические</t>
  </si>
  <si>
    <t>Основные производственные рабочие</t>
  </si>
  <si>
    <t>Справочно: среднесписочная численность промышленно-производственного персонала организации **</t>
  </si>
  <si>
    <t>чел.</t>
  </si>
  <si>
    <t>Расходы на выплату страховых взносов в Пенсионный фонд Российской Федерации, Фонд социального страхования Российской Федерации, Федеральный фонд обязательного медицинского страхования и территориальные фонды обязательного медицинского страхования</t>
  </si>
  <si>
    <t>Амортизация основных средств</t>
  </si>
  <si>
    <t>Аренда и лизинговые платежи (сумма строк 161, 162)</t>
  </si>
  <si>
    <t>Плата за аренду имущества</t>
  </si>
  <si>
    <t>Лизинговые платежи</t>
  </si>
  <si>
    <t>Налоги, уменьшающие налогооблагаемую базу по налогу на прибыль</t>
  </si>
  <si>
    <t>Расходы на выплату процентов по кредитам, уменьшающие налогооблагаемую базу по налогу на прибыль</t>
  </si>
  <si>
    <t>Расходы, не учитываемые в целях налогообложения прибыли, всего, в том числе (сумма строк 210, 220, 230, 240, 250)</t>
  </si>
  <si>
    <t>200</t>
  </si>
  <si>
    <t>Возврат заемных средств на цели инвестпрограммы</t>
  </si>
  <si>
    <t>Прибыль, направленная на инвестиции</t>
  </si>
  <si>
    <t>Прибыль, направленная на выплату дивидендов</t>
  </si>
  <si>
    <t>230</t>
  </si>
  <si>
    <t>Расходы социального характера из прибыли</t>
  </si>
  <si>
    <t>240</t>
  </si>
  <si>
    <t>Прочие расходы из прибыли в отчетном периоде</t>
  </si>
  <si>
    <t>250</t>
  </si>
  <si>
    <t>Расходы на уплату налога на прибыль</t>
  </si>
  <si>
    <t>300</t>
  </si>
  <si>
    <t>Справочные показатели:</t>
  </si>
  <si>
    <t>Из строки 100 прямые расходы</t>
  </si>
  <si>
    <t>400</t>
  </si>
  <si>
    <t>Из строки 100 косвенные расходы</t>
  </si>
  <si>
    <t>500</t>
  </si>
  <si>
    <t>Расходы на приобретение, сооружение и изготовление основных средств, а также на достройку, дооборудование, реконструкцию, модернизацию и техническое перевооружение основных средств</t>
  </si>
  <si>
    <t>600</t>
  </si>
  <si>
    <t>Расходы на ремонт основных средств (включая арендованные),
всего, в том числе:</t>
  </si>
  <si>
    <t>700</t>
  </si>
  <si>
    <t>материальные расходы</t>
  </si>
  <si>
    <t>расходы на оплату труда и выплату страховых</t>
  </si>
  <si>
    <t>расходы на ремонт основных средств, выполняемый подрядным способом</t>
  </si>
  <si>
    <t>прочие расходы</t>
  </si>
  <si>
    <t>Расходы на приобретение электрической энергии в целях компенсации коммерческого расхода (потерь) электрической энергии в сетях</t>
  </si>
  <si>
    <t>800</t>
  </si>
  <si>
    <r>
      <t>_____</t>
    </r>
    <r>
      <rPr>
        <b/>
        <sz val="6"/>
        <rFont val="Times New Roman"/>
        <family val="1"/>
        <charset val="204"/>
      </rPr>
      <t>*</t>
    </r>
    <r>
      <rPr>
        <b/>
        <sz val="6"/>
        <color indexed="9"/>
        <rFont val="Times New Roman"/>
        <family val="1"/>
        <charset val="204"/>
      </rPr>
      <t>_</t>
    </r>
    <r>
      <rPr>
        <b/>
        <sz val="6"/>
        <rFont val="Times New Roman"/>
        <family val="1"/>
        <charset val="204"/>
      </rPr>
      <t>Полное наименование видов деятельности:</t>
    </r>
  </si>
  <si>
    <r>
      <t>_______</t>
    </r>
    <r>
      <rPr>
        <sz val="6"/>
        <rFont val="Times New Roman"/>
        <family val="1"/>
        <charset val="204"/>
      </rPr>
      <t>гр. 6, 12 - оказание услуг по передаче электрической энергии (мощности) по единой национальной (общероссийской) электрической сети;</t>
    </r>
  </si>
  <si>
    <r>
      <t>_______</t>
    </r>
    <r>
      <rPr>
        <sz val="6"/>
        <rFont val="Times New Roman"/>
        <family val="1"/>
        <charset val="204"/>
      </rPr>
      <t>гр. 7, 13 - оказание услуг по технологическому присоединению к электрическим сетям.</t>
    </r>
  </si>
  <si>
    <r>
      <t>____</t>
    </r>
    <r>
      <rPr>
        <b/>
        <sz val="6"/>
        <rFont val="Times New Roman"/>
        <family val="1"/>
        <charset val="204"/>
      </rPr>
      <t>**</t>
    </r>
    <r>
      <rPr>
        <b/>
        <sz val="6"/>
        <color indexed="9"/>
        <rFont val="Times New Roman"/>
        <family val="1"/>
        <charset val="204"/>
      </rPr>
      <t>_</t>
    </r>
    <r>
      <rPr>
        <b/>
        <sz val="6"/>
        <rFont val="Times New Roman"/>
        <family val="1"/>
        <charset val="204"/>
      </rPr>
      <t>В целях настоящей таблицы под промышленно-производственным персоналом понимается персонал, расходы на оплату труда которого учитываются по счету 20 "Основное производство".</t>
    </r>
  </si>
  <si>
    <t>Приложение к таблице 1.6</t>
  </si>
  <si>
    <t>Расшифровка дебиторской задолженности, заемных средств и стоимости активов</t>
  </si>
  <si>
    <t>По состоянию на начало отчетного периода,
всего по предприятию</t>
  </si>
  <si>
    <t>По состоянию на конец отчетного периода,
всего по предприятию</t>
  </si>
  <si>
    <t>Дебиторская задолженность</t>
  </si>
  <si>
    <t>900</t>
  </si>
  <si>
    <t>в том числе по расчетам с покупателями и заказчиками</t>
  </si>
  <si>
    <t>Заемные средства, учитываемые в долгосрочных обязательствах, которые могут быть прямо отнесены на услуги по передаче электроэнергии по распределительным сетям и технологическое присоединение</t>
  </si>
  <si>
    <t>1000</t>
  </si>
  <si>
    <t>Заемные средства, учитываемые в краткосрочных обязательствах, которые могут быть прямо отнесены на услуги по передаче электроэнергии по распределительным сетям и технологическое присоединение</t>
  </si>
  <si>
    <t>1100</t>
  </si>
  <si>
    <t>Основные средства</t>
  </si>
  <si>
    <t>1200</t>
  </si>
  <si>
    <t>Арендованные основные средства</t>
  </si>
  <si>
    <t>1300</t>
  </si>
  <si>
    <t>Незавершенное строительство</t>
  </si>
  <si>
    <t>1400</t>
  </si>
  <si>
    <t>Руководитель</t>
  </si>
  <si>
    <t>Кулаков М.С.</t>
  </si>
  <si>
    <t>(подпись)</t>
  </si>
  <si>
    <t>(Фамилия, имя, отчество)</t>
  </si>
  <si>
    <t>Главный бухгалтер</t>
  </si>
  <si>
    <t>Гультаева В.А.</t>
  </si>
  <si>
    <t>Пояснения: графы 11,12,13 будут представлены до 12.10.2012</t>
  </si>
  <si>
    <t>Таблица 1.3</t>
  </si>
  <si>
    <t>Показатели раздельного учета доходов и расходов субъекта естественных монополий, оказывающего услуги по передаче электроэнергии (мощности) по электрическим сетям,</t>
  </si>
  <si>
    <t>принадлежащим на праве собственности или ином законном основании территориальным сетевым организациям, согласно форме "Отчет о прибылях и убытках"</t>
  </si>
  <si>
    <t>Субъектами естественных монополий, оказывающими услуги по передаче электроэнергии (мощности) по электрическим сетям, принадлежащим на праве собственности или ином законном основании</t>
  </si>
  <si>
    <t>территориальным сетевым организациям</t>
  </si>
  <si>
    <t>12 месяцев 2015 г</t>
  </si>
  <si>
    <t>из графы 4: по Субъекту РФ, указанному в заголовке
формы **</t>
  </si>
  <si>
    <t>За аналогичный период предыдущего года, всего по предприятию</t>
  </si>
  <si>
    <t>из графы 9: по Субъекту РФ, указанному в заголовке
формы **</t>
  </si>
  <si>
    <t>Примечания:
принцип разделения показателей
по субъектам РФ и по видам деятельности согласно ОРД предприятия</t>
  </si>
  <si>
    <t>Передача по распредели-тельным сетям</t>
  </si>
  <si>
    <t>Технологическое присоединение</t>
  </si>
  <si>
    <t>Прочие виды деятельности</t>
  </si>
  <si>
    <t>Выручка (нетто) от продажи товаров,</t>
  </si>
  <si>
    <t>010</t>
  </si>
  <si>
    <t>продукции, работ, услуг (за минусом налога</t>
  </si>
  <si>
    <t>на добавленную стоимость, акцизов</t>
  </si>
  <si>
    <t>и аналогичных обязательных платежей)</t>
  </si>
  <si>
    <t>Себестоимость проданных товаров,</t>
  </si>
  <si>
    <t>020</t>
  </si>
  <si>
    <t>продукции, работ, услуг</t>
  </si>
  <si>
    <t>Валовая прибыль</t>
  </si>
  <si>
    <t>030</t>
  </si>
  <si>
    <t>Коммерческие расходы</t>
  </si>
  <si>
    <t>040</t>
  </si>
  <si>
    <t>Управленческие расходы</t>
  </si>
  <si>
    <t>050</t>
  </si>
  <si>
    <t>060</t>
  </si>
  <si>
    <t>Доходы от участия в других организациях</t>
  </si>
  <si>
    <t>061</t>
  </si>
  <si>
    <t>Проценты к получению</t>
  </si>
  <si>
    <t>070</t>
  </si>
  <si>
    <t>Проценты к уплате</t>
  </si>
  <si>
    <t>080</t>
  </si>
  <si>
    <t>Прочие доходы</t>
  </si>
  <si>
    <t>090</t>
  </si>
  <si>
    <t>Прибыль до налогообложения</t>
  </si>
  <si>
    <t>Чистая прибыль</t>
  </si>
  <si>
    <t>Списание дебиторских и кредиторских</t>
  </si>
  <si>
    <t>задолженностей, по которым истек срок</t>
  </si>
  <si>
    <t>исковой давности</t>
  </si>
  <si>
    <t xml:space="preserve">Прибыль (убыток) прошлых лет, </t>
  </si>
  <si>
    <t>выявленная в отчетном году</t>
  </si>
  <si>
    <r>
      <t>_____</t>
    </r>
    <r>
      <rPr>
        <b/>
        <sz val="8"/>
        <rFont val="Times New Roman"/>
        <family val="1"/>
        <charset val="204"/>
      </rPr>
      <t>*</t>
    </r>
    <r>
      <rPr>
        <b/>
        <sz val="8"/>
        <color indexed="9"/>
        <rFont val="Times New Roman"/>
        <family val="1"/>
        <charset val="204"/>
      </rPr>
      <t>_</t>
    </r>
    <r>
      <rPr>
        <b/>
        <sz val="8"/>
        <rFont val="Times New Roman"/>
        <family val="1"/>
        <charset val="204"/>
      </rPr>
      <t>Полное наименование видов деятельности:</t>
    </r>
  </si>
  <si>
    <r>
      <t>_______</t>
    </r>
    <r>
      <rPr>
        <sz val="8"/>
        <rFont val="Times New Roman"/>
        <family val="1"/>
        <charset val="204"/>
      </rPr>
      <t>гр. 6, 11 - оказание услуг по передаче электрической энергии по электрическим сетям, принадлежащим на праве собственности или ином законном основании территориальным сетевым организациям;</t>
    </r>
  </si>
  <si>
    <r>
      <t>_______</t>
    </r>
    <r>
      <rPr>
        <sz val="8"/>
        <color indexed="8"/>
        <rFont val="Times New Roman"/>
        <family val="1"/>
        <charset val="204"/>
      </rPr>
      <t>г</t>
    </r>
    <r>
      <rPr>
        <sz val="8"/>
        <rFont val="Times New Roman"/>
        <family val="1"/>
        <charset val="204"/>
      </rPr>
      <t>р. 7, 12 - оказание услуг по технологическому присоединению к электрическим сетям.</t>
    </r>
  </si>
  <si>
    <r>
      <t>____</t>
    </r>
    <r>
      <rPr>
        <b/>
        <sz val="8"/>
        <rFont val="Times New Roman"/>
        <family val="1"/>
        <charset val="204"/>
      </rPr>
      <t>**</t>
    </r>
    <r>
      <rPr>
        <b/>
        <sz val="8"/>
        <color indexed="9"/>
        <rFont val="Times New Roman"/>
        <family val="1"/>
        <charset val="204"/>
      </rPr>
      <t>_</t>
    </r>
    <r>
      <rPr>
        <b/>
        <sz val="8"/>
        <rFont val="Times New Roman"/>
        <family val="1"/>
        <charset val="204"/>
      </rPr>
      <t>Заполняется субъектами естественных монополий, оказывающими услуги по  передаче электрической энергии по электрическим сетям, принадлежащим на праве  собственности или ином законном основании территориальным сетевым организациям, в нескольких субъектах РФ.</t>
    </r>
  </si>
  <si>
    <r>
      <t>______</t>
    </r>
    <r>
      <rPr>
        <b/>
        <sz val="8"/>
        <rFont val="Times New Roman"/>
        <family val="1"/>
        <charset val="204"/>
      </rPr>
      <t xml:space="preserve"> Для остальных субъектов естественных монополий графы 5 - 8, 10 - 13 заполняются в целом по предприятию.</t>
    </r>
  </si>
  <si>
    <t>Код</t>
  </si>
  <si>
    <t>Наименование статьи БДР</t>
  </si>
  <si>
    <t>факт 2012 г.</t>
  </si>
  <si>
    <t xml:space="preserve">РЭК </t>
  </si>
  <si>
    <t>план  (утвержденный на 01.01.13)</t>
  </si>
  <si>
    <t xml:space="preserve">факт 2013 г. </t>
  </si>
  <si>
    <t>РЭК на 01.01.2014</t>
  </si>
  <si>
    <t>ПЛАН  утвержденный (скорректированный) на 01.07.2014 г.</t>
  </si>
  <si>
    <t xml:space="preserve">1 полугодие ФАКТ </t>
  </si>
  <si>
    <t>3 квартал ПЛАН скорректированный</t>
  </si>
  <si>
    <t>4 квартал ПЛАН скорректированный</t>
  </si>
  <si>
    <t>9 мес. ПЛАН скорректированный</t>
  </si>
  <si>
    <t>9 мес. ФАКТ</t>
  </si>
  <si>
    <t>4 квартал ФАКТ</t>
  </si>
  <si>
    <t>ФАКТ 
2014 г.</t>
  </si>
  <si>
    <t>отклонение факта
от плана (скорр.на 01.07.2014 г.)</t>
  </si>
  <si>
    <t>РЭК на 2015 г. прогнозный расчет</t>
  </si>
  <si>
    <t>РЭК утвержденно на 01.01.2015г.</t>
  </si>
  <si>
    <t>ПЛАН утвержденный на 05.03.15 г.</t>
  </si>
  <si>
    <t>отклонение плана утвержденного на 05.03.2015 г. 
от РЭК на 01.01.2015 г.</t>
  </si>
  <si>
    <t xml:space="preserve">отклонение плана утвержденного на 05.03.2015 г.
 от факта 2014 г. </t>
  </si>
  <si>
    <t xml:space="preserve"> ПЛАН скорректированный после обсуждения на 10.08.15 г.</t>
  </si>
  <si>
    <t>отклонение плана скорр. на 10.08.2015 г. 
от РЭК на 01.01.2015 г.</t>
  </si>
  <si>
    <t>отклонение план скорр. на 10.08.2015 г.
 от плана утвержденного на 05.03.2015 г.</t>
  </si>
  <si>
    <t>отклонение плана скорр. на 10.08.2015 г. 
от факта 2014 г.</t>
  </si>
  <si>
    <t>ПЛАН (заявка ЦФУ)(с учетом факта 1 полугодия)</t>
  </si>
  <si>
    <t>отклонение план (заявка ЦФУ) от плана утвержденного на 05.03.2015 г.</t>
  </si>
  <si>
    <t>отклонение план (заявка ЦФУ) от плана скорректированного на 10.08.2015 г.</t>
  </si>
  <si>
    <t>ФАКТ                                                    2015 г.</t>
  </si>
  <si>
    <t>1 полугодие 2015 г.</t>
  </si>
  <si>
    <t xml:space="preserve">отклонение факта
 от плана утвержд. на 05.03.2015 г. (1 полугодие 2015 г.) </t>
  </si>
  <si>
    <t>1 квартал 2015 г.</t>
  </si>
  <si>
    <t>2 квартал 2015 г.</t>
  </si>
  <si>
    <t>ПЛАН 2 полугодие 2015 г. (утвержденный 05.03.2015г.)</t>
  </si>
  <si>
    <t>ПЛАН 2 полугодие 2015 г. (скорректированный) на 10.08.2015 г.</t>
  </si>
  <si>
    <t>отклонение плана скорр. на 10.08.2015 г.
от плана утвержденного на 05.03.2015 г. (2 полугодие 2015 г.)</t>
  </si>
  <si>
    <t>ПЛАН 2 полугодие 2015 г. (заявка ЦФУ)</t>
  </si>
  <si>
    <t xml:space="preserve">отклонение плана скорр. на 10.08.2015
от заявки ЦФУ (2 полугодие 2015 г.) </t>
  </si>
  <si>
    <t>3 квартал</t>
  </si>
  <si>
    <t>9 месяцев</t>
  </si>
  <si>
    <t>4 квартал</t>
  </si>
  <si>
    <t>2 полугодие 2015</t>
  </si>
  <si>
    <t>ФАКТ 2015 г. по данным бухгалтерии (24.03.2016)</t>
  </si>
  <si>
    <t>в т.ч. по видам деятельности по ф.1.6</t>
  </si>
  <si>
    <t>отклонение</t>
  </si>
  <si>
    <t>ЦФУ</t>
  </si>
  <si>
    <t>ЦФО</t>
  </si>
  <si>
    <t>группа расходов (затрат)</t>
  </si>
  <si>
    <t>Обязательные в т.ч:</t>
  </si>
  <si>
    <t>ремонтная 
программа</t>
  </si>
  <si>
    <t>План скорректированный редакция 15.02.2015г.
в том числе:</t>
  </si>
  <si>
    <t>алгоритм расчета</t>
  </si>
  <si>
    <t>Примечание</t>
  </si>
  <si>
    <t>РЭК на 01.11.2014</t>
  </si>
  <si>
    <t>план утвержденный на 05.03.2015</t>
  </si>
  <si>
    <t xml:space="preserve"> факт</t>
  </si>
  <si>
    <t>факт</t>
  </si>
  <si>
    <t>план скорр. на 10.08.2015</t>
  </si>
  <si>
    <t>ФАКТ</t>
  </si>
  <si>
    <t>отклонение ФАКТА от плана утвержд. на 05.03.15</t>
  </si>
  <si>
    <t>отклонение ФАКТА от плана скорр. на 10.08.15</t>
  </si>
  <si>
    <t xml:space="preserve">отклонение факта от плана утвержд. на 05.03.15 </t>
  </si>
  <si>
    <t>отклонение факта от плана скорр. на 10.08.15</t>
  </si>
  <si>
    <t xml:space="preserve">отклонение факта от плана скорр. на 10.08.15 </t>
  </si>
  <si>
    <t>сч.20</t>
  </si>
  <si>
    <t>сч23</t>
  </si>
  <si>
    <t>сч.91</t>
  </si>
  <si>
    <t>сч.90</t>
  </si>
  <si>
    <t>ПЭ</t>
  </si>
  <si>
    <t>ТП</t>
  </si>
  <si>
    <t>ПРУ</t>
  </si>
  <si>
    <t>ИТОГО</t>
  </si>
  <si>
    <t>строка</t>
  </si>
  <si>
    <t>1 квартал
 факт</t>
  </si>
  <si>
    <t>Б</t>
  </si>
  <si>
    <t>2=5+4</t>
  </si>
  <si>
    <t>10=6+9</t>
  </si>
  <si>
    <t>18=14+17</t>
  </si>
  <si>
    <t xml:space="preserve">1             </t>
  </si>
  <si>
    <t>ДОХОДЫ</t>
  </si>
  <si>
    <t>содержание записи</t>
  </si>
  <si>
    <r>
      <t xml:space="preserve">сумма </t>
    </r>
    <r>
      <rPr>
        <i/>
        <sz val="22"/>
        <rFont val="Times New Roman"/>
        <family val="1"/>
        <charset val="204"/>
      </rPr>
      <t>(без выручки на технологический расход потерь электроэнергии)</t>
    </r>
  </si>
  <si>
    <t>доля
 выручки, %</t>
  </si>
  <si>
    <r>
      <t>сумма</t>
    </r>
    <r>
      <rPr>
        <u/>
        <sz val="22"/>
        <color theme="1"/>
        <rFont val="Times New Roman"/>
        <family val="1"/>
        <charset val="204"/>
      </rPr>
      <t xml:space="preserve"> (</t>
    </r>
    <r>
      <rPr>
        <i/>
        <u/>
        <sz val="22"/>
        <color theme="1"/>
        <rFont val="Times New Roman"/>
        <family val="1"/>
        <charset val="204"/>
      </rPr>
      <t>без выручки на технологический расход потерь электроэнергии и прочих видов деятельности)</t>
    </r>
  </si>
  <si>
    <t>доля выручки, %</t>
  </si>
  <si>
    <t>1.01</t>
  </si>
  <si>
    <t>Выручка от основного вида деятельности</t>
  </si>
  <si>
    <t xml:space="preserve">4 508 690 тыс. руб. (содержание эл.сетей)  доля 93,16% + 331 178 тыс.руб. (технологическое присоединение) доля 6,84%= 4 839 868 тыс.руб. доля 100% </t>
  </si>
  <si>
    <t>пропорционально 
выручке от сновного вида деятельности</t>
  </si>
  <si>
    <t>1.01.01</t>
  </si>
  <si>
    <t>Выручка от оказания услуг по передаче ЭЭ</t>
  </si>
  <si>
    <t>Начальник отдела балансов и расчетов</t>
  </si>
  <si>
    <t>выручка от оказания услуг по передаче электрической энергии на содержание</t>
  </si>
  <si>
    <t>1.01.02</t>
  </si>
  <si>
    <t>Выручка от оказания услуг по технологическому присоединению</t>
  </si>
  <si>
    <t>Директор по капитальному строительству</t>
  </si>
  <si>
    <t>Начальник отдела технологических присоединений</t>
  </si>
  <si>
    <t>выручка от оказания услуг по технологическому присоединению</t>
  </si>
  <si>
    <t>4 508 690 тыс. руб. (ставка на содержание эл.сетей) доля 92,27% + 331 178 тыс.руб. (технологическое присоединение) доля 6,78%+ ПВД 36 925 доля 0,96% =4 876 793 тыс.руб. доля 100%</t>
  </si>
  <si>
    <t>пропроционально 
выручке по всем видам деятельности</t>
  </si>
  <si>
    <t>1.01.03</t>
  </si>
  <si>
    <t>Выручка от оказания прочих услуг</t>
  </si>
  <si>
    <t>выручка от оказания услуг по прочим видам деятельности</t>
  </si>
  <si>
    <t>1.01.03.01</t>
  </si>
  <si>
    <t>Начальник планово-экономического отдела</t>
  </si>
  <si>
    <t>1.01.03.02</t>
  </si>
  <si>
    <t>Выручка от обслуживания СНО</t>
  </si>
  <si>
    <t>Начальник производственно - технического отдела</t>
  </si>
  <si>
    <t>1.01.03.03</t>
  </si>
  <si>
    <t>Выручка от оказания автотранспортных услуг</t>
  </si>
  <si>
    <t>Начальник отдела механизации и транспорта</t>
  </si>
  <si>
    <t xml:space="preserve">1.02         </t>
  </si>
  <si>
    <t>Доходы по неосновному виду деятельности</t>
  </si>
  <si>
    <t>1.02.01</t>
  </si>
  <si>
    <t>Начальник финансового управления</t>
  </si>
  <si>
    <t>1.02.02</t>
  </si>
  <si>
    <t xml:space="preserve">Прочие доходы </t>
  </si>
  <si>
    <t>1.02.03</t>
  </si>
  <si>
    <t>Доходы от реализации активов</t>
  </si>
  <si>
    <t>Директор по имущественным отношениям</t>
  </si>
  <si>
    <t>Начальник управления имущественных отношений</t>
  </si>
  <si>
    <t>1.02.04</t>
  </si>
  <si>
    <t>Доходы от реализации ОС</t>
  </si>
  <si>
    <t>1.02.05</t>
  </si>
  <si>
    <t>Доходы от реализации акций</t>
  </si>
  <si>
    <t>Начальник отдела корпоративного управления</t>
  </si>
  <si>
    <t>1.02.06</t>
  </si>
  <si>
    <t>Доходы от реализации векселей</t>
  </si>
  <si>
    <t>1.02.07</t>
  </si>
  <si>
    <t>Доходы по резервам сомнительных долгов</t>
  </si>
  <si>
    <t>пропорционально сумме выручке ПЭ (содержание), ТП, ПРУ</t>
  </si>
  <si>
    <t>1.02.08</t>
  </si>
  <si>
    <t>Доходы от аренды,субаренды</t>
  </si>
  <si>
    <t>1.02.09</t>
  </si>
  <si>
    <t>Доходы прошлых периодов, выявленные в текущем периоде</t>
  </si>
  <si>
    <t>1.02.10</t>
  </si>
  <si>
    <t>Доходы от выявленного бездоговорного потребления ЭЭ</t>
  </si>
  <si>
    <t>Начальник службы учета электроэнергии</t>
  </si>
  <si>
    <t>1.02.11</t>
  </si>
  <si>
    <t>Доходы  по резерву под  обесценение финансовых вложений</t>
  </si>
  <si>
    <t>1.02.12</t>
  </si>
  <si>
    <t>Итого Доход:</t>
  </si>
  <si>
    <t>Переменные затраты:</t>
  </si>
  <si>
    <t xml:space="preserve">2             </t>
  </si>
  <si>
    <t>РАСХОДЫ</t>
  </si>
  <si>
    <t xml:space="preserve">2.01          </t>
  </si>
  <si>
    <t>Платежи по электроэнергии (переменные расходы)</t>
  </si>
  <si>
    <t>2.01.01</t>
  </si>
  <si>
    <t xml:space="preserve">Электроэнергия в целях компенсации технологического расхода потерь </t>
  </si>
  <si>
    <t>Итого Переменные:</t>
  </si>
  <si>
    <t>Постоянные затраты:</t>
  </si>
  <si>
    <t xml:space="preserve">2.02          </t>
  </si>
  <si>
    <t>Амортизация ОС</t>
  </si>
  <si>
    <t>Обязательные</t>
  </si>
  <si>
    <t>2.02.02</t>
  </si>
  <si>
    <t>Амортизация НМА</t>
  </si>
  <si>
    <t xml:space="preserve">2.03          </t>
  </si>
  <si>
    <t>Оплата труда и отчисления</t>
  </si>
  <si>
    <t xml:space="preserve">2.03.01       </t>
  </si>
  <si>
    <t>ЗП Окладная часть и прочая оплата труда (в т. ч. оплата по средн. заработку)</t>
  </si>
  <si>
    <t>Начальник отдела труда и заработной платы</t>
  </si>
  <si>
    <t>ФОТ</t>
  </si>
  <si>
    <t xml:space="preserve">2.03.02       </t>
  </si>
  <si>
    <t>ЗП Премия</t>
  </si>
  <si>
    <t xml:space="preserve">2.03.03       </t>
  </si>
  <si>
    <t>ЗП Доплаты (за особые условия труда, др. доплаты)</t>
  </si>
  <si>
    <t xml:space="preserve">2.03.04       </t>
  </si>
  <si>
    <t>ЗП Оплата сверхнормативного времени</t>
  </si>
  <si>
    <t xml:space="preserve">2.03.05    </t>
  </si>
  <si>
    <t>ЗП Премия за особо важное задание</t>
  </si>
  <si>
    <t>2.03.06</t>
  </si>
  <si>
    <t>ЗП Премия за снижение фактических потерь</t>
  </si>
  <si>
    <t xml:space="preserve">2.03.07      </t>
  </si>
  <si>
    <t>ЗП Премия по прочим видам деятельности</t>
  </si>
  <si>
    <t>2.03.08</t>
  </si>
  <si>
    <t>ЗП Материальная помощь к ежегодному отпуску</t>
  </si>
  <si>
    <t>2.03.09</t>
  </si>
  <si>
    <t>ЗП Единовременные выплаты по соглашению сторон</t>
  </si>
  <si>
    <t xml:space="preserve">2.03.10  </t>
  </si>
  <si>
    <t xml:space="preserve">ЗП Прочие выплаты </t>
  </si>
  <si>
    <t>2.03.11</t>
  </si>
  <si>
    <t>2.03.12</t>
  </si>
  <si>
    <t>ЗП Затраты на оплату труда по договорам подряда</t>
  </si>
  <si>
    <t>2.03.13</t>
  </si>
  <si>
    <t>ЗП Резерв на оплату отпусков (без страховых взносов)</t>
  </si>
  <si>
    <t>Главный бухгалтер; Директор по экономике</t>
  </si>
  <si>
    <t>Бухгалтерия; Начальник отдела труда и заработной платы</t>
  </si>
  <si>
    <t xml:space="preserve"> Страховые взносы и страховые отчисления</t>
  </si>
  <si>
    <t>Страховые взносы и отчисления</t>
  </si>
  <si>
    <t>2.03.15</t>
  </si>
  <si>
    <t>Страховые взносы с вознаграждения договорников прочих</t>
  </si>
  <si>
    <t>2.03.16</t>
  </si>
  <si>
    <t>Резерв страховых взносов и страховых отчислений на оплату отпусков</t>
  </si>
  <si>
    <t>2.03.17</t>
  </si>
  <si>
    <t>ЗП Затраты на оплату труда по договорам подряда (не сотрудники)</t>
  </si>
  <si>
    <t>Директор по реализации услуг; Главный инженер - технический директор; Директор по экономике; Начальник службы безопасности</t>
  </si>
  <si>
    <t>Начальник службы учета электроэнергии; Начальник отдела производственного контроля и охраны труда; Начальник планово-экономического отдела; Служба безопасности</t>
  </si>
  <si>
    <t xml:space="preserve">2.04          </t>
  </si>
  <si>
    <t>Прочие расходы по работникам</t>
  </si>
  <si>
    <t>Командировочные расходы  Суточные</t>
  </si>
  <si>
    <t>Помощник генерального директора</t>
  </si>
  <si>
    <t>Начальник административно-хозяйственного отдела</t>
  </si>
  <si>
    <t>пропорционально сумме выручке ПЭ (содержание), ТП</t>
  </si>
  <si>
    <t>Командировочные расходы  Затраты на проезд</t>
  </si>
  <si>
    <t>2.04.05</t>
  </si>
  <si>
    <t>Начальник отдела управления персоналом</t>
  </si>
  <si>
    <t>Расходы на сотр. Компенсационные выплаты  (охрана труда)</t>
  </si>
  <si>
    <t>Начальник отдела производственного контроля и охраны труда</t>
  </si>
  <si>
    <t xml:space="preserve">2.05          </t>
  </si>
  <si>
    <t>Аренда имущества</t>
  </si>
  <si>
    <t xml:space="preserve">2.06          </t>
  </si>
  <si>
    <t>Материальные расходы</t>
  </si>
  <si>
    <t>Начальник отдела организации управленческой деятельности</t>
  </si>
  <si>
    <t>ТМЦ Канц. расходы  прочие</t>
  </si>
  <si>
    <t>ТМЦ Канц. расходы  папки</t>
  </si>
  <si>
    <t>Начальник отдела информационных технологий</t>
  </si>
  <si>
    <t>Начальник отдела телемеханики и связи</t>
  </si>
  <si>
    <t>Начальник электротехнического отдела</t>
  </si>
  <si>
    <t>Специалист по мобилизационной подготовке, ГО и ЧС</t>
  </si>
  <si>
    <t>ТМЦ ТБ  материальные расходы, связанные с соблюдением техн. Безопасности</t>
  </si>
  <si>
    <t>Начальник отдела производственного контроля и охраны труда; начальник отдела механизации и транспорта</t>
  </si>
  <si>
    <t>ТМЦ ТБ спецодежда - комплекты,устойчивых к воздействию эл.дуги</t>
  </si>
  <si>
    <t xml:space="preserve">2.06.48       </t>
  </si>
  <si>
    <t>2.06.49</t>
  </si>
  <si>
    <t>2.06.50</t>
  </si>
  <si>
    <t>ТМЦ Материальные расходы по техприсоединению</t>
  </si>
  <si>
    <t>Служба безопасности</t>
  </si>
  <si>
    <t>Бланки договоров энергоснабжения</t>
  </si>
  <si>
    <t xml:space="preserve">2.07          </t>
  </si>
  <si>
    <t>Услуги сторонних организаций</t>
  </si>
  <si>
    <t xml:space="preserve">2.07.01       </t>
  </si>
  <si>
    <t>Коммунальные, другие платежи по содержанию зданий (стор.орг.)</t>
  </si>
  <si>
    <t>2.07.02</t>
  </si>
  <si>
    <t>Ремонты стор. орг., услуги подрядчиков</t>
  </si>
  <si>
    <t>Ремонт капитальный производственных объектов (стор. орг.)</t>
  </si>
  <si>
    <t>Начальник отдела релейной защиты и автоматики</t>
  </si>
  <si>
    <t>Ремонт мебели и быт. техники (стор.орг.)</t>
  </si>
  <si>
    <t>2.07.03</t>
  </si>
  <si>
    <t xml:space="preserve">2.07.04       </t>
  </si>
  <si>
    <t>Бухгалтерия</t>
  </si>
  <si>
    <t>Начальник управления правового обеспечения</t>
  </si>
  <si>
    <t>Прочие услуги Поверка измерительного оборудования</t>
  </si>
  <si>
    <t>Начальник отдела релейной защиты и автоматики; Начальник отдела механизации и транспорта</t>
  </si>
  <si>
    <t>2.07.04.25</t>
  </si>
  <si>
    <t>Прочие услуги Информационно-вычислительное обслуживание (прогр. обеспечение)</t>
  </si>
  <si>
    <t>Прочие услуги  Утилизация шин</t>
  </si>
  <si>
    <t>Начальник отдела по связям с общественностью</t>
  </si>
  <si>
    <t>Прочие услуги Расчет и экспертиза нормативных потерь</t>
  </si>
  <si>
    <t>Начальник отдела технической поддержки и контроля мощности</t>
  </si>
  <si>
    <t>Начальник электротехнического отдела, Начальник отдела релейной защиты и автоматики</t>
  </si>
  <si>
    <t xml:space="preserve">Прочие услуги по техническому обслуживания устройств РЗА </t>
  </si>
  <si>
    <t xml:space="preserve">2.08          </t>
  </si>
  <si>
    <t>Другие расходы из себестоимости</t>
  </si>
  <si>
    <t>2.08.01</t>
  </si>
  <si>
    <t>2.08.06</t>
  </si>
  <si>
    <t>Прочие расходы Фонд Главного инженера-технического директора</t>
  </si>
  <si>
    <t>2.08.07</t>
  </si>
  <si>
    <t>Прочие расходы Фонд Директора по реализации услуг</t>
  </si>
  <si>
    <t>2.08.08</t>
  </si>
  <si>
    <t>Прочие расходы фонд Директора по капитальному строительству</t>
  </si>
  <si>
    <t>Итого Постоянные:</t>
  </si>
  <si>
    <t>Операционные :</t>
  </si>
  <si>
    <t xml:space="preserve">2.09          </t>
  </si>
  <si>
    <t>Прочие расходы 2</t>
  </si>
  <si>
    <t>ПР Инкасация</t>
  </si>
  <si>
    <t>2.09.12</t>
  </si>
  <si>
    <t>ПР Штрафы, пени по договорам от оказания услуг по технологическому присоединению</t>
  </si>
  <si>
    <r>
      <t xml:space="preserve">ПР по списанию ТМЦ НП - 428637,87; пр ндс начисл - 425331,33; пв резерв на оплату отп - 2160924,65; пр от выявл бездог потребл - 21664,43; пр др обосн р/х - 3555989,29; </t>
    </r>
    <r>
      <rPr>
        <sz val="16"/>
        <color rgb="FFFF0000"/>
        <rFont val="Times New Roman"/>
        <family val="1"/>
        <charset val="204"/>
      </rPr>
      <t>пр налог на имущ -  132299; пр недостачи выявл при - 91235,58; пр по возвр авиабилетов - 24158,33; пр по командировкам - 103089,99; пр по провед собр акционер - 75741,52; -30 = 426494,42 (пр расходы к расш. к форме 2)</t>
    </r>
  </si>
  <si>
    <t>2.09.21</t>
  </si>
  <si>
    <t>ПР по вакцинации сотрудников</t>
  </si>
  <si>
    <t>2.09.27</t>
  </si>
  <si>
    <t>2.09.28</t>
  </si>
  <si>
    <t>ПР по содержанию отдела медицинского обеспечения</t>
  </si>
  <si>
    <t>2.09.30</t>
  </si>
  <si>
    <t>2.09.32</t>
  </si>
  <si>
    <t xml:space="preserve">ПР по резерву под обесценение финансовых вложений </t>
  </si>
  <si>
    <t xml:space="preserve">ПВ Премия за выявление неучтенного потребления ЭЭ </t>
  </si>
  <si>
    <t>Соц. хар. Материальная помощь к Дню Энергетика</t>
  </si>
  <si>
    <t>Соц. хар. Выплаты , награждения к Дню Энергетика</t>
  </si>
  <si>
    <t xml:space="preserve"> Страховые взносы и страховые отчисления от ПВ и соц. хар.</t>
  </si>
  <si>
    <t>2.09.54</t>
  </si>
  <si>
    <t>2.09.55</t>
  </si>
  <si>
    <t>ПР Представительские (не подтвержденные документами)</t>
  </si>
  <si>
    <t>2.09.56</t>
  </si>
  <si>
    <t>2.09.57</t>
  </si>
  <si>
    <t>ПР Штрафы, пени по договорам, кроме договоров от оказания услуг по технологическому присоединению</t>
  </si>
  <si>
    <t>2.09.58</t>
  </si>
  <si>
    <t>Итого Операционные:</t>
  </si>
  <si>
    <t>Чрезвычайные :</t>
  </si>
  <si>
    <t xml:space="preserve">2.10         </t>
  </si>
  <si>
    <t>Чрезвычайные расходы</t>
  </si>
  <si>
    <t>Итого Чрезвычайные:</t>
  </si>
  <si>
    <t>Налог на прибыль :</t>
  </si>
  <si>
    <t xml:space="preserve">2.11       </t>
  </si>
  <si>
    <t>Распределение прибыли, налоговые активы и обязательства</t>
  </si>
  <si>
    <t>Бухгалтерия; Начальник планово-экономического отдела</t>
  </si>
  <si>
    <t>подсчет</t>
  </si>
  <si>
    <t>Главный бухгалтер; Директор по финансам</t>
  </si>
  <si>
    <t>Бухгалтерия; Начальник финансового управления</t>
  </si>
  <si>
    <t>2.11.08</t>
  </si>
  <si>
    <t>Дивиденды (показатель, отражающий экономическую суть в бухгалтерском балансе Общества и влияющий на изменение величины капитала)</t>
  </si>
  <si>
    <t>Итого Налог на прибыль:</t>
  </si>
  <si>
    <t>Всего постоянных и переменных :</t>
  </si>
  <si>
    <t>Всего расходов без переменных :</t>
  </si>
  <si>
    <t>Чистая прибыль :</t>
  </si>
  <si>
    <t>EBITDA :</t>
  </si>
  <si>
    <t>НВВ :</t>
  </si>
  <si>
    <t xml:space="preserve">  - капитальные вложения производственного характера</t>
  </si>
  <si>
    <t>- повышение энергоэффективности</t>
  </si>
  <si>
    <t>- денежные выплаты социального характера (по Коллективному договору)</t>
  </si>
  <si>
    <t>- прочие расходы</t>
  </si>
  <si>
    <t>Прибыль от товарной продукции</t>
  </si>
  <si>
    <t>* статьи изменившие КБС</t>
  </si>
  <si>
    <t>иск. Статьи:</t>
  </si>
  <si>
    <t>техобслуживание: ККМ</t>
  </si>
  <si>
    <t>повышение квалификации - командировочные расходы</t>
  </si>
  <si>
    <t>НВВ утв.</t>
  </si>
  <si>
    <t>откл. (исключено из статей)</t>
  </si>
  <si>
    <t xml:space="preserve">ВСЕГО </t>
  </si>
  <si>
    <t>цфу-1</t>
  </si>
  <si>
    <t>цфу-2</t>
  </si>
  <si>
    <t>цфу-3</t>
  </si>
  <si>
    <t>цфу-4</t>
  </si>
  <si>
    <t>цфу-5</t>
  </si>
  <si>
    <t>цфу-6</t>
  </si>
  <si>
    <t>цфу-7</t>
  </si>
  <si>
    <t>цфу-8</t>
  </si>
  <si>
    <t>цфу-9</t>
  </si>
  <si>
    <t>цфу-10</t>
  </si>
  <si>
    <t>Обязательные расходы на содержание в т.ч
 (ремонтная программа)</t>
  </si>
  <si>
    <t xml:space="preserve"> Страховые взносы и отчисления</t>
  </si>
  <si>
    <t>Ремонтная программа</t>
  </si>
  <si>
    <t>Наименование</t>
  </si>
  <si>
    <t>План скорректированный
 редакция 15.02.2015г.</t>
  </si>
  <si>
    <t>План скорректированный редакция 15.02.2015г. 
в том числе:</t>
  </si>
  <si>
    <t>Сальдо доходов и расходов по резерву сомнительных долгов</t>
  </si>
  <si>
    <t>Бюджет доходов и расходов</t>
  </si>
  <si>
    <t>Показатели баланса электроэнергии</t>
  </si>
  <si>
    <t>План скорректированный редакция 15.02.2015г.</t>
  </si>
  <si>
    <t>№п/п</t>
  </si>
  <si>
    <t>показатель</t>
  </si>
  <si>
    <t>ед.изм.</t>
  </si>
  <si>
    <t>Прием электроэнергии в сеть</t>
  </si>
  <si>
    <t>тыс.кВтч.</t>
  </si>
  <si>
    <t>Величина норматива технологического расхода (потерь) электроэнергии</t>
  </si>
  <si>
    <t>Потери электроэнергии всетях</t>
  </si>
  <si>
    <t>Полезный отпуск электроэнергии</t>
  </si>
  <si>
    <t>Величина максимальной (разрешенной) мощности</t>
  </si>
  <si>
    <t>Выручка</t>
  </si>
  <si>
    <r>
      <t>По основной деятельности (</t>
    </r>
    <r>
      <rPr>
        <i/>
        <sz val="10"/>
        <rFont val="Times New Roman Cyr"/>
        <charset val="204"/>
      </rPr>
      <t>расшифровать по проектам</t>
    </r>
    <r>
      <rPr>
        <sz val="10"/>
        <rFont val="Times New Roman Cyr"/>
        <charset val="204"/>
      </rPr>
      <t>)</t>
    </r>
  </si>
  <si>
    <t>Ставки</t>
  </si>
  <si>
    <t>Услуги по передаче электрической энергии</t>
  </si>
  <si>
    <t>Услуги по технологическому присоединению</t>
  </si>
  <si>
    <t>Прочая основная деятельность</t>
  </si>
  <si>
    <t>Ставка на содержание электрических сетей - среднегодовая</t>
  </si>
  <si>
    <t>руб./ кВт*мес.</t>
  </si>
  <si>
    <t>По неосновной деятельности</t>
  </si>
  <si>
    <t>Ставка на оплату технологического расхода (потерь) - среднегодовая, в том числе:</t>
  </si>
  <si>
    <t>руб./кВтч</t>
  </si>
  <si>
    <t>Себестоимость продаж</t>
  </si>
  <si>
    <t>на 01.01.2015</t>
  </si>
  <si>
    <t>Расходы на содержание</t>
  </si>
  <si>
    <t>на 01.02.2015</t>
  </si>
  <si>
    <t xml:space="preserve"> 2.1.1</t>
  </si>
  <si>
    <t>Среднегодовой одноставочный тариф на оказание услуг по передаче электрической энергии,  в том числе:</t>
  </si>
  <si>
    <t xml:space="preserve"> 2.1.2</t>
  </si>
  <si>
    <t>3.1.</t>
  </si>
  <si>
    <t xml:space="preserve"> 2.1.3</t>
  </si>
  <si>
    <t>страховые взносы и отчисления</t>
  </si>
  <si>
    <t>3.2.</t>
  </si>
  <si>
    <t xml:space="preserve"> 2.1.4</t>
  </si>
  <si>
    <t>услуги сторонних организаций</t>
  </si>
  <si>
    <t xml:space="preserve"> 2.1.5</t>
  </si>
  <si>
    <t>Оказание услуг по технологическому присоединению</t>
  </si>
  <si>
    <t xml:space="preserve"> 2.1.6</t>
  </si>
  <si>
    <t>аренда имущества</t>
  </si>
  <si>
    <t xml:space="preserve"> 2.1.7</t>
  </si>
  <si>
    <t>2.2</t>
  </si>
  <si>
    <t>Энергоресурсы</t>
  </si>
  <si>
    <t>Объемы реализации, в том числе:</t>
  </si>
  <si>
    <t>Валовая прибыль, всего</t>
  </si>
  <si>
    <t>до 15 Квт</t>
  </si>
  <si>
    <t>свыше 15 кВт присоединяемая мощность по фиксированным тарифам</t>
  </si>
  <si>
    <t>кВт</t>
  </si>
  <si>
    <t>1.2.1.</t>
  </si>
  <si>
    <t>15-100 кВт</t>
  </si>
  <si>
    <t>Прибыль от продаж</t>
  </si>
  <si>
    <t>1.2.2.</t>
  </si>
  <si>
    <t>от 100 до 750 кВт</t>
  </si>
  <si>
    <t>7.</t>
  </si>
  <si>
    <t>1.2.3.</t>
  </si>
  <si>
    <t>свыше 750 кВт</t>
  </si>
  <si>
    <t>8.</t>
  </si>
  <si>
    <t>Выручка от оказания услуг по технологическому присоединению, в том числе:</t>
  </si>
  <si>
    <t>9.</t>
  </si>
  <si>
    <t>для потребителей до 15 кВт</t>
  </si>
  <si>
    <t>10.</t>
  </si>
  <si>
    <t>фиксированные тарифные ставки для потребителей от 15 до 100 кВт, от 100 до 750 кВт и свыше 750 кВт</t>
  </si>
  <si>
    <t>11.</t>
  </si>
  <si>
    <t>Прибыль (убыток) до налогообложения</t>
  </si>
  <si>
    <t>12.</t>
  </si>
  <si>
    <t>Изменение отложенных налоговых активов</t>
  </si>
  <si>
    <t>13.</t>
  </si>
  <si>
    <t>Изменение отложенных налоговых обязательств</t>
  </si>
  <si>
    <t>Плановые тарифные источники реализации  (финансирования, освоения, ввода) мероприятий инвестиционной программы (в рамках сметы на содержание электросетей, утвержденной РЭК-ДЦТ КК,  и сформированного бизнес-плана Общества)</t>
  </si>
  <si>
    <t>14.</t>
  </si>
  <si>
    <t>Текущий налог на прибыль</t>
  </si>
  <si>
    <t>15.</t>
  </si>
  <si>
    <t>Прочее</t>
  </si>
  <si>
    <t>16.</t>
  </si>
  <si>
    <t>17.</t>
  </si>
  <si>
    <t>Избыток (недостаток) средств</t>
  </si>
  <si>
    <t>РЭК</t>
  </si>
  <si>
    <t>БП</t>
  </si>
  <si>
    <t>Всего источников на реализацию инвестиционной программы</t>
  </si>
  <si>
    <t>тыс.руб. без НДС</t>
  </si>
  <si>
    <r>
      <t>Бюджет доходов и расходов</t>
    </r>
    <r>
      <rPr>
        <b/>
        <i/>
        <sz val="13"/>
        <color indexed="8"/>
        <rFont val="Times New Roman"/>
        <family val="1"/>
        <charset val="204"/>
      </rPr>
      <t xml:space="preserve"> (без учета выпадающих доходов)</t>
    </r>
  </si>
  <si>
    <t>чистая прибыль (капитальные вложения производственного характера)</t>
  </si>
  <si>
    <t>лизинг производственных активов, в том числе:</t>
  </si>
  <si>
    <t>1.3.1.</t>
  </si>
  <si>
    <t>лизинг АИИСКУЭ</t>
  </si>
  <si>
    <t>1.3.2.</t>
  </si>
  <si>
    <t>1.3.3.</t>
  </si>
  <si>
    <t>1.3.4.</t>
  </si>
  <si>
    <t>лизинг АИСДУ</t>
  </si>
  <si>
    <t>Всего источников на реализацию инвестиционной программы (без учета лизинга)</t>
  </si>
  <si>
    <t>№ для ТД</t>
  </si>
  <si>
    <t>2017 год</t>
  </si>
  <si>
    <t>комментарии</t>
  </si>
  <si>
    <t>ФАКТ ожидаемый (по данным бухгалтерии 05.02.16)</t>
  </si>
  <si>
    <t xml:space="preserve">факт по данным АО "НЭСК-электросети" </t>
  </si>
  <si>
    <t xml:space="preserve">в т.ч.  по услуге на передачу электроэнергии </t>
  </si>
  <si>
    <t>план (утв. органом регулирования) (2014г.)</t>
  </si>
  <si>
    <t>план (заявка)</t>
  </si>
  <si>
    <t>план утв. органом регулирования</t>
  </si>
  <si>
    <t>план (утв. органом регулирования) 
(2014 г.)</t>
  </si>
  <si>
    <t>предложение ЦФУ</t>
  </si>
  <si>
    <t>% инфляции (2017  предложение ЦФУ/2015 ожид.факт)</t>
  </si>
  <si>
    <t xml:space="preserve">абс. откл. предложение ЦФУ от план 2017 (утв. органом регулирования) </t>
  </si>
  <si>
    <t xml:space="preserve">предложение АО "НЭСК-электросети" </t>
  </si>
  <si>
    <t>13 = 12/5</t>
  </si>
  <si>
    <t>14 = 12-11</t>
  </si>
  <si>
    <t>26</t>
  </si>
  <si>
    <t xml:space="preserve">1. Приборы для техн. учета на ТП 10(6)/0,4 кВ для проведения пофидерного анализа и локализации очагов потерь в количестве – 730 шт. По решению руководства компании приобретение данных приборов и проведение пофидерного анализа является приоритетной задачей.
2. 1ф счётчики для замены у бытовых потребителей (инвалидов, ветеранов, малоимущих) в количестве – 2550 шт.
3. Токоограничивающие приборы учёта для прохождения летнего максимума нагрузок в количестве – 960 шт.  Не приобретение данных приборов может повлечь за собой аварии из-за перегруженности сетей в результате превышения потребителями разрешенной мощности и как следствие применение санкций к компании.
4. Приборы учёта для установки потребителям группы риска, для предотвращения хищения электроэнергии в количестве – 1210 шт. 
Не приобретение данного типа приборов напрямую влияет на увеличения фактических потерь компании, возникающих в результате хищения электроэнергии  и, как следствие, недополучение выручки предприятием.
5. Приборы учёта прямого и трансформаторного включения для установки потребителям, а так же приборы учёта для МКД в количестве 290 шт.        </t>
  </si>
  <si>
    <t>Обор-е для установки потребителям группы риска (ВПУ – 1160 шт., ВПУ с возможностью дистанционного съема – 2155 шт. ) Не выполнение плана по установке ВПУ – прямое не выполнение норматива потерь, что для компании не допустимо.  Кроме того установка ВПУ с возможностью дистанционного съема показаний позволит не выезжать на место для проведения контрольного съема показаний, а так же позволит экономить время на выполнение данных работ и сократит затраты на использование автотранспорта компании.</t>
  </si>
  <si>
    <t>в связи с эксплуатацией системы АИИСКУЭ в течение 10л., необходима замена приборов учета, трансформаторов тока, оборудования ИВК (ИБП, модемы, преобразователи интерфейсов)</t>
  </si>
  <si>
    <t>45</t>
  </si>
  <si>
    <t>46</t>
  </si>
  <si>
    <t>47</t>
  </si>
  <si>
    <t>48</t>
  </si>
  <si>
    <t>49</t>
  </si>
  <si>
    <t>50</t>
  </si>
  <si>
    <t>95</t>
  </si>
  <si>
    <t>в связи с внедрением в эксплуатацию системы АИСДУ</t>
  </si>
  <si>
    <t>затраты на оформление з/у при определении границ охранных зон согл. ПП РФ от 24.02.2009 №160. Филиалами устанавливаются ТП, собственником з/у под ТП яв-ся муниципальные образования. Необходимо оформить з/у, к-рые будут переданы в аренду согл. ст. 36 Земельного кодекса РФ.</t>
  </si>
  <si>
    <t>в связи с расторжением договора (Атлан)</t>
  </si>
  <si>
    <t>133</t>
  </si>
  <si>
    <t>обследование проводится 1 раз в 5 лет</t>
  </si>
  <si>
    <t>2.07.04.61</t>
  </si>
  <si>
    <t>Прочие услуги Клининговые и прочие услуги хоз. характера</t>
  </si>
  <si>
    <t>2.07.04.62</t>
  </si>
  <si>
    <t>Прочие услуги Прочее обслуживание автотранспортных средств</t>
  </si>
  <si>
    <t>1.5.1.5.46</t>
  </si>
  <si>
    <t>157</t>
  </si>
  <si>
    <t>158</t>
  </si>
  <si>
    <t>увеличение стоимости оказываемых услуг в связи с предоставленными проектами договоров филиалами с организациями, имеющими лицензию на вывоз ТБО, составленных во избежание образования состава административного правонарушения по ст. 8.2. КРФ от 30.12.2011№ 195-Ф3</t>
  </si>
  <si>
    <t>182</t>
  </si>
  <si>
    <t>183</t>
  </si>
  <si>
    <t>193</t>
  </si>
  <si>
    <t>206</t>
  </si>
  <si>
    <t>207</t>
  </si>
  <si>
    <t>225</t>
  </si>
  <si>
    <t>226</t>
  </si>
  <si>
    <t>227</t>
  </si>
  <si>
    <t>228</t>
  </si>
  <si>
    <t>229</t>
  </si>
  <si>
    <t>231</t>
  </si>
  <si>
    <t>232</t>
  </si>
  <si>
    <t>233</t>
  </si>
  <si>
    <t>234</t>
  </si>
  <si>
    <t>235</t>
  </si>
  <si>
    <t>236</t>
  </si>
  <si>
    <t>237</t>
  </si>
  <si>
    <t>238</t>
  </si>
  <si>
    <t>239</t>
  </si>
  <si>
    <t>241</t>
  </si>
  <si>
    <t>242</t>
  </si>
  <si>
    <t>243</t>
  </si>
  <si>
    <t>244</t>
  </si>
  <si>
    <t>245</t>
  </si>
  <si>
    <t>2.11.36</t>
  </si>
  <si>
    <t>246</t>
  </si>
  <si>
    <t>2.11.37</t>
  </si>
  <si>
    <t>247</t>
  </si>
  <si>
    <t>работы и услуги производственного характера (в том числе услуги сторонних организаций по содержанию сетей и распределительных устройств)</t>
  </si>
  <si>
    <t>1.1.3.3.18</t>
  </si>
  <si>
    <t>Прочие расходы СМИ</t>
  </si>
  <si>
    <t>план</t>
  </si>
  <si>
    <t>Другие внереализационные расходы</t>
  </si>
  <si>
    <t>2.3</t>
  </si>
  <si>
    <t>2.4</t>
  </si>
  <si>
    <t>Увеличение обусловлено  недоучетом в плановых величинах  экономически обоснованных затрат (расходов)  по причине  определения планируемой величины по фактическим затратам предыдущего периода регулирования в соответствии с Основами ценообразования.</t>
  </si>
  <si>
    <t>Увеличение обусловлено  недоучетом в плановых величинах  экономически обоснованных затрат (расходов)  по причине  применения органом регулирования при установлении индивидуальных тарифов на оказание услуг по передаче электрической энергии  для взаиморасчетов между сетевыми организациями сценарных условий  Правительства РФ, направленных на сдерживание роста тарифов на электрическую энергию для потребителей, а также без учета норм локально-распорядительных документов, действующих в Обществе.</t>
  </si>
  <si>
    <t>Рост фактических и относительных (условных единиц) величин обусловлен строительством новых объектов (электроустановок) напряжением (6-10-35 кВ) по инвестиционной программе и технологическому присоединению.</t>
  </si>
  <si>
    <t>Изменение обусловлено административной процедурой (процедура учитывает сроки и порядок документооборота) получения   разрешений Ростехнадзора  на допуск в эксплуатацию  электроустановок.</t>
  </si>
  <si>
    <t>форма 1.6., отклонение за счет услуг по контрольному съему показаний приборов учета и мед. Осмотру</t>
  </si>
  <si>
    <t>данные из форм 1.6, 1.3</t>
  </si>
  <si>
    <t>данные макета</t>
  </si>
  <si>
    <t>Информация о расходах отражена справочно, расчет расходов произведен в соответствии с нормой п.87 Основ ценообразования и нормативно-правовых актов в области государственного регулирования цен  и тарифов на электрическую энергию.</t>
  </si>
  <si>
    <t>Увеличение обусловлено  недоучетом в плановых величинах  экономически обоснованных затрат (расходов)  по причине  определения планируемого уровня расходов на 2015 год  методом индексации</t>
  </si>
  <si>
    <t>изменение обусловлено снижением налоговой базы по налогу на прибыль, расчет произведен в соответствии с действующим законодательством - глава 25 "Налог на прибыль" Налогового кодекса РФ, по ставке 20%</t>
  </si>
  <si>
    <t>руб./кВт·ч</t>
  </si>
  <si>
    <t>Приложение №1</t>
  </si>
  <si>
    <t>к предложению о размере цен (тарифов),
 долгосрочных параметров регулирования</t>
  </si>
  <si>
    <t>Раздел 2. Основные показатели деятельности организаций, относящихся к субъектам естественных монополий, 
а также коммерческого оператора оптового рынка электрической энергии (мощности)</t>
  </si>
  <si>
    <t>Приложение №5</t>
  </si>
  <si>
    <t>Раздел 3. Цены (тарифы) по регулируемым видам деятельности организации</t>
  </si>
  <si>
    <t xml:space="preserve">Письмо в РЭК ДЦТ КК №10.НС-08/499/2658 от 31.03.2016 "О предоставлении отчета по инвестиционной программе"
</t>
  </si>
  <si>
    <t xml:space="preserve">Приложение 
к стандартам раскрытия информации
субъектами оптового и розничных
рынков электрической энергии
</t>
  </si>
  <si>
    <t>о размере цен (тарифов), долгосрочных параметров регулирования</t>
  </si>
  <si>
    <t>(расчетный период регулирования)</t>
  </si>
  <si>
    <t>(полное и сокращенное наименование юридического лица)</t>
  </si>
  <si>
    <t>Акционерное общество "НЭСК-электросети" (АО "НЭСК-электросети")</t>
  </si>
  <si>
    <t xml:space="preserve">
Раздел 1. Информация об организации</t>
  </si>
  <si>
    <r>
      <t xml:space="preserve">(вид цены (тарифа) на       </t>
    </r>
    <r>
      <rPr>
        <u/>
        <sz val="16"/>
        <color theme="1"/>
        <rFont val="Times New Roman"/>
        <family val="1"/>
        <charset val="204"/>
      </rPr>
      <t xml:space="preserve">                          2017 год                              </t>
    </r>
    <r>
      <rPr>
        <sz val="16"/>
        <color theme="1"/>
        <rFont val="Times New Roman"/>
        <family val="1"/>
        <charset val="204"/>
      </rPr>
      <t xml:space="preserve">
(расчетный период регулирования)
</t>
    </r>
  </si>
  <si>
    <t>** - по данной строке отражена необходимая валовая выручка на содержание электрических сетей;</t>
  </si>
  <si>
    <t>руб./МВт в мес.</t>
  </si>
  <si>
    <t>руб./МВт·ч</t>
  </si>
  <si>
    <t>наименование показателей</t>
  </si>
  <si>
    <t>фактические показатели за год, предшествующий базовому периоду
2015</t>
  </si>
  <si>
    <t>показатели, утвержденные на базовый период
2016</t>
  </si>
  <si>
    <t xml:space="preserve">показатели, утвержденные на 2015 год
приказом № 42/2015-э 
от 24.06.2015 </t>
  </si>
  <si>
    <t>показатели, утвержденные на 2016 год приказами № 88/2015-э от 29.12.2015, №1/2016-э от 13.01.2016</t>
  </si>
  <si>
    <t>350033, г. Краснодар, пер. Переправный, 13, офис 103 А</t>
  </si>
  <si>
    <t>230901001/230750001</t>
  </si>
  <si>
    <t>Краснянская Ольга Игоревна</t>
  </si>
  <si>
    <t>(861) 992-11-00</t>
  </si>
  <si>
    <t>(861) 992-10-99</t>
  </si>
  <si>
    <t>предложения (актуализация) на расчетный период регулирования
2017</t>
  </si>
  <si>
    <t xml:space="preserve">Программа по энергосбережению и повышению энергетической эффективности АО "НЭСК-электросети" на 2013 - 2017 годы, разработана на основании рекомендаций Энергетического паспорта ОАО "НЭСК-электросети" от ноября 2012 года. Утверждена в 2013 году Генеральным директором Общества. Направлена в РЭК - ДЦ и Т КК сопроводительными письмами: от 14.03.2013 № 26.1НС-05/0886; от 09.07.2013 № 26.1НС-05/2606; от 30.01.2014 № 6.2НС-15/37/2014. </t>
  </si>
  <si>
    <t>предложения (актуализация) на 2017 год</t>
  </si>
  <si>
    <t>АКТУАЛИЗИРОВАННОЕ ПРЕДЛОЖЕНИЕ</t>
  </si>
  <si>
    <t>Приложение №2</t>
  </si>
  <si>
    <t>к предложению о размере цен (тарифов),  долгосрочных параметров регулирования</t>
  </si>
  <si>
    <t>АО "НЭСК-электросети" не является членом отраслевого тарифного соглашения  в электроэнергетике РФ, так как  затраты и взносы по вступлению и нахождению в данном соглашении не учитываются при определении необходимой валовой выручки ввиду того, что они являются добровольными.</t>
  </si>
</sst>
</file>

<file path=xl/styles.xml><?xml version="1.0" encoding="utf-8"?>
<styleSheet xmlns="http://schemas.openxmlformats.org/spreadsheetml/2006/main" xmlns:mc="http://schemas.openxmlformats.org/markup-compatibility/2006" xmlns:x14ac="http://schemas.microsoft.com/office/spreadsheetml/2009/9/ac" mc:Ignorable="x14ac">
  <numFmts count="56">
    <numFmt numFmtId="7" formatCode="#,##0.00&quot;р.&quot;;\-#,##0.00&quot;р.&quot;"/>
    <numFmt numFmtId="41" formatCode="_-* #,##0_р_._-;\-* #,##0_р_._-;_-* &quot;-&quot;_р_._-;_-@_-"/>
    <numFmt numFmtId="44" formatCode="_-* #,##0.00&quot;р.&quot;_-;\-* #,##0.00&quot;р.&quot;_-;_-* &quot;-&quot;??&quot;р.&quot;_-;_-@_-"/>
    <numFmt numFmtId="43" formatCode="_-* #,##0.00_р_._-;\-* #,##0.00_р_._-;_-* &quot;-&quot;??_р_._-;_-@_-"/>
    <numFmt numFmtId="164" formatCode="#,##0.0"/>
    <numFmt numFmtId="165" formatCode="#,##0.00_ ;\-#,##0.00\ "/>
    <numFmt numFmtId="166" formatCode="#,##0_ ;\-#,##0\ "/>
    <numFmt numFmtId="167" formatCode="0.0%"/>
    <numFmt numFmtId="168" formatCode="#,##0.000_ ;\-#,##0.000\ "/>
    <numFmt numFmtId="169" formatCode="#,##0.0000_ ;\-#,##0.0000\ "/>
    <numFmt numFmtId="170" formatCode="0.000"/>
    <numFmt numFmtId="171" formatCode="0_ ;\-0\ "/>
    <numFmt numFmtId="172" formatCode="0.0"/>
    <numFmt numFmtId="173" formatCode="_-* #,##0.00[$€-1]_-;\-* #,##0.00[$€-1]_-;_-* &quot;-&quot;??[$€-1]_-"/>
    <numFmt numFmtId="174" formatCode="0.0%_);\(0.0%\)"/>
    <numFmt numFmtId="175" formatCode="#,##0_);[Red]\(#,##0\)"/>
    <numFmt numFmtId="176" formatCode="#,##0;\(#,##0\)"/>
    <numFmt numFmtId="177" formatCode="_-* #,##0.00\ _$_-;\-* #,##0.00\ _$_-;_-* &quot;-&quot;??\ _$_-;_-@_-"/>
    <numFmt numFmtId="178" formatCode="#.##0\.00"/>
    <numFmt numFmtId="179" formatCode="#\.00"/>
    <numFmt numFmtId="180" formatCode="\$#\.00"/>
    <numFmt numFmtId="181" formatCode="#\."/>
    <numFmt numFmtId="182" formatCode="General_)"/>
    <numFmt numFmtId="183" formatCode="_-* #,##0&quot;đ.&quot;_-;\-* #,##0&quot;đ.&quot;_-;_-* &quot;-&quot;&quot;đ.&quot;_-;_-@_-"/>
    <numFmt numFmtId="184" formatCode="_-* #,##0.00&quot;đ.&quot;_-;\-* #,##0.00&quot;đ.&quot;_-;_-* &quot;-&quot;??&quot;đ.&quot;_-;_-@_-"/>
    <numFmt numFmtId="185" formatCode="&quot;$&quot;#,##0_);[Red]\(&quot;$&quot;#,##0\)"/>
    <numFmt numFmtId="186" formatCode="\$#,##0\ ;\(\$#,##0\)"/>
    <numFmt numFmtId="187" formatCode="#,##0.000[$р.-419];\-#,##0.000[$р.-419]"/>
    <numFmt numFmtId="188" formatCode="_-* #,##0.0\ _$_-;\-* #,##0.0\ _$_-;_-* &quot;-&quot;??\ _$_-;_-@_-"/>
    <numFmt numFmtId="189" formatCode="_([$€]* #,##0.00_);_([$€]* \(#,##0.00\);_([$€]* &quot;-&quot;??_);_(@_)"/>
    <numFmt numFmtId="190" formatCode="#,##0.0_);\(#,##0.0\)"/>
    <numFmt numFmtId="191" formatCode="#,##0_ ;[Red]\-#,##0\ "/>
    <numFmt numFmtId="192" formatCode="#,##0_);[Blue]\(#,##0\)"/>
    <numFmt numFmtId="193" formatCode="_-* #,##0_-;\-* #,##0_-;_-* &quot;-&quot;_-;_-@_-"/>
    <numFmt numFmtId="194" formatCode="_-* #,##0.00_-;\-* #,##0.00_-;_-* &quot;-&quot;??_-;_-@_-"/>
    <numFmt numFmtId="195" formatCode="#,##0__\ \ \ \ "/>
    <numFmt numFmtId="196" formatCode="_-&quot;£&quot;* #,##0_-;\-&quot;£&quot;* #,##0_-;_-&quot;£&quot;* &quot;-&quot;_-;_-@_-"/>
    <numFmt numFmtId="197" formatCode="_-&quot;£&quot;* #,##0.00_-;\-&quot;£&quot;* #,##0.00_-;_-&quot;£&quot;* &quot;-&quot;??_-;_-@_-"/>
    <numFmt numFmtId="198" formatCode="#,##0.0;[Red]#,##0.0"/>
    <numFmt numFmtId="199" formatCode="_-* #,##0_đ_._-;\-* #,##0_đ_._-;_-* &quot;-&quot;_đ_._-;_-@_-"/>
    <numFmt numFmtId="200" formatCode="_-* #,##0.00_đ_._-;\-* #,##0.00_đ_._-;_-* &quot;-&quot;??_đ_._-;_-@_-"/>
    <numFmt numFmtId="201" formatCode="\(#,##0.0\)"/>
    <numFmt numFmtId="202" formatCode="#,##0\ &quot;?.&quot;;\-#,##0\ &quot;?.&quot;"/>
    <numFmt numFmtId="203" formatCode="#,##0______;;&quot;------------      &quot;"/>
    <numFmt numFmtId="204" formatCode="#,##0.00_ ;[Red]\-#,##0.00\ "/>
    <numFmt numFmtId="205" formatCode="#,##0.000"/>
    <numFmt numFmtId="206" formatCode="0_)"/>
    <numFmt numFmtId="207" formatCode="_-* #,##0\ _р_._-;\-* #,##0\ _р_._-;_-* &quot;-&quot;\ _р_._-;_-@_-"/>
    <numFmt numFmtId="208" formatCode="_-* #,##0.00\ _р_._-;\-* #,##0.00\ _р_._-;_-* &quot;-&quot;??\ _р_._-;_-@_-"/>
    <numFmt numFmtId="209" formatCode="_(* #,##0.00_);_(* \(#,##0.00\);_(* &quot;-&quot;??_);_(@_)"/>
    <numFmt numFmtId="210" formatCode="_-* #,##0\ _$_-;\-* #,##0\ _$_-;_-* &quot;-&quot;\ _$_-;_-@_-"/>
    <numFmt numFmtId="211" formatCode="%#\.00"/>
    <numFmt numFmtId="212" formatCode="#,##0.000000"/>
    <numFmt numFmtId="213" formatCode="#,##0.0000000"/>
    <numFmt numFmtId="214" formatCode="#,##0.00000"/>
    <numFmt numFmtId="215" formatCode="0.0000"/>
  </numFmts>
  <fonts count="296">
    <font>
      <sz val="11"/>
      <color theme="1"/>
      <name val="Calibri"/>
      <family val="2"/>
      <scheme val="minor"/>
    </font>
    <font>
      <sz val="11"/>
      <color theme="1"/>
      <name val="Calibri"/>
      <family val="2"/>
      <charset val="204"/>
      <scheme val="minor"/>
    </font>
    <font>
      <sz val="11"/>
      <color theme="1"/>
      <name val="Calibri"/>
      <family val="2"/>
      <charset val="204"/>
      <scheme val="minor"/>
    </font>
    <font>
      <sz val="14"/>
      <color theme="1"/>
      <name val="Times New Roman"/>
      <family val="1"/>
      <charset val="204"/>
    </font>
    <font>
      <i/>
      <sz val="14"/>
      <color theme="1"/>
      <name val="Times New Roman"/>
      <family val="1"/>
      <charset val="204"/>
    </font>
    <font>
      <sz val="12"/>
      <color theme="1"/>
      <name val="Times New Roman"/>
      <family val="1"/>
      <charset val="204"/>
    </font>
    <font>
      <u/>
      <sz val="11"/>
      <color theme="10"/>
      <name val="Calibri"/>
      <family val="2"/>
      <scheme val="minor"/>
    </font>
    <font>
      <sz val="12"/>
      <name val="Times New Roman"/>
      <family val="1"/>
      <charset val="204"/>
    </font>
    <font>
      <b/>
      <sz val="14"/>
      <color theme="1"/>
      <name val="Times New Roman"/>
      <family val="1"/>
      <charset val="204"/>
    </font>
    <font>
      <sz val="11"/>
      <color theme="1"/>
      <name val="Times New Roman"/>
      <family val="1"/>
      <charset val="204"/>
    </font>
    <font>
      <sz val="8"/>
      <color theme="1"/>
      <name val="Times New Roman"/>
      <family val="1"/>
      <charset val="204"/>
    </font>
    <font>
      <sz val="10"/>
      <color theme="1"/>
      <name val="Times New Roman"/>
      <family val="1"/>
      <charset val="204"/>
    </font>
    <font>
      <b/>
      <sz val="16"/>
      <color theme="1"/>
      <name val="Times New Roman"/>
      <family val="1"/>
      <charset val="204"/>
    </font>
    <font>
      <b/>
      <sz val="14"/>
      <name val="Times New Roman"/>
      <family val="1"/>
      <charset val="204"/>
    </font>
    <font>
      <b/>
      <sz val="12"/>
      <name val="Times New Roman"/>
      <family val="1"/>
      <charset val="204"/>
    </font>
    <font>
      <sz val="10"/>
      <name val="Arial Cyr"/>
      <charset val="204"/>
    </font>
    <font>
      <sz val="10"/>
      <name val="Times New Roman"/>
      <family val="1"/>
      <charset val="204"/>
    </font>
    <font>
      <sz val="11"/>
      <name val="Times New Roman"/>
      <family val="1"/>
      <charset val="204"/>
    </font>
    <font>
      <sz val="10.5"/>
      <name val="Times New Roman"/>
      <family val="1"/>
      <charset val="204"/>
    </font>
    <font>
      <sz val="10"/>
      <color indexed="9"/>
      <name val="Times New Roman"/>
      <family val="1"/>
      <charset val="204"/>
    </font>
    <font>
      <sz val="8"/>
      <name val="Arial"/>
      <family val="2"/>
      <charset val="204"/>
    </font>
    <font>
      <sz val="14"/>
      <name val="Times New Roman"/>
      <family val="1"/>
      <charset val="204"/>
    </font>
    <font>
      <b/>
      <sz val="11"/>
      <name val="Times New Roman"/>
      <family val="1"/>
      <charset val="204"/>
    </font>
    <font>
      <b/>
      <sz val="10.5"/>
      <name val="Times New Roman"/>
      <family val="1"/>
      <charset val="204"/>
    </font>
    <font>
      <sz val="11"/>
      <color theme="1"/>
      <name val="Calibri"/>
      <family val="2"/>
      <scheme val="minor"/>
    </font>
    <font>
      <sz val="13"/>
      <color theme="1"/>
      <name val="Times New Roman"/>
      <family val="1"/>
      <charset val="204"/>
    </font>
    <font>
      <b/>
      <sz val="16"/>
      <color theme="0"/>
      <name val="Times New Roman"/>
      <family val="1"/>
      <charset val="204"/>
    </font>
    <font>
      <b/>
      <sz val="13"/>
      <color theme="0"/>
      <name val="Times New Roman"/>
      <family val="1"/>
      <charset val="204"/>
    </font>
    <font>
      <b/>
      <sz val="9"/>
      <name val="Tahoma"/>
      <family val="2"/>
      <charset val="204"/>
    </font>
    <font>
      <b/>
      <sz val="11"/>
      <color theme="0"/>
      <name val="Times New Roman"/>
      <family val="1"/>
      <charset val="204"/>
    </font>
    <font>
      <b/>
      <sz val="13"/>
      <name val="Times New Roman"/>
      <family val="1"/>
      <charset val="204"/>
    </font>
    <font>
      <b/>
      <sz val="13"/>
      <color theme="1"/>
      <name val="Times New Roman"/>
      <family val="1"/>
      <charset val="204"/>
    </font>
    <font>
      <sz val="13"/>
      <color theme="0"/>
      <name val="Times New Roman"/>
      <family val="1"/>
      <charset val="204"/>
    </font>
    <font>
      <sz val="11"/>
      <color theme="0"/>
      <name val="Times New Roman"/>
      <family val="1"/>
      <charset val="204"/>
    </font>
    <font>
      <b/>
      <sz val="14"/>
      <name val="Franklin Gothic Medium"/>
      <family val="2"/>
      <charset val="204"/>
    </font>
    <font>
      <sz val="13"/>
      <name val="Times New Roman"/>
      <family val="1"/>
      <charset val="204"/>
    </font>
    <font>
      <sz val="9"/>
      <name val="Tahoma"/>
      <family val="2"/>
      <charset val="204"/>
    </font>
    <font>
      <sz val="10"/>
      <name val="Arial"/>
      <family val="2"/>
      <charset val="204"/>
    </font>
    <font>
      <sz val="13"/>
      <color rgb="FFFF0000"/>
      <name val="Times New Roman"/>
      <family val="1"/>
      <charset val="204"/>
    </font>
    <font>
      <sz val="13"/>
      <color theme="4"/>
      <name val="Times New Roman"/>
      <family val="1"/>
      <charset val="204"/>
    </font>
    <font>
      <sz val="16"/>
      <color theme="1"/>
      <name val="Times New Roman"/>
      <family val="1"/>
      <charset val="204"/>
    </font>
    <font>
      <b/>
      <sz val="12.5"/>
      <name val="Times New Roman"/>
      <family val="1"/>
      <charset val="204"/>
    </font>
    <font>
      <b/>
      <sz val="12.5"/>
      <color rgb="FFFF0000"/>
      <name val="Times New Roman"/>
      <family val="1"/>
      <charset val="204"/>
    </font>
    <font>
      <sz val="12.5"/>
      <color theme="1"/>
      <name val="Times New Roman"/>
      <family val="1"/>
      <charset val="204"/>
    </font>
    <font>
      <b/>
      <sz val="12.5"/>
      <color theme="1"/>
      <name val="Times New Roman"/>
      <family val="1"/>
      <charset val="204"/>
    </font>
    <font>
      <sz val="12.5"/>
      <name val="Times New Roman"/>
      <family val="1"/>
      <charset val="204"/>
    </font>
    <font>
      <sz val="12.5"/>
      <color rgb="FFFF0000"/>
      <name val="Times New Roman"/>
      <family val="1"/>
      <charset val="204"/>
    </font>
    <font>
      <sz val="12.5"/>
      <color indexed="8"/>
      <name val="Times New Roman"/>
      <family val="1"/>
      <charset val="204"/>
    </font>
    <font>
      <i/>
      <sz val="12.5"/>
      <name val="Times New Roman"/>
      <family val="1"/>
      <charset val="204"/>
    </font>
    <font>
      <b/>
      <sz val="18"/>
      <color theme="1"/>
      <name val="Times New Roman"/>
      <family val="1"/>
      <charset val="204"/>
    </font>
    <font>
      <sz val="14"/>
      <color theme="5" tint="-0.249977111117893"/>
      <name val="Times New Roman"/>
      <family val="1"/>
      <charset val="204"/>
    </font>
    <font>
      <i/>
      <sz val="13"/>
      <color theme="1"/>
      <name val="Times New Roman"/>
      <family val="1"/>
      <charset val="204"/>
    </font>
    <font>
      <sz val="13"/>
      <color theme="5" tint="-0.249977111117893"/>
      <name val="Times New Roman"/>
      <family val="1"/>
      <charset val="204"/>
    </font>
    <font>
      <b/>
      <sz val="10"/>
      <color indexed="81"/>
      <name val="Tahoma"/>
      <family val="2"/>
      <charset val="204"/>
    </font>
    <font>
      <sz val="9"/>
      <color indexed="81"/>
      <name val="Tahoma"/>
      <family val="2"/>
      <charset val="204"/>
    </font>
    <font>
      <sz val="10"/>
      <color indexed="81"/>
      <name val="Tahoma"/>
      <family val="2"/>
      <charset val="204"/>
    </font>
    <font>
      <b/>
      <sz val="9"/>
      <color indexed="81"/>
      <name val="Tahoma"/>
      <family val="2"/>
      <charset val="204"/>
    </font>
    <font>
      <sz val="10"/>
      <name val="Helv"/>
    </font>
    <font>
      <sz val="10"/>
      <name val="Helv"/>
      <charset val="204"/>
    </font>
    <font>
      <sz val="8"/>
      <color indexed="12"/>
      <name val="Arial"/>
      <family val="2"/>
      <charset val="204"/>
    </font>
    <font>
      <sz val="11"/>
      <name val="?l?r ?o?S?V?b?N"/>
      <family val="3"/>
    </font>
    <font>
      <sz val="10"/>
      <name val="’†?S?V?b?N‘М"/>
      <family val="3"/>
      <charset val="128"/>
    </font>
    <font>
      <sz val="10"/>
      <color indexed="8"/>
      <name val="Arial"/>
      <family val="2"/>
      <charset val="204"/>
    </font>
    <font>
      <sz val="10"/>
      <color indexed="8"/>
      <name val="Verdana"/>
      <family val="2"/>
      <charset val="204"/>
    </font>
    <font>
      <sz val="10"/>
      <name val="Arial Cyr"/>
      <family val="2"/>
      <charset val="204"/>
    </font>
    <font>
      <sz val="10"/>
      <name val="Arial Cyr"/>
    </font>
    <font>
      <sz val="1"/>
      <color indexed="8"/>
      <name val="Courier"/>
      <family val="1"/>
      <charset val="204"/>
    </font>
    <font>
      <b/>
      <sz val="1"/>
      <color indexed="8"/>
      <name val="Courier"/>
      <family val="1"/>
      <charset val="204"/>
    </font>
    <font>
      <sz val="10"/>
      <name val="MS Sans Serif"/>
      <family val="2"/>
      <charset val="204"/>
    </font>
    <font>
      <sz val="11"/>
      <color indexed="8"/>
      <name val="Calibri"/>
      <family val="2"/>
      <charset val="204"/>
    </font>
    <font>
      <sz val="10"/>
      <color indexed="8"/>
      <name val="Arial Cyr"/>
      <family val="2"/>
      <charset val="204"/>
    </font>
    <font>
      <sz val="11"/>
      <color indexed="9"/>
      <name val="Calibri"/>
      <family val="2"/>
      <charset val="204"/>
    </font>
    <font>
      <sz val="10"/>
      <color indexed="9"/>
      <name val="Arial Cyr"/>
      <family val="2"/>
      <charset val="204"/>
    </font>
    <font>
      <sz val="10"/>
      <color indexed="9"/>
      <name val="Arial"/>
      <family val="2"/>
      <charset val="204"/>
    </font>
    <font>
      <u/>
      <sz val="10"/>
      <color indexed="12"/>
      <name val="Courier"/>
      <family val="1"/>
      <charset val="204"/>
    </font>
    <font>
      <u/>
      <sz val="10"/>
      <color indexed="12"/>
      <name val="Courier"/>
      <family val="3"/>
    </font>
    <font>
      <sz val="11"/>
      <color indexed="20"/>
      <name val="Calibri"/>
      <family val="2"/>
      <charset val="204"/>
    </font>
    <font>
      <sz val="9"/>
      <color indexed="56"/>
      <name val="Frutiger 45 Light"/>
      <family val="2"/>
    </font>
    <font>
      <sz val="10"/>
      <name val="Times New Roman"/>
      <family val="1"/>
    </font>
    <font>
      <b/>
      <sz val="11"/>
      <color indexed="52"/>
      <name val="Calibri"/>
      <family val="2"/>
      <charset val="204"/>
    </font>
    <font>
      <sz val="10"/>
      <name val="Tahoma"/>
      <family val="2"/>
      <charset val="204"/>
    </font>
    <font>
      <b/>
      <sz val="11"/>
      <color indexed="9"/>
      <name val="Calibri"/>
      <family val="2"/>
      <charset val="204"/>
    </font>
    <font>
      <sz val="10"/>
      <color indexed="57"/>
      <name val="Wingdings"/>
      <charset val="2"/>
    </font>
    <font>
      <sz val="8"/>
      <name val="Palatino"/>
      <family val="1"/>
    </font>
    <font>
      <sz val="10"/>
      <color indexed="24"/>
      <name val="Arial"/>
      <family val="2"/>
      <charset val="204"/>
    </font>
    <font>
      <b/>
      <sz val="10"/>
      <color indexed="12"/>
      <name val="Arial Cyr"/>
      <family val="2"/>
      <charset val="204"/>
    </font>
    <font>
      <sz val="8"/>
      <name val="Arial Cyr"/>
      <charset val="204"/>
    </font>
    <font>
      <sz val="12"/>
      <name val="Tms Rmn"/>
      <charset val="204"/>
    </font>
    <font>
      <u/>
      <sz val="8"/>
      <color indexed="12"/>
      <name val="Arial Cyr"/>
      <charset val="204"/>
    </font>
    <font>
      <i/>
      <sz val="11"/>
      <color indexed="23"/>
      <name val="Calibri"/>
      <family val="2"/>
      <charset val="204"/>
    </font>
    <font>
      <sz val="18"/>
      <name val="Arial"/>
      <family val="2"/>
      <charset val="204"/>
    </font>
    <font>
      <i/>
      <sz val="12"/>
      <name val="Arial"/>
      <family val="2"/>
      <charset val="204"/>
    </font>
    <font>
      <sz val="12"/>
      <name val="Symbol"/>
      <family val="1"/>
      <charset val="2"/>
    </font>
    <font>
      <sz val="18"/>
      <name val="Symbol"/>
      <family val="1"/>
      <charset val="2"/>
    </font>
    <font>
      <sz val="8"/>
      <name val="Symbol"/>
      <family val="1"/>
      <charset val="2"/>
    </font>
    <font>
      <i/>
      <sz val="12"/>
      <name val="Symbol"/>
      <family val="1"/>
      <charset val="2"/>
    </font>
    <font>
      <sz val="10"/>
      <name val="Courier"/>
      <family val="1"/>
      <charset val="204"/>
    </font>
    <font>
      <u/>
      <sz val="10"/>
      <color indexed="36"/>
      <name val="Arial Cyr"/>
      <charset val="204"/>
    </font>
    <font>
      <sz val="7"/>
      <name val="Palatino"/>
      <family val="1"/>
    </font>
    <font>
      <sz val="11"/>
      <color indexed="17"/>
      <name val="Calibri"/>
      <family val="2"/>
      <charset val="204"/>
    </font>
    <font>
      <sz val="10"/>
      <name val="Arial"/>
      <family val="2"/>
    </font>
    <font>
      <sz val="9"/>
      <name val="Futura UBS Bk"/>
      <family val="2"/>
    </font>
    <font>
      <sz val="6"/>
      <color indexed="16"/>
      <name val="Palatino"/>
      <family val="1"/>
    </font>
    <font>
      <b/>
      <sz val="10"/>
      <color indexed="18"/>
      <name val="Arial Cyr"/>
      <charset val="204"/>
    </font>
    <font>
      <b/>
      <sz val="18"/>
      <color indexed="24"/>
      <name val="Arial"/>
      <family val="2"/>
      <charset val="204"/>
    </font>
    <font>
      <b/>
      <sz val="15"/>
      <color indexed="56"/>
      <name val="Calibri"/>
      <family val="2"/>
      <charset val="204"/>
    </font>
    <font>
      <b/>
      <sz val="12"/>
      <color indexed="24"/>
      <name val="Arial"/>
      <family val="2"/>
      <charset val="204"/>
    </font>
    <font>
      <b/>
      <sz val="13"/>
      <color indexed="56"/>
      <name val="Calibri"/>
      <family val="2"/>
      <charset val="204"/>
    </font>
    <font>
      <b/>
      <sz val="11"/>
      <color indexed="56"/>
      <name val="Calibri"/>
      <family val="2"/>
      <charset val="204"/>
    </font>
    <font>
      <sz val="8"/>
      <color indexed="13"/>
      <name val="Arial"/>
      <family val="2"/>
    </font>
    <font>
      <b/>
      <sz val="8"/>
      <name val="Arial Cyr"/>
      <charset val="204"/>
    </font>
    <font>
      <u/>
      <sz val="10"/>
      <color indexed="12"/>
      <name val="Arial Cyr"/>
      <charset val="204"/>
    </font>
    <font>
      <u/>
      <sz val="10"/>
      <color indexed="36"/>
      <name val="Courier"/>
      <family val="1"/>
      <charset val="204"/>
    </font>
    <font>
      <u/>
      <sz val="10"/>
      <color indexed="36"/>
      <name val="Courier"/>
      <family val="3"/>
    </font>
    <font>
      <b/>
      <i/>
      <sz val="11"/>
      <color indexed="12"/>
      <name val="Arial Cyr"/>
      <family val="2"/>
      <charset val="204"/>
    </font>
    <font>
      <sz val="11"/>
      <color indexed="62"/>
      <name val="Calibri"/>
      <family val="2"/>
      <charset val="204"/>
    </font>
    <font>
      <sz val="8"/>
      <color indexed="12"/>
      <name val="Palatino"/>
      <family val="1"/>
    </font>
    <font>
      <sz val="11"/>
      <color indexed="52"/>
      <name val="Calibri"/>
      <family val="2"/>
      <charset val="204"/>
    </font>
    <font>
      <sz val="12"/>
      <name val="Gill Sans"/>
    </font>
    <font>
      <i/>
      <sz val="10"/>
      <name val="PragmaticaC"/>
      <charset val="204"/>
    </font>
    <font>
      <sz val="11"/>
      <color indexed="60"/>
      <name val="Calibri"/>
      <family val="2"/>
      <charset val="204"/>
    </font>
    <font>
      <sz val="12"/>
      <name val="Arial"/>
      <family val="2"/>
      <charset val="204"/>
    </font>
    <font>
      <sz val="14"/>
      <name val="NewtonC"/>
      <charset val="204"/>
    </font>
    <font>
      <sz val="8"/>
      <name val="Helv"/>
      <charset val="204"/>
    </font>
    <font>
      <sz val="10"/>
      <name val="Palatino"/>
      <family val="1"/>
    </font>
    <font>
      <b/>
      <sz val="11"/>
      <color indexed="63"/>
      <name val="Calibri"/>
      <family val="2"/>
      <charset val="204"/>
    </font>
    <font>
      <sz val="10"/>
      <color indexed="16"/>
      <name val="Helvetica-Black"/>
    </font>
    <font>
      <sz val="22"/>
      <name val="UBSHeadline"/>
      <family val="1"/>
    </font>
    <font>
      <u/>
      <sz val="10"/>
      <name val="Arial"/>
      <family val="2"/>
      <charset val="204"/>
    </font>
    <font>
      <sz val="8"/>
      <name val="Helv"/>
    </font>
    <font>
      <i/>
      <sz val="12"/>
      <name val="Tms Rmn"/>
      <charset val="204"/>
    </font>
    <font>
      <b/>
      <sz val="10"/>
      <color indexed="10"/>
      <name val="Arial Cyr"/>
      <family val="2"/>
      <charset val="204"/>
    </font>
    <font>
      <b/>
      <sz val="10"/>
      <color rgb="FF000000"/>
      <name val="Arial"/>
      <family val="2"/>
      <charset val="204"/>
    </font>
    <font>
      <b/>
      <sz val="6"/>
      <color rgb="FF000000"/>
      <name val="Arial"/>
      <family val="2"/>
      <charset val="204"/>
    </font>
    <font>
      <sz val="8"/>
      <color rgb="FF000000"/>
      <name val="Arial"/>
      <family val="2"/>
      <charset val="204"/>
    </font>
    <font>
      <sz val="7"/>
      <color rgb="FF000000"/>
      <name val="Arial"/>
      <family val="2"/>
      <charset val="204"/>
    </font>
    <font>
      <sz val="7"/>
      <color indexed="8"/>
      <name val="Arial"/>
      <family val="2"/>
      <charset val="204"/>
    </font>
    <font>
      <b/>
      <sz val="8"/>
      <color rgb="FF000000"/>
      <name val="Arial"/>
      <family val="2"/>
      <charset val="204"/>
    </font>
    <font>
      <sz val="9"/>
      <color rgb="FF000000"/>
      <name val="Arial"/>
      <family val="2"/>
      <charset val="204"/>
    </font>
    <font>
      <b/>
      <sz val="9"/>
      <color rgb="FF000000"/>
      <name val="Arial"/>
      <family val="2"/>
      <charset val="204"/>
    </font>
    <font>
      <i/>
      <sz val="6"/>
      <color rgb="FF000000"/>
      <name val="Arial"/>
      <family val="2"/>
      <charset val="204"/>
    </font>
    <font>
      <sz val="1"/>
      <color rgb="FF080000"/>
      <name val="Arial"/>
      <family val="2"/>
      <charset val="204"/>
    </font>
    <font>
      <sz val="6"/>
      <color rgb="FF000000"/>
      <name val="Arial"/>
      <family val="2"/>
      <charset val="204"/>
    </font>
    <font>
      <sz val="10"/>
      <color rgb="FF000000"/>
      <name val="Arial"/>
      <family val="2"/>
      <charset val="204"/>
    </font>
    <font>
      <sz val="8"/>
      <color rgb="FF080000"/>
      <name val="MS Sans Serif"/>
      <family val="2"/>
      <charset val="204"/>
    </font>
    <font>
      <sz val="9.5"/>
      <color indexed="23"/>
      <name val="Helvetica-Black"/>
    </font>
    <font>
      <sz val="10"/>
      <color indexed="8"/>
      <name val="Arial"/>
      <family val="2"/>
    </font>
    <font>
      <sz val="10"/>
      <color indexed="39"/>
      <name val="Arial"/>
      <family val="2"/>
    </font>
    <font>
      <b/>
      <sz val="10"/>
      <color indexed="8"/>
      <name val="Arial"/>
      <family val="2"/>
    </font>
    <font>
      <b/>
      <sz val="12"/>
      <color indexed="8"/>
      <name val="Arial"/>
      <family val="2"/>
      <charset val="204"/>
    </font>
    <font>
      <b/>
      <sz val="16"/>
      <color indexed="23"/>
      <name val="Arial"/>
      <family val="2"/>
      <charset val="204"/>
    </font>
    <font>
      <sz val="10"/>
      <color indexed="10"/>
      <name val="Arial"/>
      <family val="2"/>
    </font>
    <font>
      <sz val="8"/>
      <name val="Arial Cyr"/>
      <family val="2"/>
      <charset val="204"/>
    </font>
    <font>
      <b/>
      <sz val="10"/>
      <color indexed="9"/>
      <name val="Verdana"/>
      <family val="2"/>
      <charset val="204"/>
    </font>
    <font>
      <b/>
      <sz val="9"/>
      <name val="Palatino"/>
      <family val="1"/>
    </font>
    <font>
      <sz val="9"/>
      <color indexed="21"/>
      <name val="Helvetica-Black"/>
    </font>
    <font>
      <b/>
      <sz val="10"/>
      <name val="Palatino"/>
      <family val="1"/>
    </font>
    <font>
      <b/>
      <sz val="8"/>
      <color indexed="9"/>
      <name val="Arial Cyr"/>
      <charset val="204"/>
    </font>
    <font>
      <sz val="9"/>
      <name val="Helvetica-Black"/>
    </font>
    <font>
      <b/>
      <sz val="10"/>
      <name val="Times New Roman"/>
      <family val="1"/>
    </font>
    <font>
      <sz val="12"/>
      <color indexed="8"/>
      <name val="Palatino"/>
      <family val="1"/>
    </font>
    <font>
      <sz val="11"/>
      <name val="Helvetica-Black"/>
    </font>
    <font>
      <sz val="11"/>
      <color indexed="8"/>
      <name val="Helvetica-Black"/>
    </font>
    <font>
      <b/>
      <sz val="18"/>
      <color indexed="56"/>
      <name val="Cambria"/>
      <family val="2"/>
      <charset val="204"/>
    </font>
    <font>
      <sz val="11"/>
      <name val="Tahoma"/>
      <family val="2"/>
      <charset val="204"/>
    </font>
    <font>
      <b/>
      <sz val="11"/>
      <color indexed="8"/>
      <name val="Calibri"/>
      <family val="2"/>
      <charset val="204"/>
    </font>
    <font>
      <b/>
      <sz val="8"/>
      <name val="Palatino"/>
      <family val="1"/>
    </font>
    <font>
      <u/>
      <sz val="8"/>
      <color indexed="8"/>
      <name val="Arial"/>
      <family val="2"/>
    </font>
    <font>
      <sz val="11"/>
      <color indexed="10"/>
      <name val="Calibri"/>
      <family val="2"/>
      <charset val="204"/>
    </font>
    <font>
      <b/>
      <i/>
      <sz val="8"/>
      <name val="Helv"/>
    </font>
    <font>
      <sz val="10"/>
      <color indexed="62"/>
      <name val="Arial Cyr"/>
      <family val="2"/>
      <charset val="204"/>
    </font>
    <font>
      <sz val="10"/>
      <color indexed="62"/>
      <name val="Arial"/>
      <family val="2"/>
      <charset val="204"/>
    </font>
    <font>
      <b/>
      <sz val="8"/>
      <name val="Arial CYR"/>
      <family val="2"/>
      <charset val="204"/>
    </font>
    <font>
      <b/>
      <sz val="10"/>
      <color indexed="63"/>
      <name val="Arial Cyr"/>
      <family val="2"/>
      <charset val="204"/>
    </font>
    <font>
      <b/>
      <sz val="10"/>
      <color indexed="63"/>
      <name val="Arial"/>
      <family val="2"/>
      <charset val="204"/>
    </font>
    <font>
      <b/>
      <sz val="10"/>
      <color indexed="52"/>
      <name val="Arial Cyr"/>
      <family val="2"/>
      <charset val="204"/>
    </font>
    <font>
      <b/>
      <sz val="10"/>
      <color indexed="52"/>
      <name val="Arial"/>
      <family val="2"/>
      <charset val="204"/>
    </font>
    <font>
      <b/>
      <sz val="11"/>
      <color rgb="FFFA7D00"/>
      <name val="Times New Roman"/>
      <family val="2"/>
      <charset val="204"/>
    </font>
    <font>
      <b/>
      <u/>
      <sz val="11"/>
      <color indexed="12"/>
      <name val="Arial"/>
      <family val="2"/>
      <charset val="204"/>
    </font>
    <font>
      <u/>
      <sz val="10"/>
      <color indexed="12"/>
      <name val="Arial"/>
      <family val="2"/>
      <charset val="204"/>
    </font>
    <font>
      <b/>
      <u/>
      <sz val="9"/>
      <color indexed="12"/>
      <name val="Tahoma"/>
      <family val="2"/>
      <charset val="204"/>
    </font>
    <font>
      <b/>
      <sz val="12"/>
      <color indexed="12"/>
      <name val="Arial Cyr"/>
      <family val="2"/>
      <charset val="204"/>
    </font>
    <font>
      <b/>
      <sz val="12"/>
      <name val="Arial Cyr"/>
      <family val="2"/>
      <charset val="204"/>
    </font>
    <font>
      <b/>
      <sz val="10"/>
      <name val="Arial Cyr"/>
      <family val="2"/>
      <charset val="204"/>
    </font>
    <font>
      <b/>
      <sz val="18"/>
      <color indexed="62"/>
      <name val="Arial Cyr"/>
      <family val="2"/>
      <charset val="204"/>
    </font>
    <font>
      <b/>
      <i/>
      <sz val="18"/>
      <color indexed="62"/>
      <name val="Arial Cyr"/>
      <family val="2"/>
      <charset val="204"/>
    </font>
    <font>
      <b/>
      <sz val="15"/>
      <color indexed="56"/>
      <name val="Arial"/>
      <family val="2"/>
      <charset val="204"/>
    </font>
    <font>
      <b/>
      <sz val="15"/>
      <color indexed="56"/>
      <name val="Arial Cyr"/>
      <family val="2"/>
      <charset val="204"/>
    </font>
    <font>
      <b/>
      <sz val="13"/>
      <color indexed="56"/>
      <name val="Arial Cyr"/>
      <family val="2"/>
      <charset val="204"/>
    </font>
    <font>
      <b/>
      <sz val="13"/>
      <color indexed="56"/>
      <name val="Arial"/>
      <family val="2"/>
      <charset val="204"/>
    </font>
    <font>
      <b/>
      <sz val="11"/>
      <color indexed="56"/>
      <name val="Arial Cyr"/>
      <family val="2"/>
      <charset val="204"/>
    </font>
    <font>
      <b/>
      <sz val="11"/>
      <color indexed="56"/>
      <name val="Arial"/>
      <family val="2"/>
      <charset val="204"/>
    </font>
    <font>
      <b/>
      <sz val="18"/>
      <name val="Arial"/>
      <family val="2"/>
      <charset val="204"/>
    </font>
    <font>
      <b/>
      <sz val="12"/>
      <name val="Arial"/>
      <family val="2"/>
      <charset val="204"/>
    </font>
    <font>
      <b/>
      <sz val="14"/>
      <name val="Arial Cyr"/>
      <family val="2"/>
      <charset val="204"/>
    </font>
    <font>
      <b/>
      <sz val="10"/>
      <color indexed="8"/>
      <name val="Arial Cyr"/>
      <family val="2"/>
      <charset val="204"/>
    </font>
    <font>
      <b/>
      <sz val="10"/>
      <color indexed="8"/>
      <name val="Arial"/>
      <family val="2"/>
      <charset val="204"/>
    </font>
    <font>
      <b/>
      <sz val="10"/>
      <color indexed="9"/>
      <name val="Arial Cyr"/>
      <family val="2"/>
      <charset val="204"/>
    </font>
    <font>
      <b/>
      <sz val="10"/>
      <color indexed="9"/>
      <name val="Arial"/>
      <family val="2"/>
      <charset val="204"/>
    </font>
    <font>
      <b/>
      <sz val="14"/>
      <name val="Arial"/>
      <family val="2"/>
      <charset val="204"/>
    </font>
    <font>
      <b/>
      <sz val="10"/>
      <name val="Arial Cyr"/>
      <charset val="204"/>
    </font>
    <font>
      <sz val="10"/>
      <color indexed="60"/>
      <name val="Arial Cyr"/>
      <family val="2"/>
      <charset val="204"/>
    </font>
    <font>
      <sz val="10"/>
      <color indexed="60"/>
      <name val="Arial"/>
      <family val="2"/>
      <charset val="204"/>
    </font>
    <font>
      <sz val="12"/>
      <name val="Arial Cyr"/>
      <family val="2"/>
      <charset val="204"/>
    </font>
    <font>
      <sz val="8"/>
      <name val="Arial"/>
      <family val="2"/>
    </font>
    <font>
      <sz val="10"/>
      <color theme="1"/>
      <name val="Arial"/>
      <family val="2"/>
      <charset val="204"/>
    </font>
    <font>
      <sz val="10"/>
      <color indexed="64"/>
      <name val="Arial"/>
      <family val="2"/>
      <charset val="204"/>
    </font>
    <font>
      <sz val="11"/>
      <color theme="1"/>
      <name val="Times New Roman"/>
      <family val="2"/>
      <charset val="204"/>
    </font>
    <font>
      <sz val="11"/>
      <color indexed="8"/>
      <name val="Helvetica Neue"/>
    </font>
    <font>
      <sz val="10"/>
      <color theme="1"/>
      <name val="Arial Cyr"/>
      <family val="2"/>
      <charset val="204"/>
    </font>
    <font>
      <sz val="11"/>
      <color theme="1"/>
      <name val="Calibri"/>
      <family val="2"/>
      <charset val="204"/>
    </font>
    <font>
      <sz val="10"/>
      <color theme="1"/>
      <name val="Times New Roman"/>
      <family val="2"/>
      <charset val="204"/>
    </font>
    <font>
      <b/>
      <i/>
      <sz val="10"/>
      <color indexed="10"/>
      <name val="Arial Cyr"/>
      <family val="2"/>
      <charset val="204"/>
    </font>
    <font>
      <sz val="10"/>
      <color indexed="20"/>
      <name val="Arial Cyr"/>
      <family val="2"/>
      <charset val="204"/>
    </font>
    <font>
      <sz val="10"/>
      <color indexed="20"/>
      <name val="Arial"/>
      <family val="2"/>
      <charset val="204"/>
    </font>
    <font>
      <b/>
      <sz val="11"/>
      <name val="Arial Cyr"/>
      <family val="2"/>
      <charset val="204"/>
    </font>
    <font>
      <sz val="11"/>
      <name val="Times New Roman Cyr"/>
      <family val="1"/>
      <charset val="204"/>
    </font>
    <font>
      <i/>
      <sz val="10"/>
      <color indexed="23"/>
      <name val="Arial Cyr"/>
      <family val="2"/>
      <charset val="204"/>
    </font>
    <font>
      <i/>
      <sz val="10"/>
      <color indexed="23"/>
      <name val="Arial"/>
      <family val="2"/>
      <charset val="204"/>
    </font>
    <font>
      <b/>
      <i/>
      <sz val="14"/>
      <color indexed="57"/>
      <name val="Arial Cyr"/>
      <family val="2"/>
      <charset val="204"/>
    </font>
    <font>
      <sz val="10"/>
      <color indexed="8"/>
      <name val="Times New Roman Cyr"/>
      <family val="1"/>
      <charset val="204"/>
    </font>
    <font>
      <sz val="10"/>
      <color indexed="52"/>
      <name val="Arial Cyr"/>
      <family val="2"/>
      <charset val="204"/>
    </font>
    <font>
      <sz val="10"/>
      <color indexed="52"/>
      <name val="Arial"/>
      <family val="2"/>
      <charset val="204"/>
    </font>
    <font>
      <sz val="14"/>
      <name val="Arial Cyr"/>
      <family val="2"/>
      <charset val="204"/>
    </font>
    <font>
      <sz val="12"/>
      <color indexed="24"/>
      <name val="Arial"/>
      <family val="2"/>
      <charset val="204"/>
    </font>
    <font>
      <sz val="10"/>
      <color indexed="10"/>
      <name val="Arial Cyr"/>
      <family val="2"/>
      <charset val="204"/>
    </font>
    <font>
      <sz val="10"/>
      <color indexed="10"/>
      <name val="Arial"/>
      <family val="2"/>
      <charset val="204"/>
    </font>
    <font>
      <sz val="11"/>
      <color indexed="8"/>
      <name val="Calibri"/>
      <family val="2"/>
    </font>
    <font>
      <sz val="10"/>
      <color indexed="17"/>
      <name val="Arial Cyr"/>
      <family val="2"/>
      <charset val="204"/>
    </font>
    <font>
      <sz val="10"/>
      <color indexed="17"/>
      <name val="Arial"/>
      <family val="2"/>
      <charset val="204"/>
    </font>
    <font>
      <i/>
      <sz val="10.5"/>
      <name val="Times New Roman"/>
      <family val="1"/>
      <charset val="204"/>
    </font>
    <font>
      <sz val="11"/>
      <color rgb="FF9C6500"/>
      <name val="Calibri"/>
      <family val="2"/>
      <charset val="204"/>
      <scheme val="minor"/>
    </font>
    <font>
      <b/>
      <sz val="6"/>
      <name val="Times New Roman"/>
      <family val="1"/>
      <charset val="204"/>
    </font>
    <font>
      <sz val="9"/>
      <name val="Times New Roman"/>
      <family val="1"/>
      <charset val="204"/>
    </font>
    <font>
      <b/>
      <sz val="7"/>
      <name val="Times New Roman"/>
      <family val="1"/>
      <charset val="204"/>
    </font>
    <font>
      <sz val="7"/>
      <name val="Times New Roman"/>
      <family val="1"/>
      <charset val="204"/>
    </font>
    <font>
      <sz val="6"/>
      <name val="Times New Roman"/>
      <family val="1"/>
      <charset val="204"/>
    </font>
    <font>
      <b/>
      <sz val="6"/>
      <color indexed="9"/>
      <name val="Times New Roman"/>
      <family val="1"/>
      <charset val="204"/>
    </font>
    <font>
      <sz val="6"/>
      <color indexed="9"/>
      <name val="Times New Roman"/>
      <family val="1"/>
      <charset val="204"/>
    </font>
    <font>
      <b/>
      <sz val="10"/>
      <name val="Times New Roman"/>
      <family val="1"/>
      <charset val="204"/>
    </font>
    <font>
      <b/>
      <sz val="8"/>
      <name val="Times New Roman"/>
      <family val="1"/>
      <charset val="204"/>
    </font>
    <font>
      <sz val="8"/>
      <name val="Times New Roman"/>
      <family val="1"/>
      <charset val="204"/>
    </font>
    <font>
      <b/>
      <sz val="8"/>
      <color indexed="9"/>
      <name val="Times New Roman"/>
      <family val="1"/>
      <charset val="204"/>
    </font>
    <font>
      <sz val="8"/>
      <color indexed="9"/>
      <name val="Times New Roman"/>
      <family val="1"/>
      <charset val="204"/>
    </font>
    <font>
      <sz val="8"/>
      <color indexed="8"/>
      <name val="Times New Roman"/>
      <family val="1"/>
      <charset val="204"/>
    </font>
    <font>
      <b/>
      <i/>
      <sz val="22"/>
      <name val="Times New Roman"/>
      <family val="1"/>
      <charset val="204"/>
    </font>
    <font>
      <b/>
      <sz val="22"/>
      <color theme="1"/>
      <name val="Times New Roman"/>
      <family val="1"/>
      <charset val="204"/>
    </font>
    <font>
      <sz val="22"/>
      <color theme="1"/>
      <name val="Times New Roman"/>
      <family val="1"/>
      <charset val="204"/>
    </font>
    <font>
      <b/>
      <i/>
      <sz val="22"/>
      <color theme="1"/>
      <name val="Times New Roman"/>
      <family val="1"/>
      <charset val="204"/>
    </font>
    <font>
      <b/>
      <i/>
      <sz val="26"/>
      <name val="Times New Roman"/>
      <family val="1"/>
      <charset val="204"/>
    </font>
    <font>
      <b/>
      <i/>
      <sz val="11"/>
      <color theme="1"/>
      <name val="Times New Roman"/>
      <family val="1"/>
      <charset val="204"/>
    </font>
    <font>
      <b/>
      <i/>
      <sz val="20"/>
      <color theme="1"/>
      <name val="Times New Roman"/>
      <family val="1"/>
      <charset val="204"/>
    </font>
    <font>
      <b/>
      <i/>
      <sz val="20"/>
      <name val="Times New Roman"/>
      <family val="1"/>
      <charset val="204"/>
    </font>
    <font>
      <b/>
      <i/>
      <sz val="11"/>
      <name val="Times New Roman"/>
      <family val="1"/>
      <charset val="204"/>
    </font>
    <font>
      <b/>
      <sz val="22"/>
      <name val="Times New Roman"/>
      <family val="1"/>
      <charset val="204"/>
    </font>
    <font>
      <sz val="22"/>
      <name val="Times New Roman"/>
      <family val="1"/>
      <charset val="204"/>
    </font>
    <font>
      <i/>
      <sz val="22"/>
      <name val="Times New Roman"/>
      <family val="1"/>
      <charset val="204"/>
    </font>
    <font>
      <u/>
      <sz val="22"/>
      <color theme="1"/>
      <name val="Times New Roman"/>
      <family val="1"/>
      <charset val="204"/>
    </font>
    <font>
      <i/>
      <u/>
      <sz val="22"/>
      <color theme="1"/>
      <name val="Times New Roman"/>
      <family val="1"/>
      <charset val="204"/>
    </font>
    <font>
      <sz val="20"/>
      <color theme="1"/>
      <name val="Times New Roman"/>
      <family val="1"/>
      <charset val="204"/>
    </font>
    <font>
      <sz val="22"/>
      <color indexed="21"/>
      <name val="Arial"/>
      <family val="2"/>
    </font>
    <font>
      <i/>
      <sz val="22"/>
      <color theme="1"/>
      <name val="Times New Roman"/>
      <family val="1"/>
      <charset val="204"/>
    </font>
    <font>
      <b/>
      <sz val="11"/>
      <color theme="1"/>
      <name val="Times New Roman"/>
      <family val="1"/>
      <charset val="204"/>
    </font>
    <font>
      <b/>
      <sz val="20"/>
      <color theme="1"/>
      <name val="Times New Roman"/>
      <family val="1"/>
      <charset val="204"/>
    </font>
    <font>
      <b/>
      <u/>
      <sz val="22"/>
      <name val="Times New Roman"/>
      <family val="1"/>
      <charset val="204"/>
    </font>
    <font>
      <sz val="20"/>
      <name val="Times New Roman"/>
      <family val="1"/>
      <charset val="204"/>
    </font>
    <font>
      <sz val="22"/>
      <color rgb="FFFF0000"/>
      <name val="Times New Roman"/>
      <family val="1"/>
      <charset val="204"/>
    </font>
    <font>
      <sz val="11"/>
      <color rgb="FFFF0000"/>
      <name val="Times New Roman"/>
      <family val="1"/>
      <charset val="204"/>
    </font>
    <font>
      <sz val="20"/>
      <color rgb="FFFF0000"/>
      <name val="Times New Roman"/>
      <family val="1"/>
      <charset val="204"/>
    </font>
    <font>
      <sz val="22"/>
      <color indexed="8"/>
      <name val="Times New Roman"/>
      <family val="1"/>
      <charset val="204"/>
    </font>
    <font>
      <sz val="22"/>
      <name val="Arial"/>
      <family val="2"/>
    </font>
    <font>
      <sz val="22"/>
      <color theme="1"/>
      <name val="Calibri"/>
      <family val="2"/>
      <charset val="204"/>
      <scheme val="minor"/>
    </font>
    <font>
      <sz val="16"/>
      <color rgb="FFFF0000"/>
      <name val="Times New Roman"/>
      <family val="1"/>
      <charset val="204"/>
    </font>
    <font>
      <sz val="11"/>
      <color rgb="FF9C6500"/>
      <name val="Times New Roman"/>
      <family val="1"/>
      <charset val="204"/>
    </font>
    <font>
      <i/>
      <sz val="10"/>
      <name val="Times New Roman Cyr"/>
      <charset val="204"/>
    </font>
    <font>
      <b/>
      <sz val="10"/>
      <name val="Times New Roman Cyr"/>
      <charset val="204"/>
    </font>
    <font>
      <b/>
      <i/>
      <u/>
      <sz val="11"/>
      <color theme="1"/>
      <name val="Times New Roman"/>
      <family val="1"/>
      <charset val="204"/>
    </font>
    <font>
      <sz val="10"/>
      <name val="Times New Roman Cyr"/>
      <charset val="204"/>
    </font>
    <font>
      <sz val="10"/>
      <color indexed="8"/>
      <name val="Times New Roman"/>
      <family val="1"/>
      <charset val="204"/>
    </font>
    <font>
      <b/>
      <sz val="13"/>
      <color indexed="8"/>
      <name val="Times New Roman"/>
      <family val="1"/>
    </font>
    <font>
      <b/>
      <i/>
      <sz val="10"/>
      <name val="Times New Roman"/>
      <family val="1"/>
      <charset val="204"/>
    </font>
    <font>
      <b/>
      <sz val="10"/>
      <name val="Times New Roman Cyr"/>
      <family val="1"/>
      <charset val="204"/>
    </font>
    <font>
      <i/>
      <sz val="10"/>
      <color theme="1"/>
      <name val="Times New Roman Cyr"/>
      <charset val="204"/>
    </font>
    <font>
      <b/>
      <i/>
      <sz val="13"/>
      <color indexed="8"/>
      <name val="Times New Roman"/>
      <family val="1"/>
      <charset val="204"/>
    </font>
    <font>
      <sz val="10"/>
      <name val="Arial"/>
      <family val="2"/>
      <charset val="204"/>
    </font>
    <font>
      <b/>
      <sz val="10"/>
      <name val="Arial"/>
      <family val="2"/>
      <charset val="204"/>
    </font>
    <font>
      <b/>
      <sz val="10.5"/>
      <color rgb="FFFF0000"/>
      <name val="Times New Roman"/>
      <family val="1"/>
      <charset val="204"/>
    </font>
    <font>
      <b/>
      <sz val="12"/>
      <color theme="1"/>
      <name val="Times New Roman"/>
      <family val="1"/>
      <charset val="204"/>
    </font>
    <font>
      <sz val="8"/>
      <color theme="1"/>
      <name val="Calibri"/>
      <family val="2"/>
      <scheme val="minor"/>
    </font>
    <font>
      <sz val="16"/>
      <color theme="1"/>
      <name val="Calibri"/>
      <family val="2"/>
      <scheme val="minor"/>
    </font>
    <font>
      <u/>
      <sz val="16"/>
      <color theme="1"/>
      <name val="Times New Roman"/>
      <family val="1"/>
      <charset val="204"/>
    </font>
    <font>
      <b/>
      <u/>
      <sz val="15"/>
      <color theme="1"/>
      <name val="Times New Roman"/>
      <family val="1"/>
      <charset val="204"/>
    </font>
    <font>
      <b/>
      <u/>
      <sz val="15"/>
      <color theme="1"/>
      <name val="Calibri"/>
      <family val="2"/>
      <scheme val="minor"/>
    </font>
    <font>
      <sz val="15"/>
      <color theme="1"/>
      <name val="Times New Roman"/>
      <family val="1"/>
      <charset val="204"/>
    </font>
    <font>
      <sz val="15"/>
      <name val="Times New Roman"/>
      <family val="1"/>
      <charset val="204"/>
    </font>
    <font>
      <sz val="24"/>
      <color theme="1"/>
      <name val="Times New Roman"/>
      <family val="1"/>
      <charset val="204"/>
    </font>
  </fonts>
  <fills count="88">
    <fill>
      <patternFill patternType="none"/>
    </fill>
    <fill>
      <patternFill patternType="gray125"/>
    </fill>
    <fill>
      <patternFill patternType="solid">
        <fgColor theme="0"/>
        <bgColor indexed="64"/>
      </patternFill>
    </fill>
    <fill>
      <patternFill patternType="solid">
        <fgColor rgb="FFF2F2F2"/>
      </patternFill>
    </fill>
    <fill>
      <patternFill patternType="solid">
        <fgColor theme="8" tint="0.79998168889431442"/>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indexed="43"/>
        <bgColor indexed="64"/>
      </patternFill>
    </fill>
    <fill>
      <patternFill patternType="solid">
        <fgColor rgb="FFFFFF00"/>
        <bgColor indexed="64"/>
      </patternFill>
    </fill>
    <fill>
      <patternFill patternType="solid">
        <fgColor theme="5" tint="0.59999389629810485"/>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0000"/>
        <bgColor indexed="64"/>
      </patternFill>
    </fill>
    <fill>
      <patternFill patternType="solid">
        <fgColor rgb="FFFFC000"/>
        <bgColor indexed="64"/>
      </patternFill>
    </fill>
    <fill>
      <patternFill patternType="solid">
        <fgColor theme="5" tint="0.79998168889431442"/>
        <bgColor indexed="64"/>
      </patternFill>
    </fill>
    <fill>
      <patternFill patternType="solid">
        <fgColor indexed="22"/>
        <bgColor indexed="64"/>
      </patternFill>
    </fill>
    <fill>
      <patternFill patternType="solid">
        <fgColor indexed="42"/>
        <bgColor indexed="64"/>
      </patternFill>
    </fill>
    <fill>
      <patternFill patternType="solid">
        <fgColor indexed="31"/>
        <bgColor indexed="64"/>
      </patternFill>
    </fill>
    <fill>
      <patternFill patternType="lightGray">
        <fgColor indexed="2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7"/>
        <bgColor indexed="64"/>
      </patternFill>
    </fill>
    <fill>
      <patternFill patternType="solid">
        <fgColor indexed="32"/>
        <bgColor indexed="64"/>
      </patternFill>
    </fill>
    <fill>
      <patternFill patternType="solid">
        <fgColor indexed="43"/>
      </patternFill>
    </fill>
    <fill>
      <patternFill patternType="solid">
        <fgColor indexed="26"/>
      </patternFill>
    </fill>
    <fill>
      <patternFill patternType="solid">
        <fgColor rgb="FFFFFFFF"/>
        <bgColor indexed="64"/>
      </patternFill>
    </fill>
    <fill>
      <patternFill patternType="solid">
        <fgColor indexed="9"/>
      </patternFill>
    </fill>
    <fill>
      <patternFill patternType="solid">
        <fgColor rgb="FFDAE2E4"/>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6"/>
        <bgColor indexed="64"/>
      </patternFill>
    </fill>
    <fill>
      <patternFill patternType="solid">
        <fgColor indexed="62"/>
        <bgColor indexed="64"/>
      </patternFill>
    </fill>
    <fill>
      <patternFill patternType="solid">
        <fgColor indexed="61"/>
        <bgColor indexed="64"/>
      </patternFill>
    </fill>
    <fill>
      <patternFill patternType="solid">
        <fgColor indexed="63"/>
        <bgColor indexed="64"/>
      </patternFill>
    </fill>
    <fill>
      <patternFill patternType="solid">
        <fgColor indexed="60"/>
        <bgColor indexed="64"/>
      </patternFill>
    </fill>
    <fill>
      <patternFill patternType="solid">
        <fgColor indexed="16"/>
        <bgColor indexed="64"/>
      </patternFill>
    </fill>
    <fill>
      <patternFill patternType="solid">
        <fgColor indexed="8"/>
        <bgColor indexed="64"/>
      </patternFill>
    </fill>
    <fill>
      <patternFill patternType="solid">
        <fgColor indexed="18"/>
        <bgColor indexed="64"/>
      </patternFill>
    </fill>
    <fill>
      <patternFill patternType="solid">
        <fgColor indexed="40"/>
        <bgColor indexed="64"/>
      </patternFill>
    </fill>
    <fill>
      <patternFill patternType="solid">
        <fgColor indexed="15"/>
        <bgColor indexed="64"/>
      </patternFill>
    </fill>
    <fill>
      <patternFill patternType="solid">
        <fgColor indexed="41"/>
        <bgColor indexed="64"/>
      </patternFill>
    </fill>
    <fill>
      <patternFill patternType="solid">
        <fgColor indexed="23"/>
        <bgColor indexed="24"/>
      </patternFill>
    </fill>
    <fill>
      <patternFill patternType="solid">
        <fgColor rgb="FFCCFFCC"/>
        <bgColor indexed="64"/>
      </patternFill>
    </fill>
    <fill>
      <patternFill patternType="solid">
        <fgColor indexed="47"/>
        <bgColor indexed="64"/>
      </patternFill>
    </fill>
    <fill>
      <patternFill patternType="solid">
        <fgColor rgb="FFFFEB9C"/>
      </patternFill>
    </fill>
    <fill>
      <patternFill patternType="solid">
        <fgColor theme="9" tint="0.39997558519241921"/>
        <bgColor indexed="64"/>
      </patternFill>
    </fill>
    <fill>
      <patternFill patternType="solid">
        <fgColor theme="6" tint="0.39997558519241921"/>
        <bgColor indexed="64"/>
      </patternFill>
    </fill>
    <fill>
      <patternFill patternType="solid">
        <fgColor rgb="FFB1EDDF"/>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indexed="9"/>
        <bgColor indexed="64"/>
      </patternFill>
    </fill>
    <fill>
      <patternFill patternType="solid">
        <fgColor rgb="FFAFC5F7"/>
        <bgColor indexed="64"/>
      </patternFill>
    </fill>
    <fill>
      <patternFill patternType="solid">
        <fgColor rgb="FF00B0F0"/>
        <bgColor indexed="64"/>
      </patternFill>
    </fill>
    <fill>
      <patternFill patternType="solid">
        <fgColor theme="8" tint="0.59999389629810485"/>
        <bgColor indexed="64"/>
      </patternFill>
    </fill>
    <fill>
      <patternFill patternType="solid">
        <fgColor rgb="FF33CCCC"/>
        <bgColor indexed="64"/>
      </patternFill>
    </fill>
    <fill>
      <patternFill patternType="solid">
        <fgColor rgb="FFFBB5FD"/>
        <bgColor indexed="64"/>
      </patternFill>
    </fill>
    <fill>
      <patternFill patternType="solid">
        <fgColor rgb="FF00B050"/>
        <bgColor indexed="64"/>
      </patternFill>
    </fill>
  </fills>
  <borders count="10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diagonal/>
    </border>
    <border>
      <left/>
      <right/>
      <top style="thin">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hair">
        <color indexed="64"/>
      </left>
      <right/>
      <top style="hair">
        <color indexed="64"/>
      </top>
      <bottom style="hair">
        <color indexed="9"/>
      </bottom>
      <diagonal/>
    </border>
    <border>
      <left style="double">
        <color indexed="63"/>
      </left>
      <right style="double">
        <color indexed="63"/>
      </right>
      <top style="double">
        <color indexed="63"/>
      </top>
      <bottom style="double">
        <color indexed="63"/>
      </bottom>
      <diagonal/>
    </border>
    <border>
      <left/>
      <right/>
      <top/>
      <bottom style="dotted">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double">
        <color indexed="64"/>
      </right>
      <top style="thin">
        <color indexed="64"/>
      </top>
      <bottom style="thin">
        <color indexed="64"/>
      </bottom>
      <diagonal/>
    </border>
    <border>
      <left/>
      <right/>
      <top style="medium">
        <color indexed="23"/>
      </top>
      <bottom style="medium">
        <color indexed="23"/>
      </bottom>
      <diagonal/>
    </border>
    <border>
      <left style="thin">
        <color indexed="63"/>
      </left>
      <right style="thin">
        <color indexed="63"/>
      </right>
      <top style="thin">
        <color indexed="64"/>
      </top>
      <bottom style="thin">
        <color indexed="63"/>
      </bottom>
      <diagonal/>
    </border>
    <border>
      <left style="thin">
        <color indexed="9"/>
      </left>
      <right style="thin">
        <color indexed="9"/>
      </right>
      <top style="thin">
        <color indexed="9"/>
      </top>
      <bottom style="thin">
        <color indexed="9"/>
      </bottom>
      <diagonal/>
    </border>
    <border>
      <left style="thick">
        <color indexed="23"/>
      </left>
      <right style="thick">
        <color indexed="23"/>
      </right>
      <top style="thick">
        <color indexed="23"/>
      </top>
      <bottom style="thick">
        <color indexed="23"/>
      </bottom>
      <diagonal/>
    </border>
    <border>
      <left/>
      <right/>
      <top style="double">
        <color indexed="64"/>
      </top>
      <bottom/>
      <diagonal/>
    </border>
    <border>
      <left/>
      <right/>
      <top style="thin">
        <color indexed="62"/>
      </top>
      <bottom style="double">
        <color indexed="62"/>
      </bottom>
      <diagonal/>
    </border>
    <border>
      <left style="medium">
        <color indexed="64"/>
      </left>
      <right style="medium">
        <color indexed="64"/>
      </right>
      <top/>
      <bottom style="hair">
        <color indexed="64"/>
      </bottom>
      <diagonal/>
    </border>
    <border>
      <left style="medium">
        <color indexed="64"/>
      </left>
      <right/>
      <top/>
      <bottom style="hair">
        <color indexed="64"/>
      </bottom>
      <diagonal/>
    </border>
    <border>
      <left style="medium">
        <color indexed="64"/>
      </left>
      <right/>
      <top style="hair">
        <color indexed="64"/>
      </top>
      <bottom style="medium">
        <color indexed="64"/>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hair">
        <color indexed="64"/>
      </bottom>
      <diagonal/>
    </border>
    <border>
      <left style="medium">
        <color indexed="64"/>
      </left>
      <right/>
      <top style="medium">
        <color indexed="64"/>
      </top>
      <bottom style="hair">
        <color indexed="64"/>
      </bottom>
      <diagonal/>
    </border>
    <border>
      <left style="medium">
        <color indexed="64"/>
      </left>
      <right style="medium">
        <color indexed="64"/>
      </right>
      <top style="hair">
        <color indexed="64"/>
      </top>
      <bottom style="medium">
        <color indexed="64"/>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style="thin">
        <color indexed="64"/>
      </top>
      <bottom style="hair">
        <color indexed="64"/>
      </bottom>
      <diagonal/>
    </border>
    <border>
      <left style="medium">
        <color indexed="64"/>
      </left>
      <right/>
      <top style="thin">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bottom style="hair">
        <color indexed="64"/>
      </bottom>
      <diagonal/>
    </border>
    <border>
      <left style="medium">
        <color indexed="64"/>
      </left>
      <right style="medium">
        <color indexed="64"/>
      </right>
      <top style="hair">
        <color indexed="64"/>
      </top>
      <bottom/>
      <diagonal/>
    </border>
    <border>
      <left style="thin">
        <color auto="1"/>
      </left>
      <right style="thin">
        <color auto="1"/>
      </right>
      <top style="thin">
        <color auto="1"/>
      </top>
      <bottom style="thin">
        <color auto="1"/>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s>
  <cellStyleXfs count="13154">
    <xf numFmtId="0" fontId="0" fillId="0" borderId="0"/>
    <xf numFmtId="0" fontId="6" fillId="0" borderId="0" applyNumberFormat="0" applyFill="0" applyBorder="0" applyAlignment="0" applyProtection="0"/>
    <xf numFmtId="0" fontId="15" fillId="0" borderId="0"/>
    <xf numFmtId="0" fontId="20" fillId="0" borderId="0"/>
    <xf numFmtId="0" fontId="24" fillId="0" borderId="0"/>
    <xf numFmtId="0" fontId="15" fillId="0" borderId="0"/>
    <xf numFmtId="0" fontId="28" fillId="0" borderId="16" applyBorder="0">
      <alignment horizontal="center" vertical="center" wrapText="1"/>
    </xf>
    <xf numFmtId="0" fontId="34" fillId="0" borderId="0" applyBorder="0">
      <alignment horizontal="center" vertical="center" wrapText="1"/>
    </xf>
    <xf numFmtId="9" fontId="24" fillId="0" borderId="0" applyFont="0" applyFill="0" applyBorder="0" applyAlignment="0" applyProtection="0"/>
    <xf numFmtId="4" fontId="36" fillId="7" borderId="1" applyBorder="0">
      <alignment horizontal="right"/>
    </xf>
    <xf numFmtId="9" fontId="37" fillId="0" borderId="0" applyFont="0" applyFill="0" applyBorder="0" applyAlignment="0" applyProtection="0"/>
    <xf numFmtId="0" fontId="37" fillId="0" borderId="0"/>
    <xf numFmtId="0" fontId="24" fillId="0" borderId="0"/>
    <xf numFmtId="0" fontId="57" fillId="0" borderId="0"/>
    <xf numFmtId="173" fontId="57" fillId="0" borderId="0"/>
    <xf numFmtId="0" fontId="58" fillId="0" borderId="0"/>
    <xf numFmtId="0" fontId="37" fillId="0" borderId="0"/>
    <xf numFmtId="0" fontId="37" fillId="0" borderId="0"/>
    <xf numFmtId="0" fontId="37" fillId="0" borderId="0"/>
    <xf numFmtId="0" fontId="37" fillId="0" borderId="0"/>
    <xf numFmtId="167" fontId="20" fillId="0" borderId="0">
      <alignment vertical="top"/>
    </xf>
    <xf numFmtId="167" fontId="59" fillId="0" borderId="0">
      <alignment vertical="top"/>
    </xf>
    <xf numFmtId="174" fontId="59" fillId="16" borderId="0">
      <alignment vertical="top"/>
    </xf>
    <xf numFmtId="167" fontId="59" fillId="17" borderId="0">
      <alignment vertical="top"/>
    </xf>
    <xf numFmtId="40" fontId="60" fillId="0" borderId="0" applyFont="0" applyFill="0" applyBorder="0" applyAlignment="0" applyProtection="0"/>
    <xf numFmtId="0" fontId="61" fillId="0" borderId="0"/>
    <xf numFmtId="0" fontId="58" fillId="0" borderId="0"/>
    <xf numFmtId="0" fontId="57" fillId="0" borderId="0"/>
    <xf numFmtId="0" fontId="58" fillId="0" borderId="0"/>
    <xf numFmtId="0" fontId="62" fillId="0" borderId="0">
      <alignment vertical="top"/>
    </xf>
    <xf numFmtId="0" fontId="57" fillId="0" borderId="0"/>
    <xf numFmtId="175" fontId="20" fillId="0" borderId="0">
      <alignment vertical="top"/>
    </xf>
    <xf numFmtId="175"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175"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175" fontId="20" fillId="0" borderId="0">
      <alignment vertical="top"/>
    </xf>
    <xf numFmtId="175"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175"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176" fontId="37" fillId="7" borderId="2">
      <alignment wrapText="1"/>
      <protection locked="0"/>
    </xf>
    <xf numFmtId="176" fontId="37" fillId="7" borderId="2">
      <alignment wrapText="1"/>
      <protection locked="0"/>
    </xf>
    <xf numFmtId="176" fontId="37" fillId="7" borderId="2">
      <alignment wrapText="1"/>
      <protection locked="0"/>
    </xf>
    <xf numFmtId="176" fontId="37" fillId="7" borderId="2">
      <alignment wrapText="1"/>
      <protection locked="0"/>
    </xf>
    <xf numFmtId="176" fontId="37" fillId="7" borderId="2">
      <alignment wrapText="1"/>
      <protection locked="0"/>
    </xf>
    <xf numFmtId="176" fontId="37" fillId="7" borderId="2">
      <alignment wrapText="1"/>
      <protection locked="0"/>
    </xf>
    <xf numFmtId="176" fontId="37" fillId="7" borderId="2">
      <alignment wrapText="1"/>
      <protection locked="0"/>
    </xf>
    <xf numFmtId="176" fontId="37" fillId="7" borderId="2">
      <alignment wrapText="1"/>
      <protection locked="0"/>
    </xf>
    <xf numFmtId="176" fontId="37" fillId="7" borderId="2">
      <alignment wrapText="1"/>
      <protection locked="0"/>
    </xf>
    <xf numFmtId="176" fontId="37" fillId="7" borderId="2">
      <alignment wrapText="1"/>
      <protection locked="0"/>
    </xf>
    <xf numFmtId="176" fontId="37" fillId="7" borderId="2">
      <alignment wrapText="1"/>
      <protection locked="0"/>
    </xf>
    <xf numFmtId="176" fontId="37" fillId="7" borderId="2">
      <alignment wrapText="1"/>
      <protection locked="0"/>
    </xf>
    <xf numFmtId="176" fontId="37" fillId="7" borderId="2">
      <alignment wrapText="1"/>
      <protection locked="0"/>
    </xf>
    <xf numFmtId="176" fontId="37" fillId="7" borderId="2">
      <alignment wrapText="1"/>
      <protection locked="0"/>
    </xf>
    <xf numFmtId="176" fontId="37" fillId="7" borderId="2">
      <alignment wrapText="1"/>
      <protection locked="0"/>
    </xf>
    <xf numFmtId="176" fontId="37" fillId="7" borderId="2">
      <alignment wrapText="1"/>
      <protection locked="0"/>
    </xf>
    <xf numFmtId="176" fontId="37" fillId="7" borderId="2">
      <alignment wrapText="1"/>
      <protection locked="0"/>
    </xf>
    <xf numFmtId="176" fontId="37" fillId="7" borderId="2">
      <alignment wrapText="1"/>
      <protection locked="0"/>
    </xf>
    <xf numFmtId="176" fontId="37" fillId="7" borderId="2">
      <alignment wrapText="1"/>
      <protection locked="0"/>
    </xf>
    <xf numFmtId="176" fontId="37" fillId="7" borderId="2">
      <alignment wrapText="1"/>
      <protection locked="0"/>
    </xf>
    <xf numFmtId="0" fontId="63" fillId="18" borderId="53" applyNumberFormat="0">
      <alignment readingOrder="1"/>
      <protection locked="0"/>
    </xf>
    <xf numFmtId="0" fontId="64" fillId="0" borderId="0"/>
    <xf numFmtId="0" fontId="57" fillId="0" borderId="0"/>
    <xf numFmtId="0" fontId="58" fillId="0" borderId="0"/>
    <xf numFmtId="173" fontId="58" fillId="0" borderId="0"/>
    <xf numFmtId="0" fontId="57" fillId="0" borderId="0"/>
    <xf numFmtId="175" fontId="20" fillId="0" borderId="0">
      <alignment vertical="top"/>
    </xf>
    <xf numFmtId="175" fontId="20" fillId="0" borderId="0">
      <alignment vertical="top"/>
    </xf>
    <xf numFmtId="0" fontId="58" fillId="0" borderId="0"/>
    <xf numFmtId="173" fontId="58" fillId="0" borderId="0"/>
    <xf numFmtId="0" fontId="58" fillId="0" borderId="0"/>
    <xf numFmtId="173" fontId="58" fillId="0" borderId="0"/>
    <xf numFmtId="0" fontId="58" fillId="0" borderId="0"/>
    <xf numFmtId="173" fontId="58" fillId="0" borderId="0"/>
    <xf numFmtId="0" fontId="58" fillId="0" borderId="0"/>
    <xf numFmtId="0" fontId="58" fillId="0" borderId="0"/>
    <xf numFmtId="0" fontId="65" fillId="0" borderId="0"/>
    <xf numFmtId="0" fontId="57" fillId="0" borderId="0"/>
    <xf numFmtId="173" fontId="57" fillId="0" borderId="0"/>
    <xf numFmtId="175" fontId="20" fillId="0" borderId="0">
      <alignment vertical="top"/>
    </xf>
    <xf numFmtId="0" fontId="58" fillId="0" borderId="0"/>
    <xf numFmtId="0" fontId="58" fillId="0" borderId="0"/>
    <xf numFmtId="0" fontId="57" fillId="0" borderId="0"/>
    <xf numFmtId="175" fontId="20" fillId="0" borderId="0">
      <alignment vertical="top"/>
    </xf>
    <xf numFmtId="0" fontId="57" fillId="0" borderId="0"/>
    <xf numFmtId="0" fontId="58" fillId="0" borderId="0"/>
    <xf numFmtId="0" fontId="57" fillId="0" borderId="0"/>
    <xf numFmtId="175" fontId="20" fillId="0" borderId="0">
      <alignment vertical="top"/>
    </xf>
    <xf numFmtId="175"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175"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0" fontId="57" fillId="0" borderId="0"/>
    <xf numFmtId="173" fontId="57" fillId="0" borderId="0"/>
    <xf numFmtId="0" fontId="57" fillId="0" borderId="0"/>
    <xf numFmtId="173" fontId="57" fillId="0" borderId="0"/>
    <xf numFmtId="0" fontId="58" fillId="0" borderId="0"/>
    <xf numFmtId="173" fontId="58" fillId="0" borderId="0"/>
    <xf numFmtId="0" fontId="58" fillId="0" borderId="0"/>
    <xf numFmtId="173" fontId="58" fillId="0" borderId="0"/>
    <xf numFmtId="0" fontId="58" fillId="0" borderId="0"/>
    <xf numFmtId="175" fontId="20" fillId="0" borderId="0">
      <alignment vertical="top"/>
    </xf>
    <xf numFmtId="175"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175"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0" fontId="58" fillId="0" borderId="0"/>
    <xf numFmtId="173" fontId="58" fillId="0" borderId="0"/>
    <xf numFmtId="0" fontId="58" fillId="0" borderId="0"/>
    <xf numFmtId="0" fontId="58" fillId="0" borderId="0"/>
    <xf numFmtId="0" fontId="58" fillId="0" borderId="0"/>
    <xf numFmtId="173" fontId="58" fillId="0" borderId="0"/>
    <xf numFmtId="0" fontId="58" fillId="0" borderId="0"/>
    <xf numFmtId="173" fontId="58" fillId="0" borderId="0"/>
    <xf numFmtId="175" fontId="20" fillId="0" borderId="0">
      <alignment vertical="top"/>
    </xf>
    <xf numFmtId="175"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175"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175" fontId="20" fillId="0" borderId="0">
      <alignment vertical="top"/>
    </xf>
    <xf numFmtId="175"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175"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0" fontId="58" fillId="0" borderId="0"/>
    <xf numFmtId="175" fontId="20" fillId="0" borderId="0">
      <alignment vertical="top"/>
    </xf>
    <xf numFmtId="0" fontId="57" fillId="0" borderId="0"/>
    <xf numFmtId="0" fontId="57" fillId="0" borderId="0"/>
    <xf numFmtId="0" fontId="58" fillId="0" borderId="0"/>
    <xf numFmtId="0" fontId="58" fillId="0" borderId="0"/>
    <xf numFmtId="173" fontId="58" fillId="0" borderId="0"/>
    <xf numFmtId="0" fontId="57" fillId="0" borderId="0"/>
    <xf numFmtId="0" fontId="58" fillId="0" borderId="0"/>
    <xf numFmtId="0" fontId="57" fillId="0" borderId="0"/>
    <xf numFmtId="173" fontId="57" fillId="0" borderId="0"/>
    <xf numFmtId="0" fontId="57" fillId="0" borderId="0"/>
    <xf numFmtId="173" fontId="57" fillId="0" borderId="0"/>
    <xf numFmtId="0" fontId="58" fillId="0" borderId="0"/>
    <xf numFmtId="0" fontId="58" fillId="0" borderId="0"/>
    <xf numFmtId="0" fontId="58" fillId="0" borderId="0"/>
    <xf numFmtId="173" fontId="58" fillId="0" borderId="0"/>
    <xf numFmtId="0" fontId="58" fillId="0" borderId="0"/>
    <xf numFmtId="0" fontId="57" fillId="0" borderId="0"/>
    <xf numFmtId="173" fontId="57" fillId="0" borderId="0"/>
    <xf numFmtId="0" fontId="57" fillId="0" borderId="0"/>
    <xf numFmtId="173" fontId="57" fillId="0" borderId="0"/>
    <xf numFmtId="0" fontId="57" fillId="0" borderId="0"/>
    <xf numFmtId="0" fontId="15" fillId="0" borderId="0"/>
    <xf numFmtId="0" fontId="58" fillId="0" borderId="0"/>
    <xf numFmtId="173" fontId="58" fillId="0" borderId="0"/>
    <xf numFmtId="177" fontId="15" fillId="0" borderId="0" applyFont="0" applyFill="0" applyBorder="0" applyAlignment="0" applyProtection="0"/>
    <xf numFmtId="178" fontId="66" fillId="0" borderId="0">
      <protection locked="0"/>
    </xf>
    <xf numFmtId="179" fontId="66" fillId="0" borderId="0">
      <protection locked="0"/>
    </xf>
    <xf numFmtId="44" fontId="66" fillId="0" borderId="0">
      <protection locked="0"/>
    </xf>
    <xf numFmtId="178" fontId="66" fillId="0" borderId="0">
      <protection locked="0"/>
    </xf>
    <xf numFmtId="44" fontId="66" fillId="0" borderId="0">
      <protection locked="0"/>
    </xf>
    <xf numFmtId="179" fontId="66" fillId="0" borderId="0">
      <protection locked="0"/>
    </xf>
    <xf numFmtId="44" fontId="66" fillId="0" borderId="0">
      <protection locked="0"/>
    </xf>
    <xf numFmtId="180" fontId="66" fillId="0" borderId="0">
      <protection locked="0"/>
    </xf>
    <xf numFmtId="181" fontId="66" fillId="0" borderId="54">
      <protection locked="0"/>
    </xf>
    <xf numFmtId="0" fontId="67" fillId="0" borderId="0">
      <protection locked="0"/>
    </xf>
    <xf numFmtId="181" fontId="67" fillId="0" borderId="0">
      <protection locked="0"/>
    </xf>
    <xf numFmtId="0" fontId="67" fillId="0" borderId="0">
      <protection locked="0"/>
    </xf>
    <xf numFmtId="181" fontId="67" fillId="0" borderId="0">
      <protection locked="0"/>
    </xf>
    <xf numFmtId="0" fontId="66" fillId="0" borderId="54">
      <protection locked="0"/>
    </xf>
    <xf numFmtId="181" fontId="66" fillId="0" borderId="54">
      <protection locked="0"/>
    </xf>
    <xf numFmtId="0" fontId="68" fillId="19" borderId="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4" borderId="0" applyNumberFormat="0" applyBorder="0" applyAlignment="0" applyProtection="0"/>
    <xf numFmtId="0" fontId="69" fillId="24" borderId="0" applyNumberFormat="0" applyBorder="0" applyAlignment="0" applyProtection="0"/>
    <xf numFmtId="0" fontId="69" fillId="24" borderId="0" applyNumberFormat="0" applyBorder="0" applyAlignment="0" applyProtection="0"/>
    <xf numFmtId="0" fontId="69" fillId="24"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70"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2"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70"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2"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70"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2"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70"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2"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4" borderId="0" applyNumberFormat="0" applyBorder="0" applyAlignment="0" applyProtection="0"/>
    <xf numFmtId="0" fontId="69" fillId="24" borderId="0" applyNumberFormat="0" applyBorder="0" applyAlignment="0" applyProtection="0"/>
    <xf numFmtId="0" fontId="69" fillId="24" borderId="0" applyNumberFormat="0" applyBorder="0" applyAlignment="0" applyProtection="0"/>
    <xf numFmtId="0" fontId="69" fillId="24" borderId="0" applyNumberFormat="0" applyBorder="0" applyAlignment="0" applyProtection="0"/>
    <xf numFmtId="0" fontId="69" fillId="24" borderId="0" applyNumberFormat="0" applyBorder="0" applyAlignment="0" applyProtection="0"/>
    <xf numFmtId="0" fontId="69" fillId="24" borderId="0" applyNumberFormat="0" applyBorder="0" applyAlignment="0" applyProtection="0"/>
    <xf numFmtId="0" fontId="70" fillId="24" borderId="0" applyNumberFormat="0" applyBorder="0" applyAlignment="0" applyProtection="0"/>
    <xf numFmtId="0" fontId="69" fillId="24" borderId="0" applyNumberFormat="0" applyBorder="0" applyAlignment="0" applyProtection="0"/>
    <xf numFmtId="0" fontId="69" fillId="24" borderId="0" applyNumberFormat="0" applyBorder="0" applyAlignment="0" applyProtection="0"/>
    <xf numFmtId="0" fontId="69" fillId="24" borderId="0" applyNumberFormat="0" applyBorder="0" applyAlignment="0" applyProtection="0"/>
    <xf numFmtId="0" fontId="69" fillId="24" borderId="0" applyNumberFormat="0" applyBorder="0" applyAlignment="0" applyProtection="0"/>
    <xf numFmtId="0" fontId="69" fillId="24" borderId="0" applyNumberFormat="0" applyBorder="0" applyAlignment="0" applyProtection="0"/>
    <xf numFmtId="0" fontId="69" fillId="24" borderId="0" applyNumberFormat="0" applyBorder="0" applyAlignment="0" applyProtection="0"/>
    <xf numFmtId="0" fontId="62" fillId="24" borderId="0" applyNumberFormat="0" applyBorder="0" applyAlignment="0" applyProtection="0"/>
    <xf numFmtId="0" fontId="69" fillId="24" borderId="0" applyNumberFormat="0" applyBorder="0" applyAlignment="0" applyProtection="0"/>
    <xf numFmtId="0" fontId="69" fillId="24" borderId="0" applyNumberFormat="0" applyBorder="0" applyAlignment="0" applyProtection="0"/>
    <xf numFmtId="0" fontId="69" fillId="24" borderId="0" applyNumberFormat="0" applyBorder="0" applyAlignment="0" applyProtection="0"/>
    <xf numFmtId="0" fontId="69" fillId="24" borderId="0" applyNumberFormat="0" applyBorder="0" applyAlignment="0" applyProtection="0"/>
    <xf numFmtId="0" fontId="69" fillId="24" borderId="0" applyNumberFormat="0" applyBorder="0" applyAlignment="0" applyProtection="0"/>
    <xf numFmtId="0" fontId="69" fillId="24" borderId="0" applyNumberFormat="0" applyBorder="0" applyAlignment="0" applyProtection="0"/>
    <xf numFmtId="0" fontId="69" fillId="24" borderId="0" applyNumberFormat="0" applyBorder="0" applyAlignment="0" applyProtection="0"/>
    <xf numFmtId="0" fontId="69" fillId="24" borderId="0" applyNumberFormat="0" applyBorder="0" applyAlignment="0" applyProtection="0"/>
    <xf numFmtId="0" fontId="69" fillId="24" borderId="0" applyNumberFormat="0" applyBorder="0" applyAlignment="0" applyProtection="0"/>
    <xf numFmtId="0" fontId="69" fillId="24" borderId="0" applyNumberFormat="0" applyBorder="0" applyAlignment="0" applyProtection="0"/>
    <xf numFmtId="0" fontId="69" fillId="24" borderId="0" applyNumberFormat="0" applyBorder="0" applyAlignment="0" applyProtection="0"/>
    <xf numFmtId="0" fontId="69" fillId="24" borderId="0" applyNumberFormat="0" applyBorder="0" applyAlignment="0" applyProtection="0"/>
    <xf numFmtId="0" fontId="69" fillId="24" borderId="0" applyNumberFormat="0" applyBorder="0" applyAlignment="0" applyProtection="0"/>
    <xf numFmtId="0" fontId="69" fillId="24" borderId="0" applyNumberFormat="0" applyBorder="0" applyAlignment="0" applyProtection="0"/>
    <xf numFmtId="0" fontId="69" fillId="24" borderId="0" applyNumberFormat="0" applyBorder="0" applyAlignment="0" applyProtection="0"/>
    <xf numFmtId="0" fontId="69" fillId="24" borderId="0" applyNumberFormat="0" applyBorder="0" applyAlignment="0" applyProtection="0"/>
    <xf numFmtId="0" fontId="69" fillId="24" borderId="0" applyNumberFormat="0" applyBorder="0" applyAlignment="0" applyProtection="0"/>
    <xf numFmtId="0" fontId="69" fillId="24" borderId="0" applyNumberFormat="0" applyBorder="0" applyAlignment="0" applyProtection="0"/>
    <xf numFmtId="0" fontId="69" fillId="24" borderId="0" applyNumberFormat="0" applyBorder="0" applyAlignment="0" applyProtection="0"/>
    <xf numFmtId="0" fontId="69" fillId="24" borderId="0" applyNumberFormat="0" applyBorder="0" applyAlignment="0" applyProtection="0"/>
    <xf numFmtId="0" fontId="69" fillId="24"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70"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2"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8" borderId="0" applyNumberFormat="0" applyBorder="0" applyAlignment="0" applyProtection="0"/>
    <xf numFmtId="0" fontId="69" fillId="28" borderId="0" applyNumberFormat="0" applyBorder="0" applyAlignment="0" applyProtection="0"/>
    <xf numFmtId="0" fontId="69" fillId="28" borderId="0" applyNumberFormat="0" applyBorder="0" applyAlignment="0" applyProtection="0"/>
    <xf numFmtId="0" fontId="69" fillId="28"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70"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2"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70"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2"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8" borderId="0" applyNumberFormat="0" applyBorder="0" applyAlignment="0" applyProtection="0"/>
    <xf numFmtId="0" fontId="69" fillId="28" borderId="0" applyNumberFormat="0" applyBorder="0" applyAlignment="0" applyProtection="0"/>
    <xf numFmtId="0" fontId="69" fillId="28" borderId="0" applyNumberFormat="0" applyBorder="0" applyAlignment="0" applyProtection="0"/>
    <xf numFmtId="0" fontId="69" fillId="28" borderId="0" applyNumberFormat="0" applyBorder="0" applyAlignment="0" applyProtection="0"/>
    <xf numFmtId="0" fontId="69" fillId="28" borderId="0" applyNumberFormat="0" applyBorder="0" applyAlignment="0" applyProtection="0"/>
    <xf numFmtId="0" fontId="69" fillId="28" borderId="0" applyNumberFormat="0" applyBorder="0" applyAlignment="0" applyProtection="0"/>
    <xf numFmtId="0" fontId="70" fillId="28" borderId="0" applyNumberFormat="0" applyBorder="0" applyAlignment="0" applyProtection="0"/>
    <xf numFmtId="0" fontId="69" fillId="28" borderId="0" applyNumberFormat="0" applyBorder="0" applyAlignment="0" applyProtection="0"/>
    <xf numFmtId="0" fontId="69" fillId="28" borderId="0" applyNumberFormat="0" applyBorder="0" applyAlignment="0" applyProtection="0"/>
    <xf numFmtId="0" fontId="69" fillId="28" borderId="0" applyNumberFormat="0" applyBorder="0" applyAlignment="0" applyProtection="0"/>
    <xf numFmtId="0" fontId="69" fillId="28" borderId="0" applyNumberFormat="0" applyBorder="0" applyAlignment="0" applyProtection="0"/>
    <xf numFmtId="0" fontId="69" fillId="28" borderId="0" applyNumberFormat="0" applyBorder="0" applyAlignment="0" applyProtection="0"/>
    <xf numFmtId="0" fontId="69" fillId="28" borderId="0" applyNumberFormat="0" applyBorder="0" applyAlignment="0" applyProtection="0"/>
    <xf numFmtId="0" fontId="62" fillId="28" borderId="0" applyNumberFormat="0" applyBorder="0" applyAlignment="0" applyProtection="0"/>
    <xf numFmtId="0" fontId="69" fillId="28" borderId="0" applyNumberFormat="0" applyBorder="0" applyAlignment="0" applyProtection="0"/>
    <xf numFmtId="0" fontId="69" fillId="28" borderId="0" applyNumberFormat="0" applyBorder="0" applyAlignment="0" applyProtection="0"/>
    <xf numFmtId="0" fontId="69" fillId="28" borderId="0" applyNumberFormat="0" applyBorder="0" applyAlignment="0" applyProtection="0"/>
    <xf numFmtId="0" fontId="69" fillId="28" borderId="0" applyNumberFormat="0" applyBorder="0" applyAlignment="0" applyProtection="0"/>
    <xf numFmtId="0" fontId="69" fillId="28" borderId="0" applyNumberFormat="0" applyBorder="0" applyAlignment="0" applyProtection="0"/>
    <xf numFmtId="0" fontId="69" fillId="28" borderId="0" applyNumberFormat="0" applyBorder="0" applyAlignment="0" applyProtection="0"/>
    <xf numFmtId="0" fontId="69" fillId="28" borderId="0" applyNumberFormat="0" applyBorder="0" applyAlignment="0" applyProtection="0"/>
    <xf numFmtId="0" fontId="69" fillId="28" borderId="0" applyNumberFormat="0" applyBorder="0" applyAlignment="0" applyProtection="0"/>
    <xf numFmtId="0" fontId="69" fillId="28" borderId="0" applyNumberFormat="0" applyBorder="0" applyAlignment="0" applyProtection="0"/>
    <xf numFmtId="0" fontId="69" fillId="28" borderId="0" applyNumberFormat="0" applyBorder="0" applyAlignment="0" applyProtection="0"/>
    <xf numFmtId="0" fontId="69" fillId="28" borderId="0" applyNumberFormat="0" applyBorder="0" applyAlignment="0" applyProtection="0"/>
    <xf numFmtId="0" fontId="69" fillId="28" borderId="0" applyNumberFormat="0" applyBorder="0" applyAlignment="0" applyProtection="0"/>
    <xf numFmtId="0" fontId="69" fillId="28" borderId="0" applyNumberFormat="0" applyBorder="0" applyAlignment="0" applyProtection="0"/>
    <xf numFmtId="0" fontId="69" fillId="28" borderId="0" applyNumberFormat="0" applyBorder="0" applyAlignment="0" applyProtection="0"/>
    <xf numFmtId="0" fontId="69" fillId="28" borderId="0" applyNumberFormat="0" applyBorder="0" applyAlignment="0" applyProtection="0"/>
    <xf numFmtId="0" fontId="69" fillId="28" borderId="0" applyNumberFormat="0" applyBorder="0" applyAlignment="0" applyProtection="0"/>
    <xf numFmtId="0" fontId="69" fillId="28" borderId="0" applyNumberFormat="0" applyBorder="0" applyAlignment="0" applyProtection="0"/>
    <xf numFmtId="0" fontId="69" fillId="28" borderId="0" applyNumberFormat="0" applyBorder="0" applyAlignment="0" applyProtection="0"/>
    <xf numFmtId="0" fontId="69" fillId="28" borderId="0" applyNumberFormat="0" applyBorder="0" applyAlignment="0" applyProtection="0"/>
    <xf numFmtId="0" fontId="69" fillId="28" borderId="0" applyNumberFormat="0" applyBorder="0" applyAlignment="0" applyProtection="0"/>
    <xf numFmtId="0" fontId="69" fillId="28"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70"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2"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70"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2"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70"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2"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71" fillId="30" borderId="0" applyNumberFormat="0" applyBorder="0" applyAlignment="0" applyProtection="0"/>
    <xf numFmtId="0" fontId="71" fillId="27" borderId="0" applyNumberFormat="0" applyBorder="0" applyAlignment="0" applyProtection="0"/>
    <xf numFmtId="0" fontId="71" fillId="28" borderId="0" applyNumberFormat="0" applyBorder="0" applyAlignment="0" applyProtection="0"/>
    <xf numFmtId="0" fontId="71" fillId="31" borderId="0" applyNumberFormat="0" applyBorder="0" applyAlignment="0" applyProtection="0"/>
    <xf numFmtId="0" fontId="71" fillId="32" borderId="0" applyNumberFormat="0" applyBorder="0" applyAlignment="0" applyProtection="0"/>
    <xf numFmtId="0" fontId="71" fillId="33"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2" fillId="30" borderId="0" applyNumberFormat="0" applyBorder="0" applyAlignment="0" applyProtection="0"/>
    <xf numFmtId="0" fontId="71" fillId="30" borderId="0" applyNumberFormat="0" applyBorder="0" applyAlignment="0" applyProtection="0"/>
    <xf numFmtId="0" fontId="73"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2" fillId="27" borderId="0" applyNumberFormat="0" applyBorder="0" applyAlignment="0" applyProtection="0"/>
    <xf numFmtId="0" fontId="71" fillId="27" borderId="0" applyNumberFormat="0" applyBorder="0" applyAlignment="0" applyProtection="0"/>
    <xf numFmtId="0" fontId="73"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2" fillId="28" borderId="0" applyNumberFormat="0" applyBorder="0" applyAlignment="0" applyProtection="0"/>
    <xf numFmtId="0" fontId="71" fillId="28" borderId="0" applyNumberFormat="0" applyBorder="0" applyAlignment="0" applyProtection="0"/>
    <xf numFmtId="0" fontId="73"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2" fillId="31" borderId="0" applyNumberFormat="0" applyBorder="0" applyAlignment="0" applyProtection="0"/>
    <xf numFmtId="0" fontId="71" fillId="31" borderId="0" applyNumberFormat="0" applyBorder="0" applyAlignment="0" applyProtection="0"/>
    <xf numFmtId="0" fontId="73"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2" fillId="32" borderId="0" applyNumberFormat="0" applyBorder="0" applyAlignment="0" applyProtection="0"/>
    <xf numFmtId="0" fontId="71" fillId="32" borderId="0" applyNumberFormat="0" applyBorder="0" applyAlignment="0" applyProtection="0"/>
    <xf numFmtId="0" fontId="73"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2" fillId="33" borderId="0" applyNumberFormat="0" applyBorder="0" applyAlignment="0" applyProtection="0"/>
    <xf numFmtId="0" fontId="71" fillId="33" borderId="0" applyNumberFormat="0" applyBorder="0" applyAlignment="0" applyProtection="0"/>
    <xf numFmtId="0" fontId="73"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5" borderId="0" applyNumberFormat="0" applyBorder="0" applyAlignment="0" applyProtection="0"/>
    <xf numFmtId="0" fontId="71" fillId="36" borderId="0" applyNumberFormat="0" applyBorder="0" applyAlignment="0" applyProtection="0"/>
    <xf numFmtId="0" fontId="71" fillId="31" borderId="0" applyNumberFormat="0" applyBorder="0" applyAlignment="0" applyProtection="0"/>
    <xf numFmtId="0" fontId="71" fillId="32" borderId="0" applyNumberFormat="0" applyBorder="0" applyAlignment="0" applyProtection="0"/>
    <xf numFmtId="0" fontId="71" fillId="37" borderId="0" applyNumberFormat="0" applyBorder="0" applyAlignment="0" applyProtection="0"/>
    <xf numFmtId="0" fontId="74"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65" fillId="0" borderId="0"/>
    <xf numFmtId="182" fontId="64" fillId="0" borderId="55">
      <protection locked="0"/>
    </xf>
    <xf numFmtId="183" fontId="15" fillId="0" borderId="0" applyFont="0" applyFill="0" applyBorder="0" applyAlignment="0" applyProtection="0"/>
    <xf numFmtId="184" fontId="15" fillId="0" borderId="0" applyFont="0" applyFill="0" applyBorder="0" applyAlignment="0" applyProtection="0"/>
    <xf numFmtId="0" fontId="76" fillId="21" borderId="0" applyNumberFormat="0" applyBorder="0" applyAlignment="0" applyProtection="0"/>
    <xf numFmtId="10" fontId="77" fillId="0" borderId="0" applyNumberFormat="0" applyFill="0" applyBorder="0" applyAlignment="0"/>
    <xf numFmtId="0" fontId="78" fillId="0" borderId="0"/>
    <xf numFmtId="0" fontId="79" fillId="38" borderId="53" applyNumberFormat="0" applyAlignment="0" applyProtection="0"/>
    <xf numFmtId="0" fontId="79" fillId="38" borderId="53" applyNumberFormat="0" applyAlignment="0" applyProtection="0"/>
    <xf numFmtId="0" fontId="80" fillId="0" borderId="53" applyNumberFormat="0" applyAlignment="0">
      <protection locked="0"/>
    </xf>
    <xf numFmtId="0" fontId="81" fillId="39" borderId="56" applyNumberFormat="0" applyAlignment="0" applyProtection="0"/>
    <xf numFmtId="0" fontId="82" fillId="0" borderId="1">
      <alignment horizontal="left" vertical="center"/>
    </xf>
    <xf numFmtId="41" fontId="37" fillId="0" borderId="0" applyFont="0" applyFill="0" applyBorder="0" applyAlignment="0" applyProtection="0"/>
    <xf numFmtId="0" fontId="83" fillId="0" borderId="0" applyFont="0" applyFill="0" applyBorder="0" applyAlignment="0" applyProtection="0">
      <alignment horizontal="right"/>
    </xf>
    <xf numFmtId="0" fontId="83" fillId="0" borderId="0" applyFont="0" applyFill="0" applyBorder="0" applyAlignment="0" applyProtection="0"/>
    <xf numFmtId="0" fontId="83" fillId="0" borderId="0" applyFont="0" applyFill="0" applyBorder="0" applyAlignment="0" applyProtection="0">
      <alignment horizontal="right"/>
    </xf>
    <xf numFmtId="0" fontId="83" fillId="0" borderId="0" applyFont="0" applyFill="0" applyBorder="0" applyAlignment="0" applyProtection="0"/>
    <xf numFmtId="43" fontId="37" fillId="0" borderId="0" applyFont="0" applyFill="0" applyBorder="0" applyAlignment="0" applyProtection="0"/>
    <xf numFmtId="3" fontId="84" fillId="0" borderId="0" applyFont="0" applyFill="0" applyBorder="0" applyAlignment="0" applyProtection="0"/>
    <xf numFmtId="182" fontId="85" fillId="40" borderId="55"/>
    <xf numFmtId="185" fontId="68" fillId="0" borderId="0" applyFont="0" applyFill="0" applyBorder="0" applyAlignment="0" applyProtection="0"/>
    <xf numFmtId="185" fontId="68" fillId="0" borderId="0" applyFont="0" applyFill="0" applyBorder="0" applyAlignment="0" applyProtection="0"/>
    <xf numFmtId="185" fontId="68" fillId="0" borderId="0" applyFont="0" applyFill="0" applyBorder="0" applyAlignment="0" applyProtection="0"/>
    <xf numFmtId="185" fontId="68" fillId="0" borderId="0" applyFont="0" applyFill="0" applyBorder="0" applyAlignment="0" applyProtection="0"/>
    <xf numFmtId="185" fontId="68" fillId="0" borderId="0" applyFont="0" applyFill="0" applyBorder="0" applyAlignment="0" applyProtection="0"/>
    <xf numFmtId="185" fontId="68" fillId="0" borderId="0" applyFont="0" applyFill="0" applyBorder="0" applyAlignment="0" applyProtection="0"/>
    <xf numFmtId="185" fontId="68" fillId="0" borderId="0" applyFont="0" applyFill="0" applyBorder="0" applyAlignment="0" applyProtection="0"/>
    <xf numFmtId="185" fontId="68" fillId="0" borderId="0" applyFont="0" applyFill="0" applyBorder="0" applyAlignment="0" applyProtection="0"/>
    <xf numFmtId="185" fontId="68" fillId="0" borderId="0" applyFont="0" applyFill="0" applyBorder="0" applyAlignment="0" applyProtection="0"/>
    <xf numFmtId="185" fontId="68" fillId="0" borderId="0" applyFont="0" applyFill="0" applyBorder="0" applyAlignment="0" applyProtection="0"/>
    <xf numFmtId="185" fontId="68" fillId="0" borderId="0" applyFont="0" applyFill="0" applyBorder="0" applyAlignment="0" applyProtection="0"/>
    <xf numFmtId="185" fontId="68" fillId="0" borderId="0" applyFont="0" applyFill="0" applyBorder="0" applyAlignment="0" applyProtection="0"/>
    <xf numFmtId="185" fontId="68" fillId="0" borderId="0" applyFont="0" applyFill="0" applyBorder="0" applyAlignment="0" applyProtection="0"/>
    <xf numFmtId="185" fontId="68" fillId="0" borderId="0" applyFont="0" applyFill="0" applyBorder="0" applyAlignment="0" applyProtection="0"/>
    <xf numFmtId="185" fontId="68" fillId="0" borderId="0" applyFont="0" applyFill="0" applyBorder="0" applyAlignment="0" applyProtection="0"/>
    <xf numFmtId="185" fontId="68" fillId="0" borderId="0" applyFont="0" applyFill="0" applyBorder="0" applyAlignment="0" applyProtection="0"/>
    <xf numFmtId="185" fontId="68" fillId="0" borderId="0" applyFont="0" applyFill="0" applyBorder="0" applyAlignment="0" applyProtection="0"/>
    <xf numFmtId="185" fontId="68" fillId="0" borderId="0" applyFont="0" applyFill="0" applyBorder="0" applyAlignment="0" applyProtection="0"/>
    <xf numFmtId="185" fontId="68" fillId="0" borderId="0" applyFont="0" applyFill="0" applyBorder="0" applyAlignment="0" applyProtection="0"/>
    <xf numFmtId="185" fontId="68" fillId="0" borderId="0" applyFont="0" applyFill="0" applyBorder="0" applyAlignment="0" applyProtection="0"/>
    <xf numFmtId="185" fontId="68" fillId="0" borderId="0" applyFont="0" applyFill="0" applyBorder="0" applyAlignment="0" applyProtection="0"/>
    <xf numFmtId="185" fontId="68" fillId="0" borderId="0" applyFont="0" applyFill="0" applyBorder="0" applyAlignment="0" applyProtection="0"/>
    <xf numFmtId="185" fontId="68" fillId="0" borderId="0" applyFont="0" applyFill="0" applyBorder="0" applyAlignment="0" applyProtection="0"/>
    <xf numFmtId="185" fontId="68" fillId="0" borderId="0" applyFont="0" applyFill="0" applyBorder="0" applyAlignment="0" applyProtection="0"/>
    <xf numFmtId="185" fontId="68" fillId="0" borderId="0" applyFont="0" applyFill="0" applyBorder="0" applyAlignment="0" applyProtection="0"/>
    <xf numFmtId="185" fontId="68" fillId="0" borderId="0" applyFont="0" applyFill="0" applyBorder="0" applyAlignment="0" applyProtection="0"/>
    <xf numFmtId="185" fontId="68" fillId="0" borderId="0" applyFont="0" applyFill="0" applyBorder="0" applyAlignment="0" applyProtection="0"/>
    <xf numFmtId="185" fontId="68" fillId="0" borderId="0" applyFont="0" applyFill="0" applyBorder="0" applyAlignment="0" applyProtection="0"/>
    <xf numFmtId="185" fontId="68" fillId="0" borderId="0" applyFont="0" applyFill="0" applyBorder="0" applyAlignment="0" applyProtection="0"/>
    <xf numFmtId="185" fontId="68" fillId="0" borderId="0" applyFont="0" applyFill="0" applyBorder="0" applyAlignment="0" applyProtection="0"/>
    <xf numFmtId="185" fontId="68" fillId="0" borderId="0" applyFont="0" applyFill="0" applyBorder="0" applyAlignment="0" applyProtection="0"/>
    <xf numFmtId="185" fontId="68" fillId="0" borderId="0" applyFont="0" applyFill="0" applyBorder="0" applyAlignment="0" applyProtection="0"/>
    <xf numFmtId="185" fontId="68" fillId="0" borderId="0" applyFont="0" applyFill="0" applyBorder="0" applyAlignment="0" applyProtection="0"/>
    <xf numFmtId="185" fontId="68" fillId="0" borderId="0" applyFont="0" applyFill="0" applyBorder="0" applyAlignment="0" applyProtection="0"/>
    <xf numFmtId="185" fontId="68" fillId="0" borderId="0" applyFont="0" applyFill="0" applyBorder="0" applyAlignment="0" applyProtection="0"/>
    <xf numFmtId="185" fontId="68" fillId="0" borderId="0" applyFont="0" applyFill="0" applyBorder="0" applyAlignment="0" applyProtection="0"/>
    <xf numFmtId="185" fontId="68" fillId="0" borderId="0" applyFont="0" applyFill="0" applyBorder="0" applyAlignment="0" applyProtection="0"/>
    <xf numFmtId="185" fontId="68" fillId="0" borderId="0" applyFont="0" applyFill="0" applyBorder="0" applyAlignment="0" applyProtection="0"/>
    <xf numFmtId="185" fontId="68" fillId="0" borderId="0" applyFont="0" applyFill="0" applyBorder="0" applyAlignment="0" applyProtection="0"/>
    <xf numFmtId="185" fontId="68" fillId="0" borderId="0" applyFont="0" applyFill="0" applyBorder="0" applyAlignment="0" applyProtection="0"/>
    <xf numFmtId="185" fontId="68" fillId="0" borderId="0" applyFont="0" applyFill="0" applyBorder="0" applyAlignment="0" applyProtection="0"/>
    <xf numFmtId="185" fontId="68" fillId="0" borderId="0" applyFont="0" applyFill="0" applyBorder="0" applyAlignment="0" applyProtection="0"/>
    <xf numFmtId="185" fontId="68" fillId="0" borderId="0" applyFont="0" applyFill="0" applyBorder="0" applyAlignment="0" applyProtection="0"/>
    <xf numFmtId="185" fontId="68" fillId="0" borderId="0" applyFont="0" applyFill="0" applyBorder="0" applyAlignment="0" applyProtection="0"/>
    <xf numFmtId="185" fontId="68" fillId="0" borderId="0" applyFont="0" applyFill="0" applyBorder="0" applyAlignment="0" applyProtection="0"/>
    <xf numFmtId="185" fontId="68" fillId="0" borderId="0" applyFont="0" applyFill="0" applyBorder="0" applyAlignment="0" applyProtection="0"/>
    <xf numFmtId="0" fontId="83" fillId="0" borderId="0" applyFont="0" applyFill="0" applyBorder="0" applyAlignment="0" applyProtection="0">
      <alignment horizontal="right"/>
    </xf>
    <xf numFmtId="0" fontId="83" fillId="0" borderId="0" applyFont="0" applyFill="0" applyBorder="0" applyAlignment="0" applyProtection="0">
      <alignment horizontal="right"/>
    </xf>
    <xf numFmtId="44" fontId="15" fillId="0" borderId="0" applyFont="0" applyFill="0" applyBorder="0" applyAlignment="0" applyProtection="0"/>
    <xf numFmtId="186" fontId="84" fillId="0" borderId="0" applyFont="0" applyFill="0" applyBorder="0" applyAlignment="0" applyProtection="0"/>
    <xf numFmtId="0" fontId="83" fillId="0" borderId="0" applyFill="0" applyBorder="0" applyProtection="0">
      <alignment vertical="center"/>
    </xf>
    <xf numFmtId="0" fontId="84" fillId="0" borderId="0" applyFont="0" applyFill="0" applyBorder="0" applyAlignment="0" applyProtection="0"/>
    <xf numFmtId="0" fontId="83" fillId="0" borderId="0" applyFont="0" applyFill="0" applyBorder="0" applyAlignment="0" applyProtection="0"/>
    <xf numFmtId="14" fontId="86" fillId="0" borderId="0">
      <alignment vertical="top"/>
    </xf>
    <xf numFmtId="187" fontId="15" fillId="0" borderId="0" applyFont="0" applyFill="0" applyBorder="0" applyAlignment="0" applyProtection="0"/>
    <xf numFmtId="188" fontId="15" fillId="0" borderId="0" applyFont="0" applyFill="0" applyBorder="0" applyAlignment="0" applyProtection="0"/>
    <xf numFmtId="0" fontId="83" fillId="0" borderId="57" applyNumberFormat="0" applyFont="0" applyFill="0" applyAlignment="0" applyProtection="0"/>
    <xf numFmtId="0" fontId="87" fillId="0" borderId="0" applyNumberFormat="0" applyFill="0" applyBorder="0" applyAlignment="0" applyProtection="0"/>
    <xf numFmtId="175" fontId="88" fillId="0" borderId="0">
      <alignment vertical="top"/>
    </xf>
    <xf numFmtId="175" fontId="88" fillId="0" borderId="0">
      <alignment vertical="top"/>
    </xf>
    <xf numFmtId="38" fontId="88" fillId="0" borderId="0">
      <alignment vertical="top"/>
    </xf>
    <xf numFmtId="173" fontId="21" fillId="0" borderId="0" applyFont="0" applyFill="0" applyBorder="0" applyAlignment="0" applyProtection="0"/>
    <xf numFmtId="189" fontId="37" fillId="0" borderId="0" applyFont="0" applyFill="0" applyBorder="0" applyAlignment="0" applyProtection="0"/>
    <xf numFmtId="173" fontId="86" fillId="0" borderId="0" applyFont="0" applyFill="0" applyBorder="0" applyAlignment="0" applyProtection="0"/>
    <xf numFmtId="173" fontId="21" fillId="0" borderId="0" applyFont="0" applyFill="0" applyBorder="0" applyAlignment="0" applyProtection="0"/>
    <xf numFmtId="189" fontId="37" fillId="0" borderId="0" applyFont="0" applyFill="0" applyBorder="0" applyAlignment="0" applyProtection="0"/>
    <xf numFmtId="189" fontId="37" fillId="0" borderId="0" applyFont="0" applyFill="0" applyBorder="0" applyAlignment="0" applyProtection="0"/>
    <xf numFmtId="189" fontId="37" fillId="0" borderId="0" applyFont="0" applyFill="0" applyBorder="0" applyAlignment="0" applyProtection="0"/>
    <xf numFmtId="37" fontId="37" fillId="0" borderId="0"/>
    <xf numFmtId="37" fontId="37" fillId="0" borderId="0"/>
    <xf numFmtId="37" fontId="37" fillId="0" borderId="0"/>
    <xf numFmtId="37" fontId="37" fillId="0" borderId="0"/>
    <xf numFmtId="0" fontId="69" fillId="0" borderId="0"/>
    <xf numFmtId="0" fontId="89" fillId="0" borderId="0" applyNumberFormat="0" applyFill="0" applyBorder="0" applyAlignment="0" applyProtection="0"/>
    <xf numFmtId="172" fontId="90" fillId="0" borderId="0" applyFill="0" applyBorder="0" applyAlignment="0" applyProtection="0"/>
    <xf numFmtId="172" fontId="20" fillId="0" borderId="0" applyFill="0" applyBorder="0" applyAlignment="0" applyProtection="0"/>
    <xf numFmtId="172" fontId="91" fillId="0" borderId="0" applyFill="0" applyBorder="0" applyAlignment="0" applyProtection="0"/>
    <xf numFmtId="172" fontId="92" fillId="0" borderId="0" applyFill="0" applyBorder="0" applyAlignment="0" applyProtection="0"/>
    <xf numFmtId="172" fontId="93" fillId="0" borderId="0" applyFill="0" applyBorder="0" applyAlignment="0" applyProtection="0"/>
    <xf numFmtId="172" fontId="94" fillId="0" borderId="0" applyFill="0" applyBorder="0" applyAlignment="0" applyProtection="0"/>
    <xf numFmtId="172" fontId="95" fillId="0" borderId="0" applyFill="0" applyBorder="0" applyAlignment="0" applyProtection="0"/>
    <xf numFmtId="2" fontId="84" fillId="0" borderId="0" applyFont="0" applyFill="0" applyBorder="0" applyAlignment="0" applyProtection="0"/>
    <xf numFmtId="0" fontId="96" fillId="0" borderId="0">
      <alignment vertical="center"/>
    </xf>
    <xf numFmtId="0" fontId="97" fillId="0" borderId="0" applyNumberFormat="0" applyFill="0" applyBorder="0" applyAlignment="0" applyProtection="0">
      <alignment vertical="top"/>
      <protection locked="0"/>
    </xf>
    <xf numFmtId="0" fontId="98" fillId="0" borderId="0" applyFill="0" applyBorder="0" applyProtection="0">
      <alignment horizontal="left"/>
    </xf>
    <xf numFmtId="0" fontId="99" fillId="22" borderId="0" applyNumberFormat="0" applyBorder="0" applyAlignment="0" applyProtection="0"/>
    <xf numFmtId="167" fontId="100" fillId="17" borderId="1" applyNumberFormat="0" applyFont="0" applyBorder="0" applyAlignment="0" applyProtection="0"/>
    <xf numFmtId="0" fontId="83" fillId="0" borderId="0" applyFont="0" applyFill="0" applyBorder="0" applyAlignment="0" applyProtection="0">
      <alignment horizontal="right"/>
    </xf>
    <xf numFmtId="190" fontId="101" fillId="17" borderId="0" applyNumberFormat="0" applyFont="0" applyAlignment="0"/>
    <xf numFmtId="0" fontId="102" fillId="0" borderId="0" applyProtection="0">
      <alignment horizontal="right"/>
    </xf>
    <xf numFmtId="0" fontId="80" fillId="38" borderId="53" applyNumberFormat="0" applyAlignment="0"/>
    <xf numFmtId="0" fontId="103" fillId="0" borderId="0">
      <alignment vertical="top"/>
    </xf>
    <xf numFmtId="0" fontId="104" fillId="0" borderId="0" applyNumberFormat="0" applyFill="0" applyBorder="0" applyAlignment="0" applyProtection="0"/>
    <xf numFmtId="0" fontId="105" fillId="0" borderId="58" applyNumberFormat="0" applyFill="0" applyAlignment="0" applyProtection="0"/>
    <xf numFmtId="0" fontId="106" fillId="0" borderId="0" applyNumberFormat="0" applyFill="0" applyBorder="0" applyAlignment="0" applyProtection="0"/>
    <xf numFmtId="0" fontId="107" fillId="0" borderId="59"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0" applyNumberFormat="0" applyFill="0" applyBorder="0" applyAlignment="0" applyProtection="0"/>
    <xf numFmtId="2" fontId="109" fillId="41" borderId="0" applyAlignment="0">
      <alignment horizontal="right"/>
      <protection locked="0"/>
    </xf>
    <xf numFmtId="175" fontId="110" fillId="0" borderId="0">
      <alignment vertical="top"/>
    </xf>
    <xf numFmtId="175" fontId="110" fillId="0" borderId="0">
      <alignment vertical="top"/>
    </xf>
    <xf numFmtId="38" fontId="110" fillId="0" borderId="0">
      <alignment vertical="top"/>
    </xf>
    <xf numFmtId="0" fontId="111" fillId="0" borderId="0" applyNumberFormat="0" applyFill="0" applyBorder="0" applyAlignment="0" applyProtection="0">
      <alignment vertical="top"/>
      <protection locked="0"/>
    </xf>
    <xf numFmtId="182" fontId="96" fillId="0" borderId="0"/>
    <xf numFmtId="0" fontId="37" fillId="0" borderId="0"/>
    <xf numFmtId="0" fontId="11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191" fontId="114" fillId="0" borderId="1">
      <alignment horizontal="center" vertical="center" wrapText="1"/>
    </xf>
    <xf numFmtId="0" fontId="115" fillId="25" borderId="53" applyNumberFormat="0" applyAlignment="0" applyProtection="0"/>
    <xf numFmtId="0" fontId="115" fillId="25" borderId="53" applyNumberFormat="0" applyAlignment="0" applyProtection="0"/>
    <xf numFmtId="0" fontId="116" fillId="0" borderId="0" applyFill="0" applyBorder="0" applyProtection="0">
      <alignment vertical="center"/>
    </xf>
    <xf numFmtId="0" fontId="116" fillId="0" borderId="0" applyFill="0" applyBorder="0" applyProtection="0">
      <alignment vertical="center"/>
    </xf>
    <xf numFmtId="0" fontId="116" fillId="0" borderId="0" applyFill="0" applyBorder="0" applyProtection="0">
      <alignment vertical="center"/>
    </xf>
    <xf numFmtId="0" fontId="116" fillId="0" borderId="0" applyFill="0" applyBorder="0" applyProtection="0">
      <alignment vertical="center"/>
    </xf>
    <xf numFmtId="175" fontId="59" fillId="0" borderId="0">
      <alignment vertical="top"/>
    </xf>
    <xf numFmtId="175" fontId="59" fillId="16" borderId="0">
      <alignment vertical="top"/>
    </xf>
    <xf numFmtId="175" fontId="59" fillId="16" borderId="0">
      <alignment vertical="top"/>
    </xf>
    <xf numFmtId="38" fontId="59" fillId="16" borderId="0">
      <alignment vertical="top"/>
    </xf>
    <xf numFmtId="175" fontId="59" fillId="0" borderId="0">
      <alignment vertical="top"/>
    </xf>
    <xf numFmtId="192" fontId="59" fillId="17" borderId="0">
      <alignment vertical="top"/>
    </xf>
    <xf numFmtId="38" fontId="59" fillId="0" borderId="0">
      <alignment vertical="top"/>
    </xf>
    <xf numFmtId="0" fontId="117" fillId="0" borderId="61" applyNumberFormat="0" applyFill="0" applyAlignment="0" applyProtection="0"/>
    <xf numFmtId="193" fontId="118" fillId="0" borderId="0" applyFont="0" applyFill="0" applyBorder="0" applyAlignment="0" applyProtection="0"/>
    <xf numFmtId="194" fontId="118" fillId="0" borderId="0" applyFont="0" applyFill="0" applyBorder="0" applyAlignment="0" applyProtection="0"/>
    <xf numFmtId="193" fontId="118" fillId="0" borderId="0" applyFont="0" applyFill="0" applyBorder="0" applyAlignment="0" applyProtection="0"/>
    <xf numFmtId="194" fontId="118" fillId="0" borderId="0" applyFont="0" applyFill="0" applyBorder="0" applyAlignment="0" applyProtection="0"/>
    <xf numFmtId="195" fontId="119" fillId="0" borderId="1">
      <alignment horizontal="right"/>
      <protection locked="0"/>
    </xf>
    <xf numFmtId="196" fontId="118" fillId="0" borderId="0" applyFont="0" applyFill="0" applyBorder="0" applyAlignment="0" applyProtection="0"/>
    <xf numFmtId="197" fontId="118" fillId="0" borderId="0" applyFont="0" applyFill="0" applyBorder="0" applyAlignment="0" applyProtection="0"/>
    <xf numFmtId="196" fontId="118" fillId="0" borderId="0" applyFont="0" applyFill="0" applyBorder="0" applyAlignment="0" applyProtection="0"/>
    <xf numFmtId="197" fontId="118" fillId="0" borderId="0" applyFont="0" applyFill="0" applyBorder="0" applyAlignment="0" applyProtection="0"/>
    <xf numFmtId="0" fontId="83" fillId="0" borderId="0" applyFont="0" applyFill="0" applyBorder="0" applyAlignment="0" applyProtection="0">
      <alignment horizontal="right"/>
    </xf>
    <xf numFmtId="0" fontId="83" fillId="0" borderId="0" applyFill="0" applyBorder="0" applyProtection="0">
      <alignment vertical="center"/>
    </xf>
    <xf numFmtId="0" fontId="83" fillId="0" borderId="0" applyFont="0" applyFill="0" applyBorder="0" applyAlignment="0" applyProtection="0">
      <alignment horizontal="right"/>
    </xf>
    <xf numFmtId="3" fontId="15" fillId="0" borderId="15" applyFont="0" applyBorder="0">
      <alignment horizontal="center" vertical="center"/>
    </xf>
    <xf numFmtId="0" fontId="120" fillId="42" borderId="0" applyNumberFormat="0" applyBorder="0" applyAlignment="0" applyProtection="0"/>
    <xf numFmtId="0" fontId="68" fillId="0" borderId="62"/>
    <xf numFmtId="0" fontId="121" fillId="0" borderId="0" applyNumberFormat="0" applyFill="0" applyBorder="0" applyAlignment="0" applyProtection="0"/>
    <xf numFmtId="0" fontId="37" fillId="0" borderId="0"/>
    <xf numFmtId="0" fontId="37" fillId="0" borderId="0"/>
    <xf numFmtId="0" fontId="37" fillId="0" borderId="0"/>
    <xf numFmtId="0" fontId="37" fillId="0" borderId="0"/>
    <xf numFmtId="0" fontId="121" fillId="0" borderId="0" applyNumberFormat="0" applyFill="0" applyBorder="0" applyAlignment="0" applyProtection="0"/>
    <xf numFmtId="0" fontId="15" fillId="0" borderId="0"/>
    <xf numFmtId="0" fontId="15" fillId="0" borderId="0"/>
    <xf numFmtId="0" fontId="15" fillId="0" borderId="0"/>
    <xf numFmtId="0" fontId="15" fillId="0" borderId="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2" fillId="0" borderId="0">
      <alignment horizontal="right"/>
    </xf>
    <xf numFmtId="0" fontId="15" fillId="0" borderId="0"/>
    <xf numFmtId="0" fontId="123" fillId="0" borderId="0"/>
    <xf numFmtId="0" fontId="83" fillId="0" borderId="0" applyFill="0" applyBorder="0" applyProtection="0">
      <alignment vertical="center"/>
    </xf>
    <xf numFmtId="0" fontId="124" fillId="0" borderId="0"/>
    <xf numFmtId="0" fontId="37" fillId="0" borderId="0"/>
    <xf numFmtId="0" fontId="57" fillId="0" borderId="0"/>
    <xf numFmtId="0" fontId="36" fillId="43" borderId="63" applyNumberFormat="0" applyFont="0" applyAlignment="0" applyProtection="0"/>
    <xf numFmtId="0" fontId="36" fillId="43" borderId="63" applyNumberFormat="0" applyFont="0" applyAlignment="0" applyProtection="0"/>
    <xf numFmtId="198" fontId="15" fillId="0" borderId="0" applyFont="0" applyAlignment="0">
      <alignment horizontal="center"/>
    </xf>
    <xf numFmtId="199" fontId="15" fillId="0" borderId="0" applyFont="0" applyFill="0" applyBorder="0" applyAlignment="0" applyProtection="0"/>
    <xf numFmtId="200" fontId="15" fillId="0" borderId="0" applyFont="0" applyFill="0" applyBorder="0" applyAlignment="0" applyProtection="0"/>
    <xf numFmtId="0" fontId="100" fillId="0" borderId="0"/>
    <xf numFmtId="201" fontId="100" fillId="0" borderId="0" applyFont="0" applyFill="0" applyBorder="0" applyAlignment="0" applyProtection="0"/>
    <xf numFmtId="202" fontId="100" fillId="0" borderId="0" applyFont="0" applyFill="0" applyBorder="0" applyAlignment="0" applyProtection="0"/>
    <xf numFmtId="0" fontId="125" fillId="38" borderId="64" applyNumberFormat="0" applyAlignment="0" applyProtection="0"/>
    <xf numFmtId="0" fontId="125" fillId="38" borderId="64" applyNumberFormat="0" applyAlignment="0" applyProtection="0"/>
    <xf numFmtId="1" fontId="126" fillId="0" borderId="0" applyProtection="0">
      <alignment horizontal="right" vertical="center"/>
    </xf>
    <xf numFmtId="49" fontId="127" fillId="0" borderId="5" applyFill="0" applyProtection="0">
      <alignment vertical="center"/>
    </xf>
    <xf numFmtId="9" fontId="37" fillId="0" borderId="0" applyFont="0" applyFill="0" applyBorder="0" applyAlignment="0" applyProtection="0"/>
    <xf numFmtId="0" fontId="83" fillId="0" borderId="0" applyFill="0" applyBorder="0" applyProtection="0">
      <alignment vertical="center"/>
    </xf>
    <xf numFmtId="37" fontId="128" fillId="7" borderId="33"/>
    <xf numFmtId="37" fontId="128" fillId="7" borderId="33"/>
    <xf numFmtId="0" fontId="129" fillId="0" borderId="0" applyNumberFormat="0">
      <alignment horizontal="left"/>
    </xf>
    <xf numFmtId="203" fontId="130" fillId="0" borderId="65" applyBorder="0">
      <alignment horizontal="right"/>
      <protection locked="0"/>
    </xf>
    <xf numFmtId="49" fontId="131" fillId="0" borderId="1" applyNumberFormat="0">
      <alignment horizontal="left" vertical="center"/>
    </xf>
    <xf numFmtId="0" fontId="132" fillId="44" borderId="0">
      <alignment horizontal="center" vertical="top"/>
    </xf>
    <xf numFmtId="0" fontId="133" fillId="44" borderId="0">
      <alignment horizontal="right" vertical="top"/>
    </xf>
    <xf numFmtId="0" fontId="134" fillId="44" borderId="0">
      <alignment horizontal="left" vertical="top"/>
    </xf>
    <xf numFmtId="0" fontId="134" fillId="44" borderId="0">
      <alignment horizontal="right" vertical="top"/>
    </xf>
    <xf numFmtId="0" fontId="135" fillId="44" borderId="0">
      <alignment horizontal="left" vertical="top"/>
    </xf>
    <xf numFmtId="0" fontId="136" fillId="45" borderId="0">
      <alignment horizontal="right"/>
    </xf>
    <xf numFmtId="0" fontId="137" fillId="44" borderId="0">
      <alignment horizontal="right" vertical="center"/>
    </xf>
    <xf numFmtId="0" fontId="137" fillId="44" borderId="0">
      <alignment horizontal="right" vertical="top"/>
    </xf>
    <xf numFmtId="0" fontId="138" fillId="44" borderId="0">
      <alignment horizontal="left" vertical="top"/>
    </xf>
    <xf numFmtId="0" fontId="139" fillId="44" borderId="0">
      <alignment horizontal="right" vertical="top"/>
    </xf>
    <xf numFmtId="0" fontId="140" fillId="44" borderId="0">
      <alignment horizontal="right" vertical="center"/>
    </xf>
    <xf numFmtId="0" fontId="141" fillId="44" borderId="0">
      <alignment horizontal="left" vertical="top"/>
    </xf>
    <xf numFmtId="0" fontId="134" fillId="44" borderId="0">
      <alignment horizontal="center" vertical="center"/>
    </xf>
    <xf numFmtId="0" fontId="142" fillId="44" borderId="0">
      <alignment horizontal="center" vertical="center"/>
    </xf>
    <xf numFmtId="0" fontId="143" fillId="46" borderId="0">
      <alignment horizontal="center" vertical="top"/>
    </xf>
    <xf numFmtId="0" fontId="136" fillId="45" borderId="0">
      <alignment horizontal="right" vertical="center"/>
    </xf>
    <xf numFmtId="0" fontId="136" fillId="45" borderId="0">
      <alignment horizontal="right" vertical="center"/>
    </xf>
    <xf numFmtId="0" fontId="132" fillId="44" borderId="0">
      <alignment horizontal="left" vertical="top"/>
    </xf>
    <xf numFmtId="0" fontId="144" fillId="44" borderId="0">
      <alignment horizontal="left" vertical="top"/>
    </xf>
    <xf numFmtId="0" fontId="145" fillId="0" borderId="66">
      <alignment vertical="center"/>
    </xf>
    <xf numFmtId="4" fontId="146" fillId="7" borderId="64" applyNumberFormat="0" applyProtection="0">
      <alignment vertical="center"/>
    </xf>
    <xf numFmtId="4" fontId="146" fillId="7" borderId="64" applyNumberFormat="0" applyProtection="0">
      <alignment vertical="center"/>
    </xf>
    <xf numFmtId="4" fontId="147" fillId="7" borderId="64" applyNumberFormat="0" applyProtection="0">
      <alignment vertical="center"/>
    </xf>
    <xf numFmtId="4" fontId="147" fillId="7" borderId="64" applyNumberFormat="0" applyProtection="0">
      <alignment vertical="center"/>
    </xf>
    <xf numFmtId="4" fontId="146" fillId="7" borderId="64" applyNumberFormat="0" applyProtection="0">
      <alignment horizontal="left" vertical="center" indent="1"/>
    </xf>
    <xf numFmtId="4" fontId="146" fillId="7" borderId="64" applyNumberFormat="0" applyProtection="0">
      <alignment horizontal="left" vertical="center" indent="1"/>
    </xf>
    <xf numFmtId="4" fontId="146" fillId="7" borderId="64" applyNumberFormat="0" applyProtection="0">
      <alignment horizontal="left" vertical="center" indent="1"/>
    </xf>
    <xf numFmtId="4" fontId="146" fillId="7"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4" fontId="146" fillId="47" borderId="64" applyNumberFormat="0" applyProtection="0">
      <alignment horizontal="right" vertical="center"/>
    </xf>
    <xf numFmtId="4" fontId="146" fillId="47" borderId="64" applyNumberFormat="0" applyProtection="0">
      <alignment horizontal="right" vertical="center"/>
    </xf>
    <xf numFmtId="4" fontId="146" fillId="48" borderId="64" applyNumberFormat="0" applyProtection="0">
      <alignment horizontal="right" vertical="center"/>
    </xf>
    <xf numFmtId="4" fontId="146" fillId="48" borderId="64" applyNumberFormat="0" applyProtection="0">
      <alignment horizontal="right" vertical="center"/>
    </xf>
    <xf numFmtId="4" fontId="146" fillId="49" borderId="64" applyNumberFormat="0" applyProtection="0">
      <alignment horizontal="right" vertical="center"/>
    </xf>
    <xf numFmtId="4" fontId="146" fillId="49" borderId="64" applyNumberFormat="0" applyProtection="0">
      <alignment horizontal="right" vertical="center"/>
    </xf>
    <xf numFmtId="4" fontId="146" fillId="50" borderId="64" applyNumberFormat="0" applyProtection="0">
      <alignment horizontal="right" vertical="center"/>
    </xf>
    <xf numFmtId="4" fontId="146" fillId="50" borderId="64" applyNumberFormat="0" applyProtection="0">
      <alignment horizontal="right" vertical="center"/>
    </xf>
    <xf numFmtId="4" fontId="146" fillId="51" borderId="64" applyNumberFormat="0" applyProtection="0">
      <alignment horizontal="right" vertical="center"/>
    </xf>
    <xf numFmtId="4" fontId="146" fillId="51" borderId="64" applyNumberFormat="0" applyProtection="0">
      <alignment horizontal="right" vertical="center"/>
    </xf>
    <xf numFmtId="4" fontId="146" fillId="52" borderId="64" applyNumberFormat="0" applyProtection="0">
      <alignment horizontal="right" vertical="center"/>
    </xf>
    <xf numFmtId="4" fontId="146" fillId="52" borderId="64" applyNumberFormat="0" applyProtection="0">
      <alignment horizontal="right" vertical="center"/>
    </xf>
    <xf numFmtId="4" fontId="146" fillId="53" borderId="64" applyNumberFormat="0" applyProtection="0">
      <alignment horizontal="right" vertical="center"/>
    </xf>
    <xf numFmtId="4" fontId="146" fillId="53" borderId="64" applyNumberFormat="0" applyProtection="0">
      <alignment horizontal="right" vertical="center"/>
    </xf>
    <xf numFmtId="4" fontId="146" fillId="54" borderId="64" applyNumberFormat="0" applyProtection="0">
      <alignment horizontal="right" vertical="center"/>
    </xf>
    <xf numFmtId="4" fontId="146" fillId="54" borderId="64" applyNumberFormat="0" applyProtection="0">
      <alignment horizontal="right" vertical="center"/>
    </xf>
    <xf numFmtId="4" fontId="146" fillId="55" borderId="64" applyNumberFormat="0" applyProtection="0">
      <alignment horizontal="right" vertical="center"/>
    </xf>
    <xf numFmtId="4" fontId="146" fillId="55" borderId="64" applyNumberFormat="0" applyProtection="0">
      <alignment horizontal="right" vertical="center"/>
    </xf>
    <xf numFmtId="4" fontId="148" fillId="56" borderId="64" applyNumberFormat="0" applyProtection="0">
      <alignment horizontal="left" vertical="center" indent="1"/>
    </xf>
    <xf numFmtId="4" fontId="148" fillId="56" borderId="64" applyNumberFormat="0" applyProtection="0">
      <alignment horizontal="left" vertical="center" indent="1"/>
    </xf>
    <xf numFmtId="4" fontId="146" fillId="57" borderId="67" applyNumberFormat="0" applyProtection="0">
      <alignment horizontal="left" vertical="center" indent="1"/>
    </xf>
    <xf numFmtId="4" fontId="146" fillId="57" borderId="67" applyNumberFormat="0" applyProtection="0">
      <alignment horizontal="left" vertical="center" indent="1"/>
    </xf>
    <xf numFmtId="4" fontId="149" fillId="58" borderId="0"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4" fontId="62" fillId="57" borderId="64" applyNumberFormat="0" applyProtection="0">
      <alignment horizontal="left" vertical="center" indent="1"/>
    </xf>
    <xf numFmtId="4" fontId="62" fillId="57" borderId="64" applyNumberFormat="0" applyProtection="0">
      <alignment horizontal="left" vertical="center" indent="1"/>
    </xf>
    <xf numFmtId="4" fontId="62" fillId="59" borderId="64" applyNumberFormat="0" applyProtection="0">
      <alignment horizontal="left" vertical="center" indent="1"/>
    </xf>
    <xf numFmtId="4" fontId="62" fillId="59" borderId="64" applyNumberFormat="0" applyProtection="0">
      <alignment horizontal="left" vertical="center" indent="1"/>
    </xf>
    <xf numFmtId="0" fontId="37" fillId="59" borderId="64" applyNumberFormat="0" applyProtection="0">
      <alignment horizontal="left" vertical="center" indent="1"/>
    </xf>
    <xf numFmtId="0" fontId="37" fillId="59" borderId="64" applyNumberFormat="0" applyProtection="0">
      <alignment horizontal="left" vertical="center" indent="1"/>
    </xf>
    <xf numFmtId="0" fontId="37" fillId="59" borderId="64" applyNumberFormat="0" applyProtection="0">
      <alignment horizontal="left" vertical="center" indent="1"/>
    </xf>
    <xf numFmtId="0" fontId="37" fillId="59" borderId="64" applyNumberFormat="0" applyProtection="0">
      <alignment horizontal="left" vertical="center" indent="1"/>
    </xf>
    <xf numFmtId="0" fontId="37" fillId="59" borderId="64" applyNumberFormat="0" applyProtection="0">
      <alignment horizontal="left" vertical="center" indent="1"/>
    </xf>
    <xf numFmtId="0" fontId="37" fillId="59" borderId="64" applyNumberFormat="0" applyProtection="0">
      <alignment horizontal="left" vertical="center" indent="1"/>
    </xf>
    <xf numFmtId="0" fontId="37" fillId="59" borderId="64" applyNumberFormat="0" applyProtection="0">
      <alignment horizontal="left" vertical="center" indent="1"/>
    </xf>
    <xf numFmtId="0" fontId="37" fillId="59" borderId="64" applyNumberFormat="0" applyProtection="0">
      <alignment horizontal="left" vertical="center" indent="1"/>
    </xf>
    <xf numFmtId="0" fontId="37" fillId="59" borderId="64" applyNumberFormat="0" applyProtection="0">
      <alignment horizontal="left" vertical="center" indent="1"/>
    </xf>
    <xf numFmtId="0" fontId="37" fillId="59" borderId="64" applyNumberFormat="0" applyProtection="0">
      <alignment horizontal="left" vertical="center" indent="1"/>
    </xf>
    <xf numFmtId="0" fontId="37" fillId="59" borderId="64" applyNumberFormat="0" applyProtection="0">
      <alignment horizontal="left" vertical="center" indent="1"/>
    </xf>
    <xf numFmtId="0" fontId="37" fillId="59" borderId="64" applyNumberFormat="0" applyProtection="0">
      <alignment horizontal="left" vertical="center" indent="1"/>
    </xf>
    <xf numFmtId="0" fontId="37" fillId="60" borderId="64" applyNumberFormat="0" applyProtection="0">
      <alignment horizontal="left" vertical="center" indent="1"/>
    </xf>
    <xf numFmtId="0" fontId="37" fillId="60" borderId="64" applyNumberFormat="0" applyProtection="0">
      <alignment horizontal="left" vertical="center" indent="1"/>
    </xf>
    <xf numFmtId="0" fontId="37" fillId="60" borderId="64" applyNumberFormat="0" applyProtection="0">
      <alignment horizontal="left" vertical="center" indent="1"/>
    </xf>
    <xf numFmtId="0" fontId="37" fillId="60" borderId="64" applyNumberFormat="0" applyProtection="0">
      <alignment horizontal="left" vertical="center" indent="1"/>
    </xf>
    <xf numFmtId="0" fontId="37" fillId="60" borderId="64" applyNumberFormat="0" applyProtection="0">
      <alignment horizontal="left" vertical="center" indent="1"/>
    </xf>
    <xf numFmtId="0" fontId="37" fillId="60" borderId="64" applyNumberFormat="0" applyProtection="0">
      <alignment horizontal="left" vertical="center" indent="1"/>
    </xf>
    <xf numFmtId="0" fontId="37" fillId="60" borderId="64" applyNumberFormat="0" applyProtection="0">
      <alignment horizontal="left" vertical="center" indent="1"/>
    </xf>
    <xf numFmtId="0" fontId="37" fillId="60" borderId="64" applyNumberFormat="0" applyProtection="0">
      <alignment horizontal="left" vertical="center" indent="1"/>
    </xf>
    <xf numFmtId="0" fontId="37" fillId="60" borderId="64" applyNumberFormat="0" applyProtection="0">
      <alignment horizontal="left" vertical="center" indent="1"/>
    </xf>
    <xf numFmtId="0" fontId="37" fillId="60" borderId="64" applyNumberFormat="0" applyProtection="0">
      <alignment horizontal="left" vertical="center" indent="1"/>
    </xf>
    <xf numFmtId="0" fontId="37" fillId="60" borderId="64" applyNumberFormat="0" applyProtection="0">
      <alignment horizontal="left" vertical="center" indent="1"/>
    </xf>
    <xf numFmtId="0" fontId="37" fillId="60" borderId="64" applyNumberFormat="0" applyProtection="0">
      <alignment horizontal="left" vertical="center" indent="1"/>
    </xf>
    <xf numFmtId="0" fontId="37" fillId="16" borderId="64" applyNumberFormat="0" applyProtection="0">
      <alignment horizontal="left" vertical="center" indent="1"/>
    </xf>
    <xf numFmtId="0" fontId="37" fillId="16" borderId="64" applyNumberFormat="0" applyProtection="0">
      <alignment horizontal="left" vertical="center" indent="1"/>
    </xf>
    <xf numFmtId="0" fontId="37" fillId="16" borderId="64" applyNumberFormat="0" applyProtection="0">
      <alignment horizontal="left" vertical="center" indent="1"/>
    </xf>
    <xf numFmtId="0" fontId="37" fillId="16" borderId="64" applyNumberFormat="0" applyProtection="0">
      <alignment horizontal="left" vertical="center" indent="1"/>
    </xf>
    <xf numFmtId="0" fontId="37" fillId="16" borderId="64" applyNumberFormat="0" applyProtection="0">
      <alignment horizontal="left" vertical="center" indent="1"/>
    </xf>
    <xf numFmtId="0" fontId="37" fillId="16" borderId="64" applyNumberFormat="0" applyProtection="0">
      <alignment horizontal="left" vertical="center" indent="1"/>
    </xf>
    <xf numFmtId="0" fontId="37" fillId="16" borderId="64" applyNumberFormat="0" applyProtection="0">
      <alignment horizontal="left" vertical="center" indent="1"/>
    </xf>
    <xf numFmtId="0" fontId="37" fillId="16" borderId="64" applyNumberFormat="0" applyProtection="0">
      <alignment horizontal="left" vertical="center" indent="1"/>
    </xf>
    <xf numFmtId="0" fontId="37" fillId="16" borderId="64" applyNumberFormat="0" applyProtection="0">
      <alignment horizontal="left" vertical="center" indent="1"/>
    </xf>
    <xf numFmtId="0" fontId="37" fillId="16" borderId="64" applyNumberFormat="0" applyProtection="0">
      <alignment horizontal="left" vertical="center" indent="1"/>
    </xf>
    <xf numFmtId="0" fontId="37" fillId="16" borderId="64" applyNumberFormat="0" applyProtection="0">
      <alignment horizontal="left" vertical="center" indent="1"/>
    </xf>
    <xf numFmtId="0" fontId="37" fillId="16"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15" fillId="0" borderId="0"/>
    <xf numFmtId="4" fontId="146" fillId="61" borderId="64" applyNumberFormat="0" applyProtection="0">
      <alignment vertical="center"/>
    </xf>
    <xf numFmtId="4" fontId="146" fillId="61" borderId="64" applyNumberFormat="0" applyProtection="0">
      <alignment vertical="center"/>
    </xf>
    <xf numFmtId="4" fontId="147" fillId="61" borderId="64" applyNumberFormat="0" applyProtection="0">
      <alignment vertical="center"/>
    </xf>
    <xf numFmtId="4" fontId="147" fillId="61" borderId="64" applyNumberFormat="0" applyProtection="0">
      <alignment vertical="center"/>
    </xf>
    <xf numFmtId="4" fontId="146" fillId="61" borderId="64" applyNumberFormat="0" applyProtection="0">
      <alignment horizontal="left" vertical="center" indent="1"/>
    </xf>
    <xf numFmtId="4" fontId="146" fillId="61" borderId="64" applyNumberFormat="0" applyProtection="0">
      <alignment horizontal="left" vertical="center" indent="1"/>
    </xf>
    <xf numFmtId="4" fontId="146" fillId="61" borderId="64" applyNumberFormat="0" applyProtection="0">
      <alignment horizontal="left" vertical="center" indent="1"/>
    </xf>
    <xf numFmtId="4" fontId="146" fillId="61" borderId="64" applyNumberFormat="0" applyProtection="0">
      <alignment horizontal="left" vertical="center" indent="1"/>
    </xf>
    <xf numFmtId="4" fontId="146" fillId="57" borderId="64" applyNumberFormat="0" applyProtection="0">
      <alignment horizontal="right" vertical="center"/>
    </xf>
    <xf numFmtId="4" fontId="146" fillId="57" borderId="64" applyNumberFormat="0" applyProtection="0">
      <alignment horizontal="right" vertical="center"/>
    </xf>
    <xf numFmtId="4" fontId="147" fillId="57" borderId="64" applyNumberFormat="0" applyProtection="0">
      <alignment horizontal="right" vertical="center"/>
    </xf>
    <xf numFmtId="4" fontId="147" fillId="57" borderId="64" applyNumberFormat="0" applyProtection="0">
      <alignment horizontal="right" vertical="center"/>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150" fillId="0" borderId="0"/>
    <xf numFmtId="4" fontId="151" fillId="57" borderId="64" applyNumberFormat="0" applyProtection="0">
      <alignment horizontal="right" vertical="center"/>
    </xf>
    <xf numFmtId="4" fontId="151" fillId="57" borderId="64" applyNumberFormat="0" applyProtection="0">
      <alignment horizontal="right" vertical="center"/>
    </xf>
    <xf numFmtId="0" fontId="152" fillId="0" borderId="0">
      <alignment horizontal="left" vertical="center" wrapText="1"/>
    </xf>
    <xf numFmtId="0" fontId="37" fillId="0" borderId="0"/>
    <xf numFmtId="0" fontId="57" fillId="0" borderId="0"/>
    <xf numFmtId="2" fontId="153" fillId="62" borderId="68" applyProtection="0"/>
    <xf numFmtId="2" fontId="153" fillId="62" borderId="68" applyProtection="0"/>
    <xf numFmtId="2" fontId="73" fillId="0" borderId="0" applyFill="0" applyBorder="0" applyProtection="0"/>
    <xf numFmtId="2" fontId="63" fillId="0" borderId="0" applyFill="0" applyBorder="0" applyProtection="0"/>
    <xf numFmtId="2" fontId="63" fillId="63" borderId="68" applyProtection="0"/>
    <xf numFmtId="2" fontId="63" fillId="64" borderId="68" applyProtection="0"/>
    <xf numFmtId="2" fontId="63" fillId="65" borderId="68" applyProtection="0"/>
    <xf numFmtId="2" fontId="63" fillId="65" borderId="68" applyProtection="0">
      <alignment horizontal="center"/>
    </xf>
    <xf numFmtId="2" fontId="63" fillId="64" borderId="68" applyProtection="0">
      <alignment horizontal="center"/>
    </xf>
    <xf numFmtId="0" fontId="154" fillId="0" borderId="0" applyBorder="0" applyProtection="0">
      <alignment vertical="center"/>
    </xf>
    <xf numFmtId="0" fontId="154" fillId="0" borderId="5" applyBorder="0" applyProtection="0">
      <alignment horizontal="right" vertical="center"/>
    </xf>
    <xf numFmtId="0" fontId="155" fillId="66" borderId="0" applyBorder="0" applyProtection="0">
      <alignment horizontal="centerContinuous" vertical="center"/>
    </xf>
    <xf numFmtId="0" fontId="155" fillId="67" borderId="5" applyBorder="0" applyProtection="0">
      <alignment horizontal="centerContinuous" vertical="center"/>
    </xf>
    <xf numFmtId="0" fontId="156" fillId="0" borderId="0"/>
    <xf numFmtId="175" fontId="157" fillId="68" borderId="0">
      <alignment horizontal="right" vertical="top"/>
    </xf>
    <xf numFmtId="175" fontId="157" fillId="68" borderId="0">
      <alignment horizontal="right" vertical="top"/>
    </xf>
    <xf numFmtId="38" fontId="157" fillId="68" borderId="0">
      <alignment horizontal="right" vertical="top"/>
    </xf>
    <xf numFmtId="0" fontId="124" fillId="0" borderId="0"/>
    <xf numFmtId="0" fontId="158" fillId="0" borderId="0" applyFill="0" applyBorder="0" applyProtection="0">
      <alignment horizontal="left"/>
    </xf>
    <xf numFmtId="0" fontId="98" fillId="0" borderId="32" applyFill="0" applyBorder="0" applyProtection="0">
      <alignment horizontal="left" vertical="top"/>
    </xf>
    <xf numFmtId="0" fontId="159" fillId="0" borderId="0">
      <alignment horizontal="centerContinuous"/>
    </xf>
    <xf numFmtId="0" fontId="160" fillId="0" borderId="32" applyFill="0" applyBorder="0" applyProtection="0"/>
    <xf numFmtId="0" fontId="160" fillId="0" borderId="0"/>
    <xf numFmtId="0" fontId="161" fillId="0" borderId="0" applyFill="0" applyBorder="0" applyProtection="0"/>
    <xf numFmtId="0" fontId="162" fillId="0" borderId="0"/>
    <xf numFmtId="0" fontId="163" fillId="0" borderId="0" applyNumberFormat="0" applyFill="0" applyBorder="0" applyAlignment="0" applyProtection="0"/>
    <xf numFmtId="49" fontId="164" fillId="60" borderId="69" applyNumberFormat="0">
      <alignment horizontal="center" vertical="center"/>
    </xf>
    <xf numFmtId="0" fontId="84" fillId="0" borderId="70" applyNumberFormat="0" applyFont="0" applyFill="0" applyAlignment="0" applyProtection="0"/>
    <xf numFmtId="0" fontId="165" fillId="0" borderId="71" applyNumberFormat="0" applyFill="0" applyAlignment="0" applyProtection="0"/>
    <xf numFmtId="0" fontId="166" fillId="0" borderId="57" applyFill="0" applyBorder="0" applyProtection="0">
      <alignment vertical="center"/>
    </xf>
    <xf numFmtId="0" fontId="167" fillId="0" borderId="0">
      <alignment horizontal="fill"/>
    </xf>
    <xf numFmtId="0" fontId="100" fillId="0" borderId="0"/>
    <xf numFmtId="0" fontId="168" fillId="0" borderId="0" applyNumberFormat="0" applyFill="0" applyBorder="0" applyAlignment="0" applyProtection="0"/>
    <xf numFmtId="0" fontId="169" fillId="0" borderId="5" applyBorder="0" applyProtection="0">
      <alignment horizontal="right"/>
    </xf>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2" fillId="34" borderId="0" applyNumberFormat="0" applyBorder="0" applyAlignment="0" applyProtection="0"/>
    <xf numFmtId="0" fontId="71" fillId="34" borderId="0" applyNumberFormat="0" applyBorder="0" applyAlignment="0" applyProtection="0"/>
    <xf numFmtId="0" fontId="73"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5" borderId="0" applyNumberFormat="0" applyBorder="0" applyAlignment="0" applyProtection="0"/>
    <xf numFmtId="0" fontId="71" fillId="35" borderId="0" applyNumberFormat="0" applyBorder="0" applyAlignment="0" applyProtection="0"/>
    <xf numFmtId="0" fontId="71" fillId="35" borderId="0" applyNumberFormat="0" applyBorder="0" applyAlignment="0" applyProtection="0"/>
    <xf numFmtId="0" fontId="72" fillId="35" borderId="0" applyNumberFormat="0" applyBorder="0" applyAlignment="0" applyProtection="0"/>
    <xf numFmtId="0" fontId="71" fillId="35" borderId="0" applyNumberFormat="0" applyBorder="0" applyAlignment="0" applyProtection="0"/>
    <xf numFmtId="0" fontId="73" fillId="35" borderId="0" applyNumberFormat="0" applyBorder="0" applyAlignment="0" applyProtection="0"/>
    <xf numFmtId="0" fontId="71" fillId="35" borderId="0" applyNumberFormat="0" applyBorder="0" applyAlignment="0" applyProtection="0"/>
    <xf numFmtId="0" fontId="71" fillId="35" borderId="0" applyNumberFormat="0" applyBorder="0" applyAlignment="0" applyProtection="0"/>
    <xf numFmtId="0" fontId="71" fillId="35" borderId="0" applyNumberFormat="0" applyBorder="0" applyAlignment="0" applyProtection="0"/>
    <xf numFmtId="0" fontId="71" fillId="35" borderId="0" applyNumberFormat="0" applyBorder="0" applyAlignment="0" applyProtection="0"/>
    <xf numFmtId="0" fontId="71" fillId="35" borderId="0" applyNumberFormat="0" applyBorder="0" applyAlignment="0" applyProtection="0"/>
    <xf numFmtId="0" fontId="71" fillId="35" borderId="0" applyNumberFormat="0" applyBorder="0" applyAlignment="0" applyProtection="0"/>
    <xf numFmtId="0" fontId="71" fillId="35" borderId="0" applyNumberFormat="0" applyBorder="0" applyAlignment="0" applyProtection="0"/>
    <xf numFmtId="0" fontId="71" fillId="35" borderId="0" applyNumberFormat="0" applyBorder="0" applyAlignment="0" applyProtection="0"/>
    <xf numFmtId="0" fontId="71" fillId="35" borderId="0" applyNumberFormat="0" applyBorder="0" applyAlignment="0" applyProtection="0"/>
    <xf numFmtId="0" fontId="71" fillId="35" borderId="0" applyNumberFormat="0" applyBorder="0" applyAlignment="0" applyProtection="0"/>
    <xf numFmtId="0" fontId="71" fillId="35" borderId="0" applyNumberFormat="0" applyBorder="0" applyAlignment="0" applyProtection="0"/>
    <xf numFmtId="0" fontId="71" fillId="35" borderId="0" applyNumberFormat="0" applyBorder="0" applyAlignment="0" applyProtection="0"/>
    <xf numFmtId="0" fontId="71" fillId="35"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2" fillId="36" borderId="0" applyNumberFormat="0" applyBorder="0" applyAlignment="0" applyProtection="0"/>
    <xf numFmtId="0" fontId="71" fillId="36" borderId="0" applyNumberFormat="0" applyBorder="0" applyAlignment="0" applyProtection="0"/>
    <xf numFmtId="0" fontId="73"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2" fillId="31" borderId="0" applyNumberFormat="0" applyBorder="0" applyAlignment="0" applyProtection="0"/>
    <xf numFmtId="0" fontId="71" fillId="31" borderId="0" applyNumberFormat="0" applyBorder="0" applyAlignment="0" applyProtection="0"/>
    <xf numFmtId="0" fontId="73"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2" fillId="32" borderId="0" applyNumberFormat="0" applyBorder="0" applyAlignment="0" applyProtection="0"/>
    <xf numFmtId="0" fontId="71" fillId="32" borderId="0" applyNumberFormat="0" applyBorder="0" applyAlignment="0" applyProtection="0"/>
    <xf numFmtId="0" fontId="73"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2" fillId="37" borderId="0" applyNumberFormat="0" applyBorder="0" applyAlignment="0" applyProtection="0"/>
    <xf numFmtId="0" fontId="71" fillId="37" borderId="0" applyNumberFormat="0" applyBorder="0" applyAlignment="0" applyProtection="0"/>
    <xf numFmtId="0" fontId="73"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182" fontId="64" fillId="0" borderId="55">
      <protection locked="0"/>
    </xf>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70"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71"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3" fontId="172" fillId="0" borderId="0">
      <alignment horizontal="center" vertical="center" textRotation="90" wrapText="1"/>
    </xf>
    <xf numFmtId="168" fontId="64" fillId="0" borderId="1">
      <alignment vertical="top" wrapText="1"/>
    </xf>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73"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74"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175"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176"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177" fillId="3" borderId="14"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178" fillId="0" borderId="0" applyNumberFormat="0" applyFill="0" applyBorder="0" applyAlignment="0" applyProtection="0">
      <alignment vertical="top"/>
      <protection locked="0"/>
    </xf>
    <xf numFmtId="0" fontId="179" fillId="0" borderId="0" applyNumberFormat="0" applyFill="0" applyBorder="0" applyAlignment="0" applyProtection="0">
      <alignment vertical="top"/>
      <protection locked="0"/>
    </xf>
    <xf numFmtId="0" fontId="179"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80" fillId="0" borderId="0" applyNumberFormat="0" applyFill="0" applyBorder="0" applyAlignment="0" applyProtection="0">
      <alignment vertical="top"/>
      <protection locked="0"/>
    </xf>
    <xf numFmtId="0" fontId="178" fillId="0" borderId="0" applyNumberFormat="0" applyFill="0" applyBorder="0" applyAlignment="0" applyProtection="0">
      <alignment vertical="top"/>
      <protection locked="0"/>
    </xf>
    <xf numFmtId="0" fontId="178" fillId="0" borderId="0" applyNumberFormat="0" applyFill="0" applyBorder="0" applyAlignment="0" applyProtection="0">
      <alignment vertical="top"/>
      <protection locked="0"/>
    </xf>
    <xf numFmtId="204" fontId="181" fillId="0" borderId="1">
      <alignment vertical="top" wrapText="1"/>
    </xf>
    <xf numFmtId="4" fontId="182" fillId="0" borderId="1">
      <alignment horizontal="left" vertical="center"/>
    </xf>
    <xf numFmtId="4" fontId="182" fillId="0" borderId="1"/>
    <xf numFmtId="4" fontId="182" fillId="69" borderId="1"/>
    <xf numFmtId="4" fontId="182" fillId="70" borderId="1"/>
    <xf numFmtId="4" fontId="183" fillId="71" borderId="1"/>
    <xf numFmtId="4" fontId="184" fillId="16" borderId="1"/>
    <xf numFmtId="4" fontId="185" fillId="0" borderId="1">
      <alignment horizontal="center" wrapText="1"/>
    </xf>
    <xf numFmtId="204" fontId="182" fillId="0" borderId="1"/>
    <xf numFmtId="204" fontId="181" fillId="0" borderId="1">
      <alignment horizontal="center" vertical="center" wrapText="1"/>
    </xf>
    <xf numFmtId="204" fontId="181" fillId="0" borderId="1">
      <alignment vertical="top" wrapText="1"/>
    </xf>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15" fillId="0" borderId="0" applyFont="0" applyFill="0" applyBorder="0" applyAlignment="0" applyProtection="0"/>
    <xf numFmtId="44" fontId="6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05" fillId="0" borderId="58" applyNumberFormat="0" applyFill="0" applyAlignment="0" applyProtection="0"/>
    <xf numFmtId="0" fontId="105" fillId="0" borderId="58" applyNumberFormat="0" applyFill="0" applyAlignment="0" applyProtection="0"/>
    <xf numFmtId="0" fontId="105" fillId="0" borderId="58" applyNumberFormat="0" applyFill="0" applyAlignment="0" applyProtection="0"/>
    <xf numFmtId="0" fontId="105" fillId="0" borderId="58" applyNumberFormat="0" applyFill="0" applyAlignment="0" applyProtection="0"/>
    <xf numFmtId="0" fontId="34" fillId="0" borderId="0" applyBorder="0">
      <alignment horizontal="center" vertical="center" wrapText="1"/>
    </xf>
    <xf numFmtId="0" fontId="105" fillId="0" borderId="58" applyNumberFormat="0" applyFill="0" applyAlignment="0" applyProtection="0"/>
    <xf numFmtId="0" fontId="186" fillId="0" borderId="58" applyNumberFormat="0" applyFill="0" applyAlignment="0" applyProtection="0"/>
    <xf numFmtId="0" fontId="105" fillId="0" borderId="58" applyNumberFormat="0" applyFill="0" applyAlignment="0" applyProtection="0"/>
    <xf numFmtId="0" fontId="105" fillId="0" borderId="58" applyNumberFormat="0" applyFill="0" applyAlignment="0" applyProtection="0"/>
    <xf numFmtId="0" fontId="187" fillId="0" borderId="58" applyNumberFormat="0" applyFill="0" applyAlignment="0" applyProtection="0"/>
    <xf numFmtId="0" fontId="105" fillId="0" borderId="58" applyNumberFormat="0" applyFill="0" applyAlignment="0" applyProtection="0"/>
    <xf numFmtId="0" fontId="105" fillId="0" borderId="58" applyNumberFormat="0" applyFill="0" applyAlignment="0" applyProtection="0"/>
    <xf numFmtId="0" fontId="105" fillId="0" borderId="58" applyNumberFormat="0" applyFill="0" applyAlignment="0" applyProtection="0"/>
    <xf numFmtId="0" fontId="105" fillId="0" borderId="58" applyNumberFormat="0" applyFill="0" applyAlignment="0" applyProtection="0"/>
    <xf numFmtId="0" fontId="105" fillId="0" borderId="58" applyNumberFormat="0" applyFill="0" applyAlignment="0" applyProtection="0"/>
    <xf numFmtId="0" fontId="105" fillId="0" borderId="58" applyNumberFormat="0" applyFill="0" applyAlignment="0" applyProtection="0"/>
    <xf numFmtId="0" fontId="105" fillId="0" borderId="58" applyNumberFormat="0" applyFill="0" applyAlignment="0" applyProtection="0"/>
    <xf numFmtId="0" fontId="105" fillId="0" borderId="58" applyNumberFormat="0" applyFill="0" applyAlignment="0" applyProtection="0"/>
    <xf numFmtId="0" fontId="105" fillId="0" borderId="58" applyNumberFormat="0" applyFill="0" applyAlignment="0" applyProtection="0"/>
    <xf numFmtId="0" fontId="105" fillId="0" borderId="58" applyNumberFormat="0" applyFill="0" applyAlignment="0" applyProtection="0"/>
    <xf numFmtId="0" fontId="105" fillId="0" borderId="58" applyNumberFormat="0" applyFill="0" applyAlignment="0" applyProtection="0"/>
    <xf numFmtId="0" fontId="105" fillId="0" borderId="58" applyNumberFormat="0" applyFill="0" applyAlignment="0" applyProtection="0"/>
    <xf numFmtId="0" fontId="105" fillId="0" borderId="58" applyNumberFormat="0" applyFill="0" applyAlignment="0" applyProtection="0"/>
    <xf numFmtId="0" fontId="105" fillId="0" borderId="58" applyNumberFormat="0" applyFill="0" applyAlignment="0" applyProtection="0"/>
    <xf numFmtId="0" fontId="105" fillId="0" borderId="58" applyNumberFormat="0" applyFill="0" applyAlignment="0" applyProtection="0"/>
    <xf numFmtId="0" fontId="105" fillId="0" borderId="58" applyNumberFormat="0" applyFill="0" applyAlignment="0" applyProtection="0"/>
    <xf numFmtId="0" fontId="105" fillId="0" borderId="58" applyNumberFormat="0" applyFill="0" applyAlignment="0" applyProtection="0"/>
    <xf numFmtId="0" fontId="107" fillId="0" borderId="59" applyNumberFormat="0" applyFill="0" applyAlignment="0" applyProtection="0"/>
    <xf numFmtId="0" fontId="107" fillId="0" borderId="59" applyNumberFormat="0" applyFill="0" applyAlignment="0" applyProtection="0"/>
    <xf numFmtId="0" fontId="107" fillId="0" borderId="59" applyNumberFormat="0" applyFill="0" applyAlignment="0" applyProtection="0"/>
    <xf numFmtId="0" fontId="107" fillId="0" borderId="59" applyNumberFormat="0" applyFill="0" applyAlignment="0" applyProtection="0"/>
    <xf numFmtId="0" fontId="188" fillId="0" borderId="59" applyNumberFormat="0" applyFill="0" applyAlignment="0" applyProtection="0"/>
    <xf numFmtId="0" fontId="107" fillId="0" borderId="59" applyNumberFormat="0" applyFill="0" applyAlignment="0" applyProtection="0"/>
    <xf numFmtId="0" fontId="189" fillId="0" borderId="59" applyNumberFormat="0" applyFill="0" applyAlignment="0" applyProtection="0"/>
    <xf numFmtId="0" fontId="107" fillId="0" borderId="59" applyNumberFormat="0" applyFill="0" applyAlignment="0" applyProtection="0"/>
    <xf numFmtId="0" fontId="107" fillId="0" borderId="59" applyNumberFormat="0" applyFill="0" applyAlignment="0" applyProtection="0"/>
    <xf numFmtId="0" fontId="107" fillId="0" borderId="59" applyNumberFormat="0" applyFill="0" applyAlignment="0" applyProtection="0"/>
    <xf numFmtId="0" fontId="107" fillId="0" borderId="59" applyNumberFormat="0" applyFill="0" applyAlignment="0" applyProtection="0"/>
    <xf numFmtId="0" fontId="107" fillId="0" borderId="59" applyNumberFormat="0" applyFill="0" applyAlignment="0" applyProtection="0"/>
    <xf numFmtId="0" fontId="107" fillId="0" borderId="59" applyNumberFormat="0" applyFill="0" applyAlignment="0" applyProtection="0"/>
    <xf numFmtId="0" fontId="107" fillId="0" borderId="59" applyNumberFormat="0" applyFill="0" applyAlignment="0" applyProtection="0"/>
    <xf numFmtId="0" fontId="107" fillId="0" borderId="59" applyNumberFormat="0" applyFill="0" applyAlignment="0" applyProtection="0"/>
    <xf numFmtId="0" fontId="107" fillId="0" borderId="59" applyNumberFormat="0" applyFill="0" applyAlignment="0" applyProtection="0"/>
    <xf numFmtId="0" fontId="107" fillId="0" borderId="59" applyNumberFormat="0" applyFill="0" applyAlignment="0" applyProtection="0"/>
    <xf numFmtId="0" fontId="107" fillId="0" borderId="59" applyNumberFormat="0" applyFill="0" applyAlignment="0" applyProtection="0"/>
    <xf numFmtId="0" fontId="107" fillId="0" borderId="59" applyNumberFormat="0" applyFill="0" applyAlignment="0" applyProtection="0"/>
    <xf numFmtId="0" fontId="107" fillId="0" borderId="59" applyNumberFormat="0" applyFill="0" applyAlignment="0" applyProtection="0"/>
    <xf numFmtId="0" fontId="107" fillId="0" borderId="59" applyNumberFormat="0" applyFill="0" applyAlignment="0" applyProtection="0"/>
    <xf numFmtId="0" fontId="107" fillId="0" borderId="59" applyNumberFormat="0" applyFill="0" applyAlignment="0" applyProtection="0"/>
    <xf numFmtId="0" fontId="107" fillId="0" borderId="59" applyNumberFormat="0" applyFill="0" applyAlignment="0" applyProtection="0"/>
    <xf numFmtId="0" fontId="107" fillId="0" borderId="59" applyNumberFormat="0" applyFill="0" applyAlignment="0" applyProtection="0"/>
    <xf numFmtId="0" fontId="107" fillId="0" borderId="59" applyNumberFormat="0" applyFill="0" applyAlignment="0" applyProtection="0"/>
    <xf numFmtId="0" fontId="107" fillId="0" borderId="59" applyNumberFormat="0" applyFill="0" applyAlignment="0" applyProtection="0"/>
    <xf numFmtId="0" fontId="107" fillId="0" borderId="59"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90"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91"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91" fillId="0" borderId="60" applyNumberFormat="0" applyFill="0" applyAlignment="0" applyProtection="0"/>
    <xf numFmtId="0" fontId="191" fillId="0" borderId="60" applyNumberFormat="0" applyFill="0" applyAlignment="0" applyProtection="0"/>
    <xf numFmtId="0" fontId="190" fillId="0" borderId="60" applyNumberFormat="0" applyFill="0" applyAlignment="0" applyProtection="0"/>
    <xf numFmtId="0" fontId="190"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90" fillId="0" borderId="0" applyNumberFormat="0" applyFill="0" applyBorder="0" applyAlignment="0" applyProtection="0"/>
    <xf numFmtId="0" fontId="108" fillId="0" borderId="0" applyNumberFormat="0" applyFill="0" applyBorder="0" applyAlignment="0" applyProtection="0"/>
    <xf numFmtId="0" fontId="191"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92" fillId="0" borderId="0" applyNumberFormat="0" applyFill="0" applyBorder="0" applyAlignment="0" applyProtection="0"/>
    <xf numFmtId="0" fontId="193" fillId="0" borderId="0" applyNumberFormat="0" applyFill="0" applyBorder="0" applyAlignment="0" applyProtection="0"/>
    <xf numFmtId="182" fontId="85" fillId="40" borderId="55"/>
    <xf numFmtId="4" fontId="36" fillId="7" borderId="1" applyBorder="0">
      <alignment horizontal="right"/>
    </xf>
    <xf numFmtId="49" fontId="194" fillId="0" borderId="0" applyBorder="0">
      <alignment vertical="center"/>
    </xf>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9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96"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3" fontId="85" fillId="0" borderId="1" applyBorder="0">
      <alignment vertical="center"/>
    </xf>
    <xf numFmtId="3" fontId="85" fillId="0" borderId="1" applyBorder="0">
      <alignment vertical="center"/>
    </xf>
    <xf numFmtId="0" fontId="121" fillId="0" borderId="54" applyNumberFormat="0" applyFill="0" applyAlignment="0" applyProtection="0"/>
    <xf numFmtId="0" fontId="121" fillId="0" borderId="54" applyNumberFormat="0" applyFill="0" applyAlignment="0" applyProtection="0"/>
    <xf numFmtId="0" fontId="121" fillId="0" borderId="54" applyNumberFormat="0" applyFill="0" applyAlignment="0" applyProtection="0"/>
    <xf numFmtId="0" fontId="121" fillId="0" borderId="54" applyNumberFormat="0" applyFill="0" applyAlignment="0" applyProtection="0"/>
    <xf numFmtId="0" fontId="121" fillId="0" borderId="54" applyNumberFormat="0" applyFill="0" applyAlignment="0" applyProtection="0"/>
    <xf numFmtId="0" fontId="121" fillId="0" borderId="54" applyNumberFormat="0" applyFill="0" applyAlignment="0" applyProtection="0"/>
    <xf numFmtId="0" fontId="121" fillId="0" borderId="54" applyNumberFormat="0" applyFill="0" applyAlignment="0" applyProtection="0"/>
    <xf numFmtId="0" fontId="121" fillId="0" borderId="54" applyNumberFormat="0" applyFill="0" applyAlignment="0" applyProtection="0"/>
    <xf numFmtId="0" fontId="121" fillId="0" borderId="54" applyNumberFormat="0" applyFill="0" applyAlignment="0" applyProtection="0"/>
    <xf numFmtId="0" fontId="121" fillId="0" borderId="54" applyNumberFormat="0" applyFill="0" applyAlignment="0" applyProtection="0"/>
    <xf numFmtId="0" fontId="81" fillId="39" borderId="56" applyNumberFormat="0" applyAlignment="0" applyProtection="0"/>
    <xf numFmtId="0" fontId="81" fillId="39" borderId="56" applyNumberFormat="0" applyAlignment="0" applyProtection="0"/>
    <xf numFmtId="0" fontId="81" fillId="39" borderId="56" applyNumberFormat="0" applyAlignment="0" applyProtection="0"/>
    <xf numFmtId="0" fontId="81" fillId="39" borderId="56" applyNumberFormat="0" applyAlignment="0" applyProtection="0"/>
    <xf numFmtId="0" fontId="197" fillId="39" borderId="56" applyNumberFormat="0" applyAlignment="0" applyProtection="0"/>
    <xf numFmtId="0" fontId="81" fillId="39" borderId="56" applyNumberFormat="0" applyAlignment="0" applyProtection="0"/>
    <xf numFmtId="0" fontId="198" fillId="39" borderId="56" applyNumberFormat="0" applyAlignment="0" applyProtection="0"/>
    <xf numFmtId="0" fontId="81" fillId="39" borderId="56" applyNumberFormat="0" applyAlignment="0" applyProtection="0"/>
    <xf numFmtId="0" fontId="81" fillId="39" borderId="56" applyNumberFormat="0" applyAlignment="0" applyProtection="0"/>
    <xf numFmtId="0" fontId="81" fillId="39" borderId="56" applyNumberFormat="0" applyAlignment="0" applyProtection="0"/>
    <xf numFmtId="0" fontId="81" fillId="39" borderId="56" applyNumberFormat="0" applyAlignment="0" applyProtection="0"/>
    <xf numFmtId="0" fontId="81" fillId="39" borderId="56" applyNumberFormat="0" applyAlignment="0" applyProtection="0"/>
    <xf numFmtId="0" fontId="81" fillId="39" borderId="56" applyNumberFormat="0" applyAlignment="0" applyProtection="0"/>
    <xf numFmtId="0" fontId="81" fillId="39" borderId="56" applyNumberFormat="0" applyAlignment="0" applyProtection="0"/>
    <xf numFmtId="0" fontId="81" fillId="39" borderId="56" applyNumberFormat="0" applyAlignment="0" applyProtection="0"/>
    <xf numFmtId="0" fontId="81" fillId="39" borderId="56" applyNumberFormat="0" applyAlignment="0" applyProtection="0"/>
    <xf numFmtId="0" fontId="81" fillId="39" borderId="56" applyNumberFormat="0" applyAlignment="0" applyProtection="0"/>
    <xf numFmtId="0" fontId="81" fillId="39" borderId="56" applyNumberFormat="0" applyAlignment="0" applyProtection="0"/>
    <xf numFmtId="0" fontId="81" fillId="39" borderId="56" applyNumberFormat="0" applyAlignment="0" applyProtection="0"/>
    <xf numFmtId="0" fontId="81" fillId="39" borderId="56" applyNumberFormat="0" applyAlignment="0" applyProtection="0"/>
    <xf numFmtId="0" fontId="81" fillId="39" borderId="56" applyNumberFormat="0" applyAlignment="0" applyProtection="0"/>
    <xf numFmtId="0" fontId="81" fillId="39" borderId="56" applyNumberFormat="0" applyAlignment="0" applyProtection="0"/>
    <xf numFmtId="0" fontId="81" fillId="39" borderId="56" applyNumberFormat="0" applyAlignment="0" applyProtection="0"/>
    <xf numFmtId="0" fontId="81" fillId="39" borderId="56" applyNumberFormat="0" applyAlignment="0" applyProtection="0"/>
    <xf numFmtId="0" fontId="81" fillId="39" borderId="56" applyNumberFormat="0" applyAlignment="0" applyProtection="0"/>
    <xf numFmtId="0" fontId="81" fillId="39" borderId="56" applyNumberFormat="0" applyAlignment="0" applyProtection="0"/>
    <xf numFmtId="0" fontId="81" fillId="39" borderId="56" applyNumberFormat="0" applyAlignment="0" applyProtection="0"/>
    <xf numFmtId="0" fontId="15" fillId="0" borderId="0">
      <alignment wrapText="1"/>
    </xf>
    <xf numFmtId="0" fontId="193" fillId="0" borderId="0">
      <alignment horizontal="center" vertical="top" wrapText="1"/>
    </xf>
    <xf numFmtId="0" fontId="199" fillId="0" borderId="0">
      <alignment horizontal="center" vertical="center" wrapText="1"/>
    </xf>
    <xf numFmtId="0" fontId="199" fillId="0" borderId="0">
      <alignment horizontal="centerContinuous" vertical="center" wrapText="1"/>
    </xf>
    <xf numFmtId="0" fontId="199" fillId="0" borderId="0">
      <alignment horizontal="center" vertical="center" wrapText="1"/>
    </xf>
    <xf numFmtId="173" fontId="193" fillId="0" borderId="0">
      <alignment horizontal="center" vertical="top" wrapText="1"/>
    </xf>
    <xf numFmtId="0" fontId="121" fillId="17" borderId="0" applyFill="0">
      <alignment wrapText="1"/>
    </xf>
    <xf numFmtId="0" fontId="121" fillId="17" borderId="0" applyFill="0">
      <alignment wrapText="1"/>
    </xf>
    <xf numFmtId="0" fontId="121" fillId="17" borderId="0" applyFill="0">
      <alignment wrapText="1"/>
    </xf>
    <xf numFmtId="0" fontId="121" fillId="17" borderId="0" applyFill="0">
      <alignment wrapText="1"/>
    </xf>
    <xf numFmtId="0" fontId="121" fillId="17" borderId="0" applyFill="0">
      <alignment wrapText="1"/>
    </xf>
    <xf numFmtId="0" fontId="121" fillId="17" borderId="0" applyFill="0">
      <alignment wrapText="1"/>
    </xf>
    <xf numFmtId="0" fontId="121" fillId="17" borderId="0" applyFill="0">
      <alignment wrapText="1"/>
    </xf>
    <xf numFmtId="0" fontId="121" fillId="17" borderId="0" applyFill="0">
      <alignment wrapText="1"/>
    </xf>
    <xf numFmtId="0" fontId="121" fillId="17" borderId="0" applyFill="0">
      <alignment wrapText="1"/>
    </xf>
    <xf numFmtId="0" fontId="121" fillId="17" borderId="0" applyFill="0">
      <alignment wrapText="1"/>
    </xf>
    <xf numFmtId="0" fontId="121" fillId="17" borderId="0" applyFill="0">
      <alignment wrapText="1"/>
    </xf>
    <xf numFmtId="0" fontId="121" fillId="17" borderId="0" applyFill="0">
      <alignment wrapText="1"/>
    </xf>
    <xf numFmtId="0" fontId="121" fillId="17" borderId="0" applyFill="0">
      <alignment wrapText="1"/>
    </xf>
    <xf numFmtId="0" fontId="121" fillId="17" borderId="0" applyFill="0">
      <alignment wrapText="1"/>
    </xf>
    <xf numFmtId="0" fontId="121" fillId="17" borderId="0" applyFill="0">
      <alignment wrapText="1"/>
    </xf>
    <xf numFmtId="0" fontId="121" fillId="17" borderId="0" applyFill="0">
      <alignment wrapText="1"/>
    </xf>
    <xf numFmtId="0" fontId="121" fillId="17" borderId="0" applyFill="0">
      <alignment wrapText="1"/>
    </xf>
    <xf numFmtId="0" fontId="121" fillId="17" borderId="0" applyFill="0">
      <alignment wrapText="1"/>
    </xf>
    <xf numFmtId="0" fontId="121" fillId="17" borderId="0" applyFill="0">
      <alignment wrapText="1"/>
    </xf>
    <xf numFmtId="0" fontId="121" fillId="17" borderId="0" applyFill="0">
      <alignment wrapText="1"/>
    </xf>
    <xf numFmtId="0" fontId="121" fillId="17" borderId="0" applyFill="0">
      <alignment wrapText="1"/>
    </xf>
    <xf numFmtId="0" fontId="121" fillId="17" borderId="0" applyFill="0">
      <alignment wrapText="1"/>
    </xf>
    <xf numFmtId="0" fontId="121" fillId="17" borderId="0" applyFill="0">
      <alignment wrapText="1"/>
    </xf>
    <xf numFmtId="0" fontId="121" fillId="17" borderId="0" applyFill="0">
      <alignment wrapText="1"/>
    </xf>
    <xf numFmtId="0" fontId="121" fillId="17" borderId="0" applyFill="0">
      <alignment wrapText="1"/>
    </xf>
    <xf numFmtId="0" fontId="121" fillId="17" borderId="0" applyFill="0">
      <alignment wrapText="1"/>
    </xf>
    <xf numFmtId="0" fontId="121" fillId="17" borderId="0" applyFill="0">
      <alignment wrapText="1"/>
    </xf>
    <xf numFmtId="0" fontId="121" fillId="17" borderId="0" applyFill="0">
      <alignment wrapText="1"/>
    </xf>
    <xf numFmtId="0" fontId="121" fillId="17" borderId="0" applyFill="0">
      <alignment wrapText="1"/>
    </xf>
    <xf numFmtId="0" fontId="121" fillId="17" borderId="0" applyFill="0">
      <alignment wrapText="1"/>
    </xf>
    <xf numFmtId="0" fontId="121" fillId="17" borderId="0" applyFill="0">
      <alignment wrapText="1"/>
    </xf>
    <xf numFmtId="0" fontId="121" fillId="17" borderId="0" applyFill="0">
      <alignment wrapText="1"/>
    </xf>
    <xf numFmtId="0" fontId="121" fillId="17" borderId="0" applyFill="0">
      <alignment wrapText="1"/>
    </xf>
    <xf numFmtId="0" fontId="121" fillId="17" borderId="0" applyFill="0">
      <alignment wrapText="1"/>
    </xf>
    <xf numFmtId="0" fontId="121" fillId="17" borderId="0" applyFill="0">
      <alignment wrapText="1"/>
    </xf>
    <xf numFmtId="0" fontId="121" fillId="17" borderId="0" applyFill="0">
      <alignment wrapText="1"/>
    </xf>
    <xf numFmtId="0" fontId="121" fillId="17" borderId="0" applyFill="0">
      <alignment wrapText="1"/>
    </xf>
    <xf numFmtId="0" fontId="121" fillId="17" borderId="0" applyFill="0">
      <alignment wrapText="1"/>
    </xf>
    <xf numFmtId="0" fontId="121" fillId="17" borderId="0" applyFill="0">
      <alignment wrapText="1"/>
    </xf>
    <xf numFmtId="0" fontId="121" fillId="17" borderId="0" applyFill="0">
      <alignment wrapText="1"/>
    </xf>
    <xf numFmtId="0" fontId="121" fillId="17" borderId="0" applyFill="0">
      <alignment wrapText="1"/>
    </xf>
    <xf numFmtId="0" fontId="121" fillId="17" borderId="0" applyFill="0">
      <alignment wrapText="1"/>
    </xf>
    <xf numFmtId="0" fontId="121" fillId="17" borderId="0" applyFill="0">
      <alignment wrapText="1"/>
    </xf>
    <xf numFmtId="0" fontId="121" fillId="17" borderId="0" applyFill="0">
      <alignment wrapText="1"/>
    </xf>
    <xf numFmtId="0" fontId="121" fillId="17" borderId="0" applyFill="0">
      <alignment wrapText="1"/>
    </xf>
    <xf numFmtId="0" fontId="121" fillId="17" borderId="0" applyFill="0">
      <alignment wrapText="1"/>
    </xf>
    <xf numFmtId="0" fontId="121" fillId="17" borderId="0" applyFill="0">
      <alignment wrapText="1"/>
    </xf>
    <xf numFmtId="0" fontId="121" fillId="17" borderId="0" applyFill="0">
      <alignment wrapText="1"/>
    </xf>
    <xf numFmtId="0" fontId="121" fillId="17" borderId="0" applyFill="0">
      <alignment wrapText="1"/>
    </xf>
    <xf numFmtId="0" fontId="121" fillId="17" borderId="0" applyFill="0">
      <alignment wrapText="1"/>
    </xf>
    <xf numFmtId="0" fontId="121" fillId="17" borderId="0" applyFill="0">
      <alignment wrapText="1"/>
    </xf>
    <xf numFmtId="0" fontId="121" fillId="17" borderId="0" applyFill="0">
      <alignment wrapText="1"/>
    </xf>
    <xf numFmtId="0" fontId="121" fillId="17" borderId="0" applyFill="0">
      <alignment wrapText="1"/>
    </xf>
    <xf numFmtId="0" fontId="121" fillId="17" borderId="0" applyFill="0">
      <alignment wrapText="1"/>
    </xf>
    <xf numFmtId="205" fontId="200" fillId="17" borderId="1">
      <alignment wrapText="1"/>
    </xf>
    <xf numFmtId="205" fontId="200" fillId="17" borderId="1">
      <alignment wrapText="1"/>
    </xf>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7" fontId="72" fillId="0" borderId="0"/>
    <xf numFmtId="0" fontId="120" fillId="42" borderId="0" applyNumberFormat="0" applyBorder="0" applyAlignment="0" applyProtection="0"/>
    <xf numFmtId="0" fontId="120" fillId="42" borderId="0" applyNumberFormat="0" applyBorder="0" applyAlignment="0" applyProtection="0"/>
    <xf numFmtId="0" fontId="120" fillId="42" borderId="0" applyNumberFormat="0" applyBorder="0" applyAlignment="0" applyProtection="0"/>
    <xf numFmtId="0" fontId="201" fillId="42" borderId="0" applyNumberFormat="0" applyBorder="0" applyAlignment="0" applyProtection="0"/>
    <xf numFmtId="0" fontId="120" fillId="42" borderId="0" applyNumberFormat="0" applyBorder="0" applyAlignment="0" applyProtection="0"/>
    <xf numFmtId="0" fontId="202" fillId="42" borderId="0" applyNumberFormat="0" applyBorder="0" applyAlignment="0" applyProtection="0"/>
    <xf numFmtId="0" fontId="120" fillId="42" borderId="0" applyNumberFormat="0" applyBorder="0" applyAlignment="0" applyProtection="0"/>
    <xf numFmtId="0" fontId="120" fillId="42" borderId="0" applyNumberFormat="0" applyBorder="0" applyAlignment="0" applyProtection="0"/>
    <xf numFmtId="0" fontId="120" fillId="42" borderId="0" applyNumberFormat="0" applyBorder="0" applyAlignment="0" applyProtection="0"/>
    <xf numFmtId="0" fontId="120" fillId="42" borderId="0" applyNumberFormat="0" applyBorder="0" applyAlignment="0" applyProtection="0"/>
    <xf numFmtId="0" fontId="120" fillId="42" borderId="0" applyNumberFormat="0" applyBorder="0" applyAlignment="0" applyProtection="0"/>
    <xf numFmtId="0" fontId="120" fillId="42" borderId="0" applyNumberFormat="0" applyBorder="0" applyAlignment="0" applyProtection="0"/>
    <xf numFmtId="0" fontId="120" fillId="42" borderId="0" applyNumberFormat="0" applyBorder="0" applyAlignment="0" applyProtection="0"/>
    <xf numFmtId="0" fontId="120" fillId="42" borderId="0" applyNumberFormat="0" applyBorder="0" applyAlignment="0" applyProtection="0"/>
    <xf numFmtId="0" fontId="120" fillId="42" borderId="0" applyNumberFormat="0" applyBorder="0" applyAlignment="0" applyProtection="0"/>
    <xf numFmtId="0" fontId="120" fillId="42" borderId="0" applyNumberFormat="0" applyBorder="0" applyAlignment="0" applyProtection="0"/>
    <xf numFmtId="0" fontId="120" fillId="42" borderId="0" applyNumberFormat="0" applyBorder="0" applyAlignment="0" applyProtection="0"/>
    <xf numFmtId="0" fontId="120" fillId="42" borderId="0" applyNumberFormat="0" applyBorder="0" applyAlignment="0" applyProtection="0"/>
    <xf numFmtId="0" fontId="120" fillId="42" borderId="0" applyNumberFormat="0" applyBorder="0" applyAlignment="0" applyProtection="0"/>
    <xf numFmtId="49" fontId="172" fillId="0" borderId="1">
      <alignment horizontal="right" vertical="top" wrapText="1"/>
    </xf>
    <xf numFmtId="172" fontId="203" fillId="0" borderId="0">
      <alignment horizontal="right" vertical="top" wrapText="1"/>
    </xf>
    <xf numFmtId="0" fontId="37" fillId="0" borderId="0"/>
    <xf numFmtId="0" fontId="204" fillId="0" borderId="0"/>
    <xf numFmtId="0" fontId="37" fillId="0" borderId="0"/>
    <xf numFmtId="0" fontId="37" fillId="0" borderId="0"/>
    <xf numFmtId="0" fontId="37" fillId="0" borderId="0"/>
    <xf numFmtId="0" fontId="37" fillId="0" borderId="0"/>
    <xf numFmtId="0" fontId="69" fillId="0" borderId="0"/>
    <xf numFmtId="0" fontId="37" fillId="0" borderId="0"/>
    <xf numFmtId="0" fontId="37" fillId="0" borderId="0"/>
    <xf numFmtId="0" fontId="37" fillId="0" borderId="0"/>
    <xf numFmtId="0" fontId="37" fillId="0" borderId="0"/>
    <xf numFmtId="49" fontId="36" fillId="0" borderId="0" applyBorder="0">
      <alignment vertical="top"/>
    </xf>
    <xf numFmtId="0" fontId="37" fillId="0" borderId="0"/>
    <xf numFmtId="0" fontId="37" fillId="0" borderId="0"/>
    <xf numFmtId="0" fontId="37" fillId="0" borderId="0"/>
    <xf numFmtId="0" fontId="204" fillId="0" borderId="0"/>
    <xf numFmtId="49" fontId="36" fillId="0" borderId="0" applyBorder="0">
      <alignment vertical="top"/>
    </xf>
    <xf numFmtId="0" fontId="69" fillId="0" borderId="0"/>
    <xf numFmtId="0" fontId="204" fillId="0" borderId="0"/>
    <xf numFmtId="0" fontId="37" fillId="0" borderId="0"/>
    <xf numFmtId="0" fontId="37" fillId="0" borderId="0"/>
    <xf numFmtId="0" fontId="37" fillId="0" borderId="0"/>
    <xf numFmtId="0" fontId="37" fillId="0" borderId="0"/>
    <xf numFmtId="0" fontId="205" fillId="0" borderId="0"/>
    <xf numFmtId="0" fontId="206" fillId="0" borderId="0"/>
    <xf numFmtId="0" fontId="206" fillId="0" borderId="0"/>
    <xf numFmtId="0" fontId="6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7" fillId="0" borderId="0"/>
    <xf numFmtId="0" fontId="69" fillId="0" borderId="0"/>
    <xf numFmtId="0" fontId="80" fillId="0" borderId="0"/>
    <xf numFmtId="0" fontId="204" fillId="0" borderId="0"/>
    <xf numFmtId="0" fontId="69" fillId="0" borderId="0"/>
    <xf numFmtId="0" fontId="80" fillId="0" borderId="0"/>
    <xf numFmtId="0" fontId="20" fillId="0" borderId="0"/>
    <xf numFmtId="0" fontId="204" fillId="0" borderId="0"/>
    <xf numFmtId="0" fontId="69" fillId="0" borderId="0"/>
    <xf numFmtId="0" fontId="208" fillId="0" borderId="0" applyNumberFormat="0" applyFill="0" applyBorder="0" applyProtection="0">
      <alignment vertical="top"/>
    </xf>
    <xf numFmtId="0" fontId="80" fillId="0" borderId="0"/>
    <xf numFmtId="0" fontId="207" fillId="0" borderId="0"/>
    <xf numFmtId="0" fontId="209" fillId="0" borderId="0"/>
    <xf numFmtId="0" fontId="24" fillId="0" borderId="0"/>
    <xf numFmtId="0" fontId="69" fillId="0" borderId="0"/>
    <xf numFmtId="0" fontId="37" fillId="0" borderId="0"/>
    <xf numFmtId="0" fontId="37" fillId="0" borderId="0"/>
    <xf numFmtId="0" fontId="37" fillId="0" borderId="0"/>
    <xf numFmtId="0" fontId="3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9" fillId="0" borderId="0"/>
    <xf numFmtId="0" fontId="2" fillId="0" borderId="0"/>
    <xf numFmtId="0" fontId="15" fillId="0" borderId="0"/>
    <xf numFmtId="0" fontId="37" fillId="0" borderId="0"/>
    <xf numFmtId="0" fontId="37" fillId="0" borderId="0"/>
    <xf numFmtId="0" fontId="20"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9" fillId="0" borderId="0"/>
    <xf numFmtId="0" fontId="209" fillId="0" borderId="0"/>
    <xf numFmtId="0" fontId="20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0" fontId="69" fillId="0" borderId="0"/>
    <xf numFmtId="0" fontId="69" fillId="0" borderId="0"/>
    <xf numFmtId="0" fontId="15"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0" fontId="37" fillId="0" borderId="0"/>
    <xf numFmtId="0" fontId="69" fillId="0" borderId="0"/>
    <xf numFmtId="0" fontId="37" fillId="0" borderId="0"/>
    <xf numFmtId="0" fontId="37" fillId="0" borderId="0"/>
    <xf numFmtId="0" fontId="37" fillId="0" borderId="0"/>
    <xf numFmtId="0" fontId="204" fillId="0" borderId="0"/>
    <xf numFmtId="0" fontId="37" fillId="0" borderId="0"/>
    <xf numFmtId="0" fontId="37" fillId="0" borderId="0"/>
    <xf numFmtId="0" fontId="37" fillId="0" borderId="0"/>
    <xf numFmtId="0" fontId="69" fillId="0" borderId="0"/>
    <xf numFmtId="0" fontId="2" fillId="0" borderId="0"/>
    <xf numFmtId="0" fontId="69" fillId="0" borderId="0"/>
    <xf numFmtId="0" fontId="15" fillId="0" borderId="0"/>
    <xf numFmtId="0" fontId="69" fillId="0" borderId="0"/>
    <xf numFmtId="0" fontId="6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9" fontId="36" fillId="0" borderId="0" applyBorder="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9" fillId="0" borderId="0"/>
    <xf numFmtId="49" fontId="36" fillId="0" borderId="0" applyBorder="0">
      <alignment vertical="top"/>
    </xf>
    <xf numFmtId="0" fontId="69" fillId="0" borderId="0"/>
    <xf numFmtId="0" fontId="69" fillId="0" borderId="0"/>
    <xf numFmtId="0" fontId="24" fillId="0" borderId="0"/>
    <xf numFmtId="0" fontId="15" fillId="0" borderId="0"/>
    <xf numFmtId="0" fontId="69" fillId="0" borderId="0"/>
    <xf numFmtId="0" fontId="69" fillId="0" borderId="0"/>
    <xf numFmtId="0" fontId="69" fillId="0" borderId="0"/>
    <xf numFmtId="0" fontId="69" fillId="0" borderId="0"/>
    <xf numFmtId="0" fontId="20" fillId="0" borderId="0">
      <alignment horizontal="left"/>
    </xf>
    <xf numFmtId="0" fontId="69" fillId="0" borderId="0"/>
    <xf numFmtId="0" fontId="69" fillId="0" borderId="0"/>
    <xf numFmtId="0" fontId="69" fillId="0" borderId="0"/>
    <xf numFmtId="0" fontId="6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9" fillId="0" borderId="0"/>
    <xf numFmtId="0" fontId="69" fillId="0" borderId="0"/>
    <xf numFmtId="0" fontId="37" fillId="0" borderId="0"/>
    <xf numFmtId="0" fontId="37" fillId="0" borderId="0"/>
    <xf numFmtId="0" fontId="24" fillId="0" borderId="0"/>
    <xf numFmtId="0" fontId="37" fillId="0" borderId="0"/>
    <xf numFmtId="0" fontId="37" fillId="0" borderId="0"/>
    <xf numFmtId="49" fontId="36" fillId="0" borderId="0" applyBorder="0">
      <alignment vertical="top"/>
    </xf>
    <xf numFmtId="0" fontId="37" fillId="0" borderId="0"/>
    <xf numFmtId="0" fontId="37" fillId="0" borderId="0"/>
    <xf numFmtId="0" fontId="6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0" fontId="37" fillId="0" borderId="0"/>
    <xf numFmtId="0" fontId="37" fillId="0" borderId="0"/>
    <xf numFmtId="0" fontId="37" fillId="0" borderId="0"/>
    <xf numFmtId="0" fontId="6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0" fontId="37" fillId="0" borderId="0"/>
    <xf numFmtId="0" fontId="37" fillId="0" borderId="0"/>
    <xf numFmtId="0" fontId="37" fillId="0" borderId="0"/>
    <xf numFmtId="0" fontId="3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0" fontId="37" fillId="0" borderId="0"/>
    <xf numFmtId="0" fontId="37" fillId="0" borderId="0"/>
    <xf numFmtId="0" fontId="6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0" fontId="208" fillId="0" borderId="0" applyNumberForma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0" fontId="37" fillId="0" borderId="0"/>
    <xf numFmtId="0" fontId="37" fillId="0" borderId="0"/>
    <xf numFmtId="0" fontId="3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0" fontId="37" fillId="0" borderId="0"/>
    <xf numFmtId="0" fontId="37" fillId="0" borderId="0"/>
    <xf numFmtId="0" fontId="3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0" fontId="37" fillId="0" borderId="0"/>
    <xf numFmtId="0" fontId="37" fillId="0" borderId="0"/>
    <xf numFmtId="0" fontId="37" fillId="0" borderId="0"/>
    <xf numFmtId="0" fontId="15" fillId="0" borderId="0"/>
    <xf numFmtId="0" fontId="204" fillId="0" borderId="0"/>
    <xf numFmtId="0" fontId="37" fillId="0" borderId="0"/>
    <xf numFmtId="0" fontId="37" fillId="0" borderId="0"/>
    <xf numFmtId="0" fontId="37" fillId="0" borderId="0"/>
    <xf numFmtId="0" fontId="37" fillId="0" borderId="0"/>
    <xf numFmtId="0" fontId="3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0" fontId="37" fillId="0" borderId="0"/>
    <xf numFmtId="0" fontId="7" fillId="0" borderId="0"/>
    <xf numFmtId="0" fontId="37" fillId="0" borderId="0"/>
    <xf numFmtId="0" fontId="6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2" fillId="0" borderId="0"/>
    <xf numFmtId="0" fontId="2" fillId="0" borderId="0"/>
    <xf numFmtId="0" fontId="2" fillId="0" borderId="0"/>
    <xf numFmtId="0" fontId="2"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15" fillId="0" borderId="0"/>
    <xf numFmtId="0" fontId="69" fillId="0" borderId="0"/>
    <xf numFmtId="0" fontId="6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9" fontId="36" fillId="0" borderId="0" applyBorder="0">
      <alignment vertical="top"/>
    </xf>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0" fontId="2" fillId="0" borderId="0"/>
    <xf numFmtId="0" fontId="2" fillId="0" borderId="0"/>
    <xf numFmtId="0" fontId="2" fillId="0" borderId="0"/>
    <xf numFmtId="0" fontId="2" fillId="0" borderId="0"/>
    <xf numFmtId="0" fontId="3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2" fillId="0" borderId="0"/>
    <xf numFmtId="0" fontId="2" fillId="0" borderId="0"/>
    <xf numFmtId="0" fontId="2" fillId="0" borderId="0"/>
    <xf numFmtId="0" fontId="2" fillId="0" borderId="0"/>
    <xf numFmtId="0" fontId="37" fillId="0" borderId="0"/>
    <xf numFmtId="0" fontId="37" fillId="0" borderId="0"/>
    <xf numFmtId="0" fontId="2" fillId="0" borderId="0"/>
    <xf numFmtId="0" fontId="2" fillId="0" borderId="0"/>
    <xf numFmtId="0" fontId="2" fillId="0" borderId="0"/>
    <xf numFmtId="0" fontId="2" fillId="0" borderId="0"/>
    <xf numFmtId="0" fontId="37" fillId="0" borderId="0"/>
    <xf numFmtId="0" fontId="2" fillId="0" borderId="0"/>
    <xf numFmtId="0" fontId="2" fillId="0" borderId="0"/>
    <xf numFmtId="0" fontId="2" fillId="0" borderId="0"/>
    <xf numFmtId="0" fontId="2" fillId="0" borderId="0"/>
    <xf numFmtId="0" fontId="37" fillId="0" borderId="0"/>
    <xf numFmtId="0" fontId="37" fillId="0" borderId="0"/>
    <xf numFmtId="0" fontId="37" fillId="0" borderId="0"/>
    <xf numFmtId="0" fontId="2" fillId="0" borderId="0"/>
    <xf numFmtId="0" fontId="2" fillId="0" borderId="0"/>
    <xf numFmtId="0" fontId="2" fillId="0" borderId="0"/>
    <xf numFmtId="0" fontId="2" fillId="0" borderId="0"/>
    <xf numFmtId="0" fontId="37" fillId="0" borderId="0"/>
    <xf numFmtId="0" fontId="2" fillId="0" borderId="0"/>
    <xf numFmtId="0" fontId="2" fillId="0" borderId="0"/>
    <xf numFmtId="0" fontId="2" fillId="0" borderId="0"/>
    <xf numFmtId="0" fontId="2" fillId="0" borderId="0"/>
    <xf numFmtId="0" fontId="37" fillId="0" borderId="0"/>
    <xf numFmtId="0" fontId="37" fillId="0" borderId="0"/>
    <xf numFmtId="0" fontId="37" fillId="0" borderId="0"/>
    <xf numFmtId="0" fontId="2" fillId="0" borderId="0"/>
    <xf numFmtId="0" fontId="2" fillId="0" borderId="0"/>
    <xf numFmtId="0" fontId="2" fillId="0" borderId="0"/>
    <xf numFmtId="0" fontId="2" fillId="0" borderId="0"/>
    <xf numFmtId="0" fontId="37" fillId="0" borderId="0"/>
    <xf numFmtId="0" fontId="2" fillId="0" borderId="0"/>
    <xf numFmtId="0" fontId="2" fillId="0" borderId="0"/>
    <xf numFmtId="0" fontId="2" fillId="0" borderId="0"/>
    <xf numFmtId="0" fontId="2" fillId="0" borderId="0"/>
    <xf numFmtId="0" fontId="37" fillId="0" borderId="0"/>
    <xf numFmtId="0" fontId="37" fillId="0" borderId="0"/>
    <xf numFmtId="0" fontId="37" fillId="0" borderId="0"/>
    <xf numFmtId="0" fontId="2" fillId="0" borderId="0"/>
    <xf numFmtId="0" fontId="2" fillId="0" borderId="0"/>
    <xf numFmtId="0" fontId="2" fillId="0" borderId="0"/>
    <xf numFmtId="0" fontId="2" fillId="0" borderId="0"/>
    <xf numFmtId="0" fontId="37" fillId="0" borderId="0"/>
    <xf numFmtId="0" fontId="2" fillId="0" borderId="0"/>
    <xf numFmtId="0" fontId="2" fillId="0" borderId="0"/>
    <xf numFmtId="0" fontId="2" fillId="0" borderId="0"/>
    <xf numFmtId="0" fontId="2" fillId="0" borderId="0"/>
    <xf numFmtId="0" fontId="37" fillId="0" borderId="0"/>
    <xf numFmtId="0" fontId="2" fillId="0" borderId="0"/>
    <xf numFmtId="0" fontId="2" fillId="0" borderId="0"/>
    <xf numFmtId="0" fontId="2" fillId="0" borderId="0"/>
    <xf numFmtId="0" fontId="2" fillId="0" borderId="0"/>
    <xf numFmtId="0" fontId="2" fillId="0" borderId="0"/>
    <xf numFmtId="0" fontId="208" fillId="0" borderId="0" applyNumberFormat="0" applyFill="0" applyBorder="0" applyProtection="0">
      <alignment vertical="top"/>
    </xf>
    <xf numFmtId="0" fontId="2" fillId="0" borderId="0"/>
    <xf numFmtId="0" fontId="2" fillId="0" borderId="0"/>
    <xf numFmtId="0" fontId="2" fillId="0" borderId="0"/>
    <xf numFmtId="0" fontId="37" fillId="0" borderId="0"/>
    <xf numFmtId="0" fontId="37" fillId="0" borderId="0"/>
    <xf numFmtId="0" fontId="37" fillId="0" borderId="0"/>
    <xf numFmtId="0" fontId="3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0" fontId="3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0" fontId="37" fillId="0" borderId="0"/>
    <xf numFmtId="0" fontId="37" fillId="0" borderId="0"/>
    <xf numFmtId="0" fontId="37" fillId="0" borderId="0"/>
    <xf numFmtId="0" fontId="37" fillId="0" borderId="0"/>
    <xf numFmtId="0" fontId="3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9" fillId="0" borderId="0"/>
    <xf numFmtId="0" fontId="37" fillId="0" borderId="0"/>
    <xf numFmtId="0" fontId="37" fillId="0" borderId="0"/>
    <xf numFmtId="0" fontId="2" fillId="0" borderId="0"/>
    <xf numFmtId="0" fontId="2" fillId="0" borderId="0"/>
    <xf numFmtId="0" fontId="2" fillId="0" borderId="0"/>
    <xf numFmtId="0" fontId="2" fillId="0" borderId="0"/>
    <xf numFmtId="0" fontId="37" fillId="0" borderId="0"/>
    <xf numFmtId="0" fontId="2" fillId="0" borderId="0"/>
    <xf numFmtId="0" fontId="2" fillId="0" borderId="0"/>
    <xf numFmtId="0" fontId="2" fillId="0" borderId="0"/>
    <xf numFmtId="0" fontId="2" fillId="0" borderId="0"/>
    <xf numFmtId="0" fontId="37" fillId="0" borderId="0"/>
    <xf numFmtId="0" fontId="37" fillId="0" borderId="0"/>
    <xf numFmtId="0" fontId="37" fillId="0" borderId="0"/>
    <xf numFmtId="0" fontId="37" fillId="0" borderId="0"/>
    <xf numFmtId="0" fontId="15" fillId="0" borderId="0"/>
    <xf numFmtId="0" fontId="37" fillId="0" borderId="0"/>
    <xf numFmtId="0" fontId="37" fillId="0" borderId="0"/>
    <xf numFmtId="0" fontId="37" fillId="0" borderId="0"/>
    <xf numFmtId="0" fontId="2" fillId="0" borderId="0"/>
    <xf numFmtId="0" fontId="2" fillId="0" borderId="0"/>
    <xf numFmtId="0" fontId="2" fillId="0" borderId="0"/>
    <xf numFmtId="0" fontId="2" fillId="0" borderId="0"/>
    <xf numFmtId="0" fontId="37" fillId="0" borderId="0"/>
    <xf numFmtId="0" fontId="2" fillId="0" borderId="0"/>
    <xf numFmtId="0" fontId="2" fillId="0" borderId="0"/>
    <xf numFmtId="0" fontId="2" fillId="0" borderId="0"/>
    <xf numFmtId="0" fontId="2" fillId="0" borderId="0"/>
    <xf numFmtId="0" fontId="37" fillId="0" borderId="0"/>
    <xf numFmtId="0" fontId="37" fillId="0" borderId="0"/>
    <xf numFmtId="0" fontId="37" fillId="0" borderId="0"/>
    <xf numFmtId="0" fontId="15" fillId="0" borderId="0"/>
    <xf numFmtId="0" fontId="37" fillId="0" borderId="0"/>
    <xf numFmtId="0" fontId="2" fillId="0" borderId="0"/>
    <xf numFmtId="0" fontId="2" fillId="0" borderId="0"/>
    <xf numFmtId="0" fontId="2" fillId="0" borderId="0"/>
    <xf numFmtId="0" fontId="2" fillId="0" borderId="0"/>
    <xf numFmtId="0" fontId="37"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207" fillId="0" borderId="0"/>
    <xf numFmtId="0" fontId="207" fillId="0" borderId="0"/>
    <xf numFmtId="0" fontId="20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49" fontId="36" fillId="0" borderId="0" applyBorder="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9" fillId="0" borderId="0"/>
    <xf numFmtId="0" fontId="207" fillId="0" borderId="0"/>
    <xf numFmtId="0" fontId="37" fillId="0" borderId="0"/>
    <xf numFmtId="0" fontId="37" fillId="0" borderId="0"/>
    <xf numFmtId="0" fontId="2" fillId="0" borderId="0"/>
    <xf numFmtId="0" fontId="2" fillId="0" borderId="0"/>
    <xf numFmtId="0" fontId="2" fillId="0" borderId="0"/>
    <xf numFmtId="0" fontId="2" fillId="0" borderId="0"/>
    <xf numFmtId="206" fontId="96" fillId="0" borderId="0"/>
    <xf numFmtId="0" fontId="37" fillId="0" borderId="0"/>
    <xf numFmtId="0" fontId="2" fillId="0" borderId="0"/>
    <xf numFmtId="0" fontId="37" fillId="0" borderId="0"/>
    <xf numFmtId="0" fontId="2" fillId="0" borderId="0"/>
    <xf numFmtId="0" fontId="2" fillId="0" borderId="0"/>
    <xf numFmtId="0" fontId="2" fillId="0" borderId="0"/>
    <xf numFmtId="0" fontId="3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49" fontId="36" fillId="0" borderId="0" applyBorder="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0" fontId="210" fillId="0" borderId="0"/>
    <xf numFmtId="0" fontId="37" fillId="0" borderId="0"/>
    <xf numFmtId="0" fontId="37" fillId="0" borderId="0"/>
    <xf numFmtId="0" fontId="2" fillId="0" borderId="0"/>
    <xf numFmtId="0" fontId="2" fillId="0" borderId="0"/>
    <xf numFmtId="0" fontId="2" fillId="0" borderId="0"/>
    <xf numFmtId="0" fontId="2" fillId="0" borderId="0"/>
    <xf numFmtId="0" fontId="2"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0" fontId="37" fillId="0" borderId="0"/>
    <xf numFmtId="0" fontId="37" fillId="0" borderId="0"/>
    <xf numFmtId="0" fontId="3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49" fontId="36" fillId="0" borderId="0" applyBorder="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1" fillId="0" borderId="0"/>
    <xf numFmtId="0" fontId="7" fillId="0" borderId="0"/>
    <xf numFmtId="0" fontId="2" fillId="0" borderId="0"/>
    <xf numFmtId="0" fontId="2" fillId="0" borderId="0"/>
    <xf numFmtId="0" fontId="2" fillId="0" borderId="0"/>
    <xf numFmtId="0" fontId="2" fillId="0" borderId="0"/>
    <xf numFmtId="0" fontId="3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0" fontId="37" fillId="0" borderId="0"/>
    <xf numFmtId="0" fontId="37" fillId="0" borderId="0"/>
    <xf numFmtId="0" fontId="3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4" fillId="0" borderId="0"/>
    <xf numFmtId="0" fontId="2" fillId="0" borderId="0"/>
    <xf numFmtId="0" fontId="2" fillId="0" borderId="0"/>
    <xf numFmtId="0" fontId="2" fillId="0" borderId="0"/>
    <xf numFmtId="0" fontId="2" fillId="0" borderId="0"/>
    <xf numFmtId="0" fontId="37" fillId="0" borderId="0"/>
    <xf numFmtId="0" fontId="37" fillId="0" borderId="0"/>
    <xf numFmtId="0" fontId="37" fillId="0" borderId="0"/>
    <xf numFmtId="0" fontId="204" fillId="0" borderId="0"/>
    <xf numFmtId="0" fontId="37" fillId="0" borderId="0"/>
    <xf numFmtId="0" fontId="37" fillId="0" borderId="0"/>
    <xf numFmtId="0" fontId="37" fillId="0" borderId="0"/>
    <xf numFmtId="0" fontId="3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0" fontId="2" fillId="0" borderId="0"/>
    <xf numFmtId="0" fontId="2" fillId="0" borderId="0"/>
    <xf numFmtId="0" fontId="2" fillId="0" borderId="0"/>
    <xf numFmtId="0" fontId="2" fillId="0" borderId="0"/>
    <xf numFmtId="0" fontId="2" fillId="0" borderId="0"/>
    <xf numFmtId="0" fontId="2" fillId="0" borderId="0"/>
    <xf numFmtId="0" fontId="204" fillId="0" borderId="0"/>
    <xf numFmtId="1" fontId="212" fillId="0" borderId="1">
      <alignment horizontal="left" vertical="center"/>
    </xf>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213" fillId="21" borderId="0" applyNumberFormat="0" applyBorder="0" applyAlignment="0" applyProtection="0"/>
    <xf numFmtId="0" fontId="76" fillId="21" borderId="0" applyNumberFormat="0" applyBorder="0" applyAlignment="0" applyProtection="0"/>
    <xf numFmtId="0" fontId="214"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15" fillId="0" borderId="0" applyFont="0" applyFill="0" applyBorder="0" applyProtection="0">
      <alignment horizontal="center" vertical="center" wrapText="1"/>
    </xf>
    <xf numFmtId="0" fontId="15" fillId="0" borderId="0" applyNumberFormat="0" applyFont="0" applyFill="0" applyBorder="0" applyProtection="0">
      <alignment horizontal="justify" vertical="center" wrapText="1"/>
    </xf>
    <xf numFmtId="204" fontId="215" fillId="0" borderId="1">
      <alignment vertical="top"/>
    </xf>
    <xf numFmtId="172" fontId="216" fillId="7" borderId="33" applyNumberFormat="0" applyBorder="0" applyAlignment="0">
      <alignment vertical="center"/>
      <protection locked="0"/>
    </xf>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217" fillId="0" borderId="0" applyNumberFormat="0" applyFill="0" applyBorder="0" applyAlignment="0" applyProtection="0"/>
    <xf numFmtId="0" fontId="89" fillId="0" borderId="0" applyNumberFormat="0" applyFill="0" applyBorder="0" applyAlignment="0" applyProtection="0"/>
    <xf numFmtId="0" fontId="218"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5" fillId="43" borderId="63" applyNumberFormat="0" applyFont="0" applyAlignment="0" applyProtection="0"/>
    <xf numFmtId="0" fontId="15" fillId="43" borderId="63" applyNumberFormat="0" applyFont="0" applyAlignment="0" applyProtection="0"/>
    <xf numFmtId="0" fontId="15" fillId="43" borderId="63" applyNumberFormat="0" applyFont="0" applyAlignment="0" applyProtection="0"/>
    <xf numFmtId="0" fontId="15" fillId="43" borderId="63" applyNumberFormat="0" applyFont="0" applyAlignment="0" applyProtection="0"/>
    <xf numFmtId="0" fontId="15" fillId="43" borderId="63" applyNumberFormat="0" applyFont="0" applyAlignment="0" applyProtection="0"/>
    <xf numFmtId="0" fontId="15" fillId="43" borderId="63" applyNumberFormat="0" applyFont="0" applyAlignment="0" applyProtection="0"/>
    <xf numFmtId="0" fontId="15" fillId="43" borderId="63" applyNumberFormat="0" applyFont="0" applyAlignment="0" applyProtection="0"/>
    <xf numFmtId="0" fontId="15" fillId="43" borderId="63" applyNumberFormat="0" applyFont="0" applyAlignment="0" applyProtection="0"/>
    <xf numFmtId="0" fontId="15" fillId="43" borderId="63" applyNumberFormat="0" applyFont="0" applyAlignment="0" applyProtection="0"/>
    <xf numFmtId="0" fontId="15" fillId="43" borderId="63" applyNumberFormat="0" applyFont="0" applyAlignment="0" applyProtection="0"/>
    <xf numFmtId="0" fontId="15" fillId="43" borderId="63" applyNumberFormat="0" applyFont="0" applyAlignment="0" applyProtection="0"/>
    <xf numFmtId="0" fontId="15" fillId="43" borderId="63" applyNumberFormat="0" applyFont="0" applyAlignment="0" applyProtection="0"/>
    <xf numFmtId="0" fontId="15" fillId="43" borderId="63" applyNumberFormat="0" applyFont="0" applyAlignment="0" applyProtection="0"/>
    <xf numFmtId="0" fontId="15" fillId="43" borderId="63" applyNumberFormat="0" applyFont="0" applyAlignment="0" applyProtection="0"/>
    <xf numFmtId="0" fontId="15"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69"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69"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69" fillId="43" borderId="63" applyNumberFormat="0" applyFont="0" applyAlignment="0" applyProtection="0"/>
    <xf numFmtId="0" fontId="69" fillId="43" borderId="63" applyNumberFormat="0" applyFont="0" applyAlignment="0" applyProtection="0"/>
    <xf numFmtId="0" fontId="69"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69" fillId="43" borderId="63" applyNumberFormat="0" applyFont="0" applyAlignment="0" applyProtection="0"/>
    <xf numFmtId="0" fontId="15"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69" fillId="43" borderId="63" applyNumberFormat="0" applyFont="0" applyAlignment="0" applyProtection="0"/>
    <xf numFmtId="0" fontId="69"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69"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69" fillId="43" borderId="63" applyNumberFormat="0" applyFont="0" applyAlignment="0" applyProtection="0"/>
    <xf numFmtId="0" fontId="62"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49" fontId="183" fillId="0" borderId="2">
      <alignment horizontal="left" vertical="center"/>
    </xf>
    <xf numFmtId="9" fontId="1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7" fillId="0" borderId="0" applyFont="0" applyFill="0" applyBorder="0" applyAlignment="0" applyProtection="0"/>
    <xf numFmtId="9" fontId="15"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15" fillId="0" borderId="0" applyFont="0" applyFill="0" applyBorder="0" applyAlignment="0" applyProtection="0"/>
    <xf numFmtId="9" fontId="70" fillId="0" borderId="0" applyFont="0" applyFill="0" applyBorder="0" applyAlignment="0" applyProtection="0"/>
    <xf numFmtId="9" fontId="15"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4" fillId="0" borderId="0" applyFill="0" applyBorder="0" applyAlignment="0" applyProtection="0"/>
    <xf numFmtId="9" fontId="15"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09" fillId="0" borderId="0" applyFont="0" applyFill="0" applyBorder="0" applyAlignment="0" applyProtection="0"/>
    <xf numFmtId="9" fontId="15" fillId="0" borderId="0" applyFont="0" applyFill="0" applyBorder="0" applyAlignment="0" applyProtection="0"/>
    <xf numFmtId="170" fontId="219" fillId="0" borderId="1"/>
    <xf numFmtId="0" fontId="15" fillId="0" borderId="1" applyNumberFormat="0" applyFont="0" applyFill="0" applyAlignment="0" applyProtection="0"/>
    <xf numFmtId="3" fontId="220" fillId="72" borderId="2">
      <alignment horizontal="justify" vertical="center"/>
    </xf>
    <xf numFmtId="0" fontId="117" fillId="0" borderId="61" applyNumberFormat="0" applyFill="0" applyAlignment="0" applyProtection="0"/>
    <xf numFmtId="0" fontId="117" fillId="0" borderId="61" applyNumberFormat="0" applyFill="0" applyAlignment="0" applyProtection="0"/>
    <xf numFmtId="0" fontId="117" fillId="0" borderId="61" applyNumberFormat="0" applyFill="0" applyAlignment="0" applyProtection="0"/>
    <xf numFmtId="0" fontId="117" fillId="0" borderId="61" applyNumberFormat="0" applyFill="0" applyAlignment="0" applyProtection="0"/>
    <xf numFmtId="0" fontId="221" fillId="0" borderId="61" applyNumberFormat="0" applyFill="0" applyAlignment="0" applyProtection="0"/>
    <xf numFmtId="0" fontId="117" fillId="0" borderId="61" applyNumberFormat="0" applyFill="0" applyAlignment="0" applyProtection="0"/>
    <xf numFmtId="0" fontId="222" fillId="0" borderId="61" applyNumberFormat="0" applyFill="0" applyAlignment="0" applyProtection="0"/>
    <xf numFmtId="0" fontId="117" fillId="0" borderId="61" applyNumberFormat="0" applyFill="0" applyAlignment="0" applyProtection="0"/>
    <xf numFmtId="0" fontId="117" fillId="0" borderId="61" applyNumberFormat="0" applyFill="0" applyAlignment="0" applyProtection="0"/>
    <xf numFmtId="0" fontId="117" fillId="0" borderId="61" applyNumberFormat="0" applyFill="0" applyAlignment="0" applyProtection="0"/>
    <xf numFmtId="0" fontId="117" fillId="0" borderId="61" applyNumberFormat="0" applyFill="0" applyAlignment="0" applyProtection="0"/>
    <xf numFmtId="0" fontId="117" fillId="0" borderId="61" applyNumberFormat="0" applyFill="0" applyAlignment="0" applyProtection="0"/>
    <xf numFmtId="0" fontId="117" fillId="0" borderId="61" applyNumberFormat="0" applyFill="0" applyAlignment="0" applyProtection="0"/>
    <xf numFmtId="0" fontId="117" fillId="0" borderId="61" applyNumberFormat="0" applyFill="0" applyAlignment="0" applyProtection="0"/>
    <xf numFmtId="0" fontId="117" fillId="0" borderId="61" applyNumberFormat="0" applyFill="0" applyAlignment="0" applyProtection="0"/>
    <xf numFmtId="0" fontId="117" fillId="0" borderId="61" applyNumberFormat="0" applyFill="0" applyAlignment="0" applyProtection="0"/>
    <xf numFmtId="0" fontId="117" fillId="0" borderId="61" applyNumberFormat="0" applyFill="0" applyAlignment="0" applyProtection="0"/>
    <xf numFmtId="0" fontId="117" fillId="0" borderId="61" applyNumberFormat="0" applyFill="0" applyAlignment="0" applyProtection="0"/>
    <xf numFmtId="0" fontId="117" fillId="0" borderId="61" applyNumberFormat="0" applyFill="0" applyAlignment="0" applyProtection="0"/>
    <xf numFmtId="0" fontId="117" fillId="0" borderId="61" applyNumberFormat="0" applyFill="0" applyAlignment="0" applyProtection="0"/>
    <xf numFmtId="0" fontId="117" fillId="0" borderId="61" applyNumberFormat="0" applyFill="0" applyAlignment="0" applyProtection="0"/>
    <xf numFmtId="0" fontId="117" fillId="0" borderId="61" applyNumberFormat="0" applyFill="0" applyAlignment="0" applyProtection="0"/>
    <xf numFmtId="0" fontId="117" fillId="0" borderId="61" applyNumberFormat="0" applyFill="0" applyAlignment="0" applyProtection="0"/>
    <xf numFmtId="0" fontId="117" fillId="0" borderId="61" applyNumberFormat="0" applyFill="0" applyAlignment="0" applyProtection="0"/>
    <xf numFmtId="0" fontId="117" fillId="0" borderId="61" applyNumberFormat="0" applyFill="0" applyAlignment="0" applyProtection="0"/>
    <xf numFmtId="0" fontId="117" fillId="0" borderId="61" applyNumberFormat="0" applyFill="0" applyAlignment="0" applyProtection="0"/>
    <xf numFmtId="0" fontId="117" fillId="0" borderId="61" applyNumberFormat="0" applyFill="0" applyAlignment="0" applyProtection="0"/>
    <xf numFmtId="0" fontId="57" fillId="0" borderId="0"/>
    <xf numFmtId="0" fontId="62" fillId="0" borderId="0">
      <alignment vertical="top"/>
    </xf>
    <xf numFmtId="175" fontId="20" fillId="0" borderId="0">
      <alignment vertical="top"/>
    </xf>
    <xf numFmtId="175" fontId="20" fillId="0" borderId="0">
      <alignment vertical="top"/>
    </xf>
    <xf numFmtId="38" fontId="20" fillId="0" borderId="0">
      <alignment vertical="top"/>
    </xf>
    <xf numFmtId="0" fontId="62" fillId="0" borderId="0">
      <alignment vertical="top"/>
    </xf>
    <xf numFmtId="0" fontId="57" fillId="0" borderId="0"/>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175" fontId="20" fillId="0" borderId="0">
      <alignment vertical="top"/>
    </xf>
    <xf numFmtId="3" fontId="16" fillId="73" borderId="72">
      <alignment horizontal="right" vertical="center"/>
    </xf>
    <xf numFmtId="49" fontId="203" fillId="0" borderId="0"/>
    <xf numFmtId="49" fontId="223" fillId="0" borderId="0">
      <alignment vertical="top"/>
    </xf>
    <xf numFmtId="3" fontId="224" fillId="0" borderId="0"/>
    <xf numFmtId="172" fontId="121" fillId="0" borderId="0" applyFill="0" applyBorder="0" applyAlignment="0" applyProtection="0"/>
    <xf numFmtId="172" fontId="121" fillId="0" borderId="0" applyFill="0" applyBorder="0" applyAlignment="0" applyProtection="0"/>
    <xf numFmtId="172" fontId="121" fillId="0" borderId="0" applyFill="0" applyBorder="0" applyAlignment="0" applyProtection="0"/>
    <xf numFmtId="172" fontId="121" fillId="0" borderId="0" applyFill="0" applyBorder="0" applyAlignment="0" applyProtection="0"/>
    <xf numFmtId="172" fontId="121" fillId="0" borderId="0" applyFill="0" applyBorder="0" applyAlignment="0" applyProtection="0"/>
    <xf numFmtId="172" fontId="121" fillId="0" borderId="0" applyFill="0" applyBorder="0" applyAlignment="0" applyProtection="0"/>
    <xf numFmtId="172" fontId="121" fillId="0" borderId="0" applyFill="0" applyBorder="0" applyAlignment="0" applyProtection="0"/>
    <xf numFmtId="172" fontId="121" fillId="0" borderId="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225" fillId="0" borderId="0" applyNumberFormat="0" applyFill="0" applyBorder="0" applyAlignment="0" applyProtection="0"/>
    <xf numFmtId="0" fontId="168" fillId="0" borderId="0" applyNumberFormat="0" applyFill="0" applyBorder="0" applyAlignment="0" applyProtection="0"/>
    <xf numFmtId="0" fontId="226"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49" fontId="121" fillId="0" borderId="0">
      <alignment horizontal="center"/>
    </xf>
    <xf numFmtId="49" fontId="121" fillId="0" borderId="0">
      <alignment horizontal="center"/>
    </xf>
    <xf numFmtId="49" fontId="121" fillId="0" borderId="0">
      <alignment horizontal="center"/>
    </xf>
    <xf numFmtId="49" fontId="121" fillId="0" borderId="0">
      <alignment horizontal="center"/>
    </xf>
    <xf numFmtId="49" fontId="121" fillId="0" borderId="0">
      <alignment horizontal="center"/>
    </xf>
    <xf numFmtId="49" fontId="121" fillId="0" borderId="0">
      <alignment horizontal="center"/>
    </xf>
    <xf numFmtId="49" fontId="121" fillId="0" borderId="0">
      <alignment horizontal="center"/>
    </xf>
    <xf numFmtId="49" fontId="121" fillId="0" borderId="0">
      <alignment horizontal="center"/>
    </xf>
    <xf numFmtId="49" fontId="121" fillId="0" borderId="0">
      <alignment horizontal="center"/>
    </xf>
    <xf numFmtId="49" fontId="121" fillId="0" borderId="0">
      <alignment horizontal="center"/>
    </xf>
    <xf numFmtId="49" fontId="121" fillId="0" borderId="0">
      <alignment horizontal="center"/>
    </xf>
    <xf numFmtId="49" fontId="121" fillId="0" borderId="0">
      <alignment horizontal="center"/>
    </xf>
    <xf numFmtId="49" fontId="121" fillId="0" borderId="0">
      <alignment horizontal="center"/>
    </xf>
    <xf numFmtId="49" fontId="121" fillId="0" borderId="0">
      <alignment horizontal="center"/>
    </xf>
    <xf numFmtId="49" fontId="121" fillId="0" borderId="0">
      <alignment horizontal="center"/>
    </xf>
    <xf numFmtId="207" fontId="15" fillId="0" borderId="0" applyFont="0" applyFill="0" applyBorder="0" applyAlignment="0" applyProtection="0"/>
    <xf numFmtId="208" fontId="15" fillId="0" borderId="0" applyFont="0" applyFill="0" applyBorder="0" applyAlignment="0" applyProtection="0"/>
    <xf numFmtId="2" fontId="121" fillId="0" borderId="0" applyFill="0" applyBorder="0" applyAlignment="0" applyProtection="0"/>
    <xf numFmtId="2" fontId="121" fillId="0" borderId="0" applyFill="0" applyBorder="0" applyAlignment="0" applyProtection="0"/>
    <xf numFmtId="2" fontId="121" fillId="0" borderId="0" applyFill="0" applyBorder="0" applyAlignment="0" applyProtection="0"/>
    <xf numFmtId="2" fontId="121" fillId="0" borderId="0" applyFill="0" applyBorder="0" applyAlignment="0" applyProtection="0"/>
    <xf numFmtId="2" fontId="121" fillId="0" borderId="0" applyFill="0" applyBorder="0" applyAlignment="0" applyProtection="0"/>
    <xf numFmtId="2" fontId="121" fillId="0" borderId="0" applyFill="0" applyBorder="0" applyAlignment="0" applyProtection="0"/>
    <xf numFmtId="2" fontId="121" fillId="0" borderId="0" applyFill="0" applyBorder="0" applyAlignment="0" applyProtection="0"/>
    <xf numFmtId="2" fontId="121" fillId="0" borderId="0" applyFill="0" applyBorder="0" applyAlignment="0" applyProtection="0"/>
    <xf numFmtId="2" fontId="121" fillId="0" borderId="0" applyFill="0" applyBorder="0" applyAlignment="0" applyProtection="0"/>
    <xf numFmtId="2" fontId="121" fillId="0" borderId="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15" fillId="0" borderId="0" applyFont="0" applyFill="0" applyBorder="0" applyAlignment="0" applyProtection="0"/>
    <xf numFmtId="43" fontId="24" fillId="0" borderId="0" applyFont="0" applyFill="0" applyBorder="0" applyAlignment="0" applyProtection="0"/>
    <xf numFmtId="43" fontId="69" fillId="0" borderId="0" applyFont="0" applyFill="0" applyBorder="0" applyAlignment="0" applyProtection="0"/>
    <xf numFmtId="43" fontId="2" fillId="0" borderId="0" applyFont="0" applyFill="0" applyBorder="0" applyAlignment="0" applyProtection="0"/>
    <xf numFmtId="43" fontId="6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5" fillId="0" borderId="0" applyFont="0" applyFill="0" applyBorder="0" applyAlignment="0" applyProtection="0"/>
    <xf numFmtId="43" fontId="24" fillId="0" borderId="0" applyFont="0" applyFill="0" applyBorder="0" applyAlignment="0" applyProtection="0"/>
    <xf numFmtId="43" fontId="227"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227" fillId="0" borderId="0" applyFont="0" applyFill="0" applyBorder="0" applyAlignment="0" applyProtection="0"/>
    <xf numFmtId="43" fontId="227" fillId="0" borderId="0" applyFont="0" applyFill="0" applyBorder="0" applyAlignment="0" applyProtection="0"/>
    <xf numFmtId="43" fontId="2" fillId="0" borderId="0" applyFont="0" applyFill="0" applyBorder="0" applyAlignment="0" applyProtection="0"/>
    <xf numFmtId="43" fontId="6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9" fillId="0" borderId="0" applyFont="0" applyFill="0" applyBorder="0" applyAlignment="0" applyProtection="0"/>
    <xf numFmtId="209" fontId="37" fillId="0" borderId="0" applyFont="0" applyFill="0" applyBorder="0" applyAlignment="0" applyProtection="0"/>
    <xf numFmtId="43" fontId="15" fillId="0" borderId="0" applyFont="0" applyFill="0" applyBorder="0" applyAlignment="0" applyProtection="0"/>
    <xf numFmtId="208" fontId="37" fillId="0" borderId="0" applyFont="0" applyFill="0" applyBorder="0" applyAlignment="0" applyProtection="0"/>
    <xf numFmtId="43" fontId="227" fillId="0" borderId="0" applyFont="0" applyFill="0" applyBorder="0" applyAlignment="0" applyProtection="0"/>
    <xf numFmtId="208" fontId="37" fillId="0" borderId="0" applyFont="0" applyFill="0" applyBorder="0" applyAlignment="0" applyProtection="0"/>
    <xf numFmtId="208" fontId="37" fillId="0" borderId="0" applyFont="0" applyFill="0" applyBorder="0" applyAlignment="0" applyProtection="0"/>
    <xf numFmtId="208" fontId="37" fillId="0" borderId="0" applyFont="0" applyFill="0" applyBorder="0" applyAlignment="0" applyProtection="0"/>
    <xf numFmtId="208" fontId="37" fillId="0" borderId="0" applyFont="0" applyFill="0" applyBorder="0" applyAlignment="0" applyProtection="0"/>
    <xf numFmtId="43" fontId="227" fillId="0" borderId="0" applyFont="0" applyFill="0" applyBorder="0" applyAlignment="0" applyProtection="0"/>
    <xf numFmtId="208" fontId="37" fillId="0" borderId="0" applyFont="0" applyFill="0" applyBorder="0" applyAlignment="0" applyProtection="0"/>
    <xf numFmtId="208" fontId="37" fillId="0" borderId="0" applyFont="0" applyFill="0" applyBorder="0" applyAlignment="0" applyProtection="0"/>
    <xf numFmtId="208" fontId="37" fillId="0" borderId="0" applyFont="0" applyFill="0" applyBorder="0" applyAlignment="0" applyProtection="0"/>
    <xf numFmtId="43" fontId="227" fillId="0" borderId="0" applyFont="0" applyFill="0" applyBorder="0" applyAlignment="0" applyProtection="0"/>
    <xf numFmtId="43" fontId="24" fillId="0" borderId="0" applyFont="0" applyFill="0" applyBorder="0" applyAlignment="0" applyProtection="0"/>
    <xf numFmtId="43" fontId="227" fillId="0" borderId="0" applyFont="0" applyFill="0" applyBorder="0" applyAlignment="0" applyProtection="0"/>
    <xf numFmtId="43" fontId="24" fillId="0" borderId="0" applyFont="0" applyFill="0" applyBorder="0" applyAlignment="0" applyProtection="0"/>
    <xf numFmtId="209" fontId="37" fillId="0" borderId="0" applyFont="0" applyFill="0" applyBorder="0" applyAlignment="0" applyProtection="0"/>
    <xf numFmtId="209" fontId="37" fillId="0" borderId="0" applyFont="0" applyFill="0" applyBorder="0" applyAlignment="0" applyProtection="0"/>
    <xf numFmtId="209" fontId="37"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209" fontId="37" fillId="0" borderId="0" applyFont="0" applyFill="0" applyBorder="0" applyAlignment="0" applyProtection="0"/>
    <xf numFmtId="209" fontId="37" fillId="0" borderId="0" applyFont="0" applyFill="0" applyBorder="0" applyAlignment="0" applyProtection="0"/>
    <xf numFmtId="209" fontId="37" fillId="0" borderId="0" applyFont="0" applyFill="0" applyBorder="0" applyAlignment="0" applyProtection="0"/>
    <xf numFmtId="209" fontId="37" fillId="0" borderId="0" applyFont="0" applyFill="0" applyBorder="0" applyAlignment="0" applyProtection="0"/>
    <xf numFmtId="43" fontId="69" fillId="0" borderId="0" applyFont="0" applyFill="0" applyBorder="0" applyAlignment="0" applyProtection="0"/>
    <xf numFmtId="43" fontId="227" fillId="0" borderId="0" applyFont="0" applyFill="0" applyBorder="0" applyAlignment="0" applyProtection="0"/>
    <xf numFmtId="208" fontId="15" fillId="0" borderId="0" applyFont="0" applyFill="0" applyBorder="0" applyAlignment="0" applyProtection="0"/>
    <xf numFmtId="43" fontId="227" fillId="0" borderId="0" applyFont="0" applyFill="0" applyBorder="0" applyAlignment="0" applyProtection="0"/>
    <xf numFmtId="43" fontId="37" fillId="0" borderId="0" applyFont="0" applyFill="0" applyBorder="0" applyAlignment="0" applyProtection="0"/>
    <xf numFmtId="43" fontId="22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208" fontId="15" fillId="0" borderId="0" applyFont="0" applyFill="0" applyBorder="0" applyAlignment="0" applyProtection="0"/>
    <xf numFmtId="43" fontId="2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210" fontId="15" fillId="0" borderId="0" applyFont="0" applyFill="0" applyBorder="0" applyAlignment="0" applyProtection="0"/>
    <xf numFmtId="4" fontId="36" fillId="17" borderId="0" applyBorder="0">
      <alignment horizontal="right"/>
    </xf>
    <xf numFmtId="4" fontId="36" fillId="17" borderId="0" applyFont="0" applyBorder="0">
      <alignment horizontal="right"/>
    </xf>
    <xf numFmtId="4" fontId="36" fillId="17" borderId="0" applyBorder="0">
      <alignment horizontal="right"/>
    </xf>
    <xf numFmtId="4" fontId="36" fillId="17" borderId="0" applyFont="0" applyBorder="0">
      <alignment horizontal="right"/>
    </xf>
    <xf numFmtId="4" fontId="36" fillId="17" borderId="0" applyBorder="0">
      <alignment horizontal="right"/>
    </xf>
    <xf numFmtId="4" fontId="36" fillId="17" borderId="17" applyBorder="0">
      <alignment horizontal="right"/>
    </xf>
    <xf numFmtId="4" fontId="36" fillId="74" borderId="17" applyBorder="0">
      <alignment horizontal="right"/>
    </xf>
    <xf numFmtId="4" fontId="36" fillId="74" borderId="17" applyBorder="0">
      <alignment horizontal="right"/>
    </xf>
    <xf numFmtId="4" fontId="36" fillId="17" borderId="17" applyBorder="0">
      <alignment horizontal="right"/>
    </xf>
    <xf numFmtId="4" fontId="36" fillId="74" borderId="22" applyBorder="0">
      <alignment horizontal="right"/>
    </xf>
    <xf numFmtId="4" fontId="36" fillId="17" borderId="1" applyFont="0" applyBorder="0">
      <alignment horizontal="right"/>
    </xf>
    <xf numFmtId="4" fontId="36" fillId="74" borderId="22" applyBorder="0">
      <alignment horizontal="right"/>
    </xf>
    <xf numFmtId="4" fontId="36" fillId="17" borderId="1" applyFont="0" applyBorder="0">
      <alignment horizontal="right"/>
    </xf>
    <xf numFmtId="4" fontId="36" fillId="17" borderId="1" applyFont="0" applyBorder="0">
      <alignment horizontal="right"/>
    </xf>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228" fillId="22" borderId="0" applyNumberFormat="0" applyBorder="0" applyAlignment="0" applyProtection="0"/>
    <xf numFmtId="0" fontId="99" fillId="22" borderId="0" applyNumberFormat="0" applyBorder="0" applyAlignment="0" applyProtection="0"/>
    <xf numFmtId="0" fontId="22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165" fontId="64" fillId="0" borderId="2">
      <alignment vertical="top" wrapText="1"/>
    </xf>
    <xf numFmtId="164" fontId="15" fillId="0" borderId="1" applyFont="0" applyFill="0" applyBorder="0" applyProtection="0">
      <alignment horizontal="center" vertical="center"/>
    </xf>
    <xf numFmtId="164" fontId="15" fillId="0" borderId="1" applyFont="0" applyFill="0" applyBorder="0" applyProtection="0">
      <alignment horizontal="center" vertical="center"/>
    </xf>
    <xf numFmtId="3" fontId="15" fillId="0" borderId="0" applyFont="0" applyBorder="0">
      <alignment horizontal="center"/>
    </xf>
    <xf numFmtId="44" fontId="66" fillId="0" borderId="0">
      <protection locked="0"/>
    </xf>
    <xf numFmtId="211" fontId="66" fillId="0" borderId="0">
      <protection locked="0"/>
    </xf>
    <xf numFmtId="49" fontId="181" fillId="0" borderId="1">
      <alignment horizontal="center" vertical="center" wrapText="1"/>
    </xf>
    <xf numFmtId="0" fontId="64" fillId="0" borderId="1" applyBorder="0">
      <alignment horizontal="center" vertical="center" wrapText="1"/>
    </xf>
    <xf numFmtId="0" fontId="64" fillId="0" borderId="1" applyBorder="0">
      <alignment horizontal="center" vertical="center" wrapText="1"/>
    </xf>
    <xf numFmtId="49" fontId="181" fillId="0" borderId="1">
      <alignment horizontal="center" vertical="center" wrapText="1"/>
    </xf>
    <xf numFmtId="49" fontId="152" fillId="0" borderId="1" applyNumberFormat="0" applyFill="0" applyAlignment="0" applyProtection="0"/>
    <xf numFmtId="205" fontId="15" fillId="0" borderId="0"/>
    <xf numFmtId="0" fontId="165" fillId="0" borderId="71" applyNumberFormat="0" applyFill="0" applyAlignment="0" applyProtection="0"/>
    <xf numFmtId="0" fontId="165" fillId="0" borderId="71" applyNumberFormat="0" applyFill="0" applyAlignment="0" applyProtection="0"/>
    <xf numFmtId="0" fontId="76" fillId="21" borderId="0" applyNumberFormat="0" applyBorder="0" applyAlignment="0" applyProtection="0"/>
    <xf numFmtId="0" fontId="99" fillId="22" borderId="0" applyNumberFormat="0" applyBorder="0" applyAlignment="0" applyProtection="0"/>
    <xf numFmtId="0" fontId="69" fillId="43" borderId="63" applyNumberFormat="0" applyFont="0" applyAlignment="0" applyProtection="0"/>
    <xf numFmtId="0" fontId="69" fillId="43" borderId="63" applyNumberFormat="0" applyFont="0" applyAlignment="0" applyProtection="0"/>
    <xf numFmtId="0" fontId="15" fillId="0" borderId="0"/>
    <xf numFmtId="0" fontId="69" fillId="0" borderId="0"/>
    <xf numFmtId="0" fontId="117" fillId="0" borderId="61" applyNumberFormat="0" applyFill="0" applyAlignment="0" applyProtection="0"/>
    <xf numFmtId="0" fontId="81" fillId="39" borderId="56" applyNumberFormat="0" applyAlignment="0" applyProtection="0"/>
    <xf numFmtId="0" fontId="168" fillId="0" borderId="0" applyNumberFormat="0" applyFill="0" applyBorder="0" applyAlignment="0" applyProtection="0"/>
    <xf numFmtId="0" fontId="15" fillId="0" borderId="0"/>
    <xf numFmtId="0" fontId="37" fillId="0" borderId="0"/>
    <xf numFmtId="0" fontId="37" fillId="0" borderId="0"/>
    <xf numFmtId="0" fontId="37" fillId="0" borderId="0"/>
    <xf numFmtId="0" fontId="37" fillId="0" borderId="0"/>
    <xf numFmtId="0" fontId="231" fillId="75" borderId="0" applyNumberFormat="0" applyBorder="0" applyAlignment="0" applyProtection="0"/>
    <xf numFmtId="0" fontId="1" fillId="0" borderId="0"/>
    <xf numFmtId="43" fontId="1" fillId="0" borderId="0" applyFont="0" applyFill="0" applyBorder="0" applyAlignment="0" applyProtection="0"/>
    <xf numFmtId="0" fontId="20" fillId="0" borderId="0">
      <alignment horizontal="left"/>
    </xf>
    <xf numFmtId="0" fontId="20" fillId="0" borderId="0">
      <alignment horizontal="left"/>
    </xf>
    <xf numFmtId="0" fontId="204" fillId="0" borderId="0"/>
    <xf numFmtId="0" fontId="1" fillId="0" borderId="0"/>
    <xf numFmtId="0" fontId="1" fillId="0" borderId="0"/>
    <xf numFmtId="0" fontId="63" fillId="18" borderId="53" applyNumberFormat="0">
      <alignment readingOrder="1"/>
      <protection locked="0"/>
    </xf>
    <xf numFmtId="178" fontId="66" fillId="0" borderId="0">
      <protection locked="0"/>
    </xf>
    <xf numFmtId="179" fontId="66" fillId="0" borderId="0">
      <protection locked="0"/>
    </xf>
    <xf numFmtId="180" fontId="66" fillId="0" borderId="0">
      <protection locked="0"/>
    </xf>
    <xf numFmtId="181" fontId="67" fillId="0" borderId="0">
      <protection locked="0"/>
    </xf>
    <xf numFmtId="181" fontId="67" fillId="0" borderId="0">
      <protection locked="0"/>
    </xf>
    <xf numFmtId="181" fontId="66" fillId="0" borderId="54">
      <protection locked="0"/>
    </xf>
    <xf numFmtId="0" fontId="73" fillId="30" borderId="0" applyNumberFormat="0" applyBorder="0" applyAlignment="0" applyProtection="0"/>
    <xf numFmtId="0" fontId="73" fillId="27" borderId="0" applyNumberFormat="0" applyBorder="0" applyAlignment="0" applyProtection="0"/>
    <xf numFmtId="0" fontId="73" fillId="28" borderId="0" applyNumberFormat="0" applyBorder="0" applyAlignment="0" applyProtection="0"/>
    <xf numFmtId="0" fontId="73" fillId="31" borderId="0" applyNumberFormat="0" applyBorder="0" applyAlignment="0" applyProtection="0"/>
    <xf numFmtId="0" fontId="73" fillId="32" borderId="0" applyNumberFormat="0" applyBorder="0" applyAlignment="0" applyProtection="0"/>
    <xf numFmtId="0" fontId="73" fillId="33" borderId="0" applyNumberFormat="0" applyBorder="0" applyAlignment="0" applyProtection="0"/>
    <xf numFmtId="0" fontId="75" fillId="0" borderId="0" applyNumberFormat="0" applyFill="0" applyBorder="0" applyAlignment="0" applyProtection="0">
      <alignment vertical="top"/>
      <protection locked="0"/>
    </xf>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80" fillId="0" borderId="53" applyNumberFormat="0" applyAlignment="0">
      <protection locked="0"/>
    </xf>
    <xf numFmtId="173" fontId="86" fillId="0" borderId="0" applyFont="0" applyFill="0" applyBorder="0" applyAlignment="0" applyProtection="0"/>
    <xf numFmtId="167" fontId="100" fillId="17" borderId="95" applyNumberFormat="0" applyFont="0" applyBorder="0" applyAlignment="0" applyProtection="0"/>
    <xf numFmtId="0" fontId="80" fillId="38" borderId="53" applyNumberFormat="0" applyAlignment="0"/>
    <xf numFmtId="0" fontId="105" fillId="0" borderId="58" applyNumberFormat="0" applyFill="0" applyAlignment="0" applyProtection="0"/>
    <xf numFmtId="0" fontId="107" fillId="0" borderId="59"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13" fillId="0" borderId="0" applyNumberFormat="0" applyFill="0" applyBorder="0" applyAlignment="0" applyProtection="0">
      <alignment vertical="top"/>
      <protection locked="0"/>
    </xf>
    <xf numFmtId="191" fontId="114" fillId="0" borderId="95">
      <alignment horizontal="center" vertical="center" wrapText="1"/>
    </xf>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195" fontId="119" fillId="0" borderId="95">
      <alignment horizontal="right"/>
      <protection locked="0"/>
    </xf>
    <xf numFmtId="3" fontId="15" fillId="0" borderId="15" applyFont="0" applyBorder="0">
      <alignment horizontal="center" vertical="center"/>
    </xf>
    <xf numFmtId="0" fontId="36" fillId="43" borderId="63" applyNumberFormat="0" applyFont="0" applyAlignment="0" applyProtection="0"/>
    <xf numFmtId="0" fontId="36" fillId="43" borderId="63" applyNumberFormat="0" applyFont="0" applyAlignment="0" applyProtection="0"/>
    <xf numFmtId="0" fontId="36" fillId="43" borderId="63" applyNumberFormat="0" applyFont="0" applyAlignment="0" applyProtection="0"/>
    <xf numFmtId="0" fontId="36" fillId="43" borderId="63" applyNumberFormat="0" applyFon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45" fillId="0" borderId="66">
      <alignment vertical="center"/>
    </xf>
    <xf numFmtId="4" fontId="146" fillId="7" borderId="64" applyNumberFormat="0" applyProtection="0">
      <alignment vertical="center"/>
    </xf>
    <xf numFmtId="4" fontId="146" fillId="7" borderId="64" applyNumberFormat="0" applyProtection="0">
      <alignment vertical="center"/>
    </xf>
    <xf numFmtId="4" fontId="146" fillId="7" borderId="64" applyNumberFormat="0" applyProtection="0">
      <alignment vertical="center"/>
    </xf>
    <xf numFmtId="4" fontId="146" fillId="7" borderId="64" applyNumberFormat="0" applyProtection="0">
      <alignment vertical="center"/>
    </xf>
    <xf numFmtId="4" fontId="147" fillId="7" borderId="64" applyNumberFormat="0" applyProtection="0">
      <alignment vertical="center"/>
    </xf>
    <xf numFmtId="4" fontId="147" fillId="7" borderId="64" applyNumberFormat="0" applyProtection="0">
      <alignment vertical="center"/>
    </xf>
    <xf numFmtId="4" fontId="147" fillId="7" borderId="64" applyNumberFormat="0" applyProtection="0">
      <alignment vertical="center"/>
    </xf>
    <xf numFmtId="4" fontId="147" fillId="7" borderId="64" applyNumberFormat="0" applyProtection="0">
      <alignment vertical="center"/>
    </xf>
    <xf numFmtId="4" fontId="146" fillId="7" borderId="64" applyNumberFormat="0" applyProtection="0">
      <alignment horizontal="left" vertical="center" indent="1"/>
    </xf>
    <xf numFmtId="4" fontId="146" fillId="7" borderId="64" applyNumberFormat="0" applyProtection="0">
      <alignment horizontal="left" vertical="center" indent="1"/>
    </xf>
    <xf numFmtId="4" fontId="146" fillId="7" borderId="64" applyNumberFormat="0" applyProtection="0">
      <alignment horizontal="left" vertical="center" indent="1"/>
    </xf>
    <xf numFmtId="4" fontId="146" fillId="7" borderId="64" applyNumberFormat="0" applyProtection="0">
      <alignment horizontal="left" vertical="center" indent="1"/>
    </xf>
    <xf numFmtId="4" fontId="146" fillId="7" borderId="64" applyNumberFormat="0" applyProtection="0">
      <alignment horizontal="left" vertical="center" indent="1"/>
    </xf>
    <xf numFmtId="4" fontId="146" fillId="7" borderId="64" applyNumberFormat="0" applyProtection="0">
      <alignment horizontal="left" vertical="center" indent="1"/>
    </xf>
    <xf numFmtId="4" fontId="146" fillId="7" borderId="64" applyNumberFormat="0" applyProtection="0">
      <alignment horizontal="left" vertical="center" indent="1"/>
    </xf>
    <xf numFmtId="4" fontId="146" fillId="7"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4" fontId="146" fillId="47" borderId="64" applyNumberFormat="0" applyProtection="0">
      <alignment horizontal="right" vertical="center"/>
    </xf>
    <xf numFmtId="4" fontId="146" fillId="47" borderId="64" applyNumberFormat="0" applyProtection="0">
      <alignment horizontal="right" vertical="center"/>
    </xf>
    <xf numFmtId="4" fontId="146" fillId="47" borderId="64" applyNumberFormat="0" applyProtection="0">
      <alignment horizontal="right" vertical="center"/>
    </xf>
    <xf numFmtId="4" fontId="146" fillId="47" borderId="64" applyNumberFormat="0" applyProtection="0">
      <alignment horizontal="right" vertical="center"/>
    </xf>
    <xf numFmtId="4" fontId="146" fillId="48" borderId="64" applyNumberFormat="0" applyProtection="0">
      <alignment horizontal="right" vertical="center"/>
    </xf>
    <xf numFmtId="4" fontId="146" fillId="48" borderId="64" applyNumberFormat="0" applyProtection="0">
      <alignment horizontal="right" vertical="center"/>
    </xf>
    <xf numFmtId="4" fontId="146" fillId="48" borderId="64" applyNumberFormat="0" applyProtection="0">
      <alignment horizontal="right" vertical="center"/>
    </xf>
    <xf numFmtId="4" fontId="146" fillId="48" borderId="64" applyNumberFormat="0" applyProtection="0">
      <alignment horizontal="right" vertical="center"/>
    </xf>
    <xf numFmtId="4" fontId="146" fillId="49" borderId="64" applyNumberFormat="0" applyProtection="0">
      <alignment horizontal="right" vertical="center"/>
    </xf>
    <xf numFmtId="4" fontId="146" fillId="49" borderId="64" applyNumberFormat="0" applyProtection="0">
      <alignment horizontal="right" vertical="center"/>
    </xf>
    <xf numFmtId="4" fontId="146" fillId="49" borderId="64" applyNumberFormat="0" applyProtection="0">
      <alignment horizontal="right" vertical="center"/>
    </xf>
    <xf numFmtId="4" fontId="146" fillId="49" borderId="64" applyNumberFormat="0" applyProtection="0">
      <alignment horizontal="right" vertical="center"/>
    </xf>
    <xf numFmtId="4" fontId="146" fillId="50" borderId="64" applyNumberFormat="0" applyProtection="0">
      <alignment horizontal="right" vertical="center"/>
    </xf>
    <xf numFmtId="4" fontId="146" fillId="50" borderId="64" applyNumberFormat="0" applyProtection="0">
      <alignment horizontal="right" vertical="center"/>
    </xf>
    <xf numFmtId="4" fontId="146" fillId="50" borderId="64" applyNumberFormat="0" applyProtection="0">
      <alignment horizontal="right" vertical="center"/>
    </xf>
    <xf numFmtId="4" fontId="146" fillId="50" borderId="64" applyNumberFormat="0" applyProtection="0">
      <alignment horizontal="right" vertical="center"/>
    </xf>
    <xf numFmtId="4" fontId="146" fillId="51" borderId="64" applyNumberFormat="0" applyProtection="0">
      <alignment horizontal="right" vertical="center"/>
    </xf>
    <xf numFmtId="4" fontId="146" fillId="51" borderId="64" applyNumberFormat="0" applyProtection="0">
      <alignment horizontal="right" vertical="center"/>
    </xf>
    <xf numFmtId="4" fontId="146" fillId="51" borderId="64" applyNumberFormat="0" applyProtection="0">
      <alignment horizontal="right" vertical="center"/>
    </xf>
    <xf numFmtId="4" fontId="146" fillId="51" borderId="64" applyNumberFormat="0" applyProtection="0">
      <alignment horizontal="right" vertical="center"/>
    </xf>
    <xf numFmtId="4" fontId="146" fillId="52" borderId="64" applyNumberFormat="0" applyProtection="0">
      <alignment horizontal="right" vertical="center"/>
    </xf>
    <xf numFmtId="4" fontId="146" fillId="52" borderId="64" applyNumberFormat="0" applyProtection="0">
      <alignment horizontal="right" vertical="center"/>
    </xf>
    <xf numFmtId="4" fontId="146" fillId="52" borderId="64" applyNumberFormat="0" applyProtection="0">
      <alignment horizontal="right" vertical="center"/>
    </xf>
    <xf numFmtId="4" fontId="146" fillId="52" borderId="64" applyNumberFormat="0" applyProtection="0">
      <alignment horizontal="right" vertical="center"/>
    </xf>
    <xf numFmtId="4" fontId="146" fillId="53" borderId="64" applyNumberFormat="0" applyProtection="0">
      <alignment horizontal="right" vertical="center"/>
    </xf>
    <xf numFmtId="4" fontId="146" fillId="53" borderId="64" applyNumberFormat="0" applyProtection="0">
      <alignment horizontal="right" vertical="center"/>
    </xf>
    <xf numFmtId="4" fontId="146" fillId="53" borderId="64" applyNumberFormat="0" applyProtection="0">
      <alignment horizontal="right" vertical="center"/>
    </xf>
    <xf numFmtId="4" fontId="146" fillId="53" borderId="64" applyNumberFormat="0" applyProtection="0">
      <alignment horizontal="right" vertical="center"/>
    </xf>
    <xf numFmtId="4" fontId="146" fillId="54" borderId="64" applyNumberFormat="0" applyProtection="0">
      <alignment horizontal="right" vertical="center"/>
    </xf>
    <xf numFmtId="4" fontId="146" fillId="54" borderId="64" applyNumberFormat="0" applyProtection="0">
      <alignment horizontal="right" vertical="center"/>
    </xf>
    <xf numFmtId="4" fontId="146" fillId="54" borderId="64" applyNumberFormat="0" applyProtection="0">
      <alignment horizontal="right" vertical="center"/>
    </xf>
    <xf numFmtId="4" fontId="146" fillId="54" borderId="64" applyNumberFormat="0" applyProtection="0">
      <alignment horizontal="right" vertical="center"/>
    </xf>
    <xf numFmtId="4" fontId="146" fillId="55" borderId="64" applyNumberFormat="0" applyProtection="0">
      <alignment horizontal="right" vertical="center"/>
    </xf>
    <xf numFmtId="4" fontId="146" fillId="55" borderId="64" applyNumberFormat="0" applyProtection="0">
      <alignment horizontal="right" vertical="center"/>
    </xf>
    <xf numFmtId="4" fontId="146" fillId="55" borderId="64" applyNumberFormat="0" applyProtection="0">
      <alignment horizontal="right" vertical="center"/>
    </xf>
    <xf numFmtId="4" fontId="146" fillId="55" borderId="64" applyNumberFormat="0" applyProtection="0">
      <alignment horizontal="right" vertical="center"/>
    </xf>
    <xf numFmtId="4" fontId="148" fillId="56" borderId="64" applyNumberFormat="0" applyProtection="0">
      <alignment horizontal="left" vertical="center" indent="1"/>
    </xf>
    <xf numFmtId="4" fontId="148" fillId="56" borderId="64" applyNumberFormat="0" applyProtection="0">
      <alignment horizontal="left" vertical="center" indent="1"/>
    </xf>
    <xf numFmtId="4" fontId="148" fillId="56" borderId="64" applyNumberFormat="0" applyProtection="0">
      <alignment horizontal="left" vertical="center" indent="1"/>
    </xf>
    <xf numFmtId="4" fontId="148" fillId="56"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4" fontId="62" fillId="57" borderId="64" applyNumberFormat="0" applyProtection="0">
      <alignment horizontal="left" vertical="center" indent="1"/>
    </xf>
    <xf numFmtId="4" fontId="62" fillId="57" borderId="64" applyNumberFormat="0" applyProtection="0">
      <alignment horizontal="left" vertical="center" indent="1"/>
    </xf>
    <xf numFmtId="4" fontId="62" fillId="57" borderId="64" applyNumberFormat="0" applyProtection="0">
      <alignment horizontal="left" vertical="center" indent="1"/>
    </xf>
    <xf numFmtId="4" fontId="62" fillId="57" borderId="64" applyNumberFormat="0" applyProtection="0">
      <alignment horizontal="left" vertical="center" indent="1"/>
    </xf>
    <xf numFmtId="4" fontId="62" fillId="59" borderId="64" applyNumberFormat="0" applyProtection="0">
      <alignment horizontal="left" vertical="center" indent="1"/>
    </xf>
    <xf numFmtId="4" fontId="62" fillId="59" borderId="64" applyNumberFormat="0" applyProtection="0">
      <alignment horizontal="left" vertical="center" indent="1"/>
    </xf>
    <xf numFmtId="4" fontId="62" fillId="59" borderId="64" applyNumberFormat="0" applyProtection="0">
      <alignment horizontal="left" vertical="center" indent="1"/>
    </xf>
    <xf numFmtId="4" fontId="62" fillId="59" borderId="64" applyNumberFormat="0" applyProtection="0">
      <alignment horizontal="left" vertical="center" indent="1"/>
    </xf>
    <xf numFmtId="0" fontId="37" fillId="59" borderId="64" applyNumberFormat="0" applyProtection="0">
      <alignment horizontal="left" vertical="center" indent="1"/>
    </xf>
    <xf numFmtId="0" fontId="37" fillId="59" borderId="64" applyNumberFormat="0" applyProtection="0">
      <alignment horizontal="left" vertical="center" indent="1"/>
    </xf>
    <xf numFmtId="0" fontId="37" fillId="59" borderId="64" applyNumberFormat="0" applyProtection="0">
      <alignment horizontal="left" vertical="center" indent="1"/>
    </xf>
    <xf numFmtId="0" fontId="37" fillId="59" borderId="64" applyNumberFormat="0" applyProtection="0">
      <alignment horizontal="left" vertical="center" indent="1"/>
    </xf>
    <xf numFmtId="0" fontId="37" fillId="59" borderId="64" applyNumberFormat="0" applyProtection="0">
      <alignment horizontal="left" vertical="center" indent="1"/>
    </xf>
    <xf numFmtId="0" fontId="37" fillId="59" borderId="64" applyNumberFormat="0" applyProtection="0">
      <alignment horizontal="left" vertical="center" indent="1"/>
    </xf>
    <xf numFmtId="0" fontId="37" fillId="59" borderId="64" applyNumberFormat="0" applyProtection="0">
      <alignment horizontal="left" vertical="center" indent="1"/>
    </xf>
    <xf numFmtId="0" fontId="37" fillId="59" borderId="64" applyNumberFormat="0" applyProtection="0">
      <alignment horizontal="left" vertical="center" indent="1"/>
    </xf>
    <xf numFmtId="0" fontId="37" fillId="59" borderId="64" applyNumberFormat="0" applyProtection="0">
      <alignment horizontal="left" vertical="center" indent="1"/>
    </xf>
    <xf numFmtId="0" fontId="37" fillId="59" borderId="64" applyNumberFormat="0" applyProtection="0">
      <alignment horizontal="left" vertical="center" indent="1"/>
    </xf>
    <xf numFmtId="0" fontId="37" fillId="59" borderId="64" applyNumberFormat="0" applyProtection="0">
      <alignment horizontal="left" vertical="center" indent="1"/>
    </xf>
    <xf numFmtId="0" fontId="37" fillId="59" borderId="64" applyNumberFormat="0" applyProtection="0">
      <alignment horizontal="left" vertical="center" indent="1"/>
    </xf>
    <xf numFmtId="0" fontId="37" fillId="60" borderId="64" applyNumberFormat="0" applyProtection="0">
      <alignment horizontal="left" vertical="center" indent="1"/>
    </xf>
    <xf numFmtId="0" fontId="37" fillId="60" borderId="64" applyNumberFormat="0" applyProtection="0">
      <alignment horizontal="left" vertical="center" indent="1"/>
    </xf>
    <xf numFmtId="0" fontId="37" fillId="60" borderId="64" applyNumberFormat="0" applyProtection="0">
      <alignment horizontal="left" vertical="center" indent="1"/>
    </xf>
    <xf numFmtId="0" fontId="37" fillId="60" borderId="64" applyNumberFormat="0" applyProtection="0">
      <alignment horizontal="left" vertical="center" indent="1"/>
    </xf>
    <xf numFmtId="0" fontId="37" fillId="60" borderId="64" applyNumberFormat="0" applyProtection="0">
      <alignment horizontal="left" vertical="center" indent="1"/>
    </xf>
    <xf numFmtId="0" fontId="37" fillId="60" borderId="64" applyNumberFormat="0" applyProtection="0">
      <alignment horizontal="left" vertical="center" indent="1"/>
    </xf>
    <xf numFmtId="0" fontId="37" fillId="60" borderId="64" applyNumberFormat="0" applyProtection="0">
      <alignment horizontal="left" vertical="center" indent="1"/>
    </xf>
    <xf numFmtId="0" fontId="37" fillId="60" borderId="64" applyNumberFormat="0" applyProtection="0">
      <alignment horizontal="left" vertical="center" indent="1"/>
    </xf>
    <xf numFmtId="0" fontId="37" fillId="60" borderId="64" applyNumberFormat="0" applyProtection="0">
      <alignment horizontal="left" vertical="center" indent="1"/>
    </xf>
    <xf numFmtId="0" fontId="37" fillId="60" borderId="64" applyNumberFormat="0" applyProtection="0">
      <alignment horizontal="left" vertical="center" indent="1"/>
    </xf>
    <xf numFmtId="0" fontId="37" fillId="60" borderId="64" applyNumberFormat="0" applyProtection="0">
      <alignment horizontal="left" vertical="center" indent="1"/>
    </xf>
    <xf numFmtId="0" fontId="37" fillId="60" borderId="64" applyNumberFormat="0" applyProtection="0">
      <alignment horizontal="left" vertical="center" indent="1"/>
    </xf>
    <xf numFmtId="0" fontId="37" fillId="16" borderId="64" applyNumberFormat="0" applyProtection="0">
      <alignment horizontal="left" vertical="center" indent="1"/>
    </xf>
    <xf numFmtId="0" fontId="37" fillId="16" borderId="64" applyNumberFormat="0" applyProtection="0">
      <alignment horizontal="left" vertical="center" indent="1"/>
    </xf>
    <xf numFmtId="0" fontId="37" fillId="16" borderId="64" applyNumberFormat="0" applyProtection="0">
      <alignment horizontal="left" vertical="center" indent="1"/>
    </xf>
    <xf numFmtId="0" fontId="37" fillId="16" borderId="64" applyNumberFormat="0" applyProtection="0">
      <alignment horizontal="left" vertical="center" indent="1"/>
    </xf>
    <xf numFmtId="0" fontId="37" fillId="16" borderId="64" applyNumberFormat="0" applyProtection="0">
      <alignment horizontal="left" vertical="center" indent="1"/>
    </xf>
    <xf numFmtId="0" fontId="37" fillId="16" borderId="64" applyNumberFormat="0" applyProtection="0">
      <alignment horizontal="left" vertical="center" indent="1"/>
    </xf>
    <xf numFmtId="0" fontId="37" fillId="16" borderId="64" applyNumberFormat="0" applyProtection="0">
      <alignment horizontal="left" vertical="center" indent="1"/>
    </xf>
    <xf numFmtId="0" fontId="37" fillId="16" borderId="64" applyNumberFormat="0" applyProtection="0">
      <alignment horizontal="left" vertical="center" indent="1"/>
    </xf>
    <xf numFmtId="0" fontId="37" fillId="16" borderId="64" applyNumberFormat="0" applyProtection="0">
      <alignment horizontal="left" vertical="center" indent="1"/>
    </xf>
    <xf numFmtId="0" fontId="37" fillId="16" borderId="64" applyNumberFormat="0" applyProtection="0">
      <alignment horizontal="left" vertical="center" indent="1"/>
    </xf>
    <xf numFmtId="0" fontId="37" fillId="16" borderId="64" applyNumberFormat="0" applyProtection="0">
      <alignment horizontal="left" vertical="center" indent="1"/>
    </xf>
    <xf numFmtId="0" fontId="37" fillId="16"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4" fontId="146" fillId="61" borderId="64" applyNumberFormat="0" applyProtection="0">
      <alignment vertical="center"/>
    </xf>
    <xf numFmtId="4" fontId="146" fillId="61" borderId="64" applyNumberFormat="0" applyProtection="0">
      <alignment vertical="center"/>
    </xf>
    <xf numFmtId="4" fontId="146" fillId="61" borderId="64" applyNumberFormat="0" applyProtection="0">
      <alignment vertical="center"/>
    </xf>
    <xf numFmtId="4" fontId="146" fillId="61" borderId="64" applyNumberFormat="0" applyProtection="0">
      <alignment vertical="center"/>
    </xf>
    <xf numFmtId="4" fontId="147" fillId="61" borderId="64" applyNumberFormat="0" applyProtection="0">
      <alignment vertical="center"/>
    </xf>
    <xf numFmtId="4" fontId="147" fillId="61" borderId="64" applyNumberFormat="0" applyProtection="0">
      <alignment vertical="center"/>
    </xf>
    <xf numFmtId="4" fontId="147" fillId="61" borderId="64" applyNumberFormat="0" applyProtection="0">
      <alignment vertical="center"/>
    </xf>
    <xf numFmtId="4" fontId="147" fillId="61" borderId="64" applyNumberFormat="0" applyProtection="0">
      <alignment vertical="center"/>
    </xf>
    <xf numFmtId="4" fontId="146" fillId="61" borderId="64" applyNumberFormat="0" applyProtection="0">
      <alignment horizontal="left" vertical="center" indent="1"/>
    </xf>
    <xf numFmtId="4" fontId="146" fillId="61" borderId="64" applyNumberFormat="0" applyProtection="0">
      <alignment horizontal="left" vertical="center" indent="1"/>
    </xf>
    <xf numFmtId="4" fontId="146" fillId="61" borderId="64" applyNumberFormat="0" applyProtection="0">
      <alignment horizontal="left" vertical="center" indent="1"/>
    </xf>
    <xf numFmtId="4" fontId="146" fillId="61" borderId="64" applyNumberFormat="0" applyProtection="0">
      <alignment horizontal="left" vertical="center" indent="1"/>
    </xf>
    <xf numFmtId="4" fontId="146" fillId="61" borderId="64" applyNumberFormat="0" applyProtection="0">
      <alignment horizontal="left" vertical="center" indent="1"/>
    </xf>
    <xf numFmtId="4" fontId="146" fillId="61" borderId="64" applyNumberFormat="0" applyProtection="0">
      <alignment horizontal="left" vertical="center" indent="1"/>
    </xf>
    <xf numFmtId="4" fontId="146" fillId="61" borderId="64" applyNumberFormat="0" applyProtection="0">
      <alignment horizontal="left" vertical="center" indent="1"/>
    </xf>
    <xf numFmtId="4" fontId="146" fillId="61" borderId="64" applyNumberFormat="0" applyProtection="0">
      <alignment horizontal="left" vertical="center" indent="1"/>
    </xf>
    <xf numFmtId="4" fontId="146" fillId="57" borderId="64" applyNumberFormat="0" applyProtection="0">
      <alignment horizontal="right" vertical="center"/>
    </xf>
    <xf numFmtId="4" fontId="146" fillId="57" borderId="64" applyNumberFormat="0" applyProtection="0">
      <alignment horizontal="right" vertical="center"/>
    </xf>
    <xf numFmtId="4" fontId="146" fillId="57" borderId="64" applyNumberFormat="0" applyProtection="0">
      <alignment horizontal="right" vertical="center"/>
    </xf>
    <xf numFmtId="4" fontId="146" fillId="57" borderId="64" applyNumberFormat="0" applyProtection="0">
      <alignment horizontal="right" vertical="center"/>
    </xf>
    <xf numFmtId="4" fontId="147" fillId="57" borderId="64" applyNumberFormat="0" applyProtection="0">
      <alignment horizontal="right" vertical="center"/>
    </xf>
    <xf numFmtId="4" fontId="147" fillId="57" borderId="64" applyNumberFormat="0" applyProtection="0">
      <alignment horizontal="right" vertical="center"/>
    </xf>
    <xf numFmtId="4" fontId="147" fillId="57" borderId="64" applyNumberFormat="0" applyProtection="0">
      <alignment horizontal="right" vertical="center"/>
    </xf>
    <xf numFmtId="4" fontId="147" fillId="57" borderId="64" applyNumberFormat="0" applyProtection="0">
      <alignment horizontal="right" vertical="center"/>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4" fontId="151" fillId="57" borderId="64" applyNumberFormat="0" applyProtection="0">
      <alignment horizontal="right" vertical="center"/>
    </xf>
    <xf numFmtId="4" fontId="151" fillId="57" borderId="64" applyNumberFormat="0" applyProtection="0">
      <alignment horizontal="right" vertical="center"/>
    </xf>
    <xf numFmtId="4" fontId="151" fillId="57" borderId="64" applyNumberFormat="0" applyProtection="0">
      <alignment horizontal="right" vertical="center"/>
    </xf>
    <xf numFmtId="4" fontId="151" fillId="57" borderId="64" applyNumberFormat="0" applyProtection="0">
      <alignment horizontal="right" vertical="center"/>
    </xf>
    <xf numFmtId="2" fontId="153" fillId="62" borderId="68" applyProtection="0"/>
    <xf numFmtId="2" fontId="153" fillId="62" borderId="68" applyProtection="0"/>
    <xf numFmtId="2" fontId="63" fillId="63" borderId="68" applyProtection="0"/>
    <xf numFmtId="2" fontId="63" fillId="64" borderId="68" applyProtection="0"/>
    <xf numFmtId="2" fontId="63" fillId="65" borderId="68" applyProtection="0"/>
    <xf numFmtId="2" fontId="63" fillId="65" borderId="68" applyProtection="0">
      <alignment horizontal="center"/>
    </xf>
    <xf numFmtId="2" fontId="63" fillId="64" borderId="68" applyProtection="0">
      <alignment horizontal="center"/>
    </xf>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73" fillId="34" borderId="0" applyNumberFormat="0" applyBorder="0" applyAlignment="0" applyProtection="0"/>
    <xf numFmtId="0" fontId="73" fillId="35" borderId="0" applyNumberFormat="0" applyBorder="0" applyAlignment="0" applyProtection="0"/>
    <xf numFmtId="0" fontId="73" fillId="36" borderId="0" applyNumberFormat="0" applyBorder="0" applyAlignment="0" applyProtection="0"/>
    <xf numFmtId="0" fontId="73" fillId="31" borderId="0" applyNumberFormat="0" applyBorder="0" applyAlignment="0" applyProtection="0"/>
    <xf numFmtId="0" fontId="73" fillId="32" borderId="0" applyNumberFormat="0" applyBorder="0" applyAlignment="0" applyProtection="0"/>
    <xf numFmtId="0" fontId="73" fillId="37" borderId="0" applyNumberFormat="0" applyBorder="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71" fillId="25" borderId="53" applyNumberFormat="0" applyAlignment="0" applyProtection="0"/>
    <xf numFmtId="0" fontId="171"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74" fillId="38" borderId="64" applyNumberFormat="0" applyAlignment="0" applyProtection="0"/>
    <xf numFmtId="0" fontId="174"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176" fillId="38" borderId="53" applyNumberFormat="0" applyAlignment="0" applyProtection="0"/>
    <xf numFmtId="0" fontId="176"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186" fillId="0" borderId="58" applyNumberFormat="0" applyFill="0" applyAlignment="0" applyProtection="0"/>
    <xf numFmtId="0" fontId="189" fillId="0" borderId="59"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91" fillId="0" borderId="60" applyNumberFormat="0" applyFill="0" applyAlignment="0" applyProtection="0"/>
    <xf numFmtId="0" fontId="191" fillId="0" borderId="60" applyNumberFormat="0" applyFill="0" applyAlignment="0" applyProtection="0"/>
    <xf numFmtId="0" fontId="190" fillId="0" borderId="60" applyNumberFormat="0" applyFill="0" applyAlignment="0" applyProtection="0"/>
    <xf numFmtId="0" fontId="108" fillId="0" borderId="60" applyNumberFormat="0" applyFill="0" applyAlignment="0" applyProtection="0"/>
    <xf numFmtId="0" fontId="191"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91" fillId="0" borderId="0" applyNumberFormat="0" applyFill="0" applyBorder="0" applyAlignment="0" applyProtection="0"/>
    <xf numFmtId="0" fontId="28" fillId="0" borderId="16" applyBorder="0">
      <alignment horizontal="center" vertical="center" wrapText="1"/>
    </xf>
    <xf numFmtId="0" fontId="28" fillId="0" borderId="16" applyBorder="0">
      <alignment horizontal="center" vertical="center" wrapText="1"/>
    </xf>
    <xf numFmtId="0" fontId="28" fillId="0" borderId="16" applyBorder="0">
      <alignment horizontal="center" vertical="center" wrapText="1"/>
    </xf>
    <xf numFmtId="4" fontId="36" fillId="7" borderId="95" applyBorder="0">
      <alignment horizontal="right"/>
    </xf>
    <xf numFmtId="4" fontId="36" fillId="7" borderId="95" applyBorder="0">
      <alignment horizontal="right"/>
    </xf>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96" fillId="0" borderId="71" applyNumberFormat="0" applyFill="0" applyAlignment="0" applyProtection="0"/>
    <xf numFmtId="0" fontId="196"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3" fontId="85" fillId="0" borderId="95" applyBorder="0">
      <alignment vertical="center"/>
    </xf>
    <xf numFmtId="3" fontId="85" fillId="0" borderId="95" applyBorder="0">
      <alignment vertical="center"/>
    </xf>
    <xf numFmtId="0" fontId="198" fillId="39" borderId="56" applyNumberFormat="0" applyAlignment="0" applyProtection="0"/>
    <xf numFmtId="205" fontId="200" fillId="17" borderId="95">
      <alignment wrapText="1"/>
    </xf>
    <xf numFmtId="205" fontId="200" fillId="17" borderId="95">
      <alignment wrapText="1"/>
    </xf>
    <xf numFmtId="0" fontId="202" fillId="42" borderId="0" applyNumberFormat="0" applyBorder="0" applyAlignment="0" applyProtection="0"/>
    <xf numFmtId="49" fontId="172" fillId="0" borderId="95">
      <alignment horizontal="right" vertical="top" wrapText="1"/>
    </xf>
    <xf numFmtId="0" fontId="24" fillId="0" borderId="0"/>
    <xf numFmtId="0" fontId="24" fillId="0" borderId="0"/>
    <xf numFmtId="0" fontId="1" fillId="0" borderId="0"/>
    <xf numFmtId="0" fontId="1" fillId="0" borderId="0"/>
    <xf numFmtId="0" fontId="204" fillId="0" borderId="0"/>
    <xf numFmtId="0" fontId="204" fillId="0" borderId="0"/>
    <xf numFmtId="0" fontId="204" fillId="0" borderId="0"/>
    <xf numFmtId="0" fontId="208" fillId="0" borderId="0" applyNumberFormat="0" applyFill="0" applyBorder="0" applyProtection="0">
      <alignment vertical="top"/>
    </xf>
    <xf numFmtId="0" fontId="37" fillId="0" borderId="0"/>
    <xf numFmtId="0" fontId="209" fillId="0" borderId="0"/>
    <xf numFmtId="0" fontId="1" fillId="0" borderId="0"/>
    <xf numFmtId="0" fontId="1" fillId="0" borderId="0"/>
    <xf numFmtId="0" fontId="1" fillId="0" borderId="0"/>
    <xf numFmtId="0" fontId="1" fillId="0" borderId="0"/>
    <xf numFmtId="0" fontId="37" fillId="0" borderId="0"/>
    <xf numFmtId="0" fontId="15" fillId="0" borderId="0"/>
    <xf numFmtId="0" fontId="37" fillId="0" borderId="0"/>
    <xf numFmtId="0" fontId="1" fillId="0" borderId="0"/>
    <xf numFmtId="0" fontId="1" fillId="0" borderId="0"/>
    <xf numFmtId="0" fontId="1" fillId="0" borderId="0"/>
    <xf numFmtId="0" fontId="1" fillId="0" borderId="0"/>
    <xf numFmtId="0" fontId="204" fillId="0" borderId="0"/>
    <xf numFmtId="49" fontId="36" fillId="0" borderId="0" applyBorder="0">
      <alignment vertical="top"/>
    </xf>
    <xf numFmtId="49" fontId="36" fillId="0" borderId="0" applyBorder="0">
      <alignment vertical="top"/>
    </xf>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4"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209" fillId="0" borderId="0"/>
    <xf numFmtId="49" fontId="36" fillId="0" borderId="0" applyBorder="0">
      <alignment vertical="top"/>
    </xf>
    <xf numFmtId="0" fontId="1" fillId="0" borderId="0"/>
    <xf numFmtId="0" fontId="204" fillId="0" borderId="0"/>
    <xf numFmtId="49" fontId="36" fillId="0" borderId="0" applyBorder="0">
      <alignment vertical="top"/>
    </xf>
    <xf numFmtId="0" fontId="37" fillId="0" borderId="0"/>
    <xf numFmtId="0" fontId="37" fillId="0" borderId="0"/>
    <xf numFmtId="0" fontId="37" fillId="0" borderId="0"/>
    <xf numFmtId="0" fontId="37" fillId="0" borderId="0"/>
    <xf numFmtId="49" fontId="36" fillId="0" borderId="0" applyBorder="0">
      <alignment vertical="top"/>
    </xf>
    <xf numFmtId="0" fontId="15" fillId="0" borderId="0"/>
    <xf numFmtId="0" fontId="1" fillId="0" borderId="0"/>
    <xf numFmtId="0" fontId="1" fillId="0" borderId="0"/>
    <xf numFmtId="0" fontId="15" fillId="0" borderId="0"/>
    <xf numFmtId="0" fontId="1" fillId="0" borderId="0"/>
    <xf numFmtId="0" fontId="1" fillId="0" borderId="0"/>
    <xf numFmtId="0" fontId="37" fillId="0" borderId="0"/>
    <xf numFmtId="1" fontId="212" fillId="0" borderId="95">
      <alignment horizontal="left" vertical="center"/>
    </xf>
    <xf numFmtId="0" fontId="214" fillId="21" borderId="0" applyNumberFormat="0" applyBorder="0" applyAlignment="0" applyProtection="0"/>
    <xf numFmtId="204" fontId="215" fillId="0" borderId="95">
      <alignment vertical="top"/>
    </xf>
    <xf numFmtId="0" fontId="218" fillId="0" borderId="0" applyNumberFormat="0" applyFill="0" applyBorder="0" applyAlignment="0" applyProtection="0"/>
    <xf numFmtId="0" fontId="15" fillId="43" borderId="63" applyNumberFormat="0" applyFont="0" applyAlignment="0" applyProtection="0"/>
    <xf numFmtId="0" fontId="15" fillId="43" borderId="63" applyNumberFormat="0" applyFont="0" applyAlignment="0" applyProtection="0"/>
    <xf numFmtId="0" fontId="15" fillId="43" borderId="63" applyNumberFormat="0" applyFont="0" applyAlignment="0" applyProtection="0"/>
    <xf numFmtId="0" fontId="15" fillId="43" borderId="63" applyNumberFormat="0" applyFont="0" applyAlignment="0" applyProtection="0"/>
    <xf numFmtId="0" fontId="15" fillId="43" borderId="63" applyNumberFormat="0" applyFont="0" applyAlignment="0" applyProtection="0"/>
    <xf numFmtId="0" fontId="15" fillId="43" borderId="63" applyNumberFormat="0" applyFont="0" applyAlignment="0" applyProtection="0"/>
    <xf numFmtId="0" fontId="15" fillId="43" borderId="63" applyNumberFormat="0" applyFont="0" applyAlignment="0" applyProtection="0"/>
    <xf numFmtId="0" fontId="15" fillId="43" borderId="63" applyNumberFormat="0" applyFont="0" applyAlignment="0" applyProtection="0"/>
    <xf numFmtId="0" fontId="15" fillId="43" borderId="63" applyNumberFormat="0" applyFont="0" applyAlignment="0" applyProtection="0"/>
    <xf numFmtId="0" fontId="15" fillId="43" borderId="63" applyNumberFormat="0" applyFont="0" applyAlignment="0" applyProtection="0"/>
    <xf numFmtId="0" fontId="15" fillId="43" borderId="63" applyNumberFormat="0" applyFont="0" applyAlignment="0" applyProtection="0"/>
    <xf numFmtId="0" fontId="15" fillId="43" borderId="63" applyNumberFormat="0" applyFont="0" applyAlignment="0" applyProtection="0"/>
    <xf numFmtId="0" fontId="15" fillId="43" borderId="63" applyNumberFormat="0" applyFont="0" applyAlignment="0" applyProtection="0"/>
    <xf numFmtId="0" fontId="15" fillId="43" borderId="63" applyNumberFormat="0" applyFont="0" applyAlignment="0" applyProtection="0"/>
    <xf numFmtId="0" fontId="15" fillId="43" borderId="63" applyNumberFormat="0" applyFont="0" applyAlignment="0" applyProtection="0"/>
    <xf numFmtId="0" fontId="15" fillId="43" borderId="63" applyNumberFormat="0" applyFont="0" applyAlignment="0" applyProtection="0"/>
    <xf numFmtId="0" fontId="15" fillId="43" borderId="63" applyNumberFormat="0" applyFont="0" applyAlignment="0" applyProtection="0"/>
    <xf numFmtId="0" fontId="15" fillId="43" borderId="63" applyNumberFormat="0" applyFont="0" applyAlignment="0" applyProtection="0"/>
    <xf numFmtId="0" fontId="15" fillId="43" borderId="63" applyNumberFormat="0" applyFont="0" applyAlignment="0" applyProtection="0"/>
    <xf numFmtId="0" fontId="15" fillId="43" borderId="63" applyNumberFormat="0" applyFont="0" applyAlignment="0" applyProtection="0"/>
    <xf numFmtId="0" fontId="15" fillId="43" borderId="63" applyNumberFormat="0" applyFont="0" applyAlignment="0" applyProtection="0"/>
    <xf numFmtId="0" fontId="15" fillId="43" borderId="63" applyNumberFormat="0" applyFont="0" applyAlignment="0" applyProtection="0"/>
    <xf numFmtId="0" fontId="15" fillId="43" borderId="63" applyNumberFormat="0" applyFont="0" applyAlignment="0" applyProtection="0"/>
    <xf numFmtId="0" fontId="15"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69"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69" fillId="43" borderId="63" applyNumberFormat="0" applyFont="0" applyAlignment="0" applyProtection="0"/>
    <xf numFmtId="0" fontId="69"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69"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69" fillId="43" borderId="63" applyNumberFormat="0" applyFont="0" applyAlignment="0" applyProtection="0"/>
    <xf numFmtId="0" fontId="69" fillId="43" borderId="63" applyNumberFormat="0" applyFont="0" applyAlignment="0" applyProtection="0"/>
    <xf numFmtId="0" fontId="69"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69"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15" fillId="43" borderId="63" applyNumberFormat="0" applyFont="0" applyAlignment="0" applyProtection="0"/>
    <xf numFmtId="0" fontId="15"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69" fillId="43" borderId="63" applyNumberFormat="0" applyFont="0" applyAlignment="0" applyProtection="0"/>
    <xf numFmtId="0" fontId="69"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69" fillId="43" borderId="63" applyNumberFormat="0" applyFont="0" applyAlignment="0" applyProtection="0"/>
    <xf numFmtId="0" fontId="69"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62"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62"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9" fontId="1" fillId="0" borderId="0" applyFont="0" applyFill="0" applyBorder="0" applyAlignment="0" applyProtection="0"/>
    <xf numFmtId="9" fontId="15" fillId="0" borderId="0" applyFont="0" applyFill="0" applyBorder="0" applyAlignment="0" applyProtection="0"/>
    <xf numFmtId="9" fontId="70" fillId="0" borderId="0" applyFont="0" applyFill="0" applyBorder="0" applyAlignment="0" applyProtection="0"/>
    <xf numFmtId="9" fontId="15" fillId="0" borderId="0" applyFont="0" applyFill="0" applyBorder="0" applyAlignment="0" applyProtection="0"/>
    <xf numFmtId="9" fontId="64" fillId="0" borderId="0" applyFill="0" applyBorder="0" applyAlignment="0" applyProtection="0"/>
    <xf numFmtId="0" fontId="222" fillId="0" borderId="61" applyNumberFormat="0" applyFill="0" applyAlignment="0" applyProtection="0"/>
    <xf numFmtId="0" fontId="226"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 fontId="36" fillId="17" borderId="0" applyBorder="0">
      <alignment horizontal="right"/>
    </xf>
    <xf numFmtId="4" fontId="36" fillId="17" borderId="0" applyFont="0" applyBorder="0">
      <alignment horizontal="right"/>
    </xf>
    <xf numFmtId="4" fontId="36" fillId="74" borderId="17" applyBorder="0">
      <alignment horizontal="right"/>
    </xf>
    <xf numFmtId="4" fontId="36" fillId="17" borderId="17" applyBorder="0">
      <alignment horizontal="right"/>
    </xf>
    <xf numFmtId="4" fontId="36" fillId="74" borderId="17" applyBorder="0">
      <alignment horizontal="right"/>
    </xf>
    <xf numFmtId="4" fontId="36" fillId="74" borderId="17" applyBorder="0">
      <alignment horizontal="right"/>
    </xf>
    <xf numFmtId="4" fontId="36" fillId="74" borderId="17" applyBorder="0">
      <alignment horizontal="right"/>
    </xf>
    <xf numFmtId="4" fontId="36" fillId="74" borderId="22" applyBorder="0">
      <alignment horizontal="right"/>
    </xf>
    <xf numFmtId="4" fontId="36" fillId="17" borderId="1" applyFont="0" applyBorder="0">
      <alignment horizontal="right"/>
    </xf>
    <xf numFmtId="0" fontId="229" fillId="22" borderId="0" applyNumberFormat="0" applyBorder="0" applyAlignment="0" applyProtection="0"/>
    <xf numFmtId="164" fontId="15" fillId="0" borderId="1" applyFont="0" applyFill="0" applyBorder="0" applyProtection="0">
      <alignment horizontal="center" vertical="center"/>
    </xf>
    <xf numFmtId="211" fontId="66" fillId="0" borderId="0">
      <protection locked="0"/>
    </xf>
    <xf numFmtId="0" fontId="64" fillId="0" borderId="1" applyBorder="0">
      <alignment horizontal="center" vertical="center" wrapText="1"/>
    </xf>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69" fillId="43" borderId="63" applyNumberFormat="0" applyFont="0" applyAlignment="0" applyProtection="0"/>
    <xf numFmtId="0" fontId="69" fillId="43" borderId="63" applyNumberFormat="0" applyFont="0" applyAlignment="0" applyProtection="0"/>
    <xf numFmtId="0" fontId="69" fillId="43" borderId="63" applyNumberFormat="0" applyFont="0" applyAlignment="0" applyProtection="0"/>
    <xf numFmtId="0" fontId="69" fillId="43" borderId="63" applyNumberFormat="0" applyFont="0" applyAlignment="0" applyProtection="0"/>
    <xf numFmtId="0" fontId="284"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1847">
    <xf numFmtId="0" fontId="0" fillId="0" borderId="0" xfId="0"/>
    <xf numFmtId="0" fontId="3" fillId="0" borderId="0" xfId="0" applyFont="1" applyAlignment="1">
      <alignment wrapText="1"/>
    </xf>
    <xf numFmtId="0" fontId="3" fillId="0" borderId="0" xfId="0" applyFont="1" applyAlignment="1">
      <alignment vertical="center" wrapText="1"/>
    </xf>
    <xf numFmtId="0" fontId="3" fillId="0" borderId="0" xfId="0" applyFont="1" applyAlignment="1">
      <alignment horizontal="left" vertical="center" wrapText="1"/>
    </xf>
    <xf numFmtId="0" fontId="3" fillId="0" borderId="0" xfId="0" applyFont="1" applyAlignment="1">
      <alignment horizontal="center" vertical="center" wrapText="1"/>
    </xf>
    <xf numFmtId="0" fontId="3" fillId="2" borderId="1" xfId="0" applyFont="1" applyFill="1" applyBorder="1" applyAlignment="1">
      <alignment horizontal="center" vertical="center" wrapText="1"/>
    </xf>
    <xf numFmtId="4" fontId="3" fillId="2" borderId="1" xfId="0" applyNumberFormat="1" applyFont="1" applyFill="1" applyBorder="1" applyAlignment="1">
      <alignment horizontal="center" vertical="center" wrapText="1"/>
    </xf>
    <xf numFmtId="0" fontId="3" fillId="2" borderId="0" xfId="0" applyFont="1" applyFill="1" applyAlignment="1">
      <alignment wrapText="1"/>
    </xf>
    <xf numFmtId="0" fontId="3" fillId="0" borderId="0" xfId="0" applyFont="1" applyAlignment="1">
      <alignment horizontal="center" vertical="center" wrapText="1"/>
    </xf>
    <xf numFmtId="0" fontId="3" fillId="0" borderId="0" xfId="0" applyFont="1" applyAlignment="1">
      <alignment horizontal="right" wrapText="1"/>
    </xf>
    <xf numFmtId="0" fontId="3" fillId="0" borderId="0" xfId="0" applyFont="1" applyAlignment="1">
      <alignment horizontal="center" vertical="center" wrapText="1"/>
    </xf>
    <xf numFmtId="49" fontId="3" fillId="2" borderId="1" xfId="0" applyNumberFormat="1" applyFont="1" applyFill="1" applyBorder="1" applyAlignment="1">
      <alignment horizontal="center" vertical="center" wrapText="1"/>
    </xf>
    <xf numFmtId="49" fontId="3" fillId="0" borderId="0" xfId="0" applyNumberFormat="1" applyFont="1" applyAlignment="1">
      <alignment horizontal="center" vertical="center" wrapText="1"/>
    </xf>
    <xf numFmtId="49" fontId="3" fillId="2" borderId="2" xfId="0" applyNumberFormat="1" applyFont="1" applyFill="1" applyBorder="1" applyAlignment="1">
      <alignment vertical="center" wrapText="1"/>
    </xf>
    <xf numFmtId="49" fontId="3" fillId="2" borderId="3" xfId="0" applyNumberFormat="1" applyFont="1" applyFill="1" applyBorder="1" applyAlignment="1">
      <alignment vertical="center" wrapText="1"/>
    </xf>
    <xf numFmtId="0" fontId="5" fillId="2" borderId="0" xfId="0" applyFont="1" applyFill="1" applyAlignment="1">
      <alignment wrapText="1"/>
    </xf>
    <xf numFmtId="0" fontId="5" fillId="0" borderId="0" xfId="0" applyFont="1" applyAlignment="1">
      <alignment wrapText="1"/>
    </xf>
    <xf numFmtId="0" fontId="5" fillId="2" borderId="0" xfId="0" applyFont="1" applyFill="1" applyAlignment="1">
      <alignment horizontal="center" vertical="center" wrapText="1"/>
    </xf>
    <xf numFmtId="0" fontId="3" fillId="0" borderId="0" xfId="0" applyFont="1" applyAlignment="1">
      <alignment horizontal="center" vertical="center" wrapText="1"/>
    </xf>
    <xf numFmtId="49" fontId="8" fillId="2" borderId="1" xfId="0" applyNumberFormat="1" applyFont="1" applyFill="1" applyBorder="1" applyAlignment="1">
      <alignment horizontal="center" vertical="center" wrapText="1"/>
    </xf>
    <xf numFmtId="0" fontId="8" fillId="2" borderId="1" xfId="0" applyFont="1" applyFill="1" applyBorder="1" applyAlignment="1">
      <alignment horizontal="center" vertical="center" wrapText="1"/>
    </xf>
    <xf numFmtId="4" fontId="8" fillId="2" borderId="1" xfId="0" applyNumberFormat="1" applyFont="1" applyFill="1" applyBorder="1" applyAlignment="1">
      <alignment horizontal="center" vertical="center" wrapText="1"/>
    </xf>
    <xf numFmtId="0" fontId="8" fillId="0" borderId="0" xfId="0" applyFont="1" applyAlignment="1">
      <alignment wrapText="1"/>
    </xf>
    <xf numFmtId="0" fontId="9" fillId="0" borderId="0" xfId="0" applyFont="1" applyAlignment="1">
      <alignment horizontal="center" vertical="center" wrapText="1"/>
    </xf>
    <xf numFmtId="4" fontId="9" fillId="0" borderId="1" xfId="0" applyNumberFormat="1" applyFont="1" applyBorder="1" applyAlignment="1">
      <alignment horizontal="center" vertical="center" wrapText="1"/>
    </xf>
    <xf numFmtId="0" fontId="9" fillId="0" borderId="0" xfId="0" applyFont="1" applyAlignment="1">
      <alignment wrapText="1"/>
    </xf>
    <xf numFmtId="0" fontId="10" fillId="2" borderId="0" xfId="0" applyFont="1" applyFill="1" applyAlignment="1">
      <alignment wrapText="1"/>
    </xf>
    <xf numFmtId="0" fontId="10" fillId="0" borderId="0" xfId="0" applyFont="1" applyAlignment="1">
      <alignment wrapText="1"/>
    </xf>
    <xf numFmtId="0" fontId="11" fillId="0" borderId="0" xfId="0" applyFont="1" applyAlignment="1">
      <alignment wrapText="1"/>
    </xf>
    <xf numFmtId="0" fontId="11" fillId="0" borderId="0" xfId="0" applyFont="1" applyAlignment="1">
      <alignment horizontal="right" wrapText="1"/>
    </xf>
    <xf numFmtId="0" fontId="9" fillId="0" borderId="1" xfId="0" applyFont="1" applyBorder="1" applyAlignment="1">
      <alignment horizontal="justify" vertical="center" wrapText="1"/>
    </xf>
    <xf numFmtId="0" fontId="8" fillId="2" borderId="1" xfId="0" applyFont="1" applyFill="1" applyBorder="1" applyAlignment="1">
      <alignment horizontal="justify" vertical="center" wrapText="1"/>
    </xf>
    <xf numFmtId="0" fontId="3" fillId="2" borderId="1" xfId="0" applyFont="1" applyFill="1" applyBorder="1" applyAlignment="1">
      <alignment horizontal="justify" vertical="center" wrapText="1"/>
    </xf>
    <xf numFmtId="0" fontId="4" fillId="2" borderId="1" xfId="0" applyFont="1" applyFill="1" applyBorder="1" applyAlignment="1">
      <alignment horizontal="justify" vertical="center" wrapText="1"/>
    </xf>
    <xf numFmtId="0" fontId="16" fillId="0" borderId="0" xfId="2" applyFont="1"/>
    <xf numFmtId="0" fontId="17" fillId="0" borderId="0" xfId="2" applyFont="1"/>
    <xf numFmtId="0" fontId="7" fillId="0" borderId="0" xfId="2" applyFont="1"/>
    <xf numFmtId="0" fontId="17" fillId="0" borderId="0" xfId="2" applyFont="1" applyAlignment="1">
      <alignment horizontal="left"/>
    </xf>
    <xf numFmtId="0" fontId="18" fillId="0" borderId="0" xfId="2" applyFont="1"/>
    <xf numFmtId="0" fontId="18" fillId="0" borderId="10" xfId="2" applyFont="1" applyBorder="1" applyAlignment="1">
      <alignment horizontal="center" vertical="center"/>
    </xf>
    <xf numFmtId="0" fontId="18" fillId="0" borderId="11" xfId="2" applyFont="1" applyBorder="1" applyAlignment="1">
      <alignment horizontal="left" vertical="center" wrapText="1"/>
    </xf>
    <xf numFmtId="0" fontId="18" fillId="0" borderId="1" xfId="2" applyFont="1" applyBorder="1" applyAlignment="1">
      <alignment horizontal="center" vertical="center"/>
    </xf>
    <xf numFmtId="0" fontId="18" fillId="0" borderId="1" xfId="2" applyFont="1" applyBorder="1" applyAlignment="1">
      <alignment horizontal="justify" vertical="center" wrapText="1"/>
    </xf>
    <xf numFmtId="0" fontId="18" fillId="0" borderId="6" xfId="2" applyFont="1" applyBorder="1" applyAlignment="1">
      <alignment horizontal="center" vertical="center" wrapText="1"/>
    </xf>
    <xf numFmtId="49" fontId="9" fillId="0" borderId="1" xfId="0" applyNumberFormat="1" applyFont="1" applyBorder="1" applyAlignment="1">
      <alignment horizontal="center" vertical="center" wrapText="1"/>
    </xf>
    <xf numFmtId="0" fontId="9" fillId="0" borderId="1" xfId="0" applyFont="1" applyBorder="1" applyAlignment="1">
      <alignment horizontal="center" vertical="center" wrapText="1"/>
    </xf>
    <xf numFmtId="0" fontId="9" fillId="0" borderId="1" xfId="0" applyFont="1" applyBorder="1" applyAlignment="1">
      <alignment vertical="center" wrapText="1"/>
    </xf>
    <xf numFmtId="0" fontId="23" fillId="0" borderId="6" xfId="2" applyFont="1" applyBorder="1" applyAlignment="1">
      <alignment horizontal="center" vertical="center"/>
    </xf>
    <xf numFmtId="14" fontId="23" fillId="0" borderId="6" xfId="2" applyNumberFormat="1" applyFont="1" applyBorder="1" applyAlignment="1">
      <alignment horizontal="center" vertical="center"/>
    </xf>
    <xf numFmtId="0" fontId="18" fillId="0" borderId="10" xfId="2" applyFont="1" applyBorder="1" applyAlignment="1">
      <alignment horizontal="center" vertical="center"/>
    </xf>
    <xf numFmtId="0" fontId="18" fillId="0" borderId="6" xfId="2" applyFont="1" applyBorder="1" applyAlignment="1">
      <alignment horizontal="center" vertical="center"/>
    </xf>
    <xf numFmtId="0" fontId="18" fillId="0" borderId="11" xfId="2" applyFont="1" applyBorder="1" applyAlignment="1">
      <alignment horizontal="left" vertical="center" wrapText="1"/>
    </xf>
    <xf numFmtId="165" fontId="25" fillId="2" borderId="0" xfId="4" applyNumberFormat="1" applyFont="1" applyFill="1"/>
    <xf numFmtId="165" fontId="26" fillId="2" borderId="0" xfId="4" applyNumberFormat="1" applyFont="1" applyFill="1" applyBorder="1" applyAlignment="1"/>
    <xf numFmtId="165" fontId="12" fillId="2" borderId="0" xfId="4" applyNumberFormat="1" applyFont="1" applyFill="1" applyBorder="1" applyAlignment="1"/>
    <xf numFmtId="166" fontId="22" fillId="2" borderId="0" xfId="6" applyNumberFormat="1" applyFont="1" applyFill="1" applyBorder="1" applyAlignment="1" applyProtection="1">
      <alignment horizontal="center" vertical="center" wrapText="1"/>
    </xf>
    <xf numFmtId="166" fontId="29" fillId="2" borderId="0" xfId="6" applyNumberFormat="1" applyFont="1" applyFill="1" applyBorder="1" applyAlignment="1" applyProtection="1">
      <alignment horizontal="center" vertical="center" wrapText="1"/>
    </xf>
    <xf numFmtId="165" fontId="32" fillId="2" borderId="0" xfId="4" applyNumberFormat="1" applyFont="1" applyFill="1" applyBorder="1"/>
    <xf numFmtId="166" fontId="22" fillId="4" borderId="24" xfId="6" applyNumberFormat="1" applyFont="1" applyFill="1" applyBorder="1" applyAlignment="1" applyProtection="1">
      <alignment horizontal="center" vertical="center" wrapText="1"/>
    </xf>
    <xf numFmtId="165" fontId="25" fillId="4" borderId="24" xfId="4" applyNumberFormat="1" applyFont="1" applyFill="1" applyBorder="1"/>
    <xf numFmtId="165" fontId="32" fillId="2" borderId="0" xfId="5" applyNumberFormat="1" applyFont="1" applyFill="1" applyBorder="1" applyAlignment="1" applyProtection="1">
      <alignment horizontal="center" vertical="center"/>
    </xf>
    <xf numFmtId="165" fontId="32" fillId="2" borderId="0" xfId="5" applyNumberFormat="1" applyFont="1" applyFill="1" applyBorder="1" applyAlignment="1" applyProtection="1">
      <alignment horizontal="center" vertical="center" wrapText="1"/>
    </xf>
    <xf numFmtId="166" fontId="33" fillId="2" borderId="0" xfId="6" applyNumberFormat="1" applyFont="1" applyFill="1" applyBorder="1" applyAlignment="1" applyProtection="1">
      <alignment horizontal="center" vertical="center" wrapText="1"/>
    </xf>
    <xf numFmtId="165" fontId="30" fillId="5" borderId="26" xfId="5" applyNumberFormat="1" applyFont="1" applyFill="1" applyBorder="1" applyAlignment="1" applyProtection="1">
      <alignment horizontal="center" vertical="center"/>
    </xf>
    <xf numFmtId="165" fontId="30" fillId="2" borderId="3" xfId="5" applyNumberFormat="1" applyFont="1" applyFill="1" applyBorder="1" applyAlignment="1" applyProtection="1">
      <alignment horizontal="center" vertical="center" wrapText="1"/>
    </xf>
    <xf numFmtId="166" fontId="22" fillId="2" borderId="3" xfId="6" applyNumberFormat="1" applyFont="1" applyFill="1" applyBorder="1" applyAlignment="1" applyProtection="1">
      <alignment horizontal="center" vertical="center" wrapText="1"/>
    </xf>
    <xf numFmtId="166" fontId="22" fillId="2" borderId="27" xfId="6" applyNumberFormat="1" applyFont="1" applyFill="1" applyBorder="1" applyAlignment="1" applyProtection="1">
      <alignment horizontal="center" vertical="center" wrapText="1"/>
    </xf>
    <xf numFmtId="165" fontId="25" fillId="2" borderId="0" xfId="4" applyNumberFormat="1" applyFont="1" applyFill="1" applyBorder="1"/>
    <xf numFmtId="165" fontId="32" fillId="2" borderId="0" xfId="4" applyNumberFormat="1" applyFont="1" applyFill="1" applyBorder="1" applyAlignment="1"/>
    <xf numFmtId="165" fontId="32" fillId="2" borderId="0" xfId="7" applyNumberFormat="1" applyFont="1" applyFill="1" applyBorder="1" applyAlignment="1" applyProtection="1">
      <alignment horizontal="left" vertical="center" wrapText="1"/>
    </xf>
    <xf numFmtId="167" fontId="32" fillId="2" borderId="0" xfId="8" applyNumberFormat="1" applyFont="1" applyFill="1" applyBorder="1" applyAlignment="1" applyProtection="1">
      <alignment horizontal="center" vertical="center"/>
    </xf>
    <xf numFmtId="165" fontId="35" fillId="5" borderId="28" xfId="7" applyNumberFormat="1" applyFont="1" applyFill="1" applyBorder="1" applyAlignment="1" applyProtection="1">
      <alignment horizontal="left" vertical="center" wrapText="1"/>
    </xf>
    <xf numFmtId="165" fontId="35" fillId="2" borderId="1" xfId="5" applyNumberFormat="1" applyFont="1" applyFill="1" applyBorder="1" applyAlignment="1" applyProtection="1">
      <alignment horizontal="center" vertical="center"/>
    </xf>
    <xf numFmtId="167" fontId="35" fillId="2" borderId="1" xfId="8" applyNumberFormat="1" applyFont="1" applyFill="1" applyBorder="1" applyAlignment="1" applyProtection="1">
      <alignment horizontal="center" vertical="center"/>
    </xf>
    <xf numFmtId="165" fontId="25" fillId="2" borderId="1" xfId="4" applyNumberFormat="1" applyFont="1" applyFill="1" applyBorder="1"/>
    <xf numFmtId="167" fontId="35" fillId="2" borderId="0" xfId="8" applyNumberFormat="1" applyFont="1" applyFill="1" applyBorder="1" applyAlignment="1" applyProtection="1">
      <alignment horizontal="center" vertical="center"/>
    </xf>
    <xf numFmtId="10" fontId="32" fillId="2" borderId="0" xfId="8" applyNumberFormat="1" applyFont="1" applyFill="1" applyBorder="1" applyAlignment="1" applyProtection="1">
      <alignment horizontal="center" vertical="center"/>
    </xf>
    <xf numFmtId="10" fontId="35" fillId="2" borderId="1" xfId="8" applyNumberFormat="1" applyFont="1" applyFill="1" applyBorder="1" applyAlignment="1" applyProtection="1">
      <alignment horizontal="center" vertical="center"/>
    </xf>
    <xf numFmtId="10" fontId="35" fillId="6" borderId="1" xfId="8" applyNumberFormat="1" applyFont="1" applyFill="1" applyBorder="1" applyAlignment="1" applyProtection="1">
      <alignment horizontal="center" vertical="center"/>
    </xf>
    <xf numFmtId="165" fontId="25" fillId="6" borderId="1" xfId="4" applyNumberFormat="1" applyFont="1" applyFill="1" applyBorder="1"/>
    <xf numFmtId="165" fontId="32" fillId="2" borderId="0" xfId="9" applyNumberFormat="1" applyFont="1" applyFill="1" applyBorder="1" applyAlignment="1">
      <alignment horizontal="center" vertical="center"/>
    </xf>
    <xf numFmtId="165" fontId="35" fillId="2" borderId="1" xfId="9" applyNumberFormat="1" applyFont="1" applyFill="1" applyBorder="1" applyAlignment="1">
      <alignment horizontal="center" vertical="center"/>
    </xf>
    <xf numFmtId="165" fontId="35" fillId="2" borderId="29" xfId="9" applyNumberFormat="1" applyFont="1" applyFill="1" applyBorder="1" applyAlignment="1">
      <alignment horizontal="center" vertical="center"/>
    </xf>
    <xf numFmtId="165" fontId="35" fillId="2" borderId="0" xfId="9" applyNumberFormat="1" applyFont="1" applyFill="1" applyBorder="1" applyAlignment="1">
      <alignment horizontal="center" vertical="center"/>
    </xf>
    <xf numFmtId="10" fontId="35" fillId="8" borderId="1" xfId="8" applyNumberFormat="1" applyFont="1" applyFill="1" applyBorder="1" applyAlignment="1" applyProtection="1">
      <alignment horizontal="center" vertical="center"/>
    </xf>
    <xf numFmtId="10" fontId="35" fillId="8" borderId="29" xfId="8" applyNumberFormat="1" applyFont="1" applyFill="1" applyBorder="1" applyAlignment="1" applyProtection="1">
      <alignment horizontal="center" vertical="center"/>
    </xf>
    <xf numFmtId="10" fontId="35" fillId="2" borderId="0" xfId="8" applyNumberFormat="1" applyFont="1" applyFill="1" applyBorder="1" applyAlignment="1" applyProtection="1">
      <alignment horizontal="center" vertical="center"/>
    </xf>
    <xf numFmtId="165" fontId="32" fillId="2" borderId="0" xfId="5" applyNumberFormat="1" applyFont="1" applyFill="1" applyBorder="1" applyAlignment="1" applyProtection="1">
      <alignment horizontal="left" vertical="center" wrapText="1"/>
    </xf>
    <xf numFmtId="165" fontId="35" fillId="5" borderId="28" xfId="5" applyNumberFormat="1" applyFont="1" applyFill="1" applyBorder="1" applyAlignment="1" applyProtection="1">
      <alignment horizontal="left" vertical="center" wrapText="1"/>
    </xf>
    <xf numFmtId="165" fontId="35" fillId="2" borderId="1" xfId="5" applyNumberFormat="1" applyFont="1" applyFill="1" applyBorder="1" applyAlignment="1" applyProtection="1">
      <alignment horizontal="center" vertical="center" wrapText="1"/>
    </xf>
    <xf numFmtId="9" fontId="35" fillId="6" borderId="1" xfId="10" applyFont="1" applyFill="1" applyBorder="1" applyAlignment="1" applyProtection="1">
      <alignment horizontal="center" vertical="center"/>
    </xf>
    <xf numFmtId="165" fontId="35" fillId="2" borderId="0" xfId="5" applyNumberFormat="1" applyFont="1" applyFill="1" applyBorder="1" applyAlignment="1" applyProtection="1">
      <alignment horizontal="center" vertical="center"/>
    </xf>
    <xf numFmtId="9" fontId="32" fillId="2" borderId="0" xfId="10" applyFont="1" applyFill="1" applyBorder="1" applyAlignment="1" applyProtection="1">
      <alignment horizontal="center" vertical="center"/>
    </xf>
    <xf numFmtId="165" fontId="32" fillId="2" borderId="0" xfId="5" applyNumberFormat="1" applyFont="1" applyFill="1" applyBorder="1" applyAlignment="1" applyProtection="1">
      <alignment horizontal="left" vertical="center"/>
    </xf>
    <xf numFmtId="168" fontId="32" fillId="2" borderId="0" xfId="5" applyNumberFormat="1" applyFont="1" applyFill="1" applyBorder="1" applyAlignment="1" applyProtection="1">
      <alignment horizontal="center" vertical="center" wrapText="1"/>
    </xf>
    <xf numFmtId="169" fontId="32" fillId="2" borderId="0" xfId="5" applyNumberFormat="1" applyFont="1" applyFill="1" applyBorder="1" applyAlignment="1" applyProtection="1">
      <alignment horizontal="center" vertical="center" wrapText="1"/>
    </xf>
    <xf numFmtId="165" fontId="35" fillId="5" borderId="23" xfId="5" applyNumberFormat="1" applyFont="1" applyFill="1" applyBorder="1" applyAlignment="1" applyProtection="1">
      <alignment horizontal="left" vertical="center" wrapText="1"/>
    </xf>
    <xf numFmtId="165" fontId="35" fillId="2" borderId="24" xfId="5" applyNumberFormat="1" applyFont="1" applyFill="1" applyBorder="1" applyAlignment="1" applyProtection="1">
      <alignment horizontal="center" vertical="center" wrapText="1"/>
    </xf>
    <xf numFmtId="167" fontId="35" fillId="2" borderId="24" xfId="8" applyNumberFormat="1" applyFont="1" applyFill="1" applyBorder="1" applyAlignment="1" applyProtection="1">
      <alignment horizontal="center" vertical="center"/>
    </xf>
    <xf numFmtId="168" fontId="35" fillId="2" borderId="24" xfId="5" applyNumberFormat="1" applyFont="1" applyFill="1" applyBorder="1" applyAlignment="1" applyProtection="1">
      <alignment horizontal="center" vertical="center" wrapText="1"/>
    </xf>
    <xf numFmtId="169" fontId="38" fillId="2" borderId="25" xfId="5" applyNumberFormat="1" applyFont="1" applyFill="1" applyBorder="1" applyAlignment="1" applyProtection="1">
      <alignment horizontal="center" vertical="center" wrapText="1"/>
    </xf>
    <xf numFmtId="168" fontId="38" fillId="2" borderId="25" xfId="5" applyNumberFormat="1" applyFont="1" applyFill="1" applyBorder="1" applyAlignment="1" applyProtection="1">
      <alignment horizontal="center" vertical="center" wrapText="1"/>
    </xf>
    <xf numFmtId="168" fontId="35" fillId="2" borderId="0" xfId="5" applyNumberFormat="1" applyFont="1" applyFill="1" applyBorder="1" applyAlignment="1" applyProtection="1">
      <alignment horizontal="center" vertical="center" wrapText="1"/>
    </xf>
    <xf numFmtId="169" fontId="25" fillId="2" borderId="0" xfId="4" applyNumberFormat="1" applyFont="1" applyFill="1"/>
    <xf numFmtId="169" fontId="38" fillId="2" borderId="0" xfId="5" applyNumberFormat="1" applyFont="1" applyFill="1" applyBorder="1" applyAlignment="1" applyProtection="1">
      <alignment horizontal="center" vertical="center" wrapText="1"/>
    </xf>
    <xf numFmtId="49" fontId="25" fillId="2" borderId="0" xfId="4" applyNumberFormat="1" applyFont="1" applyFill="1" applyAlignment="1">
      <alignment horizontal="center"/>
    </xf>
    <xf numFmtId="165" fontId="25" fillId="2" borderId="0" xfId="4" applyNumberFormat="1" applyFont="1" applyFill="1" applyAlignment="1">
      <alignment horizontal="center"/>
    </xf>
    <xf numFmtId="165" fontId="25" fillId="2" borderId="0" xfId="4" applyNumberFormat="1" applyFont="1" applyFill="1" applyAlignment="1"/>
    <xf numFmtId="49" fontId="25" fillId="0" borderId="0" xfId="4" applyNumberFormat="1" applyFont="1" applyFill="1" applyAlignment="1">
      <alignment horizontal="center"/>
    </xf>
    <xf numFmtId="165" fontId="25" fillId="0" borderId="0" xfId="4" applyNumberFormat="1" applyFont="1" applyFill="1" applyAlignment="1">
      <alignment horizontal="center"/>
    </xf>
    <xf numFmtId="165" fontId="25" fillId="0" borderId="0" xfId="4" applyNumberFormat="1" applyFont="1" applyFill="1" applyAlignment="1"/>
    <xf numFmtId="165" fontId="25" fillId="0" borderId="0" xfId="4" applyNumberFormat="1" applyFont="1" applyFill="1"/>
    <xf numFmtId="165" fontId="30" fillId="0" borderId="0" xfId="5" applyNumberFormat="1" applyFont="1" applyFill="1" applyBorder="1" applyAlignment="1" applyProtection="1">
      <alignment horizontal="center"/>
    </xf>
    <xf numFmtId="165" fontId="39" fillId="0" borderId="0" xfId="4" applyNumberFormat="1" applyFont="1" applyFill="1"/>
    <xf numFmtId="169" fontId="39" fillId="0" borderId="0" xfId="4" applyNumberFormat="1" applyFont="1" applyFill="1"/>
    <xf numFmtId="49" fontId="40" fillId="0" borderId="0" xfId="4" applyNumberFormat="1" applyFont="1" applyFill="1" applyAlignment="1">
      <alignment horizontal="center"/>
    </xf>
    <xf numFmtId="165" fontId="40" fillId="2" borderId="0" xfId="4" applyNumberFormat="1" applyFont="1" applyFill="1"/>
    <xf numFmtId="0" fontId="37" fillId="0" borderId="9" xfId="11" applyBorder="1" applyAlignment="1">
      <alignment horizontal="center" vertical="center" wrapText="1"/>
    </xf>
    <xf numFmtId="0" fontId="14" fillId="0" borderId="4" xfId="11" applyFont="1" applyBorder="1" applyAlignment="1">
      <alignment horizontal="center" vertical="center" wrapText="1"/>
    </xf>
    <xf numFmtId="165" fontId="41" fillId="0" borderId="10" xfId="6" applyNumberFormat="1" applyFont="1" applyFill="1" applyBorder="1" applyAlignment="1" applyProtection="1">
      <alignment horizontal="center" vertical="center" wrapText="1"/>
    </xf>
    <xf numFmtId="165" fontId="41" fillId="0" borderId="6" xfId="6" applyNumberFormat="1" applyFont="1" applyFill="1" applyBorder="1" applyAlignment="1" applyProtection="1">
      <alignment horizontal="center" vertical="center" wrapText="1"/>
    </xf>
    <xf numFmtId="165" fontId="41" fillId="0" borderId="11" xfId="6" applyNumberFormat="1" applyFont="1" applyFill="1" applyBorder="1" applyAlignment="1" applyProtection="1">
      <alignment horizontal="center" vertical="center" wrapText="1"/>
    </xf>
    <xf numFmtId="49" fontId="41" fillId="0" borderId="1" xfId="6" applyNumberFormat="1" applyFont="1" applyFill="1" applyBorder="1" applyAlignment="1" applyProtection="1">
      <alignment horizontal="center" vertical="center" wrapText="1"/>
    </xf>
    <xf numFmtId="0" fontId="37" fillId="0" borderId="1" xfId="11" applyBorder="1" applyAlignment="1">
      <alignment horizontal="center" vertical="center" wrapText="1"/>
    </xf>
    <xf numFmtId="165" fontId="41" fillId="0" borderId="1" xfId="6" applyNumberFormat="1" applyFont="1" applyFill="1" applyBorder="1" applyAlignment="1" applyProtection="1">
      <alignment horizontal="center" vertical="center" wrapText="1"/>
    </xf>
    <xf numFmtId="165" fontId="41" fillId="10" borderId="1" xfId="6" applyNumberFormat="1" applyFont="1" applyFill="1" applyBorder="1" applyAlignment="1" applyProtection="1">
      <alignment horizontal="center" vertical="center" wrapText="1"/>
    </xf>
    <xf numFmtId="165" fontId="41" fillId="8" borderId="1" xfId="6" applyNumberFormat="1" applyFont="1" applyFill="1" applyBorder="1" applyAlignment="1" applyProtection="1">
      <alignment horizontal="center" vertical="center" wrapText="1"/>
    </xf>
    <xf numFmtId="165" fontId="41" fillId="11" borderId="1" xfId="6" applyNumberFormat="1" applyFont="1" applyFill="1" applyBorder="1" applyAlignment="1" applyProtection="1">
      <alignment horizontal="center" vertical="center" wrapText="1"/>
    </xf>
    <xf numFmtId="0" fontId="13" fillId="0" borderId="1" xfId="6" applyFont="1" applyFill="1" applyBorder="1" applyAlignment="1">
      <alignment horizontal="center" vertical="center" wrapText="1"/>
    </xf>
    <xf numFmtId="49" fontId="30" fillId="0" borderId="10" xfId="6" applyNumberFormat="1" applyFont="1" applyFill="1" applyBorder="1" applyAlignment="1" applyProtection="1">
      <alignment horizontal="center" vertical="center" wrapText="1"/>
    </xf>
    <xf numFmtId="166" fontId="41" fillId="0" borderId="1" xfId="6" applyNumberFormat="1" applyFont="1" applyFill="1" applyBorder="1" applyAlignment="1" applyProtection="1">
      <alignment horizontal="center" vertical="center" wrapText="1"/>
    </xf>
    <xf numFmtId="166" fontId="41" fillId="0" borderId="1" xfId="6" applyNumberFormat="1" applyFont="1" applyFill="1" applyBorder="1" applyAlignment="1" applyProtection="1">
      <alignment vertical="center" wrapText="1"/>
    </xf>
    <xf numFmtId="166" fontId="13" fillId="0" borderId="1" xfId="6" applyNumberFormat="1" applyFont="1" applyFill="1" applyBorder="1" applyAlignment="1">
      <alignment horizontal="center" vertical="center" wrapText="1"/>
    </xf>
    <xf numFmtId="166" fontId="13" fillId="0" borderId="1" xfId="6" applyNumberFormat="1" applyFont="1" applyFill="1" applyBorder="1" applyAlignment="1">
      <alignment horizontal="justify" vertical="center" wrapText="1"/>
    </xf>
    <xf numFmtId="166" fontId="41" fillId="0" borderId="3" xfId="6" applyNumberFormat="1" applyFont="1" applyFill="1" applyBorder="1" applyAlignment="1" applyProtection="1">
      <alignment horizontal="center" vertical="center" wrapText="1"/>
    </xf>
    <xf numFmtId="166" fontId="41" fillId="10" borderId="3" xfId="6" applyNumberFormat="1" applyFont="1" applyFill="1" applyBorder="1" applyAlignment="1" applyProtection="1">
      <alignment horizontal="center" vertical="center" wrapText="1"/>
    </xf>
    <xf numFmtId="166" fontId="41" fillId="0" borderId="13" xfId="6" applyNumberFormat="1" applyFont="1" applyFill="1" applyBorder="1" applyAlignment="1">
      <alignment horizontal="center" vertical="center" wrapText="1"/>
    </xf>
    <xf numFmtId="166" fontId="41" fillId="11" borderId="3" xfId="6" applyNumberFormat="1" applyFont="1" applyFill="1" applyBorder="1" applyAlignment="1" applyProtection="1">
      <alignment horizontal="center" vertical="center" wrapText="1"/>
    </xf>
    <xf numFmtId="0" fontId="13" fillId="0" borderId="3" xfId="6" applyFont="1" applyFill="1" applyBorder="1" applyAlignment="1">
      <alignment horizontal="center" vertical="center" wrapText="1"/>
    </xf>
    <xf numFmtId="49" fontId="25" fillId="0" borderId="10" xfId="4" applyNumberFormat="1" applyFont="1" applyFill="1" applyBorder="1" applyAlignment="1">
      <alignment horizontal="center"/>
    </xf>
    <xf numFmtId="165" fontId="41" fillId="0" borderId="1" xfId="5" applyNumberFormat="1" applyFont="1" applyFill="1" applyBorder="1" applyAlignment="1" applyProtection="1">
      <alignment horizontal="center" vertical="center"/>
    </xf>
    <xf numFmtId="165" fontId="43" fillId="0" borderId="1" xfId="4" applyNumberFormat="1" applyFont="1" applyFill="1" applyBorder="1" applyAlignment="1">
      <alignment horizontal="left" vertical="center"/>
    </xf>
    <xf numFmtId="165" fontId="41" fillId="0" borderId="1" xfId="5" applyNumberFormat="1" applyFont="1" applyFill="1" applyBorder="1" applyAlignment="1" applyProtection="1">
      <alignment vertical="center" wrapText="1"/>
    </xf>
    <xf numFmtId="165" fontId="43" fillId="0" borderId="1" xfId="4" applyNumberFormat="1" applyFont="1" applyFill="1" applyBorder="1" applyAlignment="1">
      <alignment horizontal="center" vertical="center"/>
    </xf>
    <xf numFmtId="165" fontId="44" fillId="0" borderId="1" xfId="4" applyNumberFormat="1" applyFont="1" applyFill="1" applyBorder="1" applyAlignment="1">
      <alignment horizontal="center" vertical="center"/>
    </xf>
    <xf numFmtId="165" fontId="44" fillId="10" borderId="1" xfId="4" applyNumberFormat="1" applyFont="1" applyFill="1" applyBorder="1" applyAlignment="1">
      <alignment horizontal="center" vertical="center"/>
    </xf>
    <xf numFmtId="165" fontId="44" fillId="11" borderId="1" xfId="4" applyNumberFormat="1" applyFont="1" applyFill="1" applyBorder="1" applyAlignment="1">
      <alignment horizontal="center" vertical="center"/>
    </xf>
    <xf numFmtId="49" fontId="43" fillId="0" borderId="1" xfId="2" applyNumberFormat="1" applyFont="1" applyFill="1" applyBorder="1" applyAlignment="1">
      <alignment horizontal="left" vertical="center"/>
    </xf>
    <xf numFmtId="0" fontId="43" fillId="0" borderId="1" xfId="2" applyNumberFormat="1" applyFont="1" applyFill="1" applyBorder="1" applyAlignment="1">
      <alignment horizontal="justify" vertical="center" wrapText="1"/>
    </xf>
    <xf numFmtId="165" fontId="45" fillId="0" borderId="1" xfId="4" applyNumberFormat="1" applyFont="1" applyFill="1" applyBorder="1" applyAlignment="1">
      <alignment vertical="center" wrapText="1"/>
    </xf>
    <xf numFmtId="165" fontId="43" fillId="10" borderId="1" xfId="4" applyNumberFormat="1" applyFont="1" applyFill="1" applyBorder="1" applyAlignment="1">
      <alignment horizontal="center" vertical="center"/>
    </xf>
    <xf numFmtId="165" fontId="43" fillId="11" borderId="1" xfId="4" applyNumberFormat="1" applyFont="1" applyFill="1" applyBorder="1" applyAlignment="1">
      <alignment horizontal="center" vertical="center"/>
    </xf>
    <xf numFmtId="49" fontId="25" fillId="0" borderId="7" xfId="4" applyNumberFormat="1" applyFont="1" applyFill="1" applyBorder="1" applyAlignment="1">
      <alignment horizontal="center"/>
    </xf>
    <xf numFmtId="49" fontId="31" fillId="0" borderId="10" xfId="4" applyNumberFormat="1" applyFont="1" applyFill="1" applyBorder="1" applyAlignment="1">
      <alignment horizontal="right"/>
    </xf>
    <xf numFmtId="165" fontId="44" fillId="0" borderId="1" xfId="4" applyNumberFormat="1" applyFont="1" applyFill="1" applyBorder="1" applyAlignment="1">
      <alignment horizontal="right" vertical="center"/>
    </xf>
    <xf numFmtId="49" fontId="44" fillId="0" borderId="1" xfId="2" applyNumberFormat="1" applyFont="1" applyFill="1" applyBorder="1" applyAlignment="1">
      <alignment horizontal="right" vertical="center"/>
    </xf>
    <xf numFmtId="0" fontId="44" fillId="0" borderId="10" xfId="2" applyNumberFormat="1" applyFont="1" applyFill="1" applyBorder="1" applyAlignment="1">
      <alignment horizontal="right" vertical="center" wrapText="1"/>
    </xf>
    <xf numFmtId="0" fontId="44" fillId="0" borderId="6" xfId="2" applyNumberFormat="1" applyFont="1" applyFill="1" applyBorder="1" applyAlignment="1">
      <alignment horizontal="right" vertical="center" wrapText="1"/>
    </xf>
    <xf numFmtId="0" fontId="44" fillId="0" borderId="11" xfId="2" applyNumberFormat="1" applyFont="1" applyFill="1" applyBorder="1" applyAlignment="1">
      <alignment horizontal="right" vertical="center" wrapText="1"/>
    </xf>
    <xf numFmtId="165" fontId="44" fillId="10" borderId="1" xfId="4" applyNumberFormat="1" applyFont="1" applyFill="1" applyBorder="1" applyAlignment="1">
      <alignment horizontal="right" vertical="center"/>
    </xf>
    <xf numFmtId="165" fontId="44" fillId="11" borderId="1" xfId="4" applyNumberFormat="1" applyFont="1" applyFill="1" applyBorder="1" applyAlignment="1">
      <alignment horizontal="right" vertical="center"/>
    </xf>
    <xf numFmtId="165" fontId="31" fillId="2" borderId="0" xfId="4" applyNumberFormat="1" applyFont="1" applyFill="1" applyAlignment="1">
      <alignment horizontal="right"/>
    </xf>
    <xf numFmtId="0" fontId="45" fillId="0" borderId="1" xfId="2" applyNumberFormat="1" applyFont="1" applyFill="1" applyBorder="1" applyAlignment="1">
      <alignment horizontal="justify" vertical="center" wrapText="1"/>
    </xf>
    <xf numFmtId="165" fontId="46" fillId="0" borderId="1" xfId="4" applyNumberFormat="1" applyFont="1" applyFill="1" applyBorder="1" applyAlignment="1">
      <alignment vertical="center" wrapText="1"/>
    </xf>
    <xf numFmtId="0" fontId="43" fillId="0" borderId="1" xfId="2" applyNumberFormat="1" applyFont="1" applyFill="1" applyBorder="1" applyAlignment="1">
      <alignment horizontal="left" vertical="center" wrapText="1"/>
    </xf>
    <xf numFmtId="165" fontId="45" fillId="0" borderId="1" xfId="4" applyNumberFormat="1" applyFont="1" applyFill="1" applyBorder="1" applyAlignment="1">
      <alignment horizontal="left" vertical="center" wrapText="1"/>
    </xf>
    <xf numFmtId="165" fontId="43" fillId="8" borderId="1" xfId="4" applyNumberFormat="1" applyFont="1" applyFill="1" applyBorder="1" applyAlignment="1">
      <alignment horizontal="center" vertical="center"/>
    </xf>
    <xf numFmtId="165" fontId="43" fillId="2" borderId="1" xfId="4" applyNumberFormat="1" applyFont="1" applyFill="1" applyBorder="1" applyAlignment="1">
      <alignment horizontal="center" vertical="center"/>
    </xf>
    <xf numFmtId="165" fontId="44" fillId="8" borderId="1" xfId="4" applyNumberFormat="1" applyFont="1" applyFill="1" applyBorder="1" applyAlignment="1">
      <alignment horizontal="center" vertical="center"/>
    </xf>
    <xf numFmtId="49" fontId="41" fillId="0" borderId="1" xfId="5" applyNumberFormat="1" applyFont="1" applyFill="1" applyBorder="1" applyAlignment="1" applyProtection="1">
      <alignment horizontal="center" vertical="center"/>
    </xf>
    <xf numFmtId="165" fontId="41" fillId="2" borderId="1" xfId="4" applyNumberFormat="1" applyFont="1" applyFill="1" applyBorder="1" applyAlignment="1">
      <alignment horizontal="center" vertical="center"/>
    </xf>
    <xf numFmtId="49" fontId="43" fillId="0" borderId="1" xfId="2" applyNumberFormat="1" applyFont="1" applyFill="1" applyBorder="1" applyAlignment="1">
      <alignment horizontal="left" vertical="center" wrapText="1"/>
    </xf>
    <xf numFmtId="165" fontId="41" fillId="0" borderId="1" xfId="4" applyNumberFormat="1" applyFont="1" applyFill="1" applyBorder="1" applyAlignment="1">
      <alignment vertical="center" wrapText="1"/>
    </xf>
    <xf numFmtId="165" fontId="41" fillId="0" borderId="1" xfId="4" applyNumberFormat="1" applyFont="1" applyFill="1" applyBorder="1" applyAlignment="1">
      <alignment horizontal="center" vertical="center"/>
    </xf>
    <xf numFmtId="165" fontId="41" fillId="10" borderId="1" xfId="4" applyNumberFormat="1" applyFont="1" applyFill="1" applyBorder="1" applyAlignment="1">
      <alignment horizontal="center" vertical="center"/>
    </xf>
    <xf numFmtId="165" fontId="41" fillId="11" borderId="1" xfId="4" applyNumberFormat="1" applyFont="1" applyFill="1" applyBorder="1" applyAlignment="1">
      <alignment horizontal="center" vertical="center"/>
    </xf>
    <xf numFmtId="49" fontId="43" fillId="0" borderId="1" xfId="4" applyNumberFormat="1" applyFont="1" applyFill="1" applyBorder="1" applyAlignment="1">
      <alignment horizontal="center" vertical="center"/>
    </xf>
    <xf numFmtId="165" fontId="43" fillId="0" borderId="1" xfId="4" applyNumberFormat="1" applyFont="1" applyFill="1" applyBorder="1" applyAlignment="1">
      <alignment vertical="center"/>
    </xf>
    <xf numFmtId="165" fontId="45" fillId="0" borderId="1" xfId="5" applyNumberFormat="1" applyFont="1" applyFill="1" applyBorder="1" applyAlignment="1" applyProtection="1">
      <alignment horizontal="center" vertical="center" wrapText="1"/>
    </xf>
    <xf numFmtId="165" fontId="45" fillId="0" borderId="1" xfId="4" applyNumberFormat="1" applyFont="1" applyFill="1" applyBorder="1" applyAlignment="1">
      <alignment horizontal="center" vertical="center"/>
    </xf>
    <xf numFmtId="165" fontId="45" fillId="10" borderId="1" xfId="4" applyNumberFormat="1" applyFont="1" applyFill="1" applyBorder="1" applyAlignment="1">
      <alignment horizontal="center" vertical="center"/>
    </xf>
    <xf numFmtId="165" fontId="45" fillId="11" borderId="1" xfId="4" applyNumberFormat="1" applyFont="1" applyFill="1" applyBorder="1" applyAlignment="1">
      <alignment horizontal="center" vertical="center"/>
    </xf>
    <xf numFmtId="165" fontId="45" fillId="2" borderId="1" xfId="4" applyNumberFormat="1" applyFont="1" applyFill="1" applyBorder="1" applyAlignment="1">
      <alignment horizontal="center" vertical="center"/>
    </xf>
    <xf numFmtId="49" fontId="45" fillId="0" borderId="1" xfId="2" applyNumberFormat="1" applyFont="1" applyFill="1" applyBorder="1" applyAlignment="1">
      <alignment horizontal="left" vertical="center"/>
    </xf>
    <xf numFmtId="0" fontId="43" fillId="0" borderId="4" xfId="2" applyNumberFormat="1" applyFont="1" applyFill="1" applyBorder="1" applyAlignment="1">
      <alignment horizontal="justify" vertical="center" wrapText="1"/>
    </xf>
    <xf numFmtId="165" fontId="41" fillId="0" borderId="1" xfId="5" applyNumberFormat="1" applyFont="1" applyFill="1" applyBorder="1" applyAlignment="1" applyProtection="1">
      <alignment vertical="center"/>
    </xf>
    <xf numFmtId="165" fontId="45" fillId="0" borderId="1" xfId="5" applyNumberFormat="1" applyFont="1" applyFill="1" applyBorder="1" applyAlignment="1" applyProtection="1">
      <alignment horizontal="left" vertical="center"/>
    </xf>
    <xf numFmtId="165" fontId="41" fillId="0" borderId="1" xfId="4" applyNumberFormat="1" applyFont="1" applyFill="1" applyBorder="1" applyAlignment="1">
      <alignment horizontal="left" vertical="center" wrapText="1"/>
    </xf>
    <xf numFmtId="165" fontId="41" fillId="0" borderId="1" xfId="5" applyNumberFormat="1" applyFont="1" applyFill="1" applyBorder="1" applyAlignment="1" applyProtection="1">
      <alignment horizontal="left" vertical="center" wrapText="1"/>
    </xf>
    <xf numFmtId="0" fontId="43" fillId="0" borderId="1" xfId="2" applyNumberFormat="1" applyFont="1" applyFill="1" applyBorder="1" applyAlignment="1">
      <alignment horizontal="justify" vertical="center"/>
    </xf>
    <xf numFmtId="2" fontId="47" fillId="0" borderId="1" xfId="11" applyNumberFormat="1" applyFont="1" applyFill="1" applyBorder="1" applyAlignment="1">
      <alignment horizontal="justify" vertical="center" wrapText="1"/>
    </xf>
    <xf numFmtId="165" fontId="31" fillId="2" borderId="0" xfId="4" applyNumberFormat="1" applyFont="1" applyFill="1"/>
    <xf numFmtId="49" fontId="31" fillId="0" borderId="10" xfId="4" applyNumberFormat="1" applyFont="1" applyFill="1" applyBorder="1" applyAlignment="1">
      <alignment horizontal="center"/>
    </xf>
    <xf numFmtId="165" fontId="44" fillId="0" borderId="1" xfId="4" applyNumberFormat="1" applyFont="1" applyFill="1" applyBorder="1" applyAlignment="1">
      <alignment horizontal="left" vertical="center"/>
    </xf>
    <xf numFmtId="165" fontId="41" fillId="2" borderId="1" xfId="4" applyNumberFormat="1" applyFont="1" applyFill="1" applyBorder="1" applyAlignment="1">
      <alignment horizontal="right" vertical="center"/>
    </xf>
    <xf numFmtId="165" fontId="45" fillId="0" borderId="1" xfId="5" applyNumberFormat="1" applyFont="1" applyFill="1" applyBorder="1" applyAlignment="1" applyProtection="1">
      <alignment horizontal="center" vertical="center"/>
    </xf>
    <xf numFmtId="165" fontId="45" fillId="0" borderId="1" xfId="5" applyNumberFormat="1" applyFont="1" applyFill="1" applyBorder="1" applyAlignment="1" applyProtection="1">
      <alignment horizontal="left" vertical="center" wrapText="1"/>
    </xf>
    <xf numFmtId="49" fontId="25" fillId="0" borderId="12" xfId="4" applyNumberFormat="1" applyFont="1" applyFill="1" applyBorder="1" applyAlignment="1">
      <alignment horizontal="center"/>
    </xf>
    <xf numFmtId="49" fontId="43" fillId="2" borderId="1" xfId="2" applyNumberFormat="1" applyFont="1" applyFill="1" applyBorder="1" applyAlignment="1">
      <alignment horizontal="left" vertical="center"/>
    </xf>
    <xf numFmtId="0" fontId="43" fillId="2" borderId="1" xfId="2" applyNumberFormat="1" applyFont="1" applyFill="1" applyBorder="1" applyAlignment="1">
      <alignment horizontal="justify" vertical="center" wrapText="1"/>
    </xf>
    <xf numFmtId="165" fontId="25" fillId="11" borderId="0" xfId="4" applyNumberFormat="1" applyFont="1" applyFill="1"/>
    <xf numFmtId="49" fontId="45" fillId="11" borderId="1" xfId="2" applyNumberFormat="1" applyFont="1" applyFill="1" applyBorder="1" applyAlignment="1">
      <alignment horizontal="left" vertical="center"/>
    </xf>
    <xf numFmtId="0" fontId="44" fillId="11" borderId="1" xfId="2" applyNumberFormat="1" applyFont="1" applyFill="1" applyBorder="1" applyAlignment="1">
      <alignment horizontal="right" vertical="center" wrapText="1"/>
    </xf>
    <xf numFmtId="165" fontId="45" fillId="11" borderId="1" xfId="4" applyNumberFormat="1" applyFont="1" applyFill="1" applyBorder="1" applyAlignment="1">
      <alignment vertical="center" wrapText="1"/>
    </xf>
    <xf numFmtId="165" fontId="41" fillId="11" borderId="1" xfId="4" applyNumberFormat="1" applyFont="1" applyFill="1" applyBorder="1" applyAlignment="1">
      <alignment horizontal="right" vertical="center"/>
    </xf>
    <xf numFmtId="165" fontId="41" fillId="10" borderId="1" xfId="4" applyNumberFormat="1" applyFont="1" applyFill="1" applyBorder="1" applyAlignment="1">
      <alignment horizontal="right" vertical="center"/>
    </xf>
    <xf numFmtId="165" fontId="41" fillId="11" borderId="4" xfId="4" applyNumberFormat="1" applyFont="1" applyFill="1" applyBorder="1" applyAlignment="1">
      <alignment horizontal="center" vertical="center"/>
    </xf>
    <xf numFmtId="165" fontId="41" fillId="11" borderId="4" xfId="4" applyNumberFormat="1" applyFont="1" applyFill="1" applyBorder="1" applyAlignment="1">
      <alignment horizontal="right" vertical="center"/>
    </xf>
    <xf numFmtId="0" fontId="44" fillId="0" borderId="1" xfId="2" applyNumberFormat="1" applyFont="1" applyFill="1" applyBorder="1" applyAlignment="1">
      <alignment horizontal="justify" vertical="center" wrapText="1"/>
    </xf>
    <xf numFmtId="165" fontId="44" fillId="11" borderId="4" xfId="4" applyNumberFormat="1" applyFont="1" applyFill="1" applyBorder="1" applyAlignment="1">
      <alignment horizontal="center" vertical="center"/>
    </xf>
    <xf numFmtId="165" fontId="44" fillId="11" borderId="3" xfId="4" applyNumberFormat="1" applyFont="1" applyFill="1" applyBorder="1" applyAlignment="1">
      <alignment horizontal="center" vertical="center"/>
    </xf>
    <xf numFmtId="49" fontId="25" fillId="8" borderId="10" xfId="4" applyNumberFormat="1" applyFont="1" applyFill="1" applyBorder="1" applyAlignment="1">
      <alignment horizontal="center"/>
    </xf>
    <xf numFmtId="165" fontId="45" fillId="8" borderId="1" xfId="5" applyNumberFormat="1" applyFont="1" applyFill="1" applyBorder="1" applyAlignment="1" applyProtection="1">
      <alignment vertical="center"/>
    </xf>
    <xf numFmtId="165" fontId="41" fillId="8" borderId="1" xfId="5" applyNumberFormat="1" applyFont="1" applyFill="1" applyBorder="1" applyAlignment="1" applyProtection="1">
      <alignment horizontal="center" vertical="center" wrapText="1"/>
    </xf>
    <xf numFmtId="165" fontId="25" fillId="8" borderId="0" xfId="4" applyNumberFormat="1" applyFont="1" applyFill="1"/>
    <xf numFmtId="49" fontId="43" fillId="0" borderId="1" xfId="2" applyNumberFormat="1" applyFont="1" applyFill="1" applyBorder="1" applyAlignment="1">
      <alignment vertical="center"/>
    </xf>
    <xf numFmtId="165" fontId="45" fillId="0" borderId="1" xfId="6" applyNumberFormat="1" applyFont="1" applyFill="1" applyBorder="1" applyAlignment="1" applyProtection="1">
      <alignment horizontal="center" vertical="center" wrapText="1"/>
    </xf>
    <xf numFmtId="165" fontId="41" fillId="0" borderId="1" xfId="5" applyNumberFormat="1" applyFont="1" applyFill="1" applyBorder="1" applyAlignment="1" applyProtection="1">
      <alignment horizontal="center" vertical="center" wrapText="1"/>
    </xf>
    <xf numFmtId="49" fontId="25" fillId="12" borderId="10" xfId="4" applyNumberFormat="1" applyFont="1" applyFill="1" applyBorder="1" applyAlignment="1">
      <alignment horizontal="center"/>
    </xf>
    <xf numFmtId="165" fontId="41" fillId="12" borderId="1" xfId="5" applyNumberFormat="1" applyFont="1" applyFill="1" applyBorder="1" applyAlignment="1" applyProtection="1">
      <alignment horizontal="center" vertical="center"/>
    </xf>
    <xf numFmtId="165" fontId="41" fillId="12" borderId="1" xfId="5" applyNumberFormat="1" applyFont="1" applyFill="1" applyBorder="1" applyAlignment="1" applyProtection="1">
      <alignment vertical="center"/>
    </xf>
    <xf numFmtId="165" fontId="41" fillId="12" borderId="1" xfId="5" applyNumberFormat="1" applyFont="1" applyFill="1" applyBorder="1" applyAlignment="1" applyProtection="1">
      <alignment vertical="center" wrapText="1"/>
    </xf>
    <xf numFmtId="165" fontId="45" fillId="12" borderId="1" xfId="5" applyNumberFormat="1" applyFont="1" applyFill="1" applyBorder="1" applyAlignment="1" applyProtection="1">
      <alignment horizontal="center" vertical="center" wrapText="1"/>
    </xf>
    <xf numFmtId="165" fontId="44" fillId="12" borderId="1" xfId="4" applyNumberFormat="1" applyFont="1" applyFill="1" applyBorder="1" applyAlignment="1">
      <alignment horizontal="center" vertical="center"/>
    </xf>
    <xf numFmtId="165" fontId="25" fillId="12" borderId="0" xfId="4" applyNumberFormat="1" applyFont="1" applyFill="1"/>
    <xf numFmtId="165" fontId="48" fillId="0" borderId="1" xfId="4" applyNumberFormat="1" applyFont="1" applyFill="1" applyBorder="1" applyAlignment="1">
      <alignment vertical="center" wrapText="1"/>
    </xf>
    <xf numFmtId="165" fontId="48" fillId="0" borderId="1" xfId="5" applyNumberFormat="1" applyFont="1" applyFill="1" applyBorder="1" applyAlignment="1" applyProtection="1">
      <alignment horizontal="left" vertical="center" wrapText="1"/>
    </xf>
    <xf numFmtId="49" fontId="45" fillId="0" borderId="1" xfId="2" applyNumberFormat="1" applyFont="1" applyFill="1" applyBorder="1" applyAlignment="1">
      <alignment vertical="center"/>
    </xf>
    <xf numFmtId="49" fontId="31" fillId="12" borderId="10" xfId="4" applyNumberFormat="1" applyFont="1" applyFill="1" applyBorder="1" applyAlignment="1">
      <alignment horizontal="center"/>
    </xf>
    <xf numFmtId="49" fontId="44" fillId="12" borderId="1" xfId="4" applyNumberFormat="1" applyFont="1" applyFill="1" applyBorder="1" applyAlignment="1">
      <alignment horizontal="center" vertical="center"/>
    </xf>
    <xf numFmtId="49" fontId="41" fillId="12" borderId="1" xfId="2" applyNumberFormat="1" applyFont="1" applyFill="1" applyBorder="1" applyAlignment="1">
      <alignment vertical="center"/>
    </xf>
    <xf numFmtId="0" fontId="41" fillId="12" borderId="1" xfId="2" applyNumberFormat="1" applyFont="1" applyFill="1" applyBorder="1" applyAlignment="1">
      <alignment horizontal="justify" vertical="center" wrapText="1"/>
    </xf>
    <xf numFmtId="165" fontId="45" fillId="0" borderId="1" xfId="5" applyNumberFormat="1" applyFont="1" applyFill="1" applyBorder="1" applyAlignment="1" applyProtection="1">
      <alignment vertical="center" wrapText="1"/>
    </xf>
    <xf numFmtId="49" fontId="43" fillId="0" borderId="1" xfId="2" applyNumberFormat="1" applyFont="1" applyFill="1" applyBorder="1" applyAlignment="1">
      <alignment horizontal="justify" vertical="center"/>
    </xf>
    <xf numFmtId="165" fontId="44" fillId="12" borderId="1" xfId="4" applyNumberFormat="1" applyFont="1" applyFill="1" applyBorder="1" applyAlignment="1">
      <alignment vertical="center"/>
    </xf>
    <xf numFmtId="0" fontId="44" fillId="12" borderId="1" xfId="2" applyNumberFormat="1" applyFont="1" applyFill="1" applyBorder="1" applyAlignment="1">
      <alignment horizontal="justify" vertical="center" wrapText="1"/>
    </xf>
    <xf numFmtId="165" fontId="41" fillId="12" borderId="1" xfId="5" applyNumberFormat="1" applyFont="1" applyFill="1" applyBorder="1" applyAlignment="1" applyProtection="1">
      <alignment horizontal="center" vertical="center" wrapText="1"/>
    </xf>
    <xf numFmtId="165" fontId="31" fillId="12" borderId="0" xfId="4" applyNumberFormat="1" applyFont="1" applyFill="1"/>
    <xf numFmtId="165" fontId="43" fillId="12" borderId="1" xfId="4" applyNumberFormat="1" applyFont="1" applyFill="1" applyBorder="1" applyAlignment="1">
      <alignment vertical="center"/>
    </xf>
    <xf numFmtId="165" fontId="41" fillId="2" borderId="1" xfId="5" applyNumberFormat="1" applyFont="1" applyFill="1" applyBorder="1" applyAlignment="1" applyProtection="1">
      <alignment horizontal="center" vertical="center"/>
    </xf>
    <xf numFmtId="49" fontId="43" fillId="2" borderId="1" xfId="2" applyNumberFormat="1" applyFont="1" applyFill="1" applyBorder="1" applyAlignment="1">
      <alignment vertical="center"/>
    </xf>
    <xf numFmtId="165" fontId="41" fillId="2" borderId="1" xfId="5" applyNumberFormat="1" applyFont="1" applyFill="1" applyBorder="1" applyAlignment="1" applyProtection="1">
      <alignment vertical="center" wrapText="1"/>
    </xf>
    <xf numFmtId="49" fontId="43" fillId="2" borderId="1" xfId="4" applyNumberFormat="1" applyFont="1" applyFill="1" applyBorder="1" applyAlignment="1">
      <alignment horizontal="center" vertical="center"/>
    </xf>
    <xf numFmtId="49" fontId="43" fillId="2" borderId="1" xfId="2" applyNumberFormat="1" applyFont="1" applyFill="1" applyBorder="1" applyAlignment="1">
      <alignment horizontal="justify" vertical="center"/>
    </xf>
    <xf numFmtId="165" fontId="25" fillId="13" borderId="0" xfId="4" applyNumberFormat="1" applyFont="1" applyFill="1"/>
    <xf numFmtId="49" fontId="45" fillId="2" borderId="1" xfId="5" applyNumberFormat="1" applyFont="1" applyFill="1" applyBorder="1" applyAlignment="1" applyProtection="1">
      <alignment vertical="center"/>
    </xf>
    <xf numFmtId="0" fontId="45" fillId="2" borderId="1" xfId="2" applyNumberFormat="1" applyFont="1" applyFill="1" applyBorder="1" applyAlignment="1">
      <alignment horizontal="justify" vertical="center" wrapText="1"/>
    </xf>
    <xf numFmtId="49" fontId="43" fillId="2" borderId="1" xfId="11" applyNumberFormat="1" applyFont="1" applyFill="1" applyBorder="1" applyAlignment="1">
      <alignment horizontal="justify" vertical="center"/>
    </xf>
    <xf numFmtId="49" fontId="43" fillId="0" borderId="1" xfId="11" applyNumberFormat="1" applyFont="1" applyFill="1" applyBorder="1" applyAlignment="1">
      <alignment horizontal="justify" vertical="center"/>
    </xf>
    <xf numFmtId="165" fontId="43" fillId="8" borderId="1" xfId="4" applyNumberFormat="1" applyFont="1" applyFill="1" applyBorder="1" applyAlignment="1">
      <alignment vertical="center"/>
    </xf>
    <xf numFmtId="165" fontId="43" fillId="10" borderId="1" xfId="4" applyNumberFormat="1" applyFont="1" applyFill="1" applyBorder="1" applyAlignment="1">
      <alignment vertical="center"/>
    </xf>
    <xf numFmtId="165" fontId="43" fillId="11" borderId="1" xfId="4" applyNumberFormat="1" applyFont="1" applyFill="1" applyBorder="1" applyAlignment="1">
      <alignment vertical="center"/>
    </xf>
    <xf numFmtId="49" fontId="31" fillId="11" borderId="10" xfId="4" applyNumberFormat="1" applyFont="1" applyFill="1" applyBorder="1" applyAlignment="1">
      <alignment horizontal="center"/>
    </xf>
    <xf numFmtId="165" fontId="44" fillId="11" borderId="1" xfId="4" applyNumberFormat="1" applyFont="1" applyFill="1" applyBorder="1" applyAlignment="1">
      <alignment vertical="center"/>
    </xf>
    <xf numFmtId="165" fontId="41" fillId="11" borderId="1" xfId="5" applyNumberFormat="1" applyFont="1" applyFill="1" applyBorder="1" applyAlignment="1" applyProtection="1">
      <alignment horizontal="justify" vertical="center" wrapText="1"/>
    </xf>
    <xf numFmtId="165" fontId="41" fillId="11" borderId="1" xfId="5" applyNumberFormat="1" applyFont="1" applyFill="1" applyBorder="1" applyAlignment="1" applyProtection="1">
      <alignment horizontal="center" vertical="center" wrapText="1"/>
    </xf>
    <xf numFmtId="165" fontId="31" fillId="11" borderId="0" xfId="4" applyNumberFormat="1" applyFont="1" applyFill="1"/>
    <xf numFmtId="165" fontId="41" fillId="8" borderId="1" xfId="5" applyNumberFormat="1" applyFont="1" applyFill="1" applyBorder="1" applyAlignment="1" applyProtection="1">
      <alignment horizontal="center" vertical="center"/>
    </xf>
    <xf numFmtId="49" fontId="25" fillId="0" borderId="0" xfId="4" applyNumberFormat="1" applyFont="1" applyFill="1" applyBorder="1" applyAlignment="1">
      <alignment horizontal="center"/>
    </xf>
    <xf numFmtId="165" fontId="44" fillId="0" borderId="10" xfId="4" applyNumberFormat="1" applyFont="1" applyFill="1" applyBorder="1" applyAlignment="1">
      <alignment horizontal="center" vertical="center"/>
    </xf>
    <xf numFmtId="165" fontId="43" fillId="0" borderId="6" xfId="4" applyNumberFormat="1" applyFont="1" applyFill="1" applyBorder="1" applyAlignment="1">
      <alignment vertical="center"/>
    </xf>
    <xf numFmtId="165" fontId="41" fillId="0" borderId="11" xfId="5" applyNumberFormat="1" applyFont="1" applyFill="1" applyBorder="1" applyAlignment="1" applyProtection="1">
      <alignment horizontal="center" vertical="center"/>
    </xf>
    <xf numFmtId="49" fontId="25" fillId="14" borderId="0" xfId="4" applyNumberFormat="1" applyFont="1" applyFill="1" applyBorder="1" applyAlignment="1">
      <alignment horizontal="center"/>
    </xf>
    <xf numFmtId="165" fontId="44" fillId="14" borderId="10" xfId="4" applyNumberFormat="1" applyFont="1" applyFill="1" applyBorder="1" applyAlignment="1">
      <alignment horizontal="center" vertical="center"/>
    </xf>
    <xf numFmtId="165" fontId="43" fillId="14" borderId="6" xfId="4" applyNumberFormat="1" applyFont="1" applyFill="1" applyBorder="1" applyAlignment="1">
      <alignment vertical="center"/>
    </xf>
    <xf numFmtId="165" fontId="41" fillId="14" borderId="11" xfId="5" applyNumberFormat="1" applyFont="1" applyFill="1" applyBorder="1" applyAlignment="1" applyProtection="1">
      <alignment horizontal="center" vertical="center"/>
    </xf>
    <xf numFmtId="165" fontId="41" fillId="14" borderId="1" xfId="5" applyNumberFormat="1" applyFont="1" applyFill="1" applyBorder="1" applyAlignment="1" applyProtection="1">
      <alignment horizontal="center" vertical="center"/>
    </xf>
    <xf numFmtId="165" fontId="41" fillId="14" borderId="1" xfId="5" applyNumberFormat="1" applyFont="1" applyFill="1" applyBorder="1" applyAlignment="1" applyProtection="1">
      <alignment horizontal="center" vertical="center" wrapText="1"/>
    </xf>
    <xf numFmtId="165" fontId="44" fillId="14" borderId="1" xfId="4" applyNumberFormat="1" applyFont="1" applyFill="1" applyBorder="1" applyAlignment="1">
      <alignment horizontal="center" vertical="center"/>
    </xf>
    <xf numFmtId="165" fontId="44" fillId="13" borderId="1" xfId="4" applyNumberFormat="1" applyFont="1" applyFill="1" applyBorder="1" applyAlignment="1">
      <alignment horizontal="center" vertical="center"/>
    </xf>
    <xf numFmtId="165" fontId="25" fillId="14" borderId="0" xfId="4" applyNumberFormat="1" applyFont="1" applyFill="1"/>
    <xf numFmtId="165" fontId="25" fillId="0" borderId="1" xfId="4" applyNumberFormat="1" applyFont="1" applyFill="1" applyBorder="1" applyAlignment="1">
      <alignment wrapText="1"/>
    </xf>
    <xf numFmtId="165" fontId="25" fillId="0" borderId="1" xfId="4" applyNumberFormat="1" applyFont="1" applyFill="1" applyBorder="1" applyAlignment="1">
      <alignment horizontal="left" wrapText="1"/>
    </xf>
    <xf numFmtId="165" fontId="25" fillId="10" borderId="1" xfId="4" applyNumberFormat="1" applyFont="1" applyFill="1" applyBorder="1" applyAlignment="1">
      <alignment horizontal="left" wrapText="1"/>
    </xf>
    <xf numFmtId="165" fontId="25" fillId="0" borderId="1" xfId="4" applyNumberFormat="1" applyFont="1" applyFill="1" applyBorder="1" applyAlignment="1">
      <alignment horizontal="center" wrapText="1"/>
    </xf>
    <xf numFmtId="165" fontId="25" fillId="11" borderId="1" xfId="4" applyNumberFormat="1" applyFont="1" applyFill="1" applyBorder="1" applyAlignment="1">
      <alignment horizontal="left" wrapText="1"/>
    </xf>
    <xf numFmtId="0" fontId="14" fillId="0" borderId="1" xfId="11" applyFont="1" applyBorder="1" applyAlignment="1">
      <alignment horizontal="center" vertical="center" wrapText="1"/>
    </xf>
    <xf numFmtId="165" fontId="7" fillId="2" borderId="1" xfId="7" applyNumberFormat="1" applyFont="1" applyFill="1" applyBorder="1" applyAlignment="1" applyProtection="1">
      <alignment vertical="center" wrapText="1"/>
    </xf>
    <xf numFmtId="0" fontId="37" fillId="0" borderId="1" xfId="11" applyBorder="1" applyAlignment="1">
      <alignment vertical="center" wrapText="1"/>
    </xf>
    <xf numFmtId="0" fontId="7" fillId="0" borderId="1" xfId="11" applyFont="1" applyBorder="1" applyAlignment="1">
      <alignment horizontal="center" vertical="center" wrapText="1"/>
    </xf>
    <xf numFmtId="165" fontId="25" fillId="2" borderId="1" xfId="12" applyNumberFormat="1" applyFont="1" applyFill="1" applyBorder="1"/>
    <xf numFmtId="2" fontId="7" fillId="0" borderId="1" xfId="10" applyNumberFormat="1" applyFont="1" applyBorder="1" applyAlignment="1">
      <alignment horizontal="center" vertical="center" wrapText="1"/>
    </xf>
    <xf numFmtId="2" fontId="7" fillId="11" borderId="1" xfId="10" applyNumberFormat="1" applyFont="1" applyFill="1" applyBorder="1" applyAlignment="1">
      <alignment horizontal="center" vertical="center" wrapText="1"/>
    </xf>
    <xf numFmtId="170" fontId="7" fillId="0" borderId="1" xfId="10" applyNumberFormat="1" applyFont="1" applyBorder="1" applyAlignment="1">
      <alignment horizontal="center" vertical="center" wrapText="1"/>
    </xf>
    <xf numFmtId="165" fontId="41" fillId="8" borderId="1" xfId="5" applyNumberFormat="1" applyFont="1" applyFill="1" applyBorder="1" applyAlignment="1" applyProtection="1">
      <alignment horizontal="justify" vertical="center" wrapText="1"/>
    </xf>
    <xf numFmtId="49" fontId="25" fillId="2" borderId="0" xfId="4" applyNumberFormat="1" applyFont="1" applyFill="1" applyBorder="1" applyAlignment="1">
      <alignment horizontal="center"/>
    </xf>
    <xf numFmtId="165" fontId="43" fillId="2" borderId="0" xfId="4" applyNumberFormat="1" applyFont="1" applyFill="1" applyBorder="1" applyAlignment="1">
      <alignment horizontal="center" vertical="center"/>
    </xf>
    <xf numFmtId="165" fontId="43" fillId="2" borderId="0" xfId="4" applyNumberFormat="1" applyFont="1" applyFill="1" applyBorder="1" applyAlignment="1">
      <alignment vertical="center"/>
    </xf>
    <xf numFmtId="165" fontId="41" fillId="2" borderId="0" xfId="5" applyNumberFormat="1" applyFont="1" applyFill="1" applyBorder="1" applyAlignment="1" applyProtection="1">
      <alignment horizontal="center" vertical="center"/>
    </xf>
    <xf numFmtId="165" fontId="41" fillId="2" borderId="0" xfId="5" applyNumberFormat="1" applyFont="1" applyFill="1" applyBorder="1" applyAlignment="1" applyProtection="1">
      <alignment horizontal="center" vertical="center" wrapText="1"/>
    </xf>
    <xf numFmtId="165" fontId="44" fillId="2" borderId="0" xfId="4" applyNumberFormat="1" applyFont="1" applyFill="1" applyBorder="1" applyAlignment="1">
      <alignment horizontal="center" vertical="center"/>
    </xf>
    <xf numFmtId="165" fontId="12" fillId="2" borderId="0" xfId="4" applyNumberFormat="1" applyFont="1" applyFill="1" applyBorder="1" applyAlignment="1">
      <alignment horizontal="center" vertical="center"/>
    </xf>
    <xf numFmtId="165" fontId="43" fillId="0" borderId="17" xfId="4" applyNumberFormat="1" applyFont="1" applyFill="1" applyBorder="1" applyAlignment="1">
      <alignment horizontal="center" vertical="center"/>
    </xf>
    <xf numFmtId="165" fontId="43" fillId="0" borderId="18" xfId="4" applyNumberFormat="1" applyFont="1" applyFill="1" applyBorder="1" applyAlignment="1">
      <alignment vertical="center"/>
    </xf>
    <xf numFmtId="165" fontId="45" fillId="0" borderId="18" xfId="5" applyNumberFormat="1" applyFont="1" applyFill="1" applyBorder="1" applyAlignment="1" applyProtection="1">
      <alignment horizontal="left" vertical="center"/>
    </xf>
    <xf numFmtId="165" fontId="45" fillId="0" borderId="18" xfId="5" applyNumberFormat="1" applyFont="1" applyFill="1" applyBorder="1" applyAlignment="1" applyProtection="1">
      <alignment horizontal="center" vertical="center" wrapText="1"/>
    </xf>
    <xf numFmtId="165" fontId="43" fillId="0" borderId="18" xfId="4" applyNumberFormat="1" applyFont="1" applyFill="1" applyBorder="1" applyAlignment="1">
      <alignment horizontal="center" vertical="center"/>
    </xf>
    <xf numFmtId="165" fontId="43" fillId="0" borderId="28" xfId="4" applyNumberFormat="1" applyFont="1" applyFill="1" applyBorder="1" applyAlignment="1">
      <alignment horizontal="center" vertical="center"/>
    </xf>
    <xf numFmtId="165" fontId="41" fillId="0" borderId="1" xfId="5" applyNumberFormat="1" applyFont="1" applyFill="1" applyBorder="1" applyAlignment="1" applyProtection="1">
      <alignment horizontal="right" vertical="center" wrapText="1"/>
    </xf>
    <xf numFmtId="165" fontId="44" fillId="0" borderId="29" xfId="4" applyNumberFormat="1" applyFont="1" applyFill="1" applyBorder="1" applyAlignment="1">
      <alignment horizontal="center" vertical="center"/>
    </xf>
    <xf numFmtId="165" fontId="31" fillId="0" borderId="31" xfId="4" applyNumberFormat="1" applyFont="1" applyFill="1" applyBorder="1" applyAlignment="1">
      <alignment wrapText="1"/>
    </xf>
    <xf numFmtId="49" fontId="49" fillId="2" borderId="0" xfId="4" applyNumberFormat="1" applyFont="1" applyFill="1" applyAlignment="1">
      <alignment horizontal="center"/>
    </xf>
    <xf numFmtId="0" fontId="7" fillId="0" borderId="2" xfId="11" applyFont="1" applyFill="1" applyBorder="1" applyAlignment="1">
      <alignment horizontal="center" vertical="center" wrapText="1"/>
    </xf>
    <xf numFmtId="0" fontId="37" fillId="0" borderId="0" xfId="11" applyFill="1" applyBorder="1" applyAlignment="1">
      <alignment horizontal="center" vertical="center" wrapText="1"/>
    </xf>
    <xf numFmtId="165" fontId="49" fillId="0" borderId="0" xfId="4" applyNumberFormat="1" applyFont="1" applyFill="1"/>
    <xf numFmtId="165" fontId="49" fillId="2" borderId="0" xfId="4" applyNumberFormat="1" applyFont="1" applyFill="1"/>
    <xf numFmtId="0" fontId="37" fillId="0" borderId="9" xfId="11" applyFill="1" applyBorder="1" applyAlignment="1">
      <alignment horizontal="center" vertical="center" wrapText="1"/>
    </xf>
    <xf numFmtId="0" fontId="7" fillId="0" borderId="9" xfId="11" applyFont="1" applyFill="1" applyBorder="1" applyAlignment="1">
      <alignment horizontal="center" vertical="center" wrapText="1"/>
    </xf>
    <xf numFmtId="0" fontId="7" fillId="0" borderId="0" xfId="11" applyFont="1" applyFill="1" applyBorder="1" applyAlignment="1">
      <alignment horizontal="center" vertical="center" wrapText="1"/>
    </xf>
    <xf numFmtId="0" fontId="37" fillId="0" borderId="33" xfId="11" applyFill="1" applyBorder="1" applyAlignment="1">
      <alignment horizontal="center" vertical="center" wrapText="1"/>
    </xf>
    <xf numFmtId="0" fontId="37" fillId="0" borderId="3" xfId="11" applyFill="1" applyBorder="1" applyAlignment="1">
      <alignment horizontal="center" vertical="center" wrapText="1"/>
    </xf>
    <xf numFmtId="49" fontId="37" fillId="0" borderId="3" xfId="11" applyNumberFormat="1" applyFont="1" applyFill="1" applyBorder="1" applyAlignment="1">
      <alignment horizontal="center" vertical="center" wrapText="1"/>
    </xf>
    <xf numFmtId="0" fontId="37" fillId="0" borderId="3" xfId="11" applyFont="1" applyFill="1" applyBorder="1" applyAlignment="1">
      <alignment horizontal="center" vertical="center" wrapText="1"/>
    </xf>
    <xf numFmtId="0" fontId="37" fillId="0" borderId="13" xfId="11" applyFont="1" applyFill="1" applyBorder="1" applyAlignment="1">
      <alignment horizontal="center" vertical="center" wrapText="1"/>
    </xf>
    <xf numFmtId="0" fontId="37" fillId="0" borderId="13" xfId="11" applyFill="1" applyBorder="1" applyAlignment="1">
      <alignment horizontal="center" vertical="center" wrapText="1"/>
    </xf>
    <xf numFmtId="0" fontId="7" fillId="0" borderId="1" xfId="11" applyFont="1" applyFill="1" applyBorder="1" applyAlignment="1">
      <alignment horizontal="center" vertical="center"/>
    </xf>
    <xf numFmtId="165" fontId="25" fillId="0" borderId="1" xfId="12" applyNumberFormat="1" applyFont="1" applyFill="1" applyBorder="1"/>
    <xf numFmtId="172" fontId="7" fillId="0" borderId="1" xfId="10" applyNumberFormat="1" applyFont="1" applyFill="1" applyBorder="1" applyAlignment="1">
      <alignment horizontal="center" vertical="center" wrapText="1"/>
    </xf>
    <xf numFmtId="172" fontId="7" fillId="0" borderId="0" xfId="10" applyNumberFormat="1" applyFont="1" applyFill="1" applyBorder="1" applyAlignment="1">
      <alignment horizontal="center" vertical="center" wrapText="1"/>
    </xf>
    <xf numFmtId="0" fontId="7" fillId="0" borderId="1" xfId="11" applyFont="1" applyFill="1" applyBorder="1" applyAlignment="1">
      <alignment horizontal="center" vertical="center" wrapText="1"/>
    </xf>
    <xf numFmtId="165" fontId="25" fillId="0" borderId="1" xfId="12" applyNumberFormat="1" applyFont="1" applyFill="1" applyBorder="1" applyAlignment="1">
      <alignment horizontal="center" vertical="center"/>
    </xf>
    <xf numFmtId="165" fontId="25" fillId="0" borderId="0" xfId="12" applyNumberFormat="1" applyFont="1" applyFill="1" applyBorder="1" applyAlignment="1">
      <alignment horizontal="center" vertical="center"/>
    </xf>
    <xf numFmtId="2" fontId="7" fillId="0" borderId="1" xfId="10" applyNumberFormat="1" applyFont="1" applyFill="1" applyBorder="1" applyAlignment="1">
      <alignment horizontal="center" vertical="center" wrapText="1"/>
    </xf>
    <xf numFmtId="2" fontId="7" fillId="0" borderId="0" xfId="10" applyNumberFormat="1" applyFont="1" applyFill="1" applyBorder="1" applyAlignment="1">
      <alignment horizontal="center" vertical="center" wrapText="1"/>
    </xf>
    <xf numFmtId="2" fontId="7" fillId="0" borderId="4" xfId="10" applyNumberFormat="1" applyFont="1" applyFill="1" applyBorder="1" applyAlignment="1">
      <alignment horizontal="center" vertical="center" wrapText="1"/>
    </xf>
    <xf numFmtId="170" fontId="7" fillId="0" borderId="1" xfId="10" applyNumberFormat="1" applyFont="1" applyFill="1" applyBorder="1" applyAlignment="1">
      <alignment horizontal="center" vertical="center" wrapText="1"/>
    </xf>
    <xf numFmtId="170" fontId="7" fillId="0" borderId="0" xfId="10" applyNumberFormat="1" applyFont="1" applyFill="1" applyBorder="1" applyAlignment="1">
      <alignment horizontal="center" vertical="center" wrapText="1"/>
    </xf>
    <xf numFmtId="165" fontId="43" fillId="0" borderId="23" xfId="4" applyNumberFormat="1" applyFont="1" applyFill="1" applyBorder="1" applyAlignment="1">
      <alignment horizontal="center" vertical="center"/>
    </xf>
    <xf numFmtId="165" fontId="43" fillId="0" borderId="24" xfId="4" applyNumberFormat="1" applyFont="1" applyFill="1" applyBorder="1" applyAlignment="1">
      <alignment vertical="center"/>
    </xf>
    <xf numFmtId="165" fontId="45" fillId="0" borderId="24" xfId="5" applyNumberFormat="1" applyFont="1" applyFill="1" applyBorder="1" applyAlignment="1" applyProtection="1">
      <alignment vertical="center" wrapText="1"/>
    </xf>
    <xf numFmtId="165" fontId="41" fillId="0" borderId="25" xfId="5" applyNumberFormat="1" applyFont="1" applyFill="1" applyBorder="1" applyAlignment="1" applyProtection="1">
      <alignment horizontal="center" vertical="center" wrapText="1"/>
    </xf>
    <xf numFmtId="165" fontId="41" fillId="0" borderId="31" xfId="5" applyNumberFormat="1" applyFont="1" applyFill="1" applyBorder="1" applyAlignment="1" applyProtection="1">
      <alignment horizontal="center" vertical="center" wrapText="1"/>
    </xf>
    <xf numFmtId="165" fontId="43" fillId="0" borderId="24" xfId="4" applyNumberFormat="1" applyFont="1" applyFill="1" applyBorder="1" applyAlignment="1">
      <alignment horizontal="center" vertical="center"/>
    </xf>
    <xf numFmtId="165" fontId="43" fillId="0" borderId="34" xfId="4" applyNumberFormat="1" applyFont="1" applyFill="1" applyBorder="1" applyAlignment="1">
      <alignment horizontal="center" vertical="center"/>
    </xf>
    <xf numFmtId="165" fontId="43" fillId="0" borderId="35" xfId="4" applyNumberFormat="1" applyFont="1" applyFill="1" applyBorder="1" applyAlignment="1">
      <alignment horizontal="center" vertical="center"/>
    </xf>
    <xf numFmtId="165" fontId="43" fillId="0" borderId="36" xfId="4" applyNumberFormat="1" applyFont="1" applyFill="1" applyBorder="1" applyAlignment="1">
      <alignment horizontal="center" vertical="center"/>
    </xf>
    <xf numFmtId="165" fontId="43" fillId="0" borderId="0" xfId="4" applyNumberFormat="1" applyFont="1" applyFill="1" applyBorder="1" applyAlignment="1">
      <alignment horizontal="center" vertical="center"/>
    </xf>
    <xf numFmtId="165" fontId="43" fillId="0" borderId="37" xfId="4" applyNumberFormat="1" applyFont="1" applyFill="1" applyBorder="1" applyAlignment="1">
      <alignment horizontal="center" vertical="center"/>
    </xf>
    <xf numFmtId="165" fontId="41" fillId="0" borderId="24" xfId="5" applyNumberFormat="1" applyFont="1" applyFill="1" applyBorder="1" applyAlignment="1" applyProtection="1">
      <alignment vertical="center" wrapText="1"/>
    </xf>
    <xf numFmtId="165" fontId="44" fillId="0" borderId="23" xfId="4" applyNumberFormat="1" applyFont="1" applyFill="1" applyBorder="1" applyAlignment="1">
      <alignment horizontal="center" vertical="center"/>
    </xf>
    <xf numFmtId="165" fontId="44" fillId="0" borderId="24" xfId="4" applyNumberFormat="1" applyFont="1" applyFill="1" applyBorder="1" applyAlignment="1">
      <alignment horizontal="center" vertical="center"/>
    </xf>
    <xf numFmtId="165" fontId="44" fillId="0" borderId="38" xfId="4" applyNumberFormat="1" applyFont="1" applyFill="1" applyBorder="1" applyAlignment="1">
      <alignment horizontal="center" vertical="center"/>
    </xf>
    <xf numFmtId="165" fontId="44" fillId="0" borderId="39" xfId="4" applyNumberFormat="1" applyFont="1" applyFill="1" applyBorder="1" applyAlignment="1">
      <alignment horizontal="center" vertical="center"/>
    </xf>
    <xf numFmtId="165" fontId="44" fillId="0" borderId="40" xfId="4" applyNumberFormat="1" applyFont="1" applyFill="1" applyBorder="1" applyAlignment="1">
      <alignment horizontal="center" vertical="center"/>
    </xf>
    <xf numFmtId="165" fontId="44" fillId="0" borderId="41" xfId="4" applyNumberFormat="1" applyFont="1" applyFill="1" applyBorder="1" applyAlignment="1">
      <alignment horizontal="center" vertical="center"/>
    </xf>
    <xf numFmtId="165" fontId="44" fillId="0" borderId="15" xfId="4" applyNumberFormat="1" applyFont="1" applyFill="1" applyBorder="1" applyAlignment="1">
      <alignment horizontal="center" vertical="center"/>
    </xf>
    <xf numFmtId="165" fontId="44" fillId="0" borderId="37" xfId="4" applyNumberFormat="1" applyFont="1" applyFill="1" applyBorder="1" applyAlignment="1">
      <alignment horizontal="center" vertical="center"/>
    </xf>
    <xf numFmtId="165" fontId="44" fillId="0" borderId="0" xfId="4" applyNumberFormat="1" applyFont="1" applyFill="1" applyBorder="1" applyAlignment="1">
      <alignment horizontal="center" vertical="center"/>
    </xf>
    <xf numFmtId="165" fontId="41" fillId="2" borderId="24" xfId="5" applyNumberFormat="1" applyFont="1" applyFill="1" applyBorder="1" applyAlignment="1" applyProtection="1">
      <alignment vertical="center" wrapText="1"/>
    </xf>
    <xf numFmtId="165" fontId="44" fillId="11" borderId="24" xfId="4" applyNumberFormat="1" applyFont="1" applyFill="1" applyBorder="1" applyAlignment="1">
      <alignment horizontal="center" vertical="center"/>
    </xf>
    <xf numFmtId="165" fontId="44" fillId="0" borderId="42" xfId="4" applyNumberFormat="1" applyFont="1" applyFill="1" applyBorder="1" applyAlignment="1">
      <alignment horizontal="center" vertical="center"/>
    </xf>
    <xf numFmtId="165" fontId="44" fillId="15" borderId="24" xfId="4" applyNumberFormat="1" applyFont="1" applyFill="1" applyBorder="1" applyAlignment="1">
      <alignment horizontal="center" vertical="center"/>
    </xf>
    <xf numFmtId="165" fontId="44" fillId="15" borderId="0" xfId="4" applyNumberFormat="1" applyFont="1" applyFill="1" applyBorder="1" applyAlignment="1">
      <alignment horizontal="center" vertical="center"/>
    </xf>
    <xf numFmtId="165" fontId="25" fillId="2" borderId="0" xfId="4" applyNumberFormat="1" applyFont="1" applyFill="1" applyAlignment="1">
      <alignment wrapText="1"/>
    </xf>
    <xf numFmtId="165" fontId="25" fillId="2" borderId="1" xfId="4" applyNumberFormat="1" applyFont="1" applyFill="1" applyBorder="1" applyAlignment="1">
      <alignment horizontal="center"/>
    </xf>
    <xf numFmtId="165" fontId="25" fillId="2" borderId="1" xfId="4" applyNumberFormat="1" applyFont="1" applyFill="1" applyBorder="1" applyAlignment="1"/>
    <xf numFmtId="165" fontId="25" fillId="8" borderId="1" xfId="4" applyNumberFormat="1" applyFont="1" applyFill="1" applyBorder="1"/>
    <xf numFmtId="165" fontId="25" fillId="2" borderId="1" xfId="4" applyNumberFormat="1" applyFont="1" applyFill="1" applyBorder="1" applyAlignment="1">
      <alignment wrapText="1"/>
    </xf>
    <xf numFmtId="169" fontId="25" fillId="2" borderId="43" xfId="4" applyNumberFormat="1" applyFont="1" applyFill="1" applyBorder="1"/>
    <xf numFmtId="169" fontId="25" fillId="4" borderId="17" xfId="4" applyNumberFormat="1" applyFont="1" applyFill="1" applyBorder="1"/>
    <xf numFmtId="169" fontId="25" fillId="4" borderId="18" xfId="4" applyNumberFormat="1" applyFont="1" applyFill="1" applyBorder="1"/>
    <xf numFmtId="169" fontId="25" fillId="4" borderId="22" xfId="4" applyNumberFormat="1" applyFont="1" applyFill="1" applyBorder="1"/>
    <xf numFmtId="165" fontId="25" fillId="2" borderId="11" xfId="4" applyNumberFormat="1" applyFont="1" applyFill="1" applyBorder="1"/>
    <xf numFmtId="165" fontId="25" fillId="2" borderId="10" xfId="4" applyNumberFormat="1" applyFont="1" applyFill="1" applyBorder="1"/>
    <xf numFmtId="169" fontId="25" fillId="4" borderId="44" xfId="4" applyNumberFormat="1" applyFont="1" applyFill="1" applyBorder="1"/>
    <xf numFmtId="169" fontId="25" fillId="4" borderId="0" xfId="4" applyNumberFormat="1" applyFont="1" applyFill="1" applyBorder="1"/>
    <xf numFmtId="169" fontId="25" fillId="2" borderId="45" xfId="4" applyNumberFormat="1" applyFont="1" applyFill="1" applyBorder="1"/>
    <xf numFmtId="165" fontId="35" fillId="2" borderId="28" xfId="4" applyNumberFormat="1" applyFont="1" applyFill="1" applyBorder="1"/>
    <xf numFmtId="165" fontId="35" fillId="2" borderId="1" xfId="4" applyNumberFormat="1" applyFont="1" applyFill="1" applyBorder="1"/>
    <xf numFmtId="165" fontId="35" fillId="2" borderId="29" xfId="4" applyNumberFormat="1" applyFont="1" applyFill="1" applyBorder="1"/>
    <xf numFmtId="165" fontId="35" fillId="2" borderId="46" xfId="4" applyNumberFormat="1" applyFont="1" applyFill="1" applyBorder="1"/>
    <xf numFmtId="165" fontId="35" fillId="2" borderId="0" xfId="4" applyNumberFormat="1" applyFont="1" applyFill="1" applyBorder="1"/>
    <xf numFmtId="165" fontId="51" fillId="2" borderId="45" xfId="4" applyNumberFormat="1" applyFont="1" applyFill="1" applyBorder="1" applyAlignment="1">
      <alignment horizontal="right"/>
    </xf>
    <xf numFmtId="165" fontId="51" fillId="2" borderId="45" xfId="4" applyNumberFormat="1" applyFont="1" applyFill="1" applyBorder="1" applyAlignment="1">
      <alignment horizontal="right" wrapText="1"/>
    </xf>
    <xf numFmtId="165" fontId="25" fillId="2" borderId="45" xfId="4" applyNumberFormat="1" applyFont="1" applyFill="1" applyBorder="1"/>
    <xf numFmtId="165" fontId="25" fillId="2" borderId="28" xfId="4" applyNumberFormat="1" applyFont="1" applyFill="1" applyBorder="1"/>
    <xf numFmtId="165" fontId="25" fillId="2" borderId="29" xfId="4" applyNumberFormat="1" applyFont="1" applyFill="1" applyBorder="1"/>
    <xf numFmtId="165" fontId="25" fillId="2" borderId="46" xfId="4" applyNumberFormat="1" applyFont="1" applyFill="1" applyBorder="1"/>
    <xf numFmtId="165" fontId="25" fillId="2" borderId="47" xfId="4" applyNumberFormat="1" applyFont="1" applyFill="1" applyBorder="1" applyAlignment="1">
      <alignment wrapText="1"/>
    </xf>
    <xf numFmtId="165" fontId="25" fillId="4" borderId="48" xfId="4" applyNumberFormat="1" applyFont="1" applyFill="1" applyBorder="1"/>
    <xf numFmtId="165" fontId="25" fillId="4" borderId="4" xfId="4" applyNumberFormat="1" applyFont="1" applyFill="1" applyBorder="1"/>
    <xf numFmtId="165" fontId="25" fillId="4" borderId="49" xfId="4" applyNumberFormat="1" applyFont="1" applyFill="1" applyBorder="1"/>
    <xf numFmtId="165" fontId="25" fillId="4" borderId="0" xfId="4" applyNumberFormat="1" applyFont="1" applyFill="1" applyBorder="1"/>
    <xf numFmtId="165" fontId="25" fillId="2" borderId="38" xfId="4" applyNumberFormat="1" applyFont="1" applyFill="1" applyBorder="1"/>
    <xf numFmtId="165" fontId="25" fillId="4" borderId="50" xfId="4" applyNumberFormat="1" applyFont="1" applyFill="1" applyBorder="1"/>
    <xf numFmtId="165" fontId="25" fillId="4" borderId="39" xfId="4" applyNumberFormat="1" applyFont="1" applyFill="1" applyBorder="1"/>
    <xf numFmtId="165" fontId="25" fillId="4" borderId="51" xfId="4" applyNumberFormat="1" applyFont="1" applyFill="1" applyBorder="1"/>
    <xf numFmtId="165" fontId="25" fillId="4" borderId="52" xfId="4" applyNumberFormat="1" applyFont="1" applyFill="1" applyBorder="1"/>
    <xf numFmtId="165" fontId="25" fillId="2" borderId="38" xfId="4" applyNumberFormat="1" applyFont="1" applyFill="1" applyBorder="1" applyAlignment="1">
      <alignment wrapText="1"/>
    </xf>
    <xf numFmtId="165" fontId="25" fillId="2" borderId="50" xfId="4" applyNumberFormat="1" applyFont="1" applyFill="1" applyBorder="1"/>
    <xf numFmtId="165" fontId="25" fillId="2" borderId="39" xfId="4" applyNumberFormat="1" applyFont="1" applyFill="1" applyBorder="1"/>
    <xf numFmtId="165" fontId="25" fillId="2" borderId="51" xfId="4" applyNumberFormat="1" applyFont="1" applyFill="1" applyBorder="1"/>
    <xf numFmtId="165" fontId="25" fillId="2" borderId="52" xfId="4" applyNumberFormat="1" applyFont="1" applyFill="1" applyBorder="1"/>
    <xf numFmtId="165" fontId="41" fillId="11" borderId="1" xfId="5" applyNumberFormat="1" applyFont="1" applyFill="1" applyBorder="1" applyAlignment="1" applyProtection="1">
      <alignment horizontal="left" vertical="center" wrapText="1"/>
    </xf>
    <xf numFmtId="0" fontId="44" fillId="11" borderId="10" xfId="2" applyNumberFormat="1" applyFont="1" applyFill="1" applyBorder="1" applyAlignment="1">
      <alignment horizontal="right" vertical="center" wrapText="1"/>
    </xf>
    <xf numFmtId="4" fontId="3" fillId="2" borderId="10" xfId="0" applyNumberFormat="1" applyFont="1" applyFill="1" applyBorder="1" applyAlignment="1">
      <alignment horizontal="justify" vertical="center" wrapText="1"/>
    </xf>
    <xf numFmtId="4" fontId="3" fillId="0" borderId="0" xfId="0" applyNumberFormat="1" applyFont="1" applyAlignment="1">
      <alignment wrapText="1"/>
    </xf>
    <xf numFmtId="4" fontId="3" fillId="0" borderId="1" xfId="0" applyNumberFormat="1" applyFont="1" applyFill="1" applyBorder="1" applyAlignment="1">
      <alignment horizontal="center" vertical="center" wrapText="1"/>
    </xf>
    <xf numFmtId="4" fontId="18" fillId="0" borderId="0" xfId="2" applyNumberFormat="1" applyFont="1"/>
    <xf numFmtId="205" fontId="18" fillId="0" borderId="0" xfId="2" applyNumberFormat="1" applyFont="1"/>
    <xf numFmtId="165" fontId="25" fillId="2" borderId="1" xfId="4" applyNumberFormat="1" applyFont="1" applyFill="1" applyBorder="1" applyAlignment="1">
      <alignment horizontal="center"/>
    </xf>
    <xf numFmtId="165" fontId="12" fillId="2" borderId="0" xfId="4" applyNumberFormat="1" applyFont="1" applyFill="1" applyBorder="1" applyAlignment="1">
      <alignment horizontal="center" vertical="center"/>
    </xf>
    <xf numFmtId="165" fontId="44" fillId="0" borderId="1" xfId="4" applyNumberFormat="1" applyFont="1" applyFill="1" applyBorder="1" applyAlignment="1">
      <alignment horizontal="center" vertical="center"/>
    </xf>
    <xf numFmtId="165" fontId="45" fillId="2" borderId="1" xfId="4" applyNumberFormat="1" applyFont="1" applyFill="1" applyBorder="1" applyAlignment="1">
      <alignment horizontal="center" vertical="center"/>
    </xf>
    <xf numFmtId="165" fontId="45" fillId="0" borderId="1" xfId="5" applyNumberFormat="1" applyFont="1" applyFill="1" applyBorder="1" applyAlignment="1" applyProtection="1">
      <alignment horizontal="center" vertical="center" wrapText="1"/>
    </xf>
    <xf numFmtId="165" fontId="45" fillId="0" borderId="1" xfId="4" applyNumberFormat="1" applyFont="1" applyFill="1" applyBorder="1" applyAlignment="1">
      <alignment horizontal="left" vertical="center" wrapText="1"/>
    </xf>
    <xf numFmtId="165" fontId="43" fillId="0" borderId="1" xfId="4" applyNumberFormat="1" applyFont="1" applyFill="1" applyBorder="1" applyAlignment="1">
      <alignment horizontal="center" vertical="center"/>
    </xf>
    <xf numFmtId="49" fontId="25" fillId="0" borderId="7" xfId="4" applyNumberFormat="1" applyFont="1" applyFill="1" applyBorder="1" applyAlignment="1">
      <alignment horizontal="center"/>
    </xf>
    <xf numFmtId="49" fontId="25" fillId="0" borderId="12" xfId="4" applyNumberFormat="1" applyFont="1" applyFill="1" applyBorder="1" applyAlignment="1">
      <alignment horizontal="center"/>
    </xf>
    <xf numFmtId="165" fontId="41" fillId="0" borderId="1" xfId="5" applyNumberFormat="1" applyFont="1" applyFill="1" applyBorder="1" applyAlignment="1" applyProtection="1">
      <alignment horizontal="center" vertical="center"/>
    </xf>
    <xf numFmtId="165" fontId="41" fillId="0" borderId="1" xfId="5" applyNumberFormat="1" applyFont="1" applyFill="1" applyBorder="1" applyAlignment="1" applyProtection="1">
      <alignment horizontal="left" vertical="center" wrapText="1"/>
    </xf>
    <xf numFmtId="165" fontId="41" fillId="0" borderId="1" xfId="6" applyNumberFormat="1" applyFont="1" applyFill="1" applyBorder="1" applyAlignment="1" applyProtection="1">
      <alignment horizontal="center" vertical="center" wrapText="1"/>
    </xf>
    <xf numFmtId="49" fontId="30" fillId="0" borderId="10" xfId="6" applyNumberFormat="1" applyFont="1" applyFill="1" applyBorder="1" applyAlignment="1" applyProtection="1">
      <alignment horizontal="center" vertical="center" wrapText="1"/>
    </xf>
    <xf numFmtId="166" fontId="22" fillId="4" borderId="24" xfId="6" applyNumberFormat="1" applyFont="1" applyFill="1" applyBorder="1" applyAlignment="1" applyProtection="1">
      <alignment horizontal="center" vertical="center" wrapText="1"/>
    </xf>
    <xf numFmtId="165" fontId="31" fillId="4" borderId="21" xfId="4" applyNumberFormat="1" applyFont="1" applyFill="1" applyBorder="1" applyAlignment="1">
      <alignment horizontal="center"/>
    </xf>
    <xf numFmtId="166" fontId="29" fillId="2" borderId="0" xfId="6" applyNumberFormat="1" applyFont="1" applyFill="1" applyBorder="1" applyAlignment="1" applyProtection="1">
      <alignment horizontal="center" vertical="center" wrapText="1"/>
    </xf>
    <xf numFmtId="3" fontId="18" fillId="0" borderId="0" xfId="2" applyNumberFormat="1" applyFont="1"/>
    <xf numFmtId="0" fontId="23" fillId="0" borderId="0" xfId="2" applyFont="1"/>
    <xf numFmtId="3" fontId="23" fillId="0" borderId="0" xfId="2" applyNumberFormat="1" applyFont="1"/>
    <xf numFmtId="0" fontId="18" fillId="0" borderId="10" xfId="2" applyFont="1" applyBorder="1" applyAlignment="1">
      <alignment horizontal="center" vertical="center"/>
    </xf>
    <xf numFmtId="0" fontId="18" fillId="0" borderId="11" xfId="2" applyFont="1" applyBorder="1" applyAlignment="1">
      <alignment horizontal="left" vertical="center" wrapText="1"/>
    </xf>
    <xf numFmtId="0" fontId="232" fillId="0" borderId="0" xfId="2" applyNumberFormat="1" applyFont="1" applyBorder="1" applyAlignment="1">
      <alignment horizontal="left"/>
    </xf>
    <xf numFmtId="0" fontId="232" fillId="0" borderId="0" xfId="2" applyNumberFormat="1" applyFont="1" applyBorder="1" applyAlignment="1">
      <alignment horizontal="right"/>
    </xf>
    <xf numFmtId="0" fontId="233" fillId="0" borderId="0" xfId="2" applyNumberFormat="1" applyFont="1" applyBorder="1" applyAlignment="1">
      <alignment horizontal="left"/>
    </xf>
    <xf numFmtId="0" fontId="235" fillId="0" borderId="0" xfId="2" applyNumberFormat="1" applyFont="1" applyBorder="1" applyAlignment="1">
      <alignment horizontal="left"/>
    </xf>
    <xf numFmtId="0" fontId="236" fillId="0" borderId="0" xfId="2" applyNumberFormat="1" applyFont="1" applyBorder="1" applyAlignment="1">
      <alignment horizontal="left"/>
    </xf>
    <xf numFmtId="49" fontId="236" fillId="0" borderId="0" xfId="2" applyNumberFormat="1" applyFont="1" applyBorder="1" applyAlignment="1">
      <alignment horizontal="left" wrapText="1"/>
    </xf>
    <xf numFmtId="49" fontId="235" fillId="0" borderId="0" xfId="2" applyNumberFormat="1" applyFont="1" applyBorder="1" applyAlignment="1">
      <alignment horizontal="left" wrapText="1"/>
    </xf>
    <xf numFmtId="0" fontId="232" fillId="0" borderId="0" xfId="2" applyNumberFormat="1" applyFont="1" applyBorder="1" applyAlignment="1">
      <alignment horizontal="center" vertical="center" wrapText="1"/>
    </xf>
    <xf numFmtId="0" fontId="232" fillId="0" borderId="0" xfId="2" applyNumberFormat="1" applyFont="1" applyBorder="1" applyAlignment="1">
      <alignment horizontal="center" vertical="top"/>
    </xf>
    <xf numFmtId="0" fontId="236" fillId="0" borderId="0" xfId="2" applyNumberFormat="1" applyFont="1" applyBorder="1" applyAlignment="1">
      <alignment horizontal="left" vertical="center"/>
    </xf>
    <xf numFmtId="0" fontId="232" fillId="0" borderId="0" xfId="2" applyNumberFormat="1" applyFont="1" applyBorder="1" applyAlignment="1">
      <alignment horizontal="left" vertical="center"/>
    </xf>
    <xf numFmtId="0" fontId="16" fillId="0" borderId="0" xfId="2" applyNumberFormat="1" applyFont="1" applyBorder="1" applyAlignment="1">
      <alignment horizontal="left"/>
    </xf>
    <xf numFmtId="0" fontId="237" fillId="0" borderId="0" xfId="2" applyNumberFormat="1" applyFont="1" applyBorder="1" applyAlignment="1">
      <alignment horizontal="left" vertical="center"/>
    </xf>
    <xf numFmtId="0" fontId="238" fillId="0" borderId="0" xfId="2" applyNumberFormat="1" applyFont="1" applyBorder="1" applyAlignment="1">
      <alignment horizontal="left"/>
    </xf>
    <xf numFmtId="0" fontId="237" fillId="0" borderId="0" xfId="2" applyNumberFormat="1" applyFont="1" applyBorder="1" applyAlignment="1">
      <alignment horizontal="left"/>
    </xf>
    <xf numFmtId="0" fontId="232" fillId="0" borderId="0" xfId="2" applyNumberFormat="1" applyFont="1" applyBorder="1" applyAlignment="1">
      <alignment horizontal="center" vertical="center"/>
    </xf>
    <xf numFmtId="3" fontId="16" fillId="0" borderId="0" xfId="2" applyNumberFormat="1" applyFont="1" applyBorder="1" applyAlignment="1">
      <alignment horizontal="left"/>
    </xf>
    <xf numFmtId="0" fontId="239" fillId="0" borderId="0" xfId="2" applyNumberFormat="1" applyFont="1" applyBorder="1" applyAlignment="1">
      <alignment horizontal="left"/>
    </xf>
    <xf numFmtId="0" fontId="239" fillId="0" borderId="0" xfId="2" applyNumberFormat="1" applyFont="1" applyBorder="1" applyAlignment="1">
      <alignment horizontal="right"/>
    </xf>
    <xf numFmtId="0" fontId="17" fillId="0" borderId="0" xfId="2" applyNumberFormat="1" applyFont="1" applyBorder="1" applyAlignment="1">
      <alignment horizontal="left"/>
    </xf>
    <xf numFmtId="49" fontId="16" fillId="0" borderId="0" xfId="2" applyNumberFormat="1" applyFont="1" applyBorder="1" applyAlignment="1">
      <alignment horizontal="left" wrapText="1"/>
    </xf>
    <xf numFmtId="0" fontId="240" fillId="0" borderId="0" xfId="2" applyNumberFormat="1" applyFont="1" applyBorder="1" applyAlignment="1">
      <alignment horizontal="center" vertical="center" wrapText="1"/>
    </xf>
    <xf numFmtId="0" fontId="240" fillId="0" borderId="0" xfId="2" applyNumberFormat="1" applyFont="1" applyBorder="1" applyAlignment="1">
      <alignment horizontal="center" vertical="top"/>
    </xf>
    <xf numFmtId="0" fontId="241" fillId="0" borderId="7" xfId="2" applyNumberFormat="1" applyFont="1" applyBorder="1" applyAlignment="1">
      <alignment horizontal="left" vertical="center"/>
    </xf>
    <xf numFmtId="0" fontId="241" fillId="0" borderId="0" xfId="2" applyNumberFormat="1" applyFont="1" applyBorder="1" applyAlignment="1">
      <alignment horizontal="left" vertical="center"/>
    </xf>
    <xf numFmtId="0" fontId="241" fillId="0" borderId="32" xfId="2" applyNumberFormat="1" applyFont="1" applyBorder="1" applyAlignment="1">
      <alignment horizontal="left" vertical="center"/>
    </xf>
    <xf numFmtId="0" fontId="241" fillId="0" borderId="12" xfId="2" applyNumberFormat="1" applyFont="1" applyBorder="1" applyAlignment="1">
      <alignment horizontal="left" vertical="center"/>
    </xf>
    <xf numFmtId="0" fontId="241" fillId="0" borderId="7" xfId="2" applyNumberFormat="1" applyFont="1" applyFill="1" applyBorder="1" applyAlignment="1">
      <alignment horizontal="left" vertical="center"/>
    </xf>
    <xf numFmtId="0" fontId="241" fillId="0" borderId="0" xfId="2" applyNumberFormat="1" applyFont="1" applyFill="1" applyBorder="1" applyAlignment="1">
      <alignment horizontal="left" vertical="center"/>
    </xf>
    <xf numFmtId="0" fontId="241" fillId="0" borderId="12" xfId="2" applyNumberFormat="1" applyFont="1" applyFill="1" applyBorder="1" applyAlignment="1">
      <alignment horizontal="left" vertical="center"/>
    </xf>
    <xf numFmtId="0" fontId="241" fillId="0" borderId="10" xfId="2" applyNumberFormat="1" applyFont="1" applyFill="1" applyBorder="1" applyAlignment="1">
      <alignment horizontal="left" vertical="center"/>
    </xf>
    <xf numFmtId="0" fontId="240" fillId="0" borderId="10" xfId="2" applyNumberFormat="1" applyFont="1" applyFill="1" applyBorder="1" applyAlignment="1">
      <alignment horizontal="left" vertical="center"/>
    </xf>
    <xf numFmtId="0" fontId="240" fillId="0" borderId="0" xfId="2" applyNumberFormat="1" applyFont="1" applyFill="1" applyBorder="1" applyAlignment="1">
      <alignment horizontal="left" vertical="center"/>
    </xf>
    <xf numFmtId="0" fontId="241" fillId="0" borderId="0" xfId="2" applyNumberFormat="1" applyFont="1" applyBorder="1" applyAlignment="1">
      <alignment horizontal="left"/>
    </xf>
    <xf numFmtId="0" fontId="242" fillId="0" borderId="0" xfId="2" applyNumberFormat="1" applyFont="1" applyBorder="1" applyAlignment="1">
      <alignment horizontal="left"/>
    </xf>
    <xf numFmtId="0" fontId="240" fillId="0" borderId="0" xfId="2" applyNumberFormat="1" applyFont="1" applyBorder="1" applyAlignment="1">
      <alignment horizontal="left"/>
    </xf>
    <xf numFmtId="0" fontId="243" fillId="0" borderId="0" xfId="2" applyNumberFormat="1" applyFont="1" applyBorder="1" applyAlignment="1">
      <alignment horizontal="left"/>
    </xf>
    <xf numFmtId="0" fontId="240" fillId="0" borderId="0" xfId="2" applyNumberFormat="1" applyFont="1" applyBorder="1" applyAlignment="1">
      <alignment horizontal="left" vertical="center"/>
    </xf>
    <xf numFmtId="0" fontId="240" fillId="0" borderId="0" xfId="2" applyNumberFormat="1" applyFont="1" applyBorder="1" applyAlignment="1">
      <alignment horizontal="center" vertical="center"/>
    </xf>
    <xf numFmtId="49" fontId="240" fillId="0" borderId="0" xfId="2" applyNumberFormat="1" applyFont="1" applyBorder="1" applyAlignment="1">
      <alignment horizontal="center" vertical="center"/>
    </xf>
    <xf numFmtId="49" fontId="246" fillId="15" borderId="1" xfId="4662" applyNumberFormat="1" applyFont="1" applyFill="1" applyBorder="1" applyAlignment="1">
      <alignment horizontal="center" vertical="center"/>
    </xf>
    <xf numFmtId="49" fontId="246" fillId="5" borderId="0" xfId="4662" applyNumberFormat="1" applyFont="1" applyFill="1" applyBorder="1" applyAlignment="1">
      <alignment horizontal="center" vertical="center"/>
    </xf>
    <xf numFmtId="0" fontId="247" fillId="0" borderId="0" xfId="4662" applyFont="1"/>
    <xf numFmtId="0" fontId="9" fillId="0" borderId="0" xfId="4662" applyFont="1"/>
    <xf numFmtId="0" fontId="247" fillId="0" borderId="0" xfId="4662" applyFont="1" applyAlignment="1">
      <alignment vertical="center"/>
    </xf>
    <xf numFmtId="4" fontId="247" fillId="0" borderId="0" xfId="4662" applyNumberFormat="1" applyFont="1" applyAlignment="1">
      <alignment vertical="center"/>
    </xf>
    <xf numFmtId="4" fontId="9" fillId="0" borderId="0" xfId="4662" applyNumberFormat="1" applyFont="1" applyAlignment="1">
      <alignment horizontal="left"/>
    </xf>
    <xf numFmtId="0" fontId="9" fillId="0" borderId="0" xfId="4662" applyFont="1" applyAlignment="1">
      <alignment horizontal="left"/>
    </xf>
    <xf numFmtId="43" fontId="9" fillId="0" borderId="0" xfId="4663" applyFont="1"/>
    <xf numFmtId="43" fontId="247" fillId="0" borderId="0" xfId="4663" applyFont="1"/>
    <xf numFmtId="43" fontId="9" fillId="0" borderId="0" xfId="4662" applyNumberFormat="1" applyFont="1"/>
    <xf numFmtId="2" fontId="9" fillId="0" borderId="0" xfId="4662" applyNumberFormat="1" applyFont="1"/>
    <xf numFmtId="0" fontId="245" fillId="77" borderId="1" xfId="4662" applyFont="1" applyFill="1" applyBorder="1" applyAlignment="1">
      <alignment vertical="center"/>
    </xf>
    <xf numFmtId="0" fontId="248" fillId="0" borderId="0" xfId="4662" applyFont="1"/>
    <xf numFmtId="4" fontId="245" fillId="0" borderId="4" xfId="4664" applyNumberFormat="1" applyFont="1" applyFill="1" applyBorder="1" applyAlignment="1">
      <alignment horizontal="center" vertical="center" wrapText="1"/>
    </xf>
    <xf numFmtId="0" fontId="250" fillId="6" borderId="0" xfId="4662" applyFont="1" applyFill="1"/>
    <xf numFmtId="0" fontId="250" fillId="0" borderId="0" xfId="4662" applyFont="1"/>
    <xf numFmtId="0" fontId="251" fillId="0" borderId="0" xfId="4662" applyFont="1"/>
    <xf numFmtId="4" fontId="245" fillId="77" borderId="1" xfId="4664" applyNumberFormat="1" applyFont="1" applyFill="1" applyBorder="1" applyAlignment="1">
      <alignment horizontal="center" vertical="center" wrapText="1"/>
    </xf>
    <xf numFmtId="4" fontId="245" fillId="5" borderId="1" xfId="4664" applyNumberFormat="1" applyFont="1" applyFill="1" applyBorder="1" applyAlignment="1">
      <alignment horizontal="center" vertical="center" wrapText="1"/>
    </xf>
    <xf numFmtId="4" fontId="245" fillId="0" borderId="1" xfId="4664" applyNumberFormat="1" applyFont="1" applyFill="1" applyBorder="1" applyAlignment="1">
      <alignment horizontal="center" vertical="center" wrapText="1"/>
    </xf>
    <xf numFmtId="4" fontId="252" fillId="5" borderId="1" xfId="4664" applyNumberFormat="1" applyFont="1" applyFill="1" applyBorder="1" applyAlignment="1">
      <alignment horizontal="center" vertical="center" wrapText="1"/>
    </xf>
    <xf numFmtId="4" fontId="252" fillId="5" borderId="4" xfId="4664" applyNumberFormat="1" applyFont="1" applyFill="1" applyBorder="1" applyAlignment="1">
      <alignment horizontal="center" vertical="center" wrapText="1"/>
    </xf>
    <xf numFmtId="4" fontId="245" fillId="5" borderId="3" xfId="4664" applyNumberFormat="1" applyFont="1" applyFill="1" applyBorder="1" applyAlignment="1">
      <alignment horizontal="center" vertical="center" wrapText="1"/>
    </xf>
    <xf numFmtId="4" fontId="249" fillId="9" borderId="3" xfId="4664" applyNumberFormat="1" applyFont="1" applyFill="1" applyBorder="1" applyAlignment="1">
      <alignment horizontal="center" vertical="center" wrapText="1"/>
    </xf>
    <xf numFmtId="4" fontId="245" fillId="0" borderId="3" xfId="4664" applyNumberFormat="1" applyFont="1" applyFill="1" applyBorder="1" applyAlignment="1">
      <alignment horizontal="center" vertical="center" wrapText="1"/>
    </xf>
    <xf numFmtId="4" fontId="253" fillId="79" borderId="1" xfId="4664" applyNumberFormat="1" applyFont="1" applyFill="1" applyBorder="1" applyAlignment="1">
      <alignment horizontal="center" vertical="center" wrapText="1"/>
    </xf>
    <xf numFmtId="4" fontId="249" fillId="8" borderId="3" xfId="4664" applyNumberFormat="1" applyFont="1" applyFill="1" applyBorder="1" applyAlignment="1">
      <alignment horizontal="center" vertical="center" wrapText="1"/>
    </xf>
    <xf numFmtId="49" fontId="245" fillId="80" borderId="3" xfId="4662" applyNumberFormat="1" applyFont="1" applyFill="1" applyBorder="1" applyAlignment="1">
      <alignment horizontal="center" vertical="center" wrapText="1"/>
    </xf>
    <xf numFmtId="0" fontId="245" fillId="80" borderId="3" xfId="4662" applyNumberFormat="1" applyFont="1" applyFill="1" applyBorder="1" applyAlignment="1">
      <alignment horizontal="center" vertical="center" wrapText="1"/>
    </xf>
    <xf numFmtId="0" fontId="245" fillId="80" borderId="1" xfId="4664" applyFont="1" applyFill="1" applyBorder="1" applyAlignment="1">
      <alignment horizontal="center" vertical="center" wrapText="1"/>
    </xf>
    <xf numFmtId="3" fontId="245" fillId="80" borderId="1" xfId="4664" applyNumberFormat="1" applyFont="1" applyFill="1" applyBorder="1" applyAlignment="1">
      <alignment horizontal="center" vertical="center" wrapText="1"/>
    </xf>
    <xf numFmtId="3" fontId="245" fillId="2" borderId="1" xfId="4664" applyNumberFormat="1" applyFont="1" applyFill="1" applyBorder="1" applyAlignment="1">
      <alignment horizontal="center" vertical="center" wrapText="1"/>
    </xf>
    <xf numFmtId="3" fontId="245" fillId="79" borderId="1" xfId="4664" applyNumberFormat="1" applyFont="1" applyFill="1" applyBorder="1" applyAlignment="1">
      <alignment horizontal="center" vertical="center" wrapText="1"/>
    </xf>
    <xf numFmtId="3" fontId="245" fillId="78" borderId="1" xfId="4664" applyNumberFormat="1" applyFont="1" applyFill="1" applyBorder="1" applyAlignment="1">
      <alignment horizontal="center" vertical="center" wrapText="1"/>
    </xf>
    <xf numFmtId="3" fontId="245" fillId="0" borderId="1" xfId="4664" applyNumberFormat="1" applyFont="1" applyFill="1" applyBorder="1" applyAlignment="1">
      <alignment horizontal="center" vertical="center" wrapText="1"/>
    </xf>
    <xf numFmtId="3" fontId="245" fillId="11" borderId="1" xfId="4664" applyNumberFormat="1" applyFont="1" applyFill="1" applyBorder="1" applyAlignment="1">
      <alignment horizontal="center" vertical="center" wrapText="1"/>
    </xf>
    <xf numFmtId="0" fontId="248" fillId="2" borderId="0" xfId="4662" applyFont="1" applyFill="1"/>
    <xf numFmtId="3" fontId="245" fillId="0" borderId="3" xfId="4664" applyNumberFormat="1" applyFont="1" applyFill="1" applyBorder="1" applyAlignment="1">
      <alignment horizontal="center" vertical="center" wrapText="1"/>
    </xf>
    <xf numFmtId="0" fontId="250" fillId="2" borderId="3" xfId="4662" applyNumberFormat="1" applyFont="1" applyFill="1" applyBorder="1" applyAlignment="1">
      <alignment horizontal="center" vertical="center" wrapText="1"/>
    </xf>
    <xf numFmtId="0" fontId="250" fillId="2" borderId="1" xfId="4662" applyFont="1" applyFill="1" applyBorder="1"/>
    <xf numFmtId="4" fontId="253" fillId="6" borderId="1" xfId="4664" applyNumberFormat="1" applyFont="1" applyFill="1" applyBorder="1" applyAlignment="1">
      <alignment horizontal="center" vertical="center" wrapText="1"/>
    </xf>
    <xf numFmtId="0" fontId="250" fillId="2" borderId="0" xfId="4662" applyFont="1" applyFill="1"/>
    <xf numFmtId="0" fontId="251" fillId="2" borderId="0" xfId="4662" applyFont="1" applyFill="1"/>
    <xf numFmtId="49" fontId="254" fillId="10" borderId="1" xfId="4662" applyNumberFormat="1" applyFont="1" applyFill="1" applyBorder="1" applyAlignment="1">
      <alignment horizontal="left" vertical="center"/>
    </xf>
    <xf numFmtId="0" fontId="254" fillId="10" borderId="1" xfId="4662" applyNumberFormat="1" applyFont="1" applyFill="1" applyBorder="1" applyAlignment="1">
      <alignment horizontal="left" vertical="center" wrapText="1"/>
    </xf>
    <xf numFmtId="4" fontId="254" fillId="10" borderId="1" xfId="4665" applyNumberFormat="1" applyFont="1" applyFill="1" applyBorder="1" applyAlignment="1">
      <alignment vertical="center"/>
    </xf>
    <xf numFmtId="0" fontId="9" fillId="10" borderId="1" xfId="4662" applyFont="1" applyFill="1" applyBorder="1" applyAlignment="1">
      <alignment horizontal="left"/>
    </xf>
    <xf numFmtId="4" fontId="9" fillId="0" borderId="1" xfId="4662" applyNumberFormat="1" applyFont="1" applyBorder="1"/>
    <xf numFmtId="0" fontId="9" fillId="0" borderId="1" xfId="4662" applyFont="1" applyBorder="1"/>
    <xf numFmtId="4" fontId="22" fillId="10" borderId="1" xfId="4665" applyNumberFormat="1" applyFont="1" applyFill="1" applyBorder="1" applyAlignment="1">
      <alignment vertical="center"/>
    </xf>
    <xf numFmtId="4" fontId="245" fillId="10" borderId="1" xfId="4665" applyNumberFormat="1" applyFont="1" applyFill="1" applyBorder="1" applyAlignment="1">
      <alignment horizontal="center" vertical="center"/>
    </xf>
    <xf numFmtId="4" fontId="255" fillId="10" borderId="7" xfId="4665" applyNumberFormat="1" applyFont="1" applyFill="1" applyBorder="1" applyAlignment="1">
      <alignment vertical="center" wrapText="1"/>
    </xf>
    <xf numFmtId="4" fontId="255" fillId="10" borderId="7" xfId="4665" applyNumberFormat="1" applyFont="1" applyFill="1" applyBorder="1" applyAlignment="1">
      <alignment horizontal="center" vertical="center" wrapText="1"/>
    </xf>
    <xf numFmtId="4" fontId="255" fillId="10" borderId="1" xfId="4665" applyNumberFormat="1" applyFont="1" applyFill="1" applyBorder="1" applyAlignment="1">
      <alignment horizontal="center" vertical="center" wrapText="1"/>
    </xf>
    <xf numFmtId="0" fontId="250" fillId="0" borderId="4" xfId="4662" applyFont="1" applyBorder="1" applyAlignment="1">
      <alignment vertical="center"/>
    </xf>
    <xf numFmtId="0" fontId="259" fillId="0" borderId="0" xfId="4662" applyFont="1"/>
    <xf numFmtId="4" fontId="260" fillId="81" borderId="0" xfId="4666" applyNumberFormat="1" applyFont="1" applyFill="1" applyBorder="1" applyAlignment="1">
      <alignment horizontal="right" vertical="top" wrapText="1"/>
    </xf>
    <xf numFmtId="4" fontId="254" fillId="10" borderId="7" xfId="4665" applyNumberFormat="1" applyFont="1" applyFill="1" applyBorder="1" applyAlignment="1">
      <alignment horizontal="right" vertical="center"/>
    </xf>
    <xf numFmtId="49" fontId="247" fillId="0" borderId="1" xfId="4662" applyNumberFormat="1" applyFont="1" applyFill="1" applyBorder="1" applyAlignment="1">
      <alignment horizontal="left" vertical="center"/>
    </xf>
    <xf numFmtId="0" fontId="247" fillId="0" borderId="1" xfId="4662" applyNumberFormat="1" applyFont="1" applyFill="1" applyBorder="1" applyAlignment="1">
      <alignment horizontal="left" vertical="center" wrapText="1"/>
    </xf>
    <xf numFmtId="4" fontId="255" fillId="0" borderId="1" xfId="4662" applyNumberFormat="1" applyFont="1" applyFill="1" applyBorder="1" applyAlignment="1">
      <alignment vertical="center"/>
    </xf>
    <xf numFmtId="4" fontId="255" fillId="0" borderId="1" xfId="4667" applyNumberFormat="1" applyFont="1" applyFill="1" applyBorder="1" applyAlignment="1">
      <alignment vertical="center"/>
    </xf>
    <xf numFmtId="4" fontId="255" fillId="78" borderId="1" xfId="4662" applyNumberFormat="1" applyFont="1" applyFill="1" applyBorder="1" applyAlignment="1">
      <alignment vertical="center"/>
    </xf>
    <xf numFmtId="4" fontId="255" fillId="2" borderId="1" xfId="4662" applyNumberFormat="1" applyFont="1" applyFill="1" applyBorder="1" applyAlignment="1">
      <alignment vertical="center"/>
    </xf>
    <xf numFmtId="4" fontId="9" fillId="0" borderId="1" xfId="4662" applyNumberFormat="1" applyFont="1" applyFill="1" applyBorder="1" applyAlignment="1">
      <alignment horizontal="left" vertical="center" wrapText="1"/>
    </xf>
    <xf numFmtId="4" fontId="9" fillId="0" borderId="1" xfId="4662" applyNumberFormat="1" applyFont="1" applyFill="1" applyBorder="1"/>
    <xf numFmtId="0" fontId="9" fillId="0" borderId="1" xfId="4662" applyFont="1" applyFill="1" applyBorder="1"/>
    <xf numFmtId="4" fontId="35" fillId="0" borderId="1" xfId="4662" applyNumberFormat="1" applyFont="1" applyFill="1" applyBorder="1" applyAlignment="1">
      <alignment vertical="center"/>
    </xf>
    <xf numFmtId="0" fontId="247" fillId="0" borderId="1" xfId="4662" applyFont="1" applyFill="1" applyBorder="1" applyAlignment="1">
      <alignment horizontal="justify" vertical="center"/>
    </xf>
    <xf numFmtId="43" fontId="247" fillId="0" borderId="1" xfId="4663" applyFont="1" applyFill="1" applyBorder="1" applyAlignment="1">
      <alignment horizontal="justify" vertical="center"/>
    </xf>
    <xf numFmtId="4" fontId="247" fillId="0" borderId="1" xfId="4662" applyNumberFormat="1" applyFont="1" applyFill="1" applyBorder="1" applyAlignment="1">
      <alignment horizontal="center" vertical="center"/>
    </xf>
    <xf numFmtId="43" fontId="247" fillId="0" borderId="1" xfId="4663" applyFont="1" applyFill="1" applyBorder="1" applyAlignment="1">
      <alignment vertical="center"/>
    </xf>
    <xf numFmtId="0" fontId="9" fillId="0" borderId="0" xfId="4662" applyFont="1" applyFill="1"/>
    <xf numFmtId="0" fontId="259" fillId="0" borderId="0" xfId="4662" applyFont="1" applyFill="1"/>
    <xf numFmtId="0" fontId="247" fillId="0" borderId="0" xfId="4662" applyFont="1" applyFill="1"/>
    <xf numFmtId="49" fontId="247" fillId="2" borderId="1" xfId="4662" applyNumberFormat="1" applyFont="1" applyFill="1" applyBorder="1" applyAlignment="1">
      <alignment horizontal="left" vertical="center"/>
    </xf>
    <xf numFmtId="0" fontId="247" fillId="2" borderId="1" xfId="4662" applyNumberFormat="1" applyFont="1" applyFill="1" applyBorder="1" applyAlignment="1">
      <alignment horizontal="left" vertical="center" wrapText="1"/>
    </xf>
    <xf numFmtId="4" fontId="255" fillId="2" borderId="1" xfId="4664" applyNumberFormat="1" applyFont="1" applyFill="1" applyBorder="1" applyAlignment="1">
      <alignment vertical="center"/>
    </xf>
    <xf numFmtId="4" fontId="255" fillId="2" borderId="1" xfId="4667" applyNumberFormat="1" applyFont="1" applyFill="1" applyBorder="1" applyAlignment="1">
      <alignment vertical="center"/>
    </xf>
    <xf numFmtId="4" fontId="247" fillId="0" borderId="0" xfId="4662" applyNumberFormat="1" applyFont="1" applyFill="1" applyBorder="1"/>
    <xf numFmtId="4" fontId="9" fillId="2" borderId="1" xfId="4662" applyNumberFormat="1" applyFont="1" applyFill="1" applyBorder="1" applyAlignment="1">
      <alignment horizontal="left" vertical="center" wrapText="1"/>
    </xf>
    <xf numFmtId="0" fontId="17" fillId="2" borderId="1" xfId="4662" applyFont="1" applyFill="1" applyBorder="1" applyAlignment="1">
      <alignment horizontal="left" vertical="top" wrapText="1"/>
    </xf>
    <xf numFmtId="4" fontId="35" fillId="2" borderId="1" xfId="4662" applyNumberFormat="1" applyFont="1" applyFill="1" applyBorder="1" applyAlignment="1">
      <alignment vertical="center"/>
    </xf>
    <xf numFmtId="0" fontId="247" fillId="0" borderId="1" xfId="4662" applyFont="1" applyBorder="1" applyAlignment="1">
      <alignment horizontal="justify" vertical="center"/>
    </xf>
    <xf numFmtId="43" fontId="247" fillId="0" borderId="1" xfId="4663" applyFont="1" applyBorder="1" applyAlignment="1">
      <alignment vertical="center"/>
    </xf>
    <xf numFmtId="43" fontId="261" fillId="0" borderId="1" xfId="4663" applyFont="1" applyBorder="1" applyAlignment="1">
      <alignment horizontal="justify" vertical="center"/>
    </xf>
    <xf numFmtId="49" fontId="246" fillId="0" borderId="1" xfId="4662" applyNumberFormat="1" applyFont="1" applyFill="1" applyBorder="1" applyAlignment="1">
      <alignment horizontal="left" vertical="center"/>
    </xf>
    <xf numFmtId="0" fontId="246" fillId="0" borderId="1" xfId="4662" applyNumberFormat="1" applyFont="1" applyFill="1" applyBorder="1" applyAlignment="1">
      <alignment horizontal="left" vertical="center" wrapText="1"/>
    </xf>
    <xf numFmtId="4" fontId="254" fillId="2" borderId="1" xfId="4665" applyNumberFormat="1" applyFont="1" applyFill="1" applyBorder="1" applyAlignment="1">
      <alignment vertical="center"/>
    </xf>
    <xf numFmtId="4" fontId="254" fillId="0" borderId="1" xfId="4665" applyNumberFormat="1" applyFont="1" applyFill="1" applyBorder="1" applyAlignment="1">
      <alignment vertical="center"/>
    </xf>
    <xf numFmtId="4" fontId="254" fillId="78" borderId="1" xfId="4665" applyNumberFormat="1" applyFont="1" applyFill="1" applyBorder="1" applyAlignment="1">
      <alignment vertical="center"/>
    </xf>
    <xf numFmtId="0" fontId="246" fillId="0" borderId="0" xfId="4662" applyFont="1" applyFill="1"/>
    <xf numFmtId="4" fontId="254" fillId="0" borderId="1" xfId="4665" applyNumberFormat="1" applyFont="1" applyFill="1" applyBorder="1" applyAlignment="1">
      <alignment horizontal="right" vertical="center"/>
    </xf>
    <xf numFmtId="4" fontId="262" fillId="2" borderId="1" xfId="4662" applyNumberFormat="1" applyFont="1" applyFill="1" applyBorder="1" applyAlignment="1">
      <alignment horizontal="left" vertical="center" wrapText="1"/>
    </xf>
    <xf numFmtId="4" fontId="262" fillId="0" borderId="1" xfId="4662" applyNumberFormat="1" applyFont="1" applyBorder="1"/>
    <xf numFmtId="0" fontId="262" fillId="0" borderId="1" xfId="4662" applyFont="1" applyFill="1" applyBorder="1"/>
    <xf numFmtId="4" fontId="30" fillId="2" borderId="1" xfId="4665" applyNumberFormat="1" applyFont="1" applyFill="1" applyBorder="1" applyAlignment="1">
      <alignment vertical="center"/>
    </xf>
    <xf numFmtId="4" fontId="247" fillId="0" borderId="1" xfId="4662" applyNumberFormat="1" applyFont="1" applyBorder="1" applyAlignment="1">
      <alignment horizontal="center" vertical="center"/>
    </xf>
    <xf numFmtId="0" fontId="262" fillId="0" borderId="0" xfId="4662" applyFont="1" applyFill="1"/>
    <xf numFmtId="0" fontId="263" fillId="0" borderId="0" xfId="4662" applyFont="1" applyFill="1"/>
    <xf numFmtId="4" fontId="255" fillId="2" borderId="4" xfId="4662" applyNumberFormat="1" applyFont="1" applyFill="1" applyBorder="1" applyAlignment="1">
      <alignment vertical="center"/>
    </xf>
    <xf numFmtId="4" fontId="255" fillId="2" borderId="4" xfId="4662" applyNumberFormat="1" applyFont="1" applyFill="1" applyBorder="1" applyAlignment="1">
      <alignment horizontal="right" vertical="center"/>
    </xf>
    <xf numFmtId="4" fontId="255" fillId="2" borderId="4" xfId="4667" applyNumberFormat="1" applyFont="1" applyFill="1" applyBorder="1" applyAlignment="1">
      <alignment horizontal="right" vertical="center"/>
    </xf>
    <xf numFmtId="4" fontId="255" fillId="0" borderId="4" xfId="4662" applyNumberFormat="1" applyFont="1" applyFill="1" applyBorder="1" applyAlignment="1">
      <alignment vertical="center"/>
    </xf>
    <xf numFmtId="4" fontId="255" fillId="78" borderId="4" xfId="4662" applyNumberFormat="1" applyFont="1" applyFill="1" applyBorder="1" applyAlignment="1">
      <alignment vertical="center"/>
    </xf>
    <xf numFmtId="4" fontId="255" fillId="0" borderId="4" xfId="4662" applyNumberFormat="1" applyFont="1" applyFill="1" applyBorder="1" applyAlignment="1">
      <alignment horizontal="right" vertical="center"/>
    </xf>
    <xf numFmtId="4" fontId="35" fillId="2" borderId="4" xfId="4662" applyNumberFormat="1" applyFont="1" applyFill="1" applyBorder="1" applyAlignment="1">
      <alignment horizontal="right" vertical="center"/>
    </xf>
    <xf numFmtId="4" fontId="247" fillId="0" borderId="0" xfId="4662" applyNumberFormat="1" applyFont="1"/>
    <xf numFmtId="4" fontId="247" fillId="10" borderId="0" xfId="4662" applyNumberFormat="1" applyFont="1" applyFill="1" applyAlignment="1">
      <alignment vertical="center"/>
    </xf>
    <xf numFmtId="4" fontId="9" fillId="0" borderId="0" xfId="4662" applyNumberFormat="1" applyFont="1" applyFill="1"/>
    <xf numFmtId="4" fontId="259" fillId="0" borderId="0" xfId="4662" applyNumberFormat="1" applyFont="1"/>
    <xf numFmtId="4" fontId="255" fillId="8" borderId="1" xfId="4662" applyNumberFormat="1" applyFont="1" applyFill="1" applyBorder="1" applyAlignment="1">
      <alignment vertical="center"/>
    </xf>
    <xf numFmtId="0" fontId="247" fillId="0" borderId="0" xfId="4662" applyFont="1" applyFill="1" applyAlignment="1">
      <alignment vertical="center"/>
    </xf>
    <xf numFmtId="4" fontId="259" fillId="0" borderId="0" xfId="4662" applyNumberFormat="1" applyFont="1" applyFill="1"/>
    <xf numFmtId="4" fontId="247" fillId="2" borderId="1" xfId="4662" applyNumberFormat="1" applyFont="1" applyFill="1" applyBorder="1" applyAlignment="1">
      <alignment vertical="center"/>
    </xf>
    <xf numFmtId="4" fontId="247" fillId="2" borderId="1" xfId="4668" applyNumberFormat="1" applyFont="1" applyFill="1" applyBorder="1" applyAlignment="1">
      <alignment vertical="center"/>
    </xf>
    <xf numFmtId="4" fontId="247" fillId="0" borderId="1" xfId="4662" applyNumberFormat="1" applyFont="1" applyFill="1" applyBorder="1" applyAlignment="1">
      <alignment vertical="center"/>
    </xf>
    <xf numFmtId="4" fontId="25" fillId="2" borderId="1" xfId="4662" applyNumberFormat="1" applyFont="1" applyFill="1" applyBorder="1" applyAlignment="1">
      <alignment vertical="center"/>
    </xf>
    <xf numFmtId="4" fontId="254" fillId="10" borderId="1" xfId="4662" applyNumberFormat="1" applyFont="1" applyFill="1" applyBorder="1" applyAlignment="1">
      <alignment vertical="center" wrapText="1"/>
    </xf>
    <xf numFmtId="0" fontId="247" fillId="10" borderId="0" xfId="4662" applyFont="1" applyFill="1" applyAlignment="1">
      <alignment vertical="center"/>
    </xf>
    <xf numFmtId="4" fontId="22" fillId="10" borderId="1" xfId="4662" applyNumberFormat="1" applyFont="1" applyFill="1" applyBorder="1" applyAlignment="1">
      <alignment vertical="center" wrapText="1"/>
    </xf>
    <xf numFmtId="49" fontId="264" fillId="0" borderId="6" xfId="4662" applyNumberFormat="1" applyFont="1" applyFill="1" applyBorder="1" applyAlignment="1">
      <alignment horizontal="left" vertical="center"/>
    </xf>
    <xf numFmtId="0" fontId="247" fillId="0" borderId="1" xfId="4662" applyFont="1" applyFill="1" applyBorder="1" applyAlignment="1">
      <alignment horizontal="left"/>
    </xf>
    <xf numFmtId="4" fontId="255" fillId="0" borderId="1" xfId="4665" applyNumberFormat="1" applyFont="1" applyFill="1" applyBorder="1" applyAlignment="1">
      <alignment vertical="center"/>
    </xf>
    <xf numFmtId="4" fontId="247" fillId="78" borderId="1" xfId="4662" applyNumberFormat="1" applyFont="1" applyFill="1" applyBorder="1" applyAlignment="1">
      <alignment vertical="center"/>
    </xf>
    <xf numFmtId="0" fontId="9" fillId="0" borderId="1" xfId="4662" applyFont="1" applyFill="1" applyBorder="1" applyAlignment="1">
      <alignment horizontal="left"/>
    </xf>
    <xf numFmtId="4" fontId="9" fillId="2" borderId="1" xfId="4662" applyNumberFormat="1" applyFont="1" applyFill="1" applyBorder="1" applyAlignment="1">
      <alignment vertical="center"/>
    </xf>
    <xf numFmtId="4" fontId="254" fillId="10" borderId="1" xfId="4662" applyNumberFormat="1" applyFont="1" applyFill="1" applyBorder="1" applyAlignment="1">
      <alignment horizontal="right" vertical="center" wrapText="1"/>
    </xf>
    <xf numFmtId="4" fontId="255" fillId="0" borderId="1" xfId="4664" applyNumberFormat="1" applyFont="1" applyFill="1" applyBorder="1" applyAlignment="1">
      <alignment vertical="center"/>
    </xf>
    <xf numFmtId="4" fontId="255" fillId="0" borderId="1" xfId="4662" applyNumberFormat="1" applyFont="1" applyFill="1" applyBorder="1" applyAlignment="1">
      <alignment horizontal="right" vertical="center"/>
    </xf>
    <xf numFmtId="4" fontId="9" fillId="0" borderId="1" xfId="4662" applyNumberFormat="1" applyFont="1" applyFill="1" applyBorder="1" applyAlignment="1">
      <alignment vertical="center"/>
    </xf>
    <xf numFmtId="4" fontId="247" fillId="0" borderId="1" xfId="4668" applyNumberFormat="1" applyFont="1" applyFill="1" applyBorder="1" applyAlignment="1">
      <alignment vertical="center"/>
    </xf>
    <xf numFmtId="4" fontId="254" fillId="8" borderId="1" xfId="4662" applyNumberFormat="1" applyFont="1" applyFill="1" applyBorder="1" applyAlignment="1">
      <alignment vertical="center" wrapText="1"/>
    </xf>
    <xf numFmtId="0" fontId="255" fillId="0" borderId="0" xfId="4662" applyFont="1" applyFill="1" applyAlignment="1">
      <alignment vertical="center"/>
    </xf>
    <xf numFmtId="4" fontId="255" fillId="2" borderId="1" xfId="4668" applyNumberFormat="1" applyFont="1" applyFill="1" applyBorder="1" applyAlignment="1">
      <alignment vertical="center"/>
    </xf>
    <xf numFmtId="4" fontId="247" fillId="0" borderId="0" xfId="4662" applyNumberFormat="1" applyFont="1" applyFill="1"/>
    <xf numFmtId="49" fontId="255" fillId="2" borderId="1" xfId="4662" applyNumberFormat="1" applyFont="1" applyFill="1" applyBorder="1" applyAlignment="1">
      <alignment horizontal="left" vertical="center"/>
    </xf>
    <xf numFmtId="0" fontId="255" fillId="0" borderId="1" xfId="4662" applyNumberFormat="1" applyFont="1" applyFill="1" applyBorder="1" applyAlignment="1">
      <alignment horizontal="left" vertical="center" wrapText="1"/>
    </xf>
    <xf numFmtId="0" fontId="255" fillId="0" borderId="0" xfId="4662" applyFont="1" applyFill="1"/>
    <xf numFmtId="0" fontId="17" fillId="0" borderId="1" xfId="4662" applyFont="1" applyFill="1" applyBorder="1"/>
    <xf numFmtId="0" fontId="17" fillId="0" borderId="0" xfId="4662" applyFont="1" applyFill="1"/>
    <xf numFmtId="0" fontId="265" fillId="0" borderId="0" xfId="4662" applyFont="1" applyFill="1"/>
    <xf numFmtId="4" fontId="255" fillId="0" borderId="1" xfId="4668" applyNumberFormat="1" applyFont="1" applyFill="1" applyBorder="1" applyAlignment="1">
      <alignment vertical="center"/>
    </xf>
    <xf numFmtId="0" fontId="17" fillId="0" borderId="1" xfId="4662" applyFont="1" applyFill="1" applyBorder="1" applyAlignment="1">
      <alignment horizontal="left" vertical="top" wrapText="1"/>
    </xf>
    <xf numFmtId="0" fontId="255" fillId="0" borderId="1" xfId="4662" applyNumberFormat="1" applyFont="1" applyFill="1" applyBorder="1" applyAlignment="1">
      <alignment horizontal="left" vertical="top" wrapText="1"/>
    </xf>
    <xf numFmtId="49" fontId="266" fillId="8" borderId="1" xfId="4662" applyNumberFormat="1" applyFont="1" applyFill="1" applyBorder="1" applyAlignment="1">
      <alignment horizontal="left" vertical="center"/>
    </xf>
    <xf numFmtId="0" fontId="266" fillId="8" borderId="1" xfId="4662" applyNumberFormat="1" applyFont="1" applyFill="1" applyBorder="1" applyAlignment="1">
      <alignment horizontal="left" vertical="center" wrapText="1"/>
    </xf>
    <xf numFmtId="4" fontId="255" fillId="12" borderId="1" xfId="4662" applyNumberFormat="1" applyFont="1" applyFill="1" applyBorder="1" applyAlignment="1">
      <alignment vertical="center"/>
    </xf>
    <xf numFmtId="0" fontId="255" fillId="2" borderId="1" xfId="4662" applyNumberFormat="1" applyFont="1" applyFill="1" applyBorder="1" applyAlignment="1">
      <alignment horizontal="left" vertical="center" wrapText="1"/>
    </xf>
    <xf numFmtId="0" fontId="255" fillId="2" borderId="0" xfId="4662" applyFont="1" applyFill="1"/>
    <xf numFmtId="4" fontId="17" fillId="2" borderId="1" xfId="4662" applyNumberFormat="1" applyFont="1" applyFill="1" applyBorder="1" applyAlignment="1">
      <alignment horizontal="left" vertical="center" wrapText="1"/>
    </xf>
    <xf numFmtId="0" fontId="17" fillId="2" borderId="1" xfId="4662" applyFont="1" applyFill="1" applyBorder="1"/>
    <xf numFmtId="0" fontId="17" fillId="2" borderId="0" xfId="4662" applyFont="1" applyFill="1"/>
    <xf numFmtId="0" fontId="265" fillId="2" borderId="0" xfId="4662" applyFont="1" applyFill="1"/>
    <xf numFmtId="0" fontId="255" fillId="2" borderId="0" xfId="4662" applyFont="1" applyFill="1" applyAlignment="1">
      <alignment vertical="center"/>
    </xf>
    <xf numFmtId="4" fontId="9" fillId="10" borderId="1" xfId="4662" applyNumberFormat="1" applyFont="1" applyFill="1" applyBorder="1" applyAlignment="1">
      <alignment horizontal="left" vertical="center" wrapText="1"/>
    </xf>
    <xf numFmtId="4" fontId="255" fillId="2" borderId="4" xfId="4667" applyNumberFormat="1" applyFont="1" applyFill="1" applyBorder="1" applyAlignment="1">
      <alignment vertical="center"/>
    </xf>
    <xf numFmtId="4" fontId="255" fillId="2" borderId="2" xfId="4667" applyNumberFormat="1" applyFont="1" applyFill="1" applyBorder="1" applyAlignment="1">
      <alignment vertical="center"/>
    </xf>
    <xf numFmtId="4" fontId="255" fillId="2" borderId="3" xfId="4667" applyNumberFormat="1" applyFont="1" applyFill="1" applyBorder="1" applyAlignment="1">
      <alignment vertical="center"/>
    </xf>
    <xf numFmtId="0" fontId="247" fillId="2" borderId="0" xfId="4662" applyFont="1" applyFill="1"/>
    <xf numFmtId="0" fontId="9" fillId="2" borderId="1" xfId="4662" applyFont="1" applyFill="1" applyBorder="1"/>
    <xf numFmtId="0" fontId="9" fillId="2" borderId="0" xfId="4662" applyFont="1" applyFill="1"/>
    <xf numFmtId="0" fontId="259" fillId="2" borderId="0" xfId="4662" applyFont="1" applyFill="1"/>
    <xf numFmtId="0" fontId="247" fillId="2" borderId="0" xfId="4662" applyFont="1" applyFill="1" applyAlignment="1">
      <alignment vertical="center"/>
    </xf>
    <xf numFmtId="4" fontId="247" fillId="2" borderId="4" xfId="4668" applyNumberFormat="1" applyFont="1" applyFill="1" applyBorder="1" applyAlignment="1">
      <alignment vertical="center"/>
    </xf>
    <xf numFmtId="4" fontId="247" fillId="2" borderId="3" xfId="4668" applyNumberFormat="1" applyFont="1" applyFill="1" applyBorder="1" applyAlignment="1">
      <alignment vertical="center"/>
    </xf>
    <xf numFmtId="4" fontId="9" fillId="0" borderId="0" xfId="4662" applyNumberFormat="1" applyFont="1"/>
    <xf numFmtId="4" fontId="247" fillId="0" borderId="0" xfId="4662" applyNumberFormat="1" applyFont="1" applyFill="1" applyAlignment="1">
      <alignment vertical="center"/>
    </xf>
    <xf numFmtId="4" fontId="25" fillId="0" borderId="1" xfId="4662" applyNumberFormat="1" applyFont="1" applyFill="1" applyBorder="1" applyAlignment="1">
      <alignment vertical="center"/>
    </xf>
    <xf numFmtId="4" fontId="247" fillId="2" borderId="1" xfId="4668" applyNumberFormat="1" applyFont="1" applyFill="1" applyBorder="1" applyAlignment="1">
      <alignment horizontal="right" vertical="center"/>
    </xf>
    <xf numFmtId="4" fontId="247" fillId="2" borderId="2" xfId="4668" applyNumberFormat="1" applyFont="1" applyFill="1" applyBorder="1" applyAlignment="1">
      <alignment vertical="center"/>
    </xf>
    <xf numFmtId="49" fontId="266" fillId="2" borderId="1" xfId="4662" applyNumberFormat="1" applyFont="1" applyFill="1" applyBorder="1" applyAlignment="1">
      <alignment horizontal="left" vertical="center"/>
    </xf>
    <xf numFmtId="0" fontId="266" fillId="0" borderId="1" xfId="4662" applyNumberFormat="1" applyFont="1" applyFill="1" applyBorder="1" applyAlignment="1">
      <alignment horizontal="left" vertical="center" wrapText="1"/>
    </xf>
    <xf numFmtId="4" fontId="266" fillId="2" borderId="1" xfId="4662" applyNumberFormat="1" applyFont="1" applyFill="1" applyBorder="1" applyAlignment="1">
      <alignment vertical="center"/>
    </xf>
    <xf numFmtId="4" fontId="266" fillId="2" borderId="3" xfId="4668" applyNumberFormat="1" applyFont="1" applyFill="1" applyBorder="1" applyAlignment="1">
      <alignment vertical="center"/>
    </xf>
    <xf numFmtId="4" fontId="266" fillId="79" borderId="1" xfId="4662" applyNumberFormat="1" applyFont="1" applyFill="1" applyBorder="1" applyAlignment="1">
      <alignment vertical="center"/>
    </xf>
    <xf numFmtId="4" fontId="266" fillId="78" borderId="1" xfId="4662" applyNumberFormat="1" applyFont="1" applyFill="1" applyBorder="1" applyAlignment="1">
      <alignment vertical="center"/>
    </xf>
    <xf numFmtId="4" fontId="266" fillId="0" borderId="1" xfId="4662" applyNumberFormat="1" applyFont="1" applyFill="1" applyBorder="1" applyAlignment="1">
      <alignment vertical="center"/>
    </xf>
    <xf numFmtId="4" fontId="266" fillId="11" borderId="1" xfId="4662" applyNumberFormat="1" applyFont="1" applyFill="1" applyBorder="1" applyAlignment="1">
      <alignment vertical="center"/>
    </xf>
    <xf numFmtId="0" fontId="266" fillId="0" borderId="0" xfId="4662" applyFont="1" applyFill="1"/>
    <xf numFmtId="0" fontId="267" fillId="2" borderId="1" xfId="4662" applyFont="1" applyFill="1" applyBorder="1" applyAlignment="1">
      <alignment horizontal="left" vertical="top" wrapText="1"/>
    </xf>
    <xf numFmtId="0" fontId="267" fillId="0" borderId="1" xfId="4662" applyFont="1" applyFill="1" applyBorder="1"/>
    <xf numFmtId="4" fontId="267" fillId="2" borderId="1" xfId="4662" applyNumberFormat="1" applyFont="1" applyFill="1" applyBorder="1" applyAlignment="1">
      <alignment vertical="center"/>
    </xf>
    <xf numFmtId="4" fontId="267" fillId="79" borderId="1" xfId="4662" applyNumberFormat="1" applyFont="1" applyFill="1" applyBorder="1" applyAlignment="1">
      <alignment vertical="center"/>
    </xf>
    <xf numFmtId="0" fontId="268" fillId="0" borderId="0" xfId="4662" applyFont="1" applyFill="1"/>
    <xf numFmtId="0" fontId="267" fillId="0" borderId="0" xfId="4662" applyFont="1" applyFill="1"/>
    <xf numFmtId="4" fontId="22" fillId="10" borderId="1" xfId="4662" applyNumberFormat="1" applyFont="1" applyFill="1" applyBorder="1" applyAlignment="1">
      <alignment horizontal="left" vertical="center" wrapText="1"/>
    </xf>
    <xf numFmtId="4" fontId="247" fillId="8" borderId="1" xfId="4662" applyNumberFormat="1" applyFont="1" applyFill="1" applyBorder="1" applyAlignment="1">
      <alignment vertical="center"/>
    </xf>
    <xf numFmtId="2" fontId="269" fillId="2" borderId="1" xfId="4662" applyNumberFormat="1" applyFont="1" applyFill="1" applyBorder="1" applyAlignment="1">
      <alignment horizontal="left" vertical="center" wrapText="1"/>
    </xf>
    <xf numFmtId="49" fontId="266" fillId="0" borderId="1" xfId="4662" applyNumberFormat="1" applyFont="1" applyFill="1" applyBorder="1" applyAlignment="1">
      <alignment horizontal="left" vertical="center"/>
    </xf>
    <xf numFmtId="4" fontId="266" fillId="2" borderId="1" xfId="4668" applyNumberFormat="1" applyFont="1" applyFill="1" applyBorder="1" applyAlignment="1">
      <alignment vertical="center"/>
    </xf>
    <xf numFmtId="0" fontId="266" fillId="2" borderId="0" xfId="4662" applyFont="1" applyFill="1"/>
    <xf numFmtId="0" fontId="266" fillId="2" borderId="0" xfId="4662" applyFont="1" applyFill="1" applyAlignment="1">
      <alignment vertical="center"/>
    </xf>
    <xf numFmtId="0" fontId="267" fillId="2" borderId="1" xfId="4662" applyFont="1" applyFill="1" applyBorder="1"/>
    <xf numFmtId="4" fontId="38" fillId="2" borderId="1" xfId="4662" applyNumberFormat="1" applyFont="1" applyFill="1" applyBorder="1" applyAlignment="1">
      <alignment vertical="center"/>
    </xf>
    <xf numFmtId="0" fontId="268" fillId="2" borderId="0" xfId="4662" applyFont="1" applyFill="1"/>
    <xf numFmtId="0" fontId="267" fillId="2" borderId="0" xfId="4662" applyFont="1" applyFill="1"/>
    <xf numFmtId="4" fontId="35" fillId="8" borderId="1" xfId="4662" applyNumberFormat="1" applyFont="1" applyFill="1" applyBorder="1" applyAlignment="1">
      <alignment vertical="center"/>
    </xf>
    <xf numFmtId="4" fontId="25" fillId="8" borderId="1" xfId="4662" applyNumberFormat="1" applyFont="1" applyFill="1" applyBorder="1" applyAlignment="1">
      <alignment vertical="center"/>
    </xf>
    <xf numFmtId="4" fontId="255" fillId="2" borderId="3" xfId="4668" applyNumberFormat="1" applyFont="1" applyFill="1" applyBorder="1" applyAlignment="1">
      <alignment vertical="center"/>
    </xf>
    <xf numFmtId="4" fontId="270" fillId="0" borderId="1" xfId="4666" applyNumberFormat="1" applyFont="1" applyBorder="1" applyAlignment="1">
      <alignment horizontal="right" vertical="center"/>
    </xf>
    <xf numFmtId="0" fontId="247" fillId="2" borderId="6" xfId="4662" applyNumberFormat="1" applyFont="1" applyFill="1" applyBorder="1" applyAlignment="1">
      <alignment horizontal="left" vertical="center" wrapText="1"/>
    </xf>
    <xf numFmtId="4" fontId="245" fillId="2" borderId="10" xfId="4662" applyNumberFormat="1" applyFont="1" applyFill="1" applyBorder="1" applyAlignment="1">
      <alignment horizontal="center" vertical="center"/>
    </xf>
    <xf numFmtId="4" fontId="245" fillId="2" borderId="6" xfId="4662" applyNumberFormat="1" applyFont="1" applyFill="1" applyBorder="1" applyAlignment="1">
      <alignment horizontal="center" vertical="center"/>
    </xf>
    <xf numFmtId="4" fontId="245" fillId="2" borderId="11" xfId="4662" applyNumberFormat="1" applyFont="1" applyFill="1" applyBorder="1" applyAlignment="1">
      <alignment horizontal="center" vertical="center"/>
    </xf>
    <xf numFmtId="49" fontId="264" fillId="0" borderId="1" xfId="4662" applyNumberFormat="1" applyFont="1" applyFill="1" applyBorder="1" applyAlignment="1">
      <alignment horizontal="left" vertical="center"/>
    </xf>
    <xf numFmtId="4" fontId="255" fillId="78" borderId="1" xfId="4665" applyNumberFormat="1" applyFont="1" applyFill="1" applyBorder="1" applyAlignment="1">
      <alignment vertical="center"/>
    </xf>
    <xf numFmtId="4" fontId="255" fillId="2" borderId="1" xfId="4665" applyNumberFormat="1" applyFont="1" applyFill="1" applyBorder="1" applyAlignment="1">
      <alignment vertical="center"/>
    </xf>
    <xf numFmtId="4" fontId="17" fillId="0" borderId="1" xfId="4665" applyNumberFormat="1" applyFont="1" applyFill="1" applyBorder="1" applyAlignment="1">
      <alignment vertical="center"/>
    </xf>
    <xf numFmtId="0" fontId="1" fillId="0" borderId="1" xfId="4662" applyBorder="1" applyAlignment="1">
      <alignment vertical="center"/>
    </xf>
    <xf numFmtId="0" fontId="247" fillId="8" borderId="1" xfId="4662" applyNumberFormat="1" applyFont="1" applyFill="1" applyBorder="1" applyAlignment="1">
      <alignment horizontal="left" vertical="center" wrapText="1"/>
    </xf>
    <xf numFmtId="43" fontId="9" fillId="2" borderId="1" xfId="4663" applyFont="1" applyFill="1" applyBorder="1"/>
    <xf numFmtId="0" fontId="40" fillId="0" borderId="0" xfId="4662" applyFont="1" applyFill="1" applyAlignment="1">
      <alignment wrapText="1"/>
    </xf>
    <xf numFmtId="0" fontId="17" fillId="2" borderId="1" xfId="4662" applyFont="1" applyFill="1" applyBorder="1" applyAlignment="1">
      <alignment horizontal="left" vertical="center" wrapText="1"/>
    </xf>
    <xf numFmtId="4" fontId="247" fillId="2" borderId="4" xfId="4662" applyNumberFormat="1" applyFont="1" applyFill="1" applyBorder="1" applyAlignment="1">
      <alignment vertical="center"/>
    </xf>
    <xf numFmtId="4" fontId="255" fillId="2" borderId="4" xfId="4668" applyNumberFormat="1" applyFont="1" applyFill="1" applyBorder="1" applyAlignment="1">
      <alignment vertical="center"/>
    </xf>
    <xf numFmtId="4" fontId="255" fillId="2" borderId="2" xfId="4668" applyNumberFormat="1" applyFont="1" applyFill="1" applyBorder="1" applyAlignment="1">
      <alignment vertical="center"/>
    </xf>
    <xf numFmtId="0" fontId="247" fillId="0" borderId="0" xfId="4662" applyFont="1" applyFill="1" applyAlignment="1">
      <alignment horizontal="left"/>
    </xf>
    <xf numFmtId="0" fontId="254" fillId="10" borderId="10" xfId="4662" applyNumberFormat="1" applyFont="1" applyFill="1" applyBorder="1" applyAlignment="1">
      <alignment horizontal="left" vertical="center" wrapText="1"/>
    </xf>
    <xf numFmtId="0" fontId="247" fillId="2" borderId="10" xfId="4662" applyNumberFormat="1" applyFont="1" applyFill="1" applyBorder="1" applyAlignment="1">
      <alignment horizontal="left" vertical="center" wrapText="1"/>
    </xf>
    <xf numFmtId="0" fontId="17" fillId="10" borderId="1" xfId="4662" applyFont="1" applyFill="1" applyBorder="1" applyAlignment="1">
      <alignment horizontal="left" vertical="top" wrapText="1"/>
    </xf>
    <xf numFmtId="49" fontId="246" fillId="2" borderId="0" xfId="4662" applyNumberFormat="1" applyFont="1" applyFill="1" applyAlignment="1">
      <alignment horizontal="left"/>
    </xf>
    <xf numFmtId="0" fontId="246" fillId="2" borderId="0" xfId="4662" applyFont="1" applyFill="1" applyAlignment="1">
      <alignment horizontal="left"/>
    </xf>
    <xf numFmtId="4" fontId="247" fillId="2" borderId="6" xfId="4662" applyNumberFormat="1" applyFont="1" applyFill="1" applyBorder="1" applyAlignment="1">
      <alignment vertical="center"/>
    </xf>
    <xf numFmtId="4" fontId="247" fillId="2" borderId="11" xfId="4662" applyNumberFormat="1" applyFont="1" applyFill="1" applyBorder="1" applyAlignment="1">
      <alignment vertical="center"/>
    </xf>
    <xf numFmtId="4" fontId="247" fillId="2" borderId="11" xfId="4668" applyNumberFormat="1" applyFont="1" applyFill="1" applyBorder="1" applyAlignment="1">
      <alignment vertical="center"/>
    </xf>
    <xf numFmtId="4" fontId="247" fillId="78" borderId="11" xfId="4662" applyNumberFormat="1" applyFont="1" applyFill="1" applyBorder="1" applyAlignment="1">
      <alignment vertical="center"/>
    </xf>
    <xf numFmtId="4" fontId="247" fillId="0" borderId="11" xfId="4662" applyNumberFormat="1" applyFont="1" applyFill="1" applyBorder="1" applyAlignment="1">
      <alignment vertical="center"/>
    </xf>
    <xf numFmtId="4" fontId="9" fillId="2" borderId="11" xfId="4662" applyNumberFormat="1" applyFont="1" applyFill="1" applyBorder="1" applyAlignment="1">
      <alignment vertical="center"/>
    </xf>
    <xf numFmtId="49" fontId="254" fillId="0" borderId="6" xfId="4662" applyNumberFormat="1" applyFont="1" applyFill="1" applyBorder="1" applyAlignment="1">
      <alignment horizontal="right" vertical="center" wrapText="1"/>
    </xf>
    <xf numFmtId="4" fontId="254" fillId="0" borderId="11" xfId="4662" applyNumberFormat="1" applyFont="1" applyFill="1" applyBorder="1" applyAlignment="1">
      <alignment vertical="center"/>
    </xf>
    <xf numFmtId="4" fontId="254" fillId="0" borderId="11" xfId="4667" applyNumberFormat="1" applyFont="1" applyFill="1" applyBorder="1" applyAlignment="1">
      <alignment vertical="center"/>
    </xf>
    <xf numFmtId="4" fontId="254" fillId="78" borderId="11" xfId="4662" applyNumberFormat="1" applyFont="1" applyFill="1" applyBorder="1" applyAlignment="1">
      <alignment vertical="center"/>
    </xf>
    <xf numFmtId="4" fontId="254" fillId="2" borderId="11" xfId="4662" applyNumberFormat="1" applyFont="1" applyFill="1" applyBorder="1" applyAlignment="1">
      <alignment vertical="center"/>
    </xf>
    <xf numFmtId="4" fontId="22" fillId="0" borderId="11" xfId="4662" applyNumberFormat="1" applyFont="1" applyFill="1" applyBorder="1" applyAlignment="1">
      <alignment vertical="center"/>
    </xf>
    <xf numFmtId="49" fontId="247" fillId="0" borderId="0" xfId="4662" applyNumberFormat="1" applyFont="1" applyFill="1" applyAlignment="1">
      <alignment horizontal="left"/>
    </xf>
    <xf numFmtId="4" fontId="247" fillId="0" borderId="0" xfId="4662" applyNumberFormat="1" applyFont="1" applyFill="1" applyAlignment="1">
      <alignment horizontal="left"/>
    </xf>
    <xf numFmtId="4" fontId="247" fillId="0" borderId="6" xfId="4662" applyNumberFormat="1" applyFont="1" applyFill="1" applyBorder="1" applyAlignment="1">
      <alignment vertical="center"/>
    </xf>
    <xf numFmtId="4" fontId="247" fillId="0" borderId="11" xfId="4667" applyNumberFormat="1" applyFont="1" applyFill="1" applyBorder="1" applyAlignment="1">
      <alignment vertical="center"/>
    </xf>
    <xf numFmtId="4" fontId="9" fillId="0" borderId="11" xfId="4662" applyNumberFormat="1" applyFont="1" applyFill="1" applyBorder="1" applyAlignment="1">
      <alignment vertical="center"/>
    </xf>
    <xf numFmtId="4" fontId="254" fillId="4" borderId="1" xfId="4662" applyNumberFormat="1" applyFont="1" applyFill="1" applyBorder="1" applyAlignment="1">
      <alignment vertical="center" wrapText="1"/>
    </xf>
    <xf numFmtId="0" fontId="247" fillId="8" borderId="0" xfId="4662" applyFont="1" applyFill="1" applyAlignment="1">
      <alignment vertical="center"/>
    </xf>
    <xf numFmtId="4" fontId="22" fillId="4" borderId="1" xfId="4662" applyNumberFormat="1" applyFont="1" applyFill="1" applyBorder="1" applyAlignment="1">
      <alignment vertical="center" wrapText="1"/>
    </xf>
    <xf numFmtId="49" fontId="9" fillId="0" borderId="0" xfId="4662" applyNumberFormat="1" applyFont="1" applyFill="1" applyAlignment="1">
      <alignment horizontal="left"/>
    </xf>
    <xf numFmtId="0" fontId="9" fillId="0" borderId="0" xfId="4662" applyFont="1" applyFill="1" applyAlignment="1">
      <alignment horizontal="left"/>
    </xf>
    <xf numFmtId="4" fontId="9" fillId="0" borderId="6" xfId="4662" applyNumberFormat="1" applyFont="1" applyFill="1" applyBorder="1" applyAlignment="1">
      <alignment horizontal="center"/>
    </xf>
    <xf numFmtId="4" fontId="9" fillId="0" borderId="11" xfId="4662" applyNumberFormat="1" applyFont="1" applyFill="1" applyBorder="1" applyAlignment="1">
      <alignment horizontal="right" vertical="center"/>
    </xf>
    <xf numFmtId="4" fontId="9" fillId="0" borderId="11" xfId="4667" applyNumberFormat="1" applyFont="1" applyFill="1" applyBorder="1" applyAlignment="1">
      <alignment horizontal="right" vertical="center"/>
    </xf>
    <xf numFmtId="4" fontId="9" fillId="2" borderId="11" xfId="4662" applyNumberFormat="1" applyFont="1" applyFill="1" applyBorder="1" applyAlignment="1">
      <alignment horizontal="right" vertical="center"/>
    </xf>
    <xf numFmtId="4" fontId="9" fillId="78" borderId="11" xfId="4662" applyNumberFormat="1" applyFont="1" applyFill="1" applyBorder="1" applyAlignment="1">
      <alignment horizontal="right" vertical="center"/>
    </xf>
    <xf numFmtId="4" fontId="9" fillId="0" borderId="1" xfId="4662" applyNumberFormat="1" applyFont="1" applyFill="1" applyBorder="1" applyAlignment="1">
      <alignment horizontal="right" vertical="center"/>
    </xf>
    <xf numFmtId="4" fontId="9" fillId="2" borderId="1" xfId="4662" applyNumberFormat="1" applyFont="1" applyFill="1" applyBorder="1" applyAlignment="1">
      <alignment horizontal="right" vertical="center"/>
    </xf>
    <xf numFmtId="4" fontId="22" fillId="0" borderId="1" xfId="4662" applyNumberFormat="1" applyFont="1" applyFill="1" applyBorder="1" applyAlignment="1">
      <alignment horizontal="right" vertical="center"/>
    </xf>
    <xf numFmtId="4" fontId="9" fillId="0" borderId="1" xfId="4668" applyNumberFormat="1" applyFont="1" applyFill="1" applyBorder="1" applyAlignment="1">
      <alignment horizontal="right" vertical="center"/>
    </xf>
    <xf numFmtId="4" fontId="9" fillId="78" borderId="1" xfId="4662" applyNumberFormat="1" applyFont="1" applyFill="1" applyBorder="1" applyAlignment="1">
      <alignment horizontal="right" vertical="center"/>
    </xf>
    <xf numFmtId="49" fontId="9" fillId="0" borderId="1" xfId="4662" applyNumberFormat="1" applyFont="1" applyFill="1" applyBorder="1"/>
    <xf numFmtId="4" fontId="262" fillId="0" borderId="1" xfId="4662" applyNumberFormat="1" applyFont="1" applyFill="1" applyBorder="1" applyAlignment="1"/>
    <xf numFmtId="4" fontId="262" fillId="0" borderId="1" xfId="4662" applyNumberFormat="1" applyFont="1" applyFill="1" applyBorder="1"/>
    <xf numFmtId="4" fontId="247" fillId="2" borderId="1" xfId="4662" applyNumberFormat="1" applyFont="1" applyFill="1" applyBorder="1" applyAlignment="1">
      <alignment horizontal="right" vertical="center"/>
    </xf>
    <xf numFmtId="4" fontId="9" fillId="0" borderId="1" xfId="4662" applyNumberFormat="1" applyFont="1" applyBorder="1" applyAlignment="1">
      <alignment horizontal="right" vertical="center"/>
    </xf>
    <xf numFmtId="4" fontId="9" fillId="2" borderId="4" xfId="4662" applyNumberFormat="1" applyFont="1" applyFill="1" applyBorder="1" applyAlignment="1">
      <alignment horizontal="right" vertical="center"/>
    </xf>
    <xf numFmtId="0" fontId="9" fillId="0" borderId="1" xfId="4662" applyFont="1" applyBorder="1" applyAlignment="1">
      <alignment horizontal="left"/>
    </xf>
    <xf numFmtId="0" fontId="9" fillId="0" borderId="4" xfId="4662" applyFont="1" applyBorder="1"/>
    <xf numFmtId="4" fontId="9" fillId="13" borderId="4" xfId="4662" applyNumberFormat="1" applyFont="1" applyFill="1" applyBorder="1" applyAlignment="1">
      <alignment horizontal="right" vertical="center"/>
    </xf>
    <xf numFmtId="4" fontId="9" fillId="0" borderId="4" xfId="4662" applyNumberFormat="1" applyFont="1" applyBorder="1" applyAlignment="1">
      <alignment horizontal="right" vertical="center"/>
    </xf>
    <xf numFmtId="4" fontId="9" fillId="78" borderId="4" xfId="4662" applyNumberFormat="1" applyFont="1" applyFill="1" applyBorder="1" applyAlignment="1">
      <alignment horizontal="right" vertical="center"/>
    </xf>
    <xf numFmtId="4" fontId="9" fillId="0" borderId="4" xfId="4662" applyNumberFormat="1" applyFont="1" applyFill="1" applyBorder="1" applyAlignment="1">
      <alignment horizontal="right" vertical="center"/>
    </xf>
    <xf numFmtId="0" fontId="9" fillId="0" borderId="4" xfId="4662" applyFont="1" applyBorder="1" applyAlignment="1">
      <alignment horizontal="left"/>
    </xf>
    <xf numFmtId="4" fontId="40" fillId="2" borderId="4" xfId="4662" applyNumberFormat="1" applyFont="1" applyFill="1" applyBorder="1" applyAlignment="1">
      <alignment horizontal="right" vertical="center"/>
    </xf>
    <xf numFmtId="4" fontId="9" fillId="0" borderId="4" xfId="4662" applyNumberFormat="1" applyFont="1" applyBorder="1" applyAlignment="1">
      <alignment horizontal="left" vertical="center"/>
    </xf>
    <xf numFmtId="0" fontId="17" fillId="0" borderId="4" xfId="4662" applyFont="1" applyFill="1" applyBorder="1" applyAlignment="1">
      <alignment horizontal="left" vertical="top" wrapText="1"/>
    </xf>
    <xf numFmtId="49" fontId="9" fillId="0" borderId="0" xfId="4662" applyNumberFormat="1" applyFont="1" applyBorder="1"/>
    <xf numFmtId="0" fontId="9" fillId="0" borderId="0" xfId="4662" applyFont="1" applyFill="1" applyBorder="1"/>
    <xf numFmtId="0" fontId="9" fillId="0" borderId="0" xfId="4662" applyFont="1" applyBorder="1"/>
    <xf numFmtId="4" fontId="9" fillId="0" borderId="0" xfId="4662" applyNumberFormat="1" applyFont="1" applyAlignment="1">
      <alignment horizontal="right" vertical="center"/>
    </xf>
    <xf numFmtId="4" fontId="9" fillId="78" borderId="0" xfId="4662" applyNumberFormat="1" applyFont="1" applyFill="1" applyAlignment="1">
      <alignment horizontal="right" vertical="center"/>
    </xf>
    <xf numFmtId="4" fontId="9" fillId="0" borderId="0" xfId="4662" applyNumberFormat="1" applyFont="1" applyFill="1" applyAlignment="1">
      <alignment horizontal="right" vertical="center"/>
    </xf>
    <xf numFmtId="4" fontId="9" fillId="2" borderId="0" xfId="4662" applyNumberFormat="1" applyFont="1" applyFill="1" applyAlignment="1">
      <alignment horizontal="right" vertical="center"/>
    </xf>
    <xf numFmtId="0" fontId="17" fillId="2" borderId="0" xfId="4662" applyFont="1" applyFill="1" applyBorder="1" applyAlignment="1">
      <alignment horizontal="left" vertical="top" wrapText="1"/>
    </xf>
    <xf numFmtId="49" fontId="9" fillId="0" borderId="0" xfId="4662" applyNumberFormat="1" applyFont="1"/>
    <xf numFmtId="49" fontId="9" fillId="82" borderId="0" xfId="4662" applyNumberFormat="1" applyFont="1" applyFill="1"/>
    <xf numFmtId="0" fontId="9" fillId="82" borderId="0" xfId="4662" applyFont="1" applyFill="1"/>
    <xf numFmtId="4" fontId="9" fillId="82" borderId="0" xfId="4662" applyNumberFormat="1" applyFont="1" applyFill="1"/>
    <xf numFmtId="4" fontId="9" fillId="78" borderId="0" xfId="4662" applyNumberFormat="1" applyFont="1" applyFill="1"/>
    <xf numFmtId="4" fontId="9" fillId="2" borderId="0" xfId="4662" applyNumberFormat="1" applyFont="1" applyFill="1"/>
    <xf numFmtId="0" fontId="247" fillId="82" borderId="0" xfId="4662" applyFont="1" applyFill="1"/>
    <xf numFmtId="0" fontId="9" fillId="82" borderId="0" xfId="4662" applyFont="1" applyFill="1" applyAlignment="1">
      <alignment horizontal="left"/>
    </xf>
    <xf numFmtId="0" fontId="247" fillId="82" borderId="0" xfId="4662" applyFont="1" applyFill="1" applyAlignment="1">
      <alignment vertical="center"/>
    </xf>
    <xf numFmtId="4" fontId="246" fillId="11" borderId="1" xfId="4662" applyNumberFormat="1" applyFont="1" applyFill="1" applyBorder="1" applyAlignment="1">
      <alignment horizontal="right" vertical="center"/>
    </xf>
    <xf numFmtId="4" fontId="246" fillId="0" borderId="1" xfId="4662" applyNumberFormat="1" applyFont="1" applyBorder="1" applyAlignment="1">
      <alignment horizontal="right" vertical="center"/>
    </xf>
    <xf numFmtId="4" fontId="247" fillId="0" borderId="0" xfId="4662" applyNumberFormat="1" applyFont="1" applyAlignment="1">
      <alignment horizontal="right" vertical="center"/>
    </xf>
    <xf numFmtId="4" fontId="262" fillId="79" borderId="0" xfId="4662" applyNumberFormat="1" applyFont="1" applyFill="1" applyAlignment="1">
      <alignment horizontal="center" vertical="center"/>
    </xf>
    <xf numFmtId="212" fontId="9" fillId="0" borderId="0" xfId="4662" applyNumberFormat="1" applyFont="1" applyAlignment="1">
      <alignment horizontal="right" vertical="center"/>
    </xf>
    <xf numFmtId="4" fontId="246" fillId="0" borderId="0" xfId="4662" applyNumberFormat="1" applyFont="1" applyAlignment="1">
      <alignment horizontal="right" vertical="center"/>
    </xf>
    <xf numFmtId="213" fontId="9" fillId="0" borderId="0" xfId="4662" applyNumberFormat="1" applyFont="1" applyAlignment="1">
      <alignment horizontal="right" vertical="center"/>
    </xf>
    <xf numFmtId="43" fontId="9" fillId="0" borderId="1" xfId="4663" applyFont="1" applyBorder="1"/>
    <xf numFmtId="43" fontId="9" fillId="0" borderId="0" xfId="4663" applyFont="1" applyBorder="1"/>
    <xf numFmtId="0" fontId="9" fillId="78" borderId="0" xfId="4662" applyFont="1" applyFill="1"/>
    <xf numFmtId="212" fontId="9" fillId="0" borderId="0" xfId="4662" applyNumberFormat="1" applyFont="1"/>
    <xf numFmtId="4" fontId="9" fillId="83" borderId="0" xfId="4662" applyNumberFormat="1" applyFont="1" applyFill="1"/>
    <xf numFmtId="43" fontId="9" fillId="84" borderId="1" xfId="4663" applyFont="1" applyFill="1" applyBorder="1"/>
    <xf numFmtId="43" fontId="9" fillId="84" borderId="0" xfId="4663" applyFont="1" applyFill="1" applyBorder="1"/>
    <xf numFmtId="0" fontId="273" fillId="2" borderId="0" xfId="4661" applyFont="1" applyFill="1"/>
    <xf numFmtId="49" fontId="9" fillId="85" borderId="0" xfId="4662" applyNumberFormat="1" applyFont="1" applyFill="1"/>
    <xf numFmtId="0" fontId="9" fillId="85" borderId="0" xfId="4662" applyFont="1" applyFill="1"/>
    <xf numFmtId="4" fontId="9" fillId="85" borderId="0" xfId="4662" applyNumberFormat="1" applyFont="1" applyFill="1"/>
    <xf numFmtId="0" fontId="247" fillId="85" borderId="0" xfId="4662" applyFont="1" applyFill="1"/>
    <xf numFmtId="0" fontId="9" fillId="85" borderId="0" xfId="4662" applyFont="1" applyFill="1" applyAlignment="1">
      <alignment horizontal="left"/>
    </xf>
    <xf numFmtId="0" fontId="247" fillId="85" borderId="0" xfId="4662" applyFont="1" applyFill="1" applyAlignment="1">
      <alignment vertical="center"/>
    </xf>
    <xf numFmtId="49" fontId="9" fillId="86" borderId="0" xfId="4662" applyNumberFormat="1" applyFont="1" applyFill="1"/>
    <xf numFmtId="0" fontId="9" fillId="86" borderId="0" xfId="4662" applyFont="1" applyFill="1"/>
    <xf numFmtId="4" fontId="9" fillId="86" borderId="0" xfId="4662" applyNumberFormat="1" applyFont="1" applyFill="1"/>
    <xf numFmtId="0" fontId="247" fillId="86" borderId="0" xfId="4662" applyFont="1" applyFill="1"/>
    <xf numFmtId="4" fontId="247" fillId="85" borderId="0" xfId="4662" applyNumberFormat="1" applyFont="1" applyFill="1"/>
    <xf numFmtId="0" fontId="9" fillId="86" borderId="0" xfId="4662" applyFont="1" applyFill="1" applyAlignment="1">
      <alignment horizontal="left"/>
    </xf>
    <xf numFmtId="0" fontId="247" fillId="86" borderId="0" xfId="4662" applyFont="1" applyFill="1" applyAlignment="1">
      <alignment vertical="center"/>
    </xf>
    <xf numFmtId="4" fontId="247" fillId="86" borderId="0" xfId="4662" applyNumberFormat="1" applyFont="1" applyFill="1"/>
    <xf numFmtId="0" fontId="9" fillId="0" borderId="0" xfId="4662" applyFont="1" applyFill="1" applyAlignment="1">
      <alignment wrapText="1"/>
    </xf>
    <xf numFmtId="164" fontId="274" fillId="2" borderId="73" xfId="2633" applyNumberFormat="1" applyFont="1" applyFill="1" applyBorder="1" applyAlignment="1" applyProtection="1">
      <alignment horizontal="right" vertical="center" wrapText="1"/>
    </xf>
    <xf numFmtId="164" fontId="274" fillId="2" borderId="74" xfId="2633" applyNumberFormat="1" applyFont="1" applyFill="1" applyBorder="1" applyAlignment="1" applyProtection="1">
      <alignment horizontal="right" vertical="center" wrapText="1"/>
    </xf>
    <xf numFmtId="164" fontId="275" fillId="2" borderId="73" xfId="2633" applyNumberFormat="1" applyFont="1" applyFill="1" applyBorder="1" applyAlignment="1" applyProtection="1">
      <alignment horizontal="left" vertical="center" wrapText="1"/>
    </xf>
    <xf numFmtId="49" fontId="262" fillId="0" borderId="0" xfId="4662" applyNumberFormat="1" applyFont="1"/>
    <xf numFmtId="4" fontId="262" fillId="0" borderId="0" xfId="4662" applyNumberFormat="1" applyFont="1" applyAlignment="1">
      <alignment horizontal="right" vertical="center"/>
    </xf>
    <xf numFmtId="4" fontId="262" fillId="78" borderId="0" xfId="4662" applyNumberFormat="1" applyFont="1" applyFill="1" applyAlignment="1">
      <alignment horizontal="right" vertical="center"/>
    </xf>
    <xf numFmtId="4" fontId="262" fillId="0" borderId="0" xfId="4662" applyNumberFormat="1" applyFont="1" applyFill="1" applyAlignment="1">
      <alignment horizontal="right" vertical="center"/>
    </xf>
    <xf numFmtId="4" fontId="262" fillId="2" borderId="0" xfId="4662" applyNumberFormat="1" applyFont="1" applyFill="1" applyAlignment="1">
      <alignment horizontal="right" vertical="center"/>
    </xf>
    <xf numFmtId="0" fontId="246" fillId="0" borderId="0" xfId="4662" applyFont="1"/>
    <xf numFmtId="0" fontId="262" fillId="0" borderId="0" xfId="4662" applyFont="1"/>
    <xf numFmtId="4" fontId="9" fillId="13" borderId="0" xfId="4662" applyNumberFormat="1" applyFont="1" applyFill="1" applyAlignment="1">
      <alignment horizontal="right" vertical="center"/>
    </xf>
    <xf numFmtId="0" fontId="246" fillId="0" borderId="0" xfId="4662" applyFont="1" applyAlignment="1">
      <alignment vertical="center"/>
    </xf>
    <xf numFmtId="49" fontId="276" fillId="0" borderId="0" xfId="4662" applyNumberFormat="1" applyFont="1"/>
    <xf numFmtId="0" fontId="9" fillId="79" borderId="76" xfId="4662" applyFont="1" applyFill="1" applyBorder="1"/>
    <xf numFmtId="4" fontId="9" fillId="79" borderId="76" xfId="4662" applyNumberFormat="1" applyFont="1" applyFill="1" applyBorder="1" applyAlignment="1">
      <alignment horizontal="right" vertical="center"/>
    </xf>
    <xf numFmtId="3" fontId="16" fillId="79" borderId="52" xfId="2633" applyNumberFormat="1" applyFont="1" applyFill="1" applyBorder="1" applyAlignment="1" applyProtection="1">
      <alignment horizontal="right" vertical="center"/>
    </xf>
    <xf numFmtId="3" fontId="239" fillId="79" borderId="75" xfId="2633" applyNumberFormat="1" applyFont="1" applyFill="1" applyBorder="1" applyAlignment="1" applyProtection="1">
      <alignment horizontal="center" vertical="center" wrapText="1"/>
    </xf>
    <xf numFmtId="3" fontId="239" fillId="78" borderId="75" xfId="2633" applyNumberFormat="1" applyFont="1" applyFill="1" applyBorder="1" applyAlignment="1" applyProtection="1">
      <alignment horizontal="center" vertical="center" wrapText="1"/>
    </xf>
    <xf numFmtId="3" fontId="239" fillId="0" borderId="75" xfId="2633" applyNumberFormat="1" applyFont="1" applyFill="1" applyBorder="1" applyAlignment="1" applyProtection="1">
      <alignment horizontal="center" vertical="center" wrapText="1"/>
    </xf>
    <xf numFmtId="3" fontId="239" fillId="79" borderId="52" xfId="2633" applyNumberFormat="1" applyFont="1" applyFill="1" applyBorder="1" applyAlignment="1" applyProtection="1">
      <alignment horizontal="right" vertical="center"/>
    </xf>
    <xf numFmtId="3" fontId="239" fillId="2" borderId="52" xfId="2633" applyNumberFormat="1" applyFont="1" applyFill="1" applyBorder="1" applyAlignment="1" applyProtection="1">
      <alignment horizontal="right" vertical="center"/>
    </xf>
    <xf numFmtId="3" fontId="239" fillId="0" borderId="52" xfId="2633" applyNumberFormat="1" applyFont="1" applyFill="1" applyBorder="1" applyAlignment="1" applyProtection="1">
      <alignment horizontal="right" vertical="center"/>
    </xf>
    <xf numFmtId="0" fontId="9" fillId="79" borderId="30" xfId="4662" applyFont="1" applyFill="1" applyBorder="1"/>
    <xf numFmtId="4" fontId="9" fillId="79" borderId="30" xfId="4662" applyNumberFormat="1" applyFont="1" applyFill="1" applyBorder="1" applyAlignment="1">
      <alignment horizontal="right" vertical="center"/>
    </xf>
    <xf numFmtId="3" fontId="16" fillId="79" borderId="75" xfId="2633" applyNumberFormat="1" applyFont="1" applyFill="1" applyBorder="1" applyAlignment="1" applyProtection="1">
      <alignment horizontal="right" vertical="center"/>
    </xf>
    <xf numFmtId="3" fontId="239" fillId="79" borderId="79" xfId="2633" applyNumberFormat="1" applyFont="1" applyFill="1" applyBorder="1" applyAlignment="1" applyProtection="1">
      <alignment horizontal="center" vertical="center" wrapText="1"/>
    </xf>
    <xf numFmtId="3" fontId="239" fillId="78" borderId="79" xfId="2633" applyNumberFormat="1" applyFont="1" applyFill="1" applyBorder="1" applyAlignment="1" applyProtection="1">
      <alignment horizontal="center" vertical="center" wrapText="1"/>
    </xf>
    <xf numFmtId="3" fontId="239" fillId="0" borderId="79" xfId="2633" applyNumberFormat="1" applyFont="1" applyFill="1" applyBorder="1" applyAlignment="1" applyProtection="1">
      <alignment horizontal="center" vertical="center" wrapText="1"/>
    </xf>
    <xf numFmtId="3" fontId="239" fillId="79" borderId="75" xfId="2633" applyNumberFormat="1" applyFont="1" applyFill="1" applyBorder="1" applyAlignment="1" applyProtection="1">
      <alignment horizontal="right" vertical="center"/>
    </xf>
    <xf numFmtId="3" fontId="239" fillId="2" borderId="75" xfId="2633" applyNumberFormat="1" applyFont="1" applyFill="1" applyBorder="1" applyAlignment="1" applyProtection="1">
      <alignment horizontal="right" vertical="center"/>
    </xf>
    <xf numFmtId="3" fontId="239" fillId="0" borderId="75" xfId="2633" applyNumberFormat="1" applyFont="1" applyFill="1" applyBorder="1" applyAlignment="1" applyProtection="1">
      <alignment horizontal="right" vertical="center"/>
    </xf>
    <xf numFmtId="4" fontId="247" fillId="2" borderId="0" xfId="4662" applyNumberFormat="1" applyFont="1" applyFill="1" applyAlignment="1">
      <alignment horizontal="right" vertical="center"/>
    </xf>
    <xf numFmtId="3" fontId="239" fillId="79" borderId="75" xfId="2633" applyNumberFormat="1" applyFont="1" applyFill="1" applyBorder="1" applyAlignment="1" applyProtection="1">
      <alignment horizontal="center" vertical="center"/>
    </xf>
    <xf numFmtId="49" fontId="277" fillId="0" borderId="80" xfId="2633" applyNumberFormat="1" applyFont="1" applyBorder="1" applyAlignment="1" applyProtection="1">
      <alignment horizontal="center" vertical="center"/>
    </xf>
    <xf numFmtId="0" fontId="277" fillId="2" borderId="81" xfId="2633" quotePrefix="1" applyFont="1" applyFill="1" applyBorder="1" applyAlignment="1" applyProtection="1">
      <alignment horizontal="left" wrapText="1" indent="3"/>
    </xf>
    <xf numFmtId="0" fontId="9" fillId="0" borderId="30" xfId="4662" applyFont="1" applyBorder="1"/>
    <xf numFmtId="4" fontId="9" fillId="0" borderId="30" xfId="4662" applyNumberFormat="1" applyFont="1" applyBorder="1" applyAlignment="1">
      <alignment horizontal="right" vertical="center"/>
    </xf>
    <xf numFmtId="3" fontId="16" fillId="2" borderId="80" xfId="2633" applyNumberFormat="1" applyFont="1" applyFill="1" applyBorder="1" applyAlignment="1" applyProtection="1">
      <alignment horizontal="right" vertical="center"/>
    </xf>
    <xf numFmtId="3" fontId="16" fillId="78" borderId="80" xfId="2633" applyNumberFormat="1" applyFont="1" applyFill="1" applyBorder="1" applyAlignment="1" applyProtection="1">
      <alignment horizontal="right" vertical="center"/>
    </xf>
    <xf numFmtId="3" fontId="16" fillId="0" borderId="80" xfId="2633" applyNumberFormat="1" applyFont="1" applyFill="1" applyBorder="1" applyAlignment="1" applyProtection="1">
      <alignment horizontal="right" vertical="center"/>
    </xf>
    <xf numFmtId="0" fontId="271" fillId="0" borderId="0" xfId="4662" applyFont="1"/>
    <xf numFmtId="0" fontId="1" fillId="0" borderId="0" xfId="4662"/>
    <xf numFmtId="49" fontId="277" fillId="0" borderId="82" xfId="2633" applyNumberFormat="1" applyFont="1" applyBorder="1" applyAlignment="1" applyProtection="1">
      <alignment horizontal="center" vertical="center"/>
    </xf>
    <xf numFmtId="0" fontId="277" fillId="2" borderId="74" xfId="2633" quotePrefix="1" applyFont="1" applyFill="1" applyBorder="1" applyAlignment="1" applyProtection="1">
      <alignment horizontal="left" wrapText="1" indent="3"/>
    </xf>
    <xf numFmtId="0" fontId="9" fillId="0" borderId="15" xfId="4662" applyFont="1" applyBorder="1"/>
    <xf numFmtId="4" fontId="9" fillId="0" borderId="15" xfId="4662" applyNumberFormat="1" applyFont="1" applyBorder="1" applyAlignment="1">
      <alignment horizontal="right" vertical="center"/>
    </xf>
    <xf numFmtId="3" fontId="16" fillId="2" borderId="82" xfId="2633" applyNumberFormat="1" applyFont="1" applyFill="1" applyBorder="1" applyAlignment="1" applyProtection="1">
      <alignment horizontal="right" vertical="center"/>
    </xf>
    <xf numFmtId="3" fontId="16" fillId="78" borderId="82" xfId="2633" applyNumberFormat="1" applyFont="1" applyFill="1" applyBorder="1" applyAlignment="1" applyProtection="1">
      <alignment horizontal="right" vertical="center"/>
    </xf>
    <xf numFmtId="3" fontId="16" fillId="0" borderId="82" xfId="2633" applyNumberFormat="1" applyFont="1" applyFill="1" applyBorder="1" applyAlignment="1" applyProtection="1">
      <alignment horizontal="right" vertical="center"/>
    </xf>
    <xf numFmtId="49" fontId="277" fillId="0" borderId="0" xfId="2633" applyNumberFormat="1" applyFont="1" applyBorder="1" applyAlignment="1" applyProtection="1">
      <alignment horizontal="center" vertical="center"/>
    </xf>
    <xf numFmtId="0" fontId="277" fillId="2" borderId="0" xfId="2633" quotePrefix="1" applyFont="1" applyFill="1" applyBorder="1" applyAlignment="1" applyProtection="1">
      <alignment horizontal="left" wrapText="1" indent="3"/>
    </xf>
    <xf numFmtId="4" fontId="9" fillId="0" borderId="0" xfId="4662" applyNumberFormat="1" applyFont="1" applyBorder="1" applyAlignment="1">
      <alignment horizontal="right" vertical="center"/>
    </xf>
    <xf numFmtId="3" fontId="16" fillId="2" borderId="0" xfId="2633" applyNumberFormat="1" applyFont="1" applyFill="1" applyBorder="1" applyAlignment="1" applyProtection="1">
      <alignment horizontal="right" vertical="center"/>
    </xf>
    <xf numFmtId="3" fontId="16" fillId="78" borderId="0" xfId="2633" applyNumberFormat="1" applyFont="1" applyFill="1" applyBorder="1" applyAlignment="1" applyProtection="1">
      <alignment horizontal="right" vertical="center"/>
    </xf>
    <xf numFmtId="3" fontId="16" fillId="0" borderId="0" xfId="2633" applyNumberFormat="1" applyFont="1" applyFill="1" applyBorder="1" applyAlignment="1" applyProtection="1">
      <alignment horizontal="right" vertical="center"/>
    </xf>
    <xf numFmtId="0" fontId="278" fillId="2" borderId="0" xfId="2633" applyFont="1" applyFill="1" applyBorder="1" applyAlignment="1" applyProtection="1">
      <alignment horizontal="center" vertical="center"/>
      <protection hidden="1"/>
    </xf>
    <xf numFmtId="0" fontId="279" fillId="2" borderId="0" xfId="2633" applyFont="1" applyFill="1" applyBorder="1" applyAlignment="1" applyProtection="1">
      <alignment horizontal="left" vertical="center"/>
      <protection hidden="1"/>
    </xf>
    <xf numFmtId="0" fontId="9" fillId="79" borderId="0" xfId="4662" applyFont="1" applyFill="1"/>
    <xf numFmtId="4" fontId="9" fillId="79" borderId="0" xfId="4662" applyNumberFormat="1" applyFont="1" applyFill="1" applyAlignment="1">
      <alignment horizontal="right" vertical="center"/>
    </xf>
    <xf numFmtId="0" fontId="159" fillId="79" borderId="34" xfId="2633" applyFont="1" applyFill="1" applyBorder="1" applyAlignment="1" applyProtection="1">
      <alignment horizontal="center" vertical="center" wrapText="1"/>
      <protection hidden="1"/>
    </xf>
    <xf numFmtId="0" fontId="159" fillId="78" borderId="34" xfId="2633" applyFont="1" applyFill="1" applyBorder="1" applyAlignment="1" applyProtection="1">
      <alignment horizontal="center" vertical="center" wrapText="1"/>
      <protection hidden="1"/>
    </xf>
    <xf numFmtId="0" fontId="159" fillId="0" borderId="34" xfId="2633" applyFont="1" applyFill="1" applyBorder="1" applyAlignment="1" applyProtection="1">
      <alignment horizontal="center" vertical="center" wrapText="1"/>
      <protection hidden="1"/>
    </xf>
    <xf numFmtId="0" fontId="159" fillId="2" borderId="34" xfId="2633" applyFont="1" applyFill="1" applyBorder="1" applyAlignment="1" applyProtection="1">
      <alignment horizontal="center" vertical="center" wrapText="1"/>
      <protection hidden="1"/>
    </xf>
    <xf numFmtId="0" fontId="159" fillId="79" borderId="0" xfId="2633" applyFont="1" applyFill="1" applyBorder="1" applyAlignment="1" applyProtection="1">
      <alignment horizontal="center" vertical="center" wrapText="1"/>
      <protection hidden="1"/>
    </xf>
    <xf numFmtId="0" fontId="9" fillId="79" borderId="0" xfId="4662" applyFont="1" applyFill="1" applyAlignment="1">
      <alignment horizontal="left"/>
    </xf>
    <xf numFmtId="0" fontId="246" fillId="0" borderId="1" xfId="4662" applyFont="1" applyBorder="1" applyAlignment="1">
      <alignment horizontal="center" vertical="center"/>
    </xf>
    <xf numFmtId="0" fontId="159" fillId="79" borderId="84" xfId="2633" applyFont="1" applyFill="1" applyBorder="1" applyAlignment="1" applyProtection="1">
      <alignment horizontal="center" vertical="center" wrapText="1"/>
      <protection hidden="1"/>
    </xf>
    <xf numFmtId="0" fontId="159" fillId="78" borderId="84" xfId="2633" applyFont="1" applyFill="1" applyBorder="1" applyAlignment="1" applyProtection="1">
      <alignment horizontal="center" vertical="center" wrapText="1"/>
      <protection hidden="1"/>
    </xf>
    <xf numFmtId="0" fontId="159" fillId="0" borderId="84" xfId="2633" applyFont="1" applyFill="1" applyBorder="1" applyAlignment="1" applyProtection="1">
      <alignment horizontal="center" vertical="center" wrapText="1"/>
      <protection hidden="1"/>
    </xf>
    <xf numFmtId="0" fontId="159" fillId="2" borderId="84" xfId="2633" applyFont="1" applyFill="1" applyBorder="1" applyAlignment="1" applyProtection="1">
      <alignment horizontal="center" vertical="center" wrapText="1"/>
      <protection hidden="1"/>
    </xf>
    <xf numFmtId="0" fontId="247" fillId="0" borderId="1" xfId="4662" applyFont="1" applyBorder="1" applyAlignment="1">
      <alignment horizontal="center" vertical="center"/>
    </xf>
    <xf numFmtId="0" fontId="247" fillId="0" borderId="1" xfId="4662" applyFont="1" applyBorder="1" applyAlignment="1">
      <alignment horizontal="justify" vertical="center" wrapText="1"/>
    </xf>
    <xf numFmtId="3" fontId="247" fillId="0" borderId="1" xfId="4662" applyNumberFormat="1" applyFont="1" applyBorder="1"/>
    <xf numFmtId="4" fontId="247" fillId="0" borderId="1" xfId="4662" applyNumberFormat="1" applyFont="1" applyBorder="1"/>
    <xf numFmtId="0" fontId="159" fillId="79" borderId="42" xfId="2633" applyFont="1" applyFill="1" applyBorder="1" applyAlignment="1" applyProtection="1">
      <alignment horizontal="center" vertical="center" wrapText="1"/>
      <protection hidden="1"/>
    </xf>
    <xf numFmtId="0" fontId="159" fillId="78" borderId="42" xfId="2633" applyFont="1" applyFill="1" applyBorder="1" applyAlignment="1" applyProtection="1">
      <alignment horizontal="center" vertical="center" wrapText="1"/>
      <protection hidden="1"/>
    </xf>
    <xf numFmtId="0" fontId="159" fillId="0" borderId="42" xfId="2633" applyFont="1" applyFill="1" applyBorder="1" applyAlignment="1" applyProtection="1">
      <alignment horizontal="center" vertical="center" wrapText="1"/>
      <protection hidden="1"/>
    </xf>
    <xf numFmtId="0" fontId="159" fillId="2" borderId="42" xfId="2633" applyFont="1" applyFill="1" applyBorder="1" applyAlignment="1" applyProtection="1">
      <alignment horizontal="center" vertical="center" wrapText="1"/>
      <protection hidden="1"/>
    </xf>
    <xf numFmtId="3" fontId="239" fillId="79" borderId="52" xfId="2633" applyNumberFormat="1" applyFont="1" applyFill="1" applyBorder="1" applyAlignment="1" applyProtection="1">
      <alignment horizontal="center" vertical="center"/>
    </xf>
    <xf numFmtId="3" fontId="239" fillId="79" borderId="76" xfId="2633" applyNumberFormat="1" applyFont="1" applyFill="1" applyBorder="1" applyAlignment="1" applyProtection="1">
      <alignment horizontal="center" vertical="center"/>
    </xf>
    <xf numFmtId="3" fontId="239" fillId="78" borderId="76" xfId="2633" applyNumberFormat="1" applyFont="1" applyFill="1" applyBorder="1" applyAlignment="1" applyProtection="1">
      <alignment horizontal="center" vertical="center"/>
    </xf>
    <xf numFmtId="3" fontId="239" fillId="0" borderId="76" xfId="2633" applyNumberFormat="1" applyFont="1" applyFill="1" applyBorder="1" applyAlignment="1" applyProtection="1">
      <alignment horizontal="center" vertical="center"/>
    </xf>
    <xf numFmtId="3" fontId="239" fillId="2" borderId="76" xfId="2633" applyNumberFormat="1" applyFont="1" applyFill="1" applyBorder="1" applyAlignment="1" applyProtection="1">
      <alignment horizontal="center" vertical="center"/>
    </xf>
    <xf numFmtId="3" fontId="239" fillId="79" borderId="0" xfId="2633" applyNumberFormat="1" applyFont="1" applyFill="1" applyBorder="1" applyAlignment="1" applyProtection="1">
      <alignment horizontal="center" vertical="center"/>
    </xf>
    <xf numFmtId="49" fontId="281" fillId="4" borderId="52" xfId="2633" applyNumberFormat="1" applyFont="1" applyFill="1" applyBorder="1" applyAlignment="1" applyProtection="1">
      <alignment horizontal="center" vertical="center" wrapText="1"/>
    </xf>
    <xf numFmtId="164" fontId="275" fillId="4" borderId="38" xfId="2633" applyNumberFormat="1" applyFont="1" applyFill="1" applyBorder="1" applyAlignment="1" applyProtection="1">
      <alignment horizontal="left" vertical="center" wrapText="1"/>
    </xf>
    <xf numFmtId="0" fontId="9" fillId="4" borderId="0" xfId="4662" applyFont="1" applyFill="1"/>
    <xf numFmtId="4" fontId="9" fillId="4" borderId="0" xfId="4662" applyNumberFormat="1" applyFont="1" applyFill="1" applyAlignment="1">
      <alignment horizontal="right" vertical="center"/>
    </xf>
    <xf numFmtId="3" fontId="239" fillId="4" borderId="52" xfId="2633" applyNumberFormat="1" applyFont="1" applyFill="1" applyBorder="1" applyAlignment="1" applyProtection="1">
      <alignment horizontal="right" vertical="center"/>
    </xf>
    <xf numFmtId="3" fontId="239" fillId="78" borderId="52" xfId="2633" applyNumberFormat="1" applyFont="1" applyFill="1" applyBorder="1" applyAlignment="1" applyProtection="1">
      <alignment horizontal="right" vertical="center"/>
    </xf>
    <xf numFmtId="3" fontId="239" fillId="4" borderId="0" xfId="2633" applyNumberFormat="1" applyFont="1" applyFill="1" applyBorder="1" applyAlignment="1" applyProtection="1">
      <alignment horizontal="right" vertical="center"/>
    </xf>
    <xf numFmtId="0" fontId="247" fillId="0" borderId="0" xfId="4662" applyFont="1" applyBorder="1"/>
    <xf numFmtId="0" fontId="247" fillId="0" borderId="0" xfId="4662" applyFont="1" applyBorder="1" applyAlignment="1">
      <alignment wrapText="1"/>
    </xf>
    <xf numFmtId="49" fontId="16" fillId="4" borderId="52" xfId="2633" applyNumberFormat="1" applyFont="1" applyFill="1" applyBorder="1" applyAlignment="1" applyProtection="1">
      <alignment horizontal="center" vertical="center"/>
    </xf>
    <xf numFmtId="164" fontId="277" fillId="4" borderId="38" xfId="2633" quotePrefix="1" applyNumberFormat="1" applyFont="1" applyFill="1" applyBorder="1" applyAlignment="1" applyProtection="1">
      <alignment horizontal="left" vertical="center" wrapText="1" indent="1"/>
    </xf>
    <xf numFmtId="3" fontId="16" fillId="4" borderId="52" xfId="2633" applyNumberFormat="1" applyFont="1" applyFill="1" applyBorder="1" applyAlignment="1" applyProtection="1">
      <alignment horizontal="right" vertical="center"/>
    </xf>
    <xf numFmtId="3" fontId="16" fillId="78" borderId="52" xfId="2633" applyNumberFormat="1" applyFont="1" applyFill="1" applyBorder="1" applyAlignment="1" applyProtection="1">
      <alignment horizontal="right" vertical="center"/>
    </xf>
    <xf numFmtId="3" fontId="16" fillId="0" borderId="52" xfId="2633" applyNumberFormat="1" applyFont="1" applyFill="1" applyBorder="1" applyAlignment="1" applyProtection="1">
      <alignment horizontal="right" vertical="center"/>
    </xf>
    <xf numFmtId="3" fontId="16" fillId="2" borderId="52" xfId="2633" applyNumberFormat="1" applyFont="1" applyFill="1" applyBorder="1" applyAlignment="1" applyProtection="1">
      <alignment horizontal="right" vertical="center"/>
    </xf>
    <xf numFmtId="3" fontId="16" fillId="4" borderId="0" xfId="2633" applyNumberFormat="1" applyFont="1" applyFill="1" applyBorder="1" applyAlignment="1" applyProtection="1">
      <alignment horizontal="right" vertical="center"/>
    </xf>
    <xf numFmtId="49" fontId="277" fillId="0" borderId="87" xfId="2633" applyNumberFormat="1" applyFont="1" applyBorder="1" applyAlignment="1" applyProtection="1">
      <alignment horizontal="center" vertical="center"/>
    </xf>
    <xf numFmtId="0" fontId="277" fillId="2" borderId="88" xfId="2633" quotePrefix="1" applyFont="1" applyFill="1" applyBorder="1" applyAlignment="1" applyProtection="1">
      <alignment horizontal="left" wrapText="1" indent="3"/>
    </xf>
    <xf numFmtId="49" fontId="277" fillId="0" borderId="89" xfId="2633" applyNumberFormat="1" applyFont="1" applyBorder="1" applyAlignment="1" applyProtection="1">
      <alignment horizontal="center" vertical="center"/>
    </xf>
    <xf numFmtId="0" fontId="277" fillId="2" borderId="90" xfId="2633" quotePrefix="1" applyFont="1" applyFill="1" applyBorder="1" applyAlignment="1" applyProtection="1">
      <alignment horizontal="left" wrapText="1" indent="3"/>
    </xf>
    <xf numFmtId="3" fontId="16" fillId="2" borderId="89" xfId="2633" applyNumberFormat="1" applyFont="1" applyFill="1" applyBorder="1" applyAlignment="1" applyProtection="1">
      <alignment horizontal="right" vertical="center"/>
    </xf>
    <xf numFmtId="3" fontId="16" fillId="78" borderId="89" xfId="2633" applyNumberFormat="1" applyFont="1" applyFill="1" applyBorder="1" applyAlignment="1" applyProtection="1">
      <alignment horizontal="right" vertical="center"/>
    </xf>
    <xf numFmtId="3" fontId="16" fillId="0" borderId="89" xfId="2633" applyNumberFormat="1" applyFont="1" applyFill="1" applyBorder="1" applyAlignment="1" applyProtection="1">
      <alignment horizontal="right" vertical="center"/>
    </xf>
    <xf numFmtId="49" fontId="277" fillId="0" borderId="91" xfId="2633" applyNumberFormat="1" applyFont="1" applyBorder="1" applyAlignment="1" applyProtection="1">
      <alignment horizontal="center" vertical="center"/>
    </xf>
    <xf numFmtId="0" fontId="277" fillId="2" borderId="92" xfId="2633" quotePrefix="1" applyFont="1" applyFill="1" applyBorder="1" applyAlignment="1" applyProtection="1">
      <alignment horizontal="left" wrapText="1" indent="3"/>
    </xf>
    <xf numFmtId="0" fontId="247" fillId="0" borderId="1" xfId="4662" applyFont="1" applyBorder="1" applyAlignment="1">
      <alignment horizontal="justify" wrapText="1"/>
    </xf>
    <xf numFmtId="0" fontId="247" fillId="0" borderId="1" xfId="4662" applyFont="1" applyBorder="1" applyAlignment="1">
      <alignment horizontal="center" vertical="center" wrapText="1"/>
    </xf>
    <xf numFmtId="0" fontId="247" fillId="0" borderId="1" xfId="4662" applyFont="1" applyBorder="1"/>
    <xf numFmtId="49" fontId="16" fillId="0" borderId="52" xfId="2633" applyNumberFormat="1" applyFont="1" applyBorder="1" applyAlignment="1" applyProtection="1">
      <alignment horizontal="center" vertical="center"/>
    </xf>
    <xf numFmtId="164" fontId="277" fillId="2" borderId="38" xfId="2633" applyNumberFormat="1" applyFont="1" applyFill="1" applyBorder="1" applyAlignment="1" applyProtection="1">
      <alignment horizontal="left" vertical="center" wrapText="1" indent="1"/>
    </xf>
    <xf numFmtId="3" fontId="16" fillId="2" borderId="52" xfId="2633" applyNumberFormat="1" applyFont="1" applyFill="1" applyBorder="1" applyAlignment="1" applyProtection="1">
      <alignment horizontal="right" vertical="center"/>
      <protection locked="0"/>
    </xf>
    <xf numFmtId="3" fontId="16" fillId="78" borderId="52" xfId="2633" applyNumberFormat="1" applyFont="1" applyFill="1" applyBorder="1" applyAlignment="1" applyProtection="1">
      <alignment horizontal="right" vertical="center"/>
      <protection locked="0"/>
    </xf>
    <xf numFmtId="3" fontId="16" fillId="0" borderId="52" xfId="2633" applyNumberFormat="1" applyFont="1" applyFill="1" applyBorder="1" applyAlignment="1" applyProtection="1">
      <alignment horizontal="right" vertical="center"/>
      <protection locked="0"/>
    </xf>
    <xf numFmtId="3" fontId="16" fillId="2" borderId="0" xfId="2633" applyNumberFormat="1" applyFont="1" applyFill="1" applyBorder="1" applyAlignment="1" applyProtection="1">
      <alignment horizontal="right" vertical="center"/>
      <protection locked="0"/>
    </xf>
    <xf numFmtId="0" fontId="261" fillId="0" borderId="1" xfId="4662" applyFont="1" applyBorder="1" applyAlignment="1">
      <alignment horizontal="right" wrapText="1"/>
    </xf>
    <xf numFmtId="0" fontId="282" fillId="2" borderId="90" xfId="2633" quotePrefix="1" applyFont="1" applyFill="1" applyBorder="1" applyAlignment="1" applyProtection="1">
      <alignment horizontal="right" wrapText="1" indent="3"/>
    </xf>
    <xf numFmtId="0" fontId="247" fillId="0" borderId="1" xfId="4662" applyFont="1" applyBorder="1" applyAlignment="1">
      <alignment horizontal="center"/>
    </xf>
    <xf numFmtId="0" fontId="261" fillId="0" borderId="0" xfId="4662" applyFont="1" applyBorder="1" applyAlignment="1">
      <alignment horizontal="right" wrapText="1"/>
    </xf>
    <xf numFmtId="0" fontId="247" fillId="0" borderId="0" xfId="4662" applyFont="1" applyAlignment="1">
      <alignment wrapText="1"/>
    </xf>
    <xf numFmtId="0" fontId="247" fillId="0" borderId="1" xfId="4662" applyFont="1" applyBorder="1" applyAlignment="1">
      <alignment vertical="center"/>
    </xf>
    <xf numFmtId="16" fontId="247" fillId="0" borderId="1" xfId="4662" applyNumberFormat="1" applyFont="1" applyBorder="1" applyAlignment="1">
      <alignment horizontal="center"/>
    </xf>
    <xf numFmtId="49" fontId="16" fillId="0" borderId="89" xfId="2633" applyNumberFormat="1" applyFont="1" applyBorder="1" applyAlignment="1" applyProtection="1">
      <alignment horizontal="center" vertical="center"/>
    </xf>
    <xf numFmtId="164" fontId="277" fillId="2" borderId="73" xfId="2633" applyNumberFormat="1" applyFont="1" applyFill="1" applyBorder="1" applyAlignment="1" applyProtection="1">
      <alignment horizontal="left" vertical="center" wrapText="1"/>
    </xf>
    <xf numFmtId="3" fontId="16" fillId="2" borderId="93" xfId="2633" applyNumberFormat="1" applyFont="1" applyFill="1" applyBorder="1" applyAlignment="1" applyProtection="1">
      <alignment horizontal="right" vertical="center"/>
    </xf>
    <xf numFmtId="3" fontId="16" fillId="78" borderId="93" xfId="2633" applyNumberFormat="1" applyFont="1" applyFill="1" applyBorder="1" applyAlignment="1" applyProtection="1">
      <alignment horizontal="right" vertical="center"/>
    </xf>
    <xf numFmtId="3" fontId="16" fillId="0" borderId="93" xfId="2633" applyNumberFormat="1" applyFont="1" applyFill="1" applyBorder="1" applyAlignment="1" applyProtection="1">
      <alignment horizontal="right" vertical="center"/>
    </xf>
    <xf numFmtId="3" fontId="16" fillId="2" borderId="89" xfId="2633" applyNumberFormat="1" applyFont="1" applyFill="1" applyBorder="1" applyAlignment="1" applyProtection="1">
      <alignment horizontal="right" vertical="center"/>
      <protection locked="0"/>
    </xf>
    <xf numFmtId="3" fontId="16" fillId="78" borderId="89" xfId="2633" applyNumberFormat="1" applyFont="1" applyFill="1" applyBorder="1" applyAlignment="1" applyProtection="1">
      <alignment horizontal="right" vertical="center"/>
      <protection locked="0"/>
    </xf>
    <xf numFmtId="3" fontId="16" fillId="0" borderId="89" xfId="2633" applyNumberFormat="1" applyFont="1" applyFill="1" applyBorder="1" applyAlignment="1" applyProtection="1">
      <alignment horizontal="right" vertical="center"/>
      <protection locked="0"/>
    </xf>
    <xf numFmtId="0" fontId="247" fillId="0" borderId="0" xfId="4662" applyFont="1" applyBorder="1" applyAlignment="1">
      <alignment horizontal="justify" wrapText="1"/>
    </xf>
    <xf numFmtId="3" fontId="247" fillId="0" borderId="0" xfId="4662" applyNumberFormat="1" applyFont="1" applyBorder="1"/>
    <xf numFmtId="49" fontId="16" fillId="0" borderId="94" xfId="2633" applyNumberFormat="1" applyFont="1" applyBorder="1" applyAlignment="1" applyProtection="1">
      <alignment horizontal="center" vertical="center"/>
    </xf>
    <xf numFmtId="164" fontId="277" fillId="2" borderId="84" xfId="2633" applyNumberFormat="1" applyFont="1" applyFill="1" applyBorder="1" applyAlignment="1" applyProtection="1">
      <alignment horizontal="left" vertical="center" wrapText="1"/>
    </xf>
    <xf numFmtId="3" fontId="16" fillId="2" borderId="94" xfId="2633" applyNumberFormat="1" applyFont="1" applyFill="1" applyBorder="1" applyAlignment="1" applyProtection="1">
      <alignment horizontal="right" vertical="center"/>
      <protection locked="0"/>
    </xf>
    <xf numFmtId="3" fontId="16" fillId="78" borderId="94" xfId="2633" applyNumberFormat="1" applyFont="1" applyFill="1" applyBorder="1" applyAlignment="1" applyProtection="1">
      <alignment horizontal="right" vertical="center"/>
      <protection locked="0"/>
    </xf>
    <xf numFmtId="3" fontId="16" fillId="0" borderId="94" xfId="2633" applyNumberFormat="1" applyFont="1" applyFill="1" applyBorder="1" applyAlignment="1" applyProtection="1">
      <alignment horizontal="right" vertical="center"/>
      <protection locked="0"/>
    </xf>
    <xf numFmtId="3" fontId="9" fillId="0" borderId="0" xfId="4662" applyNumberFormat="1" applyFont="1"/>
    <xf numFmtId="0" fontId="247" fillId="0" borderId="0" xfId="4662" applyFont="1" applyBorder="1" applyAlignment="1">
      <alignment horizontal="center" vertical="center"/>
    </xf>
    <xf numFmtId="0" fontId="247" fillId="0" borderId="0" xfId="4662" applyFont="1" applyBorder="1" applyAlignment="1">
      <alignment horizontal="justify" vertical="center" wrapText="1"/>
    </xf>
    <xf numFmtId="0" fontId="247" fillId="0" borderId="0" xfId="4662" applyFont="1" applyBorder="1" applyAlignment="1">
      <alignment horizontal="center" vertical="center" wrapText="1"/>
    </xf>
    <xf numFmtId="3" fontId="9" fillId="0" borderId="0" xfId="4662" applyNumberFormat="1" applyFont="1" applyBorder="1"/>
    <xf numFmtId="164" fontId="275" fillId="4" borderId="38" xfId="2633" applyNumberFormat="1" applyFont="1" applyFill="1" applyBorder="1" applyAlignment="1" applyProtection="1">
      <alignment vertical="center" wrapText="1"/>
    </xf>
    <xf numFmtId="49" fontId="281" fillId="5" borderId="52" xfId="2633" applyNumberFormat="1" applyFont="1" applyFill="1" applyBorder="1" applyAlignment="1" applyProtection="1">
      <alignment horizontal="center" vertical="center" wrapText="1"/>
    </xf>
    <xf numFmtId="164" fontId="275" fillId="5" borderId="38" xfId="2633" applyNumberFormat="1" applyFont="1" applyFill="1" applyBorder="1" applyAlignment="1" applyProtection="1">
      <alignment vertical="center" wrapText="1"/>
    </xf>
    <xf numFmtId="0" fontId="9" fillId="5" borderId="0" xfId="4662" applyFont="1" applyFill="1"/>
    <xf numFmtId="4" fontId="9" fillId="5" borderId="0" xfId="4662" applyNumberFormat="1" applyFont="1" applyFill="1" applyAlignment="1">
      <alignment horizontal="right" vertical="center"/>
    </xf>
    <xf numFmtId="3" fontId="239" fillId="5" borderId="52" xfId="2633" applyNumberFormat="1" applyFont="1" applyFill="1" applyBorder="1" applyAlignment="1" applyProtection="1">
      <alignment horizontal="right" vertical="center"/>
    </xf>
    <xf numFmtId="3" fontId="239" fillId="5" borderId="77" xfId="2633" applyNumberFormat="1" applyFont="1" applyFill="1" applyBorder="1" applyAlignment="1" applyProtection="1">
      <alignment horizontal="center" vertical="center"/>
    </xf>
    <xf numFmtId="3" fontId="239" fillId="78" borderId="77" xfId="2633" applyNumberFormat="1" applyFont="1" applyFill="1" applyBorder="1" applyAlignment="1" applyProtection="1">
      <alignment horizontal="center" vertical="center"/>
    </xf>
    <xf numFmtId="3" fontId="239" fillId="0" borderId="77" xfId="2633" applyNumberFormat="1" applyFont="1" applyFill="1" applyBorder="1" applyAlignment="1" applyProtection="1">
      <alignment horizontal="center" vertical="center"/>
    </xf>
    <xf numFmtId="0" fontId="262" fillId="0" borderId="1" xfId="4662" applyFont="1" applyBorder="1" applyAlignment="1">
      <alignment horizontal="center" vertical="center"/>
    </xf>
    <xf numFmtId="0" fontId="247" fillId="0" borderId="3" xfId="4662" applyFont="1" applyBorder="1" applyAlignment="1">
      <alignment horizontal="center" vertical="center"/>
    </xf>
    <xf numFmtId="0" fontId="247" fillId="0" borderId="3" xfId="4662" applyFont="1" applyBorder="1" applyAlignment="1">
      <alignment horizontal="justify" vertical="center" wrapText="1"/>
    </xf>
    <xf numFmtId="0" fontId="247" fillId="0" borderId="3" xfId="4662" applyFont="1" applyBorder="1" applyAlignment="1">
      <alignment horizontal="center" vertical="center" wrapText="1"/>
    </xf>
    <xf numFmtId="3" fontId="247" fillId="0" borderId="3" xfId="4662" applyNumberFormat="1" applyFont="1" applyBorder="1"/>
    <xf numFmtId="3" fontId="9" fillId="0" borderId="3" xfId="4662" applyNumberFormat="1" applyFont="1" applyBorder="1"/>
    <xf numFmtId="3" fontId="9" fillId="0" borderId="1" xfId="4662" applyNumberFormat="1" applyFont="1" applyBorder="1"/>
    <xf numFmtId="0" fontId="261" fillId="0" borderId="1" xfId="4662" applyFont="1" applyBorder="1" applyAlignment="1">
      <alignment horizontal="right" vertical="center" wrapText="1"/>
    </xf>
    <xf numFmtId="0" fontId="246" fillId="0" borderId="0" xfId="4662" applyFont="1" applyBorder="1" applyAlignment="1">
      <alignment horizontal="center" vertical="center"/>
    </xf>
    <xf numFmtId="0" fontId="262" fillId="0" borderId="0" xfId="4662" applyFont="1" applyBorder="1" applyAlignment="1">
      <alignment horizontal="center" vertical="center"/>
    </xf>
    <xf numFmtId="0" fontId="261" fillId="0" borderId="0" xfId="4662" applyFont="1" applyBorder="1" applyAlignment="1">
      <alignment horizontal="right" vertical="center" wrapText="1"/>
    </xf>
    <xf numFmtId="4" fontId="9" fillId="11" borderId="0" xfId="4662" applyNumberFormat="1" applyFont="1" applyFill="1" applyAlignment="1">
      <alignment horizontal="right" vertical="center"/>
    </xf>
    <xf numFmtId="4" fontId="248" fillId="0" borderId="0" xfId="4662" applyNumberFormat="1" applyFont="1" applyAlignment="1">
      <alignment horizontal="right" vertical="center"/>
    </xf>
    <xf numFmtId="4" fontId="250" fillId="0" borderId="0" xfId="4662" applyNumberFormat="1" applyFont="1" applyAlignment="1">
      <alignment horizontal="right" vertical="center"/>
    </xf>
    <xf numFmtId="0" fontId="248" fillId="0" borderId="0" xfId="4662" applyFont="1" applyAlignment="1">
      <alignment vertical="center"/>
    </xf>
    <xf numFmtId="165" fontId="40" fillId="2" borderId="1" xfId="4" applyNumberFormat="1" applyFont="1" applyFill="1" applyBorder="1"/>
    <xf numFmtId="0" fontId="13" fillId="2" borderId="4" xfId="6" applyFont="1" applyFill="1" applyBorder="1" applyAlignment="1">
      <alignment horizontal="center" vertical="center" wrapText="1"/>
    </xf>
    <xf numFmtId="0" fontId="13" fillId="2" borderId="3" xfId="6" applyFont="1" applyFill="1" applyBorder="1" applyAlignment="1">
      <alignment horizontal="center" vertical="center" wrapText="1"/>
    </xf>
    <xf numFmtId="166" fontId="41" fillId="0" borderId="12" xfId="6" applyNumberFormat="1" applyFont="1" applyFill="1" applyBorder="1" applyAlignment="1" applyProtection="1">
      <alignment horizontal="center" vertical="center" wrapText="1"/>
    </xf>
    <xf numFmtId="165" fontId="44" fillId="2" borderId="1" xfId="4" applyNumberFormat="1" applyFont="1" applyFill="1" applyBorder="1" applyAlignment="1">
      <alignment horizontal="center" vertical="center"/>
    </xf>
    <xf numFmtId="168" fontId="44" fillId="0" borderId="10" xfId="4" applyNumberFormat="1" applyFont="1" applyFill="1" applyBorder="1" applyAlignment="1">
      <alignment horizontal="center" vertical="center"/>
    </xf>
    <xf numFmtId="165" fontId="43" fillId="2" borderId="1" xfId="4" applyNumberFormat="1" applyFont="1" applyFill="1" applyBorder="1" applyAlignment="1">
      <alignment horizontal="left" vertical="center"/>
    </xf>
    <xf numFmtId="49" fontId="43" fillId="2" borderId="1" xfId="2" applyNumberFormat="1" applyFont="1" applyFill="1" applyBorder="1" applyAlignment="1">
      <alignment horizontal="center" vertical="center"/>
    </xf>
    <xf numFmtId="168" fontId="43" fillId="0" borderId="10" xfId="4" applyNumberFormat="1" applyFont="1" applyFill="1" applyBorder="1" applyAlignment="1">
      <alignment horizontal="center" vertical="center"/>
    </xf>
    <xf numFmtId="165" fontId="43" fillId="0" borderId="10" xfId="4" applyNumberFormat="1" applyFont="1" applyFill="1" applyBorder="1" applyAlignment="1">
      <alignment horizontal="center" vertical="center"/>
    </xf>
    <xf numFmtId="49" fontId="44" fillId="2" borderId="1" xfId="2" applyNumberFormat="1" applyFont="1" applyFill="1" applyBorder="1" applyAlignment="1">
      <alignment horizontal="right" vertical="center"/>
    </xf>
    <xf numFmtId="49" fontId="44" fillId="2" borderId="10" xfId="2" applyNumberFormat="1" applyFont="1" applyFill="1" applyBorder="1" applyAlignment="1">
      <alignment horizontal="center" vertical="center"/>
    </xf>
    <xf numFmtId="165" fontId="44" fillId="2" borderId="1" xfId="4" applyNumberFormat="1" applyFont="1" applyFill="1" applyBorder="1" applyAlignment="1">
      <alignment horizontal="right" vertical="center"/>
    </xf>
    <xf numFmtId="168" fontId="44" fillId="0" borderId="10" xfId="4" applyNumberFormat="1" applyFont="1" applyFill="1" applyBorder="1" applyAlignment="1">
      <alignment horizontal="right" vertical="center"/>
    </xf>
    <xf numFmtId="165" fontId="44" fillId="2" borderId="10" xfId="4" applyNumberFormat="1" applyFont="1" applyFill="1" applyBorder="1" applyAlignment="1">
      <alignment horizontal="right" vertical="center"/>
    </xf>
    <xf numFmtId="165" fontId="31" fillId="2" borderId="1" xfId="4" applyNumberFormat="1" applyFont="1" applyFill="1" applyBorder="1" applyAlignment="1">
      <alignment horizontal="right"/>
    </xf>
    <xf numFmtId="165" fontId="43" fillId="8" borderId="10" xfId="4" applyNumberFormat="1" applyFont="1" applyFill="1" applyBorder="1" applyAlignment="1">
      <alignment horizontal="center" vertical="center"/>
    </xf>
    <xf numFmtId="49" fontId="44" fillId="0" borderId="10" xfId="2" applyNumberFormat="1" applyFont="1" applyFill="1" applyBorder="1" applyAlignment="1">
      <alignment horizontal="center" vertical="center"/>
    </xf>
    <xf numFmtId="4" fontId="45" fillId="0" borderId="0" xfId="5688" applyNumberFormat="1" applyFont="1" applyFill="1" applyAlignment="1">
      <alignment horizontal="center" vertical="center"/>
    </xf>
    <xf numFmtId="168" fontId="45" fillId="0" borderId="0" xfId="5688" applyNumberFormat="1" applyFont="1" applyFill="1" applyAlignment="1">
      <alignment horizontal="center" vertical="center"/>
    </xf>
    <xf numFmtId="49" fontId="43" fillId="11" borderId="1" xfId="2" applyNumberFormat="1" applyFont="1" applyFill="1" applyBorder="1" applyAlignment="1">
      <alignment horizontal="center" vertical="center"/>
    </xf>
    <xf numFmtId="165" fontId="5" fillId="2" borderId="1" xfId="4" applyNumberFormat="1" applyFont="1" applyFill="1" applyBorder="1" applyAlignment="1">
      <alignment horizontal="justify" wrapText="1"/>
    </xf>
    <xf numFmtId="165" fontId="25" fillId="2" borderId="1" xfId="4" applyNumberFormat="1" applyFont="1" applyFill="1" applyBorder="1" applyAlignment="1">
      <alignment horizontal="justify" wrapText="1"/>
    </xf>
    <xf numFmtId="165" fontId="44" fillId="2" borderId="10" xfId="4" applyNumberFormat="1" applyFont="1" applyFill="1" applyBorder="1" applyAlignment="1">
      <alignment horizontal="center" vertical="center"/>
    </xf>
    <xf numFmtId="49" fontId="43" fillId="0" borderId="1" xfId="2" applyNumberFormat="1" applyFont="1" applyFill="1" applyBorder="1" applyAlignment="1">
      <alignment horizontal="center" vertical="center" wrapText="1"/>
    </xf>
    <xf numFmtId="168" fontId="41" fillId="0" borderId="10" xfId="4" applyNumberFormat="1" applyFont="1" applyFill="1" applyBorder="1" applyAlignment="1">
      <alignment horizontal="center" vertical="center"/>
    </xf>
    <xf numFmtId="165" fontId="41" fillId="2" borderId="10" xfId="4" applyNumberFormat="1" applyFont="1" applyFill="1" applyBorder="1" applyAlignment="1">
      <alignment horizontal="center" vertical="center"/>
    </xf>
    <xf numFmtId="168" fontId="45" fillId="0" borderId="10" xfId="4" applyNumberFormat="1" applyFont="1" applyFill="1" applyBorder="1" applyAlignment="1">
      <alignment horizontal="center" vertical="center"/>
    </xf>
    <xf numFmtId="165" fontId="45" fillId="0" borderId="10" xfId="4" applyNumberFormat="1" applyFont="1" applyFill="1" applyBorder="1" applyAlignment="1">
      <alignment horizontal="center" vertical="center"/>
    </xf>
    <xf numFmtId="49" fontId="45" fillId="2" borderId="1" xfId="2" applyNumberFormat="1" applyFont="1" applyFill="1" applyBorder="1" applyAlignment="1">
      <alignment horizontal="left" vertical="center"/>
    </xf>
    <xf numFmtId="49" fontId="45" fillId="2" borderId="1" xfId="2" applyNumberFormat="1" applyFont="1" applyFill="1" applyBorder="1" applyAlignment="1">
      <alignment horizontal="center" vertical="center"/>
    </xf>
    <xf numFmtId="49" fontId="43" fillId="2" borderId="1" xfId="2" applyNumberFormat="1" applyFont="1" applyFill="1" applyBorder="1" applyAlignment="1">
      <alignment horizontal="left" vertical="center" wrapText="1"/>
    </xf>
    <xf numFmtId="49" fontId="43" fillId="2" borderId="1" xfId="2" applyNumberFormat="1" applyFont="1" applyFill="1" applyBorder="1" applyAlignment="1">
      <alignment horizontal="center" vertical="center" wrapText="1"/>
    </xf>
    <xf numFmtId="49" fontId="43" fillId="80" borderId="4" xfId="2" applyNumberFormat="1" applyFont="1" applyFill="1" applyBorder="1" applyAlignment="1">
      <alignment horizontal="center" vertical="center" wrapText="1"/>
    </xf>
    <xf numFmtId="165" fontId="43" fillId="80" borderId="1" xfId="4" applyNumberFormat="1" applyFont="1" applyFill="1" applyBorder="1" applyAlignment="1">
      <alignment horizontal="center" vertical="center"/>
    </xf>
    <xf numFmtId="49" fontId="43" fillId="0" borderId="4" xfId="2" applyNumberFormat="1" applyFont="1" applyFill="1" applyBorder="1" applyAlignment="1">
      <alignment horizontal="center" vertical="center" wrapText="1"/>
    </xf>
    <xf numFmtId="49" fontId="43" fillId="80" borderId="1" xfId="2" applyNumberFormat="1" applyFont="1" applyFill="1" applyBorder="1" applyAlignment="1">
      <alignment horizontal="center" vertical="center" wrapText="1"/>
    </xf>
    <xf numFmtId="165" fontId="45" fillId="8" borderId="10" xfId="4" applyNumberFormat="1" applyFont="1" applyFill="1" applyBorder="1" applyAlignment="1">
      <alignment horizontal="center" vertical="center"/>
    </xf>
    <xf numFmtId="165" fontId="45" fillId="2" borderId="1" xfId="5" applyNumberFormat="1" applyFont="1" applyFill="1" applyBorder="1" applyAlignment="1" applyProtection="1">
      <alignment horizontal="left" vertical="center"/>
    </xf>
    <xf numFmtId="165" fontId="45" fillId="2" borderId="1" xfId="5" applyNumberFormat="1" applyFont="1" applyFill="1" applyBorder="1" applyAlignment="1" applyProtection="1">
      <alignment horizontal="center" vertical="center"/>
    </xf>
    <xf numFmtId="168" fontId="43" fillId="2" borderId="10" xfId="4" applyNumberFormat="1" applyFont="1" applyFill="1" applyBorder="1" applyAlignment="1">
      <alignment horizontal="center" vertical="center"/>
    </xf>
    <xf numFmtId="2" fontId="47" fillId="0" borderId="1" xfId="5688" applyNumberFormat="1" applyFont="1" applyFill="1" applyBorder="1" applyAlignment="1">
      <alignment horizontal="justify" vertical="center" wrapText="1"/>
    </xf>
    <xf numFmtId="165" fontId="31" fillId="2" borderId="1" xfId="4" applyNumberFormat="1" applyFont="1" applyFill="1" applyBorder="1"/>
    <xf numFmtId="165" fontId="41" fillId="0" borderId="1" xfId="4" applyNumberFormat="1" applyFont="1" applyFill="1" applyBorder="1" applyAlignment="1">
      <alignment horizontal="right" vertical="center"/>
    </xf>
    <xf numFmtId="168" fontId="41" fillId="0" borderId="10" xfId="4" applyNumberFormat="1" applyFont="1" applyFill="1" applyBorder="1" applyAlignment="1">
      <alignment horizontal="right" vertical="center"/>
    </xf>
    <xf numFmtId="165" fontId="41" fillId="2" borderId="10" xfId="4" applyNumberFormat="1" applyFont="1" applyFill="1" applyBorder="1" applyAlignment="1">
      <alignment horizontal="right" vertical="center"/>
    </xf>
    <xf numFmtId="165" fontId="25" fillId="2" borderId="1" xfId="4" applyNumberFormat="1" applyFont="1" applyFill="1" applyBorder="1" applyAlignment="1">
      <alignment vertical="center"/>
    </xf>
    <xf numFmtId="165" fontId="25" fillId="2" borderId="1" xfId="4" applyNumberFormat="1" applyFont="1" applyFill="1" applyBorder="1" applyAlignment="1">
      <alignment vertical="center" wrapText="1"/>
    </xf>
    <xf numFmtId="165" fontId="41" fillId="0" borderId="0" xfId="5" applyNumberFormat="1" applyFont="1" applyFill="1" applyBorder="1" applyAlignment="1" applyProtection="1">
      <alignment horizontal="left" vertical="center" wrapText="1"/>
    </xf>
    <xf numFmtId="1" fontId="43" fillId="2" borderId="1" xfId="2" applyNumberFormat="1" applyFont="1" applyFill="1" applyBorder="1" applyAlignment="1">
      <alignment horizontal="center" vertical="center"/>
    </xf>
    <xf numFmtId="165" fontId="25" fillId="0" borderId="1" xfId="4" applyNumberFormat="1" applyFont="1" applyFill="1" applyBorder="1" applyAlignment="1">
      <alignment horizontal="justify" wrapText="1"/>
    </xf>
    <xf numFmtId="49" fontId="45" fillId="11" borderId="1" xfId="2" applyNumberFormat="1" applyFont="1" applyFill="1" applyBorder="1" applyAlignment="1">
      <alignment horizontal="center" vertical="center"/>
    </xf>
    <xf numFmtId="165" fontId="41" fillId="11" borderId="10" xfId="4" applyNumberFormat="1" applyFont="1" applyFill="1" applyBorder="1" applyAlignment="1">
      <alignment horizontal="center" vertical="center"/>
    </xf>
    <xf numFmtId="168" fontId="41" fillId="11" borderId="10" xfId="4" applyNumberFormat="1" applyFont="1" applyFill="1" applyBorder="1" applyAlignment="1">
      <alignment horizontal="center" vertical="center"/>
    </xf>
    <xf numFmtId="165" fontId="44" fillId="2" borderId="3" xfId="4" applyNumberFormat="1" applyFont="1" applyFill="1" applyBorder="1" applyAlignment="1">
      <alignment horizontal="center" vertical="center"/>
    </xf>
    <xf numFmtId="165" fontId="45" fillId="8" borderId="1" xfId="5" applyNumberFormat="1" applyFont="1" applyFill="1" applyBorder="1" applyAlignment="1" applyProtection="1">
      <alignment horizontal="center" vertical="center"/>
    </xf>
    <xf numFmtId="168" fontId="44" fillId="8" borderId="10" xfId="4" applyNumberFormat="1" applyFont="1" applyFill="1" applyBorder="1" applyAlignment="1">
      <alignment horizontal="center" vertical="center"/>
    </xf>
    <xf numFmtId="165" fontId="44" fillId="8" borderId="10" xfId="4" applyNumberFormat="1" applyFont="1" applyFill="1" applyBorder="1" applyAlignment="1">
      <alignment horizontal="center" vertical="center"/>
    </xf>
    <xf numFmtId="165" fontId="31" fillId="8" borderId="0" xfId="4" applyNumberFormat="1" applyFont="1" applyFill="1"/>
    <xf numFmtId="168" fontId="44" fillId="12" borderId="10" xfId="4" applyNumberFormat="1" applyFont="1" applyFill="1" applyBorder="1" applyAlignment="1">
      <alignment horizontal="center" vertical="center"/>
    </xf>
    <xf numFmtId="165" fontId="44" fillId="12" borderId="10" xfId="4" applyNumberFormat="1" applyFont="1" applyFill="1" applyBorder="1" applyAlignment="1">
      <alignment horizontal="center" vertical="center"/>
    </xf>
    <xf numFmtId="165" fontId="25" fillId="12" borderId="1" xfId="4" applyNumberFormat="1" applyFont="1" applyFill="1" applyBorder="1"/>
    <xf numFmtId="165" fontId="43" fillId="2" borderId="1" xfId="4" applyNumberFormat="1" applyFont="1" applyFill="1" applyBorder="1" applyAlignment="1">
      <alignment vertical="center"/>
    </xf>
    <xf numFmtId="168" fontId="44" fillId="0" borderId="1" xfId="4" applyNumberFormat="1" applyFont="1" applyFill="1" applyBorder="1" applyAlignment="1">
      <alignment horizontal="center" vertical="center"/>
    </xf>
    <xf numFmtId="49" fontId="45" fillId="2" borderId="1" xfId="2" applyNumberFormat="1" applyFont="1" applyFill="1" applyBorder="1" applyAlignment="1">
      <alignment vertical="center"/>
    </xf>
    <xf numFmtId="49" fontId="41" fillId="12" borderId="1" xfId="2" applyNumberFormat="1" applyFont="1" applyFill="1" applyBorder="1" applyAlignment="1">
      <alignment horizontal="center" vertical="center"/>
    </xf>
    <xf numFmtId="165" fontId="31" fillId="12" borderId="1" xfId="4" applyNumberFormat="1" applyFont="1" applyFill="1" applyBorder="1"/>
    <xf numFmtId="49" fontId="43" fillId="0" borderId="1" xfId="2" applyNumberFormat="1" applyFont="1" applyFill="1" applyBorder="1" applyAlignment="1">
      <alignment horizontal="center" vertical="center"/>
    </xf>
    <xf numFmtId="165" fontId="25" fillId="0" borderId="1" xfId="4" applyNumberFormat="1" applyFont="1" applyFill="1" applyBorder="1"/>
    <xf numFmtId="49" fontId="43" fillId="2" borderId="1" xfId="5688" applyNumberFormat="1" applyFont="1" applyFill="1" applyBorder="1" applyAlignment="1">
      <alignment horizontal="justify" vertical="center"/>
    </xf>
    <xf numFmtId="165" fontId="41" fillId="8" borderId="1" xfId="4" applyNumberFormat="1" applyFont="1" applyFill="1" applyBorder="1" applyAlignment="1">
      <alignment horizontal="center" vertical="center"/>
    </xf>
    <xf numFmtId="165" fontId="41" fillId="2" borderId="11" xfId="5" applyNumberFormat="1" applyFont="1" applyFill="1" applyBorder="1" applyAlignment="1" applyProtection="1">
      <alignment horizontal="center" vertical="center"/>
    </xf>
    <xf numFmtId="0" fontId="14" fillId="0" borderId="1" xfId="5688" applyFont="1" applyBorder="1" applyAlignment="1">
      <alignment horizontal="center" vertical="center" wrapText="1"/>
    </xf>
    <xf numFmtId="0" fontId="284" fillId="0" borderId="1" xfId="5688" applyBorder="1" applyAlignment="1">
      <alignment vertical="center" wrapText="1"/>
    </xf>
    <xf numFmtId="0" fontId="7" fillId="0" borderId="1" xfId="5688" applyFont="1" applyBorder="1" applyAlignment="1">
      <alignment horizontal="center" vertical="center" wrapText="1"/>
    </xf>
    <xf numFmtId="0" fontId="7" fillId="0" borderId="2" xfId="5688" applyFont="1" applyFill="1" applyBorder="1" applyAlignment="1">
      <alignment horizontal="center" vertical="center" wrapText="1"/>
    </xf>
    <xf numFmtId="0" fontId="284" fillId="0" borderId="0" xfId="5688" applyFill="1" applyBorder="1" applyAlignment="1">
      <alignment horizontal="center" vertical="center" wrapText="1"/>
    </xf>
    <xf numFmtId="0" fontId="284" fillId="0" borderId="9" xfId="5688" applyFill="1" applyBorder="1" applyAlignment="1">
      <alignment horizontal="center" vertical="center" wrapText="1"/>
    </xf>
    <xf numFmtId="0" fontId="7" fillId="0" borderId="9" xfId="5688" applyFont="1" applyFill="1" applyBorder="1" applyAlignment="1">
      <alignment horizontal="center" vertical="center" wrapText="1"/>
    </xf>
    <xf numFmtId="0" fontId="7" fillId="0" borderId="0" xfId="5688" applyFont="1" applyFill="1" applyBorder="1" applyAlignment="1">
      <alignment horizontal="center" vertical="center" wrapText="1"/>
    </xf>
    <xf numFmtId="0" fontId="284" fillId="0" borderId="33" xfId="5688" applyFill="1" applyBorder="1" applyAlignment="1">
      <alignment horizontal="center" vertical="center" wrapText="1"/>
    </xf>
    <xf numFmtId="0" fontId="284" fillId="0" borderId="3" xfId="5688" applyFill="1" applyBorder="1" applyAlignment="1">
      <alignment horizontal="center" vertical="center" wrapText="1"/>
    </xf>
    <xf numFmtId="49" fontId="37" fillId="0" borderId="3" xfId="5688" applyNumberFormat="1" applyFont="1" applyFill="1" applyBorder="1" applyAlignment="1">
      <alignment horizontal="center" vertical="center" wrapText="1"/>
    </xf>
    <xf numFmtId="0" fontId="37" fillId="0" borderId="3" xfId="5688" applyFont="1" applyFill="1" applyBorder="1" applyAlignment="1">
      <alignment horizontal="center" vertical="center" wrapText="1"/>
    </xf>
    <xf numFmtId="0" fontId="37" fillId="0" borderId="13" xfId="5688" applyFont="1" applyFill="1" applyBorder="1" applyAlignment="1">
      <alignment horizontal="center" vertical="center" wrapText="1"/>
    </xf>
    <xf numFmtId="0" fontId="284" fillId="0" borderId="13" xfId="5688" applyFill="1" applyBorder="1" applyAlignment="1">
      <alignment horizontal="center" vertical="center" wrapText="1"/>
    </xf>
    <xf numFmtId="0" fontId="7" fillId="0" borderId="1" xfId="5688" applyFont="1" applyFill="1" applyBorder="1" applyAlignment="1">
      <alignment horizontal="center" vertical="center"/>
    </xf>
    <xf numFmtId="0" fontId="7" fillId="0" borderId="1" xfId="5688" applyFont="1" applyFill="1" applyBorder="1" applyAlignment="1">
      <alignment horizontal="center" vertical="center" wrapText="1"/>
    </xf>
    <xf numFmtId="165" fontId="25" fillId="2" borderId="0" xfId="4" applyNumberFormat="1" applyFont="1" applyFill="1" applyAlignment="1">
      <alignment vertical="center" wrapText="1"/>
    </xf>
    <xf numFmtId="165" fontId="25" fillId="2" borderId="96" xfId="4" applyNumberFormat="1" applyFont="1" applyFill="1" applyBorder="1"/>
    <xf numFmtId="165" fontId="38" fillId="4" borderId="51" xfId="4" applyNumberFormat="1" applyFont="1" applyFill="1" applyBorder="1"/>
    <xf numFmtId="165" fontId="38" fillId="8" borderId="51" xfId="4" applyNumberFormat="1" applyFont="1" applyFill="1" applyBorder="1"/>
    <xf numFmtId="165" fontId="44" fillId="8" borderId="1" xfId="4" applyNumberFormat="1" applyFont="1" applyFill="1" applyBorder="1" applyAlignment="1">
      <alignment horizontal="right" vertical="center"/>
    </xf>
    <xf numFmtId="165" fontId="41" fillId="8" borderId="4" xfId="4" applyNumberFormat="1" applyFont="1" applyFill="1" applyBorder="1" applyAlignment="1">
      <alignment horizontal="center" vertical="center"/>
    </xf>
    <xf numFmtId="3" fontId="241" fillId="0" borderId="0" xfId="2" applyNumberFormat="1" applyFont="1" applyBorder="1" applyAlignment="1">
      <alignment horizontal="left" vertical="center"/>
    </xf>
    <xf numFmtId="4" fontId="241" fillId="0" borderId="0" xfId="2" applyNumberFormat="1" applyFont="1" applyBorder="1" applyAlignment="1">
      <alignment horizontal="left" vertical="center"/>
    </xf>
    <xf numFmtId="3" fontId="241" fillId="0" borderId="0" xfId="2" applyNumberFormat="1" applyFont="1" applyFill="1" applyBorder="1" applyAlignment="1">
      <alignment horizontal="left" vertical="center"/>
    </xf>
    <xf numFmtId="0" fontId="230" fillId="0" borderId="11" xfId="2" applyFont="1" applyBorder="1" applyAlignment="1">
      <alignment horizontal="left" vertical="center" wrapText="1"/>
    </xf>
    <xf numFmtId="0" fontId="18" fillId="0" borderId="10" xfId="2" applyFont="1" applyBorder="1" applyAlignment="1">
      <alignment horizontal="center" vertical="center"/>
    </xf>
    <xf numFmtId="0" fontId="18" fillId="0" borderId="11" xfId="2" applyFont="1" applyBorder="1" applyAlignment="1">
      <alignment horizontal="left" vertical="center" wrapText="1"/>
    </xf>
    <xf numFmtId="0" fontId="18" fillId="0" borderId="98" xfId="2" applyFont="1" applyBorder="1" applyAlignment="1">
      <alignment horizontal="center" vertical="center" wrapText="1"/>
    </xf>
    <xf numFmtId="0" fontId="18" fillId="0" borderId="95" xfId="2" applyFont="1" applyBorder="1" applyAlignment="1">
      <alignment horizontal="center" vertical="center"/>
    </xf>
    <xf numFmtId="3" fontId="23" fillId="0" borderId="100" xfId="2" applyNumberFormat="1" applyFont="1" applyBorder="1" applyAlignment="1">
      <alignment horizontal="center" vertical="center"/>
    </xf>
    <xf numFmtId="3" fontId="18" fillId="0" borderId="100" xfId="2" applyNumberFormat="1" applyFont="1" applyBorder="1" applyAlignment="1">
      <alignment horizontal="center" vertical="center"/>
    </xf>
    <xf numFmtId="3" fontId="18" fillId="8" borderId="100" xfId="2" applyNumberFormat="1" applyFont="1" applyFill="1" applyBorder="1" applyAlignment="1">
      <alignment horizontal="center" vertical="center"/>
    </xf>
    <xf numFmtId="3" fontId="18" fillId="0" borderId="100" xfId="2" applyNumberFormat="1" applyFont="1" applyFill="1" applyBorder="1" applyAlignment="1">
      <alignment horizontal="center" vertical="center"/>
    </xf>
    <xf numFmtId="0" fontId="23" fillId="0" borderId="10" xfId="2" applyFont="1" applyBorder="1" applyAlignment="1">
      <alignment horizontal="center" vertical="center"/>
    </xf>
    <xf numFmtId="3" fontId="18" fillId="0" borderId="95" xfId="2" applyNumberFormat="1" applyFont="1" applyBorder="1" applyAlignment="1">
      <alignment horizontal="center" vertical="center"/>
    </xf>
    <xf numFmtId="172" fontId="18" fillId="0" borderId="0" xfId="2" applyNumberFormat="1" applyFont="1"/>
    <xf numFmtId="0" fontId="18" fillId="0" borderId="0" xfId="2" applyFont="1" applyAlignment="1">
      <alignment wrapText="1"/>
    </xf>
    <xf numFmtId="3" fontId="18" fillId="15" borderId="100" xfId="2" applyNumberFormat="1" applyFont="1" applyFill="1" applyBorder="1" applyAlignment="1">
      <alignment horizontal="center" vertical="center"/>
    </xf>
    <xf numFmtId="4" fontId="18" fillId="0" borderId="97" xfId="2" applyNumberFormat="1" applyFont="1" applyBorder="1" applyAlignment="1">
      <alignment horizontal="center" vertical="center"/>
    </xf>
    <xf numFmtId="4" fontId="23" fillId="0" borderId="0" xfId="2" applyNumberFormat="1" applyFont="1"/>
    <xf numFmtId="4" fontId="247" fillId="2" borderId="0" xfId="4662" applyNumberFormat="1" applyFont="1" applyFill="1"/>
    <xf numFmtId="3" fontId="7" fillId="0" borderId="0" xfId="2" applyNumberFormat="1" applyFont="1"/>
    <xf numFmtId="3" fontId="17" fillId="0" borderId="0" xfId="2" applyNumberFormat="1" applyFont="1"/>
    <xf numFmtId="0" fontId="9" fillId="2" borderId="0" xfId="0" applyFont="1" applyFill="1" applyAlignment="1">
      <alignment horizontal="right" vertical="top" wrapText="1"/>
    </xf>
    <xf numFmtId="0" fontId="9" fillId="2" borderId="0" xfId="0" applyFont="1" applyFill="1" applyAlignment="1">
      <alignment horizontal="right" wrapText="1"/>
    </xf>
    <xf numFmtId="4" fontId="3" fillId="0" borderId="1" xfId="0" applyNumberFormat="1" applyFont="1" applyFill="1" applyBorder="1" applyAlignment="1">
      <alignment horizontal="justify" vertical="center" wrapText="1"/>
    </xf>
    <xf numFmtId="4" fontId="3" fillId="2" borderId="95" xfId="0" applyNumberFormat="1" applyFont="1" applyFill="1" applyBorder="1" applyAlignment="1">
      <alignment horizontal="center" vertical="center" wrapText="1"/>
    </xf>
    <xf numFmtId="4" fontId="8" fillId="0" borderId="1" xfId="0" applyNumberFormat="1" applyFont="1" applyFill="1" applyBorder="1" applyAlignment="1">
      <alignment horizontal="center" vertical="center" wrapText="1"/>
    </xf>
    <xf numFmtId="0" fontId="5" fillId="0" borderId="0" xfId="0" applyFont="1" applyAlignment="1">
      <alignment horizontal="right" wrapText="1"/>
    </xf>
    <xf numFmtId="0" fontId="11" fillId="0" borderId="0" xfId="0" applyFont="1" applyAlignment="1">
      <alignment horizontal="center" vertical="center" wrapText="1"/>
    </xf>
    <xf numFmtId="0" fontId="10" fillId="0" borderId="0" xfId="0" applyFont="1" applyAlignment="1">
      <alignment horizontal="center" vertical="top" wrapText="1"/>
    </xf>
    <xf numFmtId="0" fontId="293" fillId="2" borderId="1" xfId="0" applyFont="1" applyFill="1" applyBorder="1" applyAlignment="1">
      <alignment horizontal="center" vertical="center" wrapText="1"/>
    </xf>
    <xf numFmtId="0" fontId="293" fillId="2" borderId="1" xfId="0" applyFont="1" applyFill="1" applyBorder="1" applyAlignment="1">
      <alignment horizontal="left" vertical="center" wrapText="1"/>
    </xf>
    <xf numFmtId="0" fontId="293" fillId="2" borderId="1" xfId="0" applyFont="1" applyFill="1" applyBorder="1" applyAlignment="1">
      <alignment vertical="center" wrapText="1"/>
    </xf>
    <xf numFmtId="0" fontId="294" fillId="2" borderId="1" xfId="1" applyFont="1" applyFill="1" applyBorder="1" applyAlignment="1">
      <alignment horizontal="left" vertical="center" wrapText="1"/>
    </xf>
    <xf numFmtId="0" fontId="294" fillId="2" borderId="1" xfId="0" applyFont="1" applyFill="1" applyBorder="1" applyAlignment="1">
      <alignment horizontal="left" vertical="center" wrapText="1"/>
    </xf>
    <xf numFmtId="4" fontId="295" fillId="2" borderId="1" xfId="4662" applyNumberFormat="1" applyFont="1" applyFill="1" applyBorder="1" applyAlignment="1">
      <alignment horizontal="right" vertical="center"/>
    </xf>
    <xf numFmtId="4" fontId="8" fillId="0" borderId="0" xfId="0" applyNumberFormat="1" applyFont="1" applyAlignment="1">
      <alignment wrapText="1"/>
    </xf>
    <xf numFmtId="0" fontId="3" fillId="8" borderId="0" xfId="0" applyFont="1" applyFill="1" applyAlignment="1">
      <alignment wrapText="1"/>
    </xf>
    <xf numFmtId="215" fontId="3" fillId="0" borderId="0" xfId="0" applyNumberFormat="1" applyFont="1" applyAlignment="1">
      <alignment horizontal="left" wrapText="1"/>
    </xf>
    <xf numFmtId="49" fontId="3" fillId="0" borderId="1" xfId="0" applyNumberFormat="1" applyFont="1" applyFill="1" applyBorder="1" applyAlignment="1">
      <alignment horizontal="center" vertical="center" wrapText="1"/>
    </xf>
    <xf numFmtId="0" fontId="3" fillId="0" borderId="1" xfId="0" applyFont="1" applyFill="1" applyBorder="1" applyAlignment="1">
      <alignment horizontal="justify" vertical="center" wrapText="1"/>
    </xf>
    <xf numFmtId="0" fontId="3" fillId="0" borderId="1" xfId="0" applyFont="1" applyFill="1" applyBorder="1" applyAlignment="1">
      <alignment horizontal="center" vertical="center" wrapText="1"/>
    </xf>
    <xf numFmtId="0" fontId="3" fillId="0" borderId="0" xfId="0" applyFont="1" applyFill="1" applyAlignment="1">
      <alignment wrapText="1"/>
    </xf>
    <xf numFmtId="0" fontId="9" fillId="0" borderId="1" xfId="0" applyFont="1" applyFill="1" applyBorder="1" applyAlignment="1">
      <alignment horizontal="justify" vertical="center" wrapText="1"/>
    </xf>
    <xf numFmtId="0" fontId="9" fillId="0" borderId="1" xfId="0" applyFont="1" applyFill="1" applyBorder="1" applyAlignment="1">
      <alignment horizontal="center" vertical="center" wrapText="1"/>
    </xf>
    <xf numFmtId="4" fontId="9" fillId="0" borderId="1" xfId="0" applyNumberFormat="1" applyFont="1" applyFill="1" applyBorder="1" applyAlignment="1">
      <alignment horizontal="center" vertical="center" wrapText="1"/>
    </xf>
    <xf numFmtId="0" fontId="9" fillId="0" borderId="0" xfId="0" applyFont="1" applyFill="1" applyAlignment="1">
      <alignment wrapText="1"/>
    </xf>
    <xf numFmtId="0" fontId="9" fillId="0" borderId="1" xfId="0" applyFont="1" applyFill="1" applyBorder="1" applyAlignment="1">
      <alignment horizontal="right" vertical="center" wrapText="1"/>
    </xf>
    <xf numFmtId="214" fontId="9" fillId="0" borderId="1" xfId="0" applyNumberFormat="1" applyFont="1" applyFill="1" applyBorder="1" applyAlignment="1">
      <alignment horizontal="center" vertical="center" wrapText="1"/>
    </xf>
    <xf numFmtId="49" fontId="9" fillId="0" borderId="1" xfId="0" applyNumberFormat="1" applyFont="1" applyFill="1" applyBorder="1" applyAlignment="1">
      <alignment vertical="center" wrapText="1"/>
    </xf>
    <xf numFmtId="0" fontId="3" fillId="0" borderId="0" xfId="0" applyFont="1" applyFill="1" applyAlignment="1">
      <alignment horizontal="center" vertical="center" wrapText="1"/>
    </xf>
    <xf numFmtId="4" fontId="3" fillId="0" borderId="0" xfId="0" applyNumberFormat="1" applyFont="1" applyAlignment="1">
      <alignment vertical="center" wrapText="1"/>
    </xf>
    <xf numFmtId="4" fontId="3" fillId="2" borderId="1" xfId="0" applyNumberFormat="1" applyFont="1" applyFill="1" applyBorder="1" applyAlignment="1">
      <alignment horizontal="justify" vertical="center" wrapText="1"/>
    </xf>
    <xf numFmtId="0" fontId="0" fillId="0" borderId="0" xfId="0" applyAlignment="1">
      <alignment horizontal="justify" wrapText="1"/>
    </xf>
    <xf numFmtId="49" fontId="3" fillId="0" borderId="0" xfId="0" applyNumberFormat="1" applyFont="1" applyAlignment="1">
      <alignment horizontal="left" vertical="center" wrapText="1"/>
    </xf>
    <xf numFmtId="0" fontId="0" fillId="0" borderId="0" xfId="0" applyFill="1" applyAlignment="1">
      <alignment horizontal="justify" wrapText="1"/>
    </xf>
    <xf numFmtId="0" fontId="3" fillId="0" borderId="0" xfId="0" applyFont="1" applyAlignment="1">
      <alignment horizontal="right" wrapText="1"/>
    </xf>
    <xf numFmtId="4" fontId="8" fillId="2" borderId="95" xfId="0" applyNumberFormat="1" applyFont="1" applyFill="1" applyBorder="1" applyAlignment="1">
      <alignment horizontal="center" vertical="center" wrapText="1"/>
    </xf>
    <xf numFmtId="4" fontId="3" fillId="0" borderId="95" xfId="0" applyNumberFormat="1" applyFont="1" applyFill="1" applyBorder="1" applyAlignment="1">
      <alignment horizontal="center" vertical="center" wrapText="1"/>
    </xf>
    <xf numFmtId="4" fontId="8" fillId="0" borderId="95" xfId="0"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0" fontId="9" fillId="0" borderId="1" xfId="0" applyFont="1" applyFill="1" applyBorder="1" applyAlignment="1">
      <alignment vertical="center" wrapText="1"/>
    </xf>
    <xf numFmtId="0" fontId="3" fillId="0" borderId="0" xfId="0" applyFont="1" applyAlignment="1">
      <alignment horizontal="right" wrapText="1"/>
    </xf>
    <xf numFmtId="0" fontId="11" fillId="0" borderId="0" xfId="0" applyFont="1" applyAlignment="1">
      <alignment horizontal="right" wrapText="1"/>
    </xf>
    <xf numFmtId="0" fontId="12" fillId="2" borderId="0" xfId="0" applyFont="1" applyFill="1" applyAlignment="1">
      <alignment horizontal="center" vertical="center" wrapText="1"/>
    </xf>
    <xf numFmtId="0" fontId="12" fillId="0" borderId="0" xfId="0" applyFont="1" applyAlignment="1">
      <alignment horizontal="center" vertical="center"/>
    </xf>
    <xf numFmtId="0" fontId="289" fillId="0" borderId="0" xfId="0" applyFont="1" applyAlignment="1"/>
    <xf numFmtId="0" fontId="40" fillId="0" borderId="0" xfId="0" applyFont="1" applyAlignment="1">
      <alignment horizontal="center" vertical="center" wrapText="1"/>
    </xf>
    <xf numFmtId="0" fontId="289" fillId="0" borderId="0" xfId="0" applyFont="1" applyAlignment="1">
      <alignment horizontal="center" vertical="center" wrapText="1"/>
    </xf>
    <xf numFmtId="0" fontId="291" fillId="0" borderId="0" xfId="0" applyFont="1" applyAlignment="1">
      <alignment horizontal="center" vertical="center" wrapText="1"/>
    </xf>
    <xf numFmtId="0" fontId="292" fillId="0" borderId="0" xfId="0" applyFont="1" applyAlignment="1">
      <alignment horizontal="center" vertical="center" wrapText="1"/>
    </xf>
    <xf numFmtId="0" fontId="10" fillId="0" borderId="0" xfId="0" applyFont="1" applyAlignment="1">
      <alignment horizontal="center" vertical="top"/>
    </xf>
    <xf numFmtId="0" fontId="288" fillId="0" borderId="0" xfId="0" applyFont="1" applyAlignment="1">
      <alignment vertical="top"/>
    </xf>
    <xf numFmtId="0" fontId="3" fillId="0" borderId="0" xfId="0" applyFont="1" applyAlignment="1">
      <alignment horizontal="right" wrapText="1"/>
    </xf>
    <xf numFmtId="0" fontId="12" fillId="0" borderId="0" xfId="0" applyFont="1" applyAlignment="1">
      <alignment horizontal="center" vertical="center" wrapText="1"/>
    </xf>
    <xf numFmtId="0" fontId="3" fillId="0" borderId="97" xfId="0" applyFont="1" applyBorder="1" applyAlignment="1">
      <alignment horizontal="center" vertical="center" wrapText="1"/>
    </xf>
    <xf numFmtId="0" fontId="3" fillId="0" borderId="98" xfId="0" applyFont="1" applyBorder="1" applyAlignment="1">
      <alignment horizontal="center" vertical="center" wrapText="1"/>
    </xf>
    <xf numFmtId="0" fontId="3" fillId="0" borderId="99" xfId="0" applyFont="1" applyBorder="1" applyAlignment="1">
      <alignment horizontal="center" vertical="center" wrapText="1"/>
    </xf>
    <xf numFmtId="49" fontId="3" fillId="0" borderId="0" xfId="0" applyNumberFormat="1" applyFont="1" applyAlignment="1">
      <alignment horizontal="left" vertical="center" wrapText="1"/>
    </xf>
    <xf numFmtId="49" fontId="3" fillId="0" borderId="1" xfId="0" applyNumberFormat="1" applyFont="1" applyBorder="1" applyAlignment="1">
      <alignment horizontal="center" vertical="center" wrapText="1"/>
    </xf>
    <xf numFmtId="0" fontId="3" fillId="0" borderId="1" xfId="0" applyFont="1" applyBorder="1" applyAlignment="1">
      <alignment horizontal="center" vertical="center" wrapText="1"/>
    </xf>
    <xf numFmtId="49" fontId="3" fillId="0" borderId="0" xfId="0" applyNumberFormat="1" applyFont="1" applyFill="1" applyAlignment="1">
      <alignment horizontal="justify" vertical="center" wrapText="1"/>
    </xf>
    <xf numFmtId="0" fontId="0" fillId="0" borderId="0" xfId="0" applyFill="1" applyAlignment="1">
      <alignment horizontal="justify" wrapText="1"/>
    </xf>
    <xf numFmtId="0" fontId="3" fillId="2" borderId="4" xfId="0" applyFont="1" applyFill="1" applyBorder="1" applyAlignment="1">
      <alignment horizontal="center"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49" fontId="3" fillId="2" borderId="4" xfId="0" applyNumberFormat="1" applyFont="1" applyFill="1" applyBorder="1" applyAlignment="1">
      <alignment horizontal="center" vertical="center" wrapText="1"/>
    </xf>
    <xf numFmtId="49" fontId="3" fillId="2" borderId="2" xfId="0" applyNumberFormat="1" applyFont="1" applyFill="1" applyBorder="1" applyAlignment="1">
      <alignment horizontal="center" vertical="center" wrapText="1"/>
    </xf>
    <xf numFmtId="49" fontId="3" fillId="2" borderId="3" xfId="0" applyNumberFormat="1" applyFont="1" applyFill="1" applyBorder="1" applyAlignment="1">
      <alignment horizontal="center" vertical="center" wrapText="1"/>
    </xf>
    <xf numFmtId="49" fontId="3" fillId="2" borderId="97" xfId="0" applyNumberFormat="1" applyFont="1" applyFill="1" applyBorder="1" applyAlignment="1">
      <alignment horizontal="center" vertical="center" wrapText="1"/>
    </xf>
    <xf numFmtId="49" fontId="3" fillId="2" borderId="98" xfId="0" applyNumberFormat="1" applyFont="1" applyFill="1" applyBorder="1" applyAlignment="1">
      <alignment horizontal="center" vertical="center" wrapText="1"/>
    </xf>
    <xf numFmtId="49" fontId="3" fillId="2" borderId="99" xfId="0" applyNumberFormat="1" applyFont="1" applyFill="1" applyBorder="1" applyAlignment="1">
      <alignment horizontal="center" vertical="center" wrapText="1"/>
    </xf>
    <xf numFmtId="49" fontId="3" fillId="0" borderId="0" xfId="0" applyNumberFormat="1" applyFont="1" applyAlignment="1">
      <alignment horizontal="justify" vertical="center" wrapText="1"/>
    </xf>
    <xf numFmtId="0" fontId="0" fillId="0" borderId="0" xfId="0" applyAlignment="1">
      <alignment horizontal="justify" wrapText="1"/>
    </xf>
    <xf numFmtId="4" fontId="3" fillId="2" borderId="97" xfId="0" applyNumberFormat="1" applyFont="1" applyFill="1" applyBorder="1" applyAlignment="1">
      <alignment horizontal="justify" vertical="center" wrapText="1"/>
    </xf>
    <xf numFmtId="4" fontId="3" fillId="2" borderId="99" xfId="0" applyNumberFormat="1" applyFont="1" applyFill="1" applyBorder="1" applyAlignment="1">
      <alignment horizontal="justify" vertical="center" wrapText="1"/>
    </xf>
    <xf numFmtId="49" fontId="9" fillId="0" borderId="1" xfId="0" applyNumberFormat="1" applyFont="1" applyFill="1" applyBorder="1" applyAlignment="1">
      <alignment horizontal="center" vertical="center" wrapText="1"/>
    </xf>
    <xf numFmtId="0" fontId="9" fillId="0" borderId="1" xfId="0" applyFont="1" applyBorder="1" applyAlignment="1">
      <alignment horizontal="center" vertical="center" wrapText="1"/>
    </xf>
    <xf numFmtId="49" fontId="9" fillId="0" borderId="1" xfId="0" applyNumberFormat="1" applyFont="1" applyBorder="1" applyAlignment="1">
      <alignment horizontal="center" vertical="center" wrapText="1"/>
    </xf>
    <xf numFmtId="0" fontId="11" fillId="0" borderId="0" xfId="0" applyFont="1" applyAlignment="1">
      <alignment horizontal="right" vertical="center" wrapText="1"/>
    </xf>
    <xf numFmtId="0" fontId="0" fillId="0" borderId="0" xfId="0" applyAlignment="1">
      <alignment wrapText="1"/>
    </xf>
    <xf numFmtId="0" fontId="11" fillId="0" borderId="0" xfId="0" applyFont="1" applyAlignment="1">
      <alignment horizontal="right" wrapText="1"/>
    </xf>
    <xf numFmtId="0" fontId="0" fillId="0" borderId="0" xfId="0" applyAlignment="1">
      <alignment horizontal="right" wrapText="1"/>
    </xf>
    <xf numFmtId="0" fontId="9" fillId="0" borderId="1" xfId="0" applyFont="1" applyFill="1" applyBorder="1" applyAlignment="1">
      <alignment horizontal="center" vertical="center" wrapText="1"/>
    </xf>
    <xf numFmtId="0" fontId="287" fillId="0" borderId="0" xfId="0" applyFont="1" applyAlignment="1">
      <alignment horizontal="center" vertical="center" wrapText="1"/>
    </xf>
    <xf numFmtId="49" fontId="18" fillId="0" borderId="10" xfId="2" applyNumberFormat="1" applyFont="1" applyBorder="1" applyAlignment="1">
      <alignment horizontal="center" vertical="center"/>
    </xf>
    <xf numFmtId="49" fontId="18" fillId="0" borderId="6" xfId="2" applyNumberFormat="1" applyFont="1" applyBorder="1" applyAlignment="1">
      <alignment horizontal="center" vertical="center"/>
    </xf>
    <xf numFmtId="49" fontId="18" fillId="0" borderId="11" xfId="2" applyNumberFormat="1" applyFont="1" applyBorder="1" applyAlignment="1">
      <alignment horizontal="center" vertical="center"/>
    </xf>
    <xf numFmtId="0" fontId="18" fillId="0" borderId="98" xfId="2" applyFont="1" applyBorder="1" applyAlignment="1">
      <alignment horizontal="justify" vertical="center" wrapText="1"/>
    </xf>
    <xf numFmtId="0" fontId="0" fillId="0" borderId="99" xfId="0" applyBorder="1" applyAlignment="1">
      <alignment vertical="center"/>
    </xf>
    <xf numFmtId="0" fontId="18" fillId="0" borderId="97" xfId="2" applyFont="1" applyBorder="1" applyAlignment="1">
      <alignment horizontal="center" vertical="center"/>
    </xf>
    <xf numFmtId="0" fontId="0" fillId="0" borderId="98" xfId="0" applyBorder="1" applyAlignment="1">
      <alignment horizontal="center" vertical="center"/>
    </xf>
    <xf numFmtId="0" fontId="0" fillId="0" borderId="99" xfId="0" applyBorder="1" applyAlignment="1">
      <alignment horizontal="center" vertical="center"/>
    </xf>
    <xf numFmtId="3" fontId="18" fillId="0" borderId="97" xfId="2" applyNumberFormat="1" applyFont="1" applyFill="1" applyBorder="1" applyAlignment="1">
      <alignment horizontal="center" vertical="center"/>
    </xf>
    <xf numFmtId="3" fontId="0" fillId="0" borderId="98" xfId="0" applyNumberFormat="1" applyBorder="1" applyAlignment="1">
      <alignment horizontal="center" vertical="center"/>
    </xf>
    <xf numFmtId="3" fontId="0" fillId="0" borderId="99" xfId="0" applyNumberFormat="1" applyBorder="1" applyAlignment="1">
      <alignment horizontal="center" vertical="center"/>
    </xf>
    <xf numFmtId="3" fontId="18" fillId="0" borderId="100" xfId="2" applyNumberFormat="1" applyFont="1" applyBorder="1" applyAlignment="1">
      <alignment horizontal="justify" vertical="center" wrapText="1"/>
    </xf>
    <xf numFmtId="0" fontId="18" fillId="0" borderId="101" xfId="2" applyFont="1" applyBorder="1" applyAlignment="1">
      <alignment horizontal="justify" vertical="center" wrapText="1"/>
    </xf>
    <xf numFmtId="0" fontId="18" fillId="0" borderId="102" xfId="2" applyFont="1" applyBorder="1" applyAlignment="1">
      <alignment horizontal="justify" vertical="center" wrapText="1"/>
    </xf>
    <xf numFmtId="0" fontId="0" fillId="0" borderId="32" xfId="0" applyBorder="1" applyAlignment="1">
      <alignment horizontal="justify" vertical="center" wrapText="1"/>
    </xf>
    <xf numFmtId="0" fontId="0" fillId="0" borderId="0" xfId="0" applyAlignment="1">
      <alignment horizontal="justify" vertical="center" wrapText="1"/>
    </xf>
    <xf numFmtId="0" fontId="0" fillId="0" borderId="33" xfId="0" applyBorder="1" applyAlignment="1">
      <alignment horizontal="justify" vertical="center" wrapText="1"/>
    </xf>
    <xf numFmtId="0" fontId="0" fillId="0" borderId="12" xfId="0" applyBorder="1" applyAlignment="1">
      <alignment horizontal="justify" vertical="center" wrapText="1"/>
    </xf>
    <xf numFmtId="0" fontId="0" fillId="0" borderId="5" xfId="0" applyBorder="1" applyAlignment="1">
      <alignment horizontal="justify" vertical="center" wrapText="1"/>
    </xf>
    <xf numFmtId="0" fontId="0" fillId="0" borderId="13" xfId="0" applyBorder="1" applyAlignment="1">
      <alignment horizontal="justify" vertical="center" wrapText="1"/>
    </xf>
    <xf numFmtId="0" fontId="18" fillId="0" borderId="100" xfId="2" applyFont="1" applyBorder="1" applyAlignment="1">
      <alignment horizontal="justify" vertical="center" wrapText="1"/>
    </xf>
    <xf numFmtId="4" fontId="18" fillId="0" borderId="100" xfId="2" applyNumberFormat="1" applyFont="1" applyBorder="1" applyAlignment="1">
      <alignment horizontal="justify" vertical="center" wrapText="1"/>
    </xf>
    <xf numFmtId="0" fontId="18" fillId="87" borderId="100" xfId="2" applyFont="1" applyFill="1" applyBorder="1" applyAlignment="1">
      <alignment horizontal="justify" vertical="center" wrapText="1"/>
    </xf>
    <xf numFmtId="0" fontId="18" fillId="87" borderId="101" xfId="2" applyFont="1" applyFill="1" applyBorder="1" applyAlignment="1">
      <alignment horizontal="justify" vertical="center" wrapText="1"/>
    </xf>
    <xf numFmtId="0" fontId="18" fillId="87" borderId="102" xfId="2" applyFont="1" applyFill="1" applyBorder="1" applyAlignment="1">
      <alignment horizontal="justify" vertical="center" wrapText="1"/>
    </xf>
    <xf numFmtId="0" fontId="0" fillId="87" borderId="12" xfId="0" applyFill="1" applyBorder="1" applyAlignment="1">
      <alignment horizontal="justify" vertical="center" wrapText="1"/>
    </xf>
    <xf numFmtId="0" fontId="0" fillId="87" borderId="5" xfId="0" applyFill="1" applyBorder="1" applyAlignment="1">
      <alignment horizontal="justify" vertical="center" wrapText="1"/>
    </xf>
    <xf numFmtId="0" fontId="0" fillId="87" borderId="13" xfId="0" applyFill="1" applyBorder="1" applyAlignment="1">
      <alignment horizontal="justify" vertical="center" wrapText="1"/>
    </xf>
    <xf numFmtId="0" fontId="0" fillId="87" borderId="32" xfId="0" applyFill="1" applyBorder="1" applyAlignment="1">
      <alignment horizontal="justify" vertical="center" wrapText="1"/>
    </xf>
    <xf numFmtId="0" fontId="0" fillId="87" borderId="0" xfId="0" applyFill="1" applyAlignment="1">
      <alignment horizontal="justify" vertical="center" wrapText="1"/>
    </xf>
    <xf numFmtId="0" fontId="0" fillId="87" borderId="33" xfId="0" applyFill="1" applyBorder="1" applyAlignment="1">
      <alignment horizontal="justify" vertical="center" wrapText="1"/>
    </xf>
    <xf numFmtId="164" fontId="18" fillId="87" borderId="100" xfId="2" applyNumberFormat="1" applyFont="1" applyFill="1" applyBorder="1" applyAlignment="1">
      <alignment horizontal="justify" vertical="center" wrapText="1"/>
    </xf>
    <xf numFmtId="0" fontId="0" fillId="87" borderId="101" xfId="0" applyFill="1" applyBorder="1" applyAlignment="1">
      <alignment horizontal="justify" vertical="center" wrapText="1"/>
    </xf>
    <xf numFmtId="0" fontId="0" fillId="87" borderId="102" xfId="0" applyFill="1" applyBorder="1" applyAlignment="1">
      <alignment horizontal="justify" vertical="center" wrapText="1"/>
    </xf>
    <xf numFmtId="164" fontId="18" fillId="0" borderId="97" xfId="2" applyNumberFormat="1" applyFont="1" applyFill="1" applyBorder="1" applyAlignment="1">
      <alignment horizontal="center" vertical="center"/>
    </xf>
    <xf numFmtId="0" fontId="18" fillId="0" borderId="10" xfId="2" applyFont="1" applyBorder="1" applyAlignment="1">
      <alignment horizontal="center" vertical="center"/>
    </xf>
    <xf numFmtId="0" fontId="18" fillId="0" borderId="6" xfId="2" applyFont="1" applyBorder="1" applyAlignment="1">
      <alignment horizontal="center" vertical="center"/>
    </xf>
    <xf numFmtId="0" fontId="18" fillId="0" borderId="11" xfId="2" applyFont="1" applyBorder="1" applyAlignment="1">
      <alignment horizontal="center" vertical="center"/>
    </xf>
    <xf numFmtId="3" fontId="18" fillId="0" borderId="10" xfId="2" applyNumberFormat="1" applyFont="1" applyBorder="1" applyAlignment="1">
      <alignment horizontal="center" vertical="center"/>
    </xf>
    <xf numFmtId="3" fontId="18" fillId="0" borderId="6" xfId="2" applyNumberFormat="1" applyFont="1" applyBorder="1" applyAlignment="1">
      <alignment horizontal="center" vertical="center"/>
    </xf>
    <xf numFmtId="3" fontId="18" fillId="0" borderId="11" xfId="2" applyNumberFormat="1" applyFont="1" applyBorder="1" applyAlignment="1">
      <alignment horizontal="center" vertical="center"/>
    </xf>
    <xf numFmtId="0" fontId="18" fillId="0" borderId="6" xfId="2" applyFont="1" applyBorder="1" applyAlignment="1">
      <alignment horizontal="justify" vertical="center" wrapText="1"/>
    </xf>
    <xf numFmtId="3" fontId="18" fillId="5" borderId="10" xfId="2" applyNumberFormat="1" applyFont="1" applyFill="1" applyBorder="1" applyAlignment="1">
      <alignment horizontal="center" vertical="center"/>
    </xf>
    <xf numFmtId="3" fontId="18" fillId="5" borderId="6" xfId="2" applyNumberFormat="1" applyFont="1" applyFill="1" applyBorder="1" applyAlignment="1">
      <alignment horizontal="center" vertical="center"/>
    </xf>
    <xf numFmtId="3" fontId="18" fillId="5" borderId="11" xfId="2" applyNumberFormat="1" applyFont="1" applyFill="1" applyBorder="1" applyAlignment="1">
      <alignment horizontal="center" vertical="center"/>
    </xf>
    <xf numFmtId="49" fontId="23" fillId="0" borderId="10" xfId="2" applyNumberFormat="1" applyFont="1" applyBorder="1" applyAlignment="1">
      <alignment horizontal="center" vertical="center"/>
    </xf>
    <xf numFmtId="49" fontId="23" fillId="0" borderId="6" xfId="2" applyNumberFormat="1" applyFont="1" applyBorder="1" applyAlignment="1">
      <alignment horizontal="center" vertical="center"/>
    </xf>
    <xf numFmtId="49" fontId="23" fillId="0" borderId="11" xfId="2" applyNumberFormat="1" applyFont="1" applyBorder="1" applyAlignment="1">
      <alignment horizontal="center" vertical="center"/>
    </xf>
    <xf numFmtId="0" fontId="23" fillId="0" borderId="6" xfId="2" applyFont="1" applyBorder="1" applyAlignment="1">
      <alignment horizontal="justify" vertical="center" wrapText="1"/>
    </xf>
    <xf numFmtId="0" fontId="23" fillId="0" borderId="10" xfId="2" applyFont="1" applyBorder="1" applyAlignment="1">
      <alignment horizontal="center" vertical="center"/>
    </xf>
    <xf numFmtId="0" fontId="23" fillId="0" borderId="6" xfId="2" applyFont="1" applyBorder="1" applyAlignment="1">
      <alignment horizontal="center" vertical="center"/>
    </xf>
    <xf numFmtId="0" fontId="23" fillId="0" borderId="11" xfId="2" applyFont="1" applyBorder="1" applyAlignment="1">
      <alignment horizontal="center" vertical="center"/>
    </xf>
    <xf numFmtId="3" fontId="23" fillId="0" borderId="10" xfId="2" applyNumberFormat="1" applyFont="1" applyBorder="1" applyAlignment="1">
      <alignment horizontal="center" vertical="center"/>
    </xf>
    <xf numFmtId="3" fontId="23" fillId="0" borderId="6" xfId="2" applyNumberFormat="1" applyFont="1" applyBorder="1" applyAlignment="1">
      <alignment horizontal="center" vertical="center"/>
    </xf>
    <xf numFmtId="3" fontId="23" fillId="0" borderId="11" xfId="2" applyNumberFormat="1" applyFont="1" applyBorder="1" applyAlignment="1">
      <alignment horizontal="center" vertical="center"/>
    </xf>
    <xf numFmtId="0" fontId="16" fillId="0" borderId="0" xfId="2" applyFont="1" applyAlignment="1">
      <alignment horizontal="right"/>
    </xf>
    <xf numFmtId="0" fontId="15" fillId="0" borderId="0" xfId="2" applyAlignment="1">
      <alignment horizontal="right"/>
    </xf>
    <xf numFmtId="0" fontId="14" fillId="0" borderId="0" xfId="2" applyFont="1" applyAlignment="1">
      <alignment horizontal="center"/>
    </xf>
    <xf numFmtId="0" fontId="18" fillId="0" borderId="4" xfId="2" applyFont="1" applyBorder="1" applyAlignment="1">
      <alignment horizontal="center" vertical="center" wrapText="1"/>
    </xf>
    <xf numFmtId="0" fontId="15" fillId="0" borderId="3" xfId="2" applyBorder="1" applyAlignment="1">
      <alignment horizontal="center" vertical="center" wrapText="1"/>
    </xf>
    <xf numFmtId="0" fontId="18" fillId="0" borderId="10" xfId="2" applyFont="1" applyBorder="1" applyAlignment="1">
      <alignment horizontal="center" vertical="center" wrapText="1"/>
    </xf>
    <xf numFmtId="0" fontId="17" fillId="0" borderId="5" xfId="2" applyFont="1" applyBorder="1" applyAlignment="1">
      <alignment horizontal="left"/>
    </xf>
    <xf numFmtId="49" fontId="17" fillId="0" borderId="5" xfId="2" applyNumberFormat="1" applyFont="1" applyBorder="1" applyAlignment="1">
      <alignment horizontal="left"/>
    </xf>
    <xf numFmtId="49" fontId="17" fillId="0" borderId="6" xfId="2" applyNumberFormat="1" applyFont="1" applyBorder="1" applyAlignment="1">
      <alignment horizontal="left"/>
    </xf>
    <xf numFmtId="49" fontId="17" fillId="0" borderId="5" xfId="2" applyNumberFormat="1" applyFont="1" applyBorder="1" applyAlignment="1">
      <alignment horizontal="center"/>
    </xf>
    <xf numFmtId="49" fontId="17" fillId="0" borderId="0" xfId="2" applyNumberFormat="1" applyFont="1" applyBorder="1" applyAlignment="1">
      <alignment horizontal="center"/>
    </xf>
    <xf numFmtId="0" fontId="18" fillId="0" borderId="7" xfId="2" applyFont="1" applyBorder="1" applyAlignment="1">
      <alignment horizontal="center" vertical="center" wrapText="1"/>
    </xf>
    <xf numFmtId="0" fontId="18" fillId="0" borderId="8" xfId="2" applyFont="1" applyBorder="1" applyAlignment="1">
      <alignment horizontal="center" vertical="center"/>
    </xf>
    <xf numFmtId="0" fontId="18" fillId="0" borderId="9" xfId="2" applyFont="1" applyBorder="1" applyAlignment="1">
      <alignment horizontal="center" vertical="center"/>
    </xf>
    <xf numFmtId="0" fontId="18" fillId="0" borderId="12" xfId="2" applyFont="1" applyBorder="1" applyAlignment="1">
      <alignment horizontal="center" vertical="center"/>
    </xf>
    <xf numFmtId="0" fontId="18" fillId="0" borderId="5" xfId="2" applyFont="1" applyBorder="1" applyAlignment="1">
      <alignment horizontal="center" vertical="center"/>
    </xf>
    <xf numFmtId="0" fontId="18" fillId="0" borderId="13" xfId="2" applyFont="1" applyBorder="1" applyAlignment="1">
      <alignment horizontal="center" vertical="center"/>
    </xf>
    <xf numFmtId="0" fontId="18" fillId="0" borderId="7" xfId="2" applyFont="1" applyBorder="1" applyAlignment="1">
      <alignment horizontal="center" vertical="center"/>
    </xf>
    <xf numFmtId="0" fontId="18" fillId="0" borderId="8" xfId="2" applyFont="1" applyBorder="1" applyAlignment="1">
      <alignment horizontal="center" vertical="center" wrapText="1"/>
    </xf>
    <xf numFmtId="0" fontId="18" fillId="0" borderId="9" xfId="2" applyFont="1" applyBorder="1" applyAlignment="1">
      <alignment horizontal="center" vertical="center" wrapText="1"/>
    </xf>
    <xf numFmtId="0" fontId="18" fillId="0" borderId="12" xfId="2" applyFont="1" applyBorder="1" applyAlignment="1">
      <alignment horizontal="center" vertical="center" wrapText="1"/>
    </xf>
    <xf numFmtId="0" fontId="18" fillId="0" borderId="5" xfId="2" applyFont="1" applyBorder="1" applyAlignment="1">
      <alignment horizontal="center" vertical="center" wrapText="1"/>
    </xf>
    <xf numFmtId="0" fontId="18" fillId="0" borderId="13" xfId="2" applyFont="1" applyBorder="1" applyAlignment="1">
      <alignment horizontal="center" vertical="center" wrapText="1"/>
    </xf>
    <xf numFmtId="3" fontId="18" fillId="0" borderId="10" xfId="2" applyNumberFormat="1" applyFont="1" applyBorder="1" applyAlignment="1">
      <alignment horizontal="left" vertical="center" wrapText="1"/>
    </xf>
    <xf numFmtId="3" fontId="18" fillId="0" borderId="6" xfId="2" applyNumberFormat="1" applyFont="1" applyBorder="1" applyAlignment="1">
      <alignment horizontal="left" vertical="center" wrapText="1"/>
    </xf>
    <xf numFmtId="3" fontId="18" fillId="0" borderId="11" xfId="2" applyNumberFormat="1" applyFont="1" applyBorder="1" applyAlignment="1">
      <alignment horizontal="left" vertical="center" wrapText="1"/>
    </xf>
    <xf numFmtId="0" fontId="18" fillId="0" borderId="6" xfId="2" applyFont="1" applyBorder="1" applyAlignment="1">
      <alignment horizontal="center" vertical="center" wrapText="1"/>
    </xf>
    <xf numFmtId="0" fontId="18" fillId="0" borderId="11" xfId="2" applyFont="1" applyBorder="1" applyAlignment="1">
      <alignment horizontal="center" vertical="center" wrapText="1"/>
    </xf>
    <xf numFmtId="3" fontId="286" fillId="5" borderId="10" xfId="2" applyNumberFormat="1" applyFont="1" applyFill="1" applyBorder="1" applyAlignment="1">
      <alignment horizontal="center" vertical="center"/>
    </xf>
    <xf numFmtId="3" fontId="286" fillId="5" borderId="6" xfId="2" applyNumberFormat="1" applyFont="1" applyFill="1" applyBorder="1" applyAlignment="1">
      <alignment horizontal="center" vertical="center"/>
    </xf>
    <xf numFmtId="3" fontId="286" fillId="5" borderId="11" xfId="2" applyNumberFormat="1" applyFont="1" applyFill="1" applyBorder="1" applyAlignment="1">
      <alignment horizontal="center" vertical="center"/>
    </xf>
    <xf numFmtId="14" fontId="23" fillId="0" borderId="4" xfId="2" applyNumberFormat="1" applyFont="1" applyBorder="1" applyAlignment="1">
      <alignment horizontal="center" vertical="center"/>
    </xf>
    <xf numFmtId="14" fontId="23" fillId="0" borderId="2" xfId="2" applyNumberFormat="1" applyFont="1" applyBorder="1" applyAlignment="1">
      <alignment horizontal="center" vertical="center"/>
    </xf>
    <xf numFmtId="14" fontId="23" fillId="0" borderId="3" xfId="2" applyNumberFormat="1" applyFont="1" applyBorder="1" applyAlignment="1">
      <alignment horizontal="center" vertical="center"/>
    </xf>
    <xf numFmtId="0" fontId="18" fillId="0" borderId="10" xfId="2" applyFont="1" applyBorder="1" applyAlignment="1">
      <alignment horizontal="left" vertical="center" wrapText="1"/>
    </xf>
    <xf numFmtId="0" fontId="18" fillId="0" borderId="6" xfId="2" applyFont="1" applyBorder="1" applyAlignment="1">
      <alignment horizontal="left" vertical="center" wrapText="1"/>
    </xf>
    <xf numFmtId="0" fontId="18" fillId="0" borderId="11" xfId="2" applyFont="1" applyBorder="1" applyAlignment="1">
      <alignment horizontal="left" vertical="center" wrapText="1"/>
    </xf>
    <xf numFmtId="0" fontId="18" fillId="0" borderId="6" xfId="2" applyFont="1" applyFill="1" applyBorder="1" applyAlignment="1">
      <alignment horizontal="justify" vertical="center" wrapText="1"/>
    </xf>
    <xf numFmtId="4" fontId="18" fillId="0" borderId="10" xfId="2" applyNumberFormat="1" applyFont="1" applyBorder="1" applyAlignment="1">
      <alignment horizontal="center" vertical="center"/>
    </xf>
    <xf numFmtId="4" fontId="18" fillId="0" borderId="6" xfId="2" applyNumberFormat="1" applyFont="1" applyBorder="1" applyAlignment="1">
      <alignment horizontal="center" vertical="center"/>
    </xf>
    <xf numFmtId="4" fontId="18" fillId="0" borderId="11" xfId="2" applyNumberFormat="1" applyFont="1" applyBorder="1" applyAlignment="1">
      <alignment horizontal="center" vertical="center"/>
    </xf>
    <xf numFmtId="3" fontId="18" fillId="0" borderId="97" xfId="2" applyNumberFormat="1" applyFont="1" applyBorder="1" applyAlignment="1">
      <alignment horizontal="left" vertical="center" wrapText="1"/>
    </xf>
    <xf numFmtId="3" fontId="18" fillId="0" borderId="98" xfId="2" applyNumberFormat="1" applyFont="1" applyBorder="1" applyAlignment="1">
      <alignment horizontal="left" vertical="center" wrapText="1"/>
    </xf>
    <xf numFmtId="3" fontId="18" fillId="0" borderId="99" xfId="2" applyNumberFormat="1" applyFont="1" applyBorder="1" applyAlignment="1">
      <alignment horizontal="left" vertical="center" wrapText="1"/>
    </xf>
    <xf numFmtId="0" fontId="18" fillId="0" borderId="4" xfId="2" applyFont="1" applyBorder="1" applyAlignment="1">
      <alignment horizontal="justify" vertical="center" wrapText="1"/>
    </xf>
    <xf numFmtId="0" fontId="15" fillId="0" borderId="3" xfId="2" applyBorder="1" applyAlignment="1">
      <alignment horizontal="justify" vertical="center" wrapText="1"/>
    </xf>
    <xf numFmtId="0" fontId="15" fillId="0" borderId="2" xfId="2" applyBorder="1" applyAlignment="1">
      <alignment horizontal="justify" vertical="center" wrapText="1"/>
    </xf>
    <xf numFmtId="0" fontId="18" fillId="87" borderId="97" xfId="2" applyFont="1" applyFill="1" applyBorder="1" applyAlignment="1">
      <alignment horizontal="justify" vertical="center" wrapText="1"/>
    </xf>
    <xf numFmtId="0" fontId="18" fillId="87" borderId="98" xfId="2" applyFont="1" applyFill="1" applyBorder="1" applyAlignment="1">
      <alignment horizontal="justify" vertical="center" wrapText="1"/>
    </xf>
    <xf numFmtId="0" fontId="18" fillId="87" borderId="99" xfId="2" applyFont="1" applyFill="1" applyBorder="1" applyAlignment="1">
      <alignment horizontal="justify" vertical="center" wrapText="1"/>
    </xf>
    <xf numFmtId="0" fontId="18" fillId="0" borderId="97" xfId="2" applyFont="1" applyFill="1" applyBorder="1" applyAlignment="1">
      <alignment horizontal="justify" vertical="center" wrapText="1"/>
    </xf>
    <xf numFmtId="0" fontId="18" fillId="0" borderId="98" xfId="2" applyFont="1" applyFill="1" applyBorder="1" applyAlignment="1">
      <alignment horizontal="justify" vertical="center" wrapText="1"/>
    </xf>
    <xf numFmtId="0" fontId="18" fillId="0" borderId="99" xfId="2" applyFont="1" applyFill="1" applyBorder="1" applyAlignment="1">
      <alignment horizontal="justify" vertical="center" wrapText="1"/>
    </xf>
    <xf numFmtId="49" fontId="18" fillId="0" borderId="97" xfId="2" applyNumberFormat="1" applyFont="1" applyBorder="1" applyAlignment="1">
      <alignment horizontal="center" vertical="center"/>
    </xf>
    <xf numFmtId="49" fontId="18" fillId="0" borderId="98" xfId="2" applyNumberFormat="1" applyFont="1" applyBorder="1" applyAlignment="1">
      <alignment horizontal="center" vertical="center"/>
    </xf>
    <xf numFmtId="49" fontId="18" fillId="0" borderId="99" xfId="2" applyNumberFormat="1" applyFont="1" applyBorder="1" applyAlignment="1">
      <alignment horizontal="center" vertical="center"/>
    </xf>
    <xf numFmtId="3" fontId="18" fillId="15" borderId="10" xfId="2" applyNumberFormat="1" applyFont="1" applyFill="1" applyBorder="1" applyAlignment="1">
      <alignment horizontal="center" vertical="center"/>
    </xf>
    <xf numFmtId="3" fontId="18" fillId="15" borderId="6" xfId="2" applyNumberFormat="1" applyFont="1" applyFill="1" applyBorder="1" applyAlignment="1">
      <alignment horizontal="center" vertical="center"/>
    </xf>
    <xf numFmtId="3" fontId="18" fillId="15" borderId="11" xfId="2" applyNumberFormat="1" applyFont="1" applyFill="1" applyBorder="1" applyAlignment="1">
      <alignment horizontal="center" vertical="center"/>
    </xf>
    <xf numFmtId="3" fontId="18" fillId="15" borderId="97" xfId="2" applyNumberFormat="1" applyFont="1" applyFill="1" applyBorder="1" applyAlignment="1">
      <alignment horizontal="center" vertical="center"/>
    </xf>
    <xf numFmtId="3" fontId="18" fillId="15" borderId="98" xfId="2" applyNumberFormat="1" applyFont="1" applyFill="1" applyBorder="1" applyAlignment="1">
      <alignment horizontal="center" vertical="center"/>
    </xf>
    <xf numFmtId="3" fontId="18" fillId="15" borderId="99" xfId="2" applyNumberFormat="1" applyFont="1" applyFill="1" applyBorder="1" applyAlignment="1">
      <alignment horizontal="center" vertical="center"/>
    </xf>
    <xf numFmtId="0" fontId="18" fillId="0" borderId="2" xfId="2" applyFont="1" applyBorder="1" applyAlignment="1">
      <alignment horizontal="justify" vertical="center" wrapText="1"/>
    </xf>
    <xf numFmtId="0" fontId="15" fillId="0" borderId="2" xfId="2" applyBorder="1" applyAlignment="1">
      <alignment horizontal="justify" vertical="center"/>
    </xf>
    <xf numFmtId="0" fontId="15" fillId="0" borderId="3" xfId="2" applyBorder="1" applyAlignment="1">
      <alignment horizontal="justify"/>
    </xf>
    <xf numFmtId="0" fontId="18" fillId="0" borderId="98" xfId="2" applyFont="1" applyBorder="1" applyAlignment="1">
      <alignment horizontal="center" vertical="center"/>
    </xf>
    <xf numFmtId="0" fontId="18" fillId="0" borderId="99" xfId="2" applyFont="1" applyBorder="1" applyAlignment="1">
      <alignment horizontal="center" vertical="center"/>
    </xf>
    <xf numFmtId="3" fontId="18" fillId="8" borderId="10" xfId="2" applyNumberFormat="1" applyFont="1" applyFill="1" applyBorder="1" applyAlignment="1">
      <alignment horizontal="center" vertical="center"/>
    </xf>
    <xf numFmtId="3" fontId="18" fillId="8" borderId="6" xfId="2" applyNumberFormat="1" applyFont="1" applyFill="1" applyBorder="1" applyAlignment="1">
      <alignment horizontal="center" vertical="center"/>
    </xf>
    <xf numFmtId="3" fontId="18" fillId="8" borderId="11" xfId="2" applyNumberFormat="1" applyFont="1" applyFill="1" applyBorder="1" applyAlignment="1">
      <alignment horizontal="center" vertical="center"/>
    </xf>
    <xf numFmtId="14" fontId="23" fillId="0" borderId="103" xfId="2" applyNumberFormat="1" applyFont="1" applyBorder="1" applyAlignment="1">
      <alignment horizontal="center" vertical="center"/>
    </xf>
    <xf numFmtId="3" fontId="18" fillId="0" borderId="10" xfId="2" applyNumberFormat="1" applyFont="1" applyFill="1" applyBorder="1" applyAlignment="1">
      <alignment horizontal="center" vertical="center"/>
    </xf>
    <xf numFmtId="3" fontId="18" fillId="0" borderId="6" xfId="2" applyNumberFormat="1" applyFont="1" applyFill="1" applyBorder="1" applyAlignment="1">
      <alignment horizontal="center" vertical="center"/>
    </xf>
    <xf numFmtId="3" fontId="18" fillId="0" borderId="11" xfId="2" applyNumberFormat="1" applyFont="1" applyFill="1" applyBorder="1" applyAlignment="1">
      <alignment horizontal="center" vertical="center"/>
    </xf>
    <xf numFmtId="0" fontId="230" fillId="0" borderId="98" xfId="2" applyFont="1" applyBorder="1" applyAlignment="1">
      <alignment horizontal="right" vertical="center" wrapText="1"/>
    </xf>
    <xf numFmtId="0" fontId="230" fillId="0" borderId="97" xfId="2" applyFont="1" applyBorder="1" applyAlignment="1">
      <alignment horizontal="center" vertical="center"/>
    </xf>
    <xf numFmtId="0" fontId="230" fillId="0" borderId="98" xfId="2" applyFont="1" applyBorder="1" applyAlignment="1">
      <alignment horizontal="center" vertical="center"/>
    </xf>
    <xf numFmtId="0" fontId="230" fillId="0" borderId="99" xfId="2" applyFont="1" applyBorder="1" applyAlignment="1">
      <alignment horizontal="center" vertical="center"/>
    </xf>
    <xf numFmtId="0" fontId="23" fillId="0" borderId="2" xfId="2" applyFont="1" applyBorder="1" applyAlignment="1">
      <alignment horizontal="center" vertical="center"/>
    </xf>
    <xf numFmtId="0" fontId="23" fillId="0" borderId="3" xfId="2" applyFont="1" applyBorder="1" applyAlignment="1">
      <alignment horizontal="center" vertical="center"/>
    </xf>
    <xf numFmtId="0" fontId="0" fillId="0" borderId="3" xfId="0" applyBorder="1" applyAlignment="1">
      <alignment vertical="center"/>
    </xf>
    <xf numFmtId="0" fontId="19" fillId="0" borderId="0" xfId="2" applyFont="1" applyAlignment="1">
      <alignment horizontal="justify" wrapText="1"/>
    </xf>
    <xf numFmtId="0" fontId="16" fillId="0" borderId="0" xfId="2" applyFont="1" applyAlignment="1">
      <alignment horizontal="justify" wrapText="1"/>
    </xf>
    <xf numFmtId="0" fontId="15" fillId="0" borderId="0" xfId="2" applyAlignment="1"/>
    <xf numFmtId="0" fontId="18" fillId="0" borderId="3" xfId="2" applyFont="1" applyBorder="1" applyAlignment="1">
      <alignment horizontal="center" vertical="center" wrapText="1"/>
    </xf>
    <xf numFmtId="3" fontId="230" fillId="5" borderId="10" xfId="2" applyNumberFormat="1" applyFont="1" applyFill="1" applyBorder="1" applyAlignment="1">
      <alignment horizontal="center" vertical="center"/>
    </xf>
    <xf numFmtId="3" fontId="230" fillId="5" borderId="6" xfId="2" applyNumberFormat="1" applyFont="1" applyFill="1" applyBorder="1" applyAlignment="1">
      <alignment horizontal="center" vertical="center"/>
    </xf>
    <xf numFmtId="3" fontId="230" fillId="5" borderId="11" xfId="2" applyNumberFormat="1" applyFont="1" applyFill="1" applyBorder="1" applyAlignment="1">
      <alignment horizontal="center" vertical="center"/>
    </xf>
    <xf numFmtId="3" fontId="230" fillId="5" borderId="97" xfId="2" applyNumberFormat="1" applyFont="1" applyFill="1" applyBorder="1" applyAlignment="1">
      <alignment horizontal="center" vertical="center"/>
    </xf>
    <xf numFmtId="3" fontId="230" fillId="5" borderId="98" xfId="2" applyNumberFormat="1" applyFont="1" applyFill="1" applyBorder="1" applyAlignment="1">
      <alignment horizontal="center" vertical="center"/>
    </xf>
    <xf numFmtId="3" fontId="230" fillId="5" borderId="99" xfId="2" applyNumberFormat="1" applyFont="1" applyFill="1" applyBorder="1" applyAlignment="1">
      <alignment horizontal="center" vertical="center"/>
    </xf>
    <xf numFmtId="0" fontId="18" fillId="87" borderId="7" xfId="2" applyFont="1" applyFill="1" applyBorder="1" applyAlignment="1">
      <alignment horizontal="justify" vertical="center" wrapText="1"/>
    </xf>
    <xf numFmtId="0" fontId="18" fillId="87" borderId="8" xfId="2" applyFont="1" applyFill="1" applyBorder="1" applyAlignment="1">
      <alignment horizontal="justify" vertical="center" wrapText="1"/>
    </xf>
    <xf numFmtId="0" fontId="18" fillId="87" borderId="9" xfId="2" applyFont="1" applyFill="1" applyBorder="1" applyAlignment="1">
      <alignment horizontal="justify" vertical="center" wrapText="1"/>
    </xf>
    <xf numFmtId="165" fontId="12" fillId="2" borderId="15" xfId="4" applyNumberFormat="1" applyFont="1" applyFill="1" applyBorder="1" applyAlignment="1">
      <alignment horizontal="center"/>
    </xf>
    <xf numFmtId="165" fontId="27" fillId="2" borderId="0" xfId="5" applyNumberFormat="1" applyFont="1" applyFill="1" applyBorder="1" applyAlignment="1" applyProtection="1">
      <alignment horizontal="left" vertical="center" wrapText="1"/>
    </xf>
    <xf numFmtId="165" fontId="27" fillId="2" borderId="0" xfId="5" applyNumberFormat="1" applyFont="1" applyFill="1" applyBorder="1" applyAlignment="1" applyProtection="1">
      <alignment horizontal="left" vertical="center"/>
    </xf>
    <xf numFmtId="165" fontId="27" fillId="2" borderId="0" xfId="5" applyNumberFormat="1" applyFont="1" applyFill="1" applyBorder="1" applyAlignment="1" applyProtection="1">
      <alignment horizontal="center" vertical="center" wrapText="1"/>
    </xf>
    <xf numFmtId="166" fontId="29" fillId="2" borderId="0" xfId="6" applyNumberFormat="1" applyFont="1" applyFill="1" applyBorder="1" applyAlignment="1" applyProtection="1">
      <alignment horizontal="center" vertical="center" wrapText="1"/>
    </xf>
    <xf numFmtId="165" fontId="30" fillId="4" borderId="17" xfId="5" applyNumberFormat="1" applyFont="1" applyFill="1" applyBorder="1" applyAlignment="1" applyProtection="1">
      <alignment horizontal="left" vertical="center" wrapText="1"/>
    </xf>
    <xf numFmtId="165" fontId="30" fillId="4" borderId="23" xfId="5" applyNumberFormat="1" applyFont="1" applyFill="1" applyBorder="1" applyAlignment="1" applyProtection="1">
      <alignment horizontal="left" vertical="center"/>
    </xf>
    <xf numFmtId="165" fontId="30" fillId="4" borderId="18" xfId="5" applyNumberFormat="1" applyFont="1" applyFill="1" applyBorder="1" applyAlignment="1" applyProtection="1">
      <alignment horizontal="center" vertical="center" wrapText="1"/>
    </xf>
    <xf numFmtId="165" fontId="30" fillId="4" borderId="24" xfId="5" applyNumberFormat="1" applyFont="1" applyFill="1" applyBorder="1" applyAlignment="1" applyProtection="1">
      <alignment horizontal="center" vertical="center" wrapText="1"/>
    </xf>
    <xf numFmtId="165" fontId="32" fillId="2" borderId="0" xfId="4" applyNumberFormat="1" applyFont="1" applyFill="1" applyBorder="1" applyAlignment="1">
      <alignment horizontal="center" wrapText="1"/>
    </xf>
    <xf numFmtId="165" fontId="32" fillId="2" borderId="0" xfId="4" applyNumberFormat="1" applyFont="1" applyFill="1" applyBorder="1" applyAlignment="1">
      <alignment horizontal="center"/>
    </xf>
    <xf numFmtId="165" fontId="30" fillId="0" borderId="30" xfId="5" applyNumberFormat="1" applyFont="1" applyFill="1" applyBorder="1" applyAlignment="1" applyProtection="1">
      <alignment horizontal="center"/>
    </xf>
    <xf numFmtId="165" fontId="12" fillId="0" borderId="5" xfId="4" applyNumberFormat="1" applyFont="1" applyFill="1" applyBorder="1" applyAlignment="1">
      <alignment horizontal="center" vertical="center"/>
    </xf>
    <xf numFmtId="0" fontId="37" fillId="0" borderId="5" xfId="11" applyBorder="1" applyAlignment="1">
      <alignment horizontal="center" vertical="center"/>
    </xf>
    <xf numFmtId="0" fontId="37" fillId="0" borderId="0" xfId="11" applyBorder="1" applyAlignment="1">
      <alignment horizontal="center" vertical="center"/>
    </xf>
    <xf numFmtId="0" fontId="37" fillId="0" borderId="0" xfId="11" applyBorder="1" applyAlignment="1"/>
    <xf numFmtId="49" fontId="30" fillId="0" borderId="10" xfId="6" applyNumberFormat="1" applyFont="1" applyFill="1" applyBorder="1" applyAlignment="1" applyProtection="1">
      <alignment horizontal="center" vertical="center" wrapText="1"/>
    </xf>
    <xf numFmtId="165" fontId="41" fillId="0" borderId="1" xfId="6" applyNumberFormat="1" applyFont="1" applyFill="1" applyBorder="1" applyAlignment="1" applyProtection="1">
      <alignment horizontal="center" vertical="center" wrapText="1"/>
    </xf>
    <xf numFmtId="165" fontId="41" fillId="0" borderId="1" xfId="6" applyNumberFormat="1" applyFont="1" applyFill="1" applyBorder="1" applyAlignment="1" applyProtection="1">
      <alignment vertical="center" wrapText="1"/>
    </xf>
    <xf numFmtId="0" fontId="13" fillId="0" borderId="1" xfId="6" applyFont="1" applyFill="1" applyBorder="1" applyAlignment="1">
      <alignment horizontal="justify" vertical="center" wrapText="1"/>
    </xf>
    <xf numFmtId="166" fontId="22" fillId="4" borderId="18" xfId="6" applyNumberFormat="1" applyFont="1" applyFill="1" applyBorder="1" applyAlignment="1" applyProtection="1">
      <alignment horizontal="center" vertical="center" wrapText="1"/>
    </xf>
    <xf numFmtId="166" fontId="22" fillId="4" borderId="24" xfId="6" applyNumberFormat="1" applyFont="1" applyFill="1" applyBorder="1" applyAlignment="1" applyProtection="1">
      <alignment horizontal="center" vertical="center" wrapText="1"/>
    </xf>
    <xf numFmtId="165" fontId="31" fillId="4" borderId="19" xfId="4" applyNumberFormat="1" applyFont="1" applyFill="1" applyBorder="1" applyAlignment="1">
      <alignment horizontal="center" wrapText="1"/>
    </xf>
    <xf numFmtId="165" fontId="31" fillId="4" borderId="20" xfId="4" applyNumberFormat="1" applyFont="1" applyFill="1" applyBorder="1" applyAlignment="1">
      <alignment horizontal="center"/>
    </xf>
    <xf numFmtId="165" fontId="31" fillId="4" borderId="21" xfId="4" applyNumberFormat="1" applyFont="1" applyFill="1" applyBorder="1" applyAlignment="1">
      <alignment horizontal="center"/>
    </xf>
    <xf numFmtId="166" fontId="22" fillId="4" borderId="22" xfId="6" applyNumberFormat="1" applyFont="1" applyFill="1" applyBorder="1" applyAlignment="1" applyProtection="1">
      <alignment horizontal="center" vertical="center" wrapText="1"/>
    </xf>
    <xf numFmtId="166" fontId="22" fillId="4" borderId="25" xfId="6" applyNumberFormat="1" applyFont="1" applyFill="1" applyBorder="1" applyAlignment="1" applyProtection="1">
      <alignment horizontal="center" vertical="center" wrapText="1"/>
    </xf>
    <xf numFmtId="165" fontId="41" fillId="0" borderId="10" xfId="6" applyNumberFormat="1" applyFont="1" applyFill="1" applyBorder="1" applyAlignment="1" applyProtection="1">
      <alignment horizontal="center" vertical="center" wrapText="1"/>
    </xf>
    <xf numFmtId="165" fontId="41" fillId="0" borderId="6" xfId="6" applyNumberFormat="1" applyFont="1" applyFill="1" applyBorder="1" applyAlignment="1" applyProtection="1">
      <alignment horizontal="center" vertical="center" wrapText="1"/>
    </xf>
    <xf numFmtId="165" fontId="41" fillId="0" borderId="11" xfId="6" applyNumberFormat="1" applyFont="1" applyFill="1" applyBorder="1" applyAlignment="1" applyProtection="1">
      <alignment horizontal="center" vertical="center" wrapText="1"/>
    </xf>
    <xf numFmtId="49" fontId="41" fillId="0" borderId="1" xfId="6" applyNumberFormat="1" applyFont="1" applyFill="1" applyBorder="1" applyAlignment="1" applyProtection="1">
      <alignment horizontal="center" vertical="center" wrapText="1"/>
    </xf>
    <xf numFmtId="49" fontId="41" fillId="0" borderId="8" xfId="6" applyNumberFormat="1" applyFont="1" applyFill="1" applyBorder="1" applyAlignment="1" applyProtection="1">
      <alignment horizontal="center" vertical="center" wrapText="1"/>
    </xf>
    <xf numFmtId="0" fontId="37" fillId="0" borderId="9" xfId="11" applyBorder="1" applyAlignment="1">
      <alignment horizontal="center" vertical="center" wrapText="1"/>
    </xf>
    <xf numFmtId="0" fontId="14" fillId="0" borderId="10" xfId="11" applyFont="1" applyBorder="1" applyAlignment="1">
      <alignment horizontal="center" vertical="center" wrapText="1"/>
    </xf>
    <xf numFmtId="0" fontId="14" fillId="0" borderId="6" xfId="11" applyFont="1" applyBorder="1" applyAlignment="1">
      <alignment horizontal="center" vertical="center" wrapText="1"/>
    </xf>
    <xf numFmtId="0" fontId="14" fillId="0" borderId="11" xfId="11" applyFont="1" applyBorder="1" applyAlignment="1">
      <alignment horizontal="center" vertical="center" wrapText="1"/>
    </xf>
    <xf numFmtId="0" fontId="13" fillId="0" borderId="1" xfId="6" applyFont="1" applyFill="1" applyBorder="1" applyAlignment="1">
      <alignment horizontal="center" vertical="center" wrapText="1"/>
    </xf>
    <xf numFmtId="0" fontId="41" fillId="9" borderId="1" xfId="6" applyFont="1" applyFill="1" applyBorder="1" applyAlignment="1">
      <alignment horizontal="center" vertical="center" wrapText="1"/>
    </xf>
    <xf numFmtId="0" fontId="41" fillId="0" borderId="1" xfId="6" applyFont="1" applyFill="1" applyBorder="1" applyAlignment="1">
      <alignment horizontal="center" vertical="center" wrapText="1"/>
    </xf>
    <xf numFmtId="0" fontId="13" fillId="0" borderId="10" xfId="6" applyFont="1" applyFill="1" applyBorder="1" applyAlignment="1">
      <alignment horizontal="justify" vertical="center" wrapText="1"/>
    </xf>
    <xf numFmtId="0" fontId="13" fillId="0" borderId="11" xfId="6" applyFont="1" applyFill="1" applyBorder="1" applyAlignment="1">
      <alignment horizontal="justify" vertical="center" wrapText="1"/>
    </xf>
    <xf numFmtId="165" fontId="43" fillId="0" borderId="4" xfId="4" applyNumberFormat="1" applyFont="1" applyFill="1" applyBorder="1" applyAlignment="1">
      <alignment horizontal="center" vertical="center"/>
    </xf>
    <xf numFmtId="165" fontId="43" fillId="0" borderId="3" xfId="4" applyNumberFormat="1" applyFont="1" applyFill="1" applyBorder="1" applyAlignment="1">
      <alignment horizontal="center" vertical="center"/>
    </xf>
    <xf numFmtId="165" fontId="45" fillId="0" borderId="1" xfId="4" applyNumberFormat="1" applyFont="1" applyFill="1" applyBorder="1" applyAlignment="1">
      <alignment horizontal="left" vertical="center" wrapText="1"/>
    </xf>
    <xf numFmtId="165" fontId="43" fillId="0" borderId="1" xfId="4" applyNumberFormat="1" applyFont="1" applyFill="1" applyBorder="1" applyAlignment="1">
      <alignment horizontal="center" vertical="center"/>
    </xf>
    <xf numFmtId="49" fontId="25" fillId="0" borderId="7" xfId="4" applyNumberFormat="1" applyFont="1" applyFill="1" applyBorder="1" applyAlignment="1">
      <alignment horizontal="center"/>
    </xf>
    <xf numFmtId="49" fontId="25" fillId="0" borderId="12" xfId="4" applyNumberFormat="1" applyFont="1" applyFill="1" applyBorder="1" applyAlignment="1">
      <alignment horizontal="center"/>
    </xf>
    <xf numFmtId="49" fontId="43" fillId="0" borderId="1" xfId="2" applyNumberFormat="1" applyFont="1" applyFill="1" applyBorder="1" applyAlignment="1">
      <alignment horizontal="left" vertical="center"/>
    </xf>
    <xf numFmtId="165" fontId="45" fillId="0" borderId="1" xfId="5" applyNumberFormat="1" applyFont="1" applyFill="1" applyBorder="1" applyAlignment="1" applyProtection="1">
      <alignment horizontal="center" vertical="center" wrapText="1"/>
    </xf>
    <xf numFmtId="165" fontId="41" fillId="0" borderId="1" xfId="5" applyNumberFormat="1" applyFont="1" applyFill="1" applyBorder="1" applyAlignment="1" applyProtection="1">
      <alignment horizontal="center" vertical="center"/>
    </xf>
    <xf numFmtId="165" fontId="41" fillId="0" borderId="1" xfId="5" applyNumberFormat="1" applyFont="1" applyFill="1" applyBorder="1" applyAlignment="1" applyProtection="1">
      <alignment horizontal="left" vertical="center" wrapText="1"/>
    </xf>
    <xf numFmtId="0" fontId="37" fillId="0" borderId="3" xfId="11" applyBorder="1" applyAlignment="1">
      <alignment horizontal="center" vertical="center"/>
    </xf>
    <xf numFmtId="165" fontId="12" fillId="2" borderId="0" xfId="4" applyNumberFormat="1" applyFont="1" applyFill="1" applyBorder="1" applyAlignment="1">
      <alignment horizontal="center" vertical="center"/>
    </xf>
    <xf numFmtId="0" fontId="7" fillId="0" borderId="2" xfId="11" applyFont="1" applyFill="1" applyBorder="1" applyAlignment="1">
      <alignment horizontal="center" vertical="center" wrapText="1"/>
    </xf>
    <xf numFmtId="0" fontId="37" fillId="0" borderId="3" xfId="11" applyFill="1" applyBorder="1" applyAlignment="1">
      <alignment horizontal="center" vertical="center" wrapText="1"/>
    </xf>
    <xf numFmtId="0" fontId="7" fillId="0" borderId="32" xfId="11" applyFont="1" applyFill="1" applyBorder="1" applyAlignment="1">
      <alignment horizontal="center" vertical="center" wrapText="1"/>
    </xf>
    <xf numFmtId="0" fontId="37" fillId="0" borderId="0" xfId="11" applyFill="1" applyBorder="1" applyAlignment="1">
      <alignment horizontal="center" vertical="center" wrapText="1"/>
    </xf>
    <xf numFmtId="0" fontId="37" fillId="0" borderId="33" xfId="11" applyFill="1" applyBorder="1" applyAlignment="1">
      <alignment horizontal="center" vertical="center" wrapText="1"/>
    </xf>
    <xf numFmtId="0" fontId="37" fillId="0" borderId="12" xfId="11" applyFill="1" applyBorder="1" applyAlignment="1">
      <alignment horizontal="center" vertical="center" wrapText="1"/>
    </xf>
    <xf numFmtId="0" fontId="37" fillId="0" borderId="5" xfId="11" applyFill="1" applyBorder="1" applyAlignment="1">
      <alignment horizontal="center" vertical="center" wrapText="1"/>
    </xf>
    <xf numFmtId="0" fontId="37" fillId="0" borderId="13" xfId="11" applyFill="1" applyBorder="1" applyAlignment="1">
      <alignment horizontal="center" vertical="center" wrapText="1"/>
    </xf>
    <xf numFmtId="171" fontId="25" fillId="0" borderId="2" xfId="12" applyNumberFormat="1" applyFont="1" applyFill="1" applyBorder="1" applyAlignment="1">
      <alignment horizontal="center" vertical="center"/>
    </xf>
    <xf numFmtId="0" fontId="37" fillId="0" borderId="3" xfId="11" applyFill="1" applyBorder="1" applyAlignment="1">
      <alignment horizontal="center" vertical="center"/>
    </xf>
    <xf numFmtId="0" fontId="7" fillId="0" borderId="12" xfId="11" applyFont="1" applyFill="1" applyBorder="1" applyAlignment="1">
      <alignment horizontal="center" vertical="center" wrapText="1"/>
    </xf>
    <xf numFmtId="0" fontId="7" fillId="0" borderId="4" xfId="11" applyFont="1" applyFill="1" applyBorder="1" applyAlignment="1">
      <alignment horizontal="center" vertical="center" wrapText="1"/>
    </xf>
    <xf numFmtId="0" fontId="37" fillId="0" borderId="2" xfId="11" applyFill="1" applyBorder="1" applyAlignment="1">
      <alignment horizontal="center" vertical="center" wrapText="1"/>
    </xf>
    <xf numFmtId="0" fontId="7" fillId="0" borderId="8" xfId="11" applyFont="1" applyFill="1" applyBorder="1" applyAlignment="1">
      <alignment horizontal="center" vertical="center" wrapText="1"/>
    </xf>
    <xf numFmtId="165" fontId="31" fillId="0" borderId="10" xfId="4" applyNumberFormat="1" applyFont="1" applyFill="1" applyBorder="1" applyAlignment="1">
      <alignment horizontal="center" wrapText="1"/>
    </xf>
    <xf numFmtId="165" fontId="31" fillId="0" borderId="6" xfId="4" applyNumberFormat="1" applyFont="1" applyFill="1" applyBorder="1" applyAlignment="1">
      <alignment horizontal="center" wrapText="1"/>
    </xf>
    <xf numFmtId="165" fontId="31" fillId="0" borderId="11" xfId="4" applyNumberFormat="1" applyFont="1" applyFill="1" applyBorder="1" applyAlignment="1">
      <alignment horizontal="center" wrapText="1"/>
    </xf>
    <xf numFmtId="165" fontId="44" fillId="0" borderId="1" xfId="4" applyNumberFormat="1" applyFont="1" applyFill="1" applyBorder="1" applyAlignment="1">
      <alignment horizontal="center" vertical="center"/>
    </xf>
    <xf numFmtId="165" fontId="45" fillId="2" borderId="1" xfId="4" applyNumberFormat="1" applyFont="1" applyFill="1" applyBorder="1" applyAlignment="1">
      <alignment horizontal="center" vertical="center"/>
    </xf>
    <xf numFmtId="165" fontId="50" fillId="2" borderId="7" xfId="4" applyNumberFormat="1" applyFont="1" applyFill="1" applyBorder="1" applyAlignment="1">
      <alignment horizontal="center" wrapText="1"/>
    </xf>
    <xf numFmtId="165" fontId="50" fillId="2" borderId="8" xfId="4" applyNumberFormat="1" applyFont="1" applyFill="1" applyBorder="1" applyAlignment="1">
      <alignment horizontal="center"/>
    </xf>
    <xf numFmtId="165" fontId="50" fillId="2" borderId="9" xfId="4" applyNumberFormat="1" applyFont="1" applyFill="1" applyBorder="1" applyAlignment="1">
      <alignment horizontal="center"/>
    </xf>
    <xf numFmtId="165" fontId="25" fillId="2" borderId="11" xfId="4" applyNumberFormat="1" applyFont="1" applyFill="1" applyBorder="1" applyAlignment="1">
      <alignment horizontal="center"/>
    </xf>
    <xf numFmtId="165" fontId="25" fillId="2" borderId="1" xfId="4" applyNumberFormat="1" applyFont="1" applyFill="1" applyBorder="1" applyAlignment="1">
      <alignment horizontal="center"/>
    </xf>
    <xf numFmtId="165" fontId="7" fillId="0" borderId="10" xfId="7" applyNumberFormat="1" applyFont="1" applyFill="1" applyBorder="1" applyAlignment="1" applyProtection="1">
      <alignment vertical="center" wrapText="1"/>
    </xf>
    <xf numFmtId="0" fontId="37" fillId="0" borderId="6" xfId="11" applyFill="1" applyBorder="1" applyAlignment="1">
      <alignment vertical="center"/>
    </xf>
    <xf numFmtId="0" fontId="37" fillId="0" borderId="11" xfId="11" applyFill="1" applyBorder="1" applyAlignment="1">
      <alignment vertical="center"/>
    </xf>
    <xf numFmtId="0" fontId="37" fillId="0" borderId="6" xfId="11" applyFill="1" applyBorder="1" applyAlignment="1">
      <alignment vertical="center" wrapText="1"/>
    </xf>
    <xf numFmtId="0" fontId="37" fillId="0" borderId="11" xfId="11" applyFill="1" applyBorder="1" applyAlignment="1">
      <alignment vertical="center" wrapText="1"/>
    </xf>
    <xf numFmtId="0" fontId="235" fillId="0" borderId="5" xfId="2" applyNumberFormat="1" applyFont="1" applyBorder="1" applyAlignment="1">
      <alignment horizontal="center"/>
    </xf>
    <xf numFmtId="0" fontId="236" fillId="0" borderId="0" xfId="2" applyNumberFormat="1" applyFont="1" applyBorder="1" applyAlignment="1">
      <alignment horizontal="center" vertical="top"/>
    </xf>
    <xf numFmtId="3" fontId="236" fillId="0" borderId="95" xfId="2" applyNumberFormat="1" applyFont="1" applyBorder="1" applyAlignment="1">
      <alignment horizontal="center" vertical="center"/>
    </xf>
    <xf numFmtId="0" fontId="236" fillId="0" borderId="95" xfId="2" applyNumberFormat="1" applyFont="1" applyBorder="1" applyAlignment="1">
      <alignment horizontal="center" vertical="center"/>
    </xf>
    <xf numFmtId="0" fontId="236" fillId="0" borderId="95" xfId="2" applyNumberFormat="1" applyFont="1" applyBorder="1" applyAlignment="1">
      <alignment horizontal="left" wrapText="1"/>
    </xf>
    <xf numFmtId="49" fontId="236" fillId="0" borderId="95" xfId="2" applyNumberFormat="1" applyFont="1" applyBorder="1" applyAlignment="1">
      <alignment horizontal="center" vertical="center"/>
    </xf>
    <xf numFmtId="3" fontId="236" fillId="0" borderId="95" xfId="2" applyNumberFormat="1" applyFont="1" applyFill="1" applyBorder="1" applyAlignment="1">
      <alignment horizontal="center" vertical="center"/>
    </xf>
    <xf numFmtId="0" fontId="236" fillId="2" borderId="95" xfId="2" applyNumberFormat="1" applyFont="1" applyFill="1" applyBorder="1" applyAlignment="1">
      <alignment horizontal="center" vertical="center"/>
    </xf>
    <xf numFmtId="3" fontId="236" fillId="2" borderId="95" xfId="2" applyNumberFormat="1" applyFont="1" applyFill="1" applyBorder="1" applyAlignment="1">
      <alignment horizontal="center" vertical="center"/>
    </xf>
    <xf numFmtId="0" fontId="232" fillId="0" borderId="97" xfId="2" applyNumberFormat="1" applyFont="1" applyBorder="1" applyAlignment="1">
      <alignment horizontal="center" vertical="top"/>
    </xf>
    <xf numFmtId="0" fontId="232" fillId="0" borderId="98" xfId="2" applyNumberFormat="1" applyFont="1" applyBorder="1" applyAlignment="1">
      <alignment horizontal="center" vertical="top"/>
    </xf>
    <xf numFmtId="0" fontId="232" fillId="0" borderId="99" xfId="2" applyNumberFormat="1" applyFont="1" applyBorder="1" applyAlignment="1">
      <alignment horizontal="center" vertical="top"/>
    </xf>
    <xf numFmtId="0" fontId="236" fillId="0" borderId="95" xfId="2" applyNumberFormat="1" applyFont="1" applyBorder="1" applyAlignment="1">
      <alignment horizontal="left" wrapText="1" indent="1"/>
    </xf>
    <xf numFmtId="0" fontId="232" fillId="0" borderId="95" xfId="2" applyNumberFormat="1" applyFont="1" applyBorder="1" applyAlignment="1">
      <alignment horizontal="center" vertical="top"/>
    </xf>
    <xf numFmtId="0" fontId="232" fillId="0" borderId="97" xfId="2" applyNumberFormat="1" applyFont="1" applyBorder="1" applyAlignment="1">
      <alignment horizontal="center" vertical="top" wrapText="1"/>
    </xf>
    <xf numFmtId="0" fontId="232" fillId="0" borderId="98" xfId="2" applyNumberFormat="1" applyFont="1" applyBorder="1" applyAlignment="1">
      <alignment horizontal="center" vertical="top" wrapText="1"/>
    </xf>
    <xf numFmtId="0" fontId="232" fillId="0" borderId="99" xfId="2" applyNumberFormat="1" applyFont="1" applyBorder="1" applyAlignment="1">
      <alignment horizontal="center" vertical="top" wrapText="1"/>
    </xf>
    <xf numFmtId="0" fontId="232" fillId="2" borderId="95" xfId="2" applyNumberFormat="1" applyFont="1" applyFill="1" applyBorder="1" applyAlignment="1">
      <alignment horizontal="center" vertical="top"/>
    </xf>
    <xf numFmtId="3" fontId="236" fillId="0" borderId="97" xfId="2" applyNumberFormat="1" applyFont="1" applyFill="1" applyBorder="1" applyAlignment="1">
      <alignment horizontal="center" vertical="center"/>
    </xf>
    <xf numFmtId="3" fontId="236" fillId="0" borderId="98" xfId="2" applyNumberFormat="1" applyFont="1" applyFill="1" applyBorder="1" applyAlignment="1">
      <alignment horizontal="center" vertical="center"/>
    </xf>
    <xf numFmtId="3" fontId="236" fillId="0" borderId="99" xfId="2" applyNumberFormat="1" applyFont="1" applyFill="1" applyBorder="1" applyAlignment="1">
      <alignment horizontal="center" vertical="center"/>
    </xf>
    <xf numFmtId="0" fontId="232" fillId="0" borderId="100" xfId="2" applyNumberFormat="1" applyFont="1" applyBorder="1" applyAlignment="1">
      <alignment horizontal="center" vertical="center" wrapText="1"/>
    </xf>
    <xf numFmtId="0" fontId="232" fillId="0" borderId="101" xfId="2" applyNumberFormat="1" applyFont="1" applyBorder="1" applyAlignment="1">
      <alignment horizontal="center" vertical="center" wrapText="1"/>
    </xf>
    <xf numFmtId="0" fontId="232" fillId="0" borderId="102" xfId="2" applyNumberFormat="1" applyFont="1" applyBorder="1" applyAlignment="1">
      <alignment horizontal="center" vertical="center" wrapText="1"/>
    </xf>
    <xf numFmtId="0" fontId="232" fillId="0" borderId="12" xfId="2" applyNumberFormat="1" applyFont="1" applyBorder="1" applyAlignment="1">
      <alignment horizontal="center" vertical="center" wrapText="1"/>
    </xf>
    <xf numFmtId="0" fontId="232" fillId="0" borderId="5" xfId="2" applyNumberFormat="1" applyFont="1" applyBorder="1" applyAlignment="1">
      <alignment horizontal="center" vertical="center" wrapText="1"/>
    </xf>
    <xf numFmtId="0" fontId="232" fillId="0" borderId="13" xfId="2" applyNumberFormat="1" applyFont="1" applyBorder="1" applyAlignment="1">
      <alignment horizontal="center" vertical="center" wrapText="1"/>
    </xf>
    <xf numFmtId="0" fontId="232" fillId="0" borderId="95" xfId="2" applyNumberFormat="1" applyFont="1" applyBorder="1" applyAlignment="1">
      <alignment horizontal="center" vertical="center" wrapText="1"/>
    </xf>
    <xf numFmtId="0" fontId="232" fillId="0" borderId="5" xfId="2" applyNumberFormat="1" applyFont="1" applyBorder="1" applyAlignment="1">
      <alignment horizontal="center" vertical="center"/>
    </xf>
    <xf numFmtId="3" fontId="236" fillId="0" borderId="100" xfId="2" applyNumberFormat="1" applyFont="1" applyFill="1" applyBorder="1" applyAlignment="1">
      <alignment horizontal="center" vertical="center"/>
    </xf>
    <xf numFmtId="3" fontId="236" fillId="0" borderId="101" xfId="2" applyNumberFormat="1" applyFont="1" applyFill="1" applyBorder="1" applyAlignment="1">
      <alignment horizontal="center" vertical="center"/>
    </xf>
    <xf numFmtId="3" fontId="236" fillId="0" borderId="102" xfId="2" applyNumberFormat="1" applyFont="1" applyFill="1" applyBorder="1" applyAlignment="1">
      <alignment horizontal="center" vertical="center"/>
    </xf>
    <xf numFmtId="0" fontId="236" fillId="0" borderId="97" xfId="2" applyNumberFormat="1" applyFont="1" applyFill="1" applyBorder="1" applyAlignment="1">
      <alignment horizontal="left" wrapText="1" indent="2"/>
    </xf>
    <xf numFmtId="0" fontId="236" fillId="0" borderId="98" xfId="2" applyNumberFormat="1" applyFont="1" applyFill="1" applyBorder="1" applyAlignment="1">
      <alignment horizontal="left" wrapText="1" indent="2"/>
    </xf>
    <xf numFmtId="0" fontId="236" fillId="0" borderId="99" xfId="2" applyNumberFormat="1" applyFont="1" applyFill="1" applyBorder="1" applyAlignment="1">
      <alignment horizontal="left" wrapText="1" indent="2"/>
    </xf>
    <xf numFmtId="0" fontId="236" fillId="0" borderId="97" xfId="2" applyNumberFormat="1" applyFont="1" applyFill="1" applyBorder="1" applyAlignment="1">
      <alignment horizontal="center" vertical="center"/>
    </xf>
    <xf numFmtId="0" fontId="236" fillId="0" borderId="98" xfId="2" applyNumberFormat="1" applyFont="1" applyFill="1" applyBorder="1" applyAlignment="1">
      <alignment horizontal="center" vertical="center"/>
    </xf>
    <xf numFmtId="0" fontId="236" fillId="0" borderId="99" xfId="2" applyNumberFormat="1" applyFont="1" applyFill="1" applyBorder="1" applyAlignment="1">
      <alignment horizontal="center" vertical="center"/>
    </xf>
    <xf numFmtId="49" fontId="236" fillId="0" borderId="97" xfId="2" applyNumberFormat="1" applyFont="1" applyFill="1" applyBorder="1" applyAlignment="1">
      <alignment horizontal="center" vertical="center"/>
    </xf>
    <xf numFmtId="49" fontId="236" fillId="0" borderId="98" xfId="2" applyNumberFormat="1" applyFont="1" applyFill="1" applyBorder="1" applyAlignment="1">
      <alignment horizontal="center" vertical="center"/>
    </xf>
    <xf numFmtId="49" fontId="236" fillId="0" borderId="99" xfId="2" applyNumberFormat="1" applyFont="1" applyFill="1" applyBorder="1" applyAlignment="1">
      <alignment horizontal="center" vertical="center"/>
    </xf>
    <xf numFmtId="0" fontId="236" fillId="0" borderId="100" xfId="2" applyNumberFormat="1" applyFont="1" applyFill="1" applyBorder="1" applyAlignment="1">
      <alignment horizontal="center" vertical="center"/>
    </xf>
    <xf numFmtId="0" fontId="236" fillId="0" borderId="101" xfId="2" applyNumberFormat="1" applyFont="1" applyFill="1" applyBorder="1" applyAlignment="1">
      <alignment horizontal="center" vertical="center"/>
    </xf>
    <xf numFmtId="0" fontId="236" fillId="0" borderId="102" xfId="2" applyNumberFormat="1" applyFont="1" applyFill="1" applyBorder="1" applyAlignment="1">
      <alignment horizontal="center" vertical="center"/>
    </xf>
    <xf numFmtId="49" fontId="236" fillId="0" borderId="100" xfId="2" applyNumberFormat="1" applyFont="1" applyFill="1" applyBorder="1" applyAlignment="1">
      <alignment horizontal="center" vertical="center"/>
    </xf>
    <xf numFmtId="49" fontId="236" fillId="0" borderId="101" xfId="2" applyNumberFormat="1" applyFont="1" applyFill="1" applyBorder="1" applyAlignment="1">
      <alignment horizontal="center" vertical="center"/>
    </xf>
    <xf numFmtId="49" fontId="236" fillId="0" borderId="102" xfId="2" applyNumberFormat="1" applyFont="1" applyFill="1" applyBorder="1" applyAlignment="1">
      <alignment horizontal="center" vertical="center"/>
    </xf>
    <xf numFmtId="0" fontId="236" fillId="0" borderId="97" xfId="2" applyNumberFormat="1" applyFont="1" applyFill="1" applyBorder="1" applyAlignment="1">
      <alignment horizontal="left" wrapText="1"/>
    </xf>
    <xf numFmtId="0" fontId="236" fillId="0" borderId="98" xfId="2" applyNumberFormat="1" applyFont="1" applyFill="1" applyBorder="1" applyAlignment="1">
      <alignment horizontal="left" wrapText="1"/>
    </xf>
    <xf numFmtId="0" fontId="236" fillId="0" borderId="99" xfId="2" applyNumberFormat="1" applyFont="1" applyFill="1" applyBorder="1" applyAlignment="1">
      <alignment horizontal="left" wrapText="1"/>
    </xf>
    <xf numFmtId="0" fontId="232" fillId="0" borderId="97" xfId="2" applyNumberFormat="1" applyFont="1" applyFill="1" applyBorder="1" applyAlignment="1">
      <alignment horizontal="left" vertical="center"/>
    </xf>
    <xf numFmtId="0" fontId="232" fillId="0" borderId="98" xfId="2" applyNumberFormat="1" applyFont="1" applyFill="1" applyBorder="1" applyAlignment="1">
      <alignment horizontal="left" vertical="center"/>
    </xf>
    <xf numFmtId="0" fontId="232" fillId="0" borderId="99" xfId="2" applyNumberFormat="1" applyFont="1" applyFill="1" applyBorder="1" applyAlignment="1">
      <alignment horizontal="left" vertical="center"/>
    </xf>
    <xf numFmtId="0" fontId="236" fillId="0" borderId="97" xfId="2" applyNumberFormat="1" applyFont="1" applyFill="1" applyBorder="1" applyAlignment="1">
      <alignment horizontal="left" wrapText="1" indent="1"/>
    </xf>
    <xf numFmtId="0" fontId="236" fillId="0" borderId="98" xfId="2" applyNumberFormat="1" applyFont="1" applyFill="1" applyBorder="1" applyAlignment="1">
      <alignment horizontal="left" wrapText="1" indent="1"/>
    </xf>
    <xf numFmtId="0" fontId="236" fillId="0" borderId="99" xfId="2" applyNumberFormat="1" applyFont="1" applyFill="1" applyBorder="1" applyAlignment="1">
      <alignment horizontal="left" wrapText="1" indent="1"/>
    </xf>
    <xf numFmtId="0" fontId="236" fillId="0" borderId="97" xfId="2" applyNumberFormat="1" applyFont="1" applyFill="1" applyBorder="1" applyAlignment="1">
      <alignment horizontal="left" wrapText="1" indent="3"/>
    </xf>
    <xf numFmtId="0" fontId="236" fillId="0" borderId="98" xfId="2" applyNumberFormat="1" applyFont="1" applyFill="1" applyBorder="1" applyAlignment="1">
      <alignment horizontal="left" wrapText="1" indent="3"/>
    </xf>
    <xf numFmtId="0" fontId="236" fillId="0" borderId="99" xfId="2" applyNumberFormat="1" applyFont="1" applyFill="1" applyBorder="1" applyAlignment="1">
      <alignment horizontal="left" wrapText="1" indent="3"/>
    </xf>
    <xf numFmtId="0" fontId="236" fillId="0" borderId="97" xfId="2" applyNumberFormat="1" applyFont="1" applyFill="1" applyBorder="1" applyAlignment="1">
      <alignment horizontal="left" wrapText="1" indent="4"/>
    </xf>
    <xf numFmtId="0" fontId="236" fillId="0" borderId="98" xfId="2" applyNumberFormat="1" applyFont="1" applyFill="1" applyBorder="1" applyAlignment="1">
      <alignment horizontal="left" wrapText="1" indent="4"/>
    </xf>
    <xf numFmtId="0" fontId="236" fillId="0" borderId="99" xfId="2" applyNumberFormat="1" applyFont="1" applyFill="1" applyBorder="1" applyAlignment="1">
      <alignment horizontal="left" wrapText="1" indent="4"/>
    </xf>
    <xf numFmtId="3" fontId="236" fillId="2" borderId="100" xfId="2" applyNumberFormat="1" applyFont="1" applyFill="1" applyBorder="1" applyAlignment="1">
      <alignment horizontal="center" vertical="center"/>
    </xf>
    <xf numFmtId="3" fontId="236" fillId="2" borderId="101" xfId="2" applyNumberFormat="1" applyFont="1" applyFill="1" applyBorder="1" applyAlignment="1">
      <alignment horizontal="center" vertical="center"/>
    </xf>
    <xf numFmtId="3" fontId="236" fillId="2" borderId="102" xfId="2" applyNumberFormat="1" applyFont="1" applyFill="1" applyBorder="1" applyAlignment="1">
      <alignment horizontal="center" vertical="center"/>
    </xf>
    <xf numFmtId="0" fontId="236" fillId="2" borderId="97" xfId="2" applyNumberFormat="1" applyFont="1" applyFill="1" applyBorder="1" applyAlignment="1">
      <alignment horizontal="left" wrapText="1" indent="4"/>
    </xf>
    <xf numFmtId="0" fontId="236" fillId="2" borderId="98" xfId="2" applyNumberFormat="1" applyFont="1" applyFill="1" applyBorder="1" applyAlignment="1">
      <alignment horizontal="left" wrapText="1" indent="4"/>
    </xf>
    <xf numFmtId="0" fontId="236" fillId="2" borderId="99" xfId="2" applyNumberFormat="1" applyFont="1" applyFill="1" applyBorder="1" applyAlignment="1">
      <alignment horizontal="left" wrapText="1" indent="4"/>
    </xf>
    <xf numFmtId="0" fontId="236" fillId="2" borderId="100" xfId="2" applyNumberFormat="1" applyFont="1" applyFill="1" applyBorder="1" applyAlignment="1">
      <alignment horizontal="center" vertical="center"/>
    </xf>
    <xf numFmtId="0" fontId="236" fillId="2" borderId="101" xfId="2" applyNumberFormat="1" applyFont="1" applyFill="1" applyBorder="1" applyAlignment="1">
      <alignment horizontal="center" vertical="center"/>
    </xf>
    <xf numFmtId="0" fontId="236" fillId="2" borderId="102" xfId="2" applyNumberFormat="1" applyFont="1" applyFill="1" applyBorder="1" applyAlignment="1">
      <alignment horizontal="center" vertical="center"/>
    </xf>
    <xf numFmtId="49" fontId="236" fillId="2" borderId="100" xfId="2" applyNumberFormat="1" applyFont="1" applyFill="1" applyBorder="1" applyAlignment="1">
      <alignment horizontal="center" vertical="center"/>
    </xf>
    <xf numFmtId="49" fontId="236" fillId="2" borderId="101" xfId="2" applyNumberFormat="1" applyFont="1" applyFill="1" applyBorder="1" applyAlignment="1">
      <alignment horizontal="center" vertical="center"/>
    </xf>
    <xf numFmtId="49" fontId="236" fillId="2" borderId="102" xfId="2" applyNumberFormat="1" applyFont="1" applyFill="1" applyBorder="1" applyAlignment="1">
      <alignment horizontal="center" vertical="center"/>
    </xf>
    <xf numFmtId="3" fontId="236" fillId="2" borderId="97" xfId="2" applyNumberFormat="1" applyFont="1" applyFill="1" applyBorder="1" applyAlignment="1">
      <alignment horizontal="center" vertical="center"/>
    </xf>
    <xf numFmtId="3" fontId="236" fillId="2" borderId="98" xfId="2" applyNumberFormat="1" applyFont="1" applyFill="1" applyBorder="1" applyAlignment="1">
      <alignment horizontal="center" vertical="center"/>
    </xf>
    <xf numFmtId="3" fontId="236" fillId="2" borderId="99" xfId="2" applyNumberFormat="1" applyFont="1" applyFill="1" applyBorder="1" applyAlignment="1">
      <alignment horizontal="center" vertical="center"/>
    </xf>
    <xf numFmtId="0" fontId="234" fillId="0" borderId="0" xfId="2" applyNumberFormat="1" applyFont="1" applyBorder="1" applyAlignment="1">
      <alignment horizontal="center"/>
    </xf>
    <xf numFmtId="49" fontId="236" fillId="0" borderId="5" xfId="2" applyNumberFormat="1" applyFont="1" applyBorder="1" applyAlignment="1">
      <alignment horizontal="left" wrapText="1"/>
    </xf>
    <xf numFmtId="49" fontId="236" fillId="0" borderId="98" xfId="2" applyNumberFormat="1" applyFont="1" applyBorder="1" applyAlignment="1">
      <alignment horizontal="left" wrapText="1"/>
    </xf>
    <xf numFmtId="49" fontId="236" fillId="0" borderId="6" xfId="2" applyNumberFormat="1" applyFont="1" applyBorder="1" applyAlignment="1">
      <alignment horizontal="left" wrapText="1"/>
    </xf>
    <xf numFmtId="0" fontId="232" fillId="0" borderId="7" xfId="2" applyNumberFormat="1" applyFont="1" applyBorder="1" applyAlignment="1">
      <alignment horizontal="center" vertical="center" wrapText="1"/>
    </xf>
    <xf numFmtId="0" fontId="232" fillId="0" borderId="8" xfId="2" applyNumberFormat="1" applyFont="1" applyBorder="1" applyAlignment="1">
      <alignment horizontal="center" vertical="center" wrapText="1"/>
    </xf>
    <xf numFmtId="0" fontId="232" fillId="0" borderId="9" xfId="2" applyNumberFormat="1" applyFont="1" applyBorder="1" applyAlignment="1">
      <alignment horizontal="center" vertical="center" wrapText="1"/>
    </xf>
    <xf numFmtId="0" fontId="232" fillId="0" borderId="1" xfId="2" applyNumberFormat="1" applyFont="1" applyBorder="1" applyAlignment="1">
      <alignment horizontal="center" vertical="center" wrapText="1"/>
    </xf>
    <xf numFmtId="0" fontId="232" fillId="0" borderId="1" xfId="2" applyNumberFormat="1" applyFont="1" applyBorder="1" applyAlignment="1">
      <alignment horizontal="center" vertical="top"/>
    </xf>
    <xf numFmtId="0" fontId="232" fillId="0" borderId="10" xfId="2" applyNumberFormat="1" applyFont="1" applyBorder="1" applyAlignment="1">
      <alignment horizontal="center" vertical="top" wrapText="1"/>
    </xf>
    <xf numFmtId="0" fontId="232" fillId="0" borderId="6" xfId="2" applyNumberFormat="1" applyFont="1" applyBorder="1" applyAlignment="1">
      <alignment horizontal="center" vertical="top" wrapText="1"/>
    </xf>
    <xf numFmtId="0" fontId="232" fillId="0" borderId="11" xfId="2" applyNumberFormat="1" applyFont="1" applyBorder="1" applyAlignment="1">
      <alignment horizontal="center" vertical="top" wrapText="1"/>
    </xf>
    <xf numFmtId="0" fontId="232" fillId="0" borderId="10" xfId="2" applyNumberFormat="1" applyFont="1" applyBorder="1" applyAlignment="1">
      <alignment horizontal="center" vertical="top"/>
    </xf>
    <xf numFmtId="0" fontId="232" fillId="0" borderId="6" xfId="2" applyNumberFormat="1" applyFont="1" applyBorder="1" applyAlignment="1">
      <alignment horizontal="center" vertical="top"/>
    </xf>
    <xf numFmtId="0" fontId="232" fillId="0" borderId="11" xfId="2" applyNumberFormat="1" applyFont="1" applyBorder="1" applyAlignment="1">
      <alignment horizontal="center" vertical="top"/>
    </xf>
    <xf numFmtId="0" fontId="236" fillId="0" borderId="10" xfId="2" applyNumberFormat="1" applyFont="1" applyFill="1" applyBorder="1" applyAlignment="1">
      <alignment horizontal="left" wrapText="1"/>
    </xf>
    <xf numFmtId="0" fontId="236" fillId="0" borderId="6" xfId="2" applyNumberFormat="1" applyFont="1" applyFill="1" applyBorder="1" applyAlignment="1">
      <alignment horizontal="left" wrapText="1"/>
    </xf>
    <xf numFmtId="0" fontId="236" fillId="0" borderId="11" xfId="2" applyNumberFormat="1" applyFont="1" applyFill="1" applyBorder="1" applyAlignment="1">
      <alignment horizontal="left" wrapText="1"/>
    </xf>
    <xf numFmtId="0" fontId="236" fillId="0" borderId="7" xfId="2" applyNumberFormat="1" applyFont="1" applyFill="1" applyBorder="1" applyAlignment="1">
      <alignment horizontal="center" vertical="center"/>
    </xf>
    <xf numFmtId="0" fontId="236" fillId="0" borderId="8" xfId="2" applyNumberFormat="1" applyFont="1" applyFill="1" applyBorder="1" applyAlignment="1">
      <alignment horizontal="center" vertical="center"/>
    </xf>
    <xf numFmtId="0" fontId="236" fillId="0" borderId="9" xfId="2" applyNumberFormat="1" applyFont="1" applyFill="1" applyBorder="1" applyAlignment="1">
      <alignment horizontal="center" vertical="center"/>
    </xf>
    <xf numFmtId="49" fontId="236" fillId="0" borderId="7" xfId="2" applyNumberFormat="1" applyFont="1" applyFill="1" applyBorder="1" applyAlignment="1">
      <alignment horizontal="center" vertical="center"/>
    </xf>
    <xf numFmtId="49" fontId="236" fillId="0" borderId="8" xfId="2" applyNumberFormat="1" applyFont="1" applyFill="1" applyBorder="1" applyAlignment="1">
      <alignment horizontal="center" vertical="center"/>
    </xf>
    <xf numFmtId="49" fontId="236" fillId="0" borderId="9" xfId="2" applyNumberFormat="1" applyFont="1" applyFill="1" applyBorder="1" applyAlignment="1">
      <alignment horizontal="center" vertical="center"/>
    </xf>
    <xf numFmtId="3" fontId="236" fillId="0" borderId="7" xfId="2" applyNumberFormat="1" applyFont="1" applyFill="1" applyBorder="1" applyAlignment="1">
      <alignment horizontal="center" vertical="center"/>
    </xf>
    <xf numFmtId="3" fontId="236" fillId="0" borderId="8" xfId="2" applyNumberFormat="1" applyFont="1" applyFill="1" applyBorder="1" applyAlignment="1">
      <alignment horizontal="center" vertical="center"/>
    </xf>
    <xf numFmtId="3" fontId="236" fillId="0" borderId="9" xfId="2" applyNumberFormat="1" applyFont="1" applyFill="1" applyBorder="1" applyAlignment="1">
      <alignment horizontal="center" vertical="center"/>
    </xf>
    <xf numFmtId="0" fontId="236" fillId="0" borderId="10" xfId="2" applyNumberFormat="1" applyFont="1" applyFill="1" applyBorder="1" applyAlignment="1">
      <alignment horizontal="left" wrapText="1" indent="1"/>
    </xf>
    <xf numFmtId="0" fontId="236" fillId="0" borderId="6" xfId="2" applyNumberFormat="1" applyFont="1" applyFill="1" applyBorder="1" applyAlignment="1">
      <alignment horizontal="left" wrapText="1" indent="1"/>
    </xf>
    <xf numFmtId="0" fontId="236" fillId="0" borderId="11" xfId="2" applyNumberFormat="1" applyFont="1" applyFill="1" applyBorder="1" applyAlignment="1">
      <alignment horizontal="left" wrapText="1" indent="1"/>
    </xf>
    <xf numFmtId="3" fontId="236" fillId="0" borderId="10" xfId="2" applyNumberFormat="1" applyFont="1" applyFill="1" applyBorder="1" applyAlignment="1">
      <alignment horizontal="center" vertical="center"/>
    </xf>
    <xf numFmtId="3" fontId="236" fillId="0" borderId="6" xfId="2" applyNumberFormat="1" applyFont="1" applyFill="1" applyBorder="1" applyAlignment="1">
      <alignment horizontal="center" vertical="center"/>
    </xf>
    <xf numFmtId="3" fontId="236" fillId="0" borderId="11" xfId="2" applyNumberFormat="1" applyFont="1" applyFill="1" applyBorder="1" applyAlignment="1">
      <alignment horizontal="center" vertical="center"/>
    </xf>
    <xf numFmtId="0" fontId="236" fillId="0" borderId="10" xfId="2" applyNumberFormat="1" applyFont="1" applyFill="1" applyBorder="1" applyAlignment="1">
      <alignment horizontal="left" wrapText="1" indent="2"/>
    </xf>
    <xf numFmtId="0" fontId="236" fillId="0" borderId="6" xfId="2" applyNumberFormat="1" applyFont="1" applyFill="1" applyBorder="1" applyAlignment="1">
      <alignment horizontal="left" wrapText="1" indent="2"/>
    </xf>
    <xf numFmtId="0" fontId="236" fillId="0" borderId="11" xfId="2" applyNumberFormat="1" applyFont="1" applyFill="1" applyBorder="1" applyAlignment="1">
      <alignment horizontal="left" wrapText="1" indent="2"/>
    </xf>
    <xf numFmtId="0" fontId="236" fillId="0" borderId="10" xfId="2" applyNumberFormat="1" applyFont="1" applyFill="1" applyBorder="1" applyAlignment="1">
      <alignment horizontal="left" wrapText="1" indent="4"/>
    </xf>
    <xf numFmtId="0" fontId="236" fillId="0" borderId="6" xfId="2" applyNumberFormat="1" applyFont="1" applyFill="1" applyBorder="1" applyAlignment="1">
      <alignment horizontal="left" wrapText="1" indent="4"/>
    </xf>
    <xf numFmtId="0" fontId="236" fillId="0" borderId="11" xfId="2" applyNumberFormat="1" applyFont="1" applyFill="1" applyBorder="1" applyAlignment="1">
      <alignment horizontal="left" wrapText="1" indent="4"/>
    </xf>
    <xf numFmtId="0" fontId="236" fillId="2" borderId="10" xfId="2" applyNumberFormat="1" applyFont="1" applyFill="1" applyBorder="1" applyAlignment="1">
      <alignment horizontal="left" wrapText="1" indent="4"/>
    </xf>
    <xf numFmtId="0" fontId="236" fillId="2" borderId="6" xfId="2" applyNumberFormat="1" applyFont="1" applyFill="1" applyBorder="1" applyAlignment="1">
      <alignment horizontal="left" wrapText="1" indent="4"/>
    </xf>
    <xf numFmtId="0" fontId="236" fillId="2" borderId="11" xfId="2" applyNumberFormat="1" applyFont="1" applyFill="1" applyBorder="1" applyAlignment="1">
      <alignment horizontal="left" wrapText="1" indent="4"/>
    </xf>
    <xf numFmtId="0" fontId="236" fillId="2" borderId="7" xfId="2" applyNumberFormat="1" applyFont="1" applyFill="1" applyBorder="1" applyAlignment="1">
      <alignment horizontal="center" vertical="center"/>
    </xf>
    <xf numFmtId="0" fontId="236" fillId="2" borderId="8" xfId="2" applyNumberFormat="1" applyFont="1" applyFill="1" applyBorder="1" applyAlignment="1">
      <alignment horizontal="center" vertical="center"/>
    </xf>
    <xf numFmtId="0" fontId="236" fillId="2" borderId="9" xfId="2" applyNumberFormat="1" applyFont="1" applyFill="1" applyBorder="1" applyAlignment="1">
      <alignment horizontal="center" vertical="center"/>
    </xf>
    <xf numFmtId="49" fontId="236" fillId="2" borderId="7" xfId="2" applyNumberFormat="1" applyFont="1" applyFill="1" applyBorder="1" applyAlignment="1">
      <alignment horizontal="center" vertical="center"/>
    </xf>
    <xf numFmtId="49" fontId="236" fillId="2" borderId="8" xfId="2" applyNumberFormat="1" applyFont="1" applyFill="1" applyBorder="1" applyAlignment="1">
      <alignment horizontal="center" vertical="center"/>
    </xf>
    <xf numFmtId="49" fontId="236" fillId="2" borderId="9" xfId="2" applyNumberFormat="1" applyFont="1" applyFill="1" applyBorder="1" applyAlignment="1">
      <alignment horizontal="center" vertical="center"/>
    </xf>
    <xf numFmtId="3" fontId="236" fillId="2" borderId="7" xfId="2" applyNumberFormat="1" applyFont="1" applyFill="1" applyBorder="1" applyAlignment="1">
      <alignment horizontal="center" vertical="center"/>
    </xf>
    <xf numFmtId="3" fontId="236" fillId="2" borderId="8" xfId="2" applyNumberFormat="1" applyFont="1" applyFill="1" applyBorder="1" applyAlignment="1">
      <alignment horizontal="center" vertical="center"/>
    </xf>
    <xf numFmtId="3" fontId="236" fillId="2" borderId="9" xfId="2" applyNumberFormat="1" applyFont="1" applyFill="1" applyBorder="1" applyAlignment="1">
      <alignment horizontal="center" vertical="center"/>
    </xf>
    <xf numFmtId="3" fontId="236" fillId="2" borderId="10" xfId="2" applyNumberFormat="1" applyFont="1" applyFill="1" applyBorder="1" applyAlignment="1">
      <alignment horizontal="center" vertical="center"/>
    </xf>
    <xf numFmtId="3" fontId="236" fillId="2" borderId="6" xfId="2" applyNumberFormat="1" applyFont="1" applyFill="1" applyBorder="1" applyAlignment="1">
      <alignment horizontal="center" vertical="center"/>
    </xf>
    <xf numFmtId="3" fontId="236" fillId="2" borderId="11" xfId="2" applyNumberFormat="1" applyFont="1" applyFill="1" applyBorder="1" applyAlignment="1">
      <alignment horizontal="center" vertical="center"/>
    </xf>
    <xf numFmtId="0" fontId="236" fillId="0" borderId="10" xfId="2" applyNumberFormat="1" applyFont="1" applyFill="1" applyBorder="1" applyAlignment="1">
      <alignment horizontal="left" wrapText="1" indent="3"/>
    </xf>
    <xf numFmtId="0" fontId="236" fillId="0" borderId="6" xfId="2" applyNumberFormat="1" applyFont="1" applyFill="1" applyBorder="1" applyAlignment="1">
      <alignment horizontal="left" wrapText="1" indent="3"/>
    </xf>
    <xf numFmtId="0" fontId="236" fillId="0" borderId="11" xfId="2" applyNumberFormat="1" applyFont="1" applyFill="1" applyBorder="1" applyAlignment="1">
      <alignment horizontal="left" wrapText="1" indent="3"/>
    </xf>
    <xf numFmtId="0" fontId="236" fillId="0" borderId="10" xfId="2" applyNumberFormat="1" applyFont="1" applyFill="1" applyBorder="1" applyAlignment="1">
      <alignment horizontal="center" vertical="center"/>
    </xf>
    <xf numFmtId="0" fontId="236" fillId="0" borderId="6" xfId="2" applyNumberFormat="1" applyFont="1" applyFill="1" applyBorder="1" applyAlignment="1">
      <alignment horizontal="center" vertical="center"/>
    </xf>
    <xf numFmtId="0" fontId="236" fillId="0" borderId="11" xfId="2" applyNumberFormat="1" applyFont="1" applyFill="1" applyBorder="1" applyAlignment="1">
      <alignment horizontal="center" vertical="center"/>
    </xf>
    <xf numFmtId="49" fontId="236" fillId="0" borderId="10" xfId="2" applyNumberFormat="1" applyFont="1" applyFill="1" applyBorder="1" applyAlignment="1">
      <alignment horizontal="center" vertical="center"/>
    </xf>
    <xf numFmtId="49" fontId="236" fillId="0" borderId="6" xfId="2" applyNumberFormat="1" applyFont="1" applyFill="1" applyBorder="1" applyAlignment="1">
      <alignment horizontal="center" vertical="center"/>
    </xf>
    <xf numFmtId="49" fontId="236" fillId="0" borderId="11" xfId="2" applyNumberFormat="1" applyFont="1" applyFill="1" applyBorder="1" applyAlignment="1">
      <alignment horizontal="center" vertical="center"/>
    </xf>
    <xf numFmtId="0" fontId="232" fillId="0" borderId="10" xfId="2" applyNumberFormat="1" applyFont="1" applyFill="1" applyBorder="1" applyAlignment="1">
      <alignment horizontal="left" vertical="center"/>
    </xf>
    <xf numFmtId="0" fontId="232" fillId="0" borderId="6" xfId="2" applyNumberFormat="1" applyFont="1" applyFill="1" applyBorder="1" applyAlignment="1">
      <alignment horizontal="left" vertical="center"/>
    </xf>
    <xf numFmtId="0" fontId="232" fillId="0" borderId="11" xfId="2" applyNumberFormat="1" applyFont="1" applyFill="1" applyBorder="1" applyAlignment="1">
      <alignment horizontal="left" vertical="center"/>
    </xf>
    <xf numFmtId="3" fontId="236" fillId="0" borderId="1" xfId="2" applyNumberFormat="1" applyFont="1" applyFill="1" applyBorder="1" applyAlignment="1">
      <alignment horizontal="center" vertical="center"/>
    </xf>
    <xf numFmtId="0" fontId="236" fillId="0" borderId="1" xfId="2" applyNumberFormat="1" applyFont="1" applyBorder="1" applyAlignment="1">
      <alignment horizontal="center" vertical="center"/>
    </xf>
    <xf numFmtId="3" fontId="236" fillId="0" borderId="1" xfId="2" applyNumberFormat="1" applyFont="1" applyBorder="1" applyAlignment="1">
      <alignment horizontal="center" vertical="center"/>
    </xf>
    <xf numFmtId="3" fontId="236" fillId="2" borderId="1" xfId="2" applyNumberFormat="1" applyFont="1" applyFill="1" applyBorder="1" applyAlignment="1">
      <alignment horizontal="center" vertical="center"/>
    </xf>
    <xf numFmtId="0" fontId="236" fillId="2" borderId="1" xfId="2" applyNumberFormat="1" applyFont="1" applyFill="1" applyBorder="1" applyAlignment="1">
      <alignment horizontal="center" vertical="center"/>
    </xf>
    <xf numFmtId="0" fontId="232" fillId="2" borderId="1" xfId="2" applyNumberFormat="1" applyFont="1" applyFill="1" applyBorder="1" applyAlignment="1">
      <alignment horizontal="center" vertical="top"/>
    </xf>
    <xf numFmtId="0" fontId="236" fillId="0" borderId="1" xfId="2" applyNumberFormat="1" applyFont="1" applyBorder="1" applyAlignment="1">
      <alignment horizontal="left" wrapText="1" indent="1"/>
    </xf>
    <xf numFmtId="49" fontId="236" fillId="0" borderId="1" xfId="2" applyNumberFormat="1" applyFont="1" applyBorder="1" applyAlignment="1">
      <alignment horizontal="center" vertical="center"/>
    </xf>
    <xf numFmtId="0" fontId="236" fillId="0" borderId="1" xfId="2" applyNumberFormat="1" applyFont="1" applyBorder="1" applyAlignment="1">
      <alignment horizontal="left" wrapText="1"/>
    </xf>
    <xf numFmtId="0" fontId="22" fillId="0" borderId="0" xfId="2" applyNumberFormat="1" applyFont="1" applyBorder="1" applyAlignment="1">
      <alignment horizontal="center" wrapText="1"/>
    </xf>
    <xf numFmtId="0" fontId="22" fillId="0" borderId="0" xfId="2" applyNumberFormat="1" applyFont="1" applyBorder="1" applyAlignment="1">
      <alignment horizontal="center"/>
    </xf>
    <xf numFmtId="49" fontId="16" fillId="0" borderId="5" xfId="2" applyNumberFormat="1" applyFont="1" applyBorder="1" applyAlignment="1">
      <alignment horizontal="left" wrapText="1"/>
    </xf>
    <xf numFmtId="49" fontId="16" fillId="0" borderId="6" xfId="2" applyNumberFormat="1" applyFont="1" applyBorder="1" applyAlignment="1">
      <alignment horizontal="left" wrapText="1"/>
    </xf>
    <xf numFmtId="0" fontId="240" fillId="0" borderId="7" xfId="2" applyNumberFormat="1" applyFont="1" applyBorder="1" applyAlignment="1">
      <alignment horizontal="center" vertical="center" wrapText="1"/>
    </xf>
    <xf numFmtId="0" fontId="240" fillId="0" borderId="8" xfId="2" applyNumberFormat="1" applyFont="1" applyBorder="1" applyAlignment="1">
      <alignment horizontal="center" vertical="center" wrapText="1"/>
    </xf>
    <xf numFmtId="0" fontId="240" fillId="0" borderId="9" xfId="2" applyNumberFormat="1" applyFont="1" applyBorder="1" applyAlignment="1">
      <alignment horizontal="center" vertical="center" wrapText="1"/>
    </xf>
    <xf numFmtId="0" fontId="240" fillId="0" borderId="12" xfId="2" applyNumberFormat="1" applyFont="1" applyBorder="1" applyAlignment="1">
      <alignment horizontal="center" vertical="center" wrapText="1"/>
    </xf>
    <xf numFmtId="0" fontId="240" fillId="0" borderId="5" xfId="2" applyNumberFormat="1" applyFont="1" applyBorder="1" applyAlignment="1">
      <alignment horizontal="center" vertical="center" wrapText="1"/>
    </xf>
    <xf numFmtId="0" fontId="240" fillId="0" borderId="13" xfId="2" applyNumberFormat="1" applyFont="1" applyBorder="1" applyAlignment="1">
      <alignment horizontal="center" vertical="center" wrapText="1"/>
    </xf>
    <xf numFmtId="0" fontId="240" fillId="0" borderId="10" xfId="2" applyNumberFormat="1" applyFont="1" applyBorder="1" applyAlignment="1">
      <alignment horizontal="center" vertical="center" wrapText="1"/>
    </xf>
    <xf numFmtId="0" fontId="240" fillId="0" borderId="6" xfId="2" applyNumberFormat="1" applyFont="1" applyBorder="1" applyAlignment="1">
      <alignment horizontal="center" vertical="center" wrapText="1"/>
    </xf>
    <xf numFmtId="0" fontId="240" fillId="0" borderId="11" xfId="2" applyNumberFormat="1" applyFont="1" applyBorder="1" applyAlignment="1">
      <alignment horizontal="center" vertical="center" wrapText="1"/>
    </xf>
    <xf numFmtId="0" fontId="240" fillId="0" borderId="1" xfId="2" applyNumberFormat="1" applyFont="1" applyBorder="1" applyAlignment="1">
      <alignment horizontal="center" vertical="top"/>
    </xf>
    <xf numFmtId="0" fontId="240" fillId="0" borderId="1" xfId="2" applyNumberFormat="1" applyFont="1" applyBorder="1" applyAlignment="1">
      <alignment horizontal="center" vertical="center" wrapText="1"/>
    </xf>
    <xf numFmtId="3" fontId="241" fillId="0" borderId="7" xfId="2" applyNumberFormat="1" applyFont="1" applyFill="1" applyBorder="1" applyAlignment="1">
      <alignment horizontal="center" vertical="center"/>
    </xf>
    <xf numFmtId="3" fontId="241" fillId="0" borderId="8" xfId="2" applyNumberFormat="1" applyFont="1" applyFill="1" applyBorder="1" applyAlignment="1">
      <alignment horizontal="center" vertical="center"/>
    </xf>
    <xf numFmtId="3" fontId="241" fillId="0" borderId="9" xfId="2" applyNumberFormat="1" applyFont="1" applyFill="1" applyBorder="1" applyAlignment="1">
      <alignment horizontal="center" vertical="center"/>
    </xf>
    <xf numFmtId="3" fontId="241" fillId="0" borderId="32" xfId="2" applyNumberFormat="1" applyFont="1" applyFill="1" applyBorder="1" applyAlignment="1">
      <alignment horizontal="center" vertical="center"/>
    </xf>
    <xf numFmtId="3" fontId="241" fillId="0" borderId="0" xfId="2" applyNumberFormat="1" applyFont="1" applyFill="1" applyBorder="1" applyAlignment="1">
      <alignment horizontal="center" vertical="center"/>
    </xf>
    <xf numFmtId="3" fontId="241" fillId="0" borderId="33" xfId="2" applyNumberFormat="1" applyFont="1" applyFill="1" applyBorder="1" applyAlignment="1">
      <alignment horizontal="center" vertical="center"/>
    </xf>
    <xf numFmtId="3" fontId="241" fillId="0" borderId="12" xfId="2" applyNumberFormat="1" applyFont="1" applyFill="1" applyBorder="1" applyAlignment="1">
      <alignment horizontal="center" vertical="center"/>
    </xf>
    <xf numFmtId="3" fontId="241" fillId="0" borderId="5" xfId="2" applyNumberFormat="1" applyFont="1" applyFill="1" applyBorder="1" applyAlignment="1">
      <alignment horizontal="center" vertical="center"/>
    </xf>
    <xf numFmtId="3" fontId="241" fillId="0" borderId="13" xfId="2" applyNumberFormat="1" applyFont="1" applyFill="1" applyBorder="1" applyAlignment="1">
      <alignment horizontal="center" vertical="center"/>
    </xf>
    <xf numFmtId="3" fontId="241" fillId="0" borderId="7" xfId="2" applyNumberFormat="1" applyFont="1" applyBorder="1" applyAlignment="1">
      <alignment horizontal="center" vertical="center"/>
    </xf>
    <xf numFmtId="3" fontId="241" fillId="0" borderId="8" xfId="2" applyNumberFormat="1" applyFont="1" applyBorder="1" applyAlignment="1">
      <alignment horizontal="center" vertical="center"/>
    </xf>
    <xf numFmtId="3" fontId="241" fillId="0" borderId="9" xfId="2" applyNumberFormat="1" applyFont="1" applyBorder="1" applyAlignment="1">
      <alignment horizontal="center" vertical="center"/>
    </xf>
    <xf numFmtId="3" fontId="241" fillId="0" borderId="32" xfId="2" applyNumberFormat="1" applyFont="1" applyBorder="1" applyAlignment="1">
      <alignment horizontal="center" vertical="center"/>
    </xf>
    <xf numFmtId="3" fontId="241" fillId="0" borderId="0" xfId="2" applyNumberFormat="1" applyFont="1" applyBorder="1" applyAlignment="1">
      <alignment horizontal="center" vertical="center"/>
    </xf>
    <xf numFmtId="3" fontId="241" fillId="0" borderId="33" xfId="2" applyNumberFormat="1" applyFont="1" applyBorder="1" applyAlignment="1">
      <alignment horizontal="center" vertical="center"/>
    </xf>
    <xf numFmtId="3" fontId="241" fillId="0" borderId="12" xfId="2" applyNumberFormat="1" applyFont="1" applyBorder="1" applyAlignment="1">
      <alignment horizontal="center" vertical="center"/>
    </xf>
    <xf numFmtId="3" fontId="241" fillId="0" borderId="5" xfId="2" applyNumberFormat="1" applyFont="1" applyBorder="1" applyAlignment="1">
      <alignment horizontal="center" vertical="center"/>
    </xf>
    <xf numFmtId="3" fontId="241" fillId="0" borderId="13" xfId="2" applyNumberFormat="1" applyFont="1" applyBorder="1" applyAlignment="1">
      <alignment horizontal="center" vertical="center"/>
    </xf>
    <xf numFmtId="0" fontId="240" fillId="0" borderId="10" xfId="2" applyNumberFormat="1" applyFont="1" applyBorder="1" applyAlignment="1">
      <alignment horizontal="center" vertical="top"/>
    </xf>
    <xf numFmtId="0" fontId="240" fillId="0" borderId="6" xfId="2" applyNumberFormat="1" applyFont="1" applyBorder="1" applyAlignment="1">
      <alignment horizontal="center" vertical="top"/>
    </xf>
    <xf numFmtId="0" fontId="240" fillId="0" borderId="11" xfId="2" applyNumberFormat="1" applyFont="1" applyBorder="1" applyAlignment="1">
      <alignment horizontal="center" vertical="top"/>
    </xf>
    <xf numFmtId="0" fontId="241" fillId="0" borderId="8" xfId="2" applyNumberFormat="1" applyFont="1" applyBorder="1" applyAlignment="1">
      <alignment horizontal="left"/>
    </xf>
    <xf numFmtId="0" fontId="241" fillId="0" borderId="9" xfId="2" applyNumberFormat="1" applyFont="1" applyBorder="1" applyAlignment="1">
      <alignment horizontal="left"/>
    </xf>
    <xf numFmtId="0" fontId="241" fillId="0" borderId="7" xfId="2" applyNumberFormat="1" applyFont="1" applyBorder="1" applyAlignment="1">
      <alignment horizontal="center" vertical="center"/>
    </xf>
    <xf numFmtId="0" fontId="241" fillId="0" borderId="8" xfId="2" applyNumberFormat="1" applyFont="1" applyBorder="1" applyAlignment="1">
      <alignment horizontal="center" vertical="center"/>
    </xf>
    <xf numFmtId="0" fontId="241" fillId="0" borderId="9" xfId="2" applyNumberFormat="1" applyFont="1" applyBorder="1" applyAlignment="1">
      <alignment horizontal="center" vertical="center"/>
    </xf>
    <xf numFmtId="0" fontId="241" fillId="0" borderId="32" xfId="2" applyNumberFormat="1" applyFont="1" applyBorder="1" applyAlignment="1">
      <alignment horizontal="center" vertical="center"/>
    </xf>
    <xf numFmtId="0" fontId="241" fillId="0" borderId="0" xfId="2" applyNumberFormat="1" applyFont="1" applyBorder="1" applyAlignment="1">
      <alignment horizontal="center" vertical="center"/>
    </xf>
    <xf numFmtId="0" fontId="241" fillId="0" borderId="33" xfId="2" applyNumberFormat="1" applyFont="1" applyBorder="1" applyAlignment="1">
      <alignment horizontal="center" vertical="center"/>
    </xf>
    <xf numFmtId="0" fontId="241" fillId="0" borderId="12" xfId="2" applyNumberFormat="1" applyFont="1" applyBorder="1" applyAlignment="1">
      <alignment horizontal="center" vertical="center"/>
    </xf>
    <xf numFmtId="0" fontId="241" fillId="0" borderId="5" xfId="2" applyNumberFormat="1" applyFont="1" applyBorder="1" applyAlignment="1">
      <alignment horizontal="center" vertical="center"/>
    </xf>
    <xf numFmtId="0" fontId="241" fillId="0" borderId="13" xfId="2" applyNumberFormat="1" applyFont="1" applyBorder="1" applyAlignment="1">
      <alignment horizontal="center" vertical="center"/>
    </xf>
    <xf numFmtId="49" fontId="241" fillId="0" borderId="7" xfId="2" applyNumberFormat="1" applyFont="1" applyBorder="1" applyAlignment="1">
      <alignment horizontal="center" vertical="center"/>
    </xf>
    <xf numFmtId="49" fontId="241" fillId="0" borderId="8" xfId="2" applyNumberFormat="1" applyFont="1" applyBorder="1" applyAlignment="1">
      <alignment horizontal="center" vertical="center"/>
    </xf>
    <xf numFmtId="49" fontId="241" fillId="0" borderId="9" xfId="2" applyNumberFormat="1" applyFont="1" applyBorder="1" applyAlignment="1">
      <alignment horizontal="center" vertical="center"/>
    </xf>
    <xf numFmtId="49" fontId="241" fillId="0" borderId="32" xfId="2" applyNumberFormat="1" applyFont="1" applyBorder="1" applyAlignment="1">
      <alignment horizontal="center" vertical="center"/>
    </xf>
    <xf numFmtId="49" fontId="241" fillId="0" borderId="0" xfId="2" applyNumberFormat="1" applyFont="1" applyBorder="1" applyAlignment="1">
      <alignment horizontal="center" vertical="center"/>
    </xf>
    <xf numFmtId="49" fontId="241" fillId="0" borderId="33" xfId="2" applyNumberFormat="1" applyFont="1" applyBorder="1" applyAlignment="1">
      <alignment horizontal="center" vertical="center"/>
    </xf>
    <xf numFmtId="49" fontId="241" fillId="0" borderId="12" xfId="2" applyNumberFormat="1" applyFont="1" applyBorder="1" applyAlignment="1">
      <alignment horizontal="center" vertical="center"/>
    </xf>
    <xf numFmtId="49" fontId="241" fillId="0" borderId="5" xfId="2" applyNumberFormat="1" applyFont="1" applyBorder="1" applyAlignment="1">
      <alignment horizontal="center" vertical="center"/>
    </xf>
    <xf numFmtId="49" fontId="241" fillId="0" borderId="13" xfId="2" applyNumberFormat="1" applyFont="1" applyBorder="1" applyAlignment="1">
      <alignment horizontal="center" vertical="center"/>
    </xf>
    <xf numFmtId="0" fontId="241" fillId="0" borderId="0" xfId="2" applyNumberFormat="1" applyFont="1" applyBorder="1" applyAlignment="1">
      <alignment horizontal="left"/>
    </xf>
    <xf numFmtId="0" fontId="241" fillId="0" borderId="33" xfId="2" applyNumberFormat="1" applyFont="1" applyBorder="1" applyAlignment="1">
      <alignment horizontal="left"/>
    </xf>
    <xf numFmtId="0" fontId="241" fillId="0" borderId="5" xfId="2" applyNumberFormat="1" applyFont="1" applyBorder="1" applyAlignment="1">
      <alignment horizontal="left"/>
    </xf>
    <xf numFmtId="0" fontId="241" fillId="0" borderId="13" xfId="2" applyNumberFormat="1" applyFont="1" applyBorder="1" applyAlignment="1">
      <alignment horizontal="left"/>
    </xf>
    <xf numFmtId="0" fontId="241" fillId="0" borderId="8" xfId="2" applyNumberFormat="1" applyFont="1" applyFill="1" applyBorder="1" applyAlignment="1">
      <alignment horizontal="left"/>
    </xf>
    <xf numFmtId="0" fontId="241" fillId="0" borderId="9" xfId="2" applyNumberFormat="1" applyFont="1" applyFill="1" applyBorder="1" applyAlignment="1">
      <alignment horizontal="left"/>
    </xf>
    <xf numFmtId="0" fontId="241" fillId="0" borderId="7" xfId="2" applyNumberFormat="1" applyFont="1" applyFill="1" applyBorder="1" applyAlignment="1">
      <alignment horizontal="center" vertical="center"/>
    </xf>
    <xf numFmtId="0" fontId="241" fillId="0" borderId="8" xfId="2" applyNumberFormat="1" applyFont="1" applyFill="1" applyBorder="1" applyAlignment="1">
      <alignment horizontal="center" vertical="center"/>
    </xf>
    <xf numFmtId="0" fontId="241" fillId="0" borderId="9" xfId="2" applyNumberFormat="1" applyFont="1" applyFill="1" applyBorder="1" applyAlignment="1">
      <alignment horizontal="center" vertical="center"/>
    </xf>
    <xf numFmtId="0" fontId="241" fillId="0" borderId="12" xfId="2" applyNumberFormat="1" applyFont="1" applyFill="1" applyBorder="1" applyAlignment="1">
      <alignment horizontal="center" vertical="center"/>
    </xf>
    <xf numFmtId="0" fontId="241" fillId="0" borderId="5" xfId="2" applyNumberFormat="1" applyFont="1" applyFill="1" applyBorder="1" applyAlignment="1">
      <alignment horizontal="center" vertical="center"/>
    </xf>
    <xf numFmtId="0" fontId="241" fillId="0" borderId="13" xfId="2" applyNumberFormat="1" applyFont="1" applyFill="1" applyBorder="1" applyAlignment="1">
      <alignment horizontal="center" vertical="center"/>
    </xf>
    <xf numFmtId="49" fontId="241" fillId="0" borderId="7" xfId="2" applyNumberFormat="1" applyFont="1" applyFill="1" applyBorder="1" applyAlignment="1">
      <alignment horizontal="center" vertical="center"/>
    </xf>
    <xf numFmtId="49" fontId="241" fillId="0" borderId="8" xfId="2" applyNumberFormat="1" applyFont="1" applyFill="1" applyBorder="1" applyAlignment="1">
      <alignment horizontal="center" vertical="center"/>
    </xf>
    <xf numFmtId="49" fontId="241" fillId="0" borderId="9" xfId="2" applyNumberFormat="1" applyFont="1" applyFill="1" applyBorder="1" applyAlignment="1">
      <alignment horizontal="center" vertical="center"/>
    </xf>
    <xf numFmtId="49" fontId="241" fillId="0" borderId="12" xfId="2" applyNumberFormat="1" applyFont="1" applyFill="1" applyBorder="1" applyAlignment="1">
      <alignment horizontal="center" vertical="center"/>
    </xf>
    <xf numFmtId="49" fontId="241" fillId="0" borderId="5" xfId="2" applyNumberFormat="1" applyFont="1" applyFill="1" applyBorder="1" applyAlignment="1">
      <alignment horizontal="center" vertical="center"/>
    </xf>
    <xf numFmtId="49" fontId="241" fillId="0" borderId="13" xfId="2" applyNumberFormat="1" applyFont="1" applyFill="1" applyBorder="1" applyAlignment="1">
      <alignment horizontal="center" vertical="center"/>
    </xf>
    <xf numFmtId="0" fontId="241" fillId="0" borderId="5" xfId="2" applyNumberFormat="1" applyFont="1" applyFill="1" applyBorder="1" applyAlignment="1">
      <alignment horizontal="left"/>
    </xf>
    <xf numFmtId="0" fontId="241" fillId="0" borderId="13" xfId="2" applyNumberFormat="1" applyFont="1" applyFill="1" applyBorder="1" applyAlignment="1">
      <alignment horizontal="left"/>
    </xf>
    <xf numFmtId="3" fontId="241" fillId="0" borderId="1" xfId="2" applyNumberFormat="1" applyFont="1" applyFill="1" applyBorder="1" applyAlignment="1">
      <alignment horizontal="center" vertical="center"/>
    </xf>
    <xf numFmtId="3" fontId="241" fillId="0" borderId="10" xfId="2" applyNumberFormat="1" applyFont="1" applyFill="1" applyBorder="1" applyAlignment="1">
      <alignment horizontal="center" vertical="center"/>
    </xf>
    <xf numFmtId="3" fontId="241" fillId="0" borderId="6" xfId="2" applyNumberFormat="1" applyFont="1" applyFill="1" applyBorder="1" applyAlignment="1">
      <alignment horizontal="center" vertical="center"/>
    </xf>
    <xf numFmtId="3" fontId="241" fillId="0" borderId="11" xfId="2" applyNumberFormat="1" applyFont="1" applyFill="1" applyBorder="1" applyAlignment="1">
      <alignment horizontal="center" vertical="center"/>
    </xf>
    <xf numFmtId="0" fontId="241" fillId="0" borderId="6" xfId="2" applyNumberFormat="1" applyFont="1" applyFill="1" applyBorder="1" applyAlignment="1">
      <alignment horizontal="left"/>
    </xf>
    <xf numFmtId="0" fontId="241" fillId="0" borderId="11" xfId="2" applyNumberFormat="1" applyFont="1" applyFill="1" applyBorder="1" applyAlignment="1">
      <alignment horizontal="left"/>
    </xf>
    <xf numFmtId="0" fontId="241" fillId="0" borderId="1" xfId="2" applyNumberFormat="1" applyFont="1" applyFill="1" applyBorder="1" applyAlignment="1">
      <alignment horizontal="center" vertical="center"/>
    </xf>
    <xf numFmtId="49" fontId="241" fillId="0" borderId="1" xfId="2" applyNumberFormat="1" applyFont="1" applyFill="1" applyBorder="1" applyAlignment="1">
      <alignment horizontal="center" vertical="center"/>
    </xf>
    <xf numFmtId="3" fontId="240" fillId="0" borderId="10" xfId="2" applyNumberFormat="1" applyFont="1" applyFill="1" applyBorder="1" applyAlignment="1">
      <alignment horizontal="center" vertical="center"/>
    </xf>
    <xf numFmtId="3" fontId="240" fillId="0" borderId="6" xfId="2" applyNumberFormat="1" applyFont="1" applyFill="1" applyBorder="1" applyAlignment="1">
      <alignment horizontal="center" vertical="center"/>
    </xf>
    <xf numFmtId="3" fontId="240" fillId="0" borderId="11" xfId="2" applyNumberFormat="1" applyFont="1" applyFill="1" applyBorder="1" applyAlignment="1">
      <alignment horizontal="center" vertical="center"/>
    </xf>
    <xf numFmtId="3" fontId="240" fillId="0" borderId="1" xfId="2" applyNumberFormat="1" applyFont="1" applyFill="1" applyBorder="1" applyAlignment="1">
      <alignment horizontal="center" vertical="center"/>
    </xf>
    <xf numFmtId="0" fontId="240" fillId="0" borderId="6" xfId="2" applyNumberFormat="1" applyFont="1" applyFill="1" applyBorder="1" applyAlignment="1">
      <alignment horizontal="left"/>
    </xf>
    <xf numFmtId="0" fontId="240" fillId="0" borderId="11" xfId="2" applyNumberFormat="1" applyFont="1" applyFill="1" applyBorder="1" applyAlignment="1">
      <alignment horizontal="left"/>
    </xf>
    <xf numFmtId="0" fontId="240" fillId="0" borderId="1" xfId="2" applyNumberFormat="1" applyFont="1" applyFill="1" applyBorder="1" applyAlignment="1">
      <alignment horizontal="center" vertical="center"/>
    </xf>
    <xf numFmtId="49" fontId="240" fillId="0" borderId="1" xfId="2" applyNumberFormat="1" applyFont="1" applyFill="1" applyBorder="1" applyAlignment="1">
      <alignment horizontal="center" vertical="center"/>
    </xf>
    <xf numFmtId="0" fontId="242" fillId="0" borderId="0" xfId="2" applyNumberFormat="1" applyFont="1" applyBorder="1" applyAlignment="1">
      <alignment horizontal="justify" wrapText="1"/>
    </xf>
    <xf numFmtId="0" fontId="241" fillId="0" borderId="8" xfId="2" applyNumberFormat="1" applyFont="1" applyBorder="1" applyAlignment="1">
      <alignment horizontal="center" vertical="top"/>
    </xf>
    <xf numFmtId="0" fontId="241" fillId="0" borderId="0" xfId="2" applyNumberFormat="1" applyFont="1" applyBorder="1" applyAlignment="1">
      <alignment horizontal="center" vertical="top"/>
    </xf>
    <xf numFmtId="0" fontId="16" fillId="0" borderId="5" xfId="2" applyNumberFormat="1" applyFont="1" applyBorder="1" applyAlignment="1">
      <alignment horizontal="center"/>
    </xf>
    <xf numFmtId="4" fontId="245" fillId="77" borderId="4" xfId="4664" applyNumberFormat="1" applyFont="1" applyFill="1" applyBorder="1" applyAlignment="1">
      <alignment horizontal="center" vertical="center" wrapText="1"/>
    </xf>
    <xf numFmtId="4" fontId="245" fillId="77" borderId="3" xfId="4664" applyNumberFormat="1" applyFont="1" applyFill="1" applyBorder="1" applyAlignment="1">
      <alignment horizontal="center" vertical="center" wrapText="1"/>
    </xf>
    <xf numFmtId="4" fontId="245" fillId="0" borderId="10" xfId="4664" applyNumberFormat="1" applyFont="1" applyFill="1" applyBorder="1" applyAlignment="1">
      <alignment horizontal="center" vertical="center" wrapText="1"/>
    </xf>
    <xf numFmtId="4" fontId="245" fillId="0" borderId="6" xfId="4664" applyNumberFormat="1" applyFont="1" applyFill="1" applyBorder="1" applyAlignment="1">
      <alignment horizontal="center" vertical="center" wrapText="1"/>
    </xf>
    <xf numFmtId="4" fontId="245" fillId="5" borderId="1" xfId="4664" applyNumberFormat="1" applyFont="1" applyFill="1" applyBorder="1" applyAlignment="1">
      <alignment horizontal="center" vertical="center" wrapText="1"/>
    </xf>
    <xf numFmtId="4" fontId="245" fillId="0" borderId="1" xfId="4664" applyNumberFormat="1" applyFont="1" applyFill="1" applyBorder="1" applyAlignment="1">
      <alignment horizontal="center" vertical="center" wrapText="1"/>
    </xf>
    <xf numFmtId="0" fontId="245" fillId="0" borderId="10" xfId="4662" applyFont="1" applyFill="1" applyBorder="1" applyAlignment="1">
      <alignment horizontal="center" vertical="center" wrapText="1"/>
    </xf>
    <xf numFmtId="0" fontId="245" fillId="0" borderId="11" xfId="4662" applyFont="1" applyFill="1" applyBorder="1" applyAlignment="1">
      <alignment horizontal="center" vertical="center"/>
    </xf>
    <xf numFmtId="49" fontId="245" fillId="10" borderId="1" xfId="4662" applyNumberFormat="1" applyFont="1" applyFill="1" applyBorder="1" applyAlignment="1">
      <alignment horizontal="center" vertical="center" wrapText="1"/>
    </xf>
    <xf numFmtId="0" fontId="245" fillId="10" borderId="1" xfId="4662" applyNumberFormat="1" applyFont="1" applyFill="1" applyBorder="1" applyAlignment="1">
      <alignment horizontal="center" vertical="center" wrapText="1"/>
    </xf>
    <xf numFmtId="49" fontId="246" fillId="76" borderId="12" xfId="4662" applyNumberFormat="1" applyFont="1" applyFill="1" applyBorder="1" applyAlignment="1">
      <alignment horizontal="center" vertical="center"/>
    </xf>
    <xf numFmtId="49" fontId="246" fillId="76" borderId="5" xfId="4662" applyNumberFormat="1" applyFont="1" applyFill="1" applyBorder="1" applyAlignment="1">
      <alignment horizontal="center" vertical="center"/>
    </xf>
    <xf numFmtId="49" fontId="246" fillId="76" borderId="13" xfId="4662" applyNumberFormat="1" applyFont="1" applyFill="1" applyBorder="1" applyAlignment="1">
      <alignment horizontal="center" vertical="center"/>
    </xf>
    <xf numFmtId="49" fontId="246" fillId="77" borderId="1" xfId="4662" applyNumberFormat="1" applyFont="1" applyFill="1" applyBorder="1" applyAlignment="1">
      <alignment horizontal="center" vertical="center"/>
    </xf>
    <xf numFmtId="4" fontId="245" fillId="78" borderId="4" xfId="4664" applyNumberFormat="1" applyFont="1" applyFill="1" applyBorder="1" applyAlignment="1">
      <alignment horizontal="center" vertical="center" wrapText="1"/>
    </xf>
    <xf numFmtId="4" fontId="245" fillId="78" borderId="3" xfId="4664" applyNumberFormat="1" applyFont="1" applyFill="1" applyBorder="1" applyAlignment="1">
      <alignment horizontal="center" vertical="center" wrapText="1"/>
    </xf>
    <xf numFmtId="4" fontId="245" fillId="77" borderId="1" xfId="4664" applyNumberFormat="1" applyFont="1" applyFill="1" applyBorder="1" applyAlignment="1">
      <alignment horizontal="center" vertical="center" wrapText="1"/>
    </xf>
    <xf numFmtId="4" fontId="245" fillId="77" borderId="10" xfId="4664" applyNumberFormat="1" applyFont="1" applyFill="1" applyBorder="1" applyAlignment="1">
      <alignment horizontal="center" vertical="center" wrapText="1"/>
    </xf>
    <xf numFmtId="4" fontId="245" fillId="77" borderId="11" xfId="4664" applyNumberFormat="1" applyFont="1" applyFill="1" applyBorder="1" applyAlignment="1">
      <alignment horizontal="center" vertical="center" wrapText="1"/>
    </xf>
    <xf numFmtId="4" fontId="245" fillId="5" borderId="4" xfId="4664" applyNumberFormat="1" applyFont="1" applyFill="1" applyBorder="1" applyAlignment="1">
      <alignment horizontal="center" vertical="center" wrapText="1"/>
    </xf>
    <xf numFmtId="4" fontId="245" fillId="5" borderId="3" xfId="4664" applyNumberFormat="1" applyFont="1" applyFill="1" applyBorder="1" applyAlignment="1">
      <alignment horizontal="center" vertical="center" wrapText="1"/>
    </xf>
    <xf numFmtId="49" fontId="246" fillId="5" borderId="1" xfId="4662" applyNumberFormat="1" applyFont="1" applyFill="1" applyBorder="1" applyAlignment="1">
      <alignment horizontal="center" vertical="center"/>
    </xf>
    <xf numFmtId="0" fontId="245" fillId="15" borderId="4" xfId="4664" applyFont="1" applyFill="1" applyBorder="1" applyAlignment="1">
      <alignment horizontal="center" vertical="center" wrapText="1"/>
    </xf>
    <xf numFmtId="0" fontId="245" fillId="15" borderId="3" xfId="4664" applyFont="1" applyFill="1" applyBorder="1" applyAlignment="1">
      <alignment horizontal="center" vertical="center" wrapText="1"/>
    </xf>
    <xf numFmtId="4" fontId="245" fillId="76" borderId="1" xfId="4664" applyNumberFormat="1" applyFont="1" applyFill="1" applyBorder="1" applyAlignment="1">
      <alignment horizontal="center" vertical="center" wrapText="1"/>
    </xf>
    <xf numFmtId="0" fontId="248" fillId="8" borderId="1" xfId="4662" applyFont="1" applyFill="1" applyBorder="1" applyAlignment="1">
      <alignment horizontal="center" vertical="center"/>
    </xf>
    <xf numFmtId="0" fontId="250" fillId="79" borderId="10" xfId="4662" applyFont="1" applyFill="1" applyBorder="1" applyAlignment="1">
      <alignment horizontal="center"/>
    </xf>
    <xf numFmtId="0" fontId="250" fillId="79" borderId="6" xfId="4662" applyFont="1" applyFill="1" applyBorder="1" applyAlignment="1">
      <alignment horizontal="center"/>
    </xf>
    <xf numFmtId="0" fontId="250" fillId="79" borderId="11" xfId="4662" applyFont="1" applyFill="1" applyBorder="1" applyAlignment="1">
      <alignment horizontal="center"/>
    </xf>
    <xf numFmtId="0" fontId="248" fillId="78" borderId="1" xfId="4662" applyFont="1" applyFill="1" applyBorder="1" applyAlignment="1">
      <alignment horizontal="center" vertical="center"/>
    </xf>
    <xf numFmtId="4" fontId="249" fillId="9" borderId="1" xfId="4664" applyNumberFormat="1" applyFont="1" applyFill="1" applyBorder="1" applyAlignment="1">
      <alignment horizontal="center" vertical="center" wrapText="1"/>
    </xf>
    <xf numFmtId="0" fontId="250" fillId="0" borderId="4" xfId="4662" applyNumberFormat="1" applyFont="1" applyFill="1" applyBorder="1" applyAlignment="1">
      <alignment horizontal="center" vertical="center" wrapText="1"/>
    </xf>
    <xf numFmtId="0" fontId="250" fillId="0" borderId="3" xfId="4662" applyNumberFormat="1" applyFont="1" applyFill="1" applyBorder="1" applyAlignment="1">
      <alignment horizontal="center" vertical="center" wrapText="1"/>
    </xf>
    <xf numFmtId="0" fontId="250" fillId="0" borderId="4" xfId="4662" applyFont="1" applyBorder="1" applyAlignment="1">
      <alignment horizontal="center" vertical="center"/>
    </xf>
    <xf numFmtId="0" fontId="250" fillId="0" borderId="1" xfId="4662" applyFont="1" applyBorder="1" applyAlignment="1">
      <alignment horizontal="center" vertical="center"/>
    </xf>
    <xf numFmtId="4" fontId="245" fillId="5" borderId="7" xfId="4664" applyNumberFormat="1" applyFont="1" applyFill="1" applyBorder="1" applyAlignment="1">
      <alignment horizontal="center" vertical="center" wrapText="1"/>
    </xf>
    <xf numFmtId="4" fontId="245" fillId="5" borderId="8" xfId="4664" applyNumberFormat="1" applyFont="1" applyFill="1" applyBorder="1" applyAlignment="1">
      <alignment horizontal="center" vertical="center" wrapText="1"/>
    </xf>
    <xf numFmtId="4" fontId="245" fillId="5" borderId="9" xfId="4664" applyNumberFormat="1" applyFont="1" applyFill="1" applyBorder="1" applyAlignment="1">
      <alignment horizontal="center" vertical="center" wrapText="1"/>
    </xf>
    <xf numFmtId="4" fontId="245" fillId="5" borderId="10" xfId="4664" applyNumberFormat="1" applyFont="1" applyFill="1" applyBorder="1" applyAlignment="1">
      <alignment horizontal="center" vertical="center" wrapText="1"/>
    </xf>
    <xf numFmtId="4" fontId="245" fillId="5" borderId="6" xfId="4664" applyNumberFormat="1" applyFont="1" applyFill="1" applyBorder="1" applyAlignment="1">
      <alignment horizontal="center" vertical="center" wrapText="1"/>
    </xf>
    <xf numFmtId="4" fontId="245" fillId="5" borderId="11" xfId="4664" applyNumberFormat="1" applyFont="1" applyFill="1" applyBorder="1" applyAlignment="1">
      <alignment horizontal="center" vertical="center" wrapText="1"/>
    </xf>
    <xf numFmtId="4" fontId="245" fillId="0" borderId="11" xfId="4664" applyNumberFormat="1" applyFont="1" applyFill="1" applyBorder="1" applyAlignment="1">
      <alignment horizontal="center" vertical="center" wrapText="1"/>
    </xf>
    <xf numFmtId="4" fontId="245" fillId="5" borderId="12" xfId="4664" applyNumberFormat="1" applyFont="1" applyFill="1" applyBorder="1" applyAlignment="1">
      <alignment horizontal="center" vertical="center" wrapText="1"/>
    </xf>
    <xf numFmtId="0" fontId="9" fillId="0" borderId="7" xfId="4662" applyFont="1" applyFill="1" applyBorder="1" applyAlignment="1">
      <alignment horizontal="left" vertical="center" wrapText="1"/>
    </xf>
    <xf numFmtId="0" fontId="9" fillId="0" borderId="8" xfId="4662" applyFont="1" applyFill="1" applyBorder="1" applyAlignment="1">
      <alignment horizontal="left" vertical="center" wrapText="1"/>
    </xf>
    <xf numFmtId="0" fontId="9" fillId="0" borderId="9" xfId="4662" applyFont="1" applyFill="1" applyBorder="1" applyAlignment="1">
      <alignment horizontal="left" vertical="center" wrapText="1"/>
    </xf>
    <xf numFmtId="0" fontId="9" fillId="0" borderId="12" xfId="4662" applyFont="1" applyFill="1" applyBorder="1" applyAlignment="1">
      <alignment horizontal="left" vertical="center" wrapText="1"/>
    </xf>
    <xf numFmtId="0" fontId="9" fillId="0" borderId="5" xfId="4662" applyFont="1" applyFill="1" applyBorder="1" applyAlignment="1">
      <alignment horizontal="left" vertical="center" wrapText="1"/>
    </xf>
    <xf numFmtId="0" fontId="9" fillId="0" borderId="13" xfId="4662" applyFont="1" applyFill="1" applyBorder="1" applyAlignment="1">
      <alignment horizontal="left" vertical="center" wrapText="1"/>
    </xf>
    <xf numFmtId="0" fontId="250" fillId="0" borderId="4" xfId="4662" applyFont="1" applyBorder="1" applyAlignment="1">
      <alignment horizontal="left" vertical="center" wrapText="1"/>
    </xf>
    <xf numFmtId="0" fontId="250" fillId="0" borderId="3" xfId="4662" applyFont="1" applyBorder="1" applyAlignment="1">
      <alignment horizontal="left" vertical="center"/>
    </xf>
    <xf numFmtId="0" fontId="9" fillId="0" borderId="32" xfId="4662" applyFont="1" applyFill="1" applyBorder="1" applyAlignment="1">
      <alignment horizontal="left" vertical="center" wrapText="1"/>
    </xf>
    <xf numFmtId="0" fontId="9" fillId="0" borderId="0" xfId="4662" applyFont="1" applyFill="1" applyBorder="1" applyAlignment="1">
      <alignment horizontal="left" vertical="center" wrapText="1"/>
    </xf>
    <xf numFmtId="0" fontId="9" fillId="0" borderId="33" xfId="4662" applyFont="1" applyFill="1" applyBorder="1" applyAlignment="1">
      <alignment horizontal="left" vertical="center" wrapText="1"/>
    </xf>
    <xf numFmtId="0" fontId="250" fillId="0" borderId="2" xfId="4662" applyFont="1" applyBorder="1" applyAlignment="1">
      <alignment horizontal="left" vertical="center"/>
    </xf>
    <xf numFmtId="0" fontId="247" fillId="0" borderId="10" xfId="4662" applyFont="1" applyBorder="1" applyAlignment="1">
      <alignment horizontal="center" vertical="center"/>
    </xf>
    <xf numFmtId="0" fontId="247" fillId="0" borderId="6" xfId="4662" applyFont="1" applyBorder="1" applyAlignment="1">
      <alignment horizontal="center" vertical="center"/>
    </xf>
    <xf numFmtId="0" fontId="247" fillId="0" borderId="11" xfId="4662" applyFont="1" applyBorder="1" applyAlignment="1">
      <alignment horizontal="center" vertical="center"/>
    </xf>
    <xf numFmtId="0" fontId="250" fillId="0" borderId="4" xfId="4662" applyFont="1" applyBorder="1" applyAlignment="1">
      <alignment horizontal="center" vertical="center" wrapText="1"/>
    </xf>
    <xf numFmtId="0" fontId="250" fillId="0" borderId="1" xfId="4662" applyFont="1" applyBorder="1" applyAlignment="1">
      <alignment horizontal="center" vertical="center" wrapText="1"/>
    </xf>
    <xf numFmtId="0" fontId="250" fillId="6" borderId="7" xfId="4662" applyFont="1" applyFill="1" applyBorder="1" applyAlignment="1">
      <alignment horizontal="center" vertical="center" wrapText="1"/>
    </xf>
    <xf numFmtId="0" fontId="250" fillId="6" borderId="8" xfId="4662" applyFont="1" applyFill="1" applyBorder="1" applyAlignment="1">
      <alignment horizontal="center" vertical="center" wrapText="1"/>
    </xf>
    <xf numFmtId="0" fontId="250" fillId="6" borderId="9" xfId="4662" applyFont="1" applyFill="1" applyBorder="1" applyAlignment="1">
      <alignment horizontal="center" vertical="center" wrapText="1"/>
    </xf>
    <xf numFmtId="0" fontId="250" fillId="6" borderId="12" xfId="4662" applyFont="1" applyFill="1" applyBorder="1" applyAlignment="1">
      <alignment horizontal="center" vertical="center" wrapText="1"/>
    </xf>
    <xf numFmtId="0" fontId="250" fillId="6" borderId="5" xfId="4662" applyFont="1" applyFill="1" applyBorder="1" applyAlignment="1">
      <alignment horizontal="center" vertical="center" wrapText="1"/>
    </xf>
    <xf numFmtId="0" fontId="250" fillId="6" borderId="13" xfId="4662" applyFont="1" applyFill="1" applyBorder="1" applyAlignment="1">
      <alignment horizontal="center" vertical="center" wrapText="1"/>
    </xf>
    <xf numFmtId="0" fontId="248" fillId="6" borderId="7" xfId="4662" applyFont="1" applyFill="1" applyBorder="1" applyAlignment="1">
      <alignment horizontal="center" vertical="center"/>
    </xf>
    <xf numFmtId="0" fontId="248" fillId="6" borderId="8" xfId="4662" applyFont="1" applyFill="1" applyBorder="1" applyAlignment="1">
      <alignment horizontal="center" vertical="center"/>
    </xf>
    <xf numFmtId="0" fontId="248" fillId="6" borderId="9" xfId="4662" applyFont="1" applyFill="1" applyBorder="1" applyAlignment="1">
      <alignment horizontal="center" vertical="center"/>
    </xf>
    <xf numFmtId="0" fontId="248" fillId="6" borderId="32" xfId="4662" applyFont="1" applyFill="1" applyBorder="1" applyAlignment="1">
      <alignment horizontal="center" vertical="center"/>
    </xf>
    <xf numFmtId="0" fontId="248" fillId="6" borderId="0" xfId="4662" applyFont="1" applyFill="1" applyBorder="1" applyAlignment="1">
      <alignment horizontal="center" vertical="center"/>
    </xf>
    <xf numFmtId="0" fontId="248" fillId="6" borderId="33" xfId="4662" applyFont="1" applyFill="1" applyBorder="1" applyAlignment="1">
      <alignment horizontal="center" vertical="center"/>
    </xf>
    <xf numFmtId="0" fontId="248" fillId="6" borderId="12" xfId="4662" applyFont="1" applyFill="1" applyBorder="1" applyAlignment="1">
      <alignment horizontal="center" vertical="center"/>
    </xf>
    <xf numFmtId="0" fontId="248" fillId="6" borderId="5" xfId="4662" applyFont="1" applyFill="1" applyBorder="1" applyAlignment="1">
      <alignment horizontal="center" vertical="center"/>
    </xf>
    <xf numFmtId="0" fontId="248" fillId="6" borderId="13" xfId="4662" applyFont="1" applyFill="1" applyBorder="1" applyAlignment="1">
      <alignment horizontal="center" vertical="center"/>
    </xf>
    <xf numFmtId="0" fontId="250" fillId="6" borderId="1" xfId="4662" applyFont="1" applyFill="1" applyBorder="1" applyAlignment="1">
      <alignment horizontal="center" vertical="center" wrapText="1"/>
    </xf>
    <xf numFmtId="0" fontId="250" fillId="6" borderId="4" xfId="4662" applyFont="1" applyFill="1" applyBorder="1" applyAlignment="1">
      <alignment horizontal="center" vertical="center"/>
    </xf>
    <xf numFmtId="0" fontId="250" fillId="6" borderId="2" xfId="4662" applyFont="1" applyFill="1" applyBorder="1" applyAlignment="1">
      <alignment horizontal="center" vertical="center"/>
    </xf>
    <xf numFmtId="0" fontId="250" fillId="6" borderId="3" xfId="4662" applyFont="1" applyFill="1" applyBorder="1" applyAlignment="1">
      <alignment horizontal="center" vertical="center"/>
    </xf>
    <xf numFmtId="4" fontId="255" fillId="2" borderId="10" xfId="4662" applyNumberFormat="1" applyFont="1" applyFill="1" applyBorder="1" applyAlignment="1">
      <alignment horizontal="center" vertical="center"/>
    </xf>
    <xf numFmtId="4" fontId="255" fillId="2" borderId="6" xfId="4662" applyNumberFormat="1" applyFont="1" applyFill="1" applyBorder="1" applyAlignment="1">
      <alignment horizontal="center" vertical="center"/>
    </xf>
    <xf numFmtId="4" fontId="255" fillId="2" borderId="11" xfId="4662" applyNumberFormat="1" applyFont="1" applyFill="1" applyBorder="1" applyAlignment="1">
      <alignment horizontal="center" vertical="center"/>
    </xf>
    <xf numFmtId="4" fontId="245" fillId="2" borderId="10" xfId="4662" applyNumberFormat="1" applyFont="1" applyFill="1" applyBorder="1" applyAlignment="1">
      <alignment horizontal="center" vertical="center"/>
    </xf>
    <xf numFmtId="4" fontId="245" fillId="2" borderId="6" xfId="4662" applyNumberFormat="1" applyFont="1" applyFill="1" applyBorder="1" applyAlignment="1">
      <alignment horizontal="center" vertical="center"/>
    </xf>
    <xf numFmtId="4" fontId="245" fillId="2" borderId="11" xfId="4662" applyNumberFormat="1" applyFont="1" applyFill="1" applyBorder="1" applyAlignment="1">
      <alignment horizontal="center" vertical="center"/>
    </xf>
    <xf numFmtId="4" fontId="254" fillId="10" borderId="10" xfId="4665" applyNumberFormat="1" applyFont="1" applyFill="1" applyBorder="1" applyAlignment="1">
      <alignment horizontal="center" vertical="center"/>
    </xf>
    <xf numFmtId="4" fontId="254" fillId="10" borderId="6" xfId="4665" applyNumberFormat="1" applyFont="1" applyFill="1" applyBorder="1" applyAlignment="1">
      <alignment horizontal="center" vertical="center"/>
    </xf>
    <xf numFmtId="4" fontId="254" fillId="10" borderId="11" xfId="4665" applyNumberFormat="1" applyFont="1" applyFill="1" applyBorder="1" applyAlignment="1">
      <alignment horizontal="center" vertical="center"/>
    </xf>
    <xf numFmtId="4" fontId="254" fillId="10" borderId="10" xfId="4662" applyNumberFormat="1" applyFont="1" applyFill="1" applyBorder="1" applyAlignment="1">
      <alignment horizontal="center" vertical="center" wrapText="1"/>
    </xf>
    <xf numFmtId="4" fontId="254" fillId="10" borderId="6" xfId="4662" applyNumberFormat="1" applyFont="1" applyFill="1" applyBorder="1" applyAlignment="1">
      <alignment horizontal="center" vertical="center" wrapText="1"/>
    </xf>
    <xf numFmtId="4" fontId="254" fillId="10" borderId="11" xfId="4662" applyNumberFormat="1" applyFont="1" applyFill="1" applyBorder="1" applyAlignment="1">
      <alignment horizontal="center" vertical="center" wrapText="1"/>
    </xf>
    <xf numFmtId="4" fontId="255" fillId="0" borderId="10" xfId="4662" applyNumberFormat="1" applyFont="1" applyFill="1" applyBorder="1" applyAlignment="1">
      <alignment horizontal="center" vertical="center"/>
    </xf>
    <xf numFmtId="4" fontId="255" fillId="0" borderId="6" xfId="4662" applyNumberFormat="1" applyFont="1" applyFill="1" applyBorder="1" applyAlignment="1">
      <alignment horizontal="center" vertical="center"/>
    </xf>
    <xf numFmtId="4" fontId="255" fillId="0" borderId="11" xfId="4662" applyNumberFormat="1" applyFont="1" applyFill="1" applyBorder="1" applyAlignment="1">
      <alignment horizontal="center" vertical="center"/>
    </xf>
    <xf numFmtId="0" fontId="254" fillId="10" borderId="6" xfId="4662" applyNumberFormat="1" applyFont="1" applyFill="1" applyBorder="1" applyAlignment="1">
      <alignment horizontal="right" vertical="center" wrapText="1"/>
    </xf>
    <xf numFmtId="4" fontId="247" fillId="0" borderId="10" xfId="4662" applyNumberFormat="1" applyFont="1" applyFill="1" applyBorder="1" applyAlignment="1">
      <alignment horizontal="center" vertical="center"/>
    </xf>
    <xf numFmtId="4" fontId="247" fillId="0" borderId="6" xfId="4662" applyNumberFormat="1" applyFont="1" applyFill="1" applyBorder="1" applyAlignment="1">
      <alignment horizontal="center" vertical="center"/>
    </xf>
    <xf numFmtId="4" fontId="247" fillId="0" borderId="11" xfId="4662" applyNumberFormat="1" applyFont="1" applyFill="1" applyBorder="1" applyAlignment="1">
      <alignment horizontal="center" vertical="center"/>
    </xf>
    <xf numFmtId="49" fontId="254" fillId="10" borderId="6" xfId="4662" applyNumberFormat="1" applyFont="1" applyFill="1" applyBorder="1" applyAlignment="1">
      <alignment horizontal="center" vertical="center" wrapText="1"/>
    </xf>
    <xf numFmtId="49" fontId="254" fillId="10" borderId="11" xfId="4662" applyNumberFormat="1" applyFont="1" applyFill="1" applyBorder="1" applyAlignment="1">
      <alignment horizontal="center" vertical="center" wrapText="1"/>
    </xf>
    <xf numFmtId="4" fontId="247" fillId="2" borderId="10" xfId="4662" applyNumberFormat="1" applyFont="1" applyFill="1" applyBorder="1" applyAlignment="1">
      <alignment horizontal="center" vertical="center"/>
    </xf>
    <xf numFmtId="4" fontId="247" fillId="2" borderId="6" xfId="4662" applyNumberFormat="1" applyFont="1" applyFill="1" applyBorder="1" applyAlignment="1">
      <alignment horizontal="center" vertical="center"/>
    </xf>
    <xf numFmtId="4" fontId="247" fillId="2" borderId="11" xfId="4662" applyNumberFormat="1" applyFont="1" applyFill="1" applyBorder="1" applyAlignment="1">
      <alignment horizontal="center" vertical="center"/>
    </xf>
    <xf numFmtId="4" fontId="245" fillId="0" borderId="10" xfId="4662" applyNumberFormat="1" applyFont="1" applyFill="1" applyBorder="1" applyAlignment="1">
      <alignment horizontal="center" vertical="center"/>
    </xf>
    <xf numFmtId="4" fontId="245" fillId="0" borderId="6" xfId="4662" applyNumberFormat="1" applyFont="1" applyFill="1" applyBorder="1" applyAlignment="1">
      <alignment horizontal="center" vertical="center"/>
    </xf>
    <xf numFmtId="4" fontId="245" fillId="0" borderId="11" xfId="4662" applyNumberFormat="1" applyFont="1" applyFill="1" applyBorder="1" applyAlignment="1">
      <alignment horizontal="center" vertical="center"/>
    </xf>
    <xf numFmtId="4" fontId="255" fillId="2" borderId="4" xfId="4667" applyNumberFormat="1" applyFont="1" applyFill="1" applyBorder="1" applyAlignment="1">
      <alignment horizontal="center" vertical="center"/>
    </xf>
    <xf numFmtId="4" fontId="255" fillId="2" borderId="2" xfId="4667" applyNumberFormat="1" applyFont="1" applyFill="1" applyBorder="1" applyAlignment="1">
      <alignment horizontal="center" vertical="center"/>
    </xf>
    <xf numFmtId="4" fontId="255" fillId="2" borderId="3" xfId="4667" applyNumberFormat="1" applyFont="1" applyFill="1" applyBorder="1" applyAlignment="1">
      <alignment horizontal="center" vertical="center"/>
    </xf>
    <xf numFmtId="4" fontId="247" fillId="2" borderId="4" xfId="4668" applyNumberFormat="1" applyFont="1" applyFill="1" applyBorder="1" applyAlignment="1">
      <alignment horizontal="right" vertical="center"/>
    </xf>
    <xf numFmtId="4" fontId="247" fillId="2" borderId="3" xfId="4668" applyNumberFormat="1" applyFont="1" applyFill="1" applyBorder="1" applyAlignment="1">
      <alignment horizontal="right" vertical="center"/>
    </xf>
    <xf numFmtId="4" fontId="255" fillId="0" borderId="10" xfId="4665" applyNumberFormat="1" applyFont="1" applyFill="1" applyBorder="1" applyAlignment="1">
      <alignment horizontal="center" vertical="center"/>
    </xf>
    <xf numFmtId="4" fontId="255" fillId="0" borderId="6" xfId="4665" applyNumberFormat="1" applyFont="1" applyFill="1" applyBorder="1" applyAlignment="1">
      <alignment horizontal="center" vertical="center"/>
    </xf>
    <xf numFmtId="4" fontId="255" fillId="0" borderId="11" xfId="4665" applyNumberFormat="1" applyFont="1" applyFill="1" applyBorder="1" applyAlignment="1">
      <alignment horizontal="center" vertical="center"/>
    </xf>
    <xf numFmtId="4" fontId="247" fillId="2" borderId="4" xfId="4662" applyNumberFormat="1" applyFont="1" applyFill="1" applyBorder="1" applyAlignment="1">
      <alignment vertical="center"/>
    </xf>
    <xf numFmtId="0" fontId="271" fillId="0" borderId="3" xfId="4662" applyFont="1" applyBorder="1" applyAlignment="1">
      <alignment vertical="center"/>
    </xf>
    <xf numFmtId="0" fontId="254" fillId="10" borderId="1" xfId="4662" applyNumberFormat="1" applyFont="1" applyFill="1" applyBorder="1" applyAlignment="1">
      <alignment horizontal="right" vertical="center" wrapText="1"/>
    </xf>
    <xf numFmtId="4" fontId="254" fillId="0" borderId="10" xfId="4662" applyNumberFormat="1" applyFont="1" applyFill="1" applyBorder="1" applyAlignment="1">
      <alignment horizontal="center" vertical="center"/>
    </xf>
    <xf numFmtId="4" fontId="254" fillId="0" borderId="6" xfId="4662" applyNumberFormat="1" applyFont="1" applyFill="1" applyBorder="1" applyAlignment="1">
      <alignment horizontal="center" vertical="center"/>
    </xf>
    <xf numFmtId="4" fontId="254" fillId="0" borderId="11" xfId="4662" applyNumberFormat="1" applyFont="1" applyFill="1" applyBorder="1" applyAlignment="1">
      <alignment horizontal="center" vertical="center"/>
    </xf>
    <xf numFmtId="49" fontId="9" fillId="2" borderId="10" xfId="4662" applyNumberFormat="1" applyFont="1" applyFill="1" applyBorder="1" applyAlignment="1">
      <alignment vertical="center" wrapText="1"/>
    </xf>
    <xf numFmtId="49" fontId="9" fillId="2" borderId="11" xfId="4662" applyNumberFormat="1" applyFont="1" applyFill="1" applyBorder="1" applyAlignment="1">
      <alignment vertical="center" wrapText="1"/>
    </xf>
    <xf numFmtId="0" fontId="22" fillId="0" borderId="10" xfId="4662" applyNumberFormat="1" applyFont="1" applyFill="1" applyBorder="1" applyAlignment="1">
      <alignment horizontal="right" vertical="center" wrapText="1"/>
    </xf>
    <xf numFmtId="0" fontId="22" fillId="0" borderId="11" xfId="4662" applyNumberFormat="1" applyFont="1" applyFill="1" applyBorder="1" applyAlignment="1">
      <alignment horizontal="right" vertical="center" wrapText="1"/>
    </xf>
    <xf numFmtId="0" fontId="22" fillId="0" borderId="10" xfId="4662" applyNumberFormat="1" applyFont="1" applyFill="1" applyBorder="1" applyAlignment="1">
      <alignment horizontal="left" vertical="center" wrapText="1"/>
    </xf>
    <xf numFmtId="0" fontId="22" fillId="0" borderId="11" xfId="4662" applyNumberFormat="1" applyFont="1" applyFill="1" applyBorder="1" applyAlignment="1">
      <alignment horizontal="left" vertical="center" wrapText="1"/>
    </xf>
    <xf numFmtId="49" fontId="275" fillId="79" borderId="75" xfId="2633" applyNumberFormat="1" applyFont="1" applyFill="1" applyBorder="1" applyAlignment="1" applyProtection="1">
      <alignment horizontal="center" vertical="center"/>
    </xf>
    <xf numFmtId="49" fontId="275" fillId="79" borderId="78" xfId="2633" applyNumberFormat="1" applyFont="1" applyFill="1" applyBorder="1" applyAlignment="1" applyProtection="1">
      <alignment horizontal="center" vertical="center"/>
    </xf>
    <xf numFmtId="0" fontId="275" fillId="79" borderId="34" xfId="2633" quotePrefix="1" applyFont="1" applyFill="1" applyBorder="1" applyAlignment="1" applyProtection="1">
      <alignment horizontal="center" vertical="center" wrapText="1"/>
    </xf>
    <xf numFmtId="0" fontId="275" fillId="79" borderId="42" xfId="2633" quotePrefix="1" applyFont="1" applyFill="1" applyBorder="1" applyAlignment="1" applyProtection="1">
      <alignment horizontal="center" vertical="center" wrapText="1"/>
    </xf>
    <xf numFmtId="4" fontId="254" fillId="4" borderId="10" xfId="4662" applyNumberFormat="1" applyFont="1" applyFill="1" applyBorder="1" applyAlignment="1">
      <alignment horizontal="center" vertical="center" wrapText="1"/>
    </xf>
    <xf numFmtId="4" fontId="254" fillId="4" borderId="6" xfId="4662" applyNumberFormat="1" applyFont="1" applyFill="1" applyBorder="1" applyAlignment="1">
      <alignment horizontal="center" vertical="center" wrapText="1"/>
    </xf>
    <xf numFmtId="4" fontId="254" fillId="4" borderId="11" xfId="4662" applyNumberFormat="1" applyFont="1" applyFill="1" applyBorder="1" applyAlignment="1">
      <alignment horizontal="center" vertical="center" wrapText="1"/>
    </xf>
    <xf numFmtId="0" fontId="22" fillId="10" borderId="6" xfId="4662" applyNumberFormat="1" applyFont="1" applyFill="1" applyBorder="1" applyAlignment="1">
      <alignment horizontal="right" vertical="center" wrapText="1"/>
    </xf>
    <xf numFmtId="0" fontId="22" fillId="0" borderId="6" xfId="4662" applyNumberFormat="1" applyFont="1" applyFill="1" applyBorder="1" applyAlignment="1">
      <alignment horizontal="right" vertical="center" wrapText="1"/>
    </xf>
    <xf numFmtId="0" fontId="9" fillId="0" borderId="10" xfId="4662" applyNumberFormat="1" applyFont="1" applyFill="1" applyBorder="1" applyAlignment="1">
      <alignment horizontal="left" vertical="center" wrapText="1"/>
    </xf>
    <xf numFmtId="0" fontId="9" fillId="0" borderId="11" xfId="4662" applyNumberFormat="1" applyFont="1" applyFill="1" applyBorder="1" applyAlignment="1">
      <alignment horizontal="left" vertical="center" wrapText="1"/>
    </xf>
    <xf numFmtId="3" fontId="239" fillId="79" borderId="75" xfId="2633" applyNumberFormat="1" applyFont="1" applyFill="1" applyBorder="1" applyAlignment="1" applyProtection="1">
      <alignment horizontal="center" vertical="center" wrapText="1"/>
    </xf>
    <xf numFmtId="3" fontId="239" fillId="79" borderId="78" xfId="2633" applyNumberFormat="1" applyFont="1" applyFill="1" applyBorder="1" applyAlignment="1" applyProtection="1">
      <alignment horizontal="center" vertical="center" wrapText="1"/>
    </xf>
    <xf numFmtId="3" fontId="239" fillId="79" borderId="38" xfId="2633" applyNumberFormat="1" applyFont="1" applyFill="1" applyBorder="1" applyAlignment="1" applyProtection="1">
      <alignment horizontal="center" vertical="center" wrapText="1"/>
    </xf>
    <xf numFmtId="3" fontId="239" fillId="79" borderId="76" xfId="2633" applyNumberFormat="1" applyFont="1" applyFill="1" applyBorder="1" applyAlignment="1" applyProtection="1">
      <alignment horizontal="center" vertical="center"/>
    </xf>
    <xf numFmtId="3" fontId="239" fillId="79" borderId="77" xfId="2633" applyNumberFormat="1" applyFont="1" applyFill="1" applyBorder="1" applyAlignment="1" applyProtection="1">
      <alignment horizontal="center" vertical="center"/>
    </xf>
    <xf numFmtId="49" fontId="274" fillId="0" borderId="38" xfId="2633" applyNumberFormat="1" applyFont="1" applyBorder="1" applyAlignment="1" applyProtection="1">
      <alignment horizontal="center" vertical="center"/>
    </xf>
    <xf numFmtId="49" fontId="274" fillId="0" borderId="76" xfId="2633" applyNumberFormat="1" applyFont="1" applyBorder="1" applyAlignment="1" applyProtection="1">
      <alignment horizontal="center" vertical="center"/>
    </xf>
    <xf numFmtId="0" fontId="246" fillId="0" borderId="0" xfId="4662" applyFont="1" applyAlignment="1">
      <alignment horizontal="left"/>
    </xf>
    <xf numFmtId="49" fontId="159" fillId="79" borderId="75" xfId="2633" applyNumberFormat="1" applyFont="1" applyFill="1" applyBorder="1" applyAlignment="1" applyProtection="1">
      <alignment horizontal="center" vertical="center" wrapText="1"/>
      <protection hidden="1"/>
    </xf>
    <xf numFmtId="49" fontId="159" fillId="79" borderId="79" xfId="2633" applyNumberFormat="1" applyFont="1" applyFill="1" applyBorder="1" applyAlignment="1" applyProtection="1">
      <alignment horizontal="center" vertical="center" wrapText="1"/>
      <protection hidden="1"/>
    </xf>
    <xf numFmtId="49" fontId="159" fillId="79" borderId="78" xfId="2633" applyNumberFormat="1" applyFont="1" applyFill="1" applyBorder="1" applyAlignment="1" applyProtection="1">
      <alignment horizontal="center" vertical="center" wrapText="1"/>
      <protection hidden="1"/>
    </xf>
    <xf numFmtId="0" fontId="159" fillId="79" borderId="34" xfId="2633" applyFont="1" applyFill="1" applyBorder="1" applyAlignment="1" applyProtection="1">
      <alignment horizontal="center" vertical="center" wrapText="1"/>
      <protection hidden="1"/>
    </xf>
    <xf numFmtId="0" fontId="159" fillId="79" borderId="84" xfId="2633" applyFont="1" applyFill="1" applyBorder="1" applyAlignment="1" applyProtection="1">
      <alignment horizontal="center" vertical="center" wrapText="1"/>
      <protection hidden="1"/>
    </xf>
    <xf numFmtId="0" fontId="159" fillId="79" borderId="42" xfId="2633" applyFont="1" applyFill="1" applyBorder="1" applyAlignment="1" applyProtection="1">
      <alignment horizontal="center" vertical="center" wrapText="1"/>
      <protection hidden="1"/>
    </xf>
    <xf numFmtId="0" fontId="262" fillId="0" borderId="0" xfId="4662" applyFont="1" applyBorder="1" applyAlignment="1">
      <alignment horizontal="justify" vertical="center" wrapText="1"/>
    </xf>
    <xf numFmtId="49" fontId="16" fillId="0" borderId="38" xfId="2633" applyNumberFormat="1" applyFont="1" applyBorder="1" applyAlignment="1" applyProtection="1">
      <alignment horizontal="left" vertical="center"/>
    </xf>
    <xf numFmtId="49" fontId="16" fillId="0" borderId="77" xfId="2633" applyNumberFormat="1" applyFont="1" applyBorder="1" applyAlignment="1" applyProtection="1">
      <alignment horizontal="left" vertical="center"/>
    </xf>
    <xf numFmtId="0" fontId="246" fillId="0" borderId="1" xfId="4662" applyFont="1" applyBorder="1" applyAlignment="1">
      <alignment horizontal="center" vertical="center"/>
    </xf>
    <xf numFmtId="1" fontId="262" fillId="0" borderId="1" xfId="4662" applyNumberFormat="1" applyFont="1" applyBorder="1" applyAlignment="1">
      <alignment horizontal="center"/>
    </xf>
    <xf numFmtId="3" fontId="239" fillId="5" borderId="38" xfId="2633" applyNumberFormat="1" applyFont="1" applyFill="1" applyBorder="1" applyAlignment="1" applyProtection="1">
      <alignment horizontal="center" vertical="center"/>
    </xf>
    <xf numFmtId="3" fontId="239" fillId="5" borderId="77" xfId="2633" applyNumberFormat="1" applyFont="1" applyFill="1" applyBorder="1" applyAlignment="1" applyProtection="1">
      <alignment horizontal="center" vertical="center"/>
    </xf>
    <xf numFmtId="0" fontId="159" fillId="0" borderId="34" xfId="2633" applyFont="1" applyFill="1" applyBorder="1" applyAlignment="1" applyProtection="1">
      <alignment horizontal="center" vertical="center" wrapText="1"/>
      <protection hidden="1"/>
    </xf>
    <xf numFmtId="0" fontId="159" fillId="0" borderId="84" xfId="2633" applyFont="1" applyFill="1" applyBorder="1" applyAlignment="1" applyProtection="1">
      <alignment horizontal="center" vertical="center" wrapText="1"/>
      <protection hidden="1"/>
    </xf>
    <xf numFmtId="0" fontId="159" fillId="0" borderId="42" xfId="2633" applyFont="1" applyFill="1" applyBorder="1" applyAlignment="1" applyProtection="1">
      <alignment horizontal="center" vertical="center" wrapText="1"/>
      <protection hidden="1"/>
    </xf>
    <xf numFmtId="0" fontId="159" fillId="79" borderId="30" xfId="2633" applyFont="1" applyFill="1" applyBorder="1" applyAlignment="1" applyProtection="1">
      <alignment horizontal="center" vertical="center" wrapText="1"/>
      <protection hidden="1"/>
    </xf>
    <xf numFmtId="0" fontId="159" fillId="79" borderId="83" xfId="2633" applyFont="1" applyFill="1" applyBorder="1" applyAlignment="1" applyProtection="1">
      <alignment horizontal="center" vertical="center" wrapText="1"/>
      <protection hidden="1"/>
    </xf>
    <xf numFmtId="0" fontId="159" fillId="79" borderId="0" xfId="2633" applyFont="1" applyFill="1" applyBorder="1" applyAlignment="1" applyProtection="1">
      <alignment horizontal="center" vertical="center" wrapText="1"/>
      <protection hidden="1"/>
    </xf>
    <xf numFmtId="0" fontId="159" fillId="79" borderId="85" xfId="2633" applyFont="1" applyFill="1" applyBorder="1" applyAlignment="1" applyProtection="1">
      <alignment horizontal="center" vertical="center" wrapText="1"/>
      <protection hidden="1"/>
    </xf>
    <xf numFmtId="0" fontId="159" fillId="79" borderId="15" xfId="2633" applyFont="1" applyFill="1" applyBorder="1" applyAlignment="1" applyProtection="1">
      <alignment horizontal="center" vertical="center" wrapText="1"/>
      <protection hidden="1"/>
    </xf>
    <xf numFmtId="0" fontId="159" fillId="79" borderId="86" xfId="2633" applyFont="1" applyFill="1" applyBorder="1" applyAlignment="1" applyProtection="1">
      <alignment horizontal="center" vertical="center" wrapText="1"/>
      <protection hidden="1"/>
    </xf>
    <xf numFmtId="0" fontId="280" fillId="79" borderId="75" xfId="2633" applyFont="1" applyFill="1" applyBorder="1" applyAlignment="1" applyProtection="1">
      <alignment horizontal="center" vertical="center" wrapText="1"/>
      <protection hidden="1"/>
    </xf>
    <xf numFmtId="0" fontId="280" fillId="79" borderId="78" xfId="2633" applyFont="1" applyFill="1" applyBorder="1" applyAlignment="1" applyProtection="1">
      <alignment horizontal="center" vertical="center" wrapText="1"/>
      <protection hidden="1"/>
    </xf>
    <xf numFmtId="0" fontId="246" fillId="0" borderId="0" xfId="4662" applyFont="1" applyBorder="1" applyAlignment="1">
      <alignment horizontal="center" vertical="center"/>
    </xf>
    <xf numFmtId="1" fontId="262" fillId="0" borderId="0" xfId="4662" applyNumberFormat="1" applyFont="1" applyBorder="1" applyAlignment="1">
      <alignment horizontal="center"/>
    </xf>
    <xf numFmtId="0" fontId="284" fillId="0" borderId="5" xfId="5688" applyBorder="1" applyAlignment="1">
      <alignment horizontal="center" vertical="center"/>
    </xf>
    <xf numFmtId="0" fontId="284" fillId="0" borderId="0" xfId="5688" applyBorder="1" applyAlignment="1">
      <alignment horizontal="center" vertical="center"/>
    </xf>
    <xf numFmtId="0" fontId="284" fillId="0" borderId="0" xfId="5688" applyBorder="1" applyAlignment="1"/>
    <xf numFmtId="165" fontId="41" fillId="0" borderId="4" xfId="6" applyNumberFormat="1" applyFont="1" applyFill="1" applyBorder="1" applyAlignment="1" applyProtection="1">
      <alignment vertical="center" wrapText="1"/>
    </xf>
    <xf numFmtId="0" fontId="284" fillId="0" borderId="2" xfId="5688" applyBorder="1" applyAlignment="1">
      <alignment vertical="center" wrapText="1"/>
    </xf>
    <xf numFmtId="0" fontId="284" fillId="0" borderId="3" xfId="5688" applyBorder="1" applyAlignment="1">
      <alignment vertical="center" wrapText="1"/>
    </xf>
    <xf numFmtId="0" fontId="14" fillId="0" borderId="10" xfId="5688" applyFont="1" applyBorder="1" applyAlignment="1">
      <alignment horizontal="center" vertical="center" wrapText="1"/>
    </xf>
    <xf numFmtId="0" fontId="14" fillId="0" borderId="6" xfId="5688" applyFont="1" applyBorder="1" applyAlignment="1">
      <alignment horizontal="center" vertical="center" wrapText="1"/>
    </xf>
    <xf numFmtId="0" fontId="284" fillId="0" borderId="6" xfId="5688" applyBorder="1" applyAlignment="1">
      <alignment horizontal="center" vertical="center" wrapText="1"/>
    </xf>
    <xf numFmtId="0" fontId="284" fillId="0" borderId="11" xfId="5688" applyBorder="1" applyAlignment="1">
      <alignment horizontal="center" vertical="center" wrapText="1"/>
    </xf>
    <xf numFmtId="165" fontId="31" fillId="2" borderId="4" xfId="4" applyNumberFormat="1" applyFont="1" applyFill="1" applyBorder="1" applyAlignment="1">
      <alignment horizontal="center" vertical="center"/>
    </xf>
    <xf numFmtId="0" fontId="285" fillId="0" borderId="2" xfId="5688" applyFont="1" applyBorder="1" applyAlignment="1">
      <alignment horizontal="center" vertical="center"/>
    </xf>
    <xf numFmtId="0" fontId="285" fillId="0" borderId="3" xfId="5688" applyFont="1" applyBorder="1" applyAlignment="1">
      <alignment horizontal="center" vertical="center"/>
    </xf>
    <xf numFmtId="165" fontId="41" fillId="10" borderId="4" xfId="6" applyNumberFormat="1" applyFont="1" applyFill="1" applyBorder="1" applyAlignment="1" applyProtection="1">
      <alignment horizontal="center" vertical="center" wrapText="1"/>
    </xf>
    <xf numFmtId="0" fontId="284" fillId="0" borderId="3" xfId="5688" applyBorder="1" applyAlignment="1">
      <alignment horizontal="center" vertical="center" wrapText="1"/>
    </xf>
    <xf numFmtId="0" fontId="13" fillId="2" borderId="10" xfId="6" applyFont="1" applyFill="1" applyBorder="1" applyAlignment="1">
      <alignment horizontal="center" vertical="center" wrapText="1"/>
    </xf>
    <xf numFmtId="0" fontId="13" fillId="2" borderId="4" xfId="6" applyFont="1" applyFill="1" applyBorder="1" applyAlignment="1">
      <alignment horizontal="center" vertical="center" wrapText="1"/>
    </xf>
    <xf numFmtId="0" fontId="13" fillId="2" borderId="3" xfId="6" applyFont="1" applyFill="1" applyBorder="1" applyAlignment="1">
      <alignment horizontal="center" vertical="center" wrapText="1"/>
    </xf>
    <xf numFmtId="0" fontId="13" fillId="2" borderId="1" xfId="6" applyFont="1" applyFill="1" applyBorder="1" applyAlignment="1">
      <alignment horizontal="center" vertical="center" wrapText="1"/>
    </xf>
    <xf numFmtId="0" fontId="41" fillId="2" borderId="1" xfId="6" applyFont="1" applyFill="1" applyBorder="1" applyAlignment="1">
      <alignment horizontal="center" vertical="center" wrapText="1"/>
    </xf>
    <xf numFmtId="165" fontId="41" fillId="8" borderId="4" xfId="6" applyNumberFormat="1" applyFont="1" applyFill="1" applyBorder="1" applyAlignment="1" applyProtection="1">
      <alignment horizontal="center" vertical="center" wrapText="1"/>
    </xf>
    <xf numFmtId="49" fontId="43" fillId="2" borderId="1" xfId="2" applyNumberFormat="1" applyFont="1" applyFill="1" applyBorder="1" applyAlignment="1">
      <alignment horizontal="left" vertical="center"/>
    </xf>
    <xf numFmtId="0" fontId="284" fillId="0" borderId="1" xfId="5688" applyBorder="1" applyAlignment="1">
      <alignment horizontal="center" vertical="center" wrapText="1"/>
    </xf>
    <xf numFmtId="165" fontId="41" fillId="0" borderId="4" xfId="6" applyNumberFormat="1" applyFont="1" applyFill="1" applyBorder="1" applyAlignment="1" applyProtection="1">
      <alignment horizontal="center" vertical="center" wrapText="1"/>
    </xf>
    <xf numFmtId="165" fontId="25" fillId="2" borderId="4" xfId="4" applyNumberFormat="1" applyFont="1" applyFill="1" applyBorder="1" applyAlignment="1">
      <alignment horizontal="justify" wrapText="1"/>
    </xf>
    <xf numFmtId="0" fontId="284" fillId="0" borderId="3" xfId="5688" applyBorder="1" applyAlignment="1"/>
    <xf numFmtId="165" fontId="44" fillId="0" borderId="4" xfId="4" applyNumberFormat="1" applyFont="1" applyFill="1" applyBorder="1" applyAlignment="1">
      <alignment horizontal="center" vertical="center"/>
    </xf>
    <xf numFmtId="165" fontId="44" fillId="0" borderId="3" xfId="4" applyNumberFormat="1" applyFont="1" applyFill="1" applyBorder="1" applyAlignment="1">
      <alignment horizontal="center" vertical="center"/>
    </xf>
    <xf numFmtId="165" fontId="41" fillId="2" borderId="1" xfId="4" applyNumberFormat="1" applyFont="1" applyFill="1" applyBorder="1" applyAlignment="1">
      <alignment horizontal="center" vertical="center"/>
    </xf>
    <xf numFmtId="0" fontId="284" fillId="0" borderId="3" xfId="5688" applyBorder="1" applyAlignment="1">
      <alignment horizontal="center" vertical="center"/>
    </xf>
    <xf numFmtId="0" fontId="7" fillId="0" borderId="2" xfId="5688" applyFont="1" applyFill="1" applyBorder="1" applyAlignment="1">
      <alignment horizontal="center" vertical="center" wrapText="1"/>
    </xf>
    <xf numFmtId="0" fontId="284" fillId="0" borderId="3" xfId="5688" applyFill="1" applyBorder="1" applyAlignment="1">
      <alignment horizontal="center" vertical="center" wrapText="1"/>
    </xf>
    <xf numFmtId="0" fontId="7" fillId="0" borderId="32" xfId="5688" applyFont="1" applyFill="1" applyBorder="1" applyAlignment="1">
      <alignment horizontal="center" vertical="center" wrapText="1"/>
    </xf>
    <xf numFmtId="0" fontId="7" fillId="0" borderId="0" xfId="5688" applyFont="1" applyFill="1" applyBorder="1" applyAlignment="1">
      <alignment horizontal="center" vertical="center" wrapText="1"/>
    </xf>
    <xf numFmtId="0" fontId="284" fillId="0" borderId="0" xfId="5688" applyFill="1" applyBorder="1" applyAlignment="1">
      <alignment horizontal="center" vertical="center" wrapText="1"/>
    </xf>
    <xf numFmtId="0" fontId="284" fillId="0" borderId="33" xfId="5688" applyFill="1" applyBorder="1" applyAlignment="1">
      <alignment horizontal="center" vertical="center" wrapText="1"/>
    </xf>
    <xf numFmtId="0" fontId="284" fillId="0" borderId="12" xfId="5688" applyFill="1" applyBorder="1" applyAlignment="1">
      <alignment horizontal="center" vertical="center" wrapText="1"/>
    </xf>
    <xf numFmtId="0" fontId="284" fillId="0" borderId="5" xfId="5688" applyFill="1" applyBorder="1" applyAlignment="1">
      <alignment horizontal="center" vertical="center" wrapText="1"/>
    </xf>
    <xf numFmtId="0" fontId="284" fillId="0" borderId="13" xfId="5688" applyFill="1" applyBorder="1" applyAlignment="1">
      <alignment horizontal="center" vertical="center" wrapText="1"/>
    </xf>
    <xf numFmtId="0" fontId="284" fillId="0" borderId="3" xfId="5688" applyFill="1" applyBorder="1" applyAlignment="1">
      <alignment horizontal="center" vertical="center"/>
    </xf>
    <xf numFmtId="0" fontId="7" fillId="0" borderId="12" xfId="5688" applyFont="1" applyFill="1" applyBorder="1" applyAlignment="1">
      <alignment horizontal="center" vertical="center" wrapText="1"/>
    </xf>
    <xf numFmtId="0" fontId="7" fillId="0" borderId="4" xfId="5688" applyFont="1" applyFill="1" applyBorder="1" applyAlignment="1">
      <alignment horizontal="center" vertical="center" wrapText="1"/>
    </xf>
    <xf numFmtId="0" fontId="284" fillId="0" borderId="2" xfId="5688" applyFill="1" applyBorder="1" applyAlignment="1">
      <alignment horizontal="center" vertical="center" wrapText="1"/>
    </xf>
    <xf numFmtId="0" fontId="7" fillId="0" borderId="8" xfId="5688" applyFont="1" applyFill="1" applyBorder="1" applyAlignment="1">
      <alignment horizontal="center" vertical="center" wrapText="1"/>
    </xf>
    <xf numFmtId="165" fontId="7" fillId="0" borderId="6" xfId="7" applyNumberFormat="1" applyFont="1" applyFill="1" applyBorder="1" applyAlignment="1" applyProtection="1">
      <alignment vertical="center" wrapText="1"/>
    </xf>
    <xf numFmtId="0" fontId="284" fillId="0" borderId="6" xfId="5688" applyFill="1" applyBorder="1" applyAlignment="1">
      <alignment vertical="center"/>
    </xf>
    <xf numFmtId="0" fontId="284" fillId="0" borderId="11" xfId="5688" applyFill="1" applyBorder="1" applyAlignment="1">
      <alignment vertical="center"/>
    </xf>
    <xf numFmtId="0" fontId="284" fillId="0" borderId="6" xfId="5688" applyFill="1" applyBorder="1" applyAlignment="1">
      <alignment vertical="center" wrapText="1"/>
    </xf>
    <xf numFmtId="0" fontId="284" fillId="0" borderId="11" xfId="5688" applyFill="1" applyBorder="1" applyAlignment="1">
      <alignment vertical="center" wrapText="1"/>
    </xf>
  </cellXfs>
  <cellStyles count="13154">
    <cellStyle name=" 1" xfId="13"/>
    <cellStyle name=" 1 2" xfId="14"/>
    <cellStyle name=" 1_Stage1" xfId="15"/>
    <cellStyle name="_x000a_bidires=100_x000d_" xfId="16"/>
    <cellStyle name="_x000a_bidires=100_x000d_ 2" xfId="17"/>
    <cellStyle name="_x000a_bidires=100_x000d_ 2 2" xfId="18"/>
    <cellStyle name="_x000a_bidires=100_x000d_ 3" xfId="19"/>
    <cellStyle name="%" xfId="20"/>
    <cellStyle name="%_Inputs" xfId="21"/>
    <cellStyle name="%_Inputs (const)" xfId="22"/>
    <cellStyle name="%_Inputs Co" xfId="23"/>
    <cellStyle name="?…?ж?Ш?и [0.00]" xfId="24"/>
    <cellStyle name="?W??_‘O’с?р??" xfId="25"/>
    <cellStyle name="_!!! отчетные Форматы минэнерго к ИП 2011 (1.11.10)" xfId="26"/>
    <cellStyle name="___RAB__2014" xfId="27"/>
    <cellStyle name="_CashFlow_2007_проект_02_02_final" xfId="28"/>
    <cellStyle name="_CPI foodimp" xfId="29"/>
    <cellStyle name="_macro 2012 var 1" xfId="30"/>
    <cellStyle name="_Model_RAB Мой" xfId="31"/>
    <cellStyle name="_Model_RAB Мой 2" xfId="32"/>
    <cellStyle name="_Model_RAB Мой 2_OREP.KU.2011.MONTHLY.02(v0.1)" xfId="33"/>
    <cellStyle name="_Model_RAB Мой 2_OREP.KU.2011.MONTHLY.02(v0.4)" xfId="34"/>
    <cellStyle name="_Model_RAB Мой 2_OREP.KU.2011.MONTHLY.11(v1.4)" xfId="35"/>
    <cellStyle name="_Model_RAB Мой 2_UPDATE.OREP.KU.2011.MONTHLY.02.TO.1.2" xfId="36"/>
    <cellStyle name="_Model_RAB Мой_46EE.2011(v1.0)" xfId="37"/>
    <cellStyle name="_Model_RAB Мой_46EE.2011(v1.0)_46TE.2011(v1.0)" xfId="38"/>
    <cellStyle name="_Model_RAB Мой_46EE.2011(v1.0)_INDEX.STATION.2012(v1.0)_" xfId="39"/>
    <cellStyle name="_Model_RAB Мой_46EE.2011(v1.0)_INDEX.STATION.2012(v2.0)" xfId="40"/>
    <cellStyle name="_Model_RAB Мой_46EE.2011(v1.0)_INDEX.STATION.2012(v2.1)" xfId="41"/>
    <cellStyle name="_Model_RAB Мой_46EE.2011(v1.0)_TEPLO.PREDEL.2012.M(v1.1)_test" xfId="42"/>
    <cellStyle name="_Model_RAB Мой_46EE.2011(v1.2)" xfId="43"/>
    <cellStyle name="_Model_RAB Мой_46EE.2011(v1.2)_FORM5.2012(v1.0)" xfId="44"/>
    <cellStyle name="_Model_RAB Мой_46EE.2011(v1.2)_OREP.INV.GEN.G(v1.0)" xfId="45"/>
    <cellStyle name="_Model_RAB Мой_46EP.2011(v2.0)" xfId="46"/>
    <cellStyle name="_Model_RAB Мой_46EP.2012(v0.1)" xfId="47"/>
    <cellStyle name="_Model_RAB Мой_46TE.2011(v1.0)" xfId="48"/>
    <cellStyle name="_Model_RAB Мой_4DNS.UPDATE.EXAMPLE" xfId="49"/>
    <cellStyle name="_Model_RAB Мой_ARMRAZR" xfId="50"/>
    <cellStyle name="_Model_RAB Мой_BALANCE.WARM.2010.FACT(v1.0)" xfId="51"/>
    <cellStyle name="_Model_RAB Мой_BALANCE.WARM.2010.PLAN" xfId="52"/>
    <cellStyle name="_Model_RAB Мой_BALANCE.WARM.2010.PLAN_FORM5.2012(v1.0)" xfId="53"/>
    <cellStyle name="_Model_RAB Мой_BALANCE.WARM.2010.PLAN_OREP.INV.GEN.G(v1.0)" xfId="54"/>
    <cellStyle name="_Model_RAB Мой_BALANCE.WARM.2011YEAR(v0.7)" xfId="55"/>
    <cellStyle name="_Model_RAB Мой_BALANCE.WARM.2011YEAR(v0.7)_FORM5.2012(v1.0)" xfId="56"/>
    <cellStyle name="_Model_RAB Мой_BALANCE.WARM.2011YEAR(v0.7)_OREP.INV.GEN.G(v1.0)" xfId="57"/>
    <cellStyle name="_Model_RAB Мой_BALANCE.WARM.2011YEAR.NEW.UPDATE.SCHEME" xfId="58"/>
    <cellStyle name="_Model_RAB Мой_CALC.NORMATIV.KU(v0.2)" xfId="59"/>
    <cellStyle name="_Model_RAB Мой_EE.2REK.P2011.4.78(v0.3)" xfId="60"/>
    <cellStyle name="_Model_RAB Мой_FORM3.1.2013(v0.2)" xfId="61"/>
    <cellStyle name="_Model_RAB Мой_FORM3.2013(v1.0)" xfId="62"/>
    <cellStyle name="_Model_RAB Мой_FORM3.REG(v1.0)" xfId="63"/>
    <cellStyle name="_Model_RAB Мой_FORM910.2012(v0.5)" xfId="64"/>
    <cellStyle name="_Model_RAB Мой_FORM910.2012(v0.5)_FORM5.2012(v1.0)" xfId="65"/>
    <cellStyle name="_Model_RAB Мой_FORM910.2012(v1.1)" xfId="66"/>
    <cellStyle name="_Model_RAB Мой_INVEST.EE.PLAN.4.78(v0.1)" xfId="67"/>
    <cellStyle name="_Model_RAB Мой_INVEST.EE.PLAN.4.78(v0.3)" xfId="68"/>
    <cellStyle name="_Model_RAB Мой_INVEST.EE.PLAN.4.78(v1.0)" xfId="69"/>
    <cellStyle name="_Model_RAB Мой_INVEST.EE.PLAN.4.78(v1.0)_FORM11.2013" xfId="70"/>
    <cellStyle name="_Model_RAB Мой_INVEST.EE.PLAN.4.78(v1.0)_PASSPORT.TEPLO.PROIZV(v2.0)" xfId="71"/>
    <cellStyle name="_Model_RAB Мой_INVEST.EE.PLAN.4.78(v1.0)_PASSPORT.TEPLO.PROIZV(v2.0)_MWT.POTERI.SETI.2012(v0.1)" xfId="72"/>
    <cellStyle name="_Model_RAB Мой_INVEST.EE.PLAN.4.78(v1.0)_PASSPORT.TEPLO.PROIZV(v2.0)_PASSPORT.TEPLO.SETI(v2.0f)" xfId="73"/>
    <cellStyle name="_Model_RAB Мой_INVEST.EE.PLAN.4.78(v1.0)_PASSPORT.TEPLO.PROIZV(v2.0)_Книга1" xfId="74"/>
    <cellStyle name="_Model_RAB Мой_INVEST.EE.PLAN.4.78(v1.0)_PASSPORT.TEPLO.SETI(v2.0f)" xfId="75"/>
    <cellStyle name="_Model_RAB Мой_INVEST.EE.PLAN.4.78(v1.0)_Книга1" xfId="76"/>
    <cellStyle name="_Model_RAB Мой_INVEST.PLAN.4.78(v0.1)" xfId="77"/>
    <cellStyle name="_Model_RAB Мой_INVEST.WARM.PLAN.4.78(v0.1)" xfId="78"/>
    <cellStyle name="_Model_RAB Мой_INVEST_WARM_PLAN" xfId="79"/>
    <cellStyle name="_Model_RAB Мой_NADB.JNVLP.APTEKA.2012(v1.0)_21_02_12" xfId="80"/>
    <cellStyle name="_Model_RAB Мой_NADB.JNVLS.APTEKA.2011(v1.3.3)" xfId="81"/>
    <cellStyle name="_Model_RAB Мой_NADB.JNVLS.APTEKA.2011(v1.3.3)_46TE.2011(v1.0)" xfId="82"/>
    <cellStyle name="_Model_RAB Мой_NADB.JNVLS.APTEKA.2011(v1.3.3)_INDEX.STATION.2012(v1.0)_" xfId="83"/>
    <cellStyle name="_Model_RAB Мой_NADB.JNVLS.APTEKA.2011(v1.3.3)_INDEX.STATION.2012(v2.0)" xfId="84"/>
    <cellStyle name="_Model_RAB Мой_NADB.JNVLS.APTEKA.2011(v1.3.3)_INDEX.STATION.2012(v2.1)" xfId="85"/>
    <cellStyle name="_Model_RAB Мой_NADB.JNVLS.APTEKA.2011(v1.3.3)_TEPLO.PREDEL.2012.M(v1.1)_test" xfId="86"/>
    <cellStyle name="_Model_RAB Мой_NADB.JNVLS.APTEKA.2011(v1.3.4)" xfId="87"/>
    <cellStyle name="_Model_RAB Мой_NADB.JNVLS.APTEKA.2011(v1.3.4)_46TE.2011(v1.0)" xfId="88"/>
    <cellStyle name="_Model_RAB Мой_NADB.JNVLS.APTEKA.2011(v1.3.4)_INDEX.STATION.2012(v1.0)_" xfId="89"/>
    <cellStyle name="_Model_RAB Мой_NADB.JNVLS.APTEKA.2011(v1.3.4)_INDEX.STATION.2012(v2.0)" xfId="90"/>
    <cellStyle name="_Model_RAB Мой_NADB.JNVLS.APTEKA.2011(v1.3.4)_INDEX.STATION.2012(v2.1)" xfId="91"/>
    <cellStyle name="_Model_RAB Мой_NADB.JNVLS.APTEKA.2011(v1.3.4)_TEPLO.PREDEL.2012.M(v1.1)_test" xfId="92"/>
    <cellStyle name="_Model_RAB Мой_PASSPORT.TEPLO.PROIZV(v2.1)" xfId="93"/>
    <cellStyle name="_Model_RAB Мой_PASSPORT.TEPLO.SETI(v1.0)" xfId="94"/>
    <cellStyle name="_Model_RAB Мой_PR.PROG.WARM.NOTCOMBI.2012.2.16_v1.4(04.04.11) " xfId="95"/>
    <cellStyle name="_Model_RAB Мой_PREDEL.JKH.UTV.2011(v1.0.1)" xfId="96"/>
    <cellStyle name="_Model_RAB Мой_PREDEL.JKH.UTV.2011(v1.0.1)_46TE.2011(v1.0)" xfId="97"/>
    <cellStyle name="_Model_RAB Мой_PREDEL.JKH.UTV.2011(v1.0.1)_INDEX.STATION.2012(v1.0)_" xfId="98"/>
    <cellStyle name="_Model_RAB Мой_PREDEL.JKH.UTV.2011(v1.0.1)_INDEX.STATION.2012(v2.0)" xfId="99"/>
    <cellStyle name="_Model_RAB Мой_PREDEL.JKH.UTV.2011(v1.0.1)_INDEX.STATION.2012(v2.1)" xfId="100"/>
    <cellStyle name="_Model_RAB Мой_PREDEL.JKH.UTV.2011(v1.0.1)_TEPLO.PREDEL.2012.M(v1.1)_test" xfId="101"/>
    <cellStyle name="_Model_RAB Мой_PREDEL.JKH.UTV.2011(v1.1)" xfId="102"/>
    <cellStyle name="_Model_RAB Мой_PREDEL.JKH.UTV.2011(v1.1)_FORM5.2012(v1.0)" xfId="103"/>
    <cellStyle name="_Model_RAB Мой_PREDEL.JKH.UTV.2011(v1.1)_OREP.INV.GEN.G(v1.0)" xfId="104"/>
    <cellStyle name="_Model_RAB Мой_REP.BLR.2012(v1.0)" xfId="105"/>
    <cellStyle name="_Model_RAB Мой_TEPLO.PREDEL.2012.M(v1.1)" xfId="106"/>
    <cellStyle name="_Model_RAB Мой_TEST.TEMPLATE" xfId="107"/>
    <cellStyle name="_Model_RAB Мой_UPDATE.46EE.2011.TO.1.1" xfId="108"/>
    <cellStyle name="_Model_RAB Мой_UPDATE.46TE.2011.TO.1.1" xfId="109"/>
    <cellStyle name="_Model_RAB Мой_UPDATE.46TE.2011.TO.1.2" xfId="110"/>
    <cellStyle name="_Model_RAB Мой_UPDATE.BALANCE.WARM.2011YEAR.TO.1.1" xfId="111"/>
    <cellStyle name="_Model_RAB Мой_UPDATE.BALANCE.WARM.2011YEAR.TO.1.1 2" xfId="112"/>
    <cellStyle name="_Model_RAB Мой_UPDATE.BALANCE.WARM.2011YEAR.TO.1.1_46TE.2011(v1.0)" xfId="113"/>
    <cellStyle name="_Model_RAB Мой_UPDATE.BALANCE.WARM.2011YEAR.TO.1.1_INDEX.STATION.2012(v1.0)_" xfId="114"/>
    <cellStyle name="_Model_RAB Мой_UPDATE.BALANCE.WARM.2011YEAR.TO.1.1_INDEX.STATION.2012(v2.0)" xfId="115"/>
    <cellStyle name="_Model_RAB Мой_UPDATE.BALANCE.WARM.2011YEAR.TO.1.1_INDEX.STATION.2012(v2.1)" xfId="116"/>
    <cellStyle name="_Model_RAB Мой_UPDATE.BALANCE.WARM.2011YEAR.TO.1.1_OREP.KU.2011.MONTHLY.02(v1.1)" xfId="117"/>
    <cellStyle name="_Model_RAB Мой_UPDATE.BALANCE.WARM.2011YEAR.TO.1.1_TEPLO.PREDEL.2012.M(v1.1)_test" xfId="118"/>
    <cellStyle name="_Model_RAB Мой_UPDATE.NADB.JNVLS.APTEKA.2011.TO.1.3.4" xfId="119"/>
    <cellStyle name="_Model_RAB Мой_Книга1" xfId="120"/>
    <cellStyle name="_Model_RAB Мой_Книга2_PR.PROG.WARM.NOTCOMBI.2012.2.16_v1.4(04.04.11) " xfId="121"/>
    <cellStyle name="_Model_RAB_MRSK_svod" xfId="122"/>
    <cellStyle name="_Model_RAB_MRSK_svod 2" xfId="123"/>
    <cellStyle name="_Model_RAB_MRSK_svod 2_OREP.KU.2011.MONTHLY.02(v0.1)" xfId="124"/>
    <cellStyle name="_Model_RAB_MRSK_svod 2_OREP.KU.2011.MONTHLY.02(v0.4)" xfId="125"/>
    <cellStyle name="_Model_RAB_MRSK_svod 2_OREP.KU.2011.MONTHLY.11(v1.4)" xfId="126"/>
    <cellStyle name="_Model_RAB_MRSK_svod 2_UPDATE.OREP.KU.2011.MONTHLY.02.TO.1.2" xfId="127"/>
    <cellStyle name="_Model_RAB_MRSK_svod_46EE.2011(v1.0)" xfId="128"/>
    <cellStyle name="_Model_RAB_MRSK_svod_46EE.2011(v1.0)_46TE.2011(v1.0)" xfId="129"/>
    <cellStyle name="_Model_RAB_MRSK_svod_46EE.2011(v1.0)_INDEX.STATION.2012(v1.0)_" xfId="130"/>
    <cellStyle name="_Model_RAB_MRSK_svod_46EE.2011(v1.0)_INDEX.STATION.2012(v2.0)" xfId="131"/>
    <cellStyle name="_Model_RAB_MRSK_svod_46EE.2011(v1.0)_INDEX.STATION.2012(v2.1)" xfId="132"/>
    <cellStyle name="_Model_RAB_MRSK_svod_46EE.2011(v1.0)_TEPLO.PREDEL.2012.M(v1.1)_test" xfId="133"/>
    <cellStyle name="_Model_RAB_MRSK_svod_46EE.2011(v1.2)" xfId="134"/>
    <cellStyle name="_Model_RAB_MRSK_svod_46EE.2011(v1.2)_FORM5.2012(v1.0)" xfId="135"/>
    <cellStyle name="_Model_RAB_MRSK_svod_46EE.2011(v1.2)_OREP.INV.GEN.G(v1.0)" xfId="136"/>
    <cellStyle name="_Model_RAB_MRSK_svod_46EP.2011(v2.0)" xfId="137"/>
    <cellStyle name="_Model_RAB_MRSK_svod_46EP.2012(v0.1)" xfId="138"/>
    <cellStyle name="_Model_RAB_MRSK_svod_46TE.2011(v1.0)" xfId="139"/>
    <cellStyle name="_Model_RAB_MRSK_svod_4DNS.UPDATE.EXAMPLE" xfId="140"/>
    <cellStyle name="_Model_RAB_MRSK_svod_ARMRAZR" xfId="141"/>
    <cellStyle name="_Model_RAB_MRSK_svod_BALANCE.WARM.2010.FACT(v1.0)" xfId="142"/>
    <cellStyle name="_Model_RAB_MRSK_svod_BALANCE.WARM.2010.PLAN" xfId="143"/>
    <cellStyle name="_Model_RAB_MRSK_svod_BALANCE.WARM.2010.PLAN_FORM5.2012(v1.0)" xfId="144"/>
    <cellStyle name="_Model_RAB_MRSK_svod_BALANCE.WARM.2010.PLAN_OREP.INV.GEN.G(v1.0)" xfId="145"/>
    <cellStyle name="_Model_RAB_MRSK_svod_BALANCE.WARM.2011YEAR(v0.7)" xfId="146"/>
    <cellStyle name="_Model_RAB_MRSK_svod_BALANCE.WARM.2011YEAR(v0.7)_FORM5.2012(v1.0)" xfId="147"/>
    <cellStyle name="_Model_RAB_MRSK_svod_BALANCE.WARM.2011YEAR(v0.7)_OREP.INV.GEN.G(v1.0)" xfId="148"/>
    <cellStyle name="_Model_RAB_MRSK_svod_BALANCE.WARM.2011YEAR.NEW.UPDATE.SCHEME" xfId="149"/>
    <cellStyle name="_Model_RAB_MRSK_svod_CALC.NORMATIV.KU(v0.2)" xfId="150"/>
    <cellStyle name="_Model_RAB_MRSK_svod_EE.2REK.P2011.4.78(v0.3)" xfId="151"/>
    <cellStyle name="_Model_RAB_MRSK_svod_FORM3.1.2013(v0.2)" xfId="152"/>
    <cellStyle name="_Model_RAB_MRSK_svod_FORM3.2013(v1.0)" xfId="153"/>
    <cellStyle name="_Model_RAB_MRSK_svod_FORM3.REG(v1.0)" xfId="154"/>
    <cellStyle name="_Model_RAB_MRSK_svod_FORM910.2012(v0.5)" xfId="155"/>
    <cellStyle name="_Model_RAB_MRSK_svod_FORM910.2012(v0.5)_FORM5.2012(v1.0)" xfId="156"/>
    <cellStyle name="_Model_RAB_MRSK_svod_FORM910.2012(v1.1)" xfId="157"/>
    <cellStyle name="_Model_RAB_MRSK_svod_INVEST.EE.PLAN.4.78(v0.1)" xfId="158"/>
    <cellStyle name="_Model_RAB_MRSK_svod_INVEST.EE.PLAN.4.78(v0.3)" xfId="159"/>
    <cellStyle name="_Model_RAB_MRSK_svod_INVEST.EE.PLAN.4.78(v1.0)" xfId="160"/>
    <cellStyle name="_Model_RAB_MRSK_svod_INVEST.EE.PLAN.4.78(v1.0)_FORM11.2013" xfId="161"/>
    <cellStyle name="_Model_RAB_MRSK_svod_INVEST.EE.PLAN.4.78(v1.0)_PASSPORT.TEPLO.PROIZV(v2.0)" xfId="162"/>
    <cellStyle name="_Model_RAB_MRSK_svod_INVEST.EE.PLAN.4.78(v1.0)_PASSPORT.TEPLO.PROIZV(v2.0)_MWT.POTERI.SETI.2012(v0.1)" xfId="163"/>
    <cellStyle name="_Model_RAB_MRSK_svod_INVEST.EE.PLAN.4.78(v1.0)_PASSPORT.TEPLO.PROIZV(v2.0)_PASSPORT.TEPLO.SETI(v2.0f)" xfId="164"/>
    <cellStyle name="_Model_RAB_MRSK_svod_INVEST.EE.PLAN.4.78(v1.0)_PASSPORT.TEPLO.PROIZV(v2.0)_Книга1" xfId="165"/>
    <cellStyle name="_Model_RAB_MRSK_svod_INVEST.EE.PLAN.4.78(v1.0)_PASSPORT.TEPLO.SETI(v2.0f)" xfId="166"/>
    <cellStyle name="_Model_RAB_MRSK_svod_INVEST.EE.PLAN.4.78(v1.0)_Книга1" xfId="167"/>
    <cellStyle name="_Model_RAB_MRSK_svod_INVEST.PLAN.4.78(v0.1)" xfId="168"/>
    <cellStyle name="_Model_RAB_MRSK_svod_INVEST.WARM.PLAN.4.78(v0.1)" xfId="169"/>
    <cellStyle name="_Model_RAB_MRSK_svod_INVEST_WARM_PLAN" xfId="170"/>
    <cellStyle name="_Model_RAB_MRSK_svod_NADB.JNVLP.APTEKA.2012(v1.0)_21_02_12" xfId="171"/>
    <cellStyle name="_Model_RAB_MRSK_svod_NADB.JNVLS.APTEKA.2011(v1.3.3)" xfId="172"/>
    <cellStyle name="_Model_RAB_MRSK_svod_NADB.JNVLS.APTEKA.2011(v1.3.3)_46TE.2011(v1.0)" xfId="173"/>
    <cellStyle name="_Model_RAB_MRSK_svod_NADB.JNVLS.APTEKA.2011(v1.3.3)_INDEX.STATION.2012(v1.0)_" xfId="174"/>
    <cellStyle name="_Model_RAB_MRSK_svod_NADB.JNVLS.APTEKA.2011(v1.3.3)_INDEX.STATION.2012(v2.0)" xfId="175"/>
    <cellStyle name="_Model_RAB_MRSK_svod_NADB.JNVLS.APTEKA.2011(v1.3.3)_INDEX.STATION.2012(v2.1)" xfId="176"/>
    <cellStyle name="_Model_RAB_MRSK_svod_NADB.JNVLS.APTEKA.2011(v1.3.3)_TEPLO.PREDEL.2012.M(v1.1)_test" xfId="177"/>
    <cellStyle name="_Model_RAB_MRSK_svod_NADB.JNVLS.APTEKA.2011(v1.3.4)" xfId="178"/>
    <cellStyle name="_Model_RAB_MRSK_svod_NADB.JNVLS.APTEKA.2011(v1.3.4)_46TE.2011(v1.0)" xfId="179"/>
    <cellStyle name="_Model_RAB_MRSK_svod_NADB.JNVLS.APTEKA.2011(v1.3.4)_INDEX.STATION.2012(v1.0)_" xfId="180"/>
    <cellStyle name="_Model_RAB_MRSK_svod_NADB.JNVLS.APTEKA.2011(v1.3.4)_INDEX.STATION.2012(v2.0)" xfId="181"/>
    <cellStyle name="_Model_RAB_MRSK_svod_NADB.JNVLS.APTEKA.2011(v1.3.4)_INDEX.STATION.2012(v2.1)" xfId="182"/>
    <cellStyle name="_Model_RAB_MRSK_svod_NADB.JNVLS.APTEKA.2011(v1.3.4)_TEPLO.PREDEL.2012.M(v1.1)_test" xfId="183"/>
    <cellStyle name="_Model_RAB_MRSK_svod_PASSPORT.TEPLO.PROIZV(v2.1)" xfId="184"/>
    <cellStyle name="_Model_RAB_MRSK_svod_PASSPORT.TEPLO.SETI(v1.0)" xfId="185"/>
    <cellStyle name="_Model_RAB_MRSK_svod_PR.PROG.WARM.NOTCOMBI.2012.2.16_v1.4(04.04.11) " xfId="186"/>
    <cellStyle name="_Model_RAB_MRSK_svod_PREDEL.JKH.UTV.2011(v1.0.1)" xfId="187"/>
    <cellStyle name="_Model_RAB_MRSK_svod_PREDEL.JKH.UTV.2011(v1.0.1)_46TE.2011(v1.0)" xfId="188"/>
    <cellStyle name="_Model_RAB_MRSK_svod_PREDEL.JKH.UTV.2011(v1.0.1)_INDEX.STATION.2012(v1.0)_" xfId="189"/>
    <cellStyle name="_Model_RAB_MRSK_svod_PREDEL.JKH.UTV.2011(v1.0.1)_INDEX.STATION.2012(v2.0)" xfId="190"/>
    <cellStyle name="_Model_RAB_MRSK_svod_PREDEL.JKH.UTV.2011(v1.0.1)_INDEX.STATION.2012(v2.1)" xfId="191"/>
    <cellStyle name="_Model_RAB_MRSK_svod_PREDEL.JKH.UTV.2011(v1.0.1)_TEPLO.PREDEL.2012.M(v1.1)_test" xfId="192"/>
    <cellStyle name="_Model_RAB_MRSK_svod_PREDEL.JKH.UTV.2011(v1.1)" xfId="193"/>
    <cellStyle name="_Model_RAB_MRSK_svod_PREDEL.JKH.UTV.2011(v1.1)_FORM5.2012(v1.0)" xfId="194"/>
    <cellStyle name="_Model_RAB_MRSK_svod_PREDEL.JKH.UTV.2011(v1.1)_OREP.INV.GEN.G(v1.0)" xfId="195"/>
    <cellStyle name="_Model_RAB_MRSK_svod_REP.BLR.2012(v1.0)" xfId="196"/>
    <cellStyle name="_Model_RAB_MRSK_svod_TEPLO.PREDEL.2012.M(v1.1)" xfId="197"/>
    <cellStyle name="_Model_RAB_MRSK_svod_TEST.TEMPLATE" xfId="198"/>
    <cellStyle name="_Model_RAB_MRSK_svod_UPDATE.46EE.2011.TO.1.1" xfId="199"/>
    <cellStyle name="_Model_RAB_MRSK_svod_UPDATE.46TE.2011.TO.1.1" xfId="200"/>
    <cellStyle name="_Model_RAB_MRSK_svod_UPDATE.46TE.2011.TO.1.2" xfId="201"/>
    <cellStyle name="_Model_RAB_MRSK_svod_UPDATE.BALANCE.WARM.2011YEAR.TO.1.1" xfId="202"/>
    <cellStyle name="_Model_RAB_MRSK_svod_UPDATE.BALANCE.WARM.2011YEAR.TO.1.1 2" xfId="203"/>
    <cellStyle name="_Model_RAB_MRSK_svod_UPDATE.BALANCE.WARM.2011YEAR.TO.1.1_46TE.2011(v1.0)" xfId="204"/>
    <cellStyle name="_Model_RAB_MRSK_svod_UPDATE.BALANCE.WARM.2011YEAR.TO.1.1_INDEX.STATION.2012(v1.0)_" xfId="205"/>
    <cellStyle name="_Model_RAB_MRSK_svod_UPDATE.BALANCE.WARM.2011YEAR.TO.1.1_INDEX.STATION.2012(v2.0)" xfId="206"/>
    <cellStyle name="_Model_RAB_MRSK_svod_UPDATE.BALANCE.WARM.2011YEAR.TO.1.1_INDEX.STATION.2012(v2.1)" xfId="207"/>
    <cellStyle name="_Model_RAB_MRSK_svod_UPDATE.BALANCE.WARM.2011YEAR.TO.1.1_OREP.KU.2011.MONTHLY.02(v1.1)" xfId="208"/>
    <cellStyle name="_Model_RAB_MRSK_svod_UPDATE.BALANCE.WARM.2011YEAR.TO.1.1_TEPLO.PREDEL.2012.M(v1.1)_test" xfId="209"/>
    <cellStyle name="_Model_RAB_MRSK_svod_UPDATE.NADB.JNVLS.APTEKA.2011.TO.1.3.4" xfId="210"/>
    <cellStyle name="_Model_RAB_MRSK_svod_Книга1" xfId="211"/>
    <cellStyle name="_Model_RAB_MRSK_svod_Книга2_PR.PROG.WARM.NOTCOMBI.2012.2.16_v1.4(04.04.11) " xfId="212"/>
    <cellStyle name="_Plug" xfId="213"/>
    <cellStyle name="_Plug 2" xfId="214"/>
    <cellStyle name="_Plug 2 2" xfId="215"/>
    <cellStyle name="_Plug 3" xfId="216"/>
    <cellStyle name="_Plug_4DNS.UPDATE.EXAMPLE" xfId="217"/>
    <cellStyle name="_Plug_4DNS.UPDATE.EXAMPLE 2" xfId="218"/>
    <cellStyle name="_Plug_4DNS.UPDATE.EXAMPLE 2 2" xfId="219"/>
    <cellStyle name="_Plug_4DNS.UPDATE.EXAMPLE 3" xfId="220"/>
    <cellStyle name="_Plug_Исходная вода" xfId="221"/>
    <cellStyle name="_Plug_Исходная вода 2" xfId="222"/>
    <cellStyle name="_Plug_Исходная вода 2 2" xfId="223"/>
    <cellStyle name="_Plug_Исходная вода 3" xfId="224"/>
    <cellStyle name="_Plug_Котлы ТЭС" xfId="225"/>
    <cellStyle name="_Plug_Котлы ТЭС 2" xfId="226"/>
    <cellStyle name="_Plug_Котлы ТЭС 2 2" xfId="227"/>
    <cellStyle name="_Plug_Котлы ТЭС 3" xfId="228"/>
    <cellStyle name="_Plug_ТЭЦ" xfId="229"/>
    <cellStyle name="_Plug_ТЭЦ 2" xfId="230"/>
    <cellStyle name="_Plug_ТЭЦ 2 2" xfId="231"/>
    <cellStyle name="_Plug_ТЭЦ 3" xfId="232"/>
    <cellStyle name="_SeriesAttributes" xfId="233"/>
    <cellStyle name="_SeriesAttributes 2" xfId="4669"/>
    <cellStyle name="_v-2013-2030- 2b17.01.11Нах-cpiнов. курс inn 1-2-Е1xls" xfId="234"/>
    <cellStyle name="_Бюджет2006_ПОКАЗАТЕЛИ СВОДНЫЕ" xfId="235"/>
    <cellStyle name="_ВО ОП ТЭС-ОТ- 2007" xfId="236"/>
    <cellStyle name="_ВО ОП ТЭС-ОТ- 2007_Новая инструкция1_фст" xfId="237"/>
    <cellStyle name="_Волгоград" xfId="238"/>
    <cellStyle name="_Волгоград Модель_RAB  ( опер.утв.2009, со сглаж.6,2%)" xfId="239"/>
    <cellStyle name="_Волгоград Модель_RAB ( опер.утв.2009) 6,2 БС" xfId="240"/>
    <cellStyle name="_ВФ ОАО ТЭС-ОТ- 2009" xfId="241"/>
    <cellStyle name="_ВФ ОАО ТЭС-ОТ- 2009_Новая инструкция1_фст" xfId="242"/>
    <cellStyle name="_выручка по присоединениям2" xfId="243"/>
    <cellStyle name="_выручка по присоединениям2_Новая инструкция1_фст" xfId="244"/>
    <cellStyle name="_Договор аренды ЯЭ с разбивкой" xfId="245"/>
    <cellStyle name="_Договор аренды ЯЭ с разбивкой_Новая инструкция1_фст" xfId="246"/>
    <cellStyle name="_Доп 06 09 приложение-без ПС(3)" xfId="247"/>
    <cellStyle name="_Доп. приложение-Основное" xfId="248"/>
    <cellStyle name="_Защита ФЗП" xfId="249"/>
    <cellStyle name="_Исходные данные для модели" xfId="250"/>
    <cellStyle name="_Исходные данные для модели_Новая инструкция1_фст" xfId="251"/>
    <cellStyle name="_калмыкия 2010" xfId="252"/>
    <cellStyle name="_Кап.вложения - табл 6.2.5" xfId="253"/>
    <cellStyle name="_Конечный вариант КАП ВЛОЖ на ПРИС по 4 филиалам (741 829 из 11 000 руб) без 1 и 2 кв и впу 14_06 на общую 2 772 млрд" xfId="254"/>
    <cellStyle name="_Консолидация-2008-проект-new" xfId="255"/>
    <cellStyle name="_Копия RAB_КЭ_с тарифными решениями 2010 (2) (2)" xfId="256"/>
    <cellStyle name="_Кубань НВВ (2)" xfId="257"/>
    <cellStyle name="_Лист4" xfId="258"/>
    <cellStyle name="_Модель - 2(23)" xfId="259"/>
    <cellStyle name="_МОДЕЛЬ_1 (2)" xfId="260"/>
    <cellStyle name="_МОДЕЛЬ_1 (2) 2" xfId="261"/>
    <cellStyle name="_МОДЕЛЬ_1 (2) 2_OREP.KU.2011.MONTHLY.02(v0.1)" xfId="262"/>
    <cellStyle name="_МОДЕЛЬ_1 (2) 2_OREP.KU.2011.MONTHLY.02(v0.4)" xfId="263"/>
    <cellStyle name="_МОДЕЛЬ_1 (2) 2_OREP.KU.2011.MONTHLY.11(v1.4)" xfId="264"/>
    <cellStyle name="_МОДЕЛЬ_1 (2) 2_UPDATE.OREP.KU.2011.MONTHLY.02.TO.1.2" xfId="265"/>
    <cellStyle name="_МОДЕЛЬ_1 (2)_46EE.2011(v1.0)" xfId="266"/>
    <cellStyle name="_МОДЕЛЬ_1 (2)_46EE.2011(v1.0)_46TE.2011(v1.0)" xfId="267"/>
    <cellStyle name="_МОДЕЛЬ_1 (2)_46EE.2011(v1.0)_INDEX.STATION.2012(v1.0)_" xfId="268"/>
    <cellStyle name="_МОДЕЛЬ_1 (2)_46EE.2011(v1.0)_INDEX.STATION.2012(v2.0)" xfId="269"/>
    <cellStyle name="_МОДЕЛЬ_1 (2)_46EE.2011(v1.0)_INDEX.STATION.2012(v2.1)" xfId="270"/>
    <cellStyle name="_МОДЕЛЬ_1 (2)_46EE.2011(v1.0)_TEPLO.PREDEL.2012.M(v1.1)_test" xfId="271"/>
    <cellStyle name="_МОДЕЛЬ_1 (2)_46EE.2011(v1.2)" xfId="272"/>
    <cellStyle name="_МОДЕЛЬ_1 (2)_46EE.2011(v1.2)_FORM5.2012(v1.0)" xfId="273"/>
    <cellStyle name="_МОДЕЛЬ_1 (2)_46EE.2011(v1.2)_OREP.INV.GEN.G(v1.0)" xfId="274"/>
    <cellStyle name="_МОДЕЛЬ_1 (2)_46EP.2011(v2.0)" xfId="275"/>
    <cellStyle name="_МОДЕЛЬ_1 (2)_46EP.2012(v0.1)" xfId="276"/>
    <cellStyle name="_МОДЕЛЬ_1 (2)_46TE.2011(v1.0)" xfId="277"/>
    <cellStyle name="_МОДЕЛЬ_1 (2)_4DNS.UPDATE.EXAMPLE" xfId="278"/>
    <cellStyle name="_МОДЕЛЬ_1 (2)_ARMRAZR" xfId="279"/>
    <cellStyle name="_МОДЕЛЬ_1 (2)_BALANCE.WARM.2010.FACT(v1.0)" xfId="280"/>
    <cellStyle name="_МОДЕЛЬ_1 (2)_BALANCE.WARM.2010.PLAN" xfId="281"/>
    <cellStyle name="_МОДЕЛЬ_1 (2)_BALANCE.WARM.2010.PLAN_FORM5.2012(v1.0)" xfId="282"/>
    <cellStyle name="_МОДЕЛЬ_1 (2)_BALANCE.WARM.2010.PLAN_OREP.INV.GEN.G(v1.0)" xfId="283"/>
    <cellStyle name="_МОДЕЛЬ_1 (2)_BALANCE.WARM.2011YEAR(v0.7)" xfId="284"/>
    <cellStyle name="_МОДЕЛЬ_1 (2)_BALANCE.WARM.2011YEAR(v0.7)_FORM5.2012(v1.0)" xfId="285"/>
    <cellStyle name="_МОДЕЛЬ_1 (2)_BALANCE.WARM.2011YEAR(v0.7)_OREP.INV.GEN.G(v1.0)" xfId="286"/>
    <cellStyle name="_МОДЕЛЬ_1 (2)_BALANCE.WARM.2011YEAR.NEW.UPDATE.SCHEME" xfId="287"/>
    <cellStyle name="_МОДЕЛЬ_1 (2)_CALC.NORMATIV.KU(v0.2)" xfId="288"/>
    <cellStyle name="_МОДЕЛЬ_1 (2)_EE.2REK.P2011.4.78(v0.3)" xfId="289"/>
    <cellStyle name="_МОДЕЛЬ_1 (2)_FORM3.1.2013(v0.2)" xfId="290"/>
    <cellStyle name="_МОДЕЛЬ_1 (2)_FORM3.2013(v1.0)" xfId="291"/>
    <cellStyle name="_МОДЕЛЬ_1 (2)_FORM3.REG(v1.0)" xfId="292"/>
    <cellStyle name="_МОДЕЛЬ_1 (2)_FORM910.2012(v0.5)" xfId="293"/>
    <cellStyle name="_МОДЕЛЬ_1 (2)_FORM910.2012(v0.5)_FORM5.2012(v1.0)" xfId="294"/>
    <cellStyle name="_МОДЕЛЬ_1 (2)_FORM910.2012(v1.1)" xfId="295"/>
    <cellStyle name="_МОДЕЛЬ_1 (2)_INVEST.EE.PLAN.4.78(v0.1)" xfId="296"/>
    <cellStyle name="_МОДЕЛЬ_1 (2)_INVEST.EE.PLAN.4.78(v0.3)" xfId="297"/>
    <cellStyle name="_МОДЕЛЬ_1 (2)_INVEST.EE.PLAN.4.78(v1.0)" xfId="298"/>
    <cellStyle name="_МОДЕЛЬ_1 (2)_INVEST.EE.PLAN.4.78(v1.0)_FORM11.2013" xfId="299"/>
    <cellStyle name="_МОДЕЛЬ_1 (2)_INVEST.EE.PLAN.4.78(v1.0)_PASSPORT.TEPLO.PROIZV(v2.0)" xfId="300"/>
    <cellStyle name="_МОДЕЛЬ_1 (2)_INVEST.EE.PLAN.4.78(v1.0)_PASSPORT.TEPLO.PROIZV(v2.0)_MWT.POTERI.SETI.2012(v0.1)" xfId="301"/>
    <cellStyle name="_МОДЕЛЬ_1 (2)_INVEST.EE.PLAN.4.78(v1.0)_PASSPORT.TEPLO.PROIZV(v2.0)_PASSPORT.TEPLO.SETI(v2.0f)" xfId="302"/>
    <cellStyle name="_МОДЕЛЬ_1 (2)_INVEST.EE.PLAN.4.78(v1.0)_PASSPORT.TEPLO.PROIZV(v2.0)_Книга1" xfId="303"/>
    <cellStyle name="_МОДЕЛЬ_1 (2)_INVEST.EE.PLAN.4.78(v1.0)_PASSPORT.TEPLO.SETI(v2.0f)" xfId="304"/>
    <cellStyle name="_МОДЕЛЬ_1 (2)_INVEST.EE.PLAN.4.78(v1.0)_Книга1" xfId="305"/>
    <cellStyle name="_МОДЕЛЬ_1 (2)_INVEST.PLAN.4.78(v0.1)" xfId="306"/>
    <cellStyle name="_МОДЕЛЬ_1 (2)_INVEST.WARM.PLAN.4.78(v0.1)" xfId="307"/>
    <cellStyle name="_МОДЕЛЬ_1 (2)_INVEST_WARM_PLAN" xfId="308"/>
    <cellStyle name="_МОДЕЛЬ_1 (2)_NADB.JNVLP.APTEKA.2012(v1.0)_21_02_12" xfId="309"/>
    <cellStyle name="_МОДЕЛЬ_1 (2)_NADB.JNVLS.APTEKA.2011(v1.3.3)" xfId="310"/>
    <cellStyle name="_МОДЕЛЬ_1 (2)_NADB.JNVLS.APTEKA.2011(v1.3.3)_46TE.2011(v1.0)" xfId="311"/>
    <cellStyle name="_МОДЕЛЬ_1 (2)_NADB.JNVLS.APTEKA.2011(v1.3.3)_INDEX.STATION.2012(v1.0)_" xfId="312"/>
    <cellStyle name="_МОДЕЛЬ_1 (2)_NADB.JNVLS.APTEKA.2011(v1.3.3)_INDEX.STATION.2012(v2.0)" xfId="313"/>
    <cellStyle name="_МОДЕЛЬ_1 (2)_NADB.JNVLS.APTEKA.2011(v1.3.3)_INDEX.STATION.2012(v2.1)" xfId="314"/>
    <cellStyle name="_МОДЕЛЬ_1 (2)_NADB.JNVLS.APTEKA.2011(v1.3.3)_TEPLO.PREDEL.2012.M(v1.1)_test" xfId="315"/>
    <cellStyle name="_МОДЕЛЬ_1 (2)_NADB.JNVLS.APTEKA.2011(v1.3.4)" xfId="316"/>
    <cellStyle name="_МОДЕЛЬ_1 (2)_NADB.JNVLS.APTEKA.2011(v1.3.4)_46TE.2011(v1.0)" xfId="317"/>
    <cellStyle name="_МОДЕЛЬ_1 (2)_NADB.JNVLS.APTEKA.2011(v1.3.4)_INDEX.STATION.2012(v1.0)_" xfId="318"/>
    <cellStyle name="_МОДЕЛЬ_1 (2)_NADB.JNVLS.APTEKA.2011(v1.3.4)_INDEX.STATION.2012(v2.0)" xfId="319"/>
    <cellStyle name="_МОДЕЛЬ_1 (2)_NADB.JNVLS.APTEKA.2011(v1.3.4)_INDEX.STATION.2012(v2.1)" xfId="320"/>
    <cellStyle name="_МОДЕЛЬ_1 (2)_NADB.JNVLS.APTEKA.2011(v1.3.4)_TEPLO.PREDEL.2012.M(v1.1)_test" xfId="321"/>
    <cellStyle name="_МОДЕЛЬ_1 (2)_PASSPORT.TEPLO.PROIZV(v2.1)" xfId="322"/>
    <cellStyle name="_МОДЕЛЬ_1 (2)_PASSPORT.TEPLO.SETI(v1.0)" xfId="323"/>
    <cellStyle name="_МОДЕЛЬ_1 (2)_PR.PROG.WARM.NOTCOMBI.2012.2.16_v1.4(04.04.11) " xfId="324"/>
    <cellStyle name="_МОДЕЛЬ_1 (2)_PREDEL.JKH.UTV.2011(v1.0.1)" xfId="325"/>
    <cellStyle name="_МОДЕЛЬ_1 (2)_PREDEL.JKH.UTV.2011(v1.0.1)_46TE.2011(v1.0)" xfId="326"/>
    <cellStyle name="_МОДЕЛЬ_1 (2)_PREDEL.JKH.UTV.2011(v1.0.1)_INDEX.STATION.2012(v1.0)_" xfId="327"/>
    <cellStyle name="_МОДЕЛЬ_1 (2)_PREDEL.JKH.UTV.2011(v1.0.1)_INDEX.STATION.2012(v2.0)" xfId="328"/>
    <cellStyle name="_МОДЕЛЬ_1 (2)_PREDEL.JKH.UTV.2011(v1.0.1)_INDEX.STATION.2012(v2.1)" xfId="329"/>
    <cellStyle name="_МОДЕЛЬ_1 (2)_PREDEL.JKH.UTV.2011(v1.0.1)_TEPLO.PREDEL.2012.M(v1.1)_test" xfId="330"/>
    <cellStyle name="_МОДЕЛЬ_1 (2)_PREDEL.JKH.UTV.2011(v1.1)" xfId="331"/>
    <cellStyle name="_МОДЕЛЬ_1 (2)_PREDEL.JKH.UTV.2011(v1.1)_FORM5.2012(v1.0)" xfId="332"/>
    <cellStyle name="_МОДЕЛЬ_1 (2)_PREDEL.JKH.UTV.2011(v1.1)_OREP.INV.GEN.G(v1.0)" xfId="333"/>
    <cellStyle name="_МОДЕЛЬ_1 (2)_REP.BLR.2012(v1.0)" xfId="334"/>
    <cellStyle name="_МОДЕЛЬ_1 (2)_TEPLO.PREDEL.2012.M(v1.1)" xfId="335"/>
    <cellStyle name="_МОДЕЛЬ_1 (2)_TEST.TEMPLATE" xfId="336"/>
    <cellStyle name="_МОДЕЛЬ_1 (2)_UPDATE.46EE.2011.TO.1.1" xfId="337"/>
    <cellStyle name="_МОДЕЛЬ_1 (2)_UPDATE.46TE.2011.TO.1.1" xfId="338"/>
    <cellStyle name="_МОДЕЛЬ_1 (2)_UPDATE.46TE.2011.TO.1.2" xfId="339"/>
    <cellStyle name="_МОДЕЛЬ_1 (2)_UPDATE.BALANCE.WARM.2011YEAR.TO.1.1" xfId="340"/>
    <cellStyle name="_МОДЕЛЬ_1 (2)_UPDATE.BALANCE.WARM.2011YEAR.TO.1.1 2" xfId="341"/>
    <cellStyle name="_МОДЕЛЬ_1 (2)_UPDATE.BALANCE.WARM.2011YEAR.TO.1.1_46TE.2011(v1.0)" xfId="342"/>
    <cellStyle name="_МОДЕЛЬ_1 (2)_UPDATE.BALANCE.WARM.2011YEAR.TO.1.1_INDEX.STATION.2012(v1.0)_" xfId="343"/>
    <cellStyle name="_МОДЕЛЬ_1 (2)_UPDATE.BALANCE.WARM.2011YEAR.TO.1.1_INDEX.STATION.2012(v2.0)" xfId="344"/>
    <cellStyle name="_МОДЕЛЬ_1 (2)_UPDATE.BALANCE.WARM.2011YEAR.TO.1.1_INDEX.STATION.2012(v2.1)" xfId="345"/>
    <cellStyle name="_МОДЕЛЬ_1 (2)_UPDATE.BALANCE.WARM.2011YEAR.TO.1.1_OREP.KU.2011.MONTHLY.02(v1.1)" xfId="346"/>
    <cellStyle name="_МОДЕЛЬ_1 (2)_UPDATE.BALANCE.WARM.2011YEAR.TO.1.1_TEPLO.PREDEL.2012.M(v1.1)_test" xfId="347"/>
    <cellStyle name="_МОДЕЛЬ_1 (2)_UPDATE.NADB.JNVLS.APTEKA.2011.TO.1.3.4" xfId="348"/>
    <cellStyle name="_МОДЕЛЬ_1 (2)_Книга1" xfId="349"/>
    <cellStyle name="_МОДЕЛЬ_1 (2)_Книга2_PR.PROG.WARM.NOTCOMBI.2012.2.16_v1.4(04.04.11) " xfId="350"/>
    <cellStyle name="_НВВ 2009 постатейно свод по филиалам_09_02_09" xfId="351"/>
    <cellStyle name="_НВВ 2009 постатейно свод по филиалам_09_02_09_Новая инструкция1_фст" xfId="352"/>
    <cellStyle name="_НВВ 2009 постатейно свод по филиалам_для Валентина" xfId="353"/>
    <cellStyle name="_НВВ 2009 постатейно свод по филиалам_для Валентина_Новая инструкция1_фст" xfId="354"/>
    <cellStyle name="_Омск" xfId="355"/>
    <cellStyle name="_Омск_Новая инструкция1_фст" xfId="356"/>
    <cellStyle name="_ОТ ИД 2009" xfId="357"/>
    <cellStyle name="_ОТ ИД 2009_Новая инструкция1_фст" xfId="358"/>
    <cellStyle name="_Передача 2005_отпр в РЭК_сентябрь2005" xfId="359"/>
    <cellStyle name="_пр 5 тариф RAB" xfId="360"/>
    <cellStyle name="_пр 5 тариф RAB 2" xfId="361"/>
    <cellStyle name="_пр 5 тариф RAB 2_OREP.KU.2011.MONTHLY.02(v0.1)" xfId="362"/>
    <cellStyle name="_пр 5 тариф RAB 2_OREP.KU.2011.MONTHLY.02(v0.4)" xfId="363"/>
    <cellStyle name="_пр 5 тариф RAB 2_OREP.KU.2011.MONTHLY.11(v1.4)" xfId="364"/>
    <cellStyle name="_пр 5 тариф RAB 2_UPDATE.OREP.KU.2011.MONTHLY.02.TO.1.2" xfId="365"/>
    <cellStyle name="_пр 5 тариф RAB_46EE.2011(v1.0)" xfId="366"/>
    <cellStyle name="_пр 5 тариф RAB_46EE.2011(v1.0)_46TE.2011(v1.0)" xfId="367"/>
    <cellStyle name="_пр 5 тариф RAB_46EE.2011(v1.0)_INDEX.STATION.2012(v1.0)_" xfId="368"/>
    <cellStyle name="_пр 5 тариф RAB_46EE.2011(v1.0)_INDEX.STATION.2012(v2.0)" xfId="369"/>
    <cellStyle name="_пр 5 тариф RAB_46EE.2011(v1.0)_INDEX.STATION.2012(v2.1)" xfId="370"/>
    <cellStyle name="_пр 5 тариф RAB_46EE.2011(v1.0)_TEPLO.PREDEL.2012.M(v1.1)_test" xfId="371"/>
    <cellStyle name="_пр 5 тариф RAB_46EE.2011(v1.2)" xfId="372"/>
    <cellStyle name="_пр 5 тариф RAB_46EE.2011(v1.2)_FORM5.2012(v1.0)" xfId="373"/>
    <cellStyle name="_пр 5 тариф RAB_46EE.2011(v1.2)_OREP.INV.GEN.G(v1.0)" xfId="374"/>
    <cellStyle name="_пр 5 тариф RAB_46EP.2011(v2.0)" xfId="375"/>
    <cellStyle name="_пр 5 тариф RAB_46EP.2012(v0.1)" xfId="376"/>
    <cellStyle name="_пр 5 тариф RAB_46TE.2011(v1.0)" xfId="377"/>
    <cellStyle name="_пр 5 тариф RAB_4DNS.UPDATE.EXAMPLE" xfId="378"/>
    <cellStyle name="_пр 5 тариф RAB_ARMRAZR" xfId="379"/>
    <cellStyle name="_пр 5 тариф RAB_BALANCE.WARM.2010.FACT(v1.0)" xfId="380"/>
    <cellStyle name="_пр 5 тариф RAB_BALANCE.WARM.2010.PLAN" xfId="381"/>
    <cellStyle name="_пр 5 тариф RAB_BALANCE.WARM.2010.PLAN_FORM5.2012(v1.0)" xfId="382"/>
    <cellStyle name="_пр 5 тариф RAB_BALANCE.WARM.2010.PLAN_OREP.INV.GEN.G(v1.0)" xfId="383"/>
    <cellStyle name="_пр 5 тариф RAB_BALANCE.WARM.2011YEAR(v0.7)" xfId="384"/>
    <cellStyle name="_пр 5 тариф RAB_BALANCE.WARM.2011YEAR(v0.7)_FORM5.2012(v1.0)" xfId="385"/>
    <cellStyle name="_пр 5 тариф RAB_BALANCE.WARM.2011YEAR(v0.7)_OREP.INV.GEN.G(v1.0)" xfId="386"/>
    <cellStyle name="_пр 5 тариф RAB_BALANCE.WARM.2011YEAR.NEW.UPDATE.SCHEME" xfId="387"/>
    <cellStyle name="_пр 5 тариф RAB_CALC.NORMATIV.KU(v0.2)" xfId="388"/>
    <cellStyle name="_пр 5 тариф RAB_EE.2REK.P2011.4.78(v0.3)" xfId="389"/>
    <cellStyle name="_пр 5 тариф RAB_FORM3.1.2013(v0.2)" xfId="390"/>
    <cellStyle name="_пр 5 тариф RAB_FORM3.2013(v1.0)" xfId="391"/>
    <cellStyle name="_пр 5 тариф RAB_FORM3.REG(v1.0)" xfId="392"/>
    <cellStyle name="_пр 5 тариф RAB_FORM910.2012(v0.5)" xfId="393"/>
    <cellStyle name="_пр 5 тариф RAB_FORM910.2012(v0.5)_FORM5.2012(v1.0)" xfId="394"/>
    <cellStyle name="_пр 5 тариф RAB_FORM910.2012(v1.1)" xfId="395"/>
    <cellStyle name="_пр 5 тариф RAB_INVEST.EE.PLAN.4.78(v0.1)" xfId="396"/>
    <cellStyle name="_пр 5 тариф RAB_INVEST.EE.PLAN.4.78(v0.3)" xfId="397"/>
    <cellStyle name="_пр 5 тариф RAB_INVEST.EE.PLAN.4.78(v1.0)" xfId="398"/>
    <cellStyle name="_пр 5 тариф RAB_INVEST.EE.PLAN.4.78(v1.0)_FORM11.2013" xfId="399"/>
    <cellStyle name="_пр 5 тариф RAB_INVEST.EE.PLAN.4.78(v1.0)_PASSPORT.TEPLO.PROIZV(v2.0)" xfId="400"/>
    <cellStyle name="_пр 5 тариф RAB_INVEST.EE.PLAN.4.78(v1.0)_PASSPORT.TEPLO.PROIZV(v2.0)_MWT.POTERI.SETI.2012(v0.1)" xfId="401"/>
    <cellStyle name="_пр 5 тариф RAB_INVEST.EE.PLAN.4.78(v1.0)_PASSPORT.TEPLO.PROIZV(v2.0)_PASSPORT.TEPLO.SETI(v2.0f)" xfId="402"/>
    <cellStyle name="_пр 5 тариф RAB_INVEST.EE.PLAN.4.78(v1.0)_PASSPORT.TEPLO.PROIZV(v2.0)_Книга1" xfId="403"/>
    <cellStyle name="_пр 5 тариф RAB_INVEST.EE.PLAN.4.78(v1.0)_PASSPORT.TEPLO.SETI(v2.0f)" xfId="404"/>
    <cellStyle name="_пр 5 тариф RAB_INVEST.EE.PLAN.4.78(v1.0)_Книга1" xfId="405"/>
    <cellStyle name="_пр 5 тариф RAB_INVEST.PLAN.4.78(v0.1)" xfId="406"/>
    <cellStyle name="_пр 5 тариф RAB_INVEST.WARM.PLAN.4.78(v0.1)" xfId="407"/>
    <cellStyle name="_пр 5 тариф RAB_INVEST_WARM_PLAN" xfId="408"/>
    <cellStyle name="_пр 5 тариф RAB_NADB.JNVLP.APTEKA.2012(v1.0)_21_02_12" xfId="409"/>
    <cellStyle name="_пр 5 тариф RAB_NADB.JNVLS.APTEKA.2011(v1.3.3)" xfId="410"/>
    <cellStyle name="_пр 5 тариф RAB_NADB.JNVLS.APTEKA.2011(v1.3.3)_46TE.2011(v1.0)" xfId="411"/>
    <cellStyle name="_пр 5 тариф RAB_NADB.JNVLS.APTEKA.2011(v1.3.3)_INDEX.STATION.2012(v1.0)_" xfId="412"/>
    <cellStyle name="_пр 5 тариф RAB_NADB.JNVLS.APTEKA.2011(v1.3.3)_INDEX.STATION.2012(v2.0)" xfId="413"/>
    <cellStyle name="_пр 5 тариф RAB_NADB.JNVLS.APTEKA.2011(v1.3.3)_INDEX.STATION.2012(v2.1)" xfId="414"/>
    <cellStyle name="_пр 5 тариф RAB_NADB.JNVLS.APTEKA.2011(v1.3.3)_TEPLO.PREDEL.2012.M(v1.1)_test" xfId="415"/>
    <cellStyle name="_пр 5 тариф RAB_NADB.JNVLS.APTEKA.2011(v1.3.4)" xfId="416"/>
    <cellStyle name="_пр 5 тариф RAB_NADB.JNVLS.APTEKA.2011(v1.3.4)_46TE.2011(v1.0)" xfId="417"/>
    <cellStyle name="_пр 5 тариф RAB_NADB.JNVLS.APTEKA.2011(v1.3.4)_INDEX.STATION.2012(v1.0)_" xfId="418"/>
    <cellStyle name="_пр 5 тариф RAB_NADB.JNVLS.APTEKA.2011(v1.3.4)_INDEX.STATION.2012(v2.0)" xfId="419"/>
    <cellStyle name="_пр 5 тариф RAB_NADB.JNVLS.APTEKA.2011(v1.3.4)_INDEX.STATION.2012(v2.1)" xfId="420"/>
    <cellStyle name="_пр 5 тариф RAB_NADB.JNVLS.APTEKA.2011(v1.3.4)_TEPLO.PREDEL.2012.M(v1.1)_test" xfId="421"/>
    <cellStyle name="_пр 5 тариф RAB_PASSPORT.TEPLO.PROIZV(v2.1)" xfId="422"/>
    <cellStyle name="_пр 5 тариф RAB_PASSPORT.TEPLO.SETI(v1.0)" xfId="423"/>
    <cellStyle name="_пр 5 тариф RAB_PR.PROG.WARM.NOTCOMBI.2012.2.16_v1.4(04.04.11) " xfId="424"/>
    <cellStyle name="_пр 5 тариф RAB_PREDEL.JKH.UTV.2011(v1.0.1)" xfId="425"/>
    <cellStyle name="_пр 5 тариф RAB_PREDEL.JKH.UTV.2011(v1.0.1)_46TE.2011(v1.0)" xfId="426"/>
    <cellStyle name="_пр 5 тариф RAB_PREDEL.JKH.UTV.2011(v1.0.1)_INDEX.STATION.2012(v1.0)_" xfId="427"/>
    <cellStyle name="_пр 5 тариф RAB_PREDEL.JKH.UTV.2011(v1.0.1)_INDEX.STATION.2012(v2.0)" xfId="428"/>
    <cellStyle name="_пр 5 тариф RAB_PREDEL.JKH.UTV.2011(v1.0.1)_INDEX.STATION.2012(v2.1)" xfId="429"/>
    <cellStyle name="_пр 5 тариф RAB_PREDEL.JKH.UTV.2011(v1.0.1)_TEPLO.PREDEL.2012.M(v1.1)_test" xfId="430"/>
    <cellStyle name="_пр 5 тариф RAB_PREDEL.JKH.UTV.2011(v1.1)" xfId="431"/>
    <cellStyle name="_пр 5 тариф RAB_PREDEL.JKH.UTV.2011(v1.1)_FORM5.2012(v1.0)" xfId="432"/>
    <cellStyle name="_пр 5 тариф RAB_PREDEL.JKH.UTV.2011(v1.1)_OREP.INV.GEN.G(v1.0)" xfId="433"/>
    <cellStyle name="_пр 5 тариф RAB_REP.BLR.2012(v1.0)" xfId="434"/>
    <cellStyle name="_пр 5 тариф RAB_TEPLO.PREDEL.2012.M(v1.1)" xfId="435"/>
    <cellStyle name="_пр 5 тариф RAB_TEST.TEMPLATE" xfId="436"/>
    <cellStyle name="_пр 5 тариф RAB_UPDATE.46EE.2011.TO.1.1" xfId="437"/>
    <cellStyle name="_пр 5 тариф RAB_UPDATE.46TE.2011.TO.1.1" xfId="438"/>
    <cellStyle name="_пр 5 тариф RAB_UPDATE.46TE.2011.TO.1.2" xfId="439"/>
    <cellStyle name="_пр 5 тариф RAB_UPDATE.BALANCE.WARM.2011YEAR.TO.1.1" xfId="440"/>
    <cellStyle name="_пр 5 тариф RAB_UPDATE.BALANCE.WARM.2011YEAR.TO.1.1 2" xfId="441"/>
    <cellStyle name="_пр 5 тариф RAB_UPDATE.BALANCE.WARM.2011YEAR.TO.1.1_46TE.2011(v1.0)" xfId="442"/>
    <cellStyle name="_пр 5 тариф RAB_UPDATE.BALANCE.WARM.2011YEAR.TO.1.1_INDEX.STATION.2012(v1.0)_" xfId="443"/>
    <cellStyle name="_пр 5 тариф RAB_UPDATE.BALANCE.WARM.2011YEAR.TO.1.1_INDEX.STATION.2012(v2.0)" xfId="444"/>
    <cellStyle name="_пр 5 тариф RAB_UPDATE.BALANCE.WARM.2011YEAR.TO.1.1_INDEX.STATION.2012(v2.1)" xfId="445"/>
    <cellStyle name="_пр 5 тариф RAB_UPDATE.BALANCE.WARM.2011YEAR.TO.1.1_OREP.KU.2011.MONTHLY.02(v1.1)" xfId="446"/>
    <cellStyle name="_пр 5 тариф RAB_UPDATE.BALANCE.WARM.2011YEAR.TO.1.1_TEPLO.PREDEL.2012.M(v1.1)_test" xfId="447"/>
    <cellStyle name="_пр 5 тариф RAB_UPDATE.NADB.JNVLS.APTEKA.2011.TO.1.3.4" xfId="448"/>
    <cellStyle name="_пр 5 тариф RAB_Книга1" xfId="449"/>
    <cellStyle name="_пр 5 тариф RAB_Книга2_PR.PROG.WARM.NOTCOMBI.2012.2.16_v1.4(04.04.11) " xfId="450"/>
    <cellStyle name="_Предожение _ДБП_2009 г ( согласованные БП)  (2)" xfId="451"/>
    <cellStyle name="_Предожение _ДБП_2009 г ( согласованные БП)  (2)_Новая инструкция1_фст" xfId="452"/>
    <cellStyle name="_Прил 3-3.2 Статьи сметы затрат и расход из приб КЭН" xfId="453"/>
    <cellStyle name="_Приложение 2 0806 факт" xfId="454"/>
    <cellStyle name="_Приложение МТС-3-КС" xfId="455"/>
    <cellStyle name="_Приложение МТС-3-КС_Новая инструкция1_фст" xfId="456"/>
    <cellStyle name="_Приложение-МТС--2-1" xfId="457"/>
    <cellStyle name="_Приложение-МТС--2-1_Новая инструкция1_фст" xfId="458"/>
    <cellStyle name="_Расчет RAB_22072008" xfId="459"/>
    <cellStyle name="_Расчет RAB_22072008 2" xfId="460"/>
    <cellStyle name="_Расчет RAB_22072008 2_OREP.KU.2011.MONTHLY.02(v0.1)" xfId="461"/>
    <cellStyle name="_Расчет RAB_22072008 2_OREP.KU.2011.MONTHLY.02(v0.4)" xfId="462"/>
    <cellStyle name="_Расчет RAB_22072008 2_OREP.KU.2011.MONTHLY.11(v1.4)" xfId="463"/>
    <cellStyle name="_Расчет RAB_22072008 2_UPDATE.OREP.KU.2011.MONTHLY.02.TO.1.2" xfId="464"/>
    <cellStyle name="_Расчет RAB_22072008_46EE.2011(v1.0)" xfId="465"/>
    <cellStyle name="_Расчет RAB_22072008_46EE.2011(v1.0)_46TE.2011(v1.0)" xfId="466"/>
    <cellStyle name="_Расчет RAB_22072008_46EE.2011(v1.0)_INDEX.STATION.2012(v1.0)_" xfId="467"/>
    <cellStyle name="_Расчет RAB_22072008_46EE.2011(v1.0)_INDEX.STATION.2012(v2.0)" xfId="468"/>
    <cellStyle name="_Расчет RAB_22072008_46EE.2011(v1.0)_INDEX.STATION.2012(v2.1)" xfId="469"/>
    <cellStyle name="_Расчет RAB_22072008_46EE.2011(v1.0)_TEPLO.PREDEL.2012.M(v1.1)_test" xfId="470"/>
    <cellStyle name="_Расчет RAB_22072008_46EE.2011(v1.2)" xfId="471"/>
    <cellStyle name="_Расчет RAB_22072008_46EE.2011(v1.2)_FORM5.2012(v1.0)" xfId="472"/>
    <cellStyle name="_Расчет RAB_22072008_46EE.2011(v1.2)_OREP.INV.GEN.G(v1.0)" xfId="473"/>
    <cellStyle name="_Расчет RAB_22072008_46EP.2011(v2.0)" xfId="474"/>
    <cellStyle name="_Расчет RAB_22072008_46EP.2012(v0.1)" xfId="475"/>
    <cellStyle name="_Расчет RAB_22072008_46TE.2011(v1.0)" xfId="476"/>
    <cellStyle name="_Расчет RAB_22072008_4DNS.UPDATE.EXAMPLE" xfId="477"/>
    <cellStyle name="_Расчет RAB_22072008_ARMRAZR" xfId="478"/>
    <cellStyle name="_Расчет RAB_22072008_BALANCE.WARM.2010.FACT(v1.0)" xfId="479"/>
    <cellStyle name="_Расчет RAB_22072008_BALANCE.WARM.2010.PLAN" xfId="480"/>
    <cellStyle name="_Расчет RAB_22072008_BALANCE.WARM.2010.PLAN_FORM5.2012(v1.0)" xfId="481"/>
    <cellStyle name="_Расчет RAB_22072008_BALANCE.WARM.2010.PLAN_OREP.INV.GEN.G(v1.0)" xfId="482"/>
    <cellStyle name="_Расчет RAB_22072008_BALANCE.WARM.2011YEAR(v0.7)" xfId="483"/>
    <cellStyle name="_Расчет RAB_22072008_BALANCE.WARM.2011YEAR(v0.7)_FORM5.2012(v1.0)" xfId="484"/>
    <cellStyle name="_Расчет RAB_22072008_BALANCE.WARM.2011YEAR(v0.7)_OREP.INV.GEN.G(v1.0)" xfId="485"/>
    <cellStyle name="_Расчет RAB_22072008_BALANCE.WARM.2011YEAR.NEW.UPDATE.SCHEME" xfId="486"/>
    <cellStyle name="_Расчет RAB_22072008_CALC.NORMATIV.KU(v0.2)" xfId="487"/>
    <cellStyle name="_Расчет RAB_22072008_EE.2REK.P2011.4.78(v0.3)" xfId="488"/>
    <cellStyle name="_Расчет RAB_22072008_FORM3.1.2013(v0.2)" xfId="489"/>
    <cellStyle name="_Расчет RAB_22072008_FORM3.2013(v1.0)" xfId="490"/>
    <cellStyle name="_Расчет RAB_22072008_FORM3.REG(v1.0)" xfId="491"/>
    <cellStyle name="_Расчет RAB_22072008_FORM910.2012(v0.5)" xfId="492"/>
    <cellStyle name="_Расчет RAB_22072008_FORM910.2012(v0.5)_FORM5.2012(v1.0)" xfId="493"/>
    <cellStyle name="_Расчет RAB_22072008_FORM910.2012(v1.1)" xfId="494"/>
    <cellStyle name="_Расчет RAB_22072008_INVEST.EE.PLAN.4.78(v0.1)" xfId="495"/>
    <cellStyle name="_Расчет RAB_22072008_INVEST.EE.PLAN.4.78(v0.3)" xfId="496"/>
    <cellStyle name="_Расчет RAB_22072008_INVEST.EE.PLAN.4.78(v1.0)" xfId="497"/>
    <cellStyle name="_Расчет RAB_22072008_INVEST.EE.PLAN.4.78(v1.0)_FORM11.2013" xfId="498"/>
    <cellStyle name="_Расчет RAB_22072008_INVEST.EE.PLAN.4.78(v1.0)_PASSPORT.TEPLO.PROIZV(v2.0)" xfId="499"/>
    <cellStyle name="_Расчет RAB_22072008_INVEST.EE.PLAN.4.78(v1.0)_PASSPORT.TEPLO.PROIZV(v2.0)_MWT.POTERI.SETI.2012(v0.1)" xfId="500"/>
    <cellStyle name="_Расчет RAB_22072008_INVEST.EE.PLAN.4.78(v1.0)_PASSPORT.TEPLO.PROIZV(v2.0)_PASSPORT.TEPLO.SETI(v2.0f)" xfId="501"/>
    <cellStyle name="_Расчет RAB_22072008_INVEST.EE.PLAN.4.78(v1.0)_PASSPORT.TEPLO.PROIZV(v2.0)_Книга1" xfId="502"/>
    <cellStyle name="_Расчет RAB_22072008_INVEST.EE.PLAN.4.78(v1.0)_PASSPORT.TEPLO.SETI(v2.0f)" xfId="503"/>
    <cellStyle name="_Расчет RAB_22072008_INVEST.EE.PLAN.4.78(v1.0)_Книга1" xfId="504"/>
    <cellStyle name="_Расчет RAB_22072008_INVEST.PLAN.4.78(v0.1)" xfId="505"/>
    <cellStyle name="_Расчет RAB_22072008_INVEST.WARM.PLAN.4.78(v0.1)" xfId="506"/>
    <cellStyle name="_Расчет RAB_22072008_INVEST_WARM_PLAN" xfId="507"/>
    <cellStyle name="_Расчет RAB_22072008_NADB.JNVLP.APTEKA.2012(v1.0)_21_02_12" xfId="508"/>
    <cellStyle name="_Расчет RAB_22072008_NADB.JNVLS.APTEKA.2011(v1.3.3)" xfId="509"/>
    <cellStyle name="_Расчет RAB_22072008_NADB.JNVLS.APTEKA.2011(v1.3.3)_46TE.2011(v1.0)" xfId="510"/>
    <cellStyle name="_Расчет RAB_22072008_NADB.JNVLS.APTEKA.2011(v1.3.3)_INDEX.STATION.2012(v1.0)_" xfId="511"/>
    <cellStyle name="_Расчет RAB_22072008_NADB.JNVLS.APTEKA.2011(v1.3.3)_INDEX.STATION.2012(v2.0)" xfId="512"/>
    <cellStyle name="_Расчет RAB_22072008_NADB.JNVLS.APTEKA.2011(v1.3.3)_INDEX.STATION.2012(v2.1)" xfId="513"/>
    <cellStyle name="_Расчет RAB_22072008_NADB.JNVLS.APTEKA.2011(v1.3.3)_TEPLO.PREDEL.2012.M(v1.1)_test" xfId="514"/>
    <cellStyle name="_Расчет RAB_22072008_NADB.JNVLS.APTEKA.2011(v1.3.4)" xfId="515"/>
    <cellStyle name="_Расчет RAB_22072008_NADB.JNVLS.APTEKA.2011(v1.3.4)_46TE.2011(v1.0)" xfId="516"/>
    <cellStyle name="_Расчет RAB_22072008_NADB.JNVLS.APTEKA.2011(v1.3.4)_INDEX.STATION.2012(v1.0)_" xfId="517"/>
    <cellStyle name="_Расчет RAB_22072008_NADB.JNVLS.APTEKA.2011(v1.3.4)_INDEX.STATION.2012(v2.0)" xfId="518"/>
    <cellStyle name="_Расчет RAB_22072008_NADB.JNVLS.APTEKA.2011(v1.3.4)_INDEX.STATION.2012(v2.1)" xfId="519"/>
    <cellStyle name="_Расчет RAB_22072008_NADB.JNVLS.APTEKA.2011(v1.3.4)_TEPLO.PREDEL.2012.M(v1.1)_test" xfId="520"/>
    <cellStyle name="_Расчет RAB_22072008_PASSPORT.TEPLO.PROIZV(v2.1)" xfId="521"/>
    <cellStyle name="_Расчет RAB_22072008_PASSPORT.TEPLO.SETI(v1.0)" xfId="522"/>
    <cellStyle name="_Расчет RAB_22072008_PR.PROG.WARM.NOTCOMBI.2012.2.16_v1.4(04.04.11) " xfId="523"/>
    <cellStyle name="_Расчет RAB_22072008_PREDEL.JKH.UTV.2011(v1.0.1)" xfId="524"/>
    <cellStyle name="_Расчет RAB_22072008_PREDEL.JKH.UTV.2011(v1.0.1)_46TE.2011(v1.0)" xfId="525"/>
    <cellStyle name="_Расчет RAB_22072008_PREDEL.JKH.UTV.2011(v1.0.1)_INDEX.STATION.2012(v1.0)_" xfId="526"/>
    <cellStyle name="_Расчет RAB_22072008_PREDEL.JKH.UTV.2011(v1.0.1)_INDEX.STATION.2012(v2.0)" xfId="527"/>
    <cellStyle name="_Расчет RAB_22072008_PREDEL.JKH.UTV.2011(v1.0.1)_INDEX.STATION.2012(v2.1)" xfId="528"/>
    <cellStyle name="_Расчет RAB_22072008_PREDEL.JKH.UTV.2011(v1.0.1)_TEPLO.PREDEL.2012.M(v1.1)_test" xfId="529"/>
    <cellStyle name="_Расчет RAB_22072008_PREDEL.JKH.UTV.2011(v1.1)" xfId="530"/>
    <cellStyle name="_Расчет RAB_22072008_PREDEL.JKH.UTV.2011(v1.1)_FORM5.2012(v1.0)" xfId="531"/>
    <cellStyle name="_Расчет RAB_22072008_PREDEL.JKH.UTV.2011(v1.1)_OREP.INV.GEN.G(v1.0)" xfId="532"/>
    <cellStyle name="_Расчет RAB_22072008_REP.BLR.2012(v1.0)" xfId="533"/>
    <cellStyle name="_Расчет RAB_22072008_TEPLO.PREDEL.2012.M(v1.1)" xfId="534"/>
    <cellStyle name="_Расчет RAB_22072008_TEST.TEMPLATE" xfId="535"/>
    <cellStyle name="_Расчет RAB_22072008_UPDATE.46EE.2011.TO.1.1" xfId="536"/>
    <cellStyle name="_Расчет RAB_22072008_UPDATE.46TE.2011.TO.1.1" xfId="537"/>
    <cellStyle name="_Расчет RAB_22072008_UPDATE.46TE.2011.TO.1.2" xfId="538"/>
    <cellStyle name="_Расчет RAB_22072008_UPDATE.BALANCE.WARM.2011YEAR.TO.1.1" xfId="539"/>
    <cellStyle name="_Расчет RAB_22072008_UPDATE.BALANCE.WARM.2011YEAR.TO.1.1 2" xfId="540"/>
    <cellStyle name="_Расчет RAB_22072008_UPDATE.BALANCE.WARM.2011YEAR.TO.1.1_46TE.2011(v1.0)" xfId="541"/>
    <cellStyle name="_Расчет RAB_22072008_UPDATE.BALANCE.WARM.2011YEAR.TO.1.1_INDEX.STATION.2012(v1.0)_" xfId="542"/>
    <cellStyle name="_Расчет RAB_22072008_UPDATE.BALANCE.WARM.2011YEAR.TO.1.1_INDEX.STATION.2012(v2.0)" xfId="543"/>
    <cellStyle name="_Расчет RAB_22072008_UPDATE.BALANCE.WARM.2011YEAR.TO.1.1_INDEX.STATION.2012(v2.1)" xfId="544"/>
    <cellStyle name="_Расчет RAB_22072008_UPDATE.BALANCE.WARM.2011YEAR.TO.1.1_OREP.KU.2011.MONTHLY.02(v1.1)" xfId="545"/>
    <cellStyle name="_Расчет RAB_22072008_UPDATE.BALANCE.WARM.2011YEAR.TO.1.1_TEPLO.PREDEL.2012.M(v1.1)_test" xfId="546"/>
    <cellStyle name="_Расчет RAB_22072008_UPDATE.NADB.JNVLS.APTEKA.2011.TO.1.3.4" xfId="547"/>
    <cellStyle name="_Расчет RAB_22072008_Книга1" xfId="548"/>
    <cellStyle name="_Расчет RAB_22072008_Книга2_PR.PROG.WARM.NOTCOMBI.2012.2.16_v1.4(04.04.11) " xfId="549"/>
    <cellStyle name="_Расчет RAB_Лен и МОЭСК_с 2010 года_14.04.2009_со сглаж_version 3.0_без ФСК" xfId="550"/>
    <cellStyle name="_Расчет RAB_Лен и МОЭСК_с 2010 года_14.04.2009_со сглаж_version 3.0_без ФСК 2" xfId="551"/>
    <cellStyle name="_Расчет RAB_Лен и МОЭСК_с 2010 года_14.04.2009_со сглаж_version 3.0_без ФСК 2_OREP.KU.2011.MONTHLY.02(v0.1)" xfId="552"/>
    <cellStyle name="_Расчет RAB_Лен и МОЭСК_с 2010 года_14.04.2009_со сглаж_version 3.0_без ФСК 2_OREP.KU.2011.MONTHLY.02(v0.4)" xfId="553"/>
    <cellStyle name="_Расчет RAB_Лен и МОЭСК_с 2010 года_14.04.2009_со сглаж_version 3.0_без ФСК 2_OREP.KU.2011.MONTHLY.11(v1.4)" xfId="554"/>
    <cellStyle name="_Расчет RAB_Лен и МОЭСК_с 2010 года_14.04.2009_со сглаж_version 3.0_без ФСК 2_UPDATE.OREP.KU.2011.MONTHLY.02.TO.1.2" xfId="555"/>
    <cellStyle name="_Расчет RAB_Лен и МОЭСК_с 2010 года_14.04.2009_со сглаж_version 3.0_без ФСК_46EE.2011(v1.0)" xfId="556"/>
    <cellStyle name="_Расчет RAB_Лен и МОЭСК_с 2010 года_14.04.2009_со сглаж_version 3.0_без ФСК_46EE.2011(v1.0)_46TE.2011(v1.0)" xfId="557"/>
    <cellStyle name="_Расчет RAB_Лен и МОЭСК_с 2010 года_14.04.2009_со сглаж_version 3.0_без ФСК_46EE.2011(v1.0)_INDEX.STATION.2012(v1.0)_" xfId="558"/>
    <cellStyle name="_Расчет RAB_Лен и МОЭСК_с 2010 года_14.04.2009_со сглаж_version 3.0_без ФСК_46EE.2011(v1.0)_INDEX.STATION.2012(v2.0)" xfId="559"/>
    <cellStyle name="_Расчет RAB_Лен и МОЭСК_с 2010 года_14.04.2009_со сглаж_version 3.0_без ФСК_46EE.2011(v1.0)_INDEX.STATION.2012(v2.1)" xfId="560"/>
    <cellStyle name="_Расчет RAB_Лен и МОЭСК_с 2010 года_14.04.2009_со сглаж_version 3.0_без ФСК_46EE.2011(v1.0)_TEPLO.PREDEL.2012.M(v1.1)_test" xfId="561"/>
    <cellStyle name="_Расчет RAB_Лен и МОЭСК_с 2010 года_14.04.2009_со сглаж_version 3.0_без ФСК_46EE.2011(v1.2)" xfId="562"/>
    <cellStyle name="_Расчет RAB_Лен и МОЭСК_с 2010 года_14.04.2009_со сглаж_version 3.0_без ФСК_46EE.2011(v1.2)_FORM5.2012(v1.0)" xfId="563"/>
    <cellStyle name="_Расчет RAB_Лен и МОЭСК_с 2010 года_14.04.2009_со сглаж_version 3.0_без ФСК_46EE.2011(v1.2)_OREP.INV.GEN.G(v1.0)" xfId="564"/>
    <cellStyle name="_Расчет RAB_Лен и МОЭСК_с 2010 года_14.04.2009_со сглаж_version 3.0_без ФСК_46EP.2011(v2.0)" xfId="565"/>
    <cellStyle name="_Расчет RAB_Лен и МОЭСК_с 2010 года_14.04.2009_со сглаж_version 3.0_без ФСК_46EP.2012(v0.1)" xfId="566"/>
    <cellStyle name="_Расчет RAB_Лен и МОЭСК_с 2010 года_14.04.2009_со сглаж_version 3.0_без ФСК_46TE.2011(v1.0)" xfId="567"/>
    <cellStyle name="_Расчет RAB_Лен и МОЭСК_с 2010 года_14.04.2009_со сглаж_version 3.0_без ФСК_4DNS.UPDATE.EXAMPLE" xfId="568"/>
    <cellStyle name="_Расчет RAB_Лен и МОЭСК_с 2010 года_14.04.2009_со сглаж_version 3.0_без ФСК_ARMRAZR" xfId="569"/>
    <cellStyle name="_Расчет RAB_Лен и МОЭСК_с 2010 года_14.04.2009_со сглаж_version 3.0_без ФСК_BALANCE.WARM.2010.FACT(v1.0)" xfId="570"/>
    <cellStyle name="_Расчет RAB_Лен и МОЭСК_с 2010 года_14.04.2009_со сглаж_version 3.0_без ФСК_BALANCE.WARM.2010.PLAN" xfId="571"/>
    <cellStyle name="_Расчет RAB_Лен и МОЭСК_с 2010 года_14.04.2009_со сглаж_version 3.0_без ФСК_BALANCE.WARM.2010.PLAN_FORM5.2012(v1.0)" xfId="572"/>
    <cellStyle name="_Расчет RAB_Лен и МОЭСК_с 2010 года_14.04.2009_со сглаж_version 3.0_без ФСК_BALANCE.WARM.2010.PLAN_OREP.INV.GEN.G(v1.0)" xfId="573"/>
    <cellStyle name="_Расчет RAB_Лен и МОЭСК_с 2010 года_14.04.2009_со сглаж_version 3.0_без ФСК_BALANCE.WARM.2011YEAR(v0.7)" xfId="574"/>
    <cellStyle name="_Расчет RAB_Лен и МОЭСК_с 2010 года_14.04.2009_со сглаж_version 3.0_без ФСК_BALANCE.WARM.2011YEAR(v0.7)_FORM5.2012(v1.0)" xfId="575"/>
    <cellStyle name="_Расчет RAB_Лен и МОЭСК_с 2010 года_14.04.2009_со сглаж_version 3.0_без ФСК_BALANCE.WARM.2011YEAR(v0.7)_OREP.INV.GEN.G(v1.0)" xfId="576"/>
    <cellStyle name="_Расчет RAB_Лен и МОЭСК_с 2010 года_14.04.2009_со сглаж_version 3.0_без ФСК_BALANCE.WARM.2011YEAR.NEW.UPDATE.SCHEME" xfId="577"/>
    <cellStyle name="_Расчет RAB_Лен и МОЭСК_с 2010 года_14.04.2009_со сглаж_version 3.0_без ФСК_CALC.NORMATIV.KU(v0.2)" xfId="578"/>
    <cellStyle name="_Расчет RAB_Лен и МОЭСК_с 2010 года_14.04.2009_со сглаж_version 3.0_без ФСК_EE.2REK.P2011.4.78(v0.3)" xfId="579"/>
    <cellStyle name="_Расчет RAB_Лен и МОЭСК_с 2010 года_14.04.2009_со сглаж_version 3.0_без ФСК_FORM3.1.2013(v0.2)" xfId="580"/>
    <cellStyle name="_Расчет RAB_Лен и МОЭСК_с 2010 года_14.04.2009_со сглаж_version 3.0_без ФСК_FORM3.2013(v1.0)" xfId="581"/>
    <cellStyle name="_Расчет RAB_Лен и МОЭСК_с 2010 года_14.04.2009_со сглаж_version 3.0_без ФСК_FORM3.REG(v1.0)" xfId="582"/>
    <cellStyle name="_Расчет RAB_Лен и МОЭСК_с 2010 года_14.04.2009_со сглаж_version 3.0_без ФСК_FORM910.2012(v0.5)" xfId="583"/>
    <cellStyle name="_Расчет RAB_Лен и МОЭСК_с 2010 года_14.04.2009_со сглаж_version 3.0_без ФСК_FORM910.2012(v0.5)_FORM5.2012(v1.0)" xfId="584"/>
    <cellStyle name="_Расчет RAB_Лен и МОЭСК_с 2010 года_14.04.2009_со сглаж_version 3.0_без ФСК_FORM910.2012(v1.1)" xfId="585"/>
    <cellStyle name="_Расчет RAB_Лен и МОЭСК_с 2010 года_14.04.2009_со сглаж_version 3.0_без ФСК_INVEST.EE.PLAN.4.78(v0.1)" xfId="586"/>
    <cellStyle name="_Расчет RAB_Лен и МОЭСК_с 2010 года_14.04.2009_со сглаж_version 3.0_без ФСК_INVEST.EE.PLAN.4.78(v0.3)" xfId="587"/>
    <cellStyle name="_Расчет RAB_Лен и МОЭСК_с 2010 года_14.04.2009_со сглаж_version 3.0_без ФСК_INVEST.EE.PLAN.4.78(v1.0)" xfId="588"/>
    <cellStyle name="_Расчет RAB_Лен и МОЭСК_с 2010 года_14.04.2009_со сглаж_version 3.0_без ФСК_INVEST.EE.PLAN.4.78(v1.0)_FORM11.2013" xfId="589"/>
    <cellStyle name="_Расчет RAB_Лен и МОЭСК_с 2010 года_14.04.2009_со сглаж_version 3.0_без ФСК_INVEST.EE.PLAN.4.78(v1.0)_PASSPORT.TEPLO.PROIZV(v2.0)" xfId="590"/>
    <cellStyle name="_Расчет RAB_Лен и МОЭСК_с 2010 года_14.04.2009_со сглаж_version 3.0_без ФСК_INVEST.EE.PLAN.4.78(v1.0)_PASSPORT.TEPLO.PROIZV(v2.0)_MWT.POTERI.SETI.2012(v0.1)" xfId="591"/>
    <cellStyle name="_Расчет RAB_Лен и МОЭСК_с 2010 года_14.04.2009_со сглаж_version 3.0_без ФСК_INVEST.EE.PLAN.4.78(v1.0)_PASSPORT.TEPLO.PROIZV(v2.0)_PASSPORT.TEPLO.SETI(v2.0f)" xfId="592"/>
    <cellStyle name="_Расчет RAB_Лен и МОЭСК_с 2010 года_14.04.2009_со сглаж_version 3.0_без ФСК_INVEST.EE.PLAN.4.78(v1.0)_PASSPORT.TEPLO.PROIZV(v2.0)_Книга1" xfId="593"/>
    <cellStyle name="_Расчет RAB_Лен и МОЭСК_с 2010 года_14.04.2009_со сглаж_version 3.0_без ФСК_INVEST.EE.PLAN.4.78(v1.0)_PASSPORT.TEPLO.SETI(v2.0f)" xfId="594"/>
    <cellStyle name="_Расчет RAB_Лен и МОЭСК_с 2010 года_14.04.2009_со сглаж_version 3.0_без ФСК_INVEST.EE.PLAN.4.78(v1.0)_Книга1" xfId="595"/>
    <cellStyle name="_Расчет RAB_Лен и МОЭСК_с 2010 года_14.04.2009_со сглаж_version 3.0_без ФСК_INVEST.PLAN.4.78(v0.1)" xfId="596"/>
    <cellStyle name="_Расчет RAB_Лен и МОЭСК_с 2010 года_14.04.2009_со сглаж_version 3.0_без ФСК_INVEST.WARM.PLAN.4.78(v0.1)" xfId="597"/>
    <cellStyle name="_Расчет RAB_Лен и МОЭСК_с 2010 года_14.04.2009_со сглаж_version 3.0_без ФСК_INVEST_WARM_PLAN" xfId="598"/>
    <cellStyle name="_Расчет RAB_Лен и МОЭСК_с 2010 года_14.04.2009_со сглаж_version 3.0_без ФСК_NADB.JNVLP.APTEKA.2012(v1.0)_21_02_12" xfId="599"/>
    <cellStyle name="_Расчет RAB_Лен и МОЭСК_с 2010 года_14.04.2009_со сглаж_version 3.0_без ФСК_NADB.JNVLS.APTEKA.2011(v1.3.3)" xfId="600"/>
    <cellStyle name="_Расчет RAB_Лен и МОЭСК_с 2010 года_14.04.2009_со сглаж_version 3.0_без ФСК_NADB.JNVLS.APTEKA.2011(v1.3.3)_46TE.2011(v1.0)" xfId="601"/>
    <cellStyle name="_Расчет RAB_Лен и МОЭСК_с 2010 года_14.04.2009_со сглаж_version 3.0_без ФСК_NADB.JNVLS.APTEKA.2011(v1.3.3)_INDEX.STATION.2012(v1.0)_" xfId="602"/>
    <cellStyle name="_Расчет RAB_Лен и МОЭСК_с 2010 года_14.04.2009_со сглаж_version 3.0_без ФСК_NADB.JNVLS.APTEKA.2011(v1.3.3)_INDEX.STATION.2012(v2.0)" xfId="603"/>
    <cellStyle name="_Расчет RAB_Лен и МОЭСК_с 2010 года_14.04.2009_со сглаж_version 3.0_без ФСК_NADB.JNVLS.APTEKA.2011(v1.3.3)_INDEX.STATION.2012(v2.1)" xfId="604"/>
    <cellStyle name="_Расчет RAB_Лен и МОЭСК_с 2010 года_14.04.2009_со сглаж_version 3.0_без ФСК_NADB.JNVLS.APTEKA.2011(v1.3.3)_TEPLO.PREDEL.2012.M(v1.1)_test" xfId="605"/>
    <cellStyle name="_Расчет RAB_Лен и МОЭСК_с 2010 года_14.04.2009_со сглаж_version 3.0_без ФСК_NADB.JNVLS.APTEKA.2011(v1.3.4)" xfId="606"/>
    <cellStyle name="_Расчет RAB_Лен и МОЭСК_с 2010 года_14.04.2009_со сглаж_version 3.0_без ФСК_NADB.JNVLS.APTEKA.2011(v1.3.4)_46TE.2011(v1.0)" xfId="607"/>
    <cellStyle name="_Расчет RAB_Лен и МОЭСК_с 2010 года_14.04.2009_со сглаж_version 3.0_без ФСК_NADB.JNVLS.APTEKA.2011(v1.3.4)_INDEX.STATION.2012(v1.0)_" xfId="608"/>
    <cellStyle name="_Расчет RAB_Лен и МОЭСК_с 2010 года_14.04.2009_со сглаж_version 3.0_без ФСК_NADB.JNVLS.APTEKA.2011(v1.3.4)_INDEX.STATION.2012(v2.0)" xfId="609"/>
    <cellStyle name="_Расчет RAB_Лен и МОЭСК_с 2010 года_14.04.2009_со сглаж_version 3.0_без ФСК_NADB.JNVLS.APTEKA.2011(v1.3.4)_INDEX.STATION.2012(v2.1)" xfId="610"/>
    <cellStyle name="_Расчет RAB_Лен и МОЭСК_с 2010 года_14.04.2009_со сглаж_version 3.0_без ФСК_NADB.JNVLS.APTEKA.2011(v1.3.4)_TEPLO.PREDEL.2012.M(v1.1)_test" xfId="611"/>
    <cellStyle name="_Расчет RAB_Лен и МОЭСК_с 2010 года_14.04.2009_со сглаж_version 3.0_без ФСК_PASSPORT.TEPLO.PROIZV(v2.1)" xfId="612"/>
    <cellStyle name="_Расчет RAB_Лен и МОЭСК_с 2010 года_14.04.2009_со сглаж_version 3.0_без ФСК_PASSPORT.TEPLO.SETI(v1.0)" xfId="613"/>
    <cellStyle name="_Расчет RAB_Лен и МОЭСК_с 2010 года_14.04.2009_со сглаж_version 3.0_без ФСК_PR.PROG.WARM.NOTCOMBI.2012.2.16_v1.4(04.04.11) " xfId="614"/>
    <cellStyle name="_Расчет RAB_Лен и МОЭСК_с 2010 года_14.04.2009_со сглаж_version 3.0_без ФСК_PREDEL.JKH.UTV.2011(v1.0.1)" xfId="615"/>
    <cellStyle name="_Расчет RAB_Лен и МОЭСК_с 2010 года_14.04.2009_со сглаж_version 3.0_без ФСК_PREDEL.JKH.UTV.2011(v1.0.1)_46TE.2011(v1.0)" xfId="616"/>
    <cellStyle name="_Расчет RAB_Лен и МОЭСК_с 2010 года_14.04.2009_со сглаж_version 3.0_без ФСК_PREDEL.JKH.UTV.2011(v1.0.1)_INDEX.STATION.2012(v1.0)_" xfId="617"/>
    <cellStyle name="_Расчет RAB_Лен и МОЭСК_с 2010 года_14.04.2009_со сглаж_version 3.0_без ФСК_PREDEL.JKH.UTV.2011(v1.0.1)_INDEX.STATION.2012(v2.0)" xfId="618"/>
    <cellStyle name="_Расчет RAB_Лен и МОЭСК_с 2010 года_14.04.2009_со сглаж_version 3.0_без ФСК_PREDEL.JKH.UTV.2011(v1.0.1)_INDEX.STATION.2012(v2.1)" xfId="619"/>
    <cellStyle name="_Расчет RAB_Лен и МОЭСК_с 2010 года_14.04.2009_со сглаж_version 3.0_без ФСК_PREDEL.JKH.UTV.2011(v1.0.1)_TEPLO.PREDEL.2012.M(v1.1)_test" xfId="620"/>
    <cellStyle name="_Расчет RAB_Лен и МОЭСК_с 2010 года_14.04.2009_со сглаж_version 3.0_без ФСК_PREDEL.JKH.UTV.2011(v1.1)" xfId="621"/>
    <cellStyle name="_Расчет RAB_Лен и МОЭСК_с 2010 года_14.04.2009_со сглаж_version 3.0_без ФСК_PREDEL.JKH.UTV.2011(v1.1)_FORM5.2012(v1.0)" xfId="622"/>
    <cellStyle name="_Расчет RAB_Лен и МОЭСК_с 2010 года_14.04.2009_со сглаж_version 3.0_без ФСК_PREDEL.JKH.UTV.2011(v1.1)_OREP.INV.GEN.G(v1.0)" xfId="623"/>
    <cellStyle name="_Расчет RAB_Лен и МОЭСК_с 2010 года_14.04.2009_со сглаж_version 3.0_без ФСК_REP.BLR.2012(v1.0)" xfId="624"/>
    <cellStyle name="_Расчет RAB_Лен и МОЭСК_с 2010 года_14.04.2009_со сглаж_version 3.0_без ФСК_TEPLO.PREDEL.2012.M(v1.1)" xfId="625"/>
    <cellStyle name="_Расчет RAB_Лен и МОЭСК_с 2010 года_14.04.2009_со сглаж_version 3.0_без ФСК_TEST.TEMPLATE" xfId="626"/>
    <cellStyle name="_Расчет RAB_Лен и МОЭСК_с 2010 года_14.04.2009_со сглаж_version 3.0_без ФСК_UPDATE.46EE.2011.TO.1.1" xfId="627"/>
    <cellStyle name="_Расчет RAB_Лен и МОЭСК_с 2010 года_14.04.2009_со сглаж_version 3.0_без ФСК_UPDATE.46TE.2011.TO.1.1" xfId="628"/>
    <cellStyle name="_Расчет RAB_Лен и МОЭСК_с 2010 года_14.04.2009_со сглаж_version 3.0_без ФСК_UPDATE.46TE.2011.TO.1.2" xfId="629"/>
    <cellStyle name="_Расчет RAB_Лен и МОЭСК_с 2010 года_14.04.2009_со сглаж_version 3.0_без ФСК_UPDATE.BALANCE.WARM.2011YEAR.TO.1.1" xfId="630"/>
    <cellStyle name="_Расчет RAB_Лен и МОЭСК_с 2010 года_14.04.2009_со сглаж_version 3.0_без ФСК_UPDATE.BALANCE.WARM.2011YEAR.TO.1.1 2" xfId="631"/>
    <cellStyle name="_Расчет RAB_Лен и МОЭСК_с 2010 года_14.04.2009_со сглаж_version 3.0_без ФСК_UPDATE.BALANCE.WARM.2011YEAR.TO.1.1_46TE.2011(v1.0)" xfId="632"/>
    <cellStyle name="_Расчет RAB_Лен и МОЭСК_с 2010 года_14.04.2009_со сглаж_version 3.0_без ФСК_UPDATE.BALANCE.WARM.2011YEAR.TO.1.1_INDEX.STATION.2012(v1.0)_" xfId="633"/>
    <cellStyle name="_Расчет RAB_Лен и МОЭСК_с 2010 года_14.04.2009_со сглаж_version 3.0_без ФСК_UPDATE.BALANCE.WARM.2011YEAR.TO.1.1_INDEX.STATION.2012(v2.0)" xfId="634"/>
    <cellStyle name="_Расчет RAB_Лен и МОЭСК_с 2010 года_14.04.2009_со сглаж_version 3.0_без ФСК_UPDATE.BALANCE.WARM.2011YEAR.TO.1.1_INDEX.STATION.2012(v2.1)" xfId="635"/>
    <cellStyle name="_Расчет RAB_Лен и МОЭСК_с 2010 года_14.04.2009_со сглаж_version 3.0_без ФСК_UPDATE.BALANCE.WARM.2011YEAR.TO.1.1_OREP.KU.2011.MONTHLY.02(v1.1)" xfId="636"/>
    <cellStyle name="_Расчет RAB_Лен и МОЭСК_с 2010 года_14.04.2009_со сглаж_version 3.0_без ФСК_UPDATE.BALANCE.WARM.2011YEAR.TO.1.1_TEPLO.PREDEL.2012.M(v1.1)_test" xfId="637"/>
    <cellStyle name="_Расчет RAB_Лен и МОЭСК_с 2010 года_14.04.2009_со сглаж_version 3.0_без ФСК_UPDATE.NADB.JNVLS.APTEKA.2011.TO.1.3.4" xfId="638"/>
    <cellStyle name="_Расчет RAB_Лен и МОЭСК_с 2010 года_14.04.2009_со сглаж_version 3.0_без ФСК_Книга1" xfId="639"/>
    <cellStyle name="_Расчет RAB_Лен и МОЭСК_с 2010 года_14.04.2009_со сглаж_version 3.0_без ФСК_Книга2_PR.PROG.WARM.NOTCOMBI.2012.2.16_v1.4(04.04.11) " xfId="640"/>
    <cellStyle name="_Расчет_конечные тарифы_2010г " xfId="641"/>
    <cellStyle name="_расшифровки" xfId="642"/>
    <cellStyle name="_реестр" xfId="643"/>
    <cellStyle name="_Ростов НВВ на 2010-2014" xfId="644"/>
    <cellStyle name="_Сб-macro 2020" xfId="645"/>
    <cellStyle name="_Свод по ИПР (2)" xfId="646"/>
    <cellStyle name="_Свод по ИПР (2)_Новая инструкция1_фст" xfId="647"/>
    <cellStyle name="_Согласования_0810_final" xfId="648"/>
    <cellStyle name="_Справочник затрат_ЛХ_20.10.05" xfId="649"/>
    <cellStyle name="_таблицы для расчетов28-04-08_2006-2009_прибыль корр_по ИА" xfId="650"/>
    <cellStyle name="_таблицы для расчетов28-04-08_2006-2009_прибыль корр_по ИА_Новая инструкция1_фст" xfId="651"/>
    <cellStyle name="_таблицы для расчетов28-04-08_2006-2009с ИА" xfId="652"/>
    <cellStyle name="_таблицы для расчетов28-04-08_2006-2009с ИА_Новая инструкция1_фст" xfId="653"/>
    <cellStyle name="_ф.11 заказчики 2008 new" xfId="654"/>
    <cellStyle name="_ф.12 подрядчики 2008 new" xfId="655"/>
    <cellStyle name="_Форма 6  РТК.xls(отчет по Адр пр. ЛО)" xfId="656"/>
    <cellStyle name="_Форма 6  РТК.xls(отчет по Адр пр. ЛО)_Новая инструкция1_фст" xfId="657"/>
    <cellStyle name="_форма П1.30 для УРТ" xfId="658"/>
    <cellStyle name="_Формат разбивки по МРСК_РСК" xfId="659"/>
    <cellStyle name="_Формат разбивки по МРСК_РСК_Новая инструкция1_фст" xfId="660"/>
    <cellStyle name="_Формат_для Согласования" xfId="661"/>
    <cellStyle name="_Формат_для Согласования_Новая инструкция1_фст" xfId="662"/>
    <cellStyle name="_Формат_Сводный для согласования" xfId="663"/>
    <cellStyle name="_ХХХ Прил 2 Формы бюджетных документов 2007" xfId="664"/>
    <cellStyle name="_экон.форм-т ВО 1 с разбивкой" xfId="665"/>
    <cellStyle name="_экон.форм-т ВО 1 с разбивкой_Новая инструкция1_фст" xfId="666"/>
    <cellStyle name="’К‰Э [0.00]" xfId="667"/>
    <cellStyle name="”€ќђќ‘ћ‚›‰" xfId="668"/>
    <cellStyle name="”€љ‘€ђћ‚ђќќ›‰" xfId="669"/>
    <cellStyle name="”ќђќ‘ћ‚›‰" xfId="670"/>
    <cellStyle name="”ќђќ‘ћ‚›‰ 2" xfId="671"/>
    <cellStyle name="”ќђќ‘ћ‚›‰ 3" xfId="4670"/>
    <cellStyle name="”љ‘ђћ‚ђќќ›‰" xfId="672"/>
    <cellStyle name="”љ‘ђћ‚ђќќ›‰ 2" xfId="673"/>
    <cellStyle name="”љ‘ђћ‚ђќќ›‰ 3" xfId="4671"/>
    <cellStyle name="„…ќ…†ќ›‰" xfId="674"/>
    <cellStyle name="„…ќ…†ќ›‰ 2" xfId="675"/>
    <cellStyle name="„…ќ…†ќ›‰ 3" xfId="4672"/>
    <cellStyle name="€’ћѓћ‚›‰" xfId="676"/>
    <cellStyle name="‡ђѓћ‹ћ‚ћљ1" xfId="677"/>
    <cellStyle name="‡ђѓћ‹ћ‚ћљ1 2" xfId="678"/>
    <cellStyle name="‡ђѓћ‹ћ‚ћљ1 3" xfId="4673"/>
    <cellStyle name="‡ђѓћ‹ћ‚ћљ2" xfId="679"/>
    <cellStyle name="‡ђѓћ‹ћ‚ћљ2 2" xfId="680"/>
    <cellStyle name="‡ђѓћ‹ћ‚ћљ2 3" xfId="4674"/>
    <cellStyle name="’ћѓћ‚›‰" xfId="681"/>
    <cellStyle name="’ћѓћ‚›‰ 2" xfId="682"/>
    <cellStyle name="’ћѓћ‚›‰ 3" xfId="4675"/>
    <cellStyle name="1Normal" xfId="683"/>
    <cellStyle name="20% - Accent1" xfId="684"/>
    <cellStyle name="20% - Accent1 2" xfId="685"/>
    <cellStyle name="20% - Accent1 3" xfId="686"/>
    <cellStyle name="20% - Accent1_46EE.2011(v1.0)" xfId="687"/>
    <cellStyle name="20% - Accent2" xfId="688"/>
    <cellStyle name="20% - Accent2 2" xfId="689"/>
    <cellStyle name="20% - Accent2 3" xfId="690"/>
    <cellStyle name="20% - Accent2_46EE.2011(v1.0)" xfId="691"/>
    <cellStyle name="20% - Accent3" xfId="692"/>
    <cellStyle name="20% - Accent3 2" xfId="693"/>
    <cellStyle name="20% - Accent3 3" xfId="694"/>
    <cellStyle name="20% - Accent3_46EE.2011(v1.0)" xfId="695"/>
    <cellStyle name="20% - Accent4" xfId="696"/>
    <cellStyle name="20% - Accent4 2" xfId="697"/>
    <cellStyle name="20% - Accent4 3" xfId="698"/>
    <cellStyle name="20% - Accent4_46EE.2011(v1.0)" xfId="699"/>
    <cellStyle name="20% - Accent5" xfId="700"/>
    <cellStyle name="20% - Accent5 2" xfId="701"/>
    <cellStyle name="20% - Accent5 3" xfId="702"/>
    <cellStyle name="20% - Accent5_46EE.2011(v1.0)" xfId="703"/>
    <cellStyle name="20% - Accent6" xfId="704"/>
    <cellStyle name="20% - Accent6 2" xfId="705"/>
    <cellStyle name="20% - Accent6 3" xfId="706"/>
    <cellStyle name="20% - Accent6_46EE.2011(v1.0)" xfId="707"/>
    <cellStyle name="20% - Акцент1 10" xfId="708"/>
    <cellStyle name="20% - Акцент1 11" xfId="709"/>
    <cellStyle name="20% - Акцент1 2" xfId="710"/>
    <cellStyle name="20% - Акцент1 2 2" xfId="711"/>
    <cellStyle name="20% - Акцент1 2 3" xfId="712"/>
    <cellStyle name="20% - Акцент1 2_46EE.2011(v1.0)" xfId="713"/>
    <cellStyle name="20% - Акцент1 3" xfId="714"/>
    <cellStyle name="20% - Акцент1 3 2" xfId="715"/>
    <cellStyle name="20% - Акцент1 3 3" xfId="716"/>
    <cellStyle name="20% - Акцент1 3_46EE.2011(v1.0)" xfId="717"/>
    <cellStyle name="20% - Акцент1 4" xfId="718"/>
    <cellStyle name="20% - Акцент1 4 2" xfId="719"/>
    <cellStyle name="20% - Акцент1 4 3" xfId="720"/>
    <cellStyle name="20% - Акцент1 4 4" xfId="721"/>
    <cellStyle name="20% - Акцент1 4_46EE.2011(v1.0)" xfId="722"/>
    <cellStyle name="20% - Акцент1 5" xfId="723"/>
    <cellStyle name="20% - Акцент1 5 2" xfId="724"/>
    <cellStyle name="20% - Акцент1 5 3" xfId="725"/>
    <cellStyle name="20% - Акцент1 5_46EE.2011(v1.0)" xfId="726"/>
    <cellStyle name="20% - Акцент1 6" xfId="727"/>
    <cellStyle name="20% - Акцент1 6 2" xfId="728"/>
    <cellStyle name="20% - Акцент1 6 3" xfId="729"/>
    <cellStyle name="20% - Акцент1 6_46EE.2011(v1.0)" xfId="730"/>
    <cellStyle name="20% - Акцент1 7" xfId="731"/>
    <cellStyle name="20% - Акцент1 7 2" xfId="732"/>
    <cellStyle name="20% - Акцент1 7 3" xfId="733"/>
    <cellStyle name="20% - Акцент1 7_46EE.2011(v1.0)" xfId="734"/>
    <cellStyle name="20% - Акцент1 8" xfId="735"/>
    <cellStyle name="20% - Акцент1 8 2" xfId="736"/>
    <cellStyle name="20% - Акцент1 8 3" xfId="737"/>
    <cellStyle name="20% - Акцент1 8_46EE.2011(v1.0)" xfId="738"/>
    <cellStyle name="20% - Акцент1 9" xfId="739"/>
    <cellStyle name="20% - Акцент1 9 2" xfId="740"/>
    <cellStyle name="20% - Акцент1 9 3" xfId="741"/>
    <cellStyle name="20% - Акцент1 9_46EE.2011(v1.0)" xfId="742"/>
    <cellStyle name="20% - Акцент2 10" xfId="743"/>
    <cellStyle name="20% - Акцент2 11" xfId="744"/>
    <cellStyle name="20% - Акцент2 2" xfId="745"/>
    <cellStyle name="20% - Акцент2 2 2" xfId="746"/>
    <cellStyle name="20% - Акцент2 2 3" xfId="747"/>
    <cellStyle name="20% - Акцент2 2_46EE.2011(v1.0)" xfId="748"/>
    <cellStyle name="20% - Акцент2 3" xfId="749"/>
    <cellStyle name="20% - Акцент2 3 2" xfId="750"/>
    <cellStyle name="20% - Акцент2 3 3" xfId="751"/>
    <cellStyle name="20% - Акцент2 3_46EE.2011(v1.0)" xfId="752"/>
    <cellStyle name="20% - Акцент2 4" xfId="753"/>
    <cellStyle name="20% - Акцент2 4 2" xfId="754"/>
    <cellStyle name="20% - Акцент2 4 3" xfId="755"/>
    <cellStyle name="20% - Акцент2 4 4" xfId="756"/>
    <cellStyle name="20% - Акцент2 4_46EE.2011(v1.0)" xfId="757"/>
    <cellStyle name="20% - Акцент2 5" xfId="758"/>
    <cellStyle name="20% - Акцент2 5 2" xfId="759"/>
    <cellStyle name="20% - Акцент2 5 3" xfId="760"/>
    <cellStyle name="20% - Акцент2 5_46EE.2011(v1.0)" xfId="761"/>
    <cellStyle name="20% - Акцент2 6" xfId="762"/>
    <cellStyle name="20% - Акцент2 6 2" xfId="763"/>
    <cellStyle name="20% - Акцент2 6 3" xfId="764"/>
    <cellStyle name="20% - Акцент2 6_46EE.2011(v1.0)" xfId="765"/>
    <cellStyle name="20% - Акцент2 7" xfId="766"/>
    <cellStyle name="20% - Акцент2 7 2" xfId="767"/>
    <cellStyle name="20% - Акцент2 7 3" xfId="768"/>
    <cellStyle name="20% - Акцент2 7_46EE.2011(v1.0)" xfId="769"/>
    <cellStyle name="20% - Акцент2 8" xfId="770"/>
    <cellStyle name="20% - Акцент2 8 2" xfId="771"/>
    <cellStyle name="20% - Акцент2 8 3" xfId="772"/>
    <cellStyle name="20% - Акцент2 8_46EE.2011(v1.0)" xfId="773"/>
    <cellStyle name="20% - Акцент2 9" xfId="774"/>
    <cellStyle name="20% - Акцент2 9 2" xfId="775"/>
    <cellStyle name="20% - Акцент2 9 3" xfId="776"/>
    <cellStyle name="20% - Акцент2 9_46EE.2011(v1.0)" xfId="777"/>
    <cellStyle name="20% - Акцент3 10" xfId="778"/>
    <cellStyle name="20% - Акцент3 11" xfId="779"/>
    <cellStyle name="20% - Акцент3 2" xfId="780"/>
    <cellStyle name="20% - Акцент3 2 2" xfId="781"/>
    <cellStyle name="20% - Акцент3 2 3" xfId="782"/>
    <cellStyle name="20% - Акцент3 2_46EE.2011(v1.0)" xfId="783"/>
    <cellStyle name="20% - Акцент3 3" xfId="784"/>
    <cellStyle name="20% - Акцент3 3 2" xfId="785"/>
    <cellStyle name="20% - Акцент3 3 3" xfId="786"/>
    <cellStyle name="20% - Акцент3 3_46EE.2011(v1.0)" xfId="787"/>
    <cellStyle name="20% - Акцент3 4" xfId="788"/>
    <cellStyle name="20% - Акцент3 4 2" xfId="789"/>
    <cellStyle name="20% - Акцент3 4 3" xfId="790"/>
    <cellStyle name="20% - Акцент3 4 4" xfId="791"/>
    <cellStyle name="20% - Акцент3 4_46EE.2011(v1.0)" xfId="792"/>
    <cellStyle name="20% - Акцент3 5" xfId="793"/>
    <cellStyle name="20% - Акцент3 5 2" xfId="794"/>
    <cellStyle name="20% - Акцент3 5 3" xfId="795"/>
    <cellStyle name="20% - Акцент3 5_46EE.2011(v1.0)" xfId="796"/>
    <cellStyle name="20% - Акцент3 6" xfId="797"/>
    <cellStyle name="20% - Акцент3 6 2" xfId="798"/>
    <cellStyle name="20% - Акцент3 6 3" xfId="799"/>
    <cellStyle name="20% - Акцент3 6_46EE.2011(v1.0)" xfId="800"/>
    <cellStyle name="20% - Акцент3 7" xfId="801"/>
    <cellStyle name="20% - Акцент3 7 2" xfId="802"/>
    <cellStyle name="20% - Акцент3 7 3" xfId="803"/>
    <cellStyle name="20% - Акцент3 7_46EE.2011(v1.0)" xfId="804"/>
    <cellStyle name="20% - Акцент3 8" xfId="805"/>
    <cellStyle name="20% - Акцент3 8 2" xfId="806"/>
    <cellStyle name="20% - Акцент3 8 3" xfId="807"/>
    <cellStyle name="20% - Акцент3 8_46EE.2011(v1.0)" xfId="808"/>
    <cellStyle name="20% - Акцент3 9" xfId="809"/>
    <cellStyle name="20% - Акцент3 9 2" xfId="810"/>
    <cellStyle name="20% - Акцент3 9 3" xfId="811"/>
    <cellStyle name="20% - Акцент3 9_46EE.2011(v1.0)" xfId="812"/>
    <cellStyle name="20% - Акцент4 10" xfId="813"/>
    <cellStyle name="20% - Акцент4 11" xfId="814"/>
    <cellStyle name="20% - Акцент4 2" xfId="815"/>
    <cellStyle name="20% - Акцент4 2 2" xfId="816"/>
    <cellStyle name="20% - Акцент4 2 3" xfId="817"/>
    <cellStyle name="20% - Акцент4 2_46EE.2011(v1.0)" xfId="818"/>
    <cellStyle name="20% - Акцент4 3" xfId="819"/>
    <cellStyle name="20% - Акцент4 3 2" xfId="820"/>
    <cellStyle name="20% - Акцент4 3 3" xfId="821"/>
    <cellStyle name="20% - Акцент4 3_46EE.2011(v1.0)" xfId="822"/>
    <cellStyle name="20% - Акцент4 4" xfId="823"/>
    <cellStyle name="20% - Акцент4 4 2" xfId="824"/>
    <cellStyle name="20% - Акцент4 4 3" xfId="825"/>
    <cellStyle name="20% - Акцент4 4 4" xfId="826"/>
    <cellStyle name="20% - Акцент4 4_46EE.2011(v1.0)" xfId="827"/>
    <cellStyle name="20% - Акцент4 5" xfId="828"/>
    <cellStyle name="20% - Акцент4 5 2" xfId="829"/>
    <cellStyle name="20% - Акцент4 5 3" xfId="830"/>
    <cellStyle name="20% - Акцент4 5_46EE.2011(v1.0)" xfId="831"/>
    <cellStyle name="20% - Акцент4 6" xfId="832"/>
    <cellStyle name="20% - Акцент4 6 2" xfId="833"/>
    <cellStyle name="20% - Акцент4 6 3" xfId="834"/>
    <cellStyle name="20% - Акцент4 6_46EE.2011(v1.0)" xfId="835"/>
    <cellStyle name="20% - Акцент4 7" xfId="836"/>
    <cellStyle name="20% - Акцент4 7 2" xfId="837"/>
    <cellStyle name="20% - Акцент4 7 3" xfId="838"/>
    <cellStyle name="20% - Акцент4 7_46EE.2011(v1.0)" xfId="839"/>
    <cellStyle name="20% - Акцент4 8" xfId="840"/>
    <cellStyle name="20% - Акцент4 8 2" xfId="841"/>
    <cellStyle name="20% - Акцент4 8 3" xfId="842"/>
    <cellStyle name="20% - Акцент4 8_46EE.2011(v1.0)" xfId="843"/>
    <cellStyle name="20% - Акцент4 9" xfId="844"/>
    <cellStyle name="20% - Акцент4 9 2" xfId="845"/>
    <cellStyle name="20% - Акцент4 9 3" xfId="846"/>
    <cellStyle name="20% - Акцент4 9_46EE.2011(v1.0)" xfId="847"/>
    <cellStyle name="20% - Акцент5 10" xfId="848"/>
    <cellStyle name="20% - Акцент5 11" xfId="849"/>
    <cellStyle name="20% - Акцент5 2" xfId="850"/>
    <cellStyle name="20% - Акцент5 2 2" xfId="851"/>
    <cellStyle name="20% - Акцент5 2 3" xfId="852"/>
    <cellStyle name="20% - Акцент5 2_46EE.2011(v1.0)" xfId="853"/>
    <cellStyle name="20% - Акцент5 3" xfId="854"/>
    <cellStyle name="20% - Акцент5 3 2" xfId="855"/>
    <cellStyle name="20% - Акцент5 3 3" xfId="856"/>
    <cellStyle name="20% - Акцент5 3_46EE.2011(v1.0)" xfId="857"/>
    <cellStyle name="20% - Акцент5 4" xfId="858"/>
    <cellStyle name="20% - Акцент5 4 2" xfId="859"/>
    <cellStyle name="20% - Акцент5 4 3" xfId="860"/>
    <cellStyle name="20% - Акцент5 4 4" xfId="861"/>
    <cellStyle name="20% - Акцент5 4_46EE.2011(v1.0)" xfId="862"/>
    <cellStyle name="20% - Акцент5 5" xfId="863"/>
    <cellStyle name="20% - Акцент5 5 2" xfId="864"/>
    <cellStyle name="20% - Акцент5 5 3" xfId="865"/>
    <cellStyle name="20% - Акцент5 5_46EE.2011(v1.0)" xfId="866"/>
    <cellStyle name="20% - Акцент5 6" xfId="867"/>
    <cellStyle name="20% - Акцент5 6 2" xfId="868"/>
    <cellStyle name="20% - Акцент5 6 3" xfId="869"/>
    <cellStyle name="20% - Акцент5 6_46EE.2011(v1.0)" xfId="870"/>
    <cellStyle name="20% - Акцент5 7" xfId="871"/>
    <cellStyle name="20% - Акцент5 7 2" xfId="872"/>
    <cellStyle name="20% - Акцент5 7 3" xfId="873"/>
    <cellStyle name="20% - Акцент5 7_46EE.2011(v1.0)" xfId="874"/>
    <cellStyle name="20% - Акцент5 8" xfId="875"/>
    <cellStyle name="20% - Акцент5 8 2" xfId="876"/>
    <cellStyle name="20% - Акцент5 8 3" xfId="877"/>
    <cellStyle name="20% - Акцент5 8_46EE.2011(v1.0)" xfId="878"/>
    <cellStyle name="20% - Акцент5 9" xfId="879"/>
    <cellStyle name="20% - Акцент5 9 2" xfId="880"/>
    <cellStyle name="20% - Акцент5 9 3" xfId="881"/>
    <cellStyle name="20% - Акцент5 9_46EE.2011(v1.0)" xfId="882"/>
    <cellStyle name="20% - Акцент6 10" xfId="883"/>
    <cellStyle name="20% - Акцент6 11" xfId="884"/>
    <cellStyle name="20% - Акцент6 2" xfId="885"/>
    <cellStyle name="20% - Акцент6 2 2" xfId="886"/>
    <cellStyle name="20% - Акцент6 2 3" xfId="887"/>
    <cellStyle name="20% - Акцент6 2_46EE.2011(v1.0)" xfId="888"/>
    <cellStyle name="20% - Акцент6 3" xfId="889"/>
    <cellStyle name="20% - Акцент6 3 2" xfId="890"/>
    <cellStyle name="20% - Акцент6 3 3" xfId="891"/>
    <cellStyle name="20% - Акцент6 3_46EE.2011(v1.0)" xfId="892"/>
    <cellStyle name="20% - Акцент6 4" xfId="893"/>
    <cellStyle name="20% - Акцент6 4 2" xfId="894"/>
    <cellStyle name="20% - Акцент6 4 3" xfId="895"/>
    <cellStyle name="20% - Акцент6 4 4" xfId="896"/>
    <cellStyle name="20% - Акцент6 4_46EE.2011(v1.0)" xfId="897"/>
    <cellStyle name="20% - Акцент6 5" xfId="898"/>
    <cellStyle name="20% - Акцент6 5 2" xfId="899"/>
    <cellStyle name="20% - Акцент6 5 3" xfId="900"/>
    <cellStyle name="20% - Акцент6 5_46EE.2011(v1.0)" xfId="901"/>
    <cellStyle name="20% - Акцент6 6" xfId="902"/>
    <cellStyle name="20% - Акцент6 6 2" xfId="903"/>
    <cellStyle name="20% - Акцент6 6 3" xfId="904"/>
    <cellStyle name="20% - Акцент6 6_46EE.2011(v1.0)" xfId="905"/>
    <cellStyle name="20% - Акцент6 7" xfId="906"/>
    <cellStyle name="20% - Акцент6 7 2" xfId="907"/>
    <cellStyle name="20% - Акцент6 7 3" xfId="908"/>
    <cellStyle name="20% - Акцент6 7_46EE.2011(v1.0)" xfId="909"/>
    <cellStyle name="20% - Акцент6 8" xfId="910"/>
    <cellStyle name="20% - Акцент6 8 2" xfId="911"/>
    <cellStyle name="20% - Акцент6 8 3" xfId="912"/>
    <cellStyle name="20% - Акцент6 8_46EE.2011(v1.0)" xfId="913"/>
    <cellStyle name="20% - Акцент6 9" xfId="914"/>
    <cellStyle name="20% - Акцент6 9 2" xfId="915"/>
    <cellStyle name="20% - Акцент6 9 3" xfId="916"/>
    <cellStyle name="20% - Акцент6 9_46EE.2011(v1.0)" xfId="917"/>
    <cellStyle name="40% - Accent1" xfId="918"/>
    <cellStyle name="40% - Accent1 2" xfId="919"/>
    <cellStyle name="40% - Accent1 3" xfId="920"/>
    <cellStyle name="40% - Accent1_46EE.2011(v1.0)" xfId="921"/>
    <cellStyle name="40% - Accent2" xfId="922"/>
    <cellStyle name="40% - Accent2 2" xfId="923"/>
    <cellStyle name="40% - Accent2 3" xfId="924"/>
    <cellStyle name="40% - Accent2_46EE.2011(v1.0)" xfId="925"/>
    <cellStyle name="40% - Accent3" xfId="926"/>
    <cellStyle name="40% - Accent3 2" xfId="927"/>
    <cellStyle name="40% - Accent3 3" xfId="928"/>
    <cellStyle name="40% - Accent3_46EE.2011(v1.0)" xfId="929"/>
    <cellStyle name="40% - Accent4" xfId="930"/>
    <cellStyle name="40% - Accent4 2" xfId="931"/>
    <cellStyle name="40% - Accent4 3" xfId="932"/>
    <cellStyle name="40% - Accent4_46EE.2011(v1.0)" xfId="933"/>
    <cellStyle name="40% - Accent5" xfId="934"/>
    <cellStyle name="40% - Accent5 2" xfId="935"/>
    <cellStyle name="40% - Accent5 3" xfId="936"/>
    <cellStyle name="40% - Accent5_46EE.2011(v1.0)" xfId="937"/>
    <cellStyle name="40% - Accent6" xfId="938"/>
    <cellStyle name="40% - Accent6 2" xfId="939"/>
    <cellStyle name="40% - Accent6 3" xfId="940"/>
    <cellStyle name="40% - Accent6_46EE.2011(v1.0)" xfId="941"/>
    <cellStyle name="40% - Акцент1 10" xfId="942"/>
    <cellStyle name="40% - Акцент1 11" xfId="943"/>
    <cellStyle name="40% - Акцент1 2" xfId="944"/>
    <cellStyle name="40% - Акцент1 2 2" xfId="945"/>
    <cellStyle name="40% - Акцент1 2 3" xfId="946"/>
    <cellStyle name="40% - Акцент1 2_46EE.2011(v1.0)" xfId="947"/>
    <cellStyle name="40% - Акцент1 3" xfId="948"/>
    <cellStyle name="40% - Акцент1 3 2" xfId="949"/>
    <cellStyle name="40% - Акцент1 3 3" xfId="950"/>
    <cellStyle name="40% - Акцент1 3_46EE.2011(v1.0)" xfId="951"/>
    <cellStyle name="40% - Акцент1 4" xfId="952"/>
    <cellStyle name="40% - Акцент1 4 2" xfId="953"/>
    <cellStyle name="40% - Акцент1 4 3" xfId="954"/>
    <cellStyle name="40% - Акцент1 4 4" xfId="955"/>
    <cellStyle name="40% - Акцент1 4_46EE.2011(v1.0)" xfId="956"/>
    <cellStyle name="40% - Акцент1 5" xfId="957"/>
    <cellStyle name="40% - Акцент1 5 2" xfId="958"/>
    <cellStyle name="40% - Акцент1 5 3" xfId="959"/>
    <cellStyle name="40% - Акцент1 5_46EE.2011(v1.0)" xfId="960"/>
    <cellStyle name="40% - Акцент1 6" xfId="961"/>
    <cellStyle name="40% - Акцент1 6 2" xfId="962"/>
    <cellStyle name="40% - Акцент1 6 3" xfId="963"/>
    <cellStyle name="40% - Акцент1 6_46EE.2011(v1.0)" xfId="964"/>
    <cellStyle name="40% - Акцент1 7" xfId="965"/>
    <cellStyle name="40% - Акцент1 7 2" xfId="966"/>
    <cellStyle name="40% - Акцент1 7 3" xfId="967"/>
    <cellStyle name="40% - Акцент1 7_46EE.2011(v1.0)" xfId="968"/>
    <cellStyle name="40% - Акцент1 8" xfId="969"/>
    <cellStyle name="40% - Акцент1 8 2" xfId="970"/>
    <cellStyle name="40% - Акцент1 8 3" xfId="971"/>
    <cellStyle name="40% - Акцент1 8_46EE.2011(v1.0)" xfId="972"/>
    <cellStyle name="40% - Акцент1 9" xfId="973"/>
    <cellStyle name="40% - Акцент1 9 2" xfId="974"/>
    <cellStyle name="40% - Акцент1 9 3" xfId="975"/>
    <cellStyle name="40% - Акцент1 9_46EE.2011(v1.0)" xfId="976"/>
    <cellStyle name="40% - Акцент2 10" xfId="977"/>
    <cellStyle name="40% - Акцент2 11" xfId="978"/>
    <cellStyle name="40% - Акцент2 2" xfId="979"/>
    <cellStyle name="40% - Акцент2 2 2" xfId="980"/>
    <cellStyle name="40% - Акцент2 2 3" xfId="981"/>
    <cellStyle name="40% - Акцент2 2_46EE.2011(v1.0)" xfId="982"/>
    <cellStyle name="40% - Акцент2 3" xfId="983"/>
    <cellStyle name="40% - Акцент2 3 2" xfId="984"/>
    <cellStyle name="40% - Акцент2 3 3" xfId="985"/>
    <cellStyle name="40% - Акцент2 3_46EE.2011(v1.0)" xfId="986"/>
    <cellStyle name="40% - Акцент2 4" xfId="987"/>
    <cellStyle name="40% - Акцент2 4 2" xfId="988"/>
    <cellStyle name="40% - Акцент2 4 3" xfId="989"/>
    <cellStyle name="40% - Акцент2 4 4" xfId="990"/>
    <cellStyle name="40% - Акцент2 4_46EE.2011(v1.0)" xfId="991"/>
    <cellStyle name="40% - Акцент2 5" xfId="992"/>
    <cellStyle name="40% - Акцент2 5 2" xfId="993"/>
    <cellStyle name="40% - Акцент2 5 3" xfId="994"/>
    <cellStyle name="40% - Акцент2 5_46EE.2011(v1.0)" xfId="995"/>
    <cellStyle name="40% - Акцент2 6" xfId="996"/>
    <cellStyle name="40% - Акцент2 6 2" xfId="997"/>
    <cellStyle name="40% - Акцент2 6 3" xfId="998"/>
    <cellStyle name="40% - Акцент2 6_46EE.2011(v1.0)" xfId="999"/>
    <cellStyle name="40% - Акцент2 7" xfId="1000"/>
    <cellStyle name="40% - Акцент2 7 2" xfId="1001"/>
    <cellStyle name="40% - Акцент2 7 3" xfId="1002"/>
    <cellStyle name="40% - Акцент2 7_46EE.2011(v1.0)" xfId="1003"/>
    <cellStyle name="40% - Акцент2 8" xfId="1004"/>
    <cellStyle name="40% - Акцент2 8 2" xfId="1005"/>
    <cellStyle name="40% - Акцент2 8 3" xfId="1006"/>
    <cellStyle name="40% - Акцент2 8_46EE.2011(v1.0)" xfId="1007"/>
    <cellStyle name="40% - Акцент2 9" xfId="1008"/>
    <cellStyle name="40% - Акцент2 9 2" xfId="1009"/>
    <cellStyle name="40% - Акцент2 9 3" xfId="1010"/>
    <cellStyle name="40% - Акцент2 9_46EE.2011(v1.0)" xfId="1011"/>
    <cellStyle name="40% - Акцент3 10" xfId="1012"/>
    <cellStyle name="40% - Акцент3 11" xfId="1013"/>
    <cellStyle name="40% - Акцент3 2" xfId="1014"/>
    <cellStyle name="40% - Акцент3 2 2" xfId="1015"/>
    <cellStyle name="40% - Акцент3 2 3" xfId="1016"/>
    <cellStyle name="40% - Акцент3 2_46EE.2011(v1.0)" xfId="1017"/>
    <cellStyle name="40% - Акцент3 3" xfId="1018"/>
    <cellStyle name="40% - Акцент3 3 2" xfId="1019"/>
    <cellStyle name="40% - Акцент3 3 3" xfId="1020"/>
    <cellStyle name="40% - Акцент3 3_46EE.2011(v1.0)" xfId="1021"/>
    <cellStyle name="40% - Акцент3 4" xfId="1022"/>
    <cellStyle name="40% - Акцент3 4 2" xfId="1023"/>
    <cellStyle name="40% - Акцент3 4 3" xfId="1024"/>
    <cellStyle name="40% - Акцент3 4 4" xfId="1025"/>
    <cellStyle name="40% - Акцент3 4_46EE.2011(v1.0)" xfId="1026"/>
    <cellStyle name="40% - Акцент3 5" xfId="1027"/>
    <cellStyle name="40% - Акцент3 5 2" xfId="1028"/>
    <cellStyle name="40% - Акцент3 5 3" xfId="1029"/>
    <cellStyle name="40% - Акцент3 5_46EE.2011(v1.0)" xfId="1030"/>
    <cellStyle name="40% - Акцент3 6" xfId="1031"/>
    <cellStyle name="40% - Акцент3 6 2" xfId="1032"/>
    <cellStyle name="40% - Акцент3 6 3" xfId="1033"/>
    <cellStyle name="40% - Акцент3 6_46EE.2011(v1.0)" xfId="1034"/>
    <cellStyle name="40% - Акцент3 7" xfId="1035"/>
    <cellStyle name="40% - Акцент3 7 2" xfId="1036"/>
    <cellStyle name="40% - Акцент3 7 3" xfId="1037"/>
    <cellStyle name="40% - Акцент3 7_46EE.2011(v1.0)" xfId="1038"/>
    <cellStyle name="40% - Акцент3 8" xfId="1039"/>
    <cellStyle name="40% - Акцент3 8 2" xfId="1040"/>
    <cellStyle name="40% - Акцент3 8 3" xfId="1041"/>
    <cellStyle name="40% - Акцент3 8_46EE.2011(v1.0)" xfId="1042"/>
    <cellStyle name="40% - Акцент3 9" xfId="1043"/>
    <cellStyle name="40% - Акцент3 9 2" xfId="1044"/>
    <cellStyle name="40% - Акцент3 9 3" xfId="1045"/>
    <cellStyle name="40% - Акцент3 9_46EE.2011(v1.0)" xfId="1046"/>
    <cellStyle name="40% - Акцент4 10" xfId="1047"/>
    <cellStyle name="40% - Акцент4 11" xfId="1048"/>
    <cellStyle name="40% - Акцент4 2" xfId="1049"/>
    <cellStyle name="40% - Акцент4 2 2" xfId="1050"/>
    <cellStyle name="40% - Акцент4 2 3" xfId="1051"/>
    <cellStyle name="40% - Акцент4 2_46EE.2011(v1.0)" xfId="1052"/>
    <cellStyle name="40% - Акцент4 3" xfId="1053"/>
    <cellStyle name="40% - Акцент4 3 2" xfId="1054"/>
    <cellStyle name="40% - Акцент4 3 3" xfId="1055"/>
    <cellStyle name="40% - Акцент4 3_46EE.2011(v1.0)" xfId="1056"/>
    <cellStyle name="40% - Акцент4 4" xfId="1057"/>
    <cellStyle name="40% - Акцент4 4 2" xfId="1058"/>
    <cellStyle name="40% - Акцент4 4 3" xfId="1059"/>
    <cellStyle name="40% - Акцент4 4 4" xfId="1060"/>
    <cellStyle name="40% - Акцент4 4_46EE.2011(v1.0)" xfId="1061"/>
    <cellStyle name="40% - Акцент4 5" xfId="1062"/>
    <cellStyle name="40% - Акцент4 5 2" xfId="1063"/>
    <cellStyle name="40% - Акцент4 5 3" xfId="1064"/>
    <cellStyle name="40% - Акцент4 5_46EE.2011(v1.0)" xfId="1065"/>
    <cellStyle name="40% - Акцент4 6" xfId="1066"/>
    <cellStyle name="40% - Акцент4 6 2" xfId="1067"/>
    <cellStyle name="40% - Акцент4 6 3" xfId="1068"/>
    <cellStyle name="40% - Акцент4 6_46EE.2011(v1.0)" xfId="1069"/>
    <cellStyle name="40% - Акцент4 7" xfId="1070"/>
    <cellStyle name="40% - Акцент4 7 2" xfId="1071"/>
    <cellStyle name="40% - Акцент4 7 3" xfId="1072"/>
    <cellStyle name="40% - Акцент4 7_46EE.2011(v1.0)" xfId="1073"/>
    <cellStyle name="40% - Акцент4 8" xfId="1074"/>
    <cellStyle name="40% - Акцент4 8 2" xfId="1075"/>
    <cellStyle name="40% - Акцент4 8 3" xfId="1076"/>
    <cellStyle name="40% - Акцент4 8_46EE.2011(v1.0)" xfId="1077"/>
    <cellStyle name="40% - Акцент4 9" xfId="1078"/>
    <cellStyle name="40% - Акцент4 9 2" xfId="1079"/>
    <cellStyle name="40% - Акцент4 9 3" xfId="1080"/>
    <cellStyle name="40% - Акцент4 9_46EE.2011(v1.0)" xfId="1081"/>
    <cellStyle name="40% - Акцент5 10" xfId="1082"/>
    <cellStyle name="40% - Акцент5 11" xfId="1083"/>
    <cellStyle name="40% - Акцент5 2" xfId="1084"/>
    <cellStyle name="40% - Акцент5 2 2" xfId="1085"/>
    <cellStyle name="40% - Акцент5 2 3" xfId="1086"/>
    <cellStyle name="40% - Акцент5 2_46EE.2011(v1.0)" xfId="1087"/>
    <cellStyle name="40% - Акцент5 3" xfId="1088"/>
    <cellStyle name="40% - Акцент5 3 2" xfId="1089"/>
    <cellStyle name="40% - Акцент5 3 3" xfId="1090"/>
    <cellStyle name="40% - Акцент5 3_46EE.2011(v1.0)" xfId="1091"/>
    <cellStyle name="40% - Акцент5 4" xfId="1092"/>
    <cellStyle name="40% - Акцент5 4 2" xfId="1093"/>
    <cellStyle name="40% - Акцент5 4 3" xfId="1094"/>
    <cellStyle name="40% - Акцент5 4 4" xfId="1095"/>
    <cellStyle name="40% - Акцент5 4_46EE.2011(v1.0)" xfId="1096"/>
    <cellStyle name="40% - Акцент5 5" xfId="1097"/>
    <cellStyle name="40% - Акцент5 5 2" xfId="1098"/>
    <cellStyle name="40% - Акцент5 5 3" xfId="1099"/>
    <cellStyle name="40% - Акцент5 5_46EE.2011(v1.0)" xfId="1100"/>
    <cellStyle name="40% - Акцент5 6" xfId="1101"/>
    <cellStyle name="40% - Акцент5 6 2" xfId="1102"/>
    <cellStyle name="40% - Акцент5 6 3" xfId="1103"/>
    <cellStyle name="40% - Акцент5 6_46EE.2011(v1.0)" xfId="1104"/>
    <cellStyle name="40% - Акцент5 7" xfId="1105"/>
    <cellStyle name="40% - Акцент5 7 2" xfId="1106"/>
    <cellStyle name="40% - Акцент5 7 3" xfId="1107"/>
    <cellStyle name="40% - Акцент5 7_46EE.2011(v1.0)" xfId="1108"/>
    <cellStyle name="40% - Акцент5 8" xfId="1109"/>
    <cellStyle name="40% - Акцент5 8 2" xfId="1110"/>
    <cellStyle name="40% - Акцент5 8 3" xfId="1111"/>
    <cellStyle name="40% - Акцент5 8_46EE.2011(v1.0)" xfId="1112"/>
    <cellStyle name="40% - Акцент5 9" xfId="1113"/>
    <cellStyle name="40% - Акцент5 9 2" xfId="1114"/>
    <cellStyle name="40% - Акцент5 9 3" xfId="1115"/>
    <cellStyle name="40% - Акцент5 9_46EE.2011(v1.0)" xfId="1116"/>
    <cellStyle name="40% - Акцент6 10" xfId="1117"/>
    <cellStyle name="40% - Акцент6 11" xfId="1118"/>
    <cellStyle name="40% - Акцент6 2" xfId="1119"/>
    <cellStyle name="40% - Акцент6 2 2" xfId="1120"/>
    <cellStyle name="40% - Акцент6 2 3" xfId="1121"/>
    <cellStyle name="40% - Акцент6 2_46EE.2011(v1.0)" xfId="1122"/>
    <cellStyle name="40% - Акцент6 3" xfId="1123"/>
    <cellStyle name="40% - Акцент6 3 2" xfId="1124"/>
    <cellStyle name="40% - Акцент6 3 3" xfId="1125"/>
    <cellStyle name="40% - Акцент6 3_46EE.2011(v1.0)" xfId="1126"/>
    <cellStyle name="40% - Акцент6 4" xfId="1127"/>
    <cellStyle name="40% - Акцент6 4 2" xfId="1128"/>
    <cellStyle name="40% - Акцент6 4 3" xfId="1129"/>
    <cellStyle name="40% - Акцент6 4 4" xfId="1130"/>
    <cellStyle name="40% - Акцент6 4_46EE.2011(v1.0)" xfId="1131"/>
    <cellStyle name="40% - Акцент6 5" xfId="1132"/>
    <cellStyle name="40% - Акцент6 5 2" xfId="1133"/>
    <cellStyle name="40% - Акцент6 5 3" xfId="1134"/>
    <cellStyle name="40% - Акцент6 5_46EE.2011(v1.0)" xfId="1135"/>
    <cellStyle name="40% - Акцент6 6" xfId="1136"/>
    <cellStyle name="40% - Акцент6 6 2" xfId="1137"/>
    <cellStyle name="40% - Акцент6 6 3" xfId="1138"/>
    <cellStyle name="40% - Акцент6 6_46EE.2011(v1.0)" xfId="1139"/>
    <cellStyle name="40% - Акцент6 7" xfId="1140"/>
    <cellStyle name="40% - Акцент6 7 2" xfId="1141"/>
    <cellStyle name="40% - Акцент6 7 3" xfId="1142"/>
    <cellStyle name="40% - Акцент6 7_46EE.2011(v1.0)" xfId="1143"/>
    <cellStyle name="40% - Акцент6 8" xfId="1144"/>
    <cellStyle name="40% - Акцент6 8 2" xfId="1145"/>
    <cellStyle name="40% - Акцент6 8 3" xfId="1146"/>
    <cellStyle name="40% - Акцент6 8_46EE.2011(v1.0)" xfId="1147"/>
    <cellStyle name="40% - Акцент6 9" xfId="1148"/>
    <cellStyle name="40% - Акцент6 9 2" xfId="1149"/>
    <cellStyle name="40% - Акцент6 9 3" xfId="1150"/>
    <cellStyle name="40% - Акцент6 9_46EE.2011(v1.0)" xfId="1151"/>
    <cellStyle name="60% - Accent1" xfId="1152"/>
    <cellStyle name="60% - Accent2" xfId="1153"/>
    <cellStyle name="60% - Accent3" xfId="1154"/>
    <cellStyle name="60% - Accent4" xfId="1155"/>
    <cellStyle name="60% - Accent5" xfId="1156"/>
    <cellStyle name="60% - Accent6" xfId="1157"/>
    <cellStyle name="60% - Акцент1 10" xfId="1158"/>
    <cellStyle name="60% - Акцент1 2" xfId="1159"/>
    <cellStyle name="60% - Акцент1 2 2" xfId="1160"/>
    <cellStyle name="60% - Акцент1 3" xfId="1161"/>
    <cellStyle name="60% - Акцент1 3 2" xfId="1162"/>
    <cellStyle name="60% - Акцент1 3 3" xfId="1163"/>
    <cellStyle name="60% - Акцент1 3 3 2" xfId="1164"/>
    <cellStyle name="60% - Акцент1 3 4" xfId="4676"/>
    <cellStyle name="60% - Акцент1 4" xfId="1165"/>
    <cellStyle name="60% - Акцент1 4 2" xfId="1166"/>
    <cellStyle name="60% - Акцент1 5" xfId="1167"/>
    <cellStyle name="60% - Акцент1 5 2" xfId="1168"/>
    <cellStyle name="60% - Акцент1 6" xfId="1169"/>
    <cellStyle name="60% - Акцент1 6 2" xfId="1170"/>
    <cellStyle name="60% - Акцент1 7" xfId="1171"/>
    <cellStyle name="60% - Акцент1 7 2" xfId="1172"/>
    <cellStyle name="60% - Акцент1 8" xfId="1173"/>
    <cellStyle name="60% - Акцент1 8 2" xfId="1174"/>
    <cellStyle name="60% - Акцент1 9" xfId="1175"/>
    <cellStyle name="60% - Акцент1 9 2" xfId="1176"/>
    <cellStyle name="60% - Акцент2 10" xfId="1177"/>
    <cellStyle name="60% - Акцент2 2" xfId="1178"/>
    <cellStyle name="60% - Акцент2 2 2" xfId="1179"/>
    <cellStyle name="60% - Акцент2 3" xfId="1180"/>
    <cellStyle name="60% - Акцент2 3 2" xfId="1181"/>
    <cellStyle name="60% - Акцент2 3 3" xfId="1182"/>
    <cellStyle name="60% - Акцент2 3 3 2" xfId="1183"/>
    <cellStyle name="60% - Акцент2 3 4" xfId="4677"/>
    <cellStyle name="60% - Акцент2 4" xfId="1184"/>
    <cellStyle name="60% - Акцент2 4 2" xfId="1185"/>
    <cellStyle name="60% - Акцент2 5" xfId="1186"/>
    <cellStyle name="60% - Акцент2 5 2" xfId="1187"/>
    <cellStyle name="60% - Акцент2 6" xfId="1188"/>
    <cellStyle name="60% - Акцент2 6 2" xfId="1189"/>
    <cellStyle name="60% - Акцент2 7" xfId="1190"/>
    <cellStyle name="60% - Акцент2 7 2" xfId="1191"/>
    <cellStyle name="60% - Акцент2 8" xfId="1192"/>
    <cellStyle name="60% - Акцент2 8 2" xfId="1193"/>
    <cellStyle name="60% - Акцент2 9" xfId="1194"/>
    <cellStyle name="60% - Акцент2 9 2" xfId="1195"/>
    <cellStyle name="60% - Акцент3 10" xfId="1196"/>
    <cellStyle name="60% - Акцент3 2" xfId="1197"/>
    <cellStyle name="60% - Акцент3 2 2" xfId="1198"/>
    <cellStyle name="60% - Акцент3 3" xfId="1199"/>
    <cellStyle name="60% - Акцент3 3 2" xfId="1200"/>
    <cellStyle name="60% - Акцент3 3 3" xfId="1201"/>
    <cellStyle name="60% - Акцент3 3 3 2" xfId="1202"/>
    <cellStyle name="60% - Акцент3 3 4" xfId="4678"/>
    <cellStyle name="60% - Акцент3 4" xfId="1203"/>
    <cellStyle name="60% - Акцент3 4 2" xfId="1204"/>
    <cellStyle name="60% - Акцент3 5" xfId="1205"/>
    <cellStyle name="60% - Акцент3 5 2" xfId="1206"/>
    <cellStyle name="60% - Акцент3 6" xfId="1207"/>
    <cellStyle name="60% - Акцент3 6 2" xfId="1208"/>
    <cellStyle name="60% - Акцент3 7" xfId="1209"/>
    <cellStyle name="60% - Акцент3 7 2" xfId="1210"/>
    <cellStyle name="60% - Акцент3 8" xfId="1211"/>
    <cellStyle name="60% - Акцент3 8 2" xfId="1212"/>
    <cellStyle name="60% - Акцент3 9" xfId="1213"/>
    <cellStyle name="60% - Акцент3 9 2" xfId="1214"/>
    <cellStyle name="60% - Акцент4 10" xfId="1215"/>
    <cellStyle name="60% - Акцент4 2" xfId="1216"/>
    <cellStyle name="60% - Акцент4 2 2" xfId="1217"/>
    <cellStyle name="60% - Акцент4 3" xfId="1218"/>
    <cellStyle name="60% - Акцент4 3 2" xfId="1219"/>
    <cellStyle name="60% - Акцент4 3 3" xfId="1220"/>
    <cellStyle name="60% - Акцент4 3 3 2" xfId="1221"/>
    <cellStyle name="60% - Акцент4 3 4" xfId="4679"/>
    <cellStyle name="60% - Акцент4 4" xfId="1222"/>
    <cellStyle name="60% - Акцент4 4 2" xfId="1223"/>
    <cellStyle name="60% - Акцент4 5" xfId="1224"/>
    <cellStyle name="60% - Акцент4 5 2" xfId="1225"/>
    <cellStyle name="60% - Акцент4 6" xfId="1226"/>
    <cellStyle name="60% - Акцент4 6 2" xfId="1227"/>
    <cellStyle name="60% - Акцент4 7" xfId="1228"/>
    <cellStyle name="60% - Акцент4 7 2" xfId="1229"/>
    <cellStyle name="60% - Акцент4 8" xfId="1230"/>
    <cellStyle name="60% - Акцент4 8 2" xfId="1231"/>
    <cellStyle name="60% - Акцент4 9" xfId="1232"/>
    <cellStyle name="60% - Акцент4 9 2" xfId="1233"/>
    <cellStyle name="60% - Акцент5 10" xfId="1234"/>
    <cellStyle name="60% - Акцент5 2" xfId="1235"/>
    <cellStyle name="60% - Акцент5 2 2" xfId="1236"/>
    <cellStyle name="60% - Акцент5 3" xfId="1237"/>
    <cellStyle name="60% - Акцент5 3 2" xfId="1238"/>
    <cellStyle name="60% - Акцент5 3 3" xfId="1239"/>
    <cellStyle name="60% - Акцент5 3 3 2" xfId="1240"/>
    <cellStyle name="60% - Акцент5 3 4" xfId="4680"/>
    <cellStyle name="60% - Акцент5 4" xfId="1241"/>
    <cellStyle name="60% - Акцент5 4 2" xfId="1242"/>
    <cellStyle name="60% - Акцент5 5" xfId="1243"/>
    <cellStyle name="60% - Акцент5 5 2" xfId="1244"/>
    <cellStyle name="60% - Акцент5 6" xfId="1245"/>
    <cellStyle name="60% - Акцент5 6 2" xfId="1246"/>
    <cellStyle name="60% - Акцент5 7" xfId="1247"/>
    <cellStyle name="60% - Акцент5 7 2" xfId="1248"/>
    <cellStyle name="60% - Акцент5 8" xfId="1249"/>
    <cellStyle name="60% - Акцент5 8 2" xfId="1250"/>
    <cellStyle name="60% - Акцент5 9" xfId="1251"/>
    <cellStyle name="60% - Акцент5 9 2" xfId="1252"/>
    <cellStyle name="60% - Акцент6 10" xfId="1253"/>
    <cellStyle name="60% - Акцент6 2" xfId="1254"/>
    <cellStyle name="60% - Акцент6 2 2" xfId="1255"/>
    <cellStyle name="60% - Акцент6 3" xfId="1256"/>
    <cellStyle name="60% - Акцент6 3 2" xfId="1257"/>
    <cellStyle name="60% - Акцент6 3 3" xfId="1258"/>
    <cellStyle name="60% - Акцент6 3 3 2" xfId="1259"/>
    <cellStyle name="60% - Акцент6 3 4" xfId="4681"/>
    <cellStyle name="60% - Акцент6 4" xfId="1260"/>
    <cellStyle name="60% - Акцент6 4 2" xfId="1261"/>
    <cellStyle name="60% - Акцент6 5" xfId="1262"/>
    <cellStyle name="60% - Акцент6 5 2" xfId="1263"/>
    <cellStyle name="60% - Акцент6 6" xfId="1264"/>
    <cellStyle name="60% - Акцент6 6 2" xfId="1265"/>
    <cellStyle name="60% - Акцент6 7" xfId="1266"/>
    <cellStyle name="60% - Акцент6 7 2" xfId="1267"/>
    <cellStyle name="60% - Акцент6 8" xfId="1268"/>
    <cellStyle name="60% - Акцент6 8 2" xfId="1269"/>
    <cellStyle name="60% - Акцент6 9" xfId="1270"/>
    <cellStyle name="60% - Акцент6 9 2" xfId="1271"/>
    <cellStyle name="Accent1" xfId="1272"/>
    <cellStyle name="Accent2" xfId="1273"/>
    <cellStyle name="Accent3" xfId="1274"/>
    <cellStyle name="Accent4" xfId="1275"/>
    <cellStyle name="Accent5" xfId="1276"/>
    <cellStyle name="Accent6" xfId="1277"/>
    <cellStyle name="Ăčďĺđńńűëęŕ" xfId="1278"/>
    <cellStyle name="Ăčďĺđńńűëęŕ 2" xfId="1279"/>
    <cellStyle name="Ăčďĺđńńűëęŕ 3" xfId="4682"/>
    <cellStyle name="AFE" xfId="1280"/>
    <cellStyle name="Áĺççŕůčňíűé" xfId="1281"/>
    <cellStyle name="Äĺíĺćíűé [0]_(ňŕá 3č)" xfId="1282"/>
    <cellStyle name="Äĺíĺćíűé_(ňŕá 3č)" xfId="1283"/>
    <cellStyle name="Bad" xfId="1284"/>
    <cellStyle name="Blue" xfId="1285"/>
    <cellStyle name="Body_$Dollars" xfId="1286"/>
    <cellStyle name="Calculation" xfId="1287"/>
    <cellStyle name="Calculation 2" xfId="1288"/>
    <cellStyle name="Calculation 2 2" xfId="4683"/>
    <cellStyle name="Calculation 3" xfId="4684"/>
    <cellStyle name="Calculation 3 2" xfId="4685"/>
    <cellStyle name="Calculation 4" xfId="4686"/>
    <cellStyle name="Cells 2" xfId="1289"/>
    <cellStyle name="Cells 2 2" xfId="4687"/>
    <cellStyle name="Check Cell" xfId="1290"/>
    <cellStyle name="Chek" xfId="1291"/>
    <cellStyle name="Comma [0]_Adjusted FS 1299" xfId="1292"/>
    <cellStyle name="Comma 0" xfId="1293"/>
    <cellStyle name="Comma 0*" xfId="1294"/>
    <cellStyle name="Comma 2" xfId="1295"/>
    <cellStyle name="Comma 3*" xfId="1296"/>
    <cellStyle name="Comma_Adjusted FS 1299" xfId="1297"/>
    <cellStyle name="Comma0" xfId="1298"/>
    <cellStyle name="Çŕůčňíűé" xfId="1299"/>
    <cellStyle name="Currency [0]" xfId="1300"/>
    <cellStyle name="Currency [0] 2" xfId="1301"/>
    <cellStyle name="Currency [0] 2 2" xfId="1302"/>
    <cellStyle name="Currency [0] 2 3" xfId="1303"/>
    <cellStyle name="Currency [0] 2 4" xfId="1304"/>
    <cellStyle name="Currency [0] 2 5" xfId="1305"/>
    <cellStyle name="Currency [0] 2 6" xfId="1306"/>
    <cellStyle name="Currency [0] 2 7" xfId="1307"/>
    <cellStyle name="Currency [0] 2 8" xfId="1308"/>
    <cellStyle name="Currency [0] 2 9" xfId="1309"/>
    <cellStyle name="Currency [0] 3" xfId="1310"/>
    <cellStyle name="Currency [0] 3 2" xfId="1311"/>
    <cellStyle name="Currency [0] 3 3" xfId="1312"/>
    <cellStyle name="Currency [0] 3 4" xfId="1313"/>
    <cellStyle name="Currency [0] 3 5" xfId="1314"/>
    <cellStyle name="Currency [0] 3 6" xfId="1315"/>
    <cellStyle name="Currency [0] 3 7" xfId="1316"/>
    <cellStyle name="Currency [0] 3 8" xfId="1317"/>
    <cellStyle name="Currency [0] 3 9" xfId="1318"/>
    <cellStyle name="Currency [0] 4" xfId="1319"/>
    <cellStyle name="Currency [0] 4 2" xfId="1320"/>
    <cellStyle name="Currency [0] 4 3" xfId="1321"/>
    <cellStyle name="Currency [0] 4 4" xfId="1322"/>
    <cellStyle name="Currency [0] 4 5" xfId="1323"/>
    <cellStyle name="Currency [0] 4 6" xfId="1324"/>
    <cellStyle name="Currency [0] 4 7" xfId="1325"/>
    <cellStyle name="Currency [0] 4 8" xfId="1326"/>
    <cellStyle name="Currency [0] 4 9" xfId="1327"/>
    <cellStyle name="Currency [0] 5" xfId="1328"/>
    <cellStyle name="Currency [0] 5 2" xfId="1329"/>
    <cellStyle name="Currency [0] 5 3" xfId="1330"/>
    <cellStyle name="Currency [0] 5 4" xfId="1331"/>
    <cellStyle name="Currency [0] 5 5" xfId="1332"/>
    <cellStyle name="Currency [0] 5 6" xfId="1333"/>
    <cellStyle name="Currency [0] 5 7" xfId="1334"/>
    <cellStyle name="Currency [0] 5 8" xfId="1335"/>
    <cellStyle name="Currency [0] 5 9" xfId="1336"/>
    <cellStyle name="Currency [0] 6" xfId="1337"/>
    <cellStyle name="Currency [0] 6 2" xfId="1338"/>
    <cellStyle name="Currency [0] 6 3" xfId="1339"/>
    <cellStyle name="Currency [0] 7" xfId="1340"/>
    <cellStyle name="Currency [0] 7 2" xfId="1341"/>
    <cellStyle name="Currency [0] 7 3" xfId="1342"/>
    <cellStyle name="Currency [0] 8" xfId="1343"/>
    <cellStyle name="Currency [0] 8 2" xfId="1344"/>
    <cellStyle name="Currency [0] 8 3" xfId="1345"/>
    <cellStyle name="Currency 0" xfId="1346"/>
    <cellStyle name="Currency 2" xfId="1347"/>
    <cellStyle name="Currency_06_9m" xfId="1348"/>
    <cellStyle name="Currency0" xfId="1349"/>
    <cellStyle name="Currency2" xfId="1350"/>
    <cellStyle name="Date" xfId="1351"/>
    <cellStyle name="Date Aligned" xfId="1352"/>
    <cellStyle name="Dates" xfId="1353"/>
    <cellStyle name="Dezimal [0]_NEGS" xfId="1354"/>
    <cellStyle name="Dezimal_NEGS" xfId="1355"/>
    <cellStyle name="Dotted Line" xfId="1356"/>
    <cellStyle name="E&amp;Y House" xfId="1357"/>
    <cellStyle name="E-mail" xfId="1358"/>
    <cellStyle name="E-mail 2" xfId="1359"/>
    <cellStyle name="E-mail_46EP.2011(v2.0)" xfId="1360"/>
    <cellStyle name="Euro" xfId="1361"/>
    <cellStyle name="Euro 2" xfId="1362"/>
    <cellStyle name="Euro 2 2" xfId="1363"/>
    <cellStyle name="Euro 2 3" xfId="1364"/>
    <cellStyle name="Euro 2 4" xfId="1365"/>
    <cellStyle name="Euro 2 4 2" xfId="1366"/>
    <cellStyle name="Euro 2 5" xfId="1367"/>
    <cellStyle name="Euro 2 6" xfId="4688"/>
    <cellStyle name="ew" xfId="1368"/>
    <cellStyle name="ew 2" xfId="1369"/>
    <cellStyle name="ew 2 2" xfId="1370"/>
    <cellStyle name="ew 3" xfId="1371"/>
    <cellStyle name="Excel Built-in Normal" xfId="1372"/>
    <cellStyle name="Explanatory Text" xfId="1373"/>
    <cellStyle name="F2" xfId="1374"/>
    <cellStyle name="F3" xfId="1375"/>
    <cellStyle name="F4" xfId="1376"/>
    <cellStyle name="F5" xfId="1377"/>
    <cellStyle name="F6" xfId="1378"/>
    <cellStyle name="F7" xfId="1379"/>
    <cellStyle name="F8" xfId="1380"/>
    <cellStyle name="Fixed" xfId="1381"/>
    <cellStyle name="fo]_x000d__x000a_UserName=Murat Zelef_x000d__x000a_UserCompany=Bumerang_x000d__x000a__x000d__x000a_[File Paths]_x000d__x000a_WorkingDirectory=C:\EQUIS\DLWIN_x000d__x000a_DownLoader=C" xfId="1382"/>
    <cellStyle name="Followed Hyperlink" xfId="1383"/>
    <cellStyle name="Footnote" xfId="1384"/>
    <cellStyle name="Good" xfId="1385"/>
    <cellStyle name="hard no" xfId="1386"/>
    <cellStyle name="hard no 2" xfId="4689"/>
    <cellStyle name="Hard Percent" xfId="1387"/>
    <cellStyle name="hardno" xfId="1388"/>
    <cellStyle name="Header" xfId="1389"/>
    <cellStyle name="Header 3" xfId="1390"/>
    <cellStyle name="Header 3 2" xfId="4690"/>
    <cellStyle name="Heading" xfId="1391"/>
    <cellStyle name="Heading 1" xfId="1392"/>
    <cellStyle name="Heading 1 2" xfId="1393"/>
    <cellStyle name="Heading 1 3" xfId="4691"/>
    <cellStyle name="Heading 2" xfId="1394"/>
    <cellStyle name="Heading 2 2" xfId="1395"/>
    <cellStyle name="Heading 2 3" xfId="4692"/>
    <cellStyle name="Heading 3" xfId="1396"/>
    <cellStyle name="Heading 3 2" xfId="1397"/>
    <cellStyle name="Heading 3 2 2" xfId="4693"/>
    <cellStyle name="Heading 3 3" xfId="1398"/>
    <cellStyle name="Heading 3 3 2" xfId="1399"/>
    <cellStyle name="Heading 3 4" xfId="1400"/>
    <cellStyle name="Heading 3 4 2" xfId="4694"/>
    <cellStyle name="Heading 3 5" xfId="1401"/>
    <cellStyle name="Heading 3 5 2" xfId="4695"/>
    <cellStyle name="Heading 3 6" xfId="4696"/>
    <cellStyle name="Heading 4" xfId="1402"/>
    <cellStyle name="Heading_GP.ITOG.4.78(v1.0) - для разделения" xfId="1403"/>
    <cellStyle name="Heading2" xfId="1404"/>
    <cellStyle name="Heading2 2" xfId="1405"/>
    <cellStyle name="Heading2_46EP.2011(v2.0)" xfId="1406"/>
    <cellStyle name="Hyperlink" xfId="1407"/>
    <cellStyle name="Îáű÷íűé__FES" xfId="1408"/>
    <cellStyle name="Îáû÷íûé_cogs" xfId="1409"/>
    <cellStyle name="Îňęđűâŕâřŕ˙ń˙ ăčďĺđńńűëęŕ" xfId="1410"/>
    <cellStyle name="Îňęđűâŕâřŕ˙ń˙ ăčďĺđńńűëęŕ 2" xfId="1411"/>
    <cellStyle name="Îňęđűâŕâřŕ˙ń˙ ăčďĺđńńűëęŕ 3" xfId="4697"/>
    <cellStyle name="Info" xfId="1412"/>
    <cellStyle name="Info 2" xfId="4698"/>
    <cellStyle name="Input" xfId="1413"/>
    <cellStyle name="Input 2" xfId="1414"/>
    <cellStyle name="Input 2 2" xfId="4699"/>
    <cellStyle name="Input 3" xfId="4700"/>
    <cellStyle name="Input 3 2" xfId="4701"/>
    <cellStyle name="Input 4" xfId="4702"/>
    <cellStyle name="InputCurrency" xfId="1415"/>
    <cellStyle name="InputCurrency2" xfId="1416"/>
    <cellStyle name="InputMultiple1" xfId="1417"/>
    <cellStyle name="InputPercent1" xfId="1418"/>
    <cellStyle name="Inputs" xfId="1419"/>
    <cellStyle name="Inputs (const)" xfId="1420"/>
    <cellStyle name="Inputs (const) 2" xfId="1421"/>
    <cellStyle name="Inputs (const)_46EP.2011(v2.0)" xfId="1422"/>
    <cellStyle name="Inputs 2" xfId="1423"/>
    <cellStyle name="Inputs Co" xfId="1424"/>
    <cellStyle name="Inputs_46EE.2011(v1.0)" xfId="1425"/>
    <cellStyle name="Linked Cell" xfId="1426"/>
    <cellStyle name="Millares [0]_RESULTS" xfId="1427"/>
    <cellStyle name="Millares_RESULTS" xfId="1428"/>
    <cellStyle name="Milliers [0]_RESULTS" xfId="1429"/>
    <cellStyle name="Milliers_RESULTS" xfId="1430"/>
    <cellStyle name="mnb" xfId="1431"/>
    <cellStyle name="mnb 2" xfId="4703"/>
    <cellStyle name="Moneda [0]_RESULTS" xfId="1432"/>
    <cellStyle name="Moneda_RESULTS" xfId="1433"/>
    <cellStyle name="Monétaire [0]_RESULTS" xfId="1434"/>
    <cellStyle name="Monétaire_RESULTS" xfId="1435"/>
    <cellStyle name="Multiple" xfId="1436"/>
    <cellStyle name="Multiple1" xfId="1437"/>
    <cellStyle name="MultipleBelow" xfId="1438"/>
    <cellStyle name="namber" xfId="1439"/>
    <cellStyle name="namber 2" xfId="4704"/>
    <cellStyle name="Neutral" xfId="1440"/>
    <cellStyle name="Norma11l" xfId="1441"/>
    <cellStyle name="normal" xfId="1442"/>
    <cellStyle name="Normal - Style1" xfId="1443"/>
    <cellStyle name="Normal - Style1 2" xfId="1444"/>
    <cellStyle name="Normal - Style1 2 2" xfId="1445"/>
    <cellStyle name="Normal - Style1 3" xfId="1446"/>
    <cellStyle name="normal 10" xfId="1447"/>
    <cellStyle name="Normal 2" xfId="1448"/>
    <cellStyle name="Normal 2 2" xfId="1449"/>
    <cellStyle name="Normal 2 3" xfId="1450"/>
    <cellStyle name="Normal 2 4" xfId="1451"/>
    <cellStyle name="normal 3" xfId="1452"/>
    <cellStyle name="normal 4" xfId="1453"/>
    <cellStyle name="normal 5" xfId="1454"/>
    <cellStyle name="normal 6" xfId="1455"/>
    <cellStyle name="normal 7" xfId="1456"/>
    <cellStyle name="normal 8" xfId="1457"/>
    <cellStyle name="normal 9" xfId="1458"/>
    <cellStyle name="Normal." xfId="1459"/>
    <cellStyle name="Normal_06_9m" xfId="1460"/>
    <cellStyle name="Normal1" xfId="1461"/>
    <cellStyle name="Normal2" xfId="1462"/>
    <cellStyle name="NormalGB" xfId="1463"/>
    <cellStyle name="Normalny_24. 02. 97." xfId="1464"/>
    <cellStyle name="normбlnм_laroux" xfId="1465"/>
    <cellStyle name="Note" xfId="1466"/>
    <cellStyle name="Note 2" xfId="1467"/>
    <cellStyle name="Note 2 2" xfId="4705"/>
    <cellStyle name="Note 3" xfId="4706"/>
    <cellStyle name="Note 3 2" xfId="4707"/>
    <cellStyle name="Note 4" xfId="4708"/>
    <cellStyle name="number" xfId="1468"/>
    <cellStyle name="Ôčíŕíńîâűé [0]_(ňŕá 3č)" xfId="1469"/>
    <cellStyle name="Ôčíŕíńîâűé_(ňŕá 3č)" xfId="1470"/>
    <cellStyle name="Option" xfId="1471"/>
    <cellStyle name="Òûñÿ÷è [0]_cogs" xfId="1472"/>
    <cellStyle name="Òûñÿ÷è_cogs" xfId="1473"/>
    <cellStyle name="Output" xfId="1474"/>
    <cellStyle name="Output 2" xfId="1475"/>
    <cellStyle name="Output 2 2" xfId="4709"/>
    <cellStyle name="Output 3" xfId="4710"/>
    <cellStyle name="Output 3 2" xfId="4711"/>
    <cellStyle name="Output 4" xfId="4712"/>
    <cellStyle name="Page Number" xfId="1476"/>
    <cellStyle name="pb_page_heading_LS" xfId="1477"/>
    <cellStyle name="Percent_RS_Lianozovo-Samara_9m01" xfId="1478"/>
    <cellStyle name="Percent1" xfId="1479"/>
    <cellStyle name="Piug" xfId="1480"/>
    <cellStyle name="Plug" xfId="1481"/>
    <cellStyle name="Price_Body" xfId="1482"/>
    <cellStyle name="prochrek" xfId="1483"/>
    <cellStyle name="Protected" xfId="1484"/>
    <cellStyle name="S0" xfId="1485"/>
    <cellStyle name="S1" xfId="1486"/>
    <cellStyle name="S10" xfId="1487"/>
    <cellStyle name="S11" xfId="1488"/>
    <cellStyle name="S12" xfId="1489"/>
    <cellStyle name="S13" xfId="1490"/>
    <cellStyle name="S14" xfId="1491"/>
    <cellStyle name="S15" xfId="1492"/>
    <cellStyle name="S16" xfId="1493"/>
    <cellStyle name="S17" xfId="1494"/>
    <cellStyle name="S18" xfId="1495"/>
    <cellStyle name="S2" xfId="1496"/>
    <cellStyle name="S3" xfId="1497"/>
    <cellStyle name="S4" xfId="1498"/>
    <cellStyle name="S5" xfId="1499"/>
    <cellStyle name="S6" xfId="1500"/>
    <cellStyle name="S7" xfId="1501"/>
    <cellStyle name="S8" xfId="1502"/>
    <cellStyle name="S9" xfId="1503"/>
    <cellStyle name="Salomon Logo" xfId="1504"/>
    <cellStyle name="Salomon Logo 2" xfId="4713"/>
    <cellStyle name="SAPBEXaggData" xfId="1505"/>
    <cellStyle name="SAPBEXaggData 2" xfId="1506"/>
    <cellStyle name="SAPBEXaggData 2 2" xfId="4714"/>
    <cellStyle name="SAPBEXaggData 3" xfId="4715"/>
    <cellStyle name="SAPBEXaggData 3 2" xfId="4716"/>
    <cellStyle name="SAPBEXaggData 4" xfId="4717"/>
    <cellStyle name="SAPBEXaggDataEmph" xfId="1507"/>
    <cellStyle name="SAPBEXaggDataEmph 2" xfId="1508"/>
    <cellStyle name="SAPBEXaggDataEmph 2 2" xfId="4718"/>
    <cellStyle name="SAPBEXaggDataEmph 3" xfId="4719"/>
    <cellStyle name="SAPBEXaggDataEmph 3 2" xfId="4720"/>
    <cellStyle name="SAPBEXaggDataEmph 4" xfId="4721"/>
    <cellStyle name="SAPBEXaggItem" xfId="1509"/>
    <cellStyle name="SAPBEXaggItem 2" xfId="1510"/>
    <cellStyle name="SAPBEXaggItem 2 2" xfId="4722"/>
    <cellStyle name="SAPBEXaggItem 3" xfId="4723"/>
    <cellStyle name="SAPBEXaggItem 3 2" xfId="4724"/>
    <cellStyle name="SAPBEXaggItem 4" xfId="4725"/>
    <cellStyle name="SAPBEXaggItemX" xfId="1511"/>
    <cellStyle name="SAPBEXaggItemX 2" xfId="1512"/>
    <cellStyle name="SAPBEXaggItemX 2 2" xfId="4726"/>
    <cellStyle name="SAPBEXaggItemX 3" xfId="4727"/>
    <cellStyle name="SAPBEXaggItemX 3 2" xfId="4728"/>
    <cellStyle name="SAPBEXaggItemX 4" xfId="4729"/>
    <cellStyle name="SAPBEXchaText" xfId="1513"/>
    <cellStyle name="SAPBEXchaText 2" xfId="1514"/>
    <cellStyle name="SAPBEXchaText 2 2" xfId="1515"/>
    <cellStyle name="SAPBEXchaText 2 2 2" xfId="4730"/>
    <cellStyle name="SAPBEXchaText 2 3" xfId="4731"/>
    <cellStyle name="SAPBEXchaText 3" xfId="1516"/>
    <cellStyle name="SAPBEXchaText 3 2" xfId="1517"/>
    <cellStyle name="SAPBEXchaText 3 2 2" xfId="4732"/>
    <cellStyle name="SAPBEXchaText 3 3" xfId="4733"/>
    <cellStyle name="SAPBEXchaText 4" xfId="1518"/>
    <cellStyle name="SAPBEXchaText 4 2" xfId="4734"/>
    <cellStyle name="SAPBEXchaText 5" xfId="4735"/>
    <cellStyle name="SAPBEXexcBad7" xfId="1519"/>
    <cellStyle name="SAPBEXexcBad7 2" xfId="1520"/>
    <cellStyle name="SAPBEXexcBad7 2 2" xfId="4736"/>
    <cellStyle name="SAPBEXexcBad7 3" xfId="4737"/>
    <cellStyle name="SAPBEXexcBad7 3 2" xfId="4738"/>
    <cellStyle name="SAPBEXexcBad7 4" xfId="4739"/>
    <cellStyle name="SAPBEXexcBad8" xfId="1521"/>
    <cellStyle name="SAPBEXexcBad8 2" xfId="1522"/>
    <cellStyle name="SAPBEXexcBad8 2 2" xfId="4740"/>
    <cellStyle name="SAPBEXexcBad8 3" xfId="4741"/>
    <cellStyle name="SAPBEXexcBad8 3 2" xfId="4742"/>
    <cellStyle name="SAPBEXexcBad8 4" xfId="4743"/>
    <cellStyle name="SAPBEXexcBad9" xfId="1523"/>
    <cellStyle name="SAPBEXexcBad9 2" xfId="1524"/>
    <cellStyle name="SAPBEXexcBad9 2 2" xfId="4744"/>
    <cellStyle name="SAPBEXexcBad9 3" xfId="4745"/>
    <cellStyle name="SAPBEXexcBad9 3 2" xfId="4746"/>
    <cellStyle name="SAPBEXexcBad9 4" xfId="4747"/>
    <cellStyle name="SAPBEXexcCritical4" xfId="1525"/>
    <cellStyle name="SAPBEXexcCritical4 2" xfId="1526"/>
    <cellStyle name="SAPBEXexcCritical4 2 2" xfId="4748"/>
    <cellStyle name="SAPBEXexcCritical4 3" xfId="4749"/>
    <cellStyle name="SAPBEXexcCritical4 3 2" xfId="4750"/>
    <cellStyle name="SAPBEXexcCritical4 4" xfId="4751"/>
    <cellStyle name="SAPBEXexcCritical5" xfId="1527"/>
    <cellStyle name="SAPBEXexcCritical5 2" xfId="1528"/>
    <cellStyle name="SAPBEXexcCritical5 2 2" xfId="4752"/>
    <cellStyle name="SAPBEXexcCritical5 3" xfId="4753"/>
    <cellStyle name="SAPBEXexcCritical5 3 2" xfId="4754"/>
    <cellStyle name="SAPBEXexcCritical5 4" xfId="4755"/>
    <cellStyle name="SAPBEXexcCritical6" xfId="1529"/>
    <cellStyle name="SAPBEXexcCritical6 2" xfId="1530"/>
    <cellStyle name="SAPBEXexcCritical6 2 2" xfId="4756"/>
    <cellStyle name="SAPBEXexcCritical6 3" xfId="4757"/>
    <cellStyle name="SAPBEXexcCritical6 3 2" xfId="4758"/>
    <cellStyle name="SAPBEXexcCritical6 4" xfId="4759"/>
    <cellStyle name="SAPBEXexcGood1" xfId="1531"/>
    <cellStyle name="SAPBEXexcGood1 2" xfId="1532"/>
    <cellStyle name="SAPBEXexcGood1 2 2" xfId="4760"/>
    <cellStyle name="SAPBEXexcGood1 3" xfId="4761"/>
    <cellStyle name="SAPBEXexcGood1 3 2" xfId="4762"/>
    <cellStyle name="SAPBEXexcGood1 4" xfId="4763"/>
    <cellStyle name="SAPBEXexcGood2" xfId="1533"/>
    <cellStyle name="SAPBEXexcGood2 2" xfId="1534"/>
    <cellStyle name="SAPBEXexcGood2 2 2" xfId="4764"/>
    <cellStyle name="SAPBEXexcGood2 3" xfId="4765"/>
    <cellStyle name="SAPBEXexcGood2 3 2" xfId="4766"/>
    <cellStyle name="SAPBEXexcGood2 4" xfId="4767"/>
    <cellStyle name="SAPBEXexcGood3" xfId="1535"/>
    <cellStyle name="SAPBEXexcGood3 2" xfId="1536"/>
    <cellStyle name="SAPBEXexcGood3 2 2" xfId="4768"/>
    <cellStyle name="SAPBEXexcGood3 3" xfId="4769"/>
    <cellStyle name="SAPBEXexcGood3 3 2" xfId="4770"/>
    <cellStyle name="SAPBEXexcGood3 4" xfId="4771"/>
    <cellStyle name="SAPBEXfilterDrill" xfId="1537"/>
    <cellStyle name="SAPBEXfilterDrill 2" xfId="1538"/>
    <cellStyle name="SAPBEXfilterDrill 2 2" xfId="4772"/>
    <cellStyle name="SAPBEXfilterDrill 3" xfId="4773"/>
    <cellStyle name="SAPBEXfilterDrill 3 2" xfId="4774"/>
    <cellStyle name="SAPBEXfilterDrill 4" xfId="4775"/>
    <cellStyle name="SAPBEXfilterItem" xfId="1539"/>
    <cellStyle name="SAPBEXfilterItem 2" xfId="1540"/>
    <cellStyle name="SAPBEXfilterText" xfId="1541"/>
    <cellStyle name="SAPBEXformats" xfId="1542"/>
    <cellStyle name="SAPBEXformats 2" xfId="1543"/>
    <cellStyle name="SAPBEXformats 2 2" xfId="1544"/>
    <cellStyle name="SAPBEXformats 2 2 2" xfId="4776"/>
    <cellStyle name="SAPBEXformats 2 3" xfId="4777"/>
    <cellStyle name="SAPBEXformats 3" xfId="1545"/>
    <cellStyle name="SAPBEXformats 3 2" xfId="1546"/>
    <cellStyle name="SAPBEXformats 3 2 2" xfId="4778"/>
    <cellStyle name="SAPBEXformats 3 3" xfId="4779"/>
    <cellStyle name="SAPBEXformats 4" xfId="1547"/>
    <cellStyle name="SAPBEXformats 4 2" xfId="4780"/>
    <cellStyle name="SAPBEXformats 5" xfId="4781"/>
    <cellStyle name="SAPBEXheaderItem" xfId="1548"/>
    <cellStyle name="SAPBEXheaderItem 2" xfId="1549"/>
    <cellStyle name="SAPBEXheaderItem 2 2" xfId="4782"/>
    <cellStyle name="SAPBEXheaderItem 3" xfId="4783"/>
    <cellStyle name="SAPBEXheaderItem 3 2" xfId="4784"/>
    <cellStyle name="SAPBEXheaderItem 4" xfId="4785"/>
    <cellStyle name="SAPBEXheaderText" xfId="1550"/>
    <cellStyle name="SAPBEXheaderText 2" xfId="1551"/>
    <cellStyle name="SAPBEXheaderText 2 2" xfId="4786"/>
    <cellStyle name="SAPBEXheaderText 3" xfId="4787"/>
    <cellStyle name="SAPBEXheaderText 3 2" xfId="4788"/>
    <cellStyle name="SAPBEXheaderText 4" xfId="4789"/>
    <cellStyle name="SAPBEXHLevel0" xfId="1552"/>
    <cellStyle name="SAPBEXHLevel0 2" xfId="1553"/>
    <cellStyle name="SAPBEXHLevel0 2 2" xfId="1554"/>
    <cellStyle name="SAPBEXHLevel0 2 2 2" xfId="4790"/>
    <cellStyle name="SAPBEXHLevel0 2 3" xfId="4791"/>
    <cellStyle name="SAPBEXHLevel0 3" xfId="1555"/>
    <cellStyle name="SAPBEXHLevel0 3 2" xfId="1556"/>
    <cellStyle name="SAPBEXHLevel0 3 2 2" xfId="4792"/>
    <cellStyle name="SAPBEXHLevel0 3 3" xfId="4793"/>
    <cellStyle name="SAPBEXHLevel0 4" xfId="1557"/>
    <cellStyle name="SAPBEXHLevel0 4 2" xfId="4794"/>
    <cellStyle name="SAPBEXHLevel0 5" xfId="4795"/>
    <cellStyle name="SAPBEXHLevel0X" xfId="1558"/>
    <cellStyle name="SAPBEXHLevel0X 2" xfId="1559"/>
    <cellStyle name="SAPBEXHLevel0X 2 2" xfId="1560"/>
    <cellStyle name="SAPBEXHLevel0X 2 2 2" xfId="4796"/>
    <cellStyle name="SAPBEXHLevel0X 2 3" xfId="4797"/>
    <cellStyle name="SAPBEXHLevel0X 3" xfId="1561"/>
    <cellStyle name="SAPBEXHLevel0X 3 2" xfId="1562"/>
    <cellStyle name="SAPBEXHLevel0X 3 2 2" xfId="4798"/>
    <cellStyle name="SAPBEXHLevel0X 3 3" xfId="4799"/>
    <cellStyle name="SAPBEXHLevel0X 4" xfId="1563"/>
    <cellStyle name="SAPBEXHLevel0X 4 2" xfId="4800"/>
    <cellStyle name="SAPBEXHLevel0X 5" xfId="4801"/>
    <cellStyle name="SAPBEXHLevel1" xfId="1564"/>
    <cellStyle name="SAPBEXHLevel1 2" xfId="1565"/>
    <cellStyle name="SAPBEXHLevel1 2 2" xfId="1566"/>
    <cellStyle name="SAPBEXHLevel1 2 2 2" xfId="4802"/>
    <cellStyle name="SAPBEXHLevel1 2 3" xfId="4803"/>
    <cellStyle name="SAPBEXHLevel1 3" xfId="1567"/>
    <cellStyle name="SAPBEXHLevel1 3 2" xfId="1568"/>
    <cellStyle name="SAPBEXHLevel1 3 2 2" xfId="4804"/>
    <cellStyle name="SAPBEXHLevel1 3 3" xfId="4805"/>
    <cellStyle name="SAPBEXHLevel1 4" xfId="1569"/>
    <cellStyle name="SAPBEXHLevel1 4 2" xfId="4806"/>
    <cellStyle name="SAPBEXHLevel1 5" xfId="4807"/>
    <cellStyle name="SAPBEXHLevel1X" xfId="1570"/>
    <cellStyle name="SAPBEXHLevel1X 2" xfId="1571"/>
    <cellStyle name="SAPBEXHLevel1X 2 2" xfId="1572"/>
    <cellStyle name="SAPBEXHLevel1X 2 2 2" xfId="4808"/>
    <cellStyle name="SAPBEXHLevel1X 2 3" xfId="4809"/>
    <cellStyle name="SAPBEXHLevel1X 3" xfId="1573"/>
    <cellStyle name="SAPBEXHLevel1X 3 2" xfId="1574"/>
    <cellStyle name="SAPBEXHLevel1X 3 2 2" xfId="4810"/>
    <cellStyle name="SAPBEXHLevel1X 3 3" xfId="4811"/>
    <cellStyle name="SAPBEXHLevel1X 4" xfId="1575"/>
    <cellStyle name="SAPBEXHLevel1X 4 2" xfId="4812"/>
    <cellStyle name="SAPBEXHLevel1X 5" xfId="4813"/>
    <cellStyle name="SAPBEXHLevel2" xfId="1576"/>
    <cellStyle name="SAPBEXHLevel2 2" xfId="1577"/>
    <cellStyle name="SAPBEXHLevel2 2 2" xfId="1578"/>
    <cellStyle name="SAPBEXHLevel2 2 2 2" xfId="4814"/>
    <cellStyle name="SAPBEXHLevel2 2 3" xfId="4815"/>
    <cellStyle name="SAPBEXHLevel2 3" xfId="1579"/>
    <cellStyle name="SAPBEXHLevel2 3 2" xfId="1580"/>
    <cellStyle name="SAPBEXHLevel2 3 2 2" xfId="4816"/>
    <cellStyle name="SAPBEXHLevel2 3 3" xfId="4817"/>
    <cellStyle name="SAPBEXHLevel2 4" xfId="1581"/>
    <cellStyle name="SAPBEXHLevel2 4 2" xfId="4818"/>
    <cellStyle name="SAPBEXHLevel2 5" xfId="4819"/>
    <cellStyle name="SAPBEXHLevel2X" xfId="1582"/>
    <cellStyle name="SAPBEXHLevel2X 2" xfId="1583"/>
    <cellStyle name="SAPBEXHLevel2X 2 2" xfId="1584"/>
    <cellStyle name="SAPBEXHLevel2X 2 2 2" xfId="4820"/>
    <cellStyle name="SAPBEXHLevel2X 2 3" xfId="4821"/>
    <cellStyle name="SAPBEXHLevel2X 3" xfId="1585"/>
    <cellStyle name="SAPBEXHLevel2X 3 2" xfId="1586"/>
    <cellStyle name="SAPBEXHLevel2X 3 2 2" xfId="4822"/>
    <cellStyle name="SAPBEXHLevel2X 3 3" xfId="4823"/>
    <cellStyle name="SAPBEXHLevel2X 4" xfId="1587"/>
    <cellStyle name="SAPBEXHLevel2X 4 2" xfId="4824"/>
    <cellStyle name="SAPBEXHLevel2X 5" xfId="4825"/>
    <cellStyle name="SAPBEXHLevel3" xfId="1588"/>
    <cellStyle name="SAPBEXHLevel3 2" xfId="1589"/>
    <cellStyle name="SAPBEXHLevel3 2 2" xfId="1590"/>
    <cellStyle name="SAPBEXHLevel3 2 2 2" xfId="4826"/>
    <cellStyle name="SAPBEXHLevel3 2 3" xfId="4827"/>
    <cellStyle name="SAPBEXHLevel3 3" xfId="1591"/>
    <cellStyle name="SAPBEXHLevel3 3 2" xfId="1592"/>
    <cellStyle name="SAPBEXHLevel3 3 2 2" xfId="4828"/>
    <cellStyle name="SAPBEXHLevel3 3 3" xfId="4829"/>
    <cellStyle name="SAPBEXHLevel3 4" xfId="1593"/>
    <cellStyle name="SAPBEXHLevel3 4 2" xfId="4830"/>
    <cellStyle name="SAPBEXHLevel3 5" xfId="4831"/>
    <cellStyle name="SAPBEXHLevel3X" xfId="1594"/>
    <cellStyle name="SAPBEXHLevel3X 2" xfId="1595"/>
    <cellStyle name="SAPBEXHLevel3X 2 2" xfId="1596"/>
    <cellStyle name="SAPBEXHLevel3X 2 2 2" xfId="4832"/>
    <cellStyle name="SAPBEXHLevel3X 2 3" xfId="4833"/>
    <cellStyle name="SAPBEXHLevel3X 3" xfId="1597"/>
    <cellStyle name="SAPBEXHLevel3X 3 2" xfId="1598"/>
    <cellStyle name="SAPBEXHLevel3X 3 2 2" xfId="4834"/>
    <cellStyle name="SAPBEXHLevel3X 3 3" xfId="4835"/>
    <cellStyle name="SAPBEXHLevel3X 4" xfId="1599"/>
    <cellStyle name="SAPBEXHLevel3X 4 2" xfId="4836"/>
    <cellStyle name="SAPBEXHLevel3X 5" xfId="4837"/>
    <cellStyle name="SAPBEXinputData" xfId="1600"/>
    <cellStyle name="SAPBEXresData" xfId="1601"/>
    <cellStyle name="SAPBEXresData 2" xfId="1602"/>
    <cellStyle name="SAPBEXresData 2 2" xfId="4838"/>
    <cellStyle name="SAPBEXresData 3" xfId="4839"/>
    <cellStyle name="SAPBEXresData 3 2" xfId="4840"/>
    <cellStyle name="SAPBEXresData 4" xfId="4841"/>
    <cellStyle name="SAPBEXresDataEmph" xfId="1603"/>
    <cellStyle name="SAPBEXresDataEmph 2" xfId="1604"/>
    <cellStyle name="SAPBEXresDataEmph 2 2" xfId="4842"/>
    <cellStyle name="SAPBEXresDataEmph 3" xfId="4843"/>
    <cellStyle name="SAPBEXresDataEmph 3 2" xfId="4844"/>
    <cellStyle name="SAPBEXresDataEmph 4" xfId="4845"/>
    <cellStyle name="SAPBEXresItem" xfId="1605"/>
    <cellStyle name="SAPBEXresItem 2" xfId="1606"/>
    <cellStyle name="SAPBEXresItem 2 2" xfId="4846"/>
    <cellStyle name="SAPBEXresItem 3" xfId="4847"/>
    <cellStyle name="SAPBEXresItem 3 2" xfId="4848"/>
    <cellStyle name="SAPBEXresItem 4" xfId="4849"/>
    <cellStyle name="SAPBEXresItemX" xfId="1607"/>
    <cellStyle name="SAPBEXresItemX 2" xfId="1608"/>
    <cellStyle name="SAPBEXresItemX 2 2" xfId="4850"/>
    <cellStyle name="SAPBEXresItemX 3" xfId="4851"/>
    <cellStyle name="SAPBEXresItemX 3 2" xfId="4852"/>
    <cellStyle name="SAPBEXresItemX 4" xfId="4853"/>
    <cellStyle name="SAPBEXstdData" xfId="1609"/>
    <cellStyle name="SAPBEXstdData 2" xfId="1610"/>
    <cellStyle name="SAPBEXstdData 2 2" xfId="4854"/>
    <cellStyle name="SAPBEXstdData 3" xfId="4855"/>
    <cellStyle name="SAPBEXstdData 3 2" xfId="4856"/>
    <cellStyle name="SAPBEXstdData 4" xfId="4857"/>
    <cellStyle name="SAPBEXstdDataEmph" xfId="1611"/>
    <cellStyle name="SAPBEXstdDataEmph 2" xfId="1612"/>
    <cellStyle name="SAPBEXstdDataEmph 2 2" xfId="4858"/>
    <cellStyle name="SAPBEXstdDataEmph 3" xfId="4859"/>
    <cellStyle name="SAPBEXstdDataEmph 3 2" xfId="4860"/>
    <cellStyle name="SAPBEXstdDataEmph 4" xfId="4861"/>
    <cellStyle name="SAPBEXstdItem" xfId="1613"/>
    <cellStyle name="SAPBEXstdItem 2" xfId="1614"/>
    <cellStyle name="SAPBEXstdItem 2 2" xfId="1615"/>
    <cellStyle name="SAPBEXstdItem 2 2 2" xfId="4862"/>
    <cellStyle name="SAPBEXstdItem 2 3" xfId="4863"/>
    <cellStyle name="SAPBEXstdItem 3" xfId="1616"/>
    <cellStyle name="SAPBEXstdItem 3 2" xfId="1617"/>
    <cellStyle name="SAPBEXstdItem 3 2 2" xfId="4864"/>
    <cellStyle name="SAPBEXstdItem 3 3" xfId="4865"/>
    <cellStyle name="SAPBEXstdItem 4" xfId="1618"/>
    <cellStyle name="SAPBEXstdItem 4 2" xfId="4866"/>
    <cellStyle name="SAPBEXstdItem 5" xfId="4867"/>
    <cellStyle name="SAPBEXstdItemX" xfId="1619"/>
    <cellStyle name="SAPBEXstdItemX 2" xfId="1620"/>
    <cellStyle name="SAPBEXstdItemX 2 2" xfId="1621"/>
    <cellStyle name="SAPBEXstdItemX 2 2 2" xfId="4868"/>
    <cellStyle name="SAPBEXstdItemX 2 3" xfId="4869"/>
    <cellStyle name="SAPBEXstdItemX 3" xfId="1622"/>
    <cellStyle name="SAPBEXstdItemX 3 2" xfId="1623"/>
    <cellStyle name="SAPBEXstdItemX 3 2 2" xfId="4870"/>
    <cellStyle name="SAPBEXstdItemX 3 3" xfId="4871"/>
    <cellStyle name="SAPBEXstdItemX 4" xfId="1624"/>
    <cellStyle name="SAPBEXstdItemX 4 2" xfId="4872"/>
    <cellStyle name="SAPBEXstdItemX 5" xfId="4873"/>
    <cellStyle name="SAPBEXtitle" xfId="1625"/>
    <cellStyle name="SAPBEXundefined" xfId="1626"/>
    <cellStyle name="SAPBEXundefined 2" xfId="1627"/>
    <cellStyle name="SAPBEXundefined 2 2" xfId="4874"/>
    <cellStyle name="SAPBEXundefined 3" xfId="4875"/>
    <cellStyle name="SAPBEXundefined 3 2" xfId="4876"/>
    <cellStyle name="SAPBEXundefined 4" xfId="4877"/>
    <cellStyle name="st1" xfId="1628"/>
    <cellStyle name="Standard_NEGS" xfId="1629"/>
    <cellStyle name="Style 1" xfId="1630"/>
    <cellStyle name="styleColumnTitles" xfId="1631"/>
    <cellStyle name="styleColumnTitles 2" xfId="4878"/>
    <cellStyle name="styleDateRange" xfId="1632"/>
    <cellStyle name="styleDateRange 2" xfId="4879"/>
    <cellStyle name="styleHidden" xfId="1633"/>
    <cellStyle name="styleNormal" xfId="1634"/>
    <cellStyle name="styleSeriesAttributes" xfId="1635"/>
    <cellStyle name="styleSeriesAttributes 2" xfId="4880"/>
    <cellStyle name="styleSeriesData" xfId="1636"/>
    <cellStyle name="styleSeriesData 2" xfId="4881"/>
    <cellStyle name="styleSeriesDataForecast" xfId="1637"/>
    <cellStyle name="styleSeriesDataForecast 2" xfId="4882"/>
    <cellStyle name="styleSeriesDataForecastNA" xfId="1638"/>
    <cellStyle name="styleSeriesDataForecastNA 2" xfId="4883"/>
    <cellStyle name="styleSeriesDataNA" xfId="1639"/>
    <cellStyle name="styleSeriesDataNA 2" xfId="4884"/>
    <cellStyle name="Table Head" xfId="1640"/>
    <cellStyle name="Table Head Aligned" xfId="1641"/>
    <cellStyle name="Table Head Blue" xfId="1642"/>
    <cellStyle name="Table Head Green" xfId="1643"/>
    <cellStyle name="Table Head_Val_Sum_Graph" xfId="1644"/>
    <cellStyle name="Table Heading" xfId="1645"/>
    <cellStyle name="Table Heading 2" xfId="1646"/>
    <cellStyle name="Table Heading_46EP.2011(v2.0)" xfId="1647"/>
    <cellStyle name="Table Text" xfId="1648"/>
    <cellStyle name="Table Title" xfId="1649"/>
    <cellStyle name="Table Units" xfId="1650"/>
    <cellStyle name="Table_Header" xfId="1651"/>
    <cellStyle name="Text" xfId="1652"/>
    <cellStyle name="Text 1" xfId="1653"/>
    <cellStyle name="Text Head" xfId="1654"/>
    <cellStyle name="Text Head 1" xfId="1655"/>
    <cellStyle name="Title" xfId="1656"/>
    <cellStyle name="Title 4" xfId="1657"/>
    <cellStyle name="Total" xfId="1658"/>
    <cellStyle name="Total 2" xfId="1659"/>
    <cellStyle name="Total 2 2" xfId="4885"/>
    <cellStyle name="Total 3" xfId="4886"/>
    <cellStyle name="Total 3 2" xfId="4887"/>
    <cellStyle name="Total 4" xfId="4888"/>
    <cellStyle name="TotalCurrency" xfId="1660"/>
    <cellStyle name="Underline_Single" xfId="1661"/>
    <cellStyle name="Unit" xfId="1662"/>
    <cellStyle name="Warning Text" xfId="1663"/>
    <cellStyle name="year" xfId="1664"/>
    <cellStyle name="Акцент1 10" xfId="1665"/>
    <cellStyle name="Акцент1 2" xfId="1666"/>
    <cellStyle name="Акцент1 2 2" xfId="1667"/>
    <cellStyle name="Акцент1 3" xfId="1668"/>
    <cellStyle name="Акцент1 3 2" xfId="1669"/>
    <cellStyle name="Акцент1 3 3" xfId="1670"/>
    <cellStyle name="Акцент1 3 3 2" xfId="1671"/>
    <cellStyle name="Акцент1 3 4" xfId="4889"/>
    <cellStyle name="Акцент1 4" xfId="1672"/>
    <cellStyle name="Акцент1 4 2" xfId="1673"/>
    <cellStyle name="Акцент1 5" xfId="1674"/>
    <cellStyle name="Акцент1 5 2" xfId="1675"/>
    <cellStyle name="Акцент1 6" xfId="1676"/>
    <cellStyle name="Акцент1 6 2" xfId="1677"/>
    <cellStyle name="Акцент1 7" xfId="1678"/>
    <cellStyle name="Акцент1 7 2" xfId="1679"/>
    <cellStyle name="Акцент1 8" xfId="1680"/>
    <cellStyle name="Акцент1 8 2" xfId="1681"/>
    <cellStyle name="Акцент1 9" xfId="1682"/>
    <cellStyle name="Акцент1 9 2" xfId="1683"/>
    <cellStyle name="Акцент2 10" xfId="1684"/>
    <cellStyle name="Акцент2 2" xfId="1685"/>
    <cellStyle name="Акцент2 2 2" xfId="1686"/>
    <cellStyle name="Акцент2 3" xfId="1687"/>
    <cellStyle name="Акцент2 3 2" xfId="1688"/>
    <cellStyle name="Акцент2 3 3" xfId="1689"/>
    <cellStyle name="Акцент2 3 3 2" xfId="1690"/>
    <cellStyle name="Акцент2 3 4" xfId="4890"/>
    <cellStyle name="Акцент2 4" xfId="1691"/>
    <cellStyle name="Акцент2 4 2" xfId="1692"/>
    <cellStyle name="Акцент2 5" xfId="1693"/>
    <cellStyle name="Акцент2 5 2" xfId="1694"/>
    <cellStyle name="Акцент2 6" xfId="1695"/>
    <cellStyle name="Акцент2 6 2" xfId="1696"/>
    <cellStyle name="Акцент2 7" xfId="1697"/>
    <cellStyle name="Акцент2 7 2" xfId="1698"/>
    <cellStyle name="Акцент2 8" xfId="1699"/>
    <cellStyle name="Акцент2 8 2" xfId="1700"/>
    <cellStyle name="Акцент2 9" xfId="1701"/>
    <cellStyle name="Акцент2 9 2" xfId="1702"/>
    <cellStyle name="Акцент3 10" xfId="1703"/>
    <cellStyle name="Акцент3 2" xfId="1704"/>
    <cellStyle name="Акцент3 2 2" xfId="1705"/>
    <cellStyle name="Акцент3 3" xfId="1706"/>
    <cellStyle name="Акцент3 3 2" xfId="1707"/>
    <cellStyle name="Акцент3 3 3" xfId="1708"/>
    <cellStyle name="Акцент3 3 3 2" xfId="1709"/>
    <cellStyle name="Акцент3 3 4" xfId="4891"/>
    <cellStyle name="Акцент3 4" xfId="1710"/>
    <cellStyle name="Акцент3 4 2" xfId="1711"/>
    <cellStyle name="Акцент3 5" xfId="1712"/>
    <cellStyle name="Акцент3 5 2" xfId="1713"/>
    <cellStyle name="Акцент3 6" xfId="1714"/>
    <cellStyle name="Акцент3 6 2" xfId="1715"/>
    <cellStyle name="Акцент3 7" xfId="1716"/>
    <cellStyle name="Акцент3 7 2" xfId="1717"/>
    <cellStyle name="Акцент3 8" xfId="1718"/>
    <cellStyle name="Акцент3 8 2" xfId="1719"/>
    <cellStyle name="Акцент3 9" xfId="1720"/>
    <cellStyle name="Акцент3 9 2" xfId="1721"/>
    <cellStyle name="Акцент4 10" xfId="1722"/>
    <cellStyle name="Акцент4 2" xfId="1723"/>
    <cellStyle name="Акцент4 2 2" xfId="1724"/>
    <cellStyle name="Акцент4 3" xfId="1725"/>
    <cellStyle name="Акцент4 3 2" xfId="1726"/>
    <cellStyle name="Акцент4 3 3" xfId="1727"/>
    <cellStyle name="Акцент4 3 3 2" xfId="1728"/>
    <cellStyle name="Акцент4 3 4" xfId="4892"/>
    <cellStyle name="Акцент4 4" xfId="1729"/>
    <cellStyle name="Акцент4 4 2" xfId="1730"/>
    <cellStyle name="Акцент4 5" xfId="1731"/>
    <cellStyle name="Акцент4 5 2" xfId="1732"/>
    <cellStyle name="Акцент4 6" xfId="1733"/>
    <cellStyle name="Акцент4 6 2" xfId="1734"/>
    <cellStyle name="Акцент4 7" xfId="1735"/>
    <cellStyle name="Акцент4 7 2" xfId="1736"/>
    <cellStyle name="Акцент4 8" xfId="1737"/>
    <cellStyle name="Акцент4 8 2" xfId="1738"/>
    <cellStyle name="Акцент4 9" xfId="1739"/>
    <cellStyle name="Акцент4 9 2" xfId="1740"/>
    <cellStyle name="Акцент5 10" xfId="1741"/>
    <cellStyle name="Акцент5 2" xfId="1742"/>
    <cellStyle name="Акцент5 2 2" xfId="1743"/>
    <cellStyle name="Акцент5 3" xfId="1744"/>
    <cellStyle name="Акцент5 3 2" xfId="1745"/>
    <cellStyle name="Акцент5 3 3" xfId="1746"/>
    <cellStyle name="Акцент5 3 3 2" xfId="1747"/>
    <cellStyle name="Акцент5 3 4" xfId="4893"/>
    <cellStyle name="Акцент5 4" xfId="1748"/>
    <cellStyle name="Акцент5 4 2" xfId="1749"/>
    <cellStyle name="Акцент5 5" xfId="1750"/>
    <cellStyle name="Акцент5 5 2" xfId="1751"/>
    <cellStyle name="Акцент5 6" xfId="1752"/>
    <cellStyle name="Акцент5 6 2" xfId="1753"/>
    <cellStyle name="Акцент5 7" xfId="1754"/>
    <cellStyle name="Акцент5 7 2" xfId="1755"/>
    <cellStyle name="Акцент5 8" xfId="1756"/>
    <cellStyle name="Акцент5 8 2" xfId="1757"/>
    <cellStyle name="Акцент5 9" xfId="1758"/>
    <cellStyle name="Акцент5 9 2" xfId="1759"/>
    <cellStyle name="Акцент6 10" xfId="1760"/>
    <cellStyle name="Акцент6 2" xfId="1761"/>
    <cellStyle name="Акцент6 2 2" xfId="1762"/>
    <cellStyle name="Акцент6 3" xfId="1763"/>
    <cellStyle name="Акцент6 3 2" xfId="1764"/>
    <cellStyle name="Акцент6 3 3" xfId="1765"/>
    <cellStyle name="Акцент6 3 3 2" xfId="1766"/>
    <cellStyle name="Акцент6 3 4" xfId="4894"/>
    <cellStyle name="Акцент6 4" xfId="1767"/>
    <cellStyle name="Акцент6 4 2" xfId="1768"/>
    <cellStyle name="Акцент6 5" xfId="1769"/>
    <cellStyle name="Акцент6 5 2" xfId="1770"/>
    <cellStyle name="Акцент6 6" xfId="1771"/>
    <cellStyle name="Акцент6 6 2" xfId="1772"/>
    <cellStyle name="Акцент6 7" xfId="1773"/>
    <cellStyle name="Акцент6 7 2" xfId="1774"/>
    <cellStyle name="Акцент6 8" xfId="1775"/>
    <cellStyle name="Акцент6 8 2" xfId="1776"/>
    <cellStyle name="Акцент6 9" xfId="1777"/>
    <cellStyle name="Акцент6 9 2" xfId="1778"/>
    <cellStyle name="Беззащитный" xfId="1779"/>
    <cellStyle name="Ввод  10" xfId="1780"/>
    <cellStyle name="Ввод  10 2" xfId="4895"/>
    <cellStyle name="Ввод  2" xfId="1781"/>
    <cellStyle name="Ввод  2 2" xfId="1782"/>
    <cellStyle name="Ввод  2 2 2" xfId="1783"/>
    <cellStyle name="Ввод  2 2 2 2" xfId="4896"/>
    <cellStyle name="Ввод  2 2 3" xfId="4897"/>
    <cellStyle name="Ввод  2 2 3 2" xfId="4898"/>
    <cellStyle name="Ввод  2 2 4" xfId="4899"/>
    <cellStyle name="Ввод  2 3" xfId="1784"/>
    <cellStyle name="Ввод  2 3 2" xfId="4900"/>
    <cellStyle name="Ввод  2 4" xfId="4901"/>
    <cellStyle name="Ввод  2 4 2" xfId="4902"/>
    <cellStyle name="Ввод  2 5" xfId="4903"/>
    <cellStyle name="Ввод  2_46EE.2011(v1.0)" xfId="1785"/>
    <cellStyle name="Ввод  3" xfId="1786"/>
    <cellStyle name="Ввод  3 2" xfId="1787"/>
    <cellStyle name="Ввод  3 2 2" xfId="1788"/>
    <cellStyle name="Ввод  3 2 2 2" xfId="4904"/>
    <cellStyle name="Ввод  3 2 3" xfId="4905"/>
    <cellStyle name="Ввод  3 2 3 2" xfId="4906"/>
    <cellStyle name="Ввод  3 2 4" xfId="4907"/>
    <cellStyle name="Ввод  3 3" xfId="1789"/>
    <cellStyle name="Ввод  3 3 2" xfId="1790"/>
    <cellStyle name="Ввод  3 3 2 2" xfId="4908"/>
    <cellStyle name="Ввод  3 3 3" xfId="4909"/>
    <cellStyle name="Ввод  3 4" xfId="4910"/>
    <cellStyle name="Ввод  3 4 2" xfId="4911"/>
    <cellStyle name="Ввод  3 5" xfId="4912"/>
    <cellStyle name="Ввод  3 6" xfId="4913"/>
    <cellStyle name="Ввод  3_46EE.2011(v1.0)" xfId="1791"/>
    <cellStyle name="Ввод  4" xfId="1792"/>
    <cellStyle name="Ввод  4 2" xfId="1793"/>
    <cellStyle name="Ввод  4 2 2" xfId="1794"/>
    <cellStyle name="Ввод  4 2 2 2" xfId="4914"/>
    <cellStyle name="Ввод  4 2 3" xfId="4915"/>
    <cellStyle name="Ввод  4 2 3 2" xfId="4916"/>
    <cellStyle name="Ввод  4 2 4" xfId="4917"/>
    <cellStyle name="Ввод  4 3" xfId="1795"/>
    <cellStyle name="Ввод  4 3 2" xfId="4918"/>
    <cellStyle name="Ввод  4 4" xfId="4919"/>
    <cellStyle name="Ввод  4 4 2" xfId="4920"/>
    <cellStyle name="Ввод  4 5" xfId="4921"/>
    <cellStyle name="Ввод  4_46EE.2011(v1.0)" xfId="1796"/>
    <cellStyle name="Ввод  5" xfId="1797"/>
    <cellStyle name="Ввод  5 2" xfId="1798"/>
    <cellStyle name="Ввод  5 2 2" xfId="1799"/>
    <cellStyle name="Ввод  5 2 2 2" xfId="4922"/>
    <cellStyle name="Ввод  5 2 3" xfId="4923"/>
    <cellStyle name="Ввод  5 2 3 2" xfId="4924"/>
    <cellStyle name="Ввод  5 2 4" xfId="4925"/>
    <cellStyle name="Ввод  5 3" xfId="1800"/>
    <cellStyle name="Ввод  5 3 2" xfId="4926"/>
    <cellStyle name="Ввод  5 4" xfId="4927"/>
    <cellStyle name="Ввод  5 4 2" xfId="4928"/>
    <cellStyle name="Ввод  5 5" xfId="4929"/>
    <cellStyle name="Ввод  5_46EE.2011(v1.0)" xfId="1801"/>
    <cellStyle name="Ввод  6" xfId="1802"/>
    <cellStyle name="Ввод  6 2" xfId="1803"/>
    <cellStyle name="Ввод  6 2 2" xfId="1804"/>
    <cellStyle name="Ввод  6 2 2 2" xfId="4930"/>
    <cellStyle name="Ввод  6 2 3" xfId="4931"/>
    <cellStyle name="Ввод  6 2 3 2" xfId="4932"/>
    <cellStyle name="Ввод  6 2 4" xfId="4933"/>
    <cellStyle name="Ввод  6 3" xfId="1805"/>
    <cellStyle name="Ввод  6 3 2" xfId="4934"/>
    <cellStyle name="Ввод  6 4" xfId="4935"/>
    <cellStyle name="Ввод  6 4 2" xfId="4936"/>
    <cellStyle name="Ввод  6 5" xfId="4937"/>
    <cellStyle name="Ввод  6_46EE.2011(v1.0)" xfId="1806"/>
    <cellStyle name="Ввод  7" xfId="1807"/>
    <cellStyle name="Ввод  7 2" xfId="1808"/>
    <cellStyle name="Ввод  7 2 2" xfId="1809"/>
    <cellStyle name="Ввод  7 2 2 2" xfId="4938"/>
    <cellStyle name="Ввод  7 2 3" xfId="4939"/>
    <cellStyle name="Ввод  7 2 3 2" xfId="4940"/>
    <cellStyle name="Ввод  7 2 4" xfId="4941"/>
    <cellStyle name="Ввод  7 3" xfId="1810"/>
    <cellStyle name="Ввод  7 3 2" xfId="4942"/>
    <cellStyle name="Ввод  7 4" xfId="4943"/>
    <cellStyle name="Ввод  7 4 2" xfId="4944"/>
    <cellStyle name="Ввод  7 5" xfId="4945"/>
    <cellStyle name="Ввод  7_46EE.2011(v1.0)" xfId="1811"/>
    <cellStyle name="Ввод  8" xfId="1812"/>
    <cellStyle name="Ввод  8 2" xfId="1813"/>
    <cellStyle name="Ввод  8 2 2" xfId="1814"/>
    <cellStyle name="Ввод  8 2 2 2" xfId="4946"/>
    <cellStyle name="Ввод  8 2 3" xfId="4947"/>
    <cellStyle name="Ввод  8 2 3 2" xfId="4948"/>
    <cellStyle name="Ввод  8 2 4" xfId="4949"/>
    <cellStyle name="Ввод  8 3" xfId="1815"/>
    <cellStyle name="Ввод  8 3 2" xfId="4950"/>
    <cellStyle name="Ввод  8 4" xfId="4951"/>
    <cellStyle name="Ввод  8 4 2" xfId="4952"/>
    <cellStyle name="Ввод  8 5" xfId="4953"/>
    <cellStyle name="Ввод  8_46EE.2011(v1.0)" xfId="1816"/>
    <cellStyle name="Ввод  9" xfId="1817"/>
    <cellStyle name="Ввод  9 2" xfId="1818"/>
    <cellStyle name="Ввод  9 2 2" xfId="1819"/>
    <cellStyle name="Ввод  9 2 2 2" xfId="4954"/>
    <cellStyle name="Ввод  9 2 3" xfId="4955"/>
    <cellStyle name="Ввод  9 2 3 2" xfId="4956"/>
    <cellStyle name="Ввод  9 2 4" xfId="4957"/>
    <cellStyle name="Ввод  9 3" xfId="1820"/>
    <cellStyle name="Ввод  9 3 2" xfId="4958"/>
    <cellStyle name="Ввод  9 4" xfId="4959"/>
    <cellStyle name="Ввод  9 4 2" xfId="4960"/>
    <cellStyle name="Ввод  9 5" xfId="4961"/>
    <cellStyle name="Ввод  9_46EE.2011(v1.0)" xfId="1821"/>
    <cellStyle name="Верт. заголовок" xfId="1822"/>
    <cellStyle name="Вес_продукта" xfId="1823"/>
    <cellStyle name="Вывод 10" xfId="1824"/>
    <cellStyle name="Вывод 10 2" xfId="4962"/>
    <cellStyle name="Вывод 2" xfId="1825"/>
    <cellStyle name="Вывод 2 2" xfId="1826"/>
    <cellStyle name="Вывод 2 2 2" xfId="1827"/>
    <cellStyle name="Вывод 2 2 2 2" xfId="4963"/>
    <cellStyle name="Вывод 2 2 3" xfId="4964"/>
    <cellStyle name="Вывод 2 2 3 2" xfId="4965"/>
    <cellStyle name="Вывод 2 2 4" xfId="4966"/>
    <cellStyle name="Вывод 2 3" xfId="1828"/>
    <cellStyle name="Вывод 2 3 2" xfId="4967"/>
    <cellStyle name="Вывод 2 4" xfId="4968"/>
    <cellStyle name="Вывод 2 4 2" xfId="4969"/>
    <cellStyle name="Вывод 2 5" xfId="4970"/>
    <cellStyle name="Вывод 2_46EE.2011(v1.0)" xfId="1829"/>
    <cellStyle name="Вывод 3" xfId="1830"/>
    <cellStyle name="Вывод 3 2" xfId="1831"/>
    <cellStyle name="Вывод 3 2 2" xfId="1832"/>
    <cellStyle name="Вывод 3 2 2 2" xfId="4971"/>
    <cellStyle name="Вывод 3 2 3" xfId="4972"/>
    <cellStyle name="Вывод 3 2 3 2" xfId="4973"/>
    <cellStyle name="Вывод 3 2 4" xfId="4974"/>
    <cellStyle name="Вывод 3 3" xfId="1833"/>
    <cellStyle name="Вывод 3 3 2" xfId="1834"/>
    <cellStyle name="Вывод 3 3 2 2" xfId="4975"/>
    <cellStyle name="Вывод 3 3 3" xfId="4976"/>
    <cellStyle name="Вывод 3 4" xfId="4977"/>
    <cellStyle name="Вывод 3 4 2" xfId="4978"/>
    <cellStyle name="Вывод 3 5" xfId="4979"/>
    <cellStyle name="Вывод 3 6" xfId="4980"/>
    <cellStyle name="Вывод 3_46EE.2011(v1.0)" xfId="1835"/>
    <cellStyle name="Вывод 4" xfId="1836"/>
    <cellStyle name="Вывод 4 2" xfId="1837"/>
    <cellStyle name="Вывод 4 2 2" xfId="1838"/>
    <cellStyle name="Вывод 4 2 2 2" xfId="4981"/>
    <cellStyle name="Вывод 4 2 3" xfId="4982"/>
    <cellStyle name="Вывод 4 2 3 2" xfId="4983"/>
    <cellStyle name="Вывод 4 2 4" xfId="4984"/>
    <cellStyle name="Вывод 4 3" xfId="1839"/>
    <cellStyle name="Вывод 4 3 2" xfId="4985"/>
    <cellStyle name="Вывод 4 4" xfId="4986"/>
    <cellStyle name="Вывод 4 4 2" xfId="4987"/>
    <cellStyle name="Вывод 4 5" xfId="4988"/>
    <cellStyle name="Вывод 4_46EE.2011(v1.0)" xfId="1840"/>
    <cellStyle name="Вывод 5" xfId="1841"/>
    <cellStyle name="Вывод 5 2" xfId="1842"/>
    <cellStyle name="Вывод 5 2 2" xfId="1843"/>
    <cellStyle name="Вывод 5 2 2 2" xfId="4989"/>
    <cellStyle name="Вывод 5 2 3" xfId="4990"/>
    <cellStyle name="Вывод 5 2 3 2" xfId="4991"/>
    <cellStyle name="Вывод 5 2 4" xfId="4992"/>
    <cellStyle name="Вывод 5 3" xfId="1844"/>
    <cellStyle name="Вывод 5 3 2" xfId="4993"/>
    <cellStyle name="Вывод 5 4" xfId="4994"/>
    <cellStyle name="Вывод 5 4 2" xfId="4995"/>
    <cellStyle name="Вывод 5 5" xfId="4996"/>
    <cellStyle name="Вывод 5_46EE.2011(v1.0)" xfId="1845"/>
    <cellStyle name="Вывод 6" xfId="1846"/>
    <cellStyle name="Вывод 6 2" xfId="1847"/>
    <cellStyle name="Вывод 6 2 2" xfId="1848"/>
    <cellStyle name="Вывод 6 2 2 2" xfId="4997"/>
    <cellStyle name="Вывод 6 2 3" xfId="4998"/>
    <cellStyle name="Вывод 6 2 3 2" xfId="4999"/>
    <cellStyle name="Вывод 6 2 4" xfId="5000"/>
    <cellStyle name="Вывод 6 3" xfId="1849"/>
    <cellStyle name="Вывод 6 3 2" xfId="5001"/>
    <cellStyle name="Вывод 6 4" xfId="5002"/>
    <cellStyle name="Вывод 6 4 2" xfId="5003"/>
    <cellStyle name="Вывод 6 5" xfId="5004"/>
    <cellStyle name="Вывод 6_46EE.2011(v1.0)" xfId="1850"/>
    <cellStyle name="Вывод 7" xfId="1851"/>
    <cellStyle name="Вывод 7 2" xfId="1852"/>
    <cellStyle name="Вывод 7 2 2" xfId="1853"/>
    <cellStyle name="Вывод 7 2 2 2" xfId="5005"/>
    <cellStyle name="Вывод 7 2 3" xfId="5006"/>
    <cellStyle name="Вывод 7 2 3 2" xfId="5007"/>
    <cellStyle name="Вывод 7 2 4" xfId="5008"/>
    <cellStyle name="Вывод 7 3" xfId="1854"/>
    <cellStyle name="Вывод 7 3 2" xfId="5009"/>
    <cellStyle name="Вывод 7 4" xfId="5010"/>
    <cellStyle name="Вывод 7 4 2" xfId="5011"/>
    <cellStyle name="Вывод 7 5" xfId="5012"/>
    <cellStyle name="Вывод 7_46EE.2011(v1.0)" xfId="1855"/>
    <cellStyle name="Вывод 8" xfId="1856"/>
    <cellStyle name="Вывод 8 2" xfId="1857"/>
    <cellStyle name="Вывод 8 2 2" xfId="1858"/>
    <cellStyle name="Вывод 8 2 2 2" xfId="5013"/>
    <cellStyle name="Вывод 8 2 3" xfId="5014"/>
    <cellStyle name="Вывод 8 2 3 2" xfId="5015"/>
    <cellStyle name="Вывод 8 2 4" xfId="5016"/>
    <cellStyle name="Вывод 8 3" xfId="1859"/>
    <cellStyle name="Вывод 8 3 2" xfId="5017"/>
    <cellStyle name="Вывод 8 4" xfId="5018"/>
    <cellStyle name="Вывод 8 4 2" xfId="5019"/>
    <cellStyle name="Вывод 8 5" xfId="5020"/>
    <cellStyle name="Вывод 8_46EE.2011(v1.0)" xfId="1860"/>
    <cellStyle name="Вывод 9" xfId="1861"/>
    <cellStyle name="Вывод 9 2" xfId="1862"/>
    <cellStyle name="Вывод 9 2 2" xfId="1863"/>
    <cellStyle name="Вывод 9 2 2 2" xfId="5021"/>
    <cellStyle name="Вывод 9 2 3" xfId="5022"/>
    <cellStyle name="Вывод 9 2 3 2" xfId="5023"/>
    <cellStyle name="Вывод 9 2 4" xfId="5024"/>
    <cellStyle name="Вывод 9 3" xfId="1864"/>
    <cellStyle name="Вывод 9 3 2" xfId="5025"/>
    <cellStyle name="Вывод 9 4" xfId="5026"/>
    <cellStyle name="Вывод 9 4 2" xfId="5027"/>
    <cellStyle name="Вывод 9 5" xfId="5028"/>
    <cellStyle name="Вывод 9_46EE.2011(v1.0)" xfId="1865"/>
    <cellStyle name="Вычисление 10" xfId="1866"/>
    <cellStyle name="Вычисление 10 2" xfId="5029"/>
    <cellStyle name="Вычисление 2" xfId="1867"/>
    <cellStyle name="Вычисление 2 2" xfId="1868"/>
    <cellStyle name="Вычисление 2 2 2" xfId="1869"/>
    <cellStyle name="Вычисление 2 2 2 2" xfId="5030"/>
    <cellStyle name="Вычисление 2 2 3" xfId="5031"/>
    <cellStyle name="Вычисление 2 2 3 2" xfId="5032"/>
    <cellStyle name="Вычисление 2 2 4" xfId="5033"/>
    <cellStyle name="Вычисление 2 3" xfId="1870"/>
    <cellStyle name="Вычисление 2 3 2" xfId="5034"/>
    <cellStyle name="Вычисление 2 4" xfId="5035"/>
    <cellStyle name="Вычисление 2 4 2" xfId="5036"/>
    <cellStyle name="Вычисление 2 5" xfId="5037"/>
    <cellStyle name="Вычисление 2_46EE.2011(v1.0)" xfId="1871"/>
    <cellStyle name="Вычисление 3" xfId="1872"/>
    <cellStyle name="Вычисление 3 2" xfId="1873"/>
    <cellStyle name="Вычисление 3 2 2" xfId="1874"/>
    <cellStyle name="Вычисление 3 2 2 2" xfId="5038"/>
    <cellStyle name="Вычисление 3 2 3" xfId="5039"/>
    <cellStyle name="Вычисление 3 2 3 2" xfId="5040"/>
    <cellStyle name="Вычисление 3 2 4" xfId="5041"/>
    <cellStyle name="Вычисление 3 3" xfId="1875"/>
    <cellStyle name="Вычисление 3 3 2" xfId="1876"/>
    <cellStyle name="Вычисление 3 3 2 2" xfId="5042"/>
    <cellStyle name="Вычисление 3 3 3" xfId="5043"/>
    <cellStyle name="Вычисление 3 4" xfId="5044"/>
    <cellStyle name="Вычисление 3 4 2" xfId="5045"/>
    <cellStyle name="Вычисление 3 5" xfId="5046"/>
    <cellStyle name="Вычисление 3 6" xfId="5047"/>
    <cellStyle name="Вычисление 3_46EE.2011(v1.0)" xfId="1877"/>
    <cellStyle name="Вычисление 4" xfId="1878"/>
    <cellStyle name="Вычисление 4 2" xfId="1879"/>
    <cellStyle name="Вычисление 4 2 2" xfId="1880"/>
    <cellStyle name="Вычисление 4 2 2 2" xfId="5048"/>
    <cellStyle name="Вычисление 4 2 3" xfId="5049"/>
    <cellStyle name="Вычисление 4 2 3 2" xfId="5050"/>
    <cellStyle name="Вычисление 4 2 4" xfId="5051"/>
    <cellStyle name="Вычисление 4 3" xfId="1881"/>
    <cellStyle name="Вычисление 4 3 2" xfId="5052"/>
    <cellStyle name="Вычисление 4 4" xfId="5053"/>
    <cellStyle name="Вычисление 4 4 2" xfId="5054"/>
    <cellStyle name="Вычисление 4 5" xfId="5055"/>
    <cellStyle name="Вычисление 4_46EE.2011(v1.0)" xfId="1882"/>
    <cellStyle name="Вычисление 5" xfId="1883"/>
    <cellStyle name="Вычисление 5 2" xfId="1884"/>
    <cellStyle name="Вычисление 5 2 2" xfId="1885"/>
    <cellStyle name="Вычисление 5 2 2 2" xfId="5056"/>
    <cellStyle name="Вычисление 5 2 3" xfId="5057"/>
    <cellStyle name="Вычисление 5 2 3 2" xfId="5058"/>
    <cellStyle name="Вычисление 5 2 4" xfId="5059"/>
    <cellStyle name="Вычисление 5 3" xfId="1886"/>
    <cellStyle name="Вычисление 5 3 2" xfId="5060"/>
    <cellStyle name="Вычисление 5 4" xfId="5061"/>
    <cellStyle name="Вычисление 5 4 2" xfId="5062"/>
    <cellStyle name="Вычисление 5 5" xfId="5063"/>
    <cellStyle name="Вычисление 5_46EE.2011(v1.0)" xfId="1887"/>
    <cellStyle name="Вычисление 6" xfId="1888"/>
    <cellStyle name="Вычисление 6 2" xfId="1889"/>
    <cellStyle name="Вычисление 6 2 2" xfId="1890"/>
    <cellStyle name="Вычисление 6 2 2 2" xfId="5064"/>
    <cellStyle name="Вычисление 6 2 3" xfId="5065"/>
    <cellStyle name="Вычисление 6 2 3 2" xfId="5066"/>
    <cellStyle name="Вычисление 6 2 4" xfId="5067"/>
    <cellStyle name="Вычисление 6 3" xfId="1891"/>
    <cellStyle name="Вычисление 6 3 2" xfId="5068"/>
    <cellStyle name="Вычисление 6 4" xfId="5069"/>
    <cellStyle name="Вычисление 6 4 2" xfId="5070"/>
    <cellStyle name="Вычисление 6 5" xfId="5071"/>
    <cellStyle name="Вычисление 6_46EE.2011(v1.0)" xfId="1892"/>
    <cellStyle name="Вычисление 7" xfId="1893"/>
    <cellStyle name="Вычисление 7 2" xfId="1894"/>
    <cellStyle name="Вычисление 7 2 2" xfId="1895"/>
    <cellStyle name="Вычисление 7 2 2 2" xfId="5072"/>
    <cellStyle name="Вычисление 7 2 3" xfId="5073"/>
    <cellStyle name="Вычисление 7 2 3 2" xfId="5074"/>
    <cellStyle name="Вычисление 7 2 4" xfId="5075"/>
    <cellStyle name="Вычисление 7 3" xfId="1896"/>
    <cellStyle name="Вычисление 7 3 2" xfId="5076"/>
    <cellStyle name="Вычисление 7 4" xfId="5077"/>
    <cellStyle name="Вычисление 7 4 2" xfId="5078"/>
    <cellStyle name="Вычисление 7 5" xfId="5079"/>
    <cellStyle name="Вычисление 7_46EE.2011(v1.0)" xfId="1897"/>
    <cellStyle name="Вычисление 8" xfId="1898"/>
    <cellStyle name="Вычисление 8 2" xfId="1899"/>
    <cellStyle name="Вычисление 8 2 2" xfId="1900"/>
    <cellStyle name="Вычисление 8 2 2 2" xfId="5080"/>
    <cellStyle name="Вычисление 8 2 3" xfId="5081"/>
    <cellStyle name="Вычисление 8 2 3 2" xfId="5082"/>
    <cellStyle name="Вычисление 8 2 4" xfId="5083"/>
    <cellStyle name="Вычисление 8 3" xfId="1901"/>
    <cellStyle name="Вычисление 8 3 2" xfId="5084"/>
    <cellStyle name="Вычисление 8 4" xfId="5085"/>
    <cellStyle name="Вычисление 8 4 2" xfId="5086"/>
    <cellStyle name="Вычисление 8 5" xfId="5087"/>
    <cellStyle name="Вычисление 8_46EE.2011(v1.0)" xfId="1902"/>
    <cellStyle name="Вычисление 9" xfId="1903"/>
    <cellStyle name="Вычисление 9 2" xfId="1904"/>
    <cellStyle name="Вычисление 9 2 2" xfId="1905"/>
    <cellStyle name="Вычисление 9 2 2 2" xfId="5088"/>
    <cellStyle name="Вычисление 9 2 3" xfId="5089"/>
    <cellStyle name="Вычисление 9 2 3 2" xfId="5090"/>
    <cellStyle name="Вычисление 9 2 4" xfId="5091"/>
    <cellStyle name="Вычисление 9 3" xfId="1906"/>
    <cellStyle name="Вычисление 9 3 2" xfId="5092"/>
    <cellStyle name="Вычисление 9 4" xfId="5093"/>
    <cellStyle name="Вычисление 9 4 2" xfId="5094"/>
    <cellStyle name="Вычисление 9 5" xfId="5095"/>
    <cellStyle name="Вычисление 9_46EE.2011(v1.0)" xfId="1907"/>
    <cellStyle name="Гиперссылка" xfId="1" builtinId="8"/>
    <cellStyle name="Гиперссылка 2" xfId="1908"/>
    <cellStyle name="Гиперссылка 2 2" xfId="1909"/>
    <cellStyle name="Гиперссылка 2_косвен" xfId="1910"/>
    <cellStyle name="Гиперссылка 3" xfId="1911"/>
    <cellStyle name="Гиперссылка 4" xfId="1912"/>
    <cellStyle name="Гиперссылка 4 2" xfId="1913"/>
    <cellStyle name="Гиперссылка 5" xfId="1914"/>
    <cellStyle name="Группа" xfId="1915"/>
    <cellStyle name="Группа 0" xfId="1916"/>
    <cellStyle name="Группа 1" xfId="1917"/>
    <cellStyle name="Группа 2" xfId="1918"/>
    <cellStyle name="Группа 3" xfId="1919"/>
    <cellStyle name="Группа 4" xfId="1920"/>
    <cellStyle name="Группа 5" xfId="1921"/>
    <cellStyle name="Группа 6" xfId="1922"/>
    <cellStyle name="Группа 7" xfId="1923"/>
    <cellStyle name="Группа 8" xfId="1924"/>
    <cellStyle name="Группа_4DNS.UPDATE.EXAMPLE" xfId="1925"/>
    <cellStyle name="ДАТА" xfId="1926"/>
    <cellStyle name="ДАТА 2" xfId="1927"/>
    <cellStyle name="ДАТА 3" xfId="1928"/>
    <cellStyle name="ДАТА 4" xfId="1929"/>
    <cellStyle name="ДАТА 5" xfId="1930"/>
    <cellStyle name="ДАТА 6" xfId="1931"/>
    <cellStyle name="ДАТА 7" xfId="1932"/>
    <cellStyle name="ДАТА 8" xfId="1933"/>
    <cellStyle name="ДАТА 9" xfId="1934"/>
    <cellStyle name="ДАТА_1" xfId="1935"/>
    <cellStyle name="Денежный 2" xfId="1936"/>
    <cellStyle name="Денежный 2 2" xfId="1937"/>
    <cellStyle name="Денежный 2 3" xfId="1938"/>
    <cellStyle name="Денежный 2_INDEX.STATION.2012(v1.0)_" xfId="1939"/>
    <cellStyle name="Денежный 3" xfId="1940"/>
    <cellStyle name="Денежный 3 10" xfId="5689"/>
    <cellStyle name="Денежный 3 2" xfId="1941"/>
    <cellStyle name="Денежный 3 2 2" xfId="1942"/>
    <cellStyle name="Денежный 3 2 2 2" xfId="5690"/>
    <cellStyle name="Денежный 3 2 2 3" xfId="5691"/>
    <cellStyle name="Денежный 3 2 2 4" xfId="5692"/>
    <cellStyle name="Денежный 3 2 2 5" xfId="5693"/>
    <cellStyle name="Денежный 3 2 2 6" xfId="5694"/>
    <cellStyle name="Денежный 3 2 3" xfId="1943"/>
    <cellStyle name="Денежный 3 2 3 2" xfId="5695"/>
    <cellStyle name="Денежный 3 2 3 3" xfId="5696"/>
    <cellStyle name="Денежный 3 2 3 4" xfId="5697"/>
    <cellStyle name="Денежный 3 2 3 5" xfId="5698"/>
    <cellStyle name="Денежный 3 2 3 6" xfId="5699"/>
    <cellStyle name="Денежный 3 2 4" xfId="1944"/>
    <cellStyle name="Денежный 3 2 4 2" xfId="5700"/>
    <cellStyle name="Денежный 3 2 4 3" xfId="5701"/>
    <cellStyle name="Денежный 3 2 4 4" xfId="5702"/>
    <cellStyle name="Денежный 3 2 4 5" xfId="5703"/>
    <cellStyle name="Денежный 3 2 4 6" xfId="5704"/>
    <cellStyle name="Денежный 3 2 5" xfId="5705"/>
    <cellStyle name="Денежный 3 2 6" xfId="5706"/>
    <cellStyle name="Денежный 3 2 7" xfId="5707"/>
    <cellStyle name="Денежный 3 2 8" xfId="5708"/>
    <cellStyle name="Денежный 3 2 9" xfId="5709"/>
    <cellStyle name="Денежный 3 3" xfId="1945"/>
    <cellStyle name="Денежный 3 3 2" xfId="5710"/>
    <cellStyle name="Денежный 3 3 3" xfId="5711"/>
    <cellStyle name="Денежный 3 3 4" xfId="5712"/>
    <cellStyle name="Денежный 3 3 5" xfId="5713"/>
    <cellStyle name="Денежный 3 3 6" xfId="5714"/>
    <cellStyle name="Денежный 3 4" xfId="1946"/>
    <cellStyle name="Денежный 3 4 2" xfId="5715"/>
    <cellStyle name="Денежный 3 4 3" xfId="5716"/>
    <cellStyle name="Денежный 3 4 4" xfId="5717"/>
    <cellStyle name="Денежный 3 4 5" xfId="5718"/>
    <cellStyle name="Денежный 3 4 6" xfId="5719"/>
    <cellStyle name="Денежный 3 5" xfId="1947"/>
    <cellStyle name="Денежный 3 5 2" xfId="5720"/>
    <cellStyle name="Денежный 3 5 3" xfId="5721"/>
    <cellStyle name="Денежный 3 5 4" xfId="5722"/>
    <cellStyle name="Денежный 3 5 5" xfId="5723"/>
    <cellStyle name="Денежный 3 5 6" xfId="5724"/>
    <cellStyle name="Денежный 3 6" xfId="5725"/>
    <cellStyle name="Денежный 3 7" xfId="5726"/>
    <cellStyle name="Денежный 3 8" xfId="5727"/>
    <cellStyle name="Денежный 3 9" xfId="5728"/>
    <cellStyle name="Заголовок" xfId="7"/>
    <cellStyle name="Заголовок 1 10" xfId="1948"/>
    <cellStyle name="Заголовок 1 2" xfId="1949"/>
    <cellStyle name="Заголовок 1 2 2" xfId="1950"/>
    <cellStyle name="Заголовок 1 2_46EE.2011(v1.0)" xfId="1951"/>
    <cellStyle name="Заголовок 1 3" xfId="1952"/>
    <cellStyle name="Заголовок 1 3 2" xfId="1953"/>
    <cellStyle name="Заголовок 1 3 3" xfId="1954"/>
    <cellStyle name="Заголовок 1 3 3 2" xfId="1955"/>
    <cellStyle name="Заголовок 1 3 4" xfId="5096"/>
    <cellStyle name="Заголовок 1 3_46EE.2011(v1.0)" xfId="1956"/>
    <cellStyle name="Заголовок 1 4" xfId="1957"/>
    <cellStyle name="Заголовок 1 4 2" xfId="1958"/>
    <cellStyle name="Заголовок 1 4_46EE.2011(v1.0)" xfId="1959"/>
    <cellStyle name="Заголовок 1 5" xfId="1960"/>
    <cellStyle name="Заголовок 1 5 2" xfId="1961"/>
    <cellStyle name="Заголовок 1 5_46EE.2011(v1.0)" xfId="1962"/>
    <cellStyle name="Заголовок 1 6" xfId="1963"/>
    <cellStyle name="Заголовок 1 6 2" xfId="1964"/>
    <cellStyle name="Заголовок 1 6_46EE.2011(v1.0)" xfId="1965"/>
    <cellStyle name="Заголовок 1 7" xfId="1966"/>
    <cellStyle name="Заголовок 1 7 2" xfId="1967"/>
    <cellStyle name="Заголовок 1 7_46EE.2011(v1.0)" xfId="1968"/>
    <cellStyle name="Заголовок 1 8" xfId="1969"/>
    <cellStyle name="Заголовок 1 8 2" xfId="1970"/>
    <cellStyle name="Заголовок 1 8_46EE.2011(v1.0)" xfId="1971"/>
    <cellStyle name="Заголовок 1 9" xfId="1972"/>
    <cellStyle name="Заголовок 1 9 2" xfId="1973"/>
    <cellStyle name="Заголовок 1 9_46EE.2011(v1.0)" xfId="1974"/>
    <cellStyle name="Заголовок 2 10" xfId="1975"/>
    <cellStyle name="Заголовок 2 2" xfId="1976"/>
    <cellStyle name="Заголовок 2 2 2" xfId="1977"/>
    <cellStyle name="Заголовок 2 2_46EE.2011(v1.0)" xfId="1978"/>
    <cellStyle name="Заголовок 2 3" xfId="1979"/>
    <cellStyle name="Заголовок 2 3 2" xfId="1980"/>
    <cellStyle name="Заголовок 2 3 3" xfId="1981"/>
    <cellStyle name="Заголовок 2 3 3 2" xfId="1982"/>
    <cellStyle name="Заголовок 2 3 4" xfId="5097"/>
    <cellStyle name="Заголовок 2 3_46EE.2011(v1.0)" xfId="1983"/>
    <cellStyle name="Заголовок 2 4" xfId="1984"/>
    <cellStyle name="Заголовок 2 4 2" xfId="1985"/>
    <cellStyle name="Заголовок 2 4_46EE.2011(v1.0)" xfId="1986"/>
    <cellStyle name="Заголовок 2 5" xfId="1987"/>
    <cellStyle name="Заголовок 2 5 2" xfId="1988"/>
    <cellStyle name="Заголовок 2 5_46EE.2011(v1.0)" xfId="1989"/>
    <cellStyle name="Заголовок 2 6" xfId="1990"/>
    <cellStyle name="Заголовок 2 6 2" xfId="1991"/>
    <cellStyle name="Заголовок 2 6_46EE.2011(v1.0)" xfId="1992"/>
    <cellStyle name="Заголовок 2 7" xfId="1993"/>
    <cellStyle name="Заголовок 2 7 2" xfId="1994"/>
    <cellStyle name="Заголовок 2 7_46EE.2011(v1.0)" xfId="1995"/>
    <cellStyle name="Заголовок 2 8" xfId="1996"/>
    <cellStyle name="Заголовок 2 8 2" xfId="1997"/>
    <cellStyle name="Заголовок 2 8_46EE.2011(v1.0)" xfId="1998"/>
    <cellStyle name="Заголовок 2 9" xfId="1999"/>
    <cellStyle name="Заголовок 2 9 2" xfId="2000"/>
    <cellStyle name="Заголовок 2 9_46EE.2011(v1.0)" xfId="2001"/>
    <cellStyle name="Заголовок 3 10" xfId="2002"/>
    <cellStyle name="Заголовок 3 10 2" xfId="2003"/>
    <cellStyle name="Заголовок 3 11" xfId="2004"/>
    <cellStyle name="Заголовок 3 11 2" xfId="5098"/>
    <cellStyle name="Заголовок 3 2" xfId="2005"/>
    <cellStyle name="Заголовок 3 2 2" xfId="2006"/>
    <cellStyle name="Заголовок 3 2 2 2" xfId="2007"/>
    <cellStyle name="Заголовок 3 2 2 2 2" xfId="5099"/>
    <cellStyle name="Заголовок 3 2 2 3" xfId="2008"/>
    <cellStyle name="Заголовок 3 2 2 3 2" xfId="2009"/>
    <cellStyle name="Заголовок 3 2 2 4" xfId="2010"/>
    <cellStyle name="Заголовок 3 2 2 4 2" xfId="5100"/>
    <cellStyle name="Заголовок 3 2 2 5" xfId="2011"/>
    <cellStyle name="Заголовок 3 2 2 5 2" xfId="5101"/>
    <cellStyle name="Заголовок 3 2 2 6" xfId="5102"/>
    <cellStyle name="Заголовок 3 2 3" xfId="2012"/>
    <cellStyle name="Заголовок 3 2 3 2" xfId="5103"/>
    <cellStyle name="Заголовок 3 2 4" xfId="2013"/>
    <cellStyle name="Заголовок 3 2 4 2" xfId="2014"/>
    <cellStyle name="Заголовок 3 2 5" xfId="2015"/>
    <cellStyle name="Заголовок 3 2 5 2" xfId="5104"/>
    <cellStyle name="Заголовок 3 2 6" xfId="2016"/>
    <cellStyle name="Заголовок 3 2 6 2" xfId="5105"/>
    <cellStyle name="Заголовок 3 2 7" xfId="5106"/>
    <cellStyle name="Заголовок 3 2_46EE.2011(v1.0)" xfId="2017"/>
    <cellStyle name="Заголовок 3 3" xfId="2018"/>
    <cellStyle name="Заголовок 3 3 2" xfId="2019"/>
    <cellStyle name="Заголовок 3 3 2 2" xfId="2020"/>
    <cellStyle name="Заголовок 3 3 2 2 2" xfId="5107"/>
    <cellStyle name="Заголовок 3 3 2 3" xfId="2021"/>
    <cellStyle name="Заголовок 3 3 2 3 2" xfId="2022"/>
    <cellStyle name="Заголовок 3 3 2 4" xfId="2023"/>
    <cellStyle name="Заголовок 3 3 2 4 2" xfId="5108"/>
    <cellStyle name="Заголовок 3 3 2 5" xfId="2024"/>
    <cellStyle name="Заголовок 3 3 2 5 2" xfId="5109"/>
    <cellStyle name="Заголовок 3 3 2 6" xfId="5110"/>
    <cellStyle name="Заголовок 3 3 3" xfId="2025"/>
    <cellStyle name="Заголовок 3 3 3 2" xfId="2026"/>
    <cellStyle name="Заголовок 3 3 3 2 2" xfId="5111"/>
    <cellStyle name="Заголовок 3 3 3 3" xfId="2027"/>
    <cellStyle name="Заголовок 3 3 3 3 2" xfId="5112"/>
    <cellStyle name="Заголовок 3 3 3 4" xfId="5113"/>
    <cellStyle name="Заголовок 3 3 4" xfId="2028"/>
    <cellStyle name="Заголовок 3 3 4 2" xfId="2029"/>
    <cellStyle name="Заголовок 3 3 5" xfId="2030"/>
    <cellStyle name="Заголовок 3 3 5 2" xfId="5114"/>
    <cellStyle name="Заголовок 3 3 6" xfId="2031"/>
    <cellStyle name="Заголовок 3 3 6 2" xfId="5115"/>
    <cellStyle name="Заголовок 3 3 7" xfId="5116"/>
    <cellStyle name="Заголовок 3 3 8" xfId="5117"/>
    <cellStyle name="Заголовок 3 3_46EE.2011(v1.0)" xfId="2032"/>
    <cellStyle name="Заголовок 3 4" xfId="2033"/>
    <cellStyle name="Заголовок 3 4 2" xfId="2034"/>
    <cellStyle name="Заголовок 3 4 2 2" xfId="2035"/>
    <cellStyle name="Заголовок 3 4 2 2 2" xfId="5118"/>
    <cellStyle name="Заголовок 3 4 2 3" xfId="2036"/>
    <cellStyle name="Заголовок 3 4 2 3 2" xfId="2037"/>
    <cellStyle name="Заголовок 3 4 2 4" xfId="2038"/>
    <cellStyle name="Заголовок 3 4 2 4 2" xfId="5119"/>
    <cellStyle name="Заголовок 3 4 2 5" xfId="2039"/>
    <cellStyle name="Заголовок 3 4 2 5 2" xfId="5120"/>
    <cellStyle name="Заголовок 3 4 2 6" xfId="5121"/>
    <cellStyle name="Заголовок 3 4 3" xfId="2040"/>
    <cellStyle name="Заголовок 3 4 3 2" xfId="5122"/>
    <cellStyle name="Заголовок 3 4 4" xfId="2041"/>
    <cellStyle name="Заголовок 3 4 4 2" xfId="2042"/>
    <cellStyle name="Заголовок 3 4 5" xfId="2043"/>
    <cellStyle name="Заголовок 3 4 5 2" xfId="5123"/>
    <cellStyle name="Заголовок 3 4 6" xfId="2044"/>
    <cellStyle name="Заголовок 3 4 6 2" xfId="5124"/>
    <cellStyle name="Заголовок 3 4 7" xfId="5125"/>
    <cellStyle name="Заголовок 3 4_46EE.2011(v1.0)" xfId="2045"/>
    <cellStyle name="Заголовок 3 5" xfId="2046"/>
    <cellStyle name="Заголовок 3 5 2" xfId="2047"/>
    <cellStyle name="Заголовок 3 5 2 2" xfId="2048"/>
    <cellStyle name="Заголовок 3 5 2 2 2" xfId="5126"/>
    <cellStyle name="Заголовок 3 5 2 3" xfId="2049"/>
    <cellStyle name="Заголовок 3 5 2 3 2" xfId="2050"/>
    <cellStyle name="Заголовок 3 5 2 4" xfId="2051"/>
    <cellStyle name="Заголовок 3 5 2 4 2" xfId="5127"/>
    <cellStyle name="Заголовок 3 5 2 5" xfId="2052"/>
    <cellStyle name="Заголовок 3 5 2 5 2" xfId="5128"/>
    <cellStyle name="Заголовок 3 5 2 6" xfId="5129"/>
    <cellStyle name="Заголовок 3 5 3" xfId="2053"/>
    <cellStyle name="Заголовок 3 5 3 2" xfId="5130"/>
    <cellStyle name="Заголовок 3 5 4" xfId="2054"/>
    <cellStyle name="Заголовок 3 5 4 2" xfId="2055"/>
    <cellStyle name="Заголовок 3 5 5" xfId="2056"/>
    <cellStyle name="Заголовок 3 5 5 2" xfId="5131"/>
    <cellStyle name="Заголовок 3 5 6" xfId="2057"/>
    <cellStyle name="Заголовок 3 5 6 2" xfId="5132"/>
    <cellStyle name="Заголовок 3 5 7" xfId="5133"/>
    <cellStyle name="Заголовок 3 5_46EE.2011(v1.0)" xfId="2058"/>
    <cellStyle name="Заголовок 3 6" xfId="2059"/>
    <cellStyle name="Заголовок 3 6 2" xfId="2060"/>
    <cellStyle name="Заголовок 3 6 2 2" xfId="2061"/>
    <cellStyle name="Заголовок 3 6 2 2 2" xfId="5134"/>
    <cellStyle name="Заголовок 3 6 2 3" xfId="2062"/>
    <cellStyle name="Заголовок 3 6 2 3 2" xfId="2063"/>
    <cellStyle name="Заголовок 3 6 2 4" xfId="2064"/>
    <cellStyle name="Заголовок 3 6 2 4 2" xfId="5135"/>
    <cellStyle name="Заголовок 3 6 2 5" xfId="2065"/>
    <cellStyle name="Заголовок 3 6 2 5 2" xfId="5136"/>
    <cellStyle name="Заголовок 3 6 2 6" xfId="5137"/>
    <cellStyle name="Заголовок 3 6 3" xfId="2066"/>
    <cellStyle name="Заголовок 3 6 3 2" xfId="5138"/>
    <cellStyle name="Заголовок 3 6 4" xfId="2067"/>
    <cellStyle name="Заголовок 3 6 4 2" xfId="2068"/>
    <cellStyle name="Заголовок 3 6 5" xfId="2069"/>
    <cellStyle name="Заголовок 3 6 5 2" xfId="5139"/>
    <cellStyle name="Заголовок 3 6 6" xfId="2070"/>
    <cellStyle name="Заголовок 3 6 6 2" xfId="5140"/>
    <cellStyle name="Заголовок 3 6 7" xfId="5141"/>
    <cellStyle name="Заголовок 3 6_46EE.2011(v1.0)" xfId="2071"/>
    <cellStyle name="Заголовок 3 7" xfId="2072"/>
    <cellStyle name="Заголовок 3 7 2" xfId="2073"/>
    <cellStyle name="Заголовок 3 7 2 2" xfId="2074"/>
    <cellStyle name="Заголовок 3 7 2 2 2" xfId="5142"/>
    <cellStyle name="Заголовок 3 7 2 3" xfId="2075"/>
    <cellStyle name="Заголовок 3 7 2 3 2" xfId="2076"/>
    <cellStyle name="Заголовок 3 7 2 4" xfId="2077"/>
    <cellStyle name="Заголовок 3 7 2 4 2" xfId="5143"/>
    <cellStyle name="Заголовок 3 7 2 5" xfId="2078"/>
    <cellStyle name="Заголовок 3 7 2 5 2" xfId="5144"/>
    <cellStyle name="Заголовок 3 7 2 6" xfId="5145"/>
    <cellStyle name="Заголовок 3 7 3" xfId="2079"/>
    <cellStyle name="Заголовок 3 7 3 2" xfId="5146"/>
    <cellStyle name="Заголовок 3 7 4" xfId="2080"/>
    <cellStyle name="Заголовок 3 7 4 2" xfId="2081"/>
    <cellStyle name="Заголовок 3 7 5" xfId="2082"/>
    <cellStyle name="Заголовок 3 7 5 2" xfId="5147"/>
    <cellStyle name="Заголовок 3 7 6" xfId="2083"/>
    <cellStyle name="Заголовок 3 7 6 2" xfId="5148"/>
    <cellStyle name="Заголовок 3 7 7" xfId="5149"/>
    <cellStyle name="Заголовок 3 7_46EE.2011(v1.0)" xfId="2084"/>
    <cellStyle name="Заголовок 3 8" xfId="2085"/>
    <cellStyle name="Заголовок 3 8 2" xfId="2086"/>
    <cellStyle name="Заголовок 3 8 2 2" xfId="2087"/>
    <cellStyle name="Заголовок 3 8 2 2 2" xfId="5150"/>
    <cellStyle name="Заголовок 3 8 2 3" xfId="2088"/>
    <cellStyle name="Заголовок 3 8 2 3 2" xfId="2089"/>
    <cellStyle name="Заголовок 3 8 2 4" xfId="2090"/>
    <cellStyle name="Заголовок 3 8 2 4 2" xfId="5151"/>
    <cellStyle name="Заголовок 3 8 2 5" xfId="2091"/>
    <cellStyle name="Заголовок 3 8 2 5 2" xfId="5152"/>
    <cellStyle name="Заголовок 3 8 2 6" xfId="5153"/>
    <cellStyle name="Заголовок 3 8 3" xfId="2092"/>
    <cellStyle name="Заголовок 3 8 3 2" xfId="5154"/>
    <cellStyle name="Заголовок 3 8 4" xfId="2093"/>
    <cellStyle name="Заголовок 3 8 4 2" xfId="2094"/>
    <cellStyle name="Заголовок 3 8 5" xfId="2095"/>
    <cellStyle name="Заголовок 3 8 5 2" xfId="5155"/>
    <cellStyle name="Заголовок 3 8 6" xfId="2096"/>
    <cellStyle name="Заголовок 3 8 6 2" xfId="5156"/>
    <cellStyle name="Заголовок 3 8 7" xfId="5157"/>
    <cellStyle name="Заголовок 3 8_46EE.2011(v1.0)" xfId="2097"/>
    <cellStyle name="Заголовок 3 9" xfId="2098"/>
    <cellStyle name="Заголовок 3 9 2" xfId="2099"/>
    <cellStyle name="Заголовок 3 9 2 2" xfId="2100"/>
    <cellStyle name="Заголовок 3 9 2 2 2" xfId="5158"/>
    <cellStyle name="Заголовок 3 9 2 3" xfId="2101"/>
    <cellStyle name="Заголовок 3 9 2 3 2" xfId="2102"/>
    <cellStyle name="Заголовок 3 9 2 4" xfId="2103"/>
    <cellStyle name="Заголовок 3 9 2 4 2" xfId="5159"/>
    <cellStyle name="Заголовок 3 9 2 5" xfId="2104"/>
    <cellStyle name="Заголовок 3 9 2 5 2" xfId="5160"/>
    <cellStyle name="Заголовок 3 9 2 6" xfId="5161"/>
    <cellStyle name="Заголовок 3 9 3" xfId="2105"/>
    <cellStyle name="Заголовок 3 9 3 2" xfId="5162"/>
    <cellStyle name="Заголовок 3 9 4" xfId="2106"/>
    <cellStyle name="Заголовок 3 9 4 2" xfId="2107"/>
    <cellStyle name="Заголовок 3 9 5" xfId="2108"/>
    <cellStyle name="Заголовок 3 9 5 2" xfId="5163"/>
    <cellStyle name="Заголовок 3 9 6" xfId="2109"/>
    <cellStyle name="Заголовок 3 9 6 2" xfId="5164"/>
    <cellStyle name="Заголовок 3 9 7" xfId="5165"/>
    <cellStyle name="Заголовок 3 9_46EE.2011(v1.0)" xfId="2110"/>
    <cellStyle name="Заголовок 4 10" xfId="2111"/>
    <cellStyle name="Заголовок 4 2" xfId="2112"/>
    <cellStyle name="Заголовок 4 2 2" xfId="2113"/>
    <cellStyle name="Заголовок 4 3" xfId="2114"/>
    <cellStyle name="Заголовок 4 3 2" xfId="2115"/>
    <cellStyle name="Заголовок 4 3 3" xfId="2116"/>
    <cellStyle name="Заголовок 4 3 3 2" xfId="2117"/>
    <cellStyle name="Заголовок 4 3 4" xfId="5166"/>
    <cellStyle name="Заголовок 4 4" xfId="2118"/>
    <cellStyle name="Заголовок 4 4 2" xfId="2119"/>
    <cellStyle name="Заголовок 4 5" xfId="2120"/>
    <cellStyle name="Заголовок 4 5 2" xfId="2121"/>
    <cellStyle name="Заголовок 4 6" xfId="2122"/>
    <cellStyle name="Заголовок 4 6 2" xfId="2123"/>
    <cellStyle name="Заголовок 4 7" xfId="2124"/>
    <cellStyle name="Заголовок 4 7 2" xfId="2125"/>
    <cellStyle name="Заголовок 4 8" xfId="2126"/>
    <cellStyle name="Заголовок 4 8 2" xfId="2127"/>
    <cellStyle name="Заголовок 4 9" xfId="2128"/>
    <cellStyle name="Заголовок 4 9 2" xfId="2129"/>
    <cellStyle name="ЗАГОЛОВОК1" xfId="2130"/>
    <cellStyle name="ЗАГОЛОВОК2" xfId="2131"/>
    <cellStyle name="ЗаголовокСтолбца" xfId="6"/>
    <cellStyle name="ЗаголовокСтолбца 2" xfId="5167"/>
    <cellStyle name="ЗаголовокСтолбца 2 2" xfId="5168"/>
    <cellStyle name="ЗаголовокСтолбца 3" xfId="5169"/>
    <cellStyle name="Защитный" xfId="2132"/>
    <cellStyle name="Значение" xfId="9"/>
    <cellStyle name="Значение 2" xfId="2133"/>
    <cellStyle name="Значение 3" xfId="5170"/>
    <cellStyle name="Значение 3 2" xfId="5171"/>
    <cellStyle name="Зоголовок" xfId="2134"/>
    <cellStyle name="Итог 10" xfId="2135"/>
    <cellStyle name="Итог 10 2" xfId="5172"/>
    <cellStyle name="Итог 2" xfId="2136"/>
    <cellStyle name="Итог 2 2" xfId="2137"/>
    <cellStyle name="Итог 2 2 2" xfId="2138"/>
    <cellStyle name="Итог 2 2 2 2" xfId="5173"/>
    <cellStyle name="Итог 2 2 3" xfId="5174"/>
    <cellStyle name="Итог 2 2 3 2" xfId="5175"/>
    <cellStyle name="Итог 2 2 4" xfId="5176"/>
    <cellStyle name="Итог 2 3" xfId="2139"/>
    <cellStyle name="Итог 2 3 2" xfId="5177"/>
    <cellStyle name="Итог 2 4" xfId="5178"/>
    <cellStyle name="Итог 2 4 2" xfId="5179"/>
    <cellStyle name="Итог 2 5" xfId="5180"/>
    <cellStyle name="Итог 2_46EE.2011(v1.0)" xfId="2140"/>
    <cellStyle name="Итог 3" xfId="2141"/>
    <cellStyle name="Итог 3 2" xfId="2142"/>
    <cellStyle name="Итог 3 2 2" xfId="2143"/>
    <cellStyle name="Итог 3 2 2 2" xfId="5181"/>
    <cellStyle name="Итог 3 2 3" xfId="5182"/>
    <cellStyle name="Итог 3 2 3 2" xfId="5183"/>
    <cellStyle name="Итог 3 2 4" xfId="5184"/>
    <cellStyle name="Итог 3 3" xfId="2144"/>
    <cellStyle name="Итог 3 3 2" xfId="2145"/>
    <cellStyle name="Итог 3 3 2 2" xfId="5185"/>
    <cellStyle name="Итог 3 3 3" xfId="5186"/>
    <cellStyle name="Итог 3 4" xfId="5187"/>
    <cellStyle name="Итог 3 4 2" xfId="5188"/>
    <cellStyle name="Итог 3 5" xfId="5189"/>
    <cellStyle name="Итог 3 6" xfId="5190"/>
    <cellStyle name="Итог 3_46EE.2011(v1.0)" xfId="2146"/>
    <cellStyle name="Итог 4" xfId="2147"/>
    <cellStyle name="Итог 4 2" xfId="2148"/>
    <cellStyle name="Итог 4 2 2" xfId="2149"/>
    <cellStyle name="Итог 4 2 2 2" xfId="5191"/>
    <cellStyle name="Итог 4 2 3" xfId="5192"/>
    <cellStyle name="Итог 4 2 3 2" xfId="5193"/>
    <cellStyle name="Итог 4 2 4" xfId="5194"/>
    <cellStyle name="Итог 4 3" xfId="2150"/>
    <cellStyle name="Итог 4 3 2" xfId="5195"/>
    <cellStyle name="Итог 4 4" xfId="5196"/>
    <cellStyle name="Итог 4 4 2" xfId="5197"/>
    <cellStyle name="Итог 4 5" xfId="5198"/>
    <cellStyle name="Итог 4_46EE.2011(v1.0)" xfId="2151"/>
    <cellStyle name="Итог 5" xfId="2152"/>
    <cellStyle name="Итог 5 2" xfId="2153"/>
    <cellStyle name="Итог 5 2 2" xfId="2154"/>
    <cellStyle name="Итог 5 2 2 2" xfId="5199"/>
    <cellStyle name="Итог 5 2 3" xfId="5200"/>
    <cellStyle name="Итог 5 2 3 2" xfId="5201"/>
    <cellStyle name="Итог 5 2 4" xfId="5202"/>
    <cellStyle name="Итог 5 3" xfId="2155"/>
    <cellStyle name="Итог 5 3 2" xfId="5203"/>
    <cellStyle name="Итог 5 4" xfId="5204"/>
    <cellStyle name="Итог 5 4 2" xfId="5205"/>
    <cellStyle name="Итог 5 5" xfId="5206"/>
    <cellStyle name="Итог 5_46EE.2011(v1.0)" xfId="2156"/>
    <cellStyle name="Итог 6" xfId="2157"/>
    <cellStyle name="Итог 6 2" xfId="2158"/>
    <cellStyle name="Итог 6 2 2" xfId="2159"/>
    <cellStyle name="Итог 6 2 2 2" xfId="5207"/>
    <cellStyle name="Итог 6 2 3" xfId="5208"/>
    <cellStyle name="Итог 6 2 3 2" xfId="5209"/>
    <cellStyle name="Итог 6 2 4" xfId="5210"/>
    <cellStyle name="Итог 6 3" xfId="2160"/>
    <cellStyle name="Итог 6 3 2" xfId="5211"/>
    <cellStyle name="Итог 6 4" xfId="5212"/>
    <cellStyle name="Итог 6 4 2" xfId="5213"/>
    <cellStyle name="Итог 6 5" xfId="5214"/>
    <cellStyle name="Итог 6_46EE.2011(v1.0)" xfId="2161"/>
    <cellStyle name="Итог 7" xfId="2162"/>
    <cellStyle name="Итог 7 2" xfId="2163"/>
    <cellStyle name="Итог 7 2 2" xfId="2164"/>
    <cellStyle name="Итог 7 2 2 2" xfId="5215"/>
    <cellStyle name="Итог 7 2 3" xfId="5216"/>
    <cellStyle name="Итог 7 2 3 2" xfId="5217"/>
    <cellStyle name="Итог 7 2 4" xfId="5218"/>
    <cellStyle name="Итог 7 3" xfId="2165"/>
    <cellStyle name="Итог 7 3 2" xfId="5219"/>
    <cellStyle name="Итог 7 4" xfId="5220"/>
    <cellStyle name="Итог 7 4 2" xfId="5221"/>
    <cellStyle name="Итог 7 5" xfId="5222"/>
    <cellStyle name="Итог 7_46EE.2011(v1.0)" xfId="2166"/>
    <cellStyle name="Итог 8" xfId="2167"/>
    <cellStyle name="Итог 8 2" xfId="2168"/>
    <cellStyle name="Итог 8 2 2" xfId="2169"/>
    <cellStyle name="Итог 8 2 2 2" xfId="5223"/>
    <cellStyle name="Итог 8 2 3" xfId="5224"/>
    <cellStyle name="Итог 8 2 3 2" xfId="5225"/>
    <cellStyle name="Итог 8 2 4" xfId="5226"/>
    <cellStyle name="Итог 8 3" xfId="2170"/>
    <cellStyle name="Итог 8 3 2" xfId="5227"/>
    <cellStyle name="Итог 8 4" xfId="5228"/>
    <cellStyle name="Итог 8 4 2" xfId="5229"/>
    <cellStyle name="Итог 8 5" xfId="5230"/>
    <cellStyle name="Итог 8_46EE.2011(v1.0)" xfId="2171"/>
    <cellStyle name="Итог 9" xfId="2172"/>
    <cellStyle name="Итог 9 2" xfId="2173"/>
    <cellStyle name="Итог 9 2 2" xfId="2174"/>
    <cellStyle name="Итог 9 2 2 2" xfId="5231"/>
    <cellStyle name="Итог 9 2 3" xfId="5232"/>
    <cellStyle name="Итог 9 2 3 2" xfId="5233"/>
    <cellStyle name="Итог 9 2 4" xfId="5234"/>
    <cellStyle name="Итог 9 3" xfId="2175"/>
    <cellStyle name="Итог 9 3 2" xfId="5235"/>
    <cellStyle name="Итог 9 4" xfId="5236"/>
    <cellStyle name="Итог 9 4 2" xfId="5237"/>
    <cellStyle name="Итог 9 5" xfId="5238"/>
    <cellStyle name="Итог 9_46EE.2011(v1.0)" xfId="2176"/>
    <cellStyle name="Итого" xfId="2177"/>
    <cellStyle name="Итого 2" xfId="2178"/>
    <cellStyle name="Итого 3" xfId="5239"/>
    <cellStyle name="Итого 3 2" xfId="5240"/>
    <cellStyle name="ИТОГОВЫЙ" xfId="2179"/>
    <cellStyle name="ИТОГОВЫЙ 2" xfId="2180"/>
    <cellStyle name="ИТОГОВЫЙ 3" xfId="2181"/>
    <cellStyle name="ИТОГОВЫЙ 4" xfId="2182"/>
    <cellStyle name="ИТОГОВЫЙ 5" xfId="2183"/>
    <cellStyle name="ИТОГОВЫЙ 6" xfId="2184"/>
    <cellStyle name="ИТОГОВЫЙ 7" xfId="2185"/>
    <cellStyle name="ИТОГОВЫЙ 8" xfId="2186"/>
    <cellStyle name="ИТОГОВЫЙ 9" xfId="2187"/>
    <cellStyle name="ИТОГОВЫЙ_1" xfId="2188"/>
    <cellStyle name="Контрольная ячейка 10" xfId="2189"/>
    <cellStyle name="Контрольная ячейка 2" xfId="2190"/>
    <cellStyle name="Контрольная ячейка 2 2" xfId="2191"/>
    <cellStyle name="Контрольная ячейка 2_46EE.2011(v1.0)" xfId="2192"/>
    <cellStyle name="Контрольная ячейка 3" xfId="2193"/>
    <cellStyle name="Контрольная ячейка 3 2" xfId="2194"/>
    <cellStyle name="Контрольная ячейка 3 3" xfId="2195"/>
    <cellStyle name="Контрольная ячейка 3 3 2" xfId="2196"/>
    <cellStyle name="Контрольная ячейка 3 4" xfId="5241"/>
    <cellStyle name="Контрольная ячейка 3_46EE.2011(v1.0)" xfId="2197"/>
    <cellStyle name="Контрольная ячейка 4" xfId="2198"/>
    <cellStyle name="Контрольная ячейка 4 2" xfId="2199"/>
    <cellStyle name="Контрольная ячейка 4_46EE.2011(v1.0)" xfId="2200"/>
    <cellStyle name="Контрольная ячейка 5" xfId="2201"/>
    <cellStyle name="Контрольная ячейка 5 2" xfId="2202"/>
    <cellStyle name="Контрольная ячейка 5_46EE.2011(v1.0)" xfId="2203"/>
    <cellStyle name="Контрольная ячейка 6" xfId="2204"/>
    <cellStyle name="Контрольная ячейка 6 2" xfId="2205"/>
    <cellStyle name="Контрольная ячейка 6_46EE.2011(v1.0)" xfId="2206"/>
    <cellStyle name="Контрольная ячейка 7" xfId="2207"/>
    <cellStyle name="Контрольная ячейка 7 2" xfId="2208"/>
    <cellStyle name="Контрольная ячейка 7_46EE.2011(v1.0)" xfId="2209"/>
    <cellStyle name="Контрольная ячейка 8" xfId="2210"/>
    <cellStyle name="Контрольная ячейка 8 2" xfId="2211"/>
    <cellStyle name="Контрольная ячейка 8_46EE.2011(v1.0)" xfId="2212"/>
    <cellStyle name="Контрольная ячейка 9" xfId="2213"/>
    <cellStyle name="Контрольная ячейка 9 2" xfId="2214"/>
    <cellStyle name="Контрольная ячейка 9_46EE.2011(v1.0)" xfId="2215"/>
    <cellStyle name="Миша (бланки отчетности)" xfId="2216"/>
    <cellStyle name="Мой заголовок" xfId="2217"/>
    <cellStyle name="Мой заголовок листа" xfId="2218"/>
    <cellStyle name="Мой заголовок листа 2" xfId="2219"/>
    <cellStyle name="Мой заголовок листа 3" xfId="2220"/>
    <cellStyle name="Мой заголовок_Новая инструкция1_фст" xfId="2221"/>
    <cellStyle name="Мои наименования показателей" xfId="2222"/>
    <cellStyle name="Мои наименования показателей 2" xfId="2223"/>
    <cellStyle name="Мои наименования показателей 2 2" xfId="2224"/>
    <cellStyle name="Мои наименования показателей 2 3" xfId="2225"/>
    <cellStyle name="Мои наименования показателей 2 4" xfId="2226"/>
    <cellStyle name="Мои наименования показателей 2 5" xfId="2227"/>
    <cellStyle name="Мои наименования показателей 2 6" xfId="2228"/>
    <cellStyle name="Мои наименования показателей 2 7" xfId="2229"/>
    <cellStyle name="Мои наименования показателей 2 8" xfId="2230"/>
    <cellStyle name="Мои наименования показателей 2 9" xfId="2231"/>
    <cellStyle name="Мои наименования показателей 2_1" xfId="2232"/>
    <cellStyle name="Мои наименования показателей 3" xfId="2233"/>
    <cellStyle name="Мои наименования показателей 3 2" xfId="2234"/>
    <cellStyle name="Мои наименования показателей 3 3" xfId="2235"/>
    <cellStyle name="Мои наименования показателей 3 4" xfId="2236"/>
    <cellStyle name="Мои наименования показателей 3 5" xfId="2237"/>
    <cellStyle name="Мои наименования показателей 3 6" xfId="2238"/>
    <cellStyle name="Мои наименования показателей 3 7" xfId="2239"/>
    <cellStyle name="Мои наименования показателей 3 8" xfId="2240"/>
    <cellStyle name="Мои наименования показателей 3 9" xfId="2241"/>
    <cellStyle name="Мои наименования показателей 3_1" xfId="2242"/>
    <cellStyle name="Мои наименования показателей 4" xfId="2243"/>
    <cellStyle name="Мои наименования показателей 4 2" xfId="2244"/>
    <cellStyle name="Мои наименования показателей 4 3" xfId="2245"/>
    <cellStyle name="Мои наименования показателей 4 4" xfId="2246"/>
    <cellStyle name="Мои наименования показателей 4 5" xfId="2247"/>
    <cellStyle name="Мои наименования показателей 4 6" xfId="2248"/>
    <cellStyle name="Мои наименования показателей 4 7" xfId="2249"/>
    <cellStyle name="Мои наименования показателей 4 8" xfId="2250"/>
    <cellStyle name="Мои наименования показателей 4 9" xfId="2251"/>
    <cellStyle name="Мои наименования показателей 4_1" xfId="2252"/>
    <cellStyle name="Мои наименования показателей 5" xfId="2253"/>
    <cellStyle name="Мои наименования показателей 5 2" xfId="2254"/>
    <cellStyle name="Мои наименования показателей 5 3" xfId="2255"/>
    <cellStyle name="Мои наименования показателей 5 4" xfId="2256"/>
    <cellStyle name="Мои наименования показателей 5 5" xfId="2257"/>
    <cellStyle name="Мои наименования показателей 5 6" xfId="2258"/>
    <cellStyle name="Мои наименования показателей 5 7" xfId="2259"/>
    <cellStyle name="Мои наименования показателей 5 8" xfId="2260"/>
    <cellStyle name="Мои наименования показателей 5 9" xfId="2261"/>
    <cellStyle name="Мои наименования показателей 5_1" xfId="2262"/>
    <cellStyle name="Мои наименования показателей 6" xfId="2263"/>
    <cellStyle name="Мои наименования показателей 6 2" xfId="2264"/>
    <cellStyle name="Мои наименования показателей 6 3" xfId="2265"/>
    <cellStyle name="Мои наименования показателей 6_46EE.2011(v1.0)" xfId="2266"/>
    <cellStyle name="Мои наименования показателей 7" xfId="2267"/>
    <cellStyle name="Мои наименования показателей 7 2" xfId="2268"/>
    <cellStyle name="Мои наименования показателей 7 3" xfId="2269"/>
    <cellStyle name="Мои наименования показателей 7_46EE.2011(v1.0)" xfId="2270"/>
    <cellStyle name="Мои наименования показателей 8" xfId="2271"/>
    <cellStyle name="Мои наименования показателей 8 2" xfId="2272"/>
    <cellStyle name="Мои наименования показателей 8 3" xfId="2273"/>
    <cellStyle name="Мои наименования показателей 8_46EE.2011(v1.0)" xfId="2274"/>
    <cellStyle name="Мои наименования показателей_46EE.2011" xfId="2275"/>
    <cellStyle name="назв фил" xfId="2276"/>
    <cellStyle name="назв фил 2" xfId="2277"/>
    <cellStyle name="назв фил 3" xfId="5242"/>
    <cellStyle name="назв фил 3 2" xfId="5243"/>
    <cellStyle name="Название 10" xfId="2278"/>
    <cellStyle name="Название 2" xfId="2279"/>
    <cellStyle name="Название 2 2" xfId="2280"/>
    <cellStyle name="Название 3" xfId="2281"/>
    <cellStyle name="Название 3 2" xfId="2282"/>
    <cellStyle name="Название 4" xfId="2283"/>
    <cellStyle name="Название 4 2" xfId="2284"/>
    <cellStyle name="Название 5" xfId="2285"/>
    <cellStyle name="Название 5 2" xfId="2286"/>
    <cellStyle name="Название 6" xfId="2287"/>
    <cellStyle name="Название 6 2" xfId="2288"/>
    <cellStyle name="Название 7" xfId="2289"/>
    <cellStyle name="Название 7 2" xfId="2290"/>
    <cellStyle name="Название 8" xfId="2291"/>
    <cellStyle name="Название 8 2" xfId="2292"/>
    <cellStyle name="Название 9" xfId="2293"/>
    <cellStyle name="Название 9 2" xfId="2294"/>
    <cellStyle name="Невидимый" xfId="2295"/>
    <cellStyle name="Нейтральный" xfId="4661" builtinId="28"/>
    <cellStyle name="Нейтральный 10" xfId="2296"/>
    <cellStyle name="Нейтральный 2" xfId="2297"/>
    <cellStyle name="Нейтральный 2 2" xfId="2298"/>
    <cellStyle name="Нейтральный 3" xfId="2299"/>
    <cellStyle name="Нейтральный 3 2" xfId="2300"/>
    <cellStyle name="Нейтральный 3 3" xfId="2301"/>
    <cellStyle name="Нейтральный 3 3 2" xfId="2302"/>
    <cellStyle name="Нейтральный 3 4" xfId="5244"/>
    <cellStyle name="Нейтральный 4" xfId="2303"/>
    <cellStyle name="Нейтральный 4 2" xfId="2304"/>
    <cellStyle name="Нейтральный 5" xfId="2305"/>
    <cellStyle name="Нейтральный 5 2" xfId="2306"/>
    <cellStyle name="Нейтральный 6" xfId="2307"/>
    <cellStyle name="Нейтральный 6 2" xfId="2308"/>
    <cellStyle name="Нейтральный 7" xfId="2309"/>
    <cellStyle name="Нейтральный 7 2" xfId="2310"/>
    <cellStyle name="Нейтральный 8" xfId="2311"/>
    <cellStyle name="Нейтральный 8 2" xfId="2312"/>
    <cellStyle name="Нейтральный 9" xfId="2313"/>
    <cellStyle name="Нейтральный 9 2" xfId="2314"/>
    <cellStyle name="Низ1" xfId="2315"/>
    <cellStyle name="Низ1 2" xfId="5245"/>
    <cellStyle name="Низ2" xfId="2316"/>
    <cellStyle name="Обычный" xfId="0" builtinId="0"/>
    <cellStyle name="Обычный 10" xfId="2317"/>
    <cellStyle name="Обычный 10 2" xfId="2318"/>
    <cellStyle name="Обычный 10 2 2" xfId="2319"/>
    <cellStyle name="Обычный 10 2 2 2" xfId="2320"/>
    <cellStyle name="Обычный 10 2 2 2 2" xfId="2321"/>
    <cellStyle name="Обычный 10 2 2 3" xfId="2322"/>
    <cellStyle name="Обычный 10 3" xfId="2323"/>
    <cellStyle name="Обычный 10 3 2" xfId="2324"/>
    <cellStyle name="Обычный 10 3 2 2" xfId="2325"/>
    <cellStyle name="Обычный 10 3 2 2 2" xfId="2326"/>
    <cellStyle name="Обычный 10 3 2 3" xfId="2327"/>
    <cellStyle name="Обычный 10 4" xfId="12"/>
    <cellStyle name="Обычный 10 4 2" xfId="2328"/>
    <cellStyle name="Обычный 10 4 3" xfId="5246"/>
    <cellStyle name="Обычный 10 5" xfId="2329"/>
    <cellStyle name="Обычный 10 5 2" xfId="2330"/>
    <cellStyle name="Обычный 10 6" xfId="2331"/>
    <cellStyle name="Обычный 10 7" xfId="5247"/>
    <cellStyle name="Обычный 10_БДР по видам деят-ти за 12 г." xfId="2332"/>
    <cellStyle name="Обычный 11" xfId="2333"/>
    <cellStyle name="Обычный 11 2" xfId="2334"/>
    <cellStyle name="Обычный 11 2 2" xfId="2335"/>
    <cellStyle name="Обычный 11 3" xfId="2336"/>
    <cellStyle name="Обычный 11 3 2" xfId="2337"/>
    <cellStyle name="Обычный 11 3 2 2" xfId="2338"/>
    <cellStyle name="Обычный 11 3 3" xfId="2339"/>
    <cellStyle name="Обычный 11 4" xfId="2340"/>
    <cellStyle name="Обычный 11 5" xfId="2341"/>
    <cellStyle name="Обычный 11_46EE.2011(v1.2)" xfId="2342"/>
    <cellStyle name="Обычный 12" xfId="2343"/>
    <cellStyle name="Обычный 12 2" xfId="2344"/>
    <cellStyle name="Обычный 12 2 10" xfId="2345"/>
    <cellStyle name="Обычный 12 2 10 2" xfId="5729"/>
    <cellStyle name="Обычный 12 2 10 3" xfId="5730"/>
    <cellStyle name="Обычный 12 2 10 4" xfId="5731"/>
    <cellStyle name="Обычный 12 2 10 5" xfId="5732"/>
    <cellStyle name="Обычный 12 2 10 6" xfId="5733"/>
    <cellStyle name="Обычный 12 2 11" xfId="5248"/>
    <cellStyle name="Обычный 12 2 12" xfId="5734"/>
    <cellStyle name="Обычный 12 2 13" xfId="5735"/>
    <cellStyle name="Обычный 12 2 14" xfId="5736"/>
    <cellStyle name="Обычный 12 2 15" xfId="5737"/>
    <cellStyle name="Обычный 12 2 2" xfId="2346"/>
    <cellStyle name="Обычный 12 2 2 10" xfId="5738"/>
    <cellStyle name="Обычный 12 2 2 11" xfId="5739"/>
    <cellStyle name="Обычный 12 2 2 12" xfId="5740"/>
    <cellStyle name="Обычный 12 2 2 2" xfId="2347"/>
    <cellStyle name="Обычный 12 2 2 2 10" xfId="5741"/>
    <cellStyle name="Обычный 12 2 2 2 2" xfId="2348"/>
    <cellStyle name="Обычный 12 2 2 2 2 2" xfId="2349"/>
    <cellStyle name="Обычный 12 2 2 2 2 2 2" xfId="5742"/>
    <cellStyle name="Обычный 12 2 2 2 2 2 3" xfId="5743"/>
    <cellStyle name="Обычный 12 2 2 2 2 2 4" xfId="5744"/>
    <cellStyle name="Обычный 12 2 2 2 2 2 5" xfId="5745"/>
    <cellStyle name="Обычный 12 2 2 2 2 2 6" xfId="5746"/>
    <cellStyle name="Обычный 12 2 2 2 2 3" xfId="2350"/>
    <cellStyle name="Обычный 12 2 2 2 2 3 2" xfId="5747"/>
    <cellStyle name="Обычный 12 2 2 2 2 3 3" xfId="5748"/>
    <cellStyle name="Обычный 12 2 2 2 2 3 4" xfId="5749"/>
    <cellStyle name="Обычный 12 2 2 2 2 3 5" xfId="5750"/>
    <cellStyle name="Обычный 12 2 2 2 2 3 6" xfId="5751"/>
    <cellStyle name="Обычный 12 2 2 2 2 4" xfId="2351"/>
    <cellStyle name="Обычный 12 2 2 2 2 4 2" xfId="5752"/>
    <cellStyle name="Обычный 12 2 2 2 2 4 3" xfId="5753"/>
    <cellStyle name="Обычный 12 2 2 2 2 4 4" xfId="5754"/>
    <cellStyle name="Обычный 12 2 2 2 2 4 5" xfId="5755"/>
    <cellStyle name="Обычный 12 2 2 2 2 4 6" xfId="5756"/>
    <cellStyle name="Обычный 12 2 2 2 2 5" xfId="5757"/>
    <cellStyle name="Обычный 12 2 2 2 2 6" xfId="5758"/>
    <cellStyle name="Обычный 12 2 2 2 2 7" xfId="5759"/>
    <cellStyle name="Обычный 12 2 2 2 2 8" xfId="5760"/>
    <cellStyle name="Обычный 12 2 2 2 2 9" xfId="5761"/>
    <cellStyle name="Обычный 12 2 2 2 3" xfId="2352"/>
    <cellStyle name="Обычный 12 2 2 2 3 2" xfId="5762"/>
    <cellStyle name="Обычный 12 2 2 2 3 3" xfId="5763"/>
    <cellStyle name="Обычный 12 2 2 2 3 4" xfId="5764"/>
    <cellStyle name="Обычный 12 2 2 2 3 5" xfId="5765"/>
    <cellStyle name="Обычный 12 2 2 2 3 6" xfId="5766"/>
    <cellStyle name="Обычный 12 2 2 2 4" xfId="2353"/>
    <cellStyle name="Обычный 12 2 2 2 4 2" xfId="5767"/>
    <cellStyle name="Обычный 12 2 2 2 4 3" xfId="5768"/>
    <cellStyle name="Обычный 12 2 2 2 4 4" xfId="5769"/>
    <cellStyle name="Обычный 12 2 2 2 4 5" xfId="5770"/>
    <cellStyle name="Обычный 12 2 2 2 4 6" xfId="5771"/>
    <cellStyle name="Обычный 12 2 2 2 5" xfId="2354"/>
    <cellStyle name="Обычный 12 2 2 2 5 2" xfId="5772"/>
    <cellStyle name="Обычный 12 2 2 2 5 3" xfId="5773"/>
    <cellStyle name="Обычный 12 2 2 2 5 4" xfId="5774"/>
    <cellStyle name="Обычный 12 2 2 2 5 5" xfId="5775"/>
    <cellStyle name="Обычный 12 2 2 2 5 6" xfId="5776"/>
    <cellStyle name="Обычный 12 2 2 2 6" xfId="5777"/>
    <cellStyle name="Обычный 12 2 2 2 7" xfId="5778"/>
    <cellStyle name="Обычный 12 2 2 2 8" xfId="5779"/>
    <cellStyle name="Обычный 12 2 2 2 9" xfId="5780"/>
    <cellStyle name="Обычный 12 2 2 3" xfId="2355"/>
    <cellStyle name="Обычный 12 2 2 3 10" xfId="5781"/>
    <cellStyle name="Обычный 12 2 2 3 2" xfId="2356"/>
    <cellStyle name="Обычный 12 2 2 3 2 2" xfId="2357"/>
    <cellStyle name="Обычный 12 2 2 3 2 2 2" xfId="5782"/>
    <cellStyle name="Обычный 12 2 2 3 2 2 3" xfId="5783"/>
    <cellStyle name="Обычный 12 2 2 3 2 2 4" xfId="5784"/>
    <cellStyle name="Обычный 12 2 2 3 2 2 5" xfId="5785"/>
    <cellStyle name="Обычный 12 2 2 3 2 2 6" xfId="5786"/>
    <cellStyle name="Обычный 12 2 2 3 2 3" xfId="2358"/>
    <cellStyle name="Обычный 12 2 2 3 2 3 2" xfId="5787"/>
    <cellStyle name="Обычный 12 2 2 3 2 3 3" xfId="5788"/>
    <cellStyle name="Обычный 12 2 2 3 2 3 4" xfId="5789"/>
    <cellStyle name="Обычный 12 2 2 3 2 3 5" xfId="5790"/>
    <cellStyle name="Обычный 12 2 2 3 2 3 6" xfId="5791"/>
    <cellStyle name="Обычный 12 2 2 3 2 4" xfId="2359"/>
    <cellStyle name="Обычный 12 2 2 3 2 4 2" xfId="5792"/>
    <cellStyle name="Обычный 12 2 2 3 2 4 3" xfId="5793"/>
    <cellStyle name="Обычный 12 2 2 3 2 4 4" xfId="5794"/>
    <cellStyle name="Обычный 12 2 2 3 2 4 5" xfId="5795"/>
    <cellStyle name="Обычный 12 2 2 3 2 4 6" xfId="5796"/>
    <cellStyle name="Обычный 12 2 2 3 2 5" xfId="5797"/>
    <cellStyle name="Обычный 12 2 2 3 2 6" xfId="5798"/>
    <cellStyle name="Обычный 12 2 2 3 2 7" xfId="5799"/>
    <cellStyle name="Обычный 12 2 2 3 2 8" xfId="5800"/>
    <cellStyle name="Обычный 12 2 2 3 2 9" xfId="5801"/>
    <cellStyle name="Обычный 12 2 2 3 3" xfId="2360"/>
    <cellStyle name="Обычный 12 2 2 3 3 2" xfId="5802"/>
    <cellStyle name="Обычный 12 2 2 3 3 3" xfId="5803"/>
    <cellStyle name="Обычный 12 2 2 3 3 4" xfId="5804"/>
    <cellStyle name="Обычный 12 2 2 3 3 5" xfId="5805"/>
    <cellStyle name="Обычный 12 2 2 3 3 6" xfId="5806"/>
    <cellStyle name="Обычный 12 2 2 3 4" xfId="2361"/>
    <cellStyle name="Обычный 12 2 2 3 4 2" xfId="5807"/>
    <cellStyle name="Обычный 12 2 2 3 4 3" xfId="5808"/>
    <cellStyle name="Обычный 12 2 2 3 4 4" xfId="5809"/>
    <cellStyle name="Обычный 12 2 2 3 4 5" xfId="5810"/>
    <cellStyle name="Обычный 12 2 2 3 4 6" xfId="5811"/>
    <cellStyle name="Обычный 12 2 2 3 5" xfId="2362"/>
    <cellStyle name="Обычный 12 2 2 3 5 2" xfId="5812"/>
    <cellStyle name="Обычный 12 2 2 3 5 3" xfId="5813"/>
    <cellStyle name="Обычный 12 2 2 3 5 4" xfId="5814"/>
    <cellStyle name="Обычный 12 2 2 3 5 5" xfId="5815"/>
    <cellStyle name="Обычный 12 2 2 3 5 6" xfId="5816"/>
    <cellStyle name="Обычный 12 2 2 3 6" xfId="5817"/>
    <cellStyle name="Обычный 12 2 2 3 7" xfId="5818"/>
    <cellStyle name="Обычный 12 2 2 3 8" xfId="5819"/>
    <cellStyle name="Обычный 12 2 2 3 9" xfId="5820"/>
    <cellStyle name="Обычный 12 2 2 4" xfId="2363"/>
    <cellStyle name="Обычный 12 2 2 4 2" xfId="2364"/>
    <cellStyle name="Обычный 12 2 2 4 2 2" xfId="5821"/>
    <cellStyle name="Обычный 12 2 2 4 2 3" xfId="5822"/>
    <cellStyle name="Обычный 12 2 2 4 2 4" xfId="5823"/>
    <cellStyle name="Обычный 12 2 2 4 2 5" xfId="5824"/>
    <cellStyle name="Обычный 12 2 2 4 2 6" xfId="5825"/>
    <cellStyle name="Обычный 12 2 2 4 3" xfId="2365"/>
    <cellStyle name="Обычный 12 2 2 4 3 2" xfId="5826"/>
    <cellStyle name="Обычный 12 2 2 4 3 3" xfId="5827"/>
    <cellStyle name="Обычный 12 2 2 4 3 4" xfId="5828"/>
    <cellStyle name="Обычный 12 2 2 4 3 5" xfId="5829"/>
    <cellStyle name="Обычный 12 2 2 4 3 6" xfId="5830"/>
    <cellStyle name="Обычный 12 2 2 4 4" xfId="2366"/>
    <cellStyle name="Обычный 12 2 2 4 4 2" xfId="5831"/>
    <cellStyle name="Обычный 12 2 2 4 4 3" xfId="5832"/>
    <cellStyle name="Обычный 12 2 2 4 4 4" xfId="5833"/>
    <cellStyle name="Обычный 12 2 2 4 4 5" xfId="5834"/>
    <cellStyle name="Обычный 12 2 2 4 4 6" xfId="5835"/>
    <cellStyle name="Обычный 12 2 2 4 5" xfId="5836"/>
    <cellStyle name="Обычный 12 2 2 4 6" xfId="5837"/>
    <cellStyle name="Обычный 12 2 2 4 7" xfId="5838"/>
    <cellStyle name="Обычный 12 2 2 4 8" xfId="5839"/>
    <cellStyle name="Обычный 12 2 2 4 9" xfId="5840"/>
    <cellStyle name="Обычный 12 2 2 5" xfId="2367"/>
    <cellStyle name="Обычный 12 2 2 5 2" xfId="5841"/>
    <cellStyle name="Обычный 12 2 2 5 3" xfId="5842"/>
    <cellStyle name="Обычный 12 2 2 5 4" xfId="5843"/>
    <cellStyle name="Обычный 12 2 2 5 5" xfId="5844"/>
    <cellStyle name="Обычный 12 2 2 5 6" xfId="5845"/>
    <cellStyle name="Обычный 12 2 2 6" xfId="2368"/>
    <cellStyle name="Обычный 12 2 2 6 2" xfId="5846"/>
    <cellStyle name="Обычный 12 2 2 6 3" xfId="5847"/>
    <cellStyle name="Обычный 12 2 2 6 4" xfId="5848"/>
    <cellStyle name="Обычный 12 2 2 6 5" xfId="5849"/>
    <cellStyle name="Обычный 12 2 2 6 6" xfId="5850"/>
    <cellStyle name="Обычный 12 2 2 7" xfId="2369"/>
    <cellStyle name="Обычный 12 2 2 7 2" xfId="5851"/>
    <cellStyle name="Обычный 12 2 2 7 3" xfId="5852"/>
    <cellStyle name="Обычный 12 2 2 7 4" xfId="5853"/>
    <cellStyle name="Обычный 12 2 2 7 5" xfId="5854"/>
    <cellStyle name="Обычный 12 2 2 7 6" xfId="5855"/>
    <cellStyle name="Обычный 12 2 2 8" xfId="5856"/>
    <cellStyle name="Обычный 12 2 2 9" xfId="5857"/>
    <cellStyle name="Обычный 12 2 3" xfId="2370"/>
    <cellStyle name="Обычный 12 2 3 10" xfId="5858"/>
    <cellStyle name="Обычный 12 2 3 2" xfId="2371"/>
    <cellStyle name="Обычный 12 2 3 2 2" xfId="2372"/>
    <cellStyle name="Обычный 12 2 3 2 2 2" xfId="5859"/>
    <cellStyle name="Обычный 12 2 3 2 2 3" xfId="5860"/>
    <cellStyle name="Обычный 12 2 3 2 2 4" xfId="5861"/>
    <cellStyle name="Обычный 12 2 3 2 2 5" xfId="5862"/>
    <cellStyle name="Обычный 12 2 3 2 2 6" xfId="5863"/>
    <cellStyle name="Обычный 12 2 3 2 3" xfId="2373"/>
    <cellStyle name="Обычный 12 2 3 2 3 2" xfId="5864"/>
    <cellStyle name="Обычный 12 2 3 2 3 3" xfId="5865"/>
    <cellStyle name="Обычный 12 2 3 2 3 4" xfId="5866"/>
    <cellStyle name="Обычный 12 2 3 2 3 5" xfId="5867"/>
    <cellStyle name="Обычный 12 2 3 2 3 6" xfId="5868"/>
    <cellStyle name="Обычный 12 2 3 2 4" xfId="2374"/>
    <cellStyle name="Обычный 12 2 3 2 4 2" xfId="5869"/>
    <cellStyle name="Обычный 12 2 3 2 4 3" xfId="5870"/>
    <cellStyle name="Обычный 12 2 3 2 4 4" xfId="5871"/>
    <cellStyle name="Обычный 12 2 3 2 4 5" xfId="5872"/>
    <cellStyle name="Обычный 12 2 3 2 4 6" xfId="5873"/>
    <cellStyle name="Обычный 12 2 3 2 5" xfId="5874"/>
    <cellStyle name="Обычный 12 2 3 2 6" xfId="5875"/>
    <cellStyle name="Обычный 12 2 3 2 7" xfId="5876"/>
    <cellStyle name="Обычный 12 2 3 2 8" xfId="5877"/>
    <cellStyle name="Обычный 12 2 3 2 9" xfId="5878"/>
    <cellStyle name="Обычный 12 2 3 3" xfId="2375"/>
    <cellStyle name="Обычный 12 2 3 3 2" xfId="5879"/>
    <cellStyle name="Обычный 12 2 3 3 3" xfId="5880"/>
    <cellStyle name="Обычный 12 2 3 3 4" xfId="5881"/>
    <cellStyle name="Обычный 12 2 3 3 5" xfId="5882"/>
    <cellStyle name="Обычный 12 2 3 3 6" xfId="5883"/>
    <cellStyle name="Обычный 12 2 3 4" xfId="2376"/>
    <cellStyle name="Обычный 12 2 3 4 2" xfId="5884"/>
    <cellStyle name="Обычный 12 2 3 4 3" xfId="5885"/>
    <cellStyle name="Обычный 12 2 3 4 4" xfId="5886"/>
    <cellStyle name="Обычный 12 2 3 4 5" xfId="5887"/>
    <cellStyle name="Обычный 12 2 3 4 6" xfId="5888"/>
    <cellStyle name="Обычный 12 2 3 5" xfId="2377"/>
    <cellStyle name="Обычный 12 2 3 5 2" xfId="5889"/>
    <cellStyle name="Обычный 12 2 3 5 3" xfId="5890"/>
    <cellStyle name="Обычный 12 2 3 5 4" xfId="5891"/>
    <cellStyle name="Обычный 12 2 3 5 5" xfId="5892"/>
    <cellStyle name="Обычный 12 2 3 5 6" xfId="5893"/>
    <cellStyle name="Обычный 12 2 3 6" xfId="5894"/>
    <cellStyle name="Обычный 12 2 3 7" xfId="5895"/>
    <cellStyle name="Обычный 12 2 3 8" xfId="5896"/>
    <cellStyle name="Обычный 12 2 3 9" xfId="5897"/>
    <cellStyle name="Обычный 12 2 4" xfId="2378"/>
    <cellStyle name="Обычный 12 2 4 10" xfId="5898"/>
    <cellStyle name="Обычный 12 2 4 11" xfId="5899"/>
    <cellStyle name="Обычный 12 2 4 2" xfId="2379"/>
    <cellStyle name="Обычный 12 2 4 2 10" xfId="5900"/>
    <cellStyle name="Обычный 12 2 4 2 2" xfId="2380"/>
    <cellStyle name="Обычный 12 2 4 2 2 2" xfId="2381"/>
    <cellStyle name="Обычный 12 2 4 2 2 2 2" xfId="5901"/>
    <cellStyle name="Обычный 12 2 4 2 2 2 3" xfId="5902"/>
    <cellStyle name="Обычный 12 2 4 2 2 2 4" xfId="5903"/>
    <cellStyle name="Обычный 12 2 4 2 2 2 5" xfId="5904"/>
    <cellStyle name="Обычный 12 2 4 2 2 2 6" xfId="5905"/>
    <cellStyle name="Обычный 12 2 4 2 2 3" xfId="2382"/>
    <cellStyle name="Обычный 12 2 4 2 2 3 2" xfId="5906"/>
    <cellStyle name="Обычный 12 2 4 2 2 3 3" xfId="5907"/>
    <cellStyle name="Обычный 12 2 4 2 2 3 4" xfId="5908"/>
    <cellStyle name="Обычный 12 2 4 2 2 3 5" xfId="5909"/>
    <cellStyle name="Обычный 12 2 4 2 2 3 6" xfId="5910"/>
    <cellStyle name="Обычный 12 2 4 2 2 4" xfId="2383"/>
    <cellStyle name="Обычный 12 2 4 2 2 4 2" xfId="5911"/>
    <cellStyle name="Обычный 12 2 4 2 2 4 3" xfId="5912"/>
    <cellStyle name="Обычный 12 2 4 2 2 4 4" xfId="5913"/>
    <cellStyle name="Обычный 12 2 4 2 2 4 5" xfId="5914"/>
    <cellStyle name="Обычный 12 2 4 2 2 4 6" xfId="5915"/>
    <cellStyle name="Обычный 12 2 4 2 2 5" xfId="5916"/>
    <cellStyle name="Обычный 12 2 4 2 2 6" xfId="5917"/>
    <cellStyle name="Обычный 12 2 4 2 2 7" xfId="5918"/>
    <cellStyle name="Обычный 12 2 4 2 2 8" xfId="5919"/>
    <cellStyle name="Обычный 12 2 4 2 2 9" xfId="5920"/>
    <cellStyle name="Обычный 12 2 4 2 3" xfId="2384"/>
    <cellStyle name="Обычный 12 2 4 2 3 2" xfId="5921"/>
    <cellStyle name="Обычный 12 2 4 2 3 3" xfId="5922"/>
    <cellStyle name="Обычный 12 2 4 2 3 4" xfId="5923"/>
    <cellStyle name="Обычный 12 2 4 2 3 5" xfId="5924"/>
    <cellStyle name="Обычный 12 2 4 2 3 6" xfId="5925"/>
    <cellStyle name="Обычный 12 2 4 2 4" xfId="2385"/>
    <cellStyle name="Обычный 12 2 4 2 4 2" xfId="5926"/>
    <cellStyle name="Обычный 12 2 4 2 4 3" xfId="5927"/>
    <cellStyle name="Обычный 12 2 4 2 4 4" xfId="5928"/>
    <cellStyle name="Обычный 12 2 4 2 4 5" xfId="5929"/>
    <cellStyle name="Обычный 12 2 4 2 4 6" xfId="5930"/>
    <cellStyle name="Обычный 12 2 4 2 5" xfId="2386"/>
    <cellStyle name="Обычный 12 2 4 2 5 2" xfId="5931"/>
    <cellStyle name="Обычный 12 2 4 2 5 3" xfId="5932"/>
    <cellStyle name="Обычный 12 2 4 2 5 4" xfId="5933"/>
    <cellStyle name="Обычный 12 2 4 2 5 5" xfId="5934"/>
    <cellStyle name="Обычный 12 2 4 2 5 6" xfId="5935"/>
    <cellStyle name="Обычный 12 2 4 2 6" xfId="5936"/>
    <cellStyle name="Обычный 12 2 4 2 7" xfId="5937"/>
    <cellStyle name="Обычный 12 2 4 2 8" xfId="5938"/>
    <cellStyle name="Обычный 12 2 4 2 9" xfId="5939"/>
    <cellStyle name="Обычный 12 2 4 3" xfId="2387"/>
    <cellStyle name="Обычный 12 2 4 3 2" xfId="2388"/>
    <cellStyle name="Обычный 12 2 4 3 2 2" xfId="5940"/>
    <cellStyle name="Обычный 12 2 4 3 2 3" xfId="5941"/>
    <cellStyle name="Обычный 12 2 4 3 2 4" xfId="5942"/>
    <cellStyle name="Обычный 12 2 4 3 2 5" xfId="5943"/>
    <cellStyle name="Обычный 12 2 4 3 2 6" xfId="5944"/>
    <cellStyle name="Обычный 12 2 4 3 3" xfId="2389"/>
    <cellStyle name="Обычный 12 2 4 3 3 2" xfId="5945"/>
    <cellStyle name="Обычный 12 2 4 3 3 3" xfId="5946"/>
    <cellStyle name="Обычный 12 2 4 3 3 4" xfId="5947"/>
    <cellStyle name="Обычный 12 2 4 3 3 5" xfId="5948"/>
    <cellStyle name="Обычный 12 2 4 3 3 6" xfId="5949"/>
    <cellStyle name="Обычный 12 2 4 3 4" xfId="2390"/>
    <cellStyle name="Обычный 12 2 4 3 4 2" xfId="5950"/>
    <cellStyle name="Обычный 12 2 4 3 4 3" xfId="5951"/>
    <cellStyle name="Обычный 12 2 4 3 4 4" xfId="5952"/>
    <cellStyle name="Обычный 12 2 4 3 4 5" xfId="5953"/>
    <cellStyle name="Обычный 12 2 4 3 4 6" xfId="5954"/>
    <cellStyle name="Обычный 12 2 4 3 5" xfId="5955"/>
    <cellStyle name="Обычный 12 2 4 3 6" xfId="5956"/>
    <cellStyle name="Обычный 12 2 4 3 7" xfId="5957"/>
    <cellStyle name="Обычный 12 2 4 3 8" xfId="5958"/>
    <cellStyle name="Обычный 12 2 4 3 9" xfId="5959"/>
    <cellStyle name="Обычный 12 2 4 4" xfId="2391"/>
    <cellStyle name="Обычный 12 2 4 4 2" xfId="5960"/>
    <cellStyle name="Обычный 12 2 4 4 3" xfId="5961"/>
    <cellStyle name="Обычный 12 2 4 4 4" xfId="5962"/>
    <cellStyle name="Обычный 12 2 4 4 5" xfId="5963"/>
    <cellStyle name="Обычный 12 2 4 4 6" xfId="5964"/>
    <cellStyle name="Обычный 12 2 4 5" xfId="2392"/>
    <cellStyle name="Обычный 12 2 4 5 2" xfId="5965"/>
    <cellStyle name="Обычный 12 2 4 5 3" xfId="5966"/>
    <cellStyle name="Обычный 12 2 4 5 4" xfId="5967"/>
    <cellStyle name="Обычный 12 2 4 5 5" xfId="5968"/>
    <cellStyle name="Обычный 12 2 4 5 6" xfId="5969"/>
    <cellStyle name="Обычный 12 2 4 6" xfId="2393"/>
    <cellStyle name="Обычный 12 2 4 6 2" xfId="5970"/>
    <cellStyle name="Обычный 12 2 4 6 3" xfId="5971"/>
    <cellStyle name="Обычный 12 2 4 6 4" xfId="5972"/>
    <cellStyle name="Обычный 12 2 4 6 5" xfId="5973"/>
    <cellStyle name="Обычный 12 2 4 6 6" xfId="5974"/>
    <cellStyle name="Обычный 12 2 4 7" xfId="5975"/>
    <cellStyle name="Обычный 12 2 4 8" xfId="5976"/>
    <cellStyle name="Обычный 12 2 4 9" xfId="5977"/>
    <cellStyle name="Обычный 12 2 5" xfId="2394"/>
    <cellStyle name="Обычный 12 2 5 10" xfId="5978"/>
    <cellStyle name="Обычный 12 2 5 2" xfId="2395"/>
    <cellStyle name="Обычный 12 2 5 2 2" xfId="2396"/>
    <cellStyle name="Обычный 12 2 5 2 2 2" xfId="5979"/>
    <cellStyle name="Обычный 12 2 5 2 2 3" xfId="5980"/>
    <cellStyle name="Обычный 12 2 5 2 2 4" xfId="5981"/>
    <cellStyle name="Обычный 12 2 5 2 2 5" xfId="5982"/>
    <cellStyle name="Обычный 12 2 5 2 2 6" xfId="5983"/>
    <cellStyle name="Обычный 12 2 5 2 3" xfId="2397"/>
    <cellStyle name="Обычный 12 2 5 2 3 2" xfId="5984"/>
    <cellStyle name="Обычный 12 2 5 2 3 3" xfId="5985"/>
    <cellStyle name="Обычный 12 2 5 2 3 4" xfId="5986"/>
    <cellStyle name="Обычный 12 2 5 2 3 5" xfId="5987"/>
    <cellStyle name="Обычный 12 2 5 2 3 6" xfId="5988"/>
    <cellStyle name="Обычный 12 2 5 2 4" xfId="2398"/>
    <cellStyle name="Обычный 12 2 5 2 4 2" xfId="5989"/>
    <cellStyle name="Обычный 12 2 5 2 4 3" xfId="5990"/>
    <cellStyle name="Обычный 12 2 5 2 4 4" xfId="5991"/>
    <cellStyle name="Обычный 12 2 5 2 4 5" xfId="5992"/>
    <cellStyle name="Обычный 12 2 5 2 4 6" xfId="5993"/>
    <cellStyle name="Обычный 12 2 5 2 5" xfId="5994"/>
    <cellStyle name="Обычный 12 2 5 2 6" xfId="5995"/>
    <cellStyle name="Обычный 12 2 5 2 7" xfId="5996"/>
    <cellStyle name="Обычный 12 2 5 2 8" xfId="5997"/>
    <cellStyle name="Обычный 12 2 5 2 9" xfId="5998"/>
    <cellStyle name="Обычный 12 2 5 3" xfId="2399"/>
    <cellStyle name="Обычный 12 2 5 3 2" xfId="5999"/>
    <cellStyle name="Обычный 12 2 5 3 3" xfId="6000"/>
    <cellStyle name="Обычный 12 2 5 3 4" xfId="6001"/>
    <cellStyle name="Обычный 12 2 5 3 5" xfId="6002"/>
    <cellStyle name="Обычный 12 2 5 3 6" xfId="6003"/>
    <cellStyle name="Обычный 12 2 5 4" xfId="2400"/>
    <cellStyle name="Обычный 12 2 5 4 2" xfId="6004"/>
    <cellStyle name="Обычный 12 2 5 4 3" xfId="6005"/>
    <cellStyle name="Обычный 12 2 5 4 4" xfId="6006"/>
    <cellStyle name="Обычный 12 2 5 4 5" xfId="6007"/>
    <cellStyle name="Обычный 12 2 5 4 6" xfId="6008"/>
    <cellStyle name="Обычный 12 2 5 5" xfId="2401"/>
    <cellStyle name="Обычный 12 2 5 5 2" xfId="6009"/>
    <cellStyle name="Обычный 12 2 5 5 3" xfId="6010"/>
    <cellStyle name="Обычный 12 2 5 5 4" xfId="6011"/>
    <cellStyle name="Обычный 12 2 5 5 5" xfId="6012"/>
    <cellStyle name="Обычный 12 2 5 5 6" xfId="6013"/>
    <cellStyle name="Обычный 12 2 5 6" xfId="6014"/>
    <cellStyle name="Обычный 12 2 5 7" xfId="6015"/>
    <cellStyle name="Обычный 12 2 5 8" xfId="6016"/>
    <cellStyle name="Обычный 12 2 5 9" xfId="6017"/>
    <cellStyle name="Обычный 12 2 6" xfId="2402"/>
    <cellStyle name="Обычный 12 2 6 2" xfId="2403"/>
    <cellStyle name="Обычный 12 2 6 2 2" xfId="6018"/>
    <cellStyle name="Обычный 12 2 6 2 3" xfId="6019"/>
    <cellStyle name="Обычный 12 2 6 2 4" xfId="6020"/>
    <cellStyle name="Обычный 12 2 6 2 5" xfId="6021"/>
    <cellStyle name="Обычный 12 2 6 2 6" xfId="6022"/>
    <cellStyle name="Обычный 12 2 6 3" xfId="2404"/>
    <cellStyle name="Обычный 12 2 6 3 2" xfId="6023"/>
    <cellStyle name="Обычный 12 2 6 3 3" xfId="6024"/>
    <cellStyle name="Обычный 12 2 6 3 4" xfId="6025"/>
    <cellStyle name="Обычный 12 2 6 3 5" xfId="6026"/>
    <cellStyle name="Обычный 12 2 6 3 6" xfId="6027"/>
    <cellStyle name="Обычный 12 2 6 4" xfId="2405"/>
    <cellStyle name="Обычный 12 2 6 4 2" xfId="6028"/>
    <cellStyle name="Обычный 12 2 6 4 3" xfId="6029"/>
    <cellStyle name="Обычный 12 2 6 4 4" xfId="6030"/>
    <cellStyle name="Обычный 12 2 6 4 5" xfId="6031"/>
    <cellStyle name="Обычный 12 2 6 4 6" xfId="6032"/>
    <cellStyle name="Обычный 12 2 6 5" xfId="6033"/>
    <cellStyle name="Обычный 12 2 6 6" xfId="6034"/>
    <cellStyle name="Обычный 12 2 6 7" xfId="6035"/>
    <cellStyle name="Обычный 12 2 6 8" xfId="6036"/>
    <cellStyle name="Обычный 12 2 6 9" xfId="6037"/>
    <cellStyle name="Обычный 12 2 7" xfId="2406"/>
    <cellStyle name="Обычный 12 2 7 2" xfId="2407"/>
    <cellStyle name="Обычный 12 2 7 2 2" xfId="6038"/>
    <cellStyle name="Обычный 12 2 7 2 3" xfId="6039"/>
    <cellStyle name="Обычный 12 2 7 2 4" xfId="6040"/>
    <cellStyle name="Обычный 12 2 7 2 5" xfId="6041"/>
    <cellStyle name="Обычный 12 2 7 2 6" xfId="6042"/>
    <cellStyle name="Обычный 12 2 7 3" xfId="2408"/>
    <cellStyle name="Обычный 12 2 7 3 2" xfId="6043"/>
    <cellStyle name="Обычный 12 2 7 3 3" xfId="6044"/>
    <cellStyle name="Обычный 12 2 7 3 4" xfId="6045"/>
    <cellStyle name="Обычный 12 2 7 3 5" xfId="6046"/>
    <cellStyle name="Обычный 12 2 7 3 6" xfId="6047"/>
    <cellStyle name="Обычный 12 2 7 4" xfId="2409"/>
    <cellStyle name="Обычный 12 2 7 4 2" xfId="6048"/>
    <cellStyle name="Обычный 12 2 7 4 3" xfId="6049"/>
    <cellStyle name="Обычный 12 2 7 4 4" xfId="6050"/>
    <cellStyle name="Обычный 12 2 7 4 5" xfId="6051"/>
    <cellStyle name="Обычный 12 2 7 4 6" xfId="6052"/>
    <cellStyle name="Обычный 12 2 7 5" xfId="6053"/>
    <cellStyle name="Обычный 12 2 7 6" xfId="6054"/>
    <cellStyle name="Обычный 12 2 7 7" xfId="6055"/>
    <cellStyle name="Обычный 12 2 7 8" xfId="6056"/>
    <cellStyle name="Обычный 12 2 7 9" xfId="6057"/>
    <cellStyle name="Обычный 12 2 8" xfId="2410"/>
    <cellStyle name="Обычный 12 2 8 2" xfId="6058"/>
    <cellStyle name="Обычный 12 2 8 3" xfId="6059"/>
    <cellStyle name="Обычный 12 2 8 4" xfId="6060"/>
    <cellStyle name="Обычный 12 2 8 5" xfId="6061"/>
    <cellStyle name="Обычный 12 2 8 6" xfId="6062"/>
    <cellStyle name="Обычный 12 2 9" xfId="2411"/>
    <cellStyle name="Обычный 12 2 9 2" xfId="6063"/>
    <cellStyle name="Обычный 12 2 9 3" xfId="6064"/>
    <cellStyle name="Обычный 12 2 9 4" xfId="6065"/>
    <cellStyle name="Обычный 12 2 9 5" xfId="6066"/>
    <cellStyle name="Обычный 12 2 9 6" xfId="6067"/>
    <cellStyle name="Обычный 12 3" xfId="2412"/>
    <cellStyle name="Обычный 12 3 2" xfId="2413"/>
    <cellStyle name="Обычный 12 3 2 2" xfId="2414"/>
    <cellStyle name="Обычный 12 3 2 2 2" xfId="6068"/>
    <cellStyle name="Обычный 12 3 2 2 3" xfId="6069"/>
    <cellStyle name="Обычный 12 3 2 2 4" xfId="6070"/>
    <cellStyle name="Обычный 12 3 2 2 5" xfId="6071"/>
    <cellStyle name="Обычный 12 3 2 2 6" xfId="6072"/>
    <cellStyle name="Обычный 12 3 2 3" xfId="2415"/>
    <cellStyle name="Обычный 12 3 2 3 2" xfId="6073"/>
    <cellStyle name="Обычный 12 3 2 3 3" xfId="6074"/>
    <cellStyle name="Обычный 12 3 2 3 4" xfId="6075"/>
    <cellStyle name="Обычный 12 3 2 3 5" xfId="6076"/>
    <cellStyle name="Обычный 12 3 2 3 6" xfId="6077"/>
    <cellStyle name="Обычный 12 3 2 4" xfId="2416"/>
    <cellStyle name="Обычный 12 3 2 4 2" xfId="6078"/>
    <cellStyle name="Обычный 12 3 2 4 3" xfId="6079"/>
    <cellStyle name="Обычный 12 3 2 4 4" xfId="6080"/>
    <cellStyle name="Обычный 12 3 2 4 5" xfId="6081"/>
    <cellStyle name="Обычный 12 3 2 4 6" xfId="6082"/>
    <cellStyle name="Обычный 12 3 2 5" xfId="6083"/>
    <cellStyle name="Обычный 12 3 2 6" xfId="6084"/>
    <cellStyle name="Обычный 12 3 2 7" xfId="6085"/>
    <cellStyle name="Обычный 12 3 2 8" xfId="6086"/>
    <cellStyle name="Обычный 12 3 2 9" xfId="6087"/>
    <cellStyle name="Обычный 12 3 3" xfId="2417"/>
    <cellStyle name="Обычный 12 3 3 2" xfId="2418"/>
    <cellStyle name="Обычный 12 3 3 2 2" xfId="6088"/>
    <cellStyle name="Обычный 12 3 3 2 3" xfId="6089"/>
    <cellStyle name="Обычный 12 3 3 2 4" xfId="6090"/>
    <cellStyle name="Обычный 12 3 3 2 5" xfId="6091"/>
    <cellStyle name="Обычный 12 3 3 2 6" xfId="6092"/>
    <cellStyle name="Обычный 12 3 3 3" xfId="2419"/>
    <cellStyle name="Обычный 12 3 3 3 2" xfId="6093"/>
    <cellStyle name="Обычный 12 3 3 3 3" xfId="6094"/>
    <cellStyle name="Обычный 12 3 3 3 4" xfId="6095"/>
    <cellStyle name="Обычный 12 3 3 3 5" xfId="6096"/>
    <cellStyle name="Обычный 12 3 3 3 6" xfId="6097"/>
    <cellStyle name="Обычный 12 3 3 4" xfId="2420"/>
    <cellStyle name="Обычный 12 3 3 4 2" xfId="6098"/>
    <cellStyle name="Обычный 12 3 3 4 3" xfId="6099"/>
    <cellStyle name="Обычный 12 3 3 4 4" xfId="6100"/>
    <cellStyle name="Обычный 12 3 3 4 5" xfId="6101"/>
    <cellStyle name="Обычный 12 3 3 4 6" xfId="6102"/>
    <cellStyle name="Обычный 12 3 3 5" xfId="6103"/>
    <cellStyle name="Обычный 12 3 3 6" xfId="6104"/>
    <cellStyle name="Обычный 12 3 3 7" xfId="6105"/>
    <cellStyle name="Обычный 12 3 3 8" xfId="6106"/>
    <cellStyle name="Обычный 12 3 3 9" xfId="6107"/>
    <cellStyle name="Обычный 12 3 4" xfId="5249"/>
    <cellStyle name="Обычный 12 4" xfId="5250"/>
    <cellStyle name="Обычный 13" xfId="4"/>
    <cellStyle name="Обычный 13 2" xfId="2421"/>
    <cellStyle name="Обычный 13 3" xfId="2422"/>
    <cellStyle name="Обычный 13 3 2" xfId="2423"/>
    <cellStyle name="Обычный 13 4" xfId="2424"/>
    <cellStyle name="Обычный 13 5" xfId="5251"/>
    <cellStyle name="Обычный 14" xfId="2425"/>
    <cellStyle name="Обычный 14 2" xfId="3"/>
    <cellStyle name="Обычный 14 2 2" xfId="2426"/>
    <cellStyle name="Обычный 14 3" xfId="2427"/>
    <cellStyle name="Обычный 14 4" xfId="2428"/>
    <cellStyle name="Обычный 14 5" xfId="5252"/>
    <cellStyle name="Обычный 15" xfId="2429"/>
    <cellStyle name="Обычный 15 2" xfId="2430"/>
    <cellStyle name="Обычный 15 2 2" xfId="2431"/>
    <cellStyle name="Обычный 15 3" xfId="5253"/>
    <cellStyle name="Обычный 16" xfId="2432"/>
    <cellStyle name="Обычный 16 2" xfId="2433"/>
    <cellStyle name="Обычный 16 2 2" xfId="2434"/>
    <cellStyle name="Обычный 16 3" xfId="5254"/>
    <cellStyle name="Обычный 16 4" xfId="5255"/>
    <cellStyle name="Обычный 17" xfId="2435"/>
    <cellStyle name="Обычный 17 2" xfId="2436"/>
    <cellStyle name="Обычный 17 2 2" xfId="2437"/>
    <cellStyle name="Обычный 17 2 2 2" xfId="2438"/>
    <cellStyle name="Обычный 17 2 3" xfId="2439"/>
    <cellStyle name="Обычный 17 3" xfId="2440"/>
    <cellStyle name="Обычный 17 3 10" xfId="6108"/>
    <cellStyle name="Обычный 17 3 2" xfId="2441"/>
    <cellStyle name="Обычный 17 3 2 2" xfId="2442"/>
    <cellStyle name="Обычный 17 3 2 2 2" xfId="6109"/>
    <cellStyle name="Обычный 17 3 2 2 3" xfId="6110"/>
    <cellStyle name="Обычный 17 3 2 2 4" xfId="6111"/>
    <cellStyle name="Обычный 17 3 2 2 5" xfId="6112"/>
    <cellStyle name="Обычный 17 3 2 2 6" xfId="6113"/>
    <cellStyle name="Обычный 17 3 2 3" xfId="2443"/>
    <cellStyle name="Обычный 17 3 2 3 2" xfId="6114"/>
    <cellStyle name="Обычный 17 3 2 3 3" xfId="6115"/>
    <cellStyle name="Обычный 17 3 2 3 4" xfId="6116"/>
    <cellStyle name="Обычный 17 3 2 3 5" xfId="6117"/>
    <cellStyle name="Обычный 17 3 2 3 6" xfId="6118"/>
    <cellStyle name="Обычный 17 3 2 4" xfId="2444"/>
    <cellStyle name="Обычный 17 3 2 4 2" xfId="6119"/>
    <cellStyle name="Обычный 17 3 2 4 3" xfId="6120"/>
    <cellStyle name="Обычный 17 3 2 4 4" xfId="6121"/>
    <cellStyle name="Обычный 17 3 2 4 5" xfId="6122"/>
    <cellStyle name="Обычный 17 3 2 4 6" xfId="6123"/>
    <cellStyle name="Обычный 17 3 2 5" xfId="6124"/>
    <cellStyle name="Обычный 17 3 2 6" xfId="6125"/>
    <cellStyle name="Обычный 17 3 2 7" xfId="6126"/>
    <cellStyle name="Обычный 17 3 2 8" xfId="6127"/>
    <cellStyle name="Обычный 17 3 2 9" xfId="6128"/>
    <cellStyle name="Обычный 17 3 3" xfId="2445"/>
    <cellStyle name="Обычный 17 3 3 2" xfId="6129"/>
    <cellStyle name="Обычный 17 3 3 3" xfId="6130"/>
    <cellStyle name="Обычный 17 3 3 4" xfId="6131"/>
    <cellStyle name="Обычный 17 3 3 5" xfId="6132"/>
    <cellStyle name="Обычный 17 3 3 6" xfId="6133"/>
    <cellStyle name="Обычный 17 3 4" xfId="2446"/>
    <cellStyle name="Обычный 17 3 4 2" xfId="6134"/>
    <cellStyle name="Обычный 17 3 4 3" xfId="6135"/>
    <cellStyle name="Обычный 17 3 4 4" xfId="6136"/>
    <cellStyle name="Обычный 17 3 4 5" xfId="6137"/>
    <cellStyle name="Обычный 17 3 4 6" xfId="6138"/>
    <cellStyle name="Обычный 17 3 5" xfId="2447"/>
    <cellStyle name="Обычный 17 3 5 2" xfId="6139"/>
    <cellStyle name="Обычный 17 3 5 3" xfId="6140"/>
    <cellStyle name="Обычный 17 3 5 4" xfId="6141"/>
    <cellStyle name="Обычный 17 3 5 5" xfId="6142"/>
    <cellStyle name="Обычный 17 3 5 6" xfId="6143"/>
    <cellStyle name="Обычный 17 3 6" xfId="6144"/>
    <cellStyle name="Обычный 17 3 7" xfId="6145"/>
    <cellStyle name="Обычный 17 3 8" xfId="6146"/>
    <cellStyle name="Обычный 17 3 9" xfId="6147"/>
    <cellStyle name="Обычный 17 4" xfId="2448"/>
    <cellStyle name="Обычный 17 4 2" xfId="2449"/>
    <cellStyle name="Обычный 17 4 2 2" xfId="6148"/>
    <cellStyle name="Обычный 17 4 2 3" xfId="6149"/>
    <cellStyle name="Обычный 17 4 2 4" xfId="6150"/>
    <cellStyle name="Обычный 17 4 2 5" xfId="6151"/>
    <cellStyle name="Обычный 17 4 2 6" xfId="6152"/>
    <cellStyle name="Обычный 17 4 3" xfId="2450"/>
    <cellStyle name="Обычный 17 4 3 2" xfId="6153"/>
    <cellStyle name="Обычный 17 4 3 3" xfId="6154"/>
    <cellStyle name="Обычный 17 4 3 4" xfId="6155"/>
    <cellStyle name="Обычный 17 4 3 5" xfId="6156"/>
    <cellStyle name="Обычный 17 4 3 6" xfId="6157"/>
    <cellStyle name="Обычный 17 4 4" xfId="2451"/>
    <cellStyle name="Обычный 17 4 4 2" xfId="6158"/>
    <cellStyle name="Обычный 17 4 4 3" xfId="6159"/>
    <cellStyle name="Обычный 17 4 4 4" xfId="6160"/>
    <cellStyle name="Обычный 17 4 4 5" xfId="6161"/>
    <cellStyle name="Обычный 17 4 4 6" xfId="6162"/>
    <cellStyle name="Обычный 17 4 5" xfId="6163"/>
    <cellStyle name="Обычный 17 4 6" xfId="6164"/>
    <cellStyle name="Обычный 17 4 7" xfId="6165"/>
    <cellStyle name="Обычный 17 4 8" xfId="6166"/>
    <cellStyle name="Обычный 17 4 9" xfId="6167"/>
    <cellStyle name="Обычный 17 5" xfId="5256"/>
    <cellStyle name="Обычный 18" xfId="2452"/>
    <cellStyle name="Обычный 18 10" xfId="5257"/>
    <cellStyle name="Обычный 18 11" xfId="6168"/>
    <cellStyle name="Обычный 18 12" xfId="6169"/>
    <cellStyle name="Обычный 18 13" xfId="6170"/>
    <cellStyle name="Обычный 18 14" xfId="6171"/>
    <cellStyle name="Обычный 18 2" xfId="2453"/>
    <cellStyle name="Обычный 18 2 10" xfId="6172"/>
    <cellStyle name="Обычный 18 2 11" xfId="6173"/>
    <cellStyle name="Обычный 18 2 2" xfId="2454"/>
    <cellStyle name="Обычный 18 2 2 10" xfId="6174"/>
    <cellStyle name="Обычный 18 2 2 2" xfId="2455"/>
    <cellStyle name="Обычный 18 2 2 2 2" xfId="2456"/>
    <cellStyle name="Обычный 18 2 2 2 2 2" xfId="6175"/>
    <cellStyle name="Обычный 18 2 2 2 2 3" xfId="6176"/>
    <cellStyle name="Обычный 18 2 2 2 2 4" xfId="6177"/>
    <cellStyle name="Обычный 18 2 2 2 2 5" xfId="6178"/>
    <cellStyle name="Обычный 18 2 2 2 2 6" xfId="6179"/>
    <cellStyle name="Обычный 18 2 2 2 3" xfId="2457"/>
    <cellStyle name="Обычный 18 2 2 2 3 2" xfId="6180"/>
    <cellStyle name="Обычный 18 2 2 2 3 3" xfId="6181"/>
    <cellStyle name="Обычный 18 2 2 2 3 4" xfId="6182"/>
    <cellStyle name="Обычный 18 2 2 2 3 5" xfId="6183"/>
    <cellStyle name="Обычный 18 2 2 2 3 6" xfId="6184"/>
    <cellStyle name="Обычный 18 2 2 2 4" xfId="2458"/>
    <cellStyle name="Обычный 18 2 2 2 4 2" xfId="6185"/>
    <cellStyle name="Обычный 18 2 2 2 4 3" xfId="6186"/>
    <cellStyle name="Обычный 18 2 2 2 4 4" xfId="6187"/>
    <cellStyle name="Обычный 18 2 2 2 4 5" xfId="6188"/>
    <cellStyle name="Обычный 18 2 2 2 4 6" xfId="6189"/>
    <cellStyle name="Обычный 18 2 2 2 5" xfId="6190"/>
    <cellStyle name="Обычный 18 2 2 2 6" xfId="6191"/>
    <cellStyle name="Обычный 18 2 2 2 7" xfId="6192"/>
    <cellStyle name="Обычный 18 2 2 2 8" xfId="6193"/>
    <cellStyle name="Обычный 18 2 2 2 9" xfId="6194"/>
    <cellStyle name="Обычный 18 2 2 3" xfId="2459"/>
    <cellStyle name="Обычный 18 2 2 3 2" xfId="6195"/>
    <cellStyle name="Обычный 18 2 2 3 3" xfId="6196"/>
    <cellStyle name="Обычный 18 2 2 3 4" xfId="6197"/>
    <cellStyle name="Обычный 18 2 2 3 5" xfId="6198"/>
    <cellStyle name="Обычный 18 2 2 3 6" xfId="6199"/>
    <cellStyle name="Обычный 18 2 2 4" xfId="2460"/>
    <cellStyle name="Обычный 18 2 2 4 2" xfId="6200"/>
    <cellStyle name="Обычный 18 2 2 4 3" xfId="6201"/>
    <cellStyle name="Обычный 18 2 2 4 4" xfId="6202"/>
    <cellStyle name="Обычный 18 2 2 4 5" xfId="6203"/>
    <cellStyle name="Обычный 18 2 2 4 6" xfId="6204"/>
    <cellStyle name="Обычный 18 2 2 5" xfId="2461"/>
    <cellStyle name="Обычный 18 2 2 5 2" xfId="6205"/>
    <cellStyle name="Обычный 18 2 2 5 3" xfId="6206"/>
    <cellStyle name="Обычный 18 2 2 5 4" xfId="6207"/>
    <cellStyle name="Обычный 18 2 2 5 5" xfId="6208"/>
    <cellStyle name="Обычный 18 2 2 5 6" xfId="6209"/>
    <cellStyle name="Обычный 18 2 2 6" xfId="6210"/>
    <cellStyle name="Обычный 18 2 2 7" xfId="6211"/>
    <cellStyle name="Обычный 18 2 2 8" xfId="6212"/>
    <cellStyle name="Обычный 18 2 2 9" xfId="6213"/>
    <cellStyle name="Обычный 18 2 3" xfId="2462"/>
    <cellStyle name="Обычный 18 2 3 2" xfId="2463"/>
    <cellStyle name="Обычный 18 2 3 2 2" xfId="6214"/>
    <cellStyle name="Обычный 18 2 3 2 3" xfId="6215"/>
    <cellStyle name="Обычный 18 2 3 2 4" xfId="6216"/>
    <cellStyle name="Обычный 18 2 3 2 5" xfId="6217"/>
    <cellStyle name="Обычный 18 2 3 2 6" xfId="6218"/>
    <cellStyle name="Обычный 18 2 3 3" xfId="2464"/>
    <cellStyle name="Обычный 18 2 3 3 2" xfId="6219"/>
    <cellStyle name="Обычный 18 2 3 3 3" xfId="6220"/>
    <cellStyle name="Обычный 18 2 3 3 4" xfId="6221"/>
    <cellStyle name="Обычный 18 2 3 3 5" xfId="6222"/>
    <cellStyle name="Обычный 18 2 3 3 6" xfId="6223"/>
    <cellStyle name="Обычный 18 2 3 4" xfId="2465"/>
    <cellStyle name="Обычный 18 2 3 4 2" xfId="6224"/>
    <cellStyle name="Обычный 18 2 3 4 3" xfId="6225"/>
    <cellStyle name="Обычный 18 2 3 4 4" xfId="6226"/>
    <cellStyle name="Обычный 18 2 3 4 5" xfId="6227"/>
    <cellStyle name="Обычный 18 2 3 4 6" xfId="6228"/>
    <cellStyle name="Обычный 18 2 3 5" xfId="6229"/>
    <cellStyle name="Обычный 18 2 3 6" xfId="6230"/>
    <cellStyle name="Обычный 18 2 3 7" xfId="6231"/>
    <cellStyle name="Обычный 18 2 3 8" xfId="6232"/>
    <cellStyle name="Обычный 18 2 3 9" xfId="6233"/>
    <cellStyle name="Обычный 18 2 4" xfId="2466"/>
    <cellStyle name="Обычный 18 2 4 2" xfId="6234"/>
    <cellStyle name="Обычный 18 2 4 3" xfId="6235"/>
    <cellStyle name="Обычный 18 2 4 4" xfId="6236"/>
    <cellStyle name="Обычный 18 2 4 5" xfId="6237"/>
    <cellStyle name="Обычный 18 2 4 6" xfId="6238"/>
    <cellStyle name="Обычный 18 2 5" xfId="2467"/>
    <cellStyle name="Обычный 18 2 5 2" xfId="6239"/>
    <cellStyle name="Обычный 18 2 5 3" xfId="6240"/>
    <cellStyle name="Обычный 18 2 5 4" xfId="6241"/>
    <cellStyle name="Обычный 18 2 5 5" xfId="6242"/>
    <cellStyle name="Обычный 18 2 5 6" xfId="6243"/>
    <cellStyle name="Обычный 18 2 6" xfId="2468"/>
    <cellStyle name="Обычный 18 2 6 2" xfId="6244"/>
    <cellStyle name="Обычный 18 2 6 3" xfId="6245"/>
    <cellStyle name="Обычный 18 2 6 4" xfId="6246"/>
    <cellStyle name="Обычный 18 2 6 5" xfId="6247"/>
    <cellStyle name="Обычный 18 2 6 6" xfId="6248"/>
    <cellStyle name="Обычный 18 2 7" xfId="6249"/>
    <cellStyle name="Обычный 18 2 8" xfId="6250"/>
    <cellStyle name="Обычный 18 2 9" xfId="6251"/>
    <cellStyle name="Обычный 18 3" xfId="2469"/>
    <cellStyle name="Обычный 18 3 10" xfId="6252"/>
    <cellStyle name="Обычный 18 3 2" xfId="2470"/>
    <cellStyle name="Обычный 18 3 2 2" xfId="2471"/>
    <cellStyle name="Обычный 18 3 2 2 2" xfId="6253"/>
    <cellStyle name="Обычный 18 3 2 2 3" xfId="6254"/>
    <cellStyle name="Обычный 18 3 2 2 4" xfId="6255"/>
    <cellStyle name="Обычный 18 3 2 2 5" xfId="6256"/>
    <cellStyle name="Обычный 18 3 2 2 6" xfId="6257"/>
    <cellStyle name="Обычный 18 3 2 3" xfId="2472"/>
    <cellStyle name="Обычный 18 3 2 3 2" xfId="6258"/>
    <cellStyle name="Обычный 18 3 2 3 3" xfId="6259"/>
    <cellStyle name="Обычный 18 3 2 3 4" xfId="6260"/>
    <cellStyle name="Обычный 18 3 2 3 5" xfId="6261"/>
    <cellStyle name="Обычный 18 3 2 3 6" xfId="6262"/>
    <cellStyle name="Обычный 18 3 2 4" xfId="2473"/>
    <cellStyle name="Обычный 18 3 2 4 2" xfId="6263"/>
    <cellStyle name="Обычный 18 3 2 4 3" xfId="6264"/>
    <cellStyle name="Обычный 18 3 2 4 4" xfId="6265"/>
    <cellStyle name="Обычный 18 3 2 4 5" xfId="6266"/>
    <cellStyle name="Обычный 18 3 2 4 6" xfId="6267"/>
    <cellStyle name="Обычный 18 3 2 5" xfId="6268"/>
    <cellStyle name="Обычный 18 3 2 6" xfId="6269"/>
    <cellStyle name="Обычный 18 3 2 7" xfId="6270"/>
    <cellStyle name="Обычный 18 3 2 8" xfId="6271"/>
    <cellStyle name="Обычный 18 3 2 9" xfId="6272"/>
    <cellStyle name="Обычный 18 3 3" xfId="2474"/>
    <cellStyle name="Обычный 18 3 3 2" xfId="6273"/>
    <cellStyle name="Обычный 18 3 3 3" xfId="6274"/>
    <cellStyle name="Обычный 18 3 3 4" xfId="6275"/>
    <cellStyle name="Обычный 18 3 3 5" xfId="6276"/>
    <cellStyle name="Обычный 18 3 3 6" xfId="6277"/>
    <cellStyle name="Обычный 18 3 4" xfId="2475"/>
    <cellStyle name="Обычный 18 3 4 2" xfId="6278"/>
    <cellStyle name="Обычный 18 3 4 3" xfId="6279"/>
    <cellStyle name="Обычный 18 3 4 4" xfId="6280"/>
    <cellStyle name="Обычный 18 3 4 5" xfId="6281"/>
    <cellStyle name="Обычный 18 3 4 6" xfId="6282"/>
    <cellStyle name="Обычный 18 3 5" xfId="2476"/>
    <cellStyle name="Обычный 18 3 5 2" xfId="6283"/>
    <cellStyle name="Обычный 18 3 5 3" xfId="6284"/>
    <cellStyle name="Обычный 18 3 5 4" xfId="6285"/>
    <cellStyle name="Обычный 18 3 5 5" xfId="6286"/>
    <cellStyle name="Обычный 18 3 5 6" xfId="6287"/>
    <cellStyle name="Обычный 18 3 6" xfId="6288"/>
    <cellStyle name="Обычный 18 3 7" xfId="6289"/>
    <cellStyle name="Обычный 18 3 8" xfId="6290"/>
    <cellStyle name="Обычный 18 3 9" xfId="6291"/>
    <cellStyle name="Обычный 18 4" xfId="2477"/>
    <cellStyle name="Обычный 18 4 10" xfId="6292"/>
    <cellStyle name="Обычный 18 4 2" xfId="2478"/>
    <cellStyle name="Обычный 18 4 2 2" xfId="2479"/>
    <cellStyle name="Обычный 18 4 2 2 2" xfId="6293"/>
    <cellStyle name="Обычный 18 4 2 2 3" xfId="6294"/>
    <cellStyle name="Обычный 18 4 2 2 4" xfId="6295"/>
    <cellStyle name="Обычный 18 4 2 2 5" xfId="6296"/>
    <cellStyle name="Обычный 18 4 2 2 6" xfId="6297"/>
    <cellStyle name="Обычный 18 4 2 3" xfId="2480"/>
    <cellStyle name="Обычный 18 4 2 3 2" xfId="6298"/>
    <cellStyle name="Обычный 18 4 2 3 3" xfId="6299"/>
    <cellStyle name="Обычный 18 4 2 3 4" xfId="6300"/>
    <cellStyle name="Обычный 18 4 2 3 5" xfId="6301"/>
    <cellStyle name="Обычный 18 4 2 3 6" xfId="6302"/>
    <cellStyle name="Обычный 18 4 2 4" xfId="2481"/>
    <cellStyle name="Обычный 18 4 2 4 2" xfId="6303"/>
    <cellStyle name="Обычный 18 4 2 4 3" xfId="6304"/>
    <cellStyle name="Обычный 18 4 2 4 4" xfId="6305"/>
    <cellStyle name="Обычный 18 4 2 4 5" xfId="6306"/>
    <cellStyle name="Обычный 18 4 2 4 6" xfId="6307"/>
    <cellStyle name="Обычный 18 4 2 5" xfId="6308"/>
    <cellStyle name="Обычный 18 4 2 6" xfId="6309"/>
    <cellStyle name="Обычный 18 4 2 7" xfId="6310"/>
    <cellStyle name="Обычный 18 4 2 8" xfId="6311"/>
    <cellStyle name="Обычный 18 4 2 9" xfId="6312"/>
    <cellStyle name="Обычный 18 4 3" xfId="2482"/>
    <cellStyle name="Обычный 18 4 3 2" xfId="6313"/>
    <cellStyle name="Обычный 18 4 3 3" xfId="6314"/>
    <cellStyle name="Обычный 18 4 3 4" xfId="6315"/>
    <cellStyle name="Обычный 18 4 3 5" xfId="6316"/>
    <cellStyle name="Обычный 18 4 3 6" xfId="6317"/>
    <cellStyle name="Обычный 18 4 4" xfId="2483"/>
    <cellStyle name="Обычный 18 4 4 2" xfId="6318"/>
    <cellStyle name="Обычный 18 4 4 3" xfId="6319"/>
    <cellStyle name="Обычный 18 4 4 4" xfId="6320"/>
    <cellStyle name="Обычный 18 4 4 5" xfId="6321"/>
    <cellStyle name="Обычный 18 4 4 6" xfId="6322"/>
    <cellStyle name="Обычный 18 4 5" xfId="2484"/>
    <cellStyle name="Обычный 18 4 5 2" xfId="6323"/>
    <cellStyle name="Обычный 18 4 5 3" xfId="6324"/>
    <cellStyle name="Обычный 18 4 5 4" xfId="6325"/>
    <cellStyle name="Обычный 18 4 5 5" xfId="6326"/>
    <cellStyle name="Обычный 18 4 5 6" xfId="6327"/>
    <cellStyle name="Обычный 18 4 6" xfId="6328"/>
    <cellStyle name="Обычный 18 4 7" xfId="6329"/>
    <cellStyle name="Обычный 18 4 8" xfId="6330"/>
    <cellStyle name="Обычный 18 4 9" xfId="6331"/>
    <cellStyle name="Обычный 18 5" xfId="2485"/>
    <cellStyle name="Обычный 18 5 2" xfId="2486"/>
    <cellStyle name="Обычный 18 5 2 2" xfId="6332"/>
    <cellStyle name="Обычный 18 5 2 3" xfId="6333"/>
    <cellStyle name="Обычный 18 5 2 4" xfId="6334"/>
    <cellStyle name="Обычный 18 5 2 5" xfId="6335"/>
    <cellStyle name="Обычный 18 5 2 6" xfId="6336"/>
    <cellStyle name="Обычный 18 5 3" xfId="2487"/>
    <cellStyle name="Обычный 18 5 3 2" xfId="6337"/>
    <cellStyle name="Обычный 18 5 3 3" xfId="6338"/>
    <cellStyle name="Обычный 18 5 3 4" xfId="6339"/>
    <cellStyle name="Обычный 18 5 3 5" xfId="6340"/>
    <cellStyle name="Обычный 18 5 3 6" xfId="6341"/>
    <cellStyle name="Обычный 18 5 4" xfId="2488"/>
    <cellStyle name="Обычный 18 5 4 2" xfId="6342"/>
    <cellStyle name="Обычный 18 5 4 3" xfId="6343"/>
    <cellStyle name="Обычный 18 5 4 4" xfId="6344"/>
    <cellStyle name="Обычный 18 5 4 5" xfId="6345"/>
    <cellStyle name="Обычный 18 5 4 6" xfId="6346"/>
    <cellStyle name="Обычный 18 5 5" xfId="6347"/>
    <cellStyle name="Обычный 18 5 6" xfId="6348"/>
    <cellStyle name="Обычный 18 5 7" xfId="6349"/>
    <cellStyle name="Обычный 18 5 8" xfId="6350"/>
    <cellStyle name="Обычный 18 5 9" xfId="6351"/>
    <cellStyle name="Обычный 18 6" xfId="2489"/>
    <cellStyle name="Обычный 18 6 2" xfId="2490"/>
    <cellStyle name="Обычный 18 6 2 2" xfId="6352"/>
    <cellStyle name="Обычный 18 6 2 3" xfId="6353"/>
    <cellStyle name="Обычный 18 6 2 4" xfId="6354"/>
    <cellStyle name="Обычный 18 6 2 5" xfId="6355"/>
    <cellStyle name="Обычный 18 6 2 6" xfId="6356"/>
    <cellStyle name="Обычный 18 6 3" xfId="2491"/>
    <cellStyle name="Обычный 18 6 3 2" xfId="6357"/>
    <cellStyle name="Обычный 18 6 3 3" xfId="6358"/>
    <cellStyle name="Обычный 18 6 3 4" xfId="6359"/>
    <cellStyle name="Обычный 18 6 3 5" xfId="6360"/>
    <cellStyle name="Обычный 18 6 3 6" xfId="6361"/>
    <cellStyle name="Обычный 18 6 4" xfId="2492"/>
    <cellStyle name="Обычный 18 6 4 2" xfId="6362"/>
    <cellStyle name="Обычный 18 6 4 3" xfId="6363"/>
    <cellStyle name="Обычный 18 6 4 4" xfId="6364"/>
    <cellStyle name="Обычный 18 6 4 5" xfId="6365"/>
    <cellStyle name="Обычный 18 6 4 6" xfId="6366"/>
    <cellStyle name="Обычный 18 6 5" xfId="6367"/>
    <cellStyle name="Обычный 18 6 6" xfId="6368"/>
    <cellStyle name="Обычный 18 6 7" xfId="6369"/>
    <cellStyle name="Обычный 18 6 8" xfId="6370"/>
    <cellStyle name="Обычный 18 6 9" xfId="6371"/>
    <cellStyle name="Обычный 18 7" xfId="2493"/>
    <cellStyle name="Обычный 18 7 2" xfId="6372"/>
    <cellStyle name="Обычный 18 7 3" xfId="6373"/>
    <cellStyle name="Обычный 18 7 4" xfId="6374"/>
    <cellStyle name="Обычный 18 7 5" xfId="6375"/>
    <cellStyle name="Обычный 18 7 6" xfId="6376"/>
    <cellStyle name="Обычный 18 8" xfId="2494"/>
    <cellStyle name="Обычный 18 8 2" xfId="6377"/>
    <cellStyle name="Обычный 18 8 3" xfId="6378"/>
    <cellStyle name="Обычный 18 8 4" xfId="6379"/>
    <cellStyle name="Обычный 18 8 5" xfId="6380"/>
    <cellStyle name="Обычный 18 8 6" xfId="6381"/>
    <cellStyle name="Обычный 18 9" xfId="2495"/>
    <cellStyle name="Обычный 18 9 2" xfId="6382"/>
    <cellStyle name="Обычный 18 9 3" xfId="6383"/>
    <cellStyle name="Обычный 18 9 4" xfId="6384"/>
    <cellStyle name="Обычный 18 9 5" xfId="6385"/>
    <cellStyle name="Обычный 18 9 6" xfId="6386"/>
    <cellStyle name="Обычный 19" xfId="2496"/>
    <cellStyle name="Обычный 19 10" xfId="2497"/>
    <cellStyle name="Обычный 19 10 2" xfId="6387"/>
    <cellStyle name="Обычный 19 10 3" xfId="6388"/>
    <cellStyle name="Обычный 19 10 4" xfId="6389"/>
    <cellStyle name="Обычный 19 10 5" xfId="6390"/>
    <cellStyle name="Обычный 19 10 6" xfId="6391"/>
    <cellStyle name="Обычный 19 11" xfId="2498"/>
    <cellStyle name="Обычный 19 11 2" xfId="6392"/>
    <cellStyle name="Обычный 19 11 3" xfId="6393"/>
    <cellStyle name="Обычный 19 11 4" xfId="6394"/>
    <cellStyle name="Обычный 19 11 5" xfId="6395"/>
    <cellStyle name="Обычный 19 11 6" xfId="6396"/>
    <cellStyle name="Обычный 19 12" xfId="5258"/>
    <cellStyle name="Обычный 19 13" xfId="6397"/>
    <cellStyle name="Обычный 19 14" xfId="6398"/>
    <cellStyle name="Обычный 19 15" xfId="6399"/>
    <cellStyle name="Обычный 19 16" xfId="6400"/>
    <cellStyle name="Обычный 19 2" xfId="2499"/>
    <cellStyle name="Обычный 19 2 10" xfId="6401"/>
    <cellStyle name="Обычный 19 2 11" xfId="6402"/>
    <cellStyle name="Обычный 19 2 12" xfId="6403"/>
    <cellStyle name="Обычный 19 2 2" xfId="2500"/>
    <cellStyle name="Обычный 19 2 2 10" xfId="6404"/>
    <cellStyle name="Обычный 19 2 2 11" xfId="6405"/>
    <cellStyle name="Обычный 19 2 2 2" xfId="2501"/>
    <cellStyle name="Обычный 19 2 2 2 10" xfId="6406"/>
    <cellStyle name="Обычный 19 2 2 2 2" xfId="2502"/>
    <cellStyle name="Обычный 19 2 2 2 2 2" xfId="2503"/>
    <cellStyle name="Обычный 19 2 2 2 2 2 2" xfId="6407"/>
    <cellStyle name="Обычный 19 2 2 2 2 2 3" xfId="6408"/>
    <cellStyle name="Обычный 19 2 2 2 2 2 4" xfId="6409"/>
    <cellStyle name="Обычный 19 2 2 2 2 2 5" xfId="6410"/>
    <cellStyle name="Обычный 19 2 2 2 2 2 6" xfId="6411"/>
    <cellStyle name="Обычный 19 2 2 2 2 3" xfId="2504"/>
    <cellStyle name="Обычный 19 2 2 2 2 3 2" xfId="6412"/>
    <cellStyle name="Обычный 19 2 2 2 2 3 3" xfId="6413"/>
    <cellStyle name="Обычный 19 2 2 2 2 3 4" xfId="6414"/>
    <cellStyle name="Обычный 19 2 2 2 2 3 5" xfId="6415"/>
    <cellStyle name="Обычный 19 2 2 2 2 3 6" xfId="6416"/>
    <cellStyle name="Обычный 19 2 2 2 2 4" xfId="2505"/>
    <cellStyle name="Обычный 19 2 2 2 2 4 2" xfId="6417"/>
    <cellStyle name="Обычный 19 2 2 2 2 4 3" xfId="6418"/>
    <cellStyle name="Обычный 19 2 2 2 2 4 4" xfId="6419"/>
    <cellStyle name="Обычный 19 2 2 2 2 4 5" xfId="6420"/>
    <cellStyle name="Обычный 19 2 2 2 2 4 6" xfId="6421"/>
    <cellStyle name="Обычный 19 2 2 2 2 5" xfId="6422"/>
    <cellStyle name="Обычный 19 2 2 2 2 6" xfId="6423"/>
    <cellStyle name="Обычный 19 2 2 2 2 7" xfId="6424"/>
    <cellStyle name="Обычный 19 2 2 2 2 8" xfId="6425"/>
    <cellStyle name="Обычный 19 2 2 2 2 9" xfId="6426"/>
    <cellStyle name="Обычный 19 2 2 2 3" xfId="2506"/>
    <cellStyle name="Обычный 19 2 2 2 3 2" xfId="6427"/>
    <cellStyle name="Обычный 19 2 2 2 3 3" xfId="6428"/>
    <cellStyle name="Обычный 19 2 2 2 3 4" xfId="6429"/>
    <cellStyle name="Обычный 19 2 2 2 3 5" xfId="6430"/>
    <cellStyle name="Обычный 19 2 2 2 3 6" xfId="6431"/>
    <cellStyle name="Обычный 19 2 2 2 4" xfId="2507"/>
    <cellStyle name="Обычный 19 2 2 2 4 2" xfId="6432"/>
    <cellStyle name="Обычный 19 2 2 2 4 3" xfId="6433"/>
    <cellStyle name="Обычный 19 2 2 2 4 4" xfId="6434"/>
    <cellStyle name="Обычный 19 2 2 2 4 5" xfId="6435"/>
    <cellStyle name="Обычный 19 2 2 2 4 6" xfId="6436"/>
    <cellStyle name="Обычный 19 2 2 2 5" xfId="2508"/>
    <cellStyle name="Обычный 19 2 2 2 5 2" xfId="6437"/>
    <cellStyle name="Обычный 19 2 2 2 5 3" xfId="6438"/>
    <cellStyle name="Обычный 19 2 2 2 5 4" xfId="6439"/>
    <cellStyle name="Обычный 19 2 2 2 5 5" xfId="6440"/>
    <cellStyle name="Обычный 19 2 2 2 5 6" xfId="6441"/>
    <cellStyle name="Обычный 19 2 2 2 6" xfId="6442"/>
    <cellStyle name="Обычный 19 2 2 2 7" xfId="6443"/>
    <cellStyle name="Обычный 19 2 2 2 8" xfId="6444"/>
    <cellStyle name="Обычный 19 2 2 2 9" xfId="6445"/>
    <cellStyle name="Обычный 19 2 2 3" xfId="2509"/>
    <cellStyle name="Обычный 19 2 2 3 2" xfId="2510"/>
    <cellStyle name="Обычный 19 2 2 3 2 2" xfId="6446"/>
    <cellStyle name="Обычный 19 2 2 3 2 3" xfId="6447"/>
    <cellStyle name="Обычный 19 2 2 3 2 4" xfId="6448"/>
    <cellStyle name="Обычный 19 2 2 3 2 5" xfId="6449"/>
    <cellStyle name="Обычный 19 2 2 3 2 6" xfId="6450"/>
    <cellStyle name="Обычный 19 2 2 3 3" xfId="2511"/>
    <cellStyle name="Обычный 19 2 2 3 3 2" xfId="6451"/>
    <cellStyle name="Обычный 19 2 2 3 3 3" xfId="6452"/>
    <cellStyle name="Обычный 19 2 2 3 3 4" xfId="6453"/>
    <cellStyle name="Обычный 19 2 2 3 3 5" xfId="6454"/>
    <cellStyle name="Обычный 19 2 2 3 3 6" xfId="6455"/>
    <cellStyle name="Обычный 19 2 2 3 4" xfId="2512"/>
    <cellStyle name="Обычный 19 2 2 3 4 2" xfId="6456"/>
    <cellStyle name="Обычный 19 2 2 3 4 3" xfId="6457"/>
    <cellStyle name="Обычный 19 2 2 3 4 4" xfId="6458"/>
    <cellStyle name="Обычный 19 2 2 3 4 5" xfId="6459"/>
    <cellStyle name="Обычный 19 2 2 3 4 6" xfId="6460"/>
    <cellStyle name="Обычный 19 2 2 3 5" xfId="6461"/>
    <cellStyle name="Обычный 19 2 2 3 6" xfId="6462"/>
    <cellStyle name="Обычный 19 2 2 3 7" xfId="6463"/>
    <cellStyle name="Обычный 19 2 2 3 8" xfId="6464"/>
    <cellStyle name="Обычный 19 2 2 3 9" xfId="6465"/>
    <cellStyle name="Обычный 19 2 2 4" xfId="2513"/>
    <cellStyle name="Обычный 19 2 2 4 2" xfId="6466"/>
    <cellStyle name="Обычный 19 2 2 4 3" xfId="6467"/>
    <cellStyle name="Обычный 19 2 2 4 4" xfId="6468"/>
    <cellStyle name="Обычный 19 2 2 4 5" xfId="6469"/>
    <cellStyle name="Обычный 19 2 2 4 6" xfId="6470"/>
    <cellStyle name="Обычный 19 2 2 5" xfId="2514"/>
    <cellStyle name="Обычный 19 2 2 5 2" xfId="6471"/>
    <cellStyle name="Обычный 19 2 2 5 3" xfId="6472"/>
    <cellStyle name="Обычный 19 2 2 5 4" xfId="6473"/>
    <cellStyle name="Обычный 19 2 2 5 5" xfId="6474"/>
    <cellStyle name="Обычный 19 2 2 5 6" xfId="6475"/>
    <cellStyle name="Обычный 19 2 2 6" xfId="2515"/>
    <cellStyle name="Обычный 19 2 2 6 2" xfId="6476"/>
    <cellStyle name="Обычный 19 2 2 6 3" xfId="6477"/>
    <cellStyle name="Обычный 19 2 2 6 4" xfId="6478"/>
    <cellStyle name="Обычный 19 2 2 6 5" xfId="6479"/>
    <cellStyle name="Обычный 19 2 2 6 6" xfId="6480"/>
    <cellStyle name="Обычный 19 2 2 7" xfId="6481"/>
    <cellStyle name="Обычный 19 2 2 8" xfId="6482"/>
    <cellStyle name="Обычный 19 2 2 9" xfId="6483"/>
    <cellStyle name="Обычный 19 2 3" xfId="2516"/>
    <cellStyle name="Обычный 19 2 3 10" xfId="6484"/>
    <cellStyle name="Обычный 19 2 3 2" xfId="2517"/>
    <cellStyle name="Обычный 19 2 3 2 2" xfId="2518"/>
    <cellStyle name="Обычный 19 2 3 2 2 2" xfId="6485"/>
    <cellStyle name="Обычный 19 2 3 2 2 3" xfId="6486"/>
    <cellStyle name="Обычный 19 2 3 2 2 4" xfId="6487"/>
    <cellStyle name="Обычный 19 2 3 2 2 5" xfId="6488"/>
    <cellStyle name="Обычный 19 2 3 2 2 6" xfId="6489"/>
    <cellStyle name="Обычный 19 2 3 2 3" xfId="2519"/>
    <cellStyle name="Обычный 19 2 3 2 3 2" xfId="6490"/>
    <cellStyle name="Обычный 19 2 3 2 3 3" xfId="6491"/>
    <cellStyle name="Обычный 19 2 3 2 3 4" xfId="6492"/>
    <cellStyle name="Обычный 19 2 3 2 3 5" xfId="6493"/>
    <cellStyle name="Обычный 19 2 3 2 3 6" xfId="6494"/>
    <cellStyle name="Обычный 19 2 3 2 4" xfId="2520"/>
    <cellStyle name="Обычный 19 2 3 2 4 2" xfId="6495"/>
    <cellStyle name="Обычный 19 2 3 2 4 3" xfId="6496"/>
    <cellStyle name="Обычный 19 2 3 2 4 4" xfId="6497"/>
    <cellStyle name="Обычный 19 2 3 2 4 5" xfId="6498"/>
    <cellStyle name="Обычный 19 2 3 2 4 6" xfId="6499"/>
    <cellStyle name="Обычный 19 2 3 2 5" xfId="6500"/>
    <cellStyle name="Обычный 19 2 3 2 6" xfId="6501"/>
    <cellStyle name="Обычный 19 2 3 2 7" xfId="6502"/>
    <cellStyle name="Обычный 19 2 3 2 8" xfId="6503"/>
    <cellStyle name="Обычный 19 2 3 2 9" xfId="6504"/>
    <cellStyle name="Обычный 19 2 3 3" xfId="2521"/>
    <cellStyle name="Обычный 19 2 3 3 2" xfId="6505"/>
    <cellStyle name="Обычный 19 2 3 3 3" xfId="6506"/>
    <cellStyle name="Обычный 19 2 3 3 4" xfId="6507"/>
    <cellStyle name="Обычный 19 2 3 3 5" xfId="6508"/>
    <cellStyle name="Обычный 19 2 3 3 6" xfId="6509"/>
    <cellStyle name="Обычный 19 2 3 4" xfId="2522"/>
    <cellStyle name="Обычный 19 2 3 4 2" xfId="6510"/>
    <cellStyle name="Обычный 19 2 3 4 3" xfId="6511"/>
    <cellStyle name="Обычный 19 2 3 4 4" xfId="6512"/>
    <cellStyle name="Обычный 19 2 3 4 5" xfId="6513"/>
    <cellStyle name="Обычный 19 2 3 4 6" xfId="6514"/>
    <cellStyle name="Обычный 19 2 3 5" xfId="2523"/>
    <cellStyle name="Обычный 19 2 3 5 2" xfId="6515"/>
    <cellStyle name="Обычный 19 2 3 5 3" xfId="6516"/>
    <cellStyle name="Обычный 19 2 3 5 4" xfId="6517"/>
    <cellStyle name="Обычный 19 2 3 5 5" xfId="6518"/>
    <cellStyle name="Обычный 19 2 3 5 6" xfId="6519"/>
    <cellStyle name="Обычный 19 2 3 6" xfId="6520"/>
    <cellStyle name="Обычный 19 2 3 7" xfId="6521"/>
    <cellStyle name="Обычный 19 2 3 8" xfId="6522"/>
    <cellStyle name="Обычный 19 2 3 9" xfId="6523"/>
    <cellStyle name="Обычный 19 2 4" xfId="2524"/>
    <cellStyle name="Обычный 19 2 4 2" xfId="2525"/>
    <cellStyle name="Обычный 19 2 4 2 2" xfId="6524"/>
    <cellStyle name="Обычный 19 2 4 2 3" xfId="6525"/>
    <cellStyle name="Обычный 19 2 4 2 4" xfId="6526"/>
    <cellStyle name="Обычный 19 2 4 2 5" xfId="6527"/>
    <cellStyle name="Обычный 19 2 4 2 6" xfId="6528"/>
    <cellStyle name="Обычный 19 2 4 3" xfId="2526"/>
    <cellStyle name="Обычный 19 2 4 3 2" xfId="6529"/>
    <cellStyle name="Обычный 19 2 4 3 3" xfId="6530"/>
    <cellStyle name="Обычный 19 2 4 3 4" xfId="6531"/>
    <cellStyle name="Обычный 19 2 4 3 5" xfId="6532"/>
    <cellStyle name="Обычный 19 2 4 3 6" xfId="6533"/>
    <cellStyle name="Обычный 19 2 4 4" xfId="2527"/>
    <cellStyle name="Обычный 19 2 4 4 2" xfId="6534"/>
    <cellStyle name="Обычный 19 2 4 4 3" xfId="6535"/>
    <cellStyle name="Обычный 19 2 4 4 4" xfId="6536"/>
    <cellStyle name="Обычный 19 2 4 4 5" xfId="6537"/>
    <cellStyle name="Обычный 19 2 4 4 6" xfId="6538"/>
    <cellStyle name="Обычный 19 2 4 5" xfId="6539"/>
    <cellStyle name="Обычный 19 2 4 6" xfId="6540"/>
    <cellStyle name="Обычный 19 2 4 7" xfId="6541"/>
    <cellStyle name="Обычный 19 2 4 8" xfId="6542"/>
    <cellStyle name="Обычный 19 2 4 9" xfId="6543"/>
    <cellStyle name="Обычный 19 2 5" xfId="2528"/>
    <cellStyle name="Обычный 19 2 5 2" xfId="6544"/>
    <cellStyle name="Обычный 19 2 5 3" xfId="6545"/>
    <cellStyle name="Обычный 19 2 5 4" xfId="6546"/>
    <cellStyle name="Обычный 19 2 5 5" xfId="6547"/>
    <cellStyle name="Обычный 19 2 5 6" xfId="6548"/>
    <cellStyle name="Обычный 19 2 6" xfId="2529"/>
    <cellStyle name="Обычный 19 2 6 2" xfId="6549"/>
    <cellStyle name="Обычный 19 2 6 3" xfId="6550"/>
    <cellStyle name="Обычный 19 2 6 4" xfId="6551"/>
    <cellStyle name="Обычный 19 2 6 5" xfId="6552"/>
    <cellStyle name="Обычный 19 2 6 6" xfId="6553"/>
    <cellStyle name="Обычный 19 2 7" xfId="2530"/>
    <cellStyle name="Обычный 19 2 7 2" xfId="6554"/>
    <cellStyle name="Обычный 19 2 7 3" xfId="6555"/>
    <cellStyle name="Обычный 19 2 7 4" xfId="6556"/>
    <cellStyle name="Обычный 19 2 7 5" xfId="6557"/>
    <cellStyle name="Обычный 19 2 7 6" xfId="6558"/>
    <cellStyle name="Обычный 19 2 8" xfId="5259"/>
    <cellStyle name="Обычный 19 2 9" xfId="6559"/>
    <cellStyle name="Обычный 19 3" xfId="2531"/>
    <cellStyle name="Обычный 19 3 10" xfId="6560"/>
    <cellStyle name="Обычный 19 3 11" xfId="6561"/>
    <cellStyle name="Обычный 19 3 2" xfId="2532"/>
    <cellStyle name="Обычный 19 3 2 10" xfId="6562"/>
    <cellStyle name="Обычный 19 3 2 2" xfId="2533"/>
    <cellStyle name="Обычный 19 3 2 2 2" xfId="2534"/>
    <cellStyle name="Обычный 19 3 2 2 2 2" xfId="6563"/>
    <cellStyle name="Обычный 19 3 2 2 2 3" xfId="6564"/>
    <cellStyle name="Обычный 19 3 2 2 2 4" xfId="6565"/>
    <cellStyle name="Обычный 19 3 2 2 2 5" xfId="6566"/>
    <cellStyle name="Обычный 19 3 2 2 2 6" xfId="6567"/>
    <cellStyle name="Обычный 19 3 2 2 3" xfId="2535"/>
    <cellStyle name="Обычный 19 3 2 2 3 2" xfId="6568"/>
    <cellStyle name="Обычный 19 3 2 2 3 3" xfId="6569"/>
    <cellStyle name="Обычный 19 3 2 2 3 4" xfId="6570"/>
    <cellStyle name="Обычный 19 3 2 2 3 5" xfId="6571"/>
    <cellStyle name="Обычный 19 3 2 2 3 6" xfId="6572"/>
    <cellStyle name="Обычный 19 3 2 2 4" xfId="2536"/>
    <cellStyle name="Обычный 19 3 2 2 4 2" xfId="6573"/>
    <cellStyle name="Обычный 19 3 2 2 4 3" xfId="6574"/>
    <cellStyle name="Обычный 19 3 2 2 4 4" xfId="6575"/>
    <cellStyle name="Обычный 19 3 2 2 4 5" xfId="6576"/>
    <cellStyle name="Обычный 19 3 2 2 4 6" xfId="6577"/>
    <cellStyle name="Обычный 19 3 2 2 5" xfId="6578"/>
    <cellStyle name="Обычный 19 3 2 2 6" xfId="6579"/>
    <cellStyle name="Обычный 19 3 2 2 7" xfId="6580"/>
    <cellStyle name="Обычный 19 3 2 2 8" xfId="6581"/>
    <cellStyle name="Обычный 19 3 2 2 9" xfId="6582"/>
    <cellStyle name="Обычный 19 3 2 3" xfId="2537"/>
    <cellStyle name="Обычный 19 3 2 3 2" xfId="6583"/>
    <cellStyle name="Обычный 19 3 2 3 3" xfId="6584"/>
    <cellStyle name="Обычный 19 3 2 3 4" xfId="6585"/>
    <cellStyle name="Обычный 19 3 2 3 5" xfId="6586"/>
    <cellStyle name="Обычный 19 3 2 3 6" xfId="6587"/>
    <cellStyle name="Обычный 19 3 2 4" xfId="2538"/>
    <cellStyle name="Обычный 19 3 2 4 2" xfId="6588"/>
    <cellStyle name="Обычный 19 3 2 4 3" xfId="6589"/>
    <cellStyle name="Обычный 19 3 2 4 4" xfId="6590"/>
    <cellStyle name="Обычный 19 3 2 4 5" xfId="6591"/>
    <cellStyle name="Обычный 19 3 2 4 6" xfId="6592"/>
    <cellStyle name="Обычный 19 3 2 5" xfId="2539"/>
    <cellStyle name="Обычный 19 3 2 5 2" xfId="6593"/>
    <cellStyle name="Обычный 19 3 2 5 3" xfId="6594"/>
    <cellStyle name="Обычный 19 3 2 5 4" xfId="6595"/>
    <cellStyle name="Обычный 19 3 2 5 5" xfId="6596"/>
    <cellStyle name="Обычный 19 3 2 5 6" xfId="6597"/>
    <cellStyle name="Обычный 19 3 2 6" xfId="6598"/>
    <cellStyle name="Обычный 19 3 2 7" xfId="6599"/>
    <cellStyle name="Обычный 19 3 2 8" xfId="6600"/>
    <cellStyle name="Обычный 19 3 2 9" xfId="6601"/>
    <cellStyle name="Обычный 19 3 3" xfId="2540"/>
    <cellStyle name="Обычный 19 3 3 2" xfId="2541"/>
    <cellStyle name="Обычный 19 3 3 2 2" xfId="6602"/>
    <cellStyle name="Обычный 19 3 3 2 3" xfId="6603"/>
    <cellStyle name="Обычный 19 3 3 2 4" xfId="6604"/>
    <cellStyle name="Обычный 19 3 3 2 5" xfId="6605"/>
    <cellStyle name="Обычный 19 3 3 2 6" xfId="6606"/>
    <cellStyle name="Обычный 19 3 3 3" xfId="2542"/>
    <cellStyle name="Обычный 19 3 3 3 2" xfId="6607"/>
    <cellStyle name="Обычный 19 3 3 3 3" xfId="6608"/>
    <cellStyle name="Обычный 19 3 3 3 4" xfId="6609"/>
    <cellStyle name="Обычный 19 3 3 3 5" xfId="6610"/>
    <cellStyle name="Обычный 19 3 3 3 6" xfId="6611"/>
    <cellStyle name="Обычный 19 3 3 4" xfId="2543"/>
    <cellStyle name="Обычный 19 3 3 4 2" xfId="6612"/>
    <cellStyle name="Обычный 19 3 3 4 3" xfId="6613"/>
    <cellStyle name="Обычный 19 3 3 4 4" xfId="6614"/>
    <cellStyle name="Обычный 19 3 3 4 5" xfId="6615"/>
    <cellStyle name="Обычный 19 3 3 4 6" xfId="6616"/>
    <cellStyle name="Обычный 19 3 3 5" xfId="6617"/>
    <cellStyle name="Обычный 19 3 3 6" xfId="6618"/>
    <cellStyle name="Обычный 19 3 3 7" xfId="6619"/>
    <cellStyle name="Обычный 19 3 3 8" xfId="6620"/>
    <cellStyle name="Обычный 19 3 3 9" xfId="6621"/>
    <cellStyle name="Обычный 19 3 4" xfId="2544"/>
    <cellStyle name="Обычный 19 3 4 2" xfId="6622"/>
    <cellStyle name="Обычный 19 3 4 3" xfId="6623"/>
    <cellStyle name="Обычный 19 3 4 4" xfId="6624"/>
    <cellStyle name="Обычный 19 3 4 5" xfId="6625"/>
    <cellStyle name="Обычный 19 3 4 6" xfId="6626"/>
    <cellStyle name="Обычный 19 3 5" xfId="2545"/>
    <cellStyle name="Обычный 19 3 5 2" xfId="6627"/>
    <cellStyle name="Обычный 19 3 5 3" xfId="6628"/>
    <cellStyle name="Обычный 19 3 5 4" xfId="6629"/>
    <cellStyle name="Обычный 19 3 5 5" xfId="6630"/>
    <cellStyle name="Обычный 19 3 5 6" xfId="6631"/>
    <cellStyle name="Обычный 19 3 6" xfId="2546"/>
    <cellStyle name="Обычный 19 3 6 2" xfId="6632"/>
    <cellStyle name="Обычный 19 3 6 3" xfId="6633"/>
    <cellStyle name="Обычный 19 3 6 4" xfId="6634"/>
    <cellStyle name="Обычный 19 3 6 5" xfId="6635"/>
    <cellStyle name="Обычный 19 3 6 6" xfId="6636"/>
    <cellStyle name="Обычный 19 3 7" xfId="6637"/>
    <cellStyle name="Обычный 19 3 8" xfId="6638"/>
    <cellStyle name="Обычный 19 3 9" xfId="6639"/>
    <cellStyle name="Обычный 19 4" xfId="2547"/>
    <cellStyle name="Обычный 19 4 10" xfId="6640"/>
    <cellStyle name="Обычный 19 4 11" xfId="6641"/>
    <cellStyle name="Обычный 19 4 2" xfId="2548"/>
    <cellStyle name="Обычный 19 4 2 10" xfId="6642"/>
    <cellStyle name="Обычный 19 4 2 2" xfId="2549"/>
    <cellStyle name="Обычный 19 4 2 2 2" xfId="2550"/>
    <cellStyle name="Обычный 19 4 2 2 2 2" xfId="6643"/>
    <cellStyle name="Обычный 19 4 2 2 2 3" xfId="6644"/>
    <cellStyle name="Обычный 19 4 2 2 2 4" xfId="6645"/>
    <cellStyle name="Обычный 19 4 2 2 2 5" xfId="6646"/>
    <cellStyle name="Обычный 19 4 2 2 2 6" xfId="6647"/>
    <cellStyle name="Обычный 19 4 2 2 3" xfId="2551"/>
    <cellStyle name="Обычный 19 4 2 2 3 2" xfId="6648"/>
    <cellStyle name="Обычный 19 4 2 2 3 3" xfId="6649"/>
    <cellStyle name="Обычный 19 4 2 2 3 4" xfId="6650"/>
    <cellStyle name="Обычный 19 4 2 2 3 5" xfId="6651"/>
    <cellStyle name="Обычный 19 4 2 2 3 6" xfId="6652"/>
    <cellStyle name="Обычный 19 4 2 2 4" xfId="2552"/>
    <cellStyle name="Обычный 19 4 2 2 4 2" xfId="6653"/>
    <cellStyle name="Обычный 19 4 2 2 4 3" xfId="6654"/>
    <cellStyle name="Обычный 19 4 2 2 4 4" xfId="6655"/>
    <cellStyle name="Обычный 19 4 2 2 4 5" xfId="6656"/>
    <cellStyle name="Обычный 19 4 2 2 4 6" xfId="6657"/>
    <cellStyle name="Обычный 19 4 2 2 5" xfId="6658"/>
    <cellStyle name="Обычный 19 4 2 2 6" xfId="6659"/>
    <cellStyle name="Обычный 19 4 2 2 7" xfId="6660"/>
    <cellStyle name="Обычный 19 4 2 2 8" xfId="6661"/>
    <cellStyle name="Обычный 19 4 2 2 9" xfId="6662"/>
    <cellStyle name="Обычный 19 4 2 3" xfId="2553"/>
    <cellStyle name="Обычный 19 4 2 3 2" xfId="6663"/>
    <cellStyle name="Обычный 19 4 2 3 3" xfId="6664"/>
    <cellStyle name="Обычный 19 4 2 3 4" xfId="6665"/>
    <cellStyle name="Обычный 19 4 2 3 5" xfId="6666"/>
    <cellStyle name="Обычный 19 4 2 3 6" xfId="6667"/>
    <cellStyle name="Обычный 19 4 2 4" xfId="2554"/>
    <cellStyle name="Обычный 19 4 2 4 2" xfId="6668"/>
    <cellStyle name="Обычный 19 4 2 4 3" xfId="6669"/>
    <cellStyle name="Обычный 19 4 2 4 4" xfId="6670"/>
    <cellStyle name="Обычный 19 4 2 4 5" xfId="6671"/>
    <cellStyle name="Обычный 19 4 2 4 6" xfId="6672"/>
    <cellStyle name="Обычный 19 4 2 5" xfId="2555"/>
    <cellStyle name="Обычный 19 4 2 5 2" xfId="6673"/>
    <cellStyle name="Обычный 19 4 2 5 3" xfId="6674"/>
    <cellStyle name="Обычный 19 4 2 5 4" xfId="6675"/>
    <cellStyle name="Обычный 19 4 2 5 5" xfId="6676"/>
    <cellStyle name="Обычный 19 4 2 5 6" xfId="6677"/>
    <cellStyle name="Обычный 19 4 2 6" xfId="6678"/>
    <cellStyle name="Обычный 19 4 2 7" xfId="6679"/>
    <cellStyle name="Обычный 19 4 2 8" xfId="6680"/>
    <cellStyle name="Обычный 19 4 2 9" xfId="6681"/>
    <cellStyle name="Обычный 19 4 3" xfId="2556"/>
    <cellStyle name="Обычный 19 4 3 2" xfId="2557"/>
    <cellStyle name="Обычный 19 4 3 2 2" xfId="6682"/>
    <cellStyle name="Обычный 19 4 3 2 3" xfId="6683"/>
    <cellStyle name="Обычный 19 4 3 2 4" xfId="6684"/>
    <cellStyle name="Обычный 19 4 3 2 5" xfId="6685"/>
    <cellStyle name="Обычный 19 4 3 2 6" xfId="6686"/>
    <cellStyle name="Обычный 19 4 3 3" xfId="2558"/>
    <cellStyle name="Обычный 19 4 3 3 2" xfId="6687"/>
    <cellStyle name="Обычный 19 4 3 3 3" xfId="6688"/>
    <cellStyle name="Обычный 19 4 3 3 4" xfId="6689"/>
    <cellStyle name="Обычный 19 4 3 3 5" xfId="6690"/>
    <cellStyle name="Обычный 19 4 3 3 6" xfId="6691"/>
    <cellStyle name="Обычный 19 4 3 4" xfId="2559"/>
    <cellStyle name="Обычный 19 4 3 4 2" xfId="6692"/>
    <cellStyle name="Обычный 19 4 3 4 3" xfId="6693"/>
    <cellStyle name="Обычный 19 4 3 4 4" xfId="6694"/>
    <cellStyle name="Обычный 19 4 3 4 5" xfId="6695"/>
    <cellStyle name="Обычный 19 4 3 4 6" xfId="6696"/>
    <cellStyle name="Обычный 19 4 3 5" xfId="6697"/>
    <cellStyle name="Обычный 19 4 3 6" xfId="6698"/>
    <cellStyle name="Обычный 19 4 3 7" xfId="6699"/>
    <cellStyle name="Обычный 19 4 3 8" xfId="6700"/>
    <cellStyle name="Обычный 19 4 3 9" xfId="6701"/>
    <cellStyle name="Обычный 19 4 4" xfId="2560"/>
    <cellStyle name="Обычный 19 4 4 2" xfId="6702"/>
    <cellStyle name="Обычный 19 4 4 3" xfId="6703"/>
    <cellStyle name="Обычный 19 4 4 4" xfId="6704"/>
    <cellStyle name="Обычный 19 4 4 5" xfId="6705"/>
    <cellStyle name="Обычный 19 4 4 6" xfId="6706"/>
    <cellStyle name="Обычный 19 4 5" xfId="2561"/>
    <cellStyle name="Обычный 19 4 5 2" xfId="6707"/>
    <cellStyle name="Обычный 19 4 5 3" xfId="6708"/>
    <cellStyle name="Обычный 19 4 5 4" xfId="6709"/>
    <cellStyle name="Обычный 19 4 5 5" xfId="6710"/>
    <cellStyle name="Обычный 19 4 5 6" xfId="6711"/>
    <cellStyle name="Обычный 19 4 6" xfId="2562"/>
    <cellStyle name="Обычный 19 4 6 2" xfId="6712"/>
    <cellStyle name="Обычный 19 4 6 3" xfId="6713"/>
    <cellStyle name="Обычный 19 4 6 4" xfId="6714"/>
    <cellStyle name="Обычный 19 4 6 5" xfId="6715"/>
    <cellStyle name="Обычный 19 4 6 6" xfId="6716"/>
    <cellStyle name="Обычный 19 4 7" xfId="6717"/>
    <cellStyle name="Обычный 19 4 8" xfId="6718"/>
    <cellStyle name="Обычный 19 4 9" xfId="6719"/>
    <cellStyle name="Обычный 19 5" xfId="2563"/>
    <cellStyle name="Обычный 19 5 10" xfId="6720"/>
    <cellStyle name="Обычный 19 5 2" xfId="2564"/>
    <cellStyle name="Обычный 19 5 2 2" xfId="2565"/>
    <cellStyle name="Обычный 19 5 2 2 2" xfId="6721"/>
    <cellStyle name="Обычный 19 5 2 2 3" xfId="6722"/>
    <cellStyle name="Обычный 19 5 2 2 4" xfId="6723"/>
    <cellStyle name="Обычный 19 5 2 2 5" xfId="6724"/>
    <cellStyle name="Обычный 19 5 2 2 6" xfId="6725"/>
    <cellStyle name="Обычный 19 5 2 3" xfId="2566"/>
    <cellStyle name="Обычный 19 5 2 3 2" xfId="6726"/>
    <cellStyle name="Обычный 19 5 2 3 3" xfId="6727"/>
    <cellStyle name="Обычный 19 5 2 3 4" xfId="6728"/>
    <cellStyle name="Обычный 19 5 2 3 5" xfId="6729"/>
    <cellStyle name="Обычный 19 5 2 3 6" xfId="6730"/>
    <cellStyle name="Обычный 19 5 2 4" xfId="2567"/>
    <cellStyle name="Обычный 19 5 2 4 2" xfId="6731"/>
    <cellStyle name="Обычный 19 5 2 4 3" xfId="6732"/>
    <cellStyle name="Обычный 19 5 2 4 4" xfId="6733"/>
    <cellStyle name="Обычный 19 5 2 4 5" xfId="6734"/>
    <cellStyle name="Обычный 19 5 2 4 6" xfId="6735"/>
    <cellStyle name="Обычный 19 5 2 5" xfId="6736"/>
    <cellStyle name="Обычный 19 5 2 6" xfId="6737"/>
    <cellStyle name="Обычный 19 5 2 7" xfId="6738"/>
    <cellStyle name="Обычный 19 5 2 8" xfId="6739"/>
    <cellStyle name="Обычный 19 5 2 9" xfId="6740"/>
    <cellStyle name="Обычный 19 5 3" xfId="2568"/>
    <cellStyle name="Обычный 19 5 3 2" xfId="6741"/>
    <cellStyle name="Обычный 19 5 3 3" xfId="6742"/>
    <cellStyle name="Обычный 19 5 3 4" xfId="6743"/>
    <cellStyle name="Обычный 19 5 3 5" xfId="6744"/>
    <cellStyle name="Обычный 19 5 3 6" xfId="6745"/>
    <cellStyle name="Обычный 19 5 4" xfId="2569"/>
    <cellStyle name="Обычный 19 5 4 2" xfId="6746"/>
    <cellStyle name="Обычный 19 5 4 3" xfId="6747"/>
    <cellStyle name="Обычный 19 5 4 4" xfId="6748"/>
    <cellStyle name="Обычный 19 5 4 5" xfId="6749"/>
    <cellStyle name="Обычный 19 5 4 6" xfId="6750"/>
    <cellStyle name="Обычный 19 5 5" xfId="2570"/>
    <cellStyle name="Обычный 19 5 5 2" xfId="6751"/>
    <cellStyle name="Обычный 19 5 5 3" xfId="6752"/>
    <cellStyle name="Обычный 19 5 5 4" xfId="6753"/>
    <cellStyle name="Обычный 19 5 5 5" xfId="6754"/>
    <cellStyle name="Обычный 19 5 5 6" xfId="6755"/>
    <cellStyle name="Обычный 19 5 6" xfId="6756"/>
    <cellStyle name="Обычный 19 5 7" xfId="6757"/>
    <cellStyle name="Обычный 19 5 8" xfId="6758"/>
    <cellStyle name="Обычный 19 5 9" xfId="6759"/>
    <cellStyle name="Обычный 19 6" xfId="2571"/>
    <cellStyle name="Обычный 19 6 10" xfId="6760"/>
    <cellStyle name="Обычный 19 6 2" xfId="2572"/>
    <cellStyle name="Обычный 19 6 2 2" xfId="2573"/>
    <cellStyle name="Обычный 19 6 2 2 2" xfId="6761"/>
    <cellStyle name="Обычный 19 6 2 2 3" xfId="6762"/>
    <cellStyle name="Обычный 19 6 2 2 4" xfId="6763"/>
    <cellStyle name="Обычный 19 6 2 2 5" xfId="6764"/>
    <cellStyle name="Обычный 19 6 2 2 6" xfId="6765"/>
    <cellStyle name="Обычный 19 6 2 3" xfId="2574"/>
    <cellStyle name="Обычный 19 6 2 3 2" xfId="6766"/>
    <cellStyle name="Обычный 19 6 2 3 3" xfId="6767"/>
    <cellStyle name="Обычный 19 6 2 3 4" xfId="6768"/>
    <cellStyle name="Обычный 19 6 2 3 5" xfId="6769"/>
    <cellStyle name="Обычный 19 6 2 3 6" xfId="6770"/>
    <cellStyle name="Обычный 19 6 2 4" xfId="2575"/>
    <cellStyle name="Обычный 19 6 2 4 2" xfId="6771"/>
    <cellStyle name="Обычный 19 6 2 4 3" xfId="6772"/>
    <cellStyle name="Обычный 19 6 2 4 4" xfId="6773"/>
    <cellStyle name="Обычный 19 6 2 4 5" xfId="6774"/>
    <cellStyle name="Обычный 19 6 2 4 6" xfId="6775"/>
    <cellStyle name="Обычный 19 6 2 5" xfId="6776"/>
    <cellStyle name="Обычный 19 6 2 6" xfId="6777"/>
    <cellStyle name="Обычный 19 6 2 7" xfId="6778"/>
    <cellStyle name="Обычный 19 6 2 8" xfId="6779"/>
    <cellStyle name="Обычный 19 6 2 9" xfId="6780"/>
    <cellStyle name="Обычный 19 6 3" xfId="2576"/>
    <cellStyle name="Обычный 19 6 3 2" xfId="6781"/>
    <cellStyle name="Обычный 19 6 3 3" xfId="6782"/>
    <cellStyle name="Обычный 19 6 3 4" xfId="6783"/>
    <cellStyle name="Обычный 19 6 3 5" xfId="6784"/>
    <cellStyle name="Обычный 19 6 3 6" xfId="6785"/>
    <cellStyle name="Обычный 19 6 4" xfId="2577"/>
    <cellStyle name="Обычный 19 6 4 2" xfId="6786"/>
    <cellStyle name="Обычный 19 6 4 3" xfId="6787"/>
    <cellStyle name="Обычный 19 6 4 4" xfId="6788"/>
    <cellStyle name="Обычный 19 6 4 5" xfId="6789"/>
    <cellStyle name="Обычный 19 6 4 6" xfId="6790"/>
    <cellStyle name="Обычный 19 6 5" xfId="2578"/>
    <cellStyle name="Обычный 19 6 5 2" xfId="6791"/>
    <cellStyle name="Обычный 19 6 5 3" xfId="6792"/>
    <cellStyle name="Обычный 19 6 5 4" xfId="6793"/>
    <cellStyle name="Обычный 19 6 5 5" xfId="6794"/>
    <cellStyle name="Обычный 19 6 5 6" xfId="6795"/>
    <cellStyle name="Обычный 19 6 6" xfId="6796"/>
    <cellStyle name="Обычный 19 6 7" xfId="6797"/>
    <cellStyle name="Обычный 19 6 8" xfId="6798"/>
    <cellStyle name="Обычный 19 6 9" xfId="6799"/>
    <cellStyle name="Обычный 19 7" xfId="2579"/>
    <cellStyle name="Обычный 19 7 2" xfId="2580"/>
    <cellStyle name="Обычный 19 7 2 2" xfId="6800"/>
    <cellStyle name="Обычный 19 7 2 3" xfId="6801"/>
    <cellStyle name="Обычный 19 7 2 4" xfId="6802"/>
    <cellStyle name="Обычный 19 7 2 5" xfId="6803"/>
    <cellStyle name="Обычный 19 7 2 6" xfId="6804"/>
    <cellStyle name="Обычный 19 7 3" xfId="2581"/>
    <cellStyle name="Обычный 19 7 3 2" xfId="6805"/>
    <cellStyle name="Обычный 19 7 3 3" xfId="6806"/>
    <cellStyle name="Обычный 19 7 3 4" xfId="6807"/>
    <cellStyle name="Обычный 19 7 3 5" xfId="6808"/>
    <cellStyle name="Обычный 19 7 3 6" xfId="6809"/>
    <cellStyle name="Обычный 19 7 4" xfId="2582"/>
    <cellStyle name="Обычный 19 7 4 2" xfId="6810"/>
    <cellStyle name="Обычный 19 7 4 3" xfId="6811"/>
    <cellStyle name="Обычный 19 7 4 4" xfId="6812"/>
    <cellStyle name="Обычный 19 7 4 5" xfId="6813"/>
    <cellStyle name="Обычный 19 7 4 6" xfId="6814"/>
    <cellStyle name="Обычный 19 7 5" xfId="6815"/>
    <cellStyle name="Обычный 19 7 6" xfId="6816"/>
    <cellStyle name="Обычный 19 7 7" xfId="6817"/>
    <cellStyle name="Обычный 19 7 8" xfId="6818"/>
    <cellStyle name="Обычный 19 7 9" xfId="6819"/>
    <cellStyle name="Обычный 19 8" xfId="2583"/>
    <cellStyle name="Обычный 19 8 10" xfId="6820"/>
    <cellStyle name="Обычный 19 8 2" xfId="2584"/>
    <cellStyle name="Обычный 19 8 2 2" xfId="6821"/>
    <cellStyle name="Обычный 19 8 2 3" xfId="6822"/>
    <cellStyle name="Обычный 19 8 2 4" xfId="6823"/>
    <cellStyle name="Обычный 19 8 2 5" xfId="6824"/>
    <cellStyle name="Обычный 19 8 2 6" xfId="6825"/>
    <cellStyle name="Обычный 19 8 3" xfId="2585"/>
    <cellStyle name="Обычный 19 8 3 2" xfId="6826"/>
    <cellStyle name="Обычный 19 8 3 3" xfId="6827"/>
    <cellStyle name="Обычный 19 8 3 4" xfId="6828"/>
    <cellStyle name="Обычный 19 8 3 5" xfId="6829"/>
    <cellStyle name="Обычный 19 8 3 6" xfId="6830"/>
    <cellStyle name="Обычный 19 8 4" xfId="2586"/>
    <cellStyle name="Обычный 19 8 4 2" xfId="6831"/>
    <cellStyle name="Обычный 19 8 4 3" xfId="6832"/>
    <cellStyle name="Обычный 19 8 4 4" xfId="6833"/>
    <cellStyle name="Обычный 19 8 4 5" xfId="6834"/>
    <cellStyle name="Обычный 19 8 4 6" xfId="6835"/>
    <cellStyle name="Обычный 19 8 5" xfId="2587"/>
    <cellStyle name="Обычный 19 8 6" xfId="6836"/>
    <cellStyle name="Обычный 19 8 7" xfId="6837"/>
    <cellStyle name="Обычный 19 8 8" xfId="6838"/>
    <cellStyle name="Обычный 19 8 9" xfId="6839"/>
    <cellStyle name="Обычный 19 9" xfId="2588"/>
    <cellStyle name="Обычный 19 9 2" xfId="6840"/>
    <cellStyle name="Обычный 19 9 3" xfId="6841"/>
    <cellStyle name="Обычный 19 9 4" xfId="6842"/>
    <cellStyle name="Обычный 19 9 5" xfId="6843"/>
    <cellStyle name="Обычный 19 9 6" xfId="6844"/>
    <cellStyle name="Обычный 2" xfId="2"/>
    <cellStyle name="Обычный 2 10" xfId="2589"/>
    <cellStyle name="Обычный 2 10 2" xfId="2590"/>
    <cellStyle name="Обычный 2 10 2 2" xfId="2591"/>
    <cellStyle name="Обычный 2 10 2 3" xfId="5260"/>
    <cellStyle name="Обычный 2 10 3" xfId="5261"/>
    <cellStyle name="Обычный 2 10 4" xfId="5262"/>
    <cellStyle name="Обычный 2 11" xfId="2592"/>
    <cellStyle name="Обычный 2 11 2" xfId="2593"/>
    <cellStyle name="Обычный 2 11 3" xfId="5263"/>
    <cellStyle name="Обычный 2 12" xfId="2594"/>
    <cellStyle name="Обычный 2 12 10" xfId="6845"/>
    <cellStyle name="Обычный 2 12 11" xfId="6846"/>
    <cellStyle name="Обычный 2 12 12" xfId="6847"/>
    <cellStyle name="Обычный 2 12 2" xfId="2595"/>
    <cellStyle name="Обычный 2 12 2 10" xfId="6848"/>
    <cellStyle name="Обычный 2 12 2 2" xfId="2596"/>
    <cellStyle name="Обычный 2 12 2 2 2" xfId="2597"/>
    <cellStyle name="Обычный 2 12 2 2 2 2" xfId="6849"/>
    <cellStyle name="Обычный 2 12 2 2 2 3" xfId="6850"/>
    <cellStyle name="Обычный 2 12 2 2 2 4" xfId="6851"/>
    <cellStyle name="Обычный 2 12 2 2 2 5" xfId="6852"/>
    <cellStyle name="Обычный 2 12 2 2 2 6" xfId="6853"/>
    <cellStyle name="Обычный 2 12 2 2 3" xfId="2598"/>
    <cellStyle name="Обычный 2 12 2 2 3 2" xfId="6854"/>
    <cellStyle name="Обычный 2 12 2 2 3 3" xfId="6855"/>
    <cellStyle name="Обычный 2 12 2 2 3 4" xfId="6856"/>
    <cellStyle name="Обычный 2 12 2 2 3 5" xfId="6857"/>
    <cellStyle name="Обычный 2 12 2 2 3 6" xfId="6858"/>
    <cellStyle name="Обычный 2 12 2 2 4" xfId="2599"/>
    <cellStyle name="Обычный 2 12 2 2 4 2" xfId="6859"/>
    <cellStyle name="Обычный 2 12 2 2 4 3" xfId="6860"/>
    <cellStyle name="Обычный 2 12 2 2 4 4" xfId="6861"/>
    <cellStyle name="Обычный 2 12 2 2 4 5" xfId="6862"/>
    <cellStyle name="Обычный 2 12 2 2 4 6" xfId="6863"/>
    <cellStyle name="Обычный 2 12 2 2 5" xfId="6864"/>
    <cellStyle name="Обычный 2 12 2 2 6" xfId="6865"/>
    <cellStyle name="Обычный 2 12 2 2 7" xfId="6866"/>
    <cellStyle name="Обычный 2 12 2 2 8" xfId="6867"/>
    <cellStyle name="Обычный 2 12 2 2 9" xfId="6868"/>
    <cellStyle name="Обычный 2 12 2 3" xfId="2600"/>
    <cellStyle name="Обычный 2 12 2 3 2" xfId="6869"/>
    <cellStyle name="Обычный 2 12 2 3 3" xfId="6870"/>
    <cellStyle name="Обычный 2 12 2 3 4" xfId="6871"/>
    <cellStyle name="Обычный 2 12 2 3 5" xfId="6872"/>
    <cellStyle name="Обычный 2 12 2 3 6" xfId="6873"/>
    <cellStyle name="Обычный 2 12 2 4" xfId="2601"/>
    <cellStyle name="Обычный 2 12 2 4 2" xfId="6874"/>
    <cellStyle name="Обычный 2 12 2 4 3" xfId="6875"/>
    <cellStyle name="Обычный 2 12 2 4 4" xfId="6876"/>
    <cellStyle name="Обычный 2 12 2 4 5" xfId="6877"/>
    <cellStyle name="Обычный 2 12 2 4 6" xfId="6878"/>
    <cellStyle name="Обычный 2 12 2 5" xfId="2602"/>
    <cellStyle name="Обычный 2 12 2 5 2" xfId="6879"/>
    <cellStyle name="Обычный 2 12 2 5 3" xfId="6880"/>
    <cellStyle name="Обычный 2 12 2 5 4" xfId="6881"/>
    <cellStyle name="Обычный 2 12 2 5 5" xfId="6882"/>
    <cellStyle name="Обычный 2 12 2 5 6" xfId="6883"/>
    <cellStyle name="Обычный 2 12 2 6" xfId="6884"/>
    <cellStyle name="Обычный 2 12 2 7" xfId="6885"/>
    <cellStyle name="Обычный 2 12 2 8" xfId="6886"/>
    <cellStyle name="Обычный 2 12 2 9" xfId="6887"/>
    <cellStyle name="Обычный 2 12 3" xfId="2603"/>
    <cellStyle name="Обычный 2 12 3 10" xfId="6888"/>
    <cellStyle name="Обычный 2 12 3 2" xfId="2604"/>
    <cellStyle name="Обычный 2 12 3 2 2" xfId="2605"/>
    <cellStyle name="Обычный 2 12 3 2 2 2" xfId="6889"/>
    <cellStyle name="Обычный 2 12 3 2 2 3" xfId="6890"/>
    <cellStyle name="Обычный 2 12 3 2 2 4" xfId="6891"/>
    <cellStyle name="Обычный 2 12 3 2 2 5" xfId="6892"/>
    <cellStyle name="Обычный 2 12 3 2 2 6" xfId="6893"/>
    <cellStyle name="Обычный 2 12 3 2 3" xfId="2606"/>
    <cellStyle name="Обычный 2 12 3 2 3 2" xfId="6894"/>
    <cellStyle name="Обычный 2 12 3 2 3 3" xfId="6895"/>
    <cellStyle name="Обычный 2 12 3 2 3 4" xfId="6896"/>
    <cellStyle name="Обычный 2 12 3 2 3 5" xfId="6897"/>
    <cellStyle name="Обычный 2 12 3 2 3 6" xfId="6898"/>
    <cellStyle name="Обычный 2 12 3 2 4" xfId="2607"/>
    <cellStyle name="Обычный 2 12 3 2 4 2" xfId="6899"/>
    <cellStyle name="Обычный 2 12 3 2 4 3" xfId="6900"/>
    <cellStyle name="Обычный 2 12 3 2 4 4" xfId="6901"/>
    <cellStyle name="Обычный 2 12 3 2 4 5" xfId="6902"/>
    <cellStyle name="Обычный 2 12 3 2 4 6" xfId="6903"/>
    <cellStyle name="Обычный 2 12 3 2 5" xfId="6904"/>
    <cellStyle name="Обычный 2 12 3 2 6" xfId="6905"/>
    <cellStyle name="Обычный 2 12 3 2 7" xfId="6906"/>
    <cellStyle name="Обычный 2 12 3 2 8" xfId="6907"/>
    <cellStyle name="Обычный 2 12 3 2 9" xfId="6908"/>
    <cellStyle name="Обычный 2 12 3 3" xfId="2608"/>
    <cellStyle name="Обычный 2 12 3 3 2" xfId="6909"/>
    <cellStyle name="Обычный 2 12 3 3 3" xfId="6910"/>
    <cellStyle name="Обычный 2 12 3 3 4" xfId="6911"/>
    <cellStyle name="Обычный 2 12 3 3 5" xfId="6912"/>
    <cellStyle name="Обычный 2 12 3 3 6" xfId="6913"/>
    <cellStyle name="Обычный 2 12 3 4" xfId="2609"/>
    <cellStyle name="Обычный 2 12 3 4 2" xfId="6914"/>
    <cellStyle name="Обычный 2 12 3 4 3" xfId="6915"/>
    <cellStyle name="Обычный 2 12 3 4 4" xfId="6916"/>
    <cellStyle name="Обычный 2 12 3 4 5" xfId="6917"/>
    <cellStyle name="Обычный 2 12 3 4 6" xfId="6918"/>
    <cellStyle name="Обычный 2 12 3 5" xfId="2610"/>
    <cellStyle name="Обычный 2 12 3 5 2" xfId="6919"/>
    <cellStyle name="Обычный 2 12 3 5 3" xfId="6920"/>
    <cellStyle name="Обычный 2 12 3 5 4" xfId="6921"/>
    <cellStyle name="Обычный 2 12 3 5 5" xfId="6922"/>
    <cellStyle name="Обычный 2 12 3 5 6" xfId="6923"/>
    <cellStyle name="Обычный 2 12 3 6" xfId="6924"/>
    <cellStyle name="Обычный 2 12 3 7" xfId="6925"/>
    <cellStyle name="Обычный 2 12 3 8" xfId="6926"/>
    <cellStyle name="Обычный 2 12 3 9" xfId="6927"/>
    <cellStyle name="Обычный 2 12 4" xfId="2611"/>
    <cellStyle name="Обычный 2 12 4 2" xfId="2612"/>
    <cellStyle name="Обычный 2 12 4 2 2" xfId="6928"/>
    <cellStyle name="Обычный 2 12 4 2 3" xfId="6929"/>
    <cellStyle name="Обычный 2 12 4 2 4" xfId="6930"/>
    <cellStyle name="Обычный 2 12 4 2 5" xfId="6931"/>
    <cellStyle name="Обычный 2 12 4 2 6" xfId="6932"/>
    <cellStyle name="Обычный 2 12 4 3" xfId="2613"/>
    <cellStyle name="Обычный 2 12 4 3 2" xfId="6933"/>
    <cellStyle name="Обычный 2 12 4 3 3" xfId="6934"/>
    <cellStyle name="Обычный 2 12 4 3 4" xfId="6935"/>
    <cellStyle name="Обычный 2 12 4 3 5" xfId="6936"/>
    <cellStyle name="Обычный 2 12 4 3 6" xfId="6937"/>
    <cellStyle name="Обычный 2 12 4 4" xfId="2614"/>
    <cellStyle name="Обычный 2 12 4 4 2" xfId="6938"/>
    <cellStyle name="Обычный 2 12 4 4 3" xfId="6939"/>
    <cellStyle name="Обычный 2 12 4 4 4" xfId="6940"/>
    <cellStyle name="Обычный 2 12 4 4 5" xfId="6941"/>
    <cellStyle name="Обычный 2 12 4 4 6" xfId="6942"/>
    <cellStyle name="Обычный 2 12 4 5" xfId="6943"/>
    <cellStyle name="Обычный 2 12 4 6" xfId="6944"/>
    <cellStyle name="Обычный 2 12 4 7" xfId="6945"/>
    <cellStyle name="Обычный 2 12 4 8" xfId="6946"/>
    <cellStyle name="Обычный 2 12 4 9" xfId="6947"/>
    <cellStyle name="Обычный 2 12 5" xfId="2615"/>
    <cellStyle name="Обычный 2 12 5 2" xfId="6948"/>
    <cellStyle name="Обычный 2 12 5 3" xfId="6949"/>
    <cellStyle name="Обычный 2 12 5 4" xfId="6950"/>
    <cellStyle name="Обычный 2 12 5 5" xfId="6951"/>
    <cellStyle name="Обычный 2 12 5 6" xfId="6952"/>
    <cellStyle name="Обычный 2 12 6" xfId="2616"/>
    <cellStyle name="Обычный 2 12 6 2" xfId="6953"/>
    <cellStyle name="Обычный 2 12 6 3" xfId="6954"/>
    <cellStyle name="Обычный 2 12 6 4" xfId="6955"/>
    <cellStyle name="Обычный 2 12 6 5" xfId="6956"/>
    <cellStyle name="Обычный 2 12 6 6" xfId="6957"/>
    <cellStyle name="Обычный 2 12 7" xfId="2617"/>
    <cellStyle name="Обычный 2 12 7 2" xfId="6958"/>
    <cellStyle name="Обычный 2 12 7 3" xfId="6959"/>
    <cellStyle name="Обычный 2 12 7 4" xfId="6960"/>
    <cellStyle name="Обычный 2 12 7 5" xfId="6961"/>
    <cellStyle name="Обычный 2 12 7 6" xfId="6962"/>
    <cellStyle name="Обычный 2 12 8" xfId="4667"/>
    <cellStyle name="Обычный 2 12 9" xfId="6963"/>
    <cellStyle name="Обычный 2 13" xfId="2618"/>
    <cellStyle name="Обычный 2 13 2" xfId="2619"/>
    <cellStyle name="Обычный 2 14" xfId="2620"/>
    <cellStyle name="Обычный 2 14 2" xfId="2621"/>
    <cellStyle name="Обычный 2 14 2 10" xfId="6964"/>
    <cellStyle name="Обычный 2 14 2 2" xfId="2622"/>
    <cellStyle name="Обычный 2 14 2 2 2" xfId="6965"/>
    <cellStyle name="Обычный 2 14 2 2 3" xfId="6966"/>
    <cellStyle name="Обычный 2 14 2 2 4" xfId="6967"/>
    <cellStyle name="Обычный 2 14 2 2 5" xfId="6968"/>
    <cellStyle name="Обычный 2 14 2 2 6" xfId="6969"/>
    <cellStyle name="Обычный 2 14 2 3" xfId="2623"/>
    <cellStyle name="Обычный 2 14 2 3 2" xfId="6970"/>
    <cellStyle name="Обычный 2 14 2 3 3" xfId="6971"/>
    <cellStyle name="Обычный 2 14 2 3 4" xfId="6972"/>
    <cellStyle name="Обычный 2 14 2 3 5" xfId="6973"/>
    <cellStyle name="Обычный 2 14 2 3 6" xfId="6974"/>
    <cellStyle name="Обычный 2 14 2 4" xfId="2624"/>
    <cellStyle name="Обычный 2 14 2 4 2" xfId="6975"/>
    <cellStyle name="Обычный 2 14 2 4 3" xfId="6976"/>
    <cellStyle name="Обычный 2 14 2 4 4" xfId="6977"/>
    <cellStyle name="Обычный 2 14 2 4 5" xfId="6978"/>
    <cellStyle name="Обычный 2 14 2 4 6" xfId="6979"/>
    <cellStyle name="Обычный 2 14 2 5" xfId="2625"/>
    <cellStyle name="Обычный 2 14 2 5 2" xfId="6980"/>
    <cellStyle name="Обычный 2 14 2 5 3" xfId="6981"/>
    <cellStyle name="Обычный 2 14 2 5 4" xfId="6982"/>
    <cellStyle name="Обычный 2 14 2 5 5" xfId="6983"/>
    <cellStyle name="Обычный 2 14 2 5 6" xfId="6984"/>
    <cellStyle name="Обычный 2 14 2 6" xfId="6985"/>
    <cellStyle name="Обычный 2 14 2 7" xfId="6986"/>
    <cellStyle name="Обычный 2 14 2 8" xfId="6987"/>
    <cellStyle name="Обычный 2 14 2 9" xfId="6988"/>
    <cellStyle name="Обычный 2 15" xfId="2626"/>
    <cellStyle name="Обычный 2 15 2" xfId="2627"/>
    <cellStyle name="Обычный 2 15 2 2" xfId="6989"/>
    <cellStyle name="Обычный 2 15 2 3" xfId="6990"/>
    <cellStyle name="Обычный 2 15 2 4" xfId="6991"/>
    <cellStyle name="Обычный 2 15 2 5" xfId="6992"/>
    <cellStyle name="Обычный 2 15 2 6" xfId="6993"/>
    <cellStyle name="Обычный 2 15 3" xfId="2628"/>
    <cellStyle name="Обычный 2 15 3 2" xfId="6994"/>
    <cellStyle name="Обычный 2 15 3 3" xfId="6995"/>
    <cellStyle name="Обычный 2 15 3 4" xfId="6996"/>
    <cellStyle name="Обычный 2 15 3 5" xfId="6997"/>
    <cellStyle name="Обычный 2 15 3 6" xfId="6998"/>
    <cellStyle name="Обычный 2 15 4" xfId="2629"/>
    <cellStyle name="Обычный 2 15 4 2" xfId="6999"/>
    <cellStyle name="Обычный 2 15 4 3" xfId="7000"/>
    <cellStyle name="Обычный 2 15 4 4" xfId="7001"/>
    <cellStyle name="Обычный 2 15 4 5" xfId="7002"/>
    <cellStyle name="Обычный 2 15 4 6" xfId="7003"/>
    <cellStyle name="Обычный 2 15 5" xfId="7004"/>
    <cellStyle name="Обычный 2 15 6" xfId="7005"/>
    <cellStyle name="Обычный 2 15 7" xfId="7006"/>
    <cellStyle name="Обычный 2 15 8" xfId="7007"/>
    <cellStyle name="Обычный 2 15 9" xfId="7008"/>
    <cellStyle name="Обычный 2 16" xfId="4662"/>
    <cellStyle name="Обычный 2 2" xfId="2630"/>
    <cellStyle name="Обычный 2 2 2" xfId="2631"/>
    <cellStyle name="Обычный 2 2 2 2" xfId="2632"/>
    <cellStyle name="Обычный 2 2 2 3" xfId="2633"/>
    <cellStyle name="Обычный 2 2 3" xfId="2634"/>
    <cellStyle name="Обычный 2 2 3 2" xfId="2635"/>
    <cellStyle name="Обычный 2 2 3 2 10" xfId="7009"/>
    <cellStyle name="Обычный 2 2 3 2 2" xfId="2636"/>
    <cellStyle name="Обычный 2 2 3 2 2 2" xfId="2637"/>
    <cellStyle name="Обычный 2 2 3 2 2 2 2" xfId="7010"/>
    <cellStyle name="Обычный 2 2 3 2 2 2 3" xfId="7011"/>
    <cellStyle name="Обычный 2 2 3 2 2 2 4" xfId="7012"/>
    <cellStyle name="Обычный 2 2 3 2 2 2 5" xfId="7013"/>
    <cellStyle name="Обычный 2 2 3 2 2 2 6" xfId="7014"/>
    <cellStyle name="Обычный 2 2 3 2 2 3" xfId="2638"/>
    <cellStyle name="Обычный 2 2 3 2 2 3 2" xfId="7015"/>
    <cellStyle name="Обычный 2 2 3 2 2 3 3" xfId="7016"/>
    <cellStyle name="Обычный 2 2 3 2 2 3 4" xfId="7017"/>
    <cellStyle name="Обычный 2 2 3 2 2 3 5" xfId="7018"/>
    <cellStyle name="Обычный 2 2 3 2 2 3 6" xfId="7019"/>
    <cellStyle name="Обычный 2 2 3 2 2 4" xfId="2639"/>
    <cellStyle name="Обычный 2 2 3 2 2 4 2" xfId="7020"/>
    <cellStyle name="Обычный 2 2 3 2 2 4 3" xfId="7021"/>
    <cellStyle name="Обычный 2 2 3 2 2 4 4" xfId="7022"/>
    <cellStyle name="Обычный 2 2 3 2 2 4 5" xfId="7023"/>
    <cellStyle name="Обычный 2 2 3 2 2 4 6" xfId="7024"/>
    <cellStyle name="Обычный 2 2 3 2 2 5" xfId="7025"/>
    <cellStyle name="Обычный 2 2 3 2 2 6" xfId="7026"/>
    <cellStyle name="Обычный 2 2 3 2 2 7" xfId="7027"/>
    <cellStyle name="Обычный 2 2 3 2 2 8" xfId="7028"/>
    <cellStyle name="Обычный 2 2 3 2 2 9" xfId="7029"/>
    <cellStyle name="Обычный 2 2 3 2 3" xfId="2640"/>
    <cellStyle name="Обычный 2 2 3 2 3 2" xfId="7030"/>
    <cellStyle name="Обычный 2 2 3 2 3 3" xfId="7031"/>
    <cellStyle name="Обычный 2 2 3 2 3 4" xfId="7032"/>
    <cellStyle name="Обычный 2 2 3 2 3 5" xfId="7033"/>
    <cellStyle name="Обычный 2 2 3 2 3 6" xfId="7034"/>
    <cellStyle name="Обычный 2 2 3 2 4" xfId="2641"/>
    <cellStyle name="Обычный 2 2 3 2 4 2" xfId="7035"/>
    <cellStyle name="Обычный 2 2 3 2 4 3" xfId="7036"/>
    <cellStyle name="Обычный 2 2 3 2 4 4" xfId="7037"/>
    <cellStyle name="Обычный 2 2 3 2 4 5" xfId="7038"/>
    <cellStyle name="Обычный 2 2 3 2 4 6" xfId="7039"/>
    <cellStyle name="Обычный 2 2 3 2 5" xfId="2642"/>
    <cellStyle name="Обычный 2 2 3 2 5 2" xfId="7040"/>
    <cellStyle name="Обычный 2 2 3 2 5 3" xfId="7041"/>
    <cellStyle name="Обычный 2 2 3 2 5 4" xfId="7042"/>
    <cellStyle name="Обычный 2 2 3 2 5 5" xfId="7043"/>
    <cellStyle name="Обычный 2 2 3 2 5 6" xfId="7044"/>
    <cellStyle name="Обычный 2 2 3 2 6" xfId="7045"/>
    <cellStyle name="Обычный 2 2 3 2 7" xfId="7046"/>
    <cellStyle name="Обычный 2 2 3 2 8" xfId="7047"/>
    <cellStyle name="Обычный 2 2 3 2 9" xfId="7048"/>
    <cellStyle name="Обычный 2 2 3 3" xfId="2643"/>
    <cellStyle name="Обычный 2 2 3 3 2" xfId="2644"/>
    <cellStyle name="Обычный 2 2 3 3 2 2" xfId="7049"/>
    <cellStyle name="Обычный 2 2 3 3 2 3" xfId="7050"/>
    <cellStyle name="Обычный 2 2 3 3 2 4" xfId="7051"/>
    <cellStyle name="Обычный 2 2 3 3 2 5" xfId="7052"/>
    <cellStyle name="Обычный 2 2 3 3 2 6" xfId="7053"/>
    <cellStyle name="Обычный 2 2 3 3 3" xfId="2645"/>
    <cellStyle name="Обычный 2 2 3 3 3 2" xfId="7054"/>
    <cellStyle name="Обычный 2 2 3 3 3 3" xfId="7055"/>
    <cellStyle name="Обычный 2 2 3 3 3 4" xfId="7056"/>
    <cellStyle name="Обычный 2 2 3 3 3 5" xfId="7057"/>
    <cellStyle name="Обычный 2 2 3 3 3 6" xfId="7058"/>
    <cellStyle name="Обычный 2 2 3 3 4" xfId="2646"/>
    <cellStyle name="Обычный 2 2 3 3 4 2" xfId="7059"/>
    <cellStyle name="Обычный 2 2 3 3 4 3" xfId="7060"/>
    <cellStyle name="Обычный 2 2 3 3 4 4" xfId="7061"/>
    <cellStyle name="Обычный 2 2 3 3 4 5" xfId="7062"/>
    <cellStyle name="Обычный 2 2 3 3 4 6" xfId="7063"/>
    <cellStyle name="Обычный 2 2 3 3 5" xfId="7064"/>
    <cellStyle name="Обычный 2 2 3 3 6" xfId="7065"/>
    <cellStyle name="Обычный 2 2 3 3 7" xfId="7066"/>
    <cellStyle name="Обычный 2 2 3 3 8" xfId="7067"/>
    <cellStyle name="Обычный 2 2 3 3 9" xfId="7068"/>
    <cellStyle name="Обычный 2 2 3 4" xfId="2647"/>
    <cellStyle name="Обычный 2 2 3 4 2" xfId="2648"/>
    <cellStyle name="Обычный 2 2 3 4 2 2" xfId="7069"/>
    <cellStyle name="Обычный 2 2 3 4 2 3" xfId="7070"/>
    <cellStyle name="Обычный 2 2 3 4 2 4" xfId="7071"/>
    <cellStyle name="Обычный 2 2 3 4 2 5" xfId="7072"/>
    <cellStyle name="Обычный 2 2 3 4 2 6" xfId="7073"/>
    <cellStyle name="Обычный 2 2 3 4 3" xfId="2649"/>
    <cellStyle name="Обычный 2 2 3 4 3 2" xfId="7074"/>
    <cellStyle name="Обычный 2 2 3 4 3 3" xfId="7075"/>
    <cellStyle name="Обычный 2 2 3 4 3 4" xfId="7076"/>
    <cellStyle name="Обычный 2 2 3 4 3 5" xfId="7077"/>
    <cellStyle name="Обычный 2 2 3 4 3 6" xfId="7078"/>
    <cellStyle name="Обычный 2 2 3 4 4" xfId="2650"/>
    <cellStyle name="Обычный 2 2 3 4 4 2" xfId="7079"/>
    <cellStyle name="Обычный 2 2 3 4 4 3" xfId="7080"/>
    <cellStyle name="Обычный 2 2 3 4 4 4" xfId="7081"/>
    <cellStyle name="Обычный 2 2 3 4 4 5" xfId="7082"/>
    <cellStyle name="Обычный 2 2 3 4 4 6" xfId="7083"/>
    <cellStyle name="Обычный 2 2 3 4 5" xfId="7084"/>
    <cellStyle name="Обычный 2 2 3 4 6" xfId="7085"/>
    <cellStyle name="Обычный 2 2 3 4 7" xfId="7086"/>
    <cellStyle name="Обычный 2 2 3 4 8" xfId="7087"/>
    <cellStyle name="Обычный 2 2 3 4 9" xfId="7088"/>
    <cellStyle name="Обычный 2 2 3 5" xfId="5264"/>
    <cellStyle name="Обычный 2 2 4" xfId="2651"/>
    <cellStyle name="Обычный 2 2 4 2" xfId="2652"/>
    <cellStyle name="Обычный 2 2 4 2 10" xfId="7089"/>
    <cellStyle name="Обычный 2 2 4 2 11" xfId="7090"/>
    <cellStyle name="Обычный 2 2 4 2 2" xfId="2653"/>
    <cellStyle name="Обычный 2 2 4 2 2 2" xfId="2654"/>
    <cellStyle name="Обычный 2 2 4 2 2 2 2" xfId="7091"/>
    <cellStyle name="Обычный 2 2 4 2 2 2 3" xfId="7092"/>
    <cellStyle name="Обычный 2 2 4 2 2 2 4" xfId="7093"/>
    <cellStyle name="Обычный 2 2 4 2 2 2 5" xfId="7094"/>
    <cellStyle name="Обычный 2 2 4 2 2 2 6" xfId="7095"/>
    <cellStyle name="Обычный 2 2 4 2 2 3" xfId="2655"/>
    <cellStyle name="Обычный 2 2 4 2 2 3 2" xfId="7096"/>
    <cellStyle name="Обычный 2 2 4 2 2 3 3" xfId="7097"/>
    <cellStyle name="Обычный 2 2 4 2 2 3 4" xfId="7098"/>
    <cellStyle name="Обычный 2 2 4 2 2 3 5" xfId="7099"/>
    <cellStyle name="Обычный 2 2 4 2 2 3 6" xfId="7100"/>
    <cellStyle name="Обычный 2 2 4 2 2 4" xfId="2656"/>
    <cellStyle name="Обычный 2 2 4 2 2 4 2" xfId="7101"/>
    <cellStyle name="Обычный 2 2 4 2 2 4 3" xfId="7102"/>
    <cellStyle name="Обычный 2 2 4 2 2 4 4" xfId="7103"/>
    <cellStyle name="Обычный 2 2 4 2 2 4 5" xfId="7104"/>
    <cellStyle name="Обычный 2 2 4 2 2 4 6" xfId="7105"/>
    <cellStyle name="Обычный 2 2 4 2 2 5" xfId="7106"/>
    <cellStyle name="Обычный 2 2 4 2 2 6" xfId="7107"/>
    <cellStyle name="Обычный 2 2 4 2 2 7" xfId="7108"/>
    <cellStyle name="Обычный 2 2 4 2 2 8" xfId="7109"/>
    <cellStyle name="Обычный 2 2 4 2 2 9" xfId="7110"/>
    <cellStyle name="Обычный 2 2 4 2 3" xfId="2657"/>
    <cellStyle name="Обычный 2 2 4 2 3 2" xfId="2658"/>
    <cellStyle name="Обычный 2 2 4 2 3 2 2" xfId="7111"/>
    <cellStyle name="Обычный 2 2 4 2 3 2 3" xfId="7112"/>
    <cellStyle name="Обычный 2 2 4 2 3 2 4" xfId="7113"/>
    <cellStyle name="Обычный 2 2 4 2 3 2 5" xfId="7114"/>
    <cellStyle name="Обычный 2 2 4 2 3 2 6" xfId="7115"/>
    <cellStyle name="Обычный 2 2 4 2 3 3" xfId="2659"/>
    <cellStyle name="Обычный 2 2 4 2 3 3 2" xfId="7116"/>
    <cellStyle name="Обычный 2 2 4 2 3 3 3" xfId="7117"/>
    <cellStyle name="Обычный 2 2 4 2 3 3 4" xfId="7118"/>
    <cellStyle name="Обычный 2 2 4 2 3 3 5" xfId="7119"/>
    <cellStyle name="Обычный 2 2 4 2 3 3 6" xfId="7120"/>
    <cellStyle name="Обычный 2 2 4 2 3 4" xfId="2660"/>
    <cellStyle name="Обычный 2 2 4 2 3 4 2" xfId="7121"/>
    <cellStyle name="Обычный 2 2 4 2 3 4 3" xfId="7122"/>
    <cellStyle name="Обычный 2 2 4 2 3 4 4" xfId="7123"/>
    <cellStyle name="Обычный 2 2 4 2 3 4 5" xfId="7124"/>
    <cellStyle name="Обычный 2 2 4 2 3 4 6" xfId="7125"/>
    <cellStyle name="Обычный 2 2 4 2 3 5" xfId="7126"/>
    <cellStyle name="Обычный 2 2 4 2 3 6" xfId="7127"/>
    <cellStyle name="Обычный 2 2 4 2 3 7" xfId="7128"/>
    <cellStyle name="Обычный 2 2 4 2 3 8" xfId="7129"/>
    <cellStyle name="Обычный 2 2 4 2 3 9" xfId="7130"/>
    <cellStyle name="Обычный 2 2 4 2 4" xfId="2661"/>
    <cellStyle name="Обычный 2 2 4 2 4 2" xfId="7131"/>
    <cellStyle name="Обычный 2 2 4 2 4 3" xfId="7132"/>
    <cellStyle name="Обычный 2 2 4 2 4 4" xfId="7133"/>
    <cellStyle name="Обычный 2 2 4 2 4 5" xfId="7134"/>
    <cellStyle name="Обычный 2 2 4 2 4 6" xfId="7135"/>
    <cellStyle name="Обычный 2 2 4 2 5" xfId="2662"/>
    <cellStyle name="Обычный 2 2 4 2 5 2" xfId="7136"/>
    <cellStyle name="Обычный 2 2 4 2 5 3" xfId="7137"/>
    <cellStyle name="Обычный 2 2 4 2 5 4" xfId="7138"/>
    <cellStyle name="Обычный 2 2 4 2 5 5" xfId="7139"/>
    <cellStyle name="Обычный 2 2 4 2 5 6" xfId="7140"/>
    <cellStyle name="Обычный 2 2 4 2 6" xfId="2663"/>
    <cellStyle name="Обычный 2 2 4 2 6 2" xfId="7141"/>
    <cellStyle name="Обычный 2 2 4 2 6 3" xfId="7142"/>
    <cellStyle name="Обычный 2 2 4 2 6 4" xfId="7143"/>
    <cellStyle name="Обычный 2 2 4 2 6 5" xfId="7144"/>
    <cellStyle name="Обычный 2 2 4 2 6 6" xfId="7145"/>
    <cellStyle name="Обычный 2 2 4 2 7" xfId="5265"/>
    <cellStyle name="Обычный 2 2 4 2 8" xfId="7146"/>
    <cellStyle name="Обычный 2 2 4 2 9" xfId="7147"/>
    <cellStyle name="Обычный 2 2 4 3" xfId="2664"/>
    <cellStyle name="Обычный 2 2 4 3 2" xfId="2665"/>
    <cellStyle name="Обычный 2 2 4 3 2 2" xfId="5266"/>
    <cellStyle name="Обычный 2 2 4 4" xfId="2666"/>
    <cellStyle name="Обычный 2 2 4 5" xfId="2667"/>
    <cellStyle name="Обычный 2 2 4 5 2" xfId="2668"/>
    <cellStyle name="Обычный 2 2 4 6" xfId="2669"/>
    <cellStyle name="Обычный 2 2 5" xfId="2670"/>
    <cellStyle name="Обычный 2 2 6" xfId="2671"/>
    <cellStyle name="Обычный 2 2 6 2" xfId="2672"/>
    <cellStyle name="Обычный 2 2 7" xfId="2673"/>
    <cellStyle name="Обычный 2 2 8" xfId="5267"/>
    <cellStyle name="Обычный 2 2_46EE.2011(v1.0)" xfId="2674"/>
    <cellStyle name="Обычный 2 3" xfId="2675"/>
    <cellStyle name="Обычный 2 3 10" xfId="5268"/>
    <cellStyle name="Обычный 2 3 11" xfId="7148"/>
    <cellStyle name="Обычный 2 3 12" xfId="7149"/>
    <cellStyle name="Обычный 2 3 13" xfId="7150"/>
    <cellStyle name="Обычный 2 3 14" xfId="7151"/>
    <cellStyle name="Обычный 2 3 2" xfId="2676"/>
    <cellStyle name="Обычный 2 3 2 2" xfId="2677"/>
    <cellStyle name="Обычный 2 3 2 2 2" xfId="2678"/>
    <cellStyle name="Обычный 2 3 3" xfId="2679"/>
    <cellStyle name="Обычный 2 3 4" xfId="2680"/>
    <cellStyle name="Обычный 2 3 4 10" xfId="7152"/>
    <cellStyle name="Обычный 2 3 4 2" xfId="2681"/>
    <cellStyle name="Обычный 2 3 4 2 2" xfId="2682"/>
    <cellStyle name="Обычный 2 3 4 2 2 2" xfId="7153"/>
    <cellStyle name="Обычный 2 3 4 2 2 3" xfId="7154"/>
    <cellStyle name="Обычный 2 3 4 2 2 4" xfId="7155"/>
    <cellStyle name="Обычный 2 3 4 2 2 5" xfId="7156"/>
    <cellStyle name="Обычный 2 3 4 2 2 6" xfId="7157"/>
    <cellStyle name="Обычный 2 3 4 2 3" xfId="2683"/>
    <cellStyle name="Обычный 2 3 4 2 3 2" xfId="7158"/>
    <cellStyle name="Обычный 2 3 4 2 3 3" xfId="7159"/>
    <cellStyle name="Обычный 2 3 4 2 3 4" xfId="7160"/>
    <cellStyle name="Обычный 2 3 4 2 3 5" xfId="7161"/>
    <cellStyle name="Обычный 2 3 4 2 3 6" xfId="7162"/>
    <cellStyle name="Обычный 2 3 4 2 4" xfId="2684"/>
    <cellStyle name="Обычный 2 3 4 2 4 2" xfId="7163"/>
    <cellStyle name="Обычный 2 3 4 2 4 3" xfId="7164"/>
    <cellStyle name="Обычный 2 3 4 2 4 4" xfId="7165"/>
    <cellStyle name="Обычный 2 3 4 2 4 5" xfId="7166"/>
    <cellStyle name="Обычный 2 3 4 2 4 6" xfId="7167"/>
    <cellStyle name="Обычный 2 3 4 2 5" xfId="7168"/>
    <cellStyle name="Обычный 2 3 4 2 6" xfId="7169"/>
    <cellStyle name="Обычный 2 3 4 2 7" xfId="7170"/>
    <cellStyle name="Обычный 2 3 4 2 8" xfId="7171"/>
    <cellStyle name="Обычный 2 3 4 2 9" xfId="7172"/>
    <cellStyle name="Обычный 2 3 4 3" xfId="2685"/>
    <cellStyle name="Обычный 2 3 4 3 2" xfId="7173"/>
    <cellStyle name="Обычный 2 3 4 3 3" xfId="7174"/>
    <cellStyle name="Обычный 2 3 4 3 4" xfId="7175"/>
    <cellStyle name="Обычный 2 3 4 3 5" xfId="7176"/>
    <cellStyle name="Обычный 2 3 4 3 6" xfId="7177"/>
    <cellStyle name="Обычный 2 3 4 4" xfId="2686"/>
    <cellStyle name="Обычный 2 3 4 4 2" xfId="7178"/>
    <cellStyle name="Обычный 2 3 4 4 3" xfId="7179"/>
    <cellStyle name="Обычный 2 3 4 4 4" xfId="7180"/>
    <cellStyle name="Обычный 2 3 4 4 5" xfId="7181"/>
    <cellStyle name="Обычный 2 3 4 4 6" xfId="7182"/>
    <cellStyle name="Обычный 2 3 4 5" xfId="2687"/>
    <cellStyle name="Обычный 2 3 4 5 2" xfId="7183"/>
    <cellStyle name="Обычный 2 3 4 5 3" xfId="7184"/>
    <cellStyle name="Обычный 2 3 4 5 4" xfId="7185"/>
    <cellStyle name="Обычный 2 3 4 5 5" xfId="7186"/>
    <cellStyle name="Обычный 2 3 4 5 6" xfId="7187"/>
    <cellStyle name="Обычный 2 3 4 6" xfId="7188"/>
    <cellStyle name="Обычный 2 3 4 7" xfId="7189"/>
    <cellStyle name="Обычный 2 3 4 8" xfId="7190"/>
    <cellStyle name="Обычный 2 3 4 9" xfId="7191"/>
    <cellStyle name="Обычный 2 3 5" xfId="2688"/>
    <cellStyle name="Обычный 2 3 6" xfId="2689"/>
    <cellStyle name="Обычный 2 3 6 2" xfId="2690"/>
    <cellStyle name="Обычный 2 3 6 2 2" xfId="7192"/>
    <cellStyle name="Обычный 2 3 6 2 3" xfId="7193"/>
    <cellStyle name="Обычный 2 3 6 2 4" xfId="7194"/>
    <cellStyle name="Обычный 2 3 6 2 5" xfId="7195"/>
    <cellStyle name="Обычный 2 3 6 2 6" xfId="7196"/>
    <cellStyle name="Обычный 2 3 6 3" xfId="2691"/>
    <cellStyle name="Обычный 2 3 6 3 2" xfId="7197"/>
    <cellStyle name="Обычный 2 3 6 3 3" xfId="7198"/>
    <cellStyle name="Обычный 2 3 6 3 4" xfId="7199"/>
    <cellStyle name="Обычный 2 3 6 3 5" xfId="7200"/>
    <cellStyle name="Обычный 2 3 6 3 6" xfId="7201"/>
    <cellStyle name="Обычный 2 3 6 4" xfId="2692"/>
    <cellStyle name="Обычный 2 3 6 4 2" xfId="7202"/>
    <cellStyle name="Обычный 2 3 6 4 3" xfId="7203"/>
    <cellStyle name="Обычный 2 3 6 4 4" xfId="7204"/>
    <cellStyle name="Обычный 2 3 6 4 5" xfId="7205"/>
    <cellStyle name="Обычный 2 3 6 4 6" xfId="7206"/>
    <cellStyle name="Обычный 2 3 6 5" xfId="7207"/>
    <cellStyle name="Обычный 2 3 6 6" xfId="7208"/>
    <cellStyle name="Обычный 2 3 6 7" xfId="7209"/>
    <cellStyle name="Обычный 2 3 6 8" xfId="7210"/>
    <cellStyle name="Обычный 2 3 6 9" xfId="7211"/>
    <cellStyle name="Обычный 2 3 7" xfId="2693"/>
    <cellStyle name="Обычный 2 3 7 2" xfId="7212"/>
    <cellStyle name="Обычный 2 3 7 3" xfId="7213"/>
    <cellStyle name="Обычный 2 3 7 4" xfId="7214"/>
    <cellStyle name="Обычный 2 3 7 5" xfId="7215"/>
    <cellStyle name="Обычный 2 3 7 6" xfId="7216"/>
    <cellStyle name="Обычный 2 3 8" xfId="2694"/>
    <cellStyle name="Обычный 2 3 8 2" xfId="7217"/>
    <cellStyle name="Обычный 2 3 8 3" xfId="7218"/>
    <cellStyle name="Обычный 2 3 8 4" xfId="7219"/>
    <cellStyle name="Обычный 2 3 8 5" xfId="7220"/>
    <cellStyle name="Обычный 2 3 8 6" xfId="7221"/>
    <cellStyle name="Обычный 2 3 9" xfId="2695"/>
    <cellStyle name="Обычный 2 3 9 2" xfId="7222"/>
    <cellStyle name="Обычный 2 3 9 3" xfId="7223"/>
    <cellStyle name="Обычный 2 3 9 4" xfId="7224"/>
    <cellStyle name="Обычный 2 3 9 5" xfId="7225"/>
    <cellStyle name="Обычный 2 3 9 6" xfId="7226"/>
    <cellStyle name="Обычный 2 3_46EE.2011(v1.0)" xfId="2696"/>
    <cellStyle name="Обычный 2 4" xfId="2697"/>
    <cellStyle name="Обычный 2 4 2" xfId="2698"/>
    <cellStyle name="Обычный 2 4 3" xfId="2699"/>
    <cellStyle name="Обычный 2 4 4" xfId="2700"/>
    <cellStyle name="Обычный 2 4 5" xfId="2701"/>
    <cellStyle name="Обычный 2 4 6" xfId="5269"/>
    <cellStyle name="Обычный 2 4 7" xfId="5270"/>
    <cellStyle name="Обычный 2 4_46EE.2011(v1.0)" xfId="2702"/>
    <cellStyle name="Обычный 2 5" xfId="2703"/>
    <cellStyle name="Обычный 2 5 2" xfId="2704"/>
    <cellStyle name="Обычный 2 5 3" xfId="2705"/>
    <cellStyle name="Обычный 2 5 4" xfId="2706"/>
    <cellStyle name="Обычный 2 5_46EE.2011(v1.0)" xfId="2707"/>
    <cellStyle name="Обычный 2 6" xfId="2708"/>
    <cellStyle name="Обычный 2 6 2" xfId="2709"/>
    <cellStyle name="Обычный 2 6 3" xfId="2710"/>
    <cellStyle name="Обычный 2 6 4" xfId="2711"/>
    <cellStyle name="Обычный 2 6 4 10" xfId="7227"/>
    <cellStyle name="Обычный 2 6 4 2" xfId="2712"/>
    <cellStyle name="Обычный 2 6 4 2 2" xfId="2713"/>
    <cellStyle name="Обычный 2 6 4 2 2 2" xfId="7228"/>
    <cellStyle name="Обычный 2 6 4 2 2 3" xfId="7229"/>
    <cellStyle name="Обычный 2 6 4 2 2 4" xfId="7230"/>
    <cellStyle name="Обычный 2 6 4 2 2 5" xfId="7231"/>
    <cellStyle name="Обычный 2 6 4 2 2 6" xfId="7232"/>
    <cellStyle name="Обычный 2 6 4 2 3" xfId="2714"/>
    <cellStyle name="Обычный 2 6 4 2 3 2" xfId="7233"/>
    <cellStyle name="Обычный 2 6 4 2 3 3" xfId="7234"/>
    <cellStyle name="Обычный 2 6 4 2 3 4" xfId="7235"/>
    <cellStyle name="Обычный 2 6 4 2 3 5" xfId="7236"/>
    <cellStyle name="Обычный 2 6 4 2 3 6" xfId="7237"/>
    <cellStyle name="Обычный 2 6 4 2 4" xfId="2715"/>
    <cellStyle name="Обычный 2 6 4 2 4 2" xfId="7238"/>
    <cellStyle name="Обычный 2 6 4 2 4 3" xfId="7239"/>
    <cellStyle name="Обычный 2 6 4 2 4 4" xfId="7240"/>
    <cellStyle name="Обычный 2 6 4 2 4 5" xfId="7241"/>
    <cellStyle name="Обычный 2 6 4 2 4 6" xfId="7242"/>
    <cellStyle name="Обычный 2 6 4 2 5" xfId="7243"/>
    <cellStyle name="Обычный 2 6 4 2 6" xfId="7244"/>
    <cellStyle name="Обычный 2 6 4 2 7" xfId="7245"/>
    <cellStyle name="Обычный 2 6 4 2 8" xfId="7246"/>
    <cellStyle name="Обычный 2 6 4 2 9" xfId="7247"/>
    <cellStyle name="Обычный 2 6 4 3" xfId="2716"/>
    <cellStyle name="Обычный 2 6 4 3 2" xfId="7248"/>
    <cellStyle name="Обычный 2 6 4 3 3" xfId="7249"/>
    <cellStyle name="Обычный 2 6 4 3 4" xfId="7250"/>
    <cellStyle name="Обычный 2 6 4 3 5" xfId="7251"/>
    <cellStyle name="Обычный 2 6 4 3 6" xfId="7252"/>
    <cellStyle name="Обычный 2 6 4 4" xfId="2717"/>
    <cellStyle name="Обычный 2 6 4 4 2" xfId="7253"/>
    <cellStyle name="Обычный 2 6 4 4 3" xfId="7254"/>
    <cellStyle name="Обычный 2 6 4 4 4" xfId="7255"/>
    <cellStyle name="Обычный 2 6 4 4 5" xfId="7256"/>
    <cellStyle name="Обычный 2 6 4 4 6" xfId="7257"/>
    <cellStyle name="Обычный 2 6 4 5" xfId="2718"/>
    <cellStyle name="Обычный 2 6 4 5 2" xfId="7258"/>
    <cellStyle name="Обычный 2 6 4 5 3" xfId="7259"/>
    <cellStyle name="Обычный 2 6 4 5 4" xfId="7260"/>
    <cellStyle name="Обычный 2 6 4 5 5" xfId="7261"/>
    <cellStyle name="Обычный 2 6 4 5 6" xfId="7262"/>
    <cellStyle name="Обычный 2 6 4 6" xfId="7263"/>
    <cellStyle name="Обычный 2 6 4 7" xfId="7264"/>
    <cellStyle name="Обычный 2 6 4 8" xfId="7265"/>
    <cellStyle name="Обычный 2 6 4 9" xfId="7266"/>
    <cellStyle name="Обычный 2 6 5" xfId="2719"/>
    <cellStyle name="Обычный 2 6 5 2" xfId="2720"/>
    <cellStyle name="Обычный 2 6 5 2 2" xfId="7267"/>
    <cellStyle name="Обычный 2 6 5 2 3" xfId="7268"/>
    <cellStyle name="Обычный 2 6 5 2 4" xfId="7269"/>
    <cellStyle name="Обычный 2 6 5 2 5" xfId="7270"/>
    <cellStyle name="Обычный 2 6 5 2 6" xfId="7271"/>
    <cellStyle name="Обычный 2 6 5 3" xfId="2721"/>
    <cellStyle name="Обычный 2 6 5 3 2" xfId="7272"/>
    <cellStyle name="Обычный 2 6 5 3 3" xfId="7273"/>
    <cellStyle name="Обычный 2 6 5 3 4" xfId="7274"/>
    <cellStyle name="Обычный 2 6 5 3 5" xfId="7275"/>
    <cellStyle name="Обычный 2 6 5 3 6" xfId="7276"/>
    <cellStyle name="Обычный 2 6 5 4" xfId="2722"/>
    <cellStyle name="Обычный 2 6 5 4 2" xfId="7277"/>
    <cellStyle name="Обычный 2 6 5 4 3" xfId="7278"/>
    <cellStyle name="Обычный 2 6 5 4 4" xfId="7279"/>
    <cellStyle name="Обычный 2 6 5 4 5" xfId="7280"/>
    <cellStyle name="Обычный 2 6 5 4 6" xfId="7281"/>
    <cellStyle name="Обычный 2 6 5 5" xfId="7282"/>
    <cellStyle name="Обычный 2 6 5 6" xfId="7283"/>
    <cellStyle name="Обычный 2 6 5 7" xfId="7284"/>
    <cellStyle name="Обычный 2 6 5 8" xfId="7285"/>
    <cellStyle name="Обычный 2 6 5 9" xfId="7286"/>
    <cellStyle name="Обычный 2 6 6" xfId="2723"/>
    <cellStyle name="Обычный 2 6 6 2" xfId="2724"/>
    <cellStyle name="Обычный 2 6 6 2 2" xfId="7287"/>
    <cellStyle name="Обычный 2 6 6 2 3" xfId="7288"/>
    <cellStyle name="Обычный 2 6 6 2 4" xfId="7289"/>
    <cellStyle name="Обычный 2 6 6 2 5" xfId="7290"/>
    <cellStyle name="Обычный 2 6 6 2 6" xfId="7291"/>
    <cellStyle name="Обычный 2 6 6 3" xfId="2725"/>
    <cellStyle name="Обычный 2 6 6 3 2" xfId="7292"/>
    <cellStyle name="Обычный 2 6 6 3 3" xfId="7293"/>
    <cellStyle name="Обычный 2 6 6 3 4" xfId="7294"/>
    <cellStyle name="Обычный 2 6 6 3 5" xfId="7295"/>
    <cellStyle name="Обычный 2 6 6 3 6" xfId="7296"/>
    <cellStyle name="Обычный 2 6 6 4" xfId="2726"/>
    <cellStyle name="Обычный 2 6 6 4 2" xfId="7297"/>
    <cellStyle name="Обычный 2 6 6 4 3" xfId="7298"/>
    <cellStyle name="Обычный 2 6 6 4 4" xfId="7299"/>
    <cellStyle name="Обычный 2 6 6 4 5" xfId="7300"/>
    <cellStyle name="Обычный 2 6 6 4 6" xfId="7301"/>
    <cellStyle name="Обычный 2 6 6 5" xfId="7302"/>
    <cellStyle name="Обычный 2 6 6 6" xfId="7303"/>
    <cellStyle name="Обычный 2 6 6 7" xfId="7304"/>
    <cellStyle name="Обычный 2 6 6 8" xfId="7305"/>
    <cellStyle name="Обычный 2 6 6 9" xfId="7306"/>
    <cellStyle name="Обычный 2 6 7" xfId="5271"/>
    <cellStyle name="Обычный 2 6_46EE.2011(v1.0)" xfId="2727"/>
    <cellStyle name="Обычный 2 7" xfId="2728"/>
    <cellStyle name="Обычный 2 7 2" xfId="2729"/>
    <cellStyle name="Обычный 2 7 2 2" xfId="2730"/>
    <cellStyle name="Обычный 2 8" xfId="2731"/>
    <cellStyle name="Обычный 2 8 2" xfId="2732"/>
    <cellStyle name="Обычный 2 8 2 2" xfId="2733"/>
    <cellStyle name="Обычный 2 9" xfId="2734"/>
    <cellStyle name="Обычный 2 9 2" xfId="2735"/>
    <cellStyle name="Обычный 2 9 2 2" xfId="2736"/>
    <cellStyle name="Обычный 2_1" xfId="2737"/>
    <cellStyle name="Обычный 2_Формат_ЕИАС_с_формулами_дополненный" xfId="5"/>
    <cellStyle name="Обычный 20" xfId="2738"/>
    <cellStyle name="Обычный 20 10" xfId="2739"/>
    <cellStyle name="Обычный 20 10 2" xfId="7307"/>
    <cellStyle name="Обычный 20 10 3" xfId="7308"/>
    <cellStyle name="Обычный 20 10 4" xfId="7309"/>
    <cellStyle name="Обычный 20 10 5" xfId="7310"/>
    <cellStyle name="Обычный 20 10 6" xfId="7311"/>
    <cellStyle name="Обычный 20 11" xfId="2740"/>
    <cellStyle name="Обычный 20 11 2" xfId="7312"/>
    <cellStyle name="Обычный 20 11 3" xfId="7313"/>
    <cellStyle name="Обычный 20 11 4" xfId="7314"/>
    <cellStyle name="Обычный 20 11 5" xfId="7315"/>
    <cellStyle name="Обычный 20 11 6" xfId="7316"/>
    <cellStyle name="Обычный 20 12" xfId="5272"/>
    <cellStyle name="Обычный 20 13" xfId="7317"/>
    <cellStyle name="Обычный 20 14" xfId="7318"/>
    <cellStyle name="Обычный 20 15" xfId="7319"/>
    <cellStyle name="Обычный 20 16" xfId="7320"/>
    <cellStyle name="Обычный 20 2" xfId="2741"/>
    <cellStyle name="Обычный 20 2 10" xfId="7321"/>
    <cellStyle name="Обычный 20 2 11" xfId="7322"/>
    <cellStyle name="Обычный 20 2 12" xfId="7323"/>
    <cellStyle name="Обычный 20 2 2" xfId="2742"/>
    <cellStyle name="Обычный 20 2 2 10" xfId="7324"/>
    <cellStyle name="Обычный 20 2 2 11" xfId="7325"/>
    <cellStyle name="Обычный 20 2 2 2" xfId="2743"/>
    <cellStyle name="Обычный 20 2 2 2 10" xfId="7326"/>
    <cellStyle name="Обычный 20 2 2 2 2" xfId="2744"/>
    <cellStyle name="Обычный 20 2 2 2 2 2" xfId="2745"/>
    <cellStyle name="Обычный 20 2 2 2 2 2 2" xfId="7327"/>
    <cellStyle name="Обычный 20 2 2 2 2 2 3" xfId="7328"/>
    <cellStyle name="Обычный 20 2 2 2 2 2 4" xfId="7329"/>
    <cellStyle name="Обычный 20 2 2 2 2 2 5" xfId="7330"/>
    <cellStyle name="Обычный 20 2 2 2 2 2 6" xfId="7331"/>
    <cellStyle name="Обычный 20 2 2 2 2 3" xfId="2746"/>
    <cellStyle name="Обычный 20 2 2 2 2 3 2" xfId="7332"/>
    <cellStyle name="Обычный 20 2 2 2 2 3 3" xfId="7333"/>
    <cellStyle name="Обычный 20 2 2 2 2 3 4" xfId="7334"/>
    <cellStyle name="Обычный 20 2 2 2 2 3 5" xfId="7335"/>
    <cellStyle name="Обычный 20 2 2 2 2 3 6" xfId="7336"/>
    <cellStyle name="Обычный 20 2 2 2 2 4" xfId="2747"/>
    <cellStyle name="Обычный 20 2 2 2 2 4 2" xfId="7337"/>
    <cellStyle name="Обычный 20 2 2 2 2 4 3" xfId="7338"/>
    <cellStyle name="Обычный 20 2 2 2 2 4 4" xfId="7339"/>
    <cellStyle name="Обычный 20 2 2 2 2 4 5" xfId="7340"/>
    <cellStyle name="Обычный 20 2 2 2 2 4 6" xfId="7341"/>
    <cellStyle name="Обычный 20 2 2 2 2 5" xfId="7342"/>
    <cellStyle name="Обычный 20 2 2 2 2 6" xfId="7343"/>
    <cellStyle name="Обычный 20 2 2 2 2 7" xfId="7344"/>
    <cellStyle name="Обычный 20 2 2 2 2 8" xfId="7345"/>
    <cellStyle name="Обычный 20 2 2 2 2 9" xfId="7346"/>
    <cellStyle name="Обычный 20 2 2 2 3" xfId="2748"/>
    <cellStyle name="Обычный 20 2 2 2 3 2" xfId="7347"/>
    <cellStyle name="Обычный 20 2 2 2 3 3" xfId="7348"/>
    <cellStyle name="Обычный 20 2 2 2 3 4" xfId="7349"/>
    <cellStyle name="Обычный 20 2 2 2 3 5" xfId="7350"/>
    <cellStyle name="Обычный 20 2 2 2 3 6" xfId="7351"/>
    <cellStyle name="Обычный 20 2 2 2 4" xfId="2749"/>
    <cellStyle name="Обычный 20 2 2 2 4 2" xfId="7352"/>
    <cellStyle name="Обычный 20 2 2 2 4 3" xfId="7353"/>
    <cellStyle name="Обычный 20 2 2 2 4 4" xfId="7354"/>
    <cellStyle name="Обычный 20 2 2 2 4 5" xfId="7355"/>
    <cellStyle name="Обычный 20 2 2 2 4 6" xfId="7356"/>
    <cellStyle name="Обычный 20 2 2 2 5" xfId="2750"/>
    <cellStyle name="Обычный 20 2 2 2 5 2" xfId="7357"/>
    <cellStyle name="Обычный 20 2 2 2 5 3" xfId="7358"/>
    <cellStyle name="Обычный 20 2 2 2 5 4" xfId="7359"/>
    <cellStyle name="Обычный 20 2 2 2 5 5" xfId="7360"/>
    <cellStyle name="Обычный 20 2 2 2 5 6" xfId="7361"/>
    <cellStyle name="Обычный 20 2 2 2 6" xfId="7362"/>
    <cellStyle name="Обычный 20 2 2 2 7" xfId="7363"/>
    <cellStyle name="Обычный 20 2 2 2 8" xfId="7364"/>
    <cellStyle name="Обычный 20 2 2 2 9" xfId="7365"/>
    <cellStyle name="Обычный 20 2 2 3" xfId="2751"/>
    <cellStyle name="Обычный 20 2 2 3 2" xfId="2752"/>
    <cellStyle name="Обычный 20 2 2 3 2 2" xfId="7366"/>
    <cellStyle name="Обычный 20 2 2 3 2 3" xfId="7367"/>
    <cellStyle name="Обычный 20 2 2 3 2 4" xfId="7368"/>
    <cellStyle name="Обычный 20 2 2 3 2 5" xfId="7369"/>
    <cellStyle name="Обычный 20 2 2 3 2 6" xfId="7370"/>
    <cellStyle name="Обычный 20 2 2 3 3" xfId="2753"/>
    <cellStyle name="Обычный 20 2 2 3 3 2" xfId="7371"/>
    <cellStyle name="Обычный 20 2 2 3 3 3" xfId="7372"/>
    <cellStyle name="Обычный 20 2 2 3 3 4" xfId="7373"/>
    <cellStyle name="Обычный 20 2 2 3 3 5" xfId="7374"/>
    <cellStyle name="Обычный 20 2 2 3 3 6" xfId="7375"/>
    <cellStyle name="Обычный 20 2 2 3 4" xfId="2754"/>
    <cellStyle name="Обычный 20 2 2 3 4 2" xfId="7376"/>
    <cellStyle name="Обычный 20 2 2 3 4 3" xfId="7377"/>
    <cellStyle name="Обычный 20 2 2 3 4 4" xfId="7378"/>
    <cellStyle name="Обычный 20 2 2 3 4 5" xfId="7379"/>
    <cellStyle name="Обычный 20 2 2 3 4 6" xfId="7380"/>
    <cellStyle name="Обычный 20 2 2 3 5" xfId="7381"/>
    <cellStyle name="Обычный 20 2 2 3 6" xfId="7382"/>
    <cellStyle name="Обычный 20 2 2 3 7" xfId="7383"/>
    <cellStyle name="Обычный 20 2 2 3 8" xfId="7384"/>
    <cellStyle name="Обычный 20 2 2 3 9" xfId="7385"/>
    <cellStyle name="Обычный 20 2 2 4" xfId="2755"/>
    <cellStyle name="Обычный 20 2 2 4 2" xfId="7386"/>
    <cellStyle name="Обычный 20 2 2 4 3" xfId="7387"/>
    <cellStyle name="Обычный 20 2 2 4 4" xfId="7388"/>
    <cellStyle name="Обычный 20 2 2 4 5" xfId="7389"/>
    <cellStyle name="Обычный 20 2 2 4 6" xfId="7390"/>
    <cellStyle name="Обычный 20 2 2 5" xfId="2756"/>
    <cellStyle name="Обычный 20 2 2 5 2" xfId="7391"/>
    <cellStyle name="Обычный 20 2 2 5 3" xfId="7392"/>
    <cellStyle name="Обычный 20 2 2 5 4" xfId="7393"/>
    <cellStyle name="Обычный 20 2 2 5 5" xfId="7394"/>
    <cellStyle name="Обычный 20 2 2 5 6" xfId="7395"/>
    <cellStyle name="Обычный 20 2 2 6" xfId="2757"/>
    <cellStyle name="Обычный 20 2 2 6 2" xfId="7396"/>
    <cellStyle name="Обычный 20 2 2 6 3" xfId="7397"/>
    <cellStyle name="Обычный 20 2 2 6 4" xfId="7398"/>
    <cellStyle name="Обычный 20 2 2 6 5" xfId="7399"/>
    <cellStyle name="Обычный 20 2 2 6 6" xfId="7400"/>
    <cellStyle name="Обычный 20 2 2 7" xfId="7401"/>
    <cellStyle name="Обычный 20 2 2 8" xfId="7402"/>
    <cellStyle name="Обычный 20 2 2 9" xfId="7403"/>
    <cellStyle name="Обычный 20 2 3" xfId="2758"/>
    <cellStyle name="Обычный 20 2 3 10" xfId="7404"/>
    <cellStyle name="Обычный 20 2 3 2" xfId="2759"/>
    <cellStyle name="Обычный 20 2 3 2 2" xfId="2760"/>
    <cellStyle name="Обычный 20 2 3 2 2 2" xfId="7405"/>
    <cellStyle name="Обычный 20 2 3 2 2 3" xfId="7406"/>
    <cellStyle name="Обычный 20 2 3 2 2 4" xfId="7407"/>
    <cellStyle name="Обычный 20 2 3 2 2 5" xfId="7408"/>
    <cellStyle name="Обычный 20 2 3 2 2 6" xfId="7409"/>
    <cellStyle name="Обычный 20 2 3 2 3" xfId="2761"/>
    <cellStyle name="Обычный 20 2 3 2 3 2" xfId="7410"/>
    <cellStyle name="Обычный 20 2 3 2 3 3" xfId="7411"/>
    <cellStyle name="Обычный 20 2 3 2 3 4" xfId="7412"/>
    <cellStyle name="Обычный 20 2 3 2 3 5" xfId="7413"/>
    <cellStyle name="Обычный 20 2 3 2 3 6" xfId="7414"/>
    <cellStyle name="Обычный 20 2 3 2 4" xfId="2762"/>
    <cellStyle name="Обычный 20 2 3 2 4 2" xfId="7415"/>
    <cellStyle name="Обычный 20 2 3 2 4 3" xfId="7416"/>
    <cellStyle name="Обычный 20 2 3 2 4 4" xfId="7417"/>
    <cellStyle name="Обычный 20 2 3 2 4 5" xfId="7418"/>
    <cellStyle name="Обычный 20 2 3 2 4 6" xfId="7419"/>
    <cellStyle name="Обычный 20 2 3 2 5" xfId="7420"/>
    <cellStyle name="Обычный 20 2 3 2 6" xfId="7421"/>
    <cellStyle name="Обычный 20 2 3 2 7" xfId="7422"/>
    <cellStyle name="Обычный 20 2 3 2 8" xfId="7423"/>
    <cellStyle name="Обычный 20 2 3 2 9" xfId="7424"/>
    <cellStyle name="Обычный 20 2 3 3" xfId="2763"/>
    <cellStyle name="Обычный 20 2 3 3 2" xfId="7425"/>
    <cellStyle name="Обычный 20 2 3 3 3" xfId="7426"/>
    <cellStyle name="Обычный 20 2 3 3 4" xfId="7427"/>
    <cellStyle name="Обычный 20 2 3 3 5" xfId="7428"/>
    <cellStyle name="Обычный 20 2 3 3 6" xfId="7429"/>
    <cellStyle name="Обычный 20 2 3 4" xfId="2764"/>
    <cellStyle name="Обычный 20 2 3 4 2" xfId="7430"/>
    <cellStyle name="Обычный 20 2 3 4 3" xfId="7431"/>
    <cellStyle name="Обычный 20 2 3 4 4" xfId="7432"/>
    <cellStyle name="Обычный 20 2 3 4 5" xfId="7433"/>
    <cellStyle name="Обычный 20 2 3 4 6" xfId="7434"/>
    <cellStyle name="Обычный 20 2 3 5" xfId="2765"/>
    <cellStyle name="Обычный 20 2 3 5 2" xfId="7435"/>
    <cellStyle name="Обычный 20 2 3 5 3" xfId="7436"/>
    <cellStyle name="Обычный 20 2 3 5 4" xfId="7437"/>
    <cellStyle name="Обычный 20 2 3 5 5" xfId="7438"/>
    <cellStyle name="Обычный 20 2 3 5 6" xfId="7439"/>
    <cellStyle name="Обычный 20 2 3 6" xfId="7440"/>
    <cellStyle name="Обычный 20 2 3 7" xfId="7441"/>
    <cellStyle name="Обычный 20 2 3 8" xfId="7442"/>
    <cellStyle name="Обычный 20 2 3 9" xfId="7443"/>
    <cellStyle name="Обычный 20 2 4" xfId="2766"/>
    <cellStyle name="Обычный 20 2 4 2" xfId="2767"/>
    <cellStyle name="Обычный 20 2 4 2 2" xfId="7444"/>
    <cellStyle name="Обычный 20 2 4 2 3" xfId="7445"/>
    <cellStyle name="Обычный 20 2 4 2 4" xfId="7446"/>
    <cellStyle name="Обычный 20 2 4 2 5" xfId="7447"/>
    <cellStyle name="Обычный 20 2 4 2 6" xfId="7448"/>
    <cellStyle name="Обычный 20 2 4 3" xfId="2768"/>
    <cellStyle name="Обычный 20 2 4 3 2" xfId="7449"/>
    <cellStyle name="Обычный 20 2 4 3 3" xfId="7450"/>
    <cellStyle name="Обычный 20 2 4 3 4" xfId="7451"/>
    <cellStyle name="Обычный 20 2 4 3 5" xfId="7452"/>
    <cellStyle name="Обычный 20 2 4 3 6" xfId="7453"/>
    <cellStyle name="Обычный 20 2 4 4" xfId="2769"/>
    <cellStyle name="Обычный 20 2 4 4 2" xfId="7454"/>
    <cellStyle name="Обычный 20 2 4 4 3" xfId="7455"/>
    <cellStyle name="Обычный 20 2 4 4 4" xfId="7456"/>
    <cellStyle name="Обычный 20 2 4 4 5" xfId="7457"/>
    <cellStyle name="Обычный 20 2 4 4 6" xfId="7458"/>
    <cellStyle name="Обычный 20 2 4 5" xfId="7459"/>
    <cellStyle name="Обычный 20 2 4 6" xfId="7460"/>
    <cellStyle name="Обычный 20 2 4 7" xfId="7461"/>
    <cellStyle name="Обычный 20 2 4 8" xfId="7462"/>
    <cellStyle name="Обычный 20 2 4 9" xfId="7463"/>
    <cellStyle name="Обычный 20 2 5" xfId="2770"/>
    <cellStyle name="Обычный 20 2 5 2" xfId="7464"/>
    <cellStyle name="Обычный 20 2 5 3" xfId="7465"/>
    <cellStyle name="Обычный 20 2 5 4" xfId="7466"/>
    <cellStyle name="Обычный 20 2 5 5" xfId="7467"/>
    <cellStyle name="Обычный 20 2 5 6" xfId="7468"/>
    <cellStyle name="Обычный 20 2 6" xfId="2771"/>
    <cellStyle name="Обычный 20 2 6 2" xfId="7469"/>
    <cellStyle name="Обычный 20 2 6 3" xfId="7470"/>
    <cellStyle name="Обычный 20 2 6 4" xfId="7471"/>
    <cellStyle name="Обычный 20 2 6 5" xfId="7472"/>
    <cellStyle name="Обычный 20 2 6 6" xfId="7473"/>
    <cellStyle name="Обычный 20 2 7" xfId="2772"/>
    <cellStyle name="Обычный 20 2 7 2" xfId="7474"/>
    <cellStyle name="Обычный 20 2 7 3" xfId="7475"/>
    <cellStyle name="Обычный 20 2 7 4" xfId="7476"/>
    <cellStyle name="Обычный 20 2 7 5" xfId="7477"/>
    <cellStyle name="Обычный 20 2 7 6" xfId="7478"/>
    <cellStyle name="Обычный 20 2 8" xfId="5273"/>
    <cellStyle name="Обычный 20 2 9" xfId="7479"/>
    <cellStyle name="Обычный 20 3" xfId="2773"/>
    <cellStyle name="Обычный 20 3 10" xfId="7480"/>
    <cellStyle name="Обычный 20 3 11" xfId="7481"/>
    <cellStyle name="Обычный 20 3 2" xfId="2774"/>
    <cellStyle name="Обычный 20 3 2 10" xfId="7482"/>
    <cellStyle name="Обычный 20 3 2 2" xfId="2775"/>
    <cellStyle name="Обычный 20 3 2 2 2" xfId="2776"/>
    <cellStyle name="Обычный 20 3 2 2 2 2" xfId="7483"/>
    <cellStyle name="Обычный 20 3 2 2 2 3" xfId="7484"/>
    <cellStyle name="Обычный 20 3 2 2 2 4" xfId="7485"/>
    <cellStyle name="Обычный 20 3 2 2 2 5" xfId="7486"/>
    <cellStyle name="Обычный 20 3 2 2 2 6" xfId="7487"/>
    <cellStyle name="Обычный 20 3 2 2 3" xfId="2777"/>
    <cellStyle name="Обычный 20 3 2 2 3 2" xfId="7488"/>
    <cellStyle name="Обычный 20 3 2 2 3 3" xfId="7489"/>
    <cellStyle name="Обычный 20 3 2 2 3 4" xfId="7490"/>
    <cellStyle name="Обычный 20 3 2 2 3 5" xfId="7491"/>
    <cellStyle name="Обычный 20 3 2 2 3 6" xfId="7492"/>
    <cellStyle name="Обычный 20 3 2 2 4" xfId="2778"/>
    <cellStyle name="Обычный 20 3 2 2 4 2" xfId="7493"/>
    <cellStyle name="Обычный 20 3 2 2 4 3" xfId="7494"/>
    <cellStyle name="Обычный 20 3 2 2 4 4" xfId="7495"/>
    <cellStyle name="Обычный 20 3 2 2 4 5" xfId="7496"/>
    <cellStyle name="Обычный 20 3 2 2 4 6" xfId="7497"/>
    <cellStyle name="Обычный 20 3 2 2 5" xfId="7498"/>
    <cellStyle name="Обычный 20 3 2 2 6" xfId="7499"/>
    <cellStyle name="Обычный 20 3 2 2 7" xfId="7500"/>
    <cellStyle name="Обычный 20 3 2 2 8" xfId="7501"/>
    <cellStyle name="Обычный 20 3 2 2 9" xfId="7502"/>
    <cellStyle name="Обычный 20 3 2 3" xfId="2779"/>
    <cellStyle name="Обычный 20 3 2 3 2" xfId="7503"/>
    <cellStyle name="Обычный 20 3 2 3 3" xfId="7504"/>
    <cellStyle name="Обычный 20 3 2 3 4" xfId="7505"/>
    <cellStyle name="Обычный 20 3 2 3 5" xfId="7506"/>
    <cellStyle name="Обычный 20 3 2 3 6" xfId="7507"/>
    <cellStyle name="Обычный 20 3 2 4" xfId="2780"/>
    <cellStyle name="Обычный 20 3 2 4 2" xfId="7508"/>
    <cellStyle name="Обычный 20 3 2 4 3" xfId="7509"/>
    <cellStyle name="Обычный 20 3 2 4 4" xfId="7510"/>
    <cellStyle name="Обычный 20 3 2 4 5" xfId="7511"/>
    <cellStyle name="Обычный 20 3 2 4 6" xfId="7512"/>
    <cellStyle name="Обычный 20 3 2 5" xfId="2781"/>
    <cellStyle name="Обычный 20 3 2 5 2" xfId="7513"/>
    <cellStyle name="Обычный 20 3 2 5 3" xfId="7514"/>
    <cellStyle name="Обычный 20 3 2 5 4" xfId="7515"/>
    <cellStyle name="Обычный 20 3 2 5 5" xfId="7516"/>
    <cellStyle name="Обычный 20 3 2 5 6" xfId="7517"/>
    <cellStyle name="Обычный 20 3 2 6" xfId="7518"/>
    <cellStyle name="Обычный 20 3 2 7" xfId="7519"/>
    <cellStyle name="Обычный 20 3 2 8" xfId="7520"/>
    <cellStyle name="Обычный 20 3 2 9" xfId="7521"/>
    <cellStyle name="Обычный 20 3 3" xfId="2782"/>
    <cellStyle name="Обычный 20 3 3 2" xfId="2783"/>
    <cellStyle name="Обычный 20 3 3 2 2" xfId="7522"/>
    <cellStyle name="Обычный 20 3 3 2 3" xfId="7523"/>
    <cellStyle name="Обычный 20 3 3 2 4" xfId="7524"/>
    <cellStyle name="Обычный 20 3 3 2 5" xfId="7525"/>
    <cellStyle name="Обычный 20 3 3 2 6" xfId="7526"/>
    <cellStyle name="Обычный 20 3 3 3" xfId="2784"/>
    <cellStyle name="Обычный 20 3 3 3 2" xfId="7527"/>
    <cellStyle name="Обычный 20 3 3 3 3" xfId="7528"/>
    <cellStyle name="Обычный 20 3 3 3 4" xfId="7529"/>
    <cellStyle name="Обычный 20 3 3 3 5" xfId="7530"/>
    <cellStyle name="Обычный 20 3 3 3 6" xfId="7531"/>
    <cellStyle name="Обычный 20 3 3 4" xfId="2785"/>
    <cellStyle name="Обычный 20 3 3 4 2" xfId="7532"/>
    <cellStyle name="Обычный 20 3 3 4 3" xfId="7533"/>
    <cellStyle name="Обычный 20 3 3 4 4" xfId="7534"/>
    <cellStyle name="Обычный 20 3 3 4 5" xfId="7535"/>
    <cellStyle name="Обычный 20 3 3 4 6" xfId="7536"/>
    <cellStyle name="Обычный 20 3 3 5" xfId="7537"/>
    <cellStyle name="Обычный 20 3 3 6" xfId="7538"/>
    <cellStyle name="Обычный 20 3 3 7" xfId="7539"/>
    <cellStyle name="Обычный 20 3 3 8" xfId="7540"/>
    <cellStyle name="Обычный 20 3 3 9" xfId="7541"/>
    <cellStyle name="Обычный 20 3 4" xfId="2786"/>
    <cellStyle name="Обычный 20 3 4 2" xfId="7542"/>
    <cellStyle name="Обычный 20 3 4 3" xfId="7543"/>
    <cellStyle name="Обычный 20 3 4 4" xfId="7544"/>
    <cellStyle name="Обычный 20 3 4 5" xfId="7545"/>
    <cellStyle name="Обычный 20 3 4 6" xfId="7546"/>
    <cellStyle name="Обычный 20 3 5" xfId="2787"/>
    <cellStyle name="Обычный 20 3 5 2" xfId="7547"/>
    <cellStyle name="Обычный 20 3 5 3" xfId="7548"/>
    <cellStyle name="Обычный 20 3 5 4" xfId="7549"/>
    <cellStyle name="Обычный 20 3 5 5" xfId="7550"/>
    <cellStyle name="Обычный 20 3 5 6" xfId="7551"/>
    <cellStyle name="Обычный 20 3 6" xfId="2788"/>
    <cellStyle name="Обычный 20 3 6 2" xfId="7552"/>
    <cellStyle name="Обычный 20 3 6 3" xfId="7553"/>
    <cellStyle name="Обычный 20 3 6 4" xfId="7554"/>
    <cellStyle name="Обычный 20 3 6 5" xfId="7555"/>
    <cellStyle name="Обычный 20 3 6 6" xfId="7556"/>
    <cellStyle name="Обычный 20 3 7" xfId="7557"/>
    <cellStyle name="Обычный 20 3 8" xfId="7558"/>
    <cellStyle name="Обычный 20 3 9" xfId="7559"/>
    <cellStyle name="Обычный 20 4" xfId="2789"/>
    <cellStyle name="Обычный 20 4 10" xfId="7560"/>
    <cellStyle name="Обычный 20 4 11" xfId="7561"/>
    <cellStyle name="Обычный 20 4 2" xfId="2790"/>
    <cellStyle name="Обычный 20 4 2 10" xfId="7562"/>
    <cellStyle name="Обычный 20 4 2 2" xfId="2791"/>
    <cellStyle name="Обычный 20 4 2 2 2" xfId="2792"/>
    <cellStyle name="Обычный 20 4 2 2 2 2" xfId="7563"/>
    <cellStyle name="Обычный 20 4 2 2 2 3" xfId="7564"/>
    <cellStyle name="Обычный 20 4 2 2 2 4" xfId="7565"/>
    <cellStyle name="Обычный 20 4 2 2 2 5" xfId="7566"/>
    <cellStyle name="Обычный 20 4 2 2 2 6" xfId="7567"/>
    <cellStyle name="Обычный 20 4 2 2 3" xfId="2793"/>
    <cellStyle name="Обычный 20 4 2 2 3 2" xfId="7568"/>
    <cellStyle name="Обычный 20 4 2 2 3 3" xfId="7569"/>
    <cellStyle name="Обычный 20 4 2 2 3 4" xfId="7570"/>
    <cellStyle name="Обычный 20 4 2 2 3 5" xfId="7571"/>
    <cellStyle name="Обычный 20 4 2 2 3 6" xfId="7572"/>
    <cellStyle name="Обычный 20 4 2 2 4" xfId="2794"/>
    <cellStyle name="Обычный 20 4 2 2 4 2" xfId="7573"/>
    <cellStyle name="Обычный 20 4 2 2 4 3" xfId="7574"/>
    <cellStyle name="Обычный 20 4 2 2 4 4" xfId="7575"/>
    <cellStyle name="Обычный 20 4 2 2 4 5" xfId="7576"/>
    <cellStyle name="Обычный 20 4 2 2 4 6" xfId="7577"/>
    <cellStyle name="Обычный 20 4 2 2 5" xfId="7578"/>
    <cellStyle name="Обычный 20 4 2 2 6" xfId="7579"/>
    <cellStyle name="Обычный 20 4 2 2 7" xfId="7580"/>
    <cellStyle name="Обычный 20 4 2 2 8" xfId="7581"/>
    <cellStyle name="Обычный 20 4 2 2 9" xfId="7582"/>
    <cellStyle name="Обычный 20 4 2 3" xfId="2795"/>
    <cellStyle name="Обычный 20 4 2 3 2" xfId="7583"/>
    <cellStyle name="Обычный 20 4 2 3 3" xfId="7584"/>
    <cellStyle name="Обычный 20 4 2 3 4" xfId="7585"/>
    <cellStyle name="Обычный 20 4 2 3 5" xfId="7586"/>
    <cellStyle name="Обычный 20 4 2 3 6" xfId="7587"/>
    <cellStyle name="Обычный 20 4 2 4" xfId="2796"/>
    <cellStyle name="Обычный 20 4 2 4 2" xfId="7588"/>
    <cellStyle name="Обычный 20 4 2 4 3" xfId="7589"/>
    <cellStyle name="Обычный 20 4 2 4 4" xfId="7590"/>
    <cellStyle name="Обычный 20 4 2 4 5" xfId="7591"/>
    <cellStyle name="Обычный 20 4 2 4 6" xfId="7592"/>
    <cellStyle name="Обычный 20 4 2 5" xfId="2797"/>
    <cellStyle name="Обычный 20 4 2 5 2" xfId="7593"/>
    <cellStyle name="Обычный 20 4 2 5 3" xfId="7594"/>
    <cellStyle name="Обычный 20 4 2 5 4" xfId="7595"/>
    <cellStyle name="Обычный 20 4 2 5 5" xfId="7596"/>
    <cellStyle name="Обычный 20 4 2 5 6" xfId="7597"/>
    <cellStyle name="Обычный 20 4 2 6" xfId="7598"/>
    <cellStyle name="Обычный 20 4 2 7" xfId="7599"/>
    <cellStyle name="Обычный 20 4 2 8" xfId="7600"/>
    <cellStyle name="Обычный 20 4 2 9" xfId="7601"/>
    <cellStyle name="Обычный 20 4 3" xfId="2798"/>
    <cellStyle name="Обычный 20 4 3 2" xfId="2799"/>
    <cellStyle name="Обычный 20 4 3 2 2" xfId="7602"/>
    <cellStyle name="Обычный 20 4 3 2 3" xfId="7603"/>
    <cellStyle name="Обычный 20 4 3 2 4" xfId="7604"/>
    <cellStyle name="Обычный 20 4 3 2 5" xfId="7605"/>
    <cellStyle name="Обычный 20 4 3 2 6" xfId="7606"/>
    <cellStyle name="Обычный 20 4 3 3" xfId="2800"/>
    <cellStyle name="Обычный 20 4 3 3 2" xfId="7607"/>
    <cellStyle name="Обычный 20 4 3 3 3" xfId="7608"/>
    <cellStyle name="Обычный 20 4 3 3 4" xfId="7609"/>
    <cellStyle name="Обычный 20 4 3 3 5" xfId="7610"/>
    <cellStyle name="Обычный 20 4 3 3 6" xfId="7611"/>
    <cellStyle name="Обычный 20 4 3 4" xfId="2801"/>
    <cellStyle name="Обычный 20 4 3 4 2" xfId="7612"/>
    <cellStyle name="Обычный 20 4 3 4 3" xfId="7613"/>
    <cellStyle name="Обычный 20 4 3 4 4" xfId="7614"/>
    <cellStyle name="Обычный 20 4 3 4 5" xfId="7615"/>
    <cellStyle name="Обычный 20 4 3 4 6" xfId="7616"/>
    <cellStyle name="Обычный 20 4 3 5" xfId="7617"/>
    <cellStyle name="Обычный 20 4 3 6" xfId="7618"/>
    <cellStyle name="Обычный 20 4 3 7" xfId="7619"/>
    <cellStyle name="Обычный 20 4 3 8" xfId="7620"/>
    <cellStyle name="Обычный 20 4 3 9" xfId="7621"/>
    <cellStyle name="Обычный 20 4 4" xfId="2802"/>
    <cellStyle name="Обычный 20 4 4 2" xfId="7622"/>
    <cellStyle name="Обычный 20 4 4 3" xfId="7623"/>
    <cellStyle name="Обычный 20 4 4 4" xfId="7624"/>
    <cellStyle name="Обычный 20 4 4 5" xfId="7625"/>
    <cellStyle name="Обычный 20 4 4 6" xfId="7626"/>
    <cellStyle name="Обычный 20 4 5" xfId="2803"/>
    <cellStyle name="Обычный 20 4 5 2" xfId="7627"/>
    <cellStyle name="Обычный 20 4 5 3" xfId="7628"/>
    <cellStyle name="Обычный 20 4 5 4" xfId="7629"/>
    <cellStyle name="Обычный 20 4 5 5" xfId="7630"/>
    <cellStyle name="Обычный 20 4 5 6" xfId="7631"/>
    <cellStyle name="Обычный 20 4 6" xfId="2804"/>
    <cellStyle name="Обычный 20 4 6 2" xfId="7632"/>
    <cellStyle name="Обычный 20 4 6 3" xfId="7633"/>
    <cellStyle name="Обычный 20 4 6 4" xfId="7634"/>
    <cellStyle name="Обычный 20 4 6 5" xfId="7635"/>
    <cellStyle name="Обычный 20 4 6 6" xfId="7636"/>
    <cellStyle name="Обычный 20 4 7" xfId="7637"/>
    <cellStyle name="Обычный 20 4 8" xfId="7638"/>
    <cellStyle name="Обычный 20 4 9" xfId="7639"/>
    <cellStyle name="Обычный 20 5" xfId="2805"/>
    <cellStyle name="Обычный 20 5 10" xfId="7640"/>
    <cellStyle name="Обычный 20 5 2" xfId="2806"/>
    <cellStyle name="Обычный 20 5 2 2" xfId="2807"/>
    <cellStyle name="Обычный 20 5 2 2 2" xfId="7641"/>
    <cellStyle name="Обычный 20 5 2 2 3" xfId="7642"/>
    <cellStyle name="Обычный 20 5 2 2 4" xfId="7643"/>
    <cellStyle name="Обычный 20 5 2 2 5" xfId="7644"/>
    <cellStyle name="Обычный 20 5 2 2 6" xfId="7645"/>
    <cellStyle name="Обычный 20 5 2 3" xfId="2808"/>
    <cellStyle name="Обычный 20 5 2 3 2" xfId="7646"/>
    <cellStyle name="Обычный 20 5 2 3 3" xfId="7647"/>
    <cellStyle name="Обычный 20 5 2 3 4" xfId="7648"/>
    <cellStyle name="Обычный 20 5 2 3 5" xfId="7649"/>
    <cellStyle name="Обычный 20 5 2 3 6" xfId="7650"/>
    <cellStyle name="Обычный 20 5 2 4" xfId="2809"/>
    <cellStyle name="Обычный 20 5 2 4 2" xfId="7651"/>
    <cellStyle name="Обычный 20 5 2 4 3" xfId="7652"/>
    <cellStyle name="Обычный 20 5 2 4 4" xfId="7653"/>
    <cellStyle name="Обычный 20 5 2 4 5" xfId="7654"/>
    <cellStyle name="Обычный 20 5 2 4 6" xfId="7655"/>
    <cellStyle name="Обычный 20 5 2 5" xfId="7656"/>
    <cellStyle name="Обычный 20 5 2 6" xfId="7657"/>
    <cellStyle name="Обычный 20 5 2 7" xfId="7658"/>
    <cellStyle name="Обычный 20 5 2 8" xfId="7659"/>
    <cellStyle name="Обычный 20 5 2 9" xfId="7660"/>
    <cellStyle name="Обычный 20 5 3" xfId="2810"/>
    <cellStyle name="Обычный 20 5 3 2" xfId="7661"/>
    <cellStyle name="Обычный 20 5 3 3" xfId="7662"/>
    <cellStyle name="Обычный 20 5 3 4" xfId="7663"/>
    <cellStyle name="Обычный 20 5 3 5" xfId="7664"/>
    <cellStyle name="Обычный 20 5 3 6" xfId="7665"/>
    <cellStyle name="Обычный 20 5 4" xfId="2811"/>
    <cellStyle name="Обычный 20 5 4 2" xfId="7666"/>
    <cellStyle name="Обычный 20 5 4 3" xfId="7667"/>
    <cellStyle name="Обычный 20 5 4 4" xfId="7668"/>
    <cellStyle name="Обычный 20 5 4 5" xfId="7669"/>
    <cellStyle name="Обычный 20 5 4 6" xfId="7670"/>
    <cellStyle name="Обычный 20 5 5" xfId="2812"/>
    <cellStyle name="Обычный 20 5 5 2" xfId="7671"/>
    <cellStyle name="Обычный 20 5 5 3" xfId="7672"/>
    <cellStyle name="Обычный 20 5 5 4" xfId="7673"/>
    <cellStyle name="Обычный 20 5 5 5" xfId="7674"/>
    <cellStyle name="Обычный 20 5 5 6" xfId="7675"/>
    <cellStyle name="Обычный 20 5 6" xfId="7676"/>
    <cellStyle name="Обычный 20 5 7" xfId="7677"/>
    <cellStyle name="Обычный 20 5 8" xfId="7678"/>
    <cellStyle name="Обычный 20 5 9" xfId="7679"/>
    <cellStyle name="Обычный 20 6" xfId="2813"/>
    <cellStyle name="Обычный 20 6 10" xfId="7680"/>
    <cellStyle name="Обычный 20 6 2" xfId="2814"/>
    <cellStyle name="Обычный 20 6 2 2" xfId="2815"/>
    <cellStyle name="Обычный 20 6 2 2 2" xfId="7681"/>
    <cellStyle name="Обычный 20 6 2 2 3" xfId="7682"/>
    <cellStyle name="Обычный 20 6 2 2 4" xfId="7683"/>
    <cellStyle name="Обычный 20 6 2 2 5" xfId="7684"/>
    <cellStyle name="Обычный 20 6 2 2 6" xfId="7685"/>
    <cellStyle name="Обычный 20 6 2 3" xfId="2816"/>
    <cellStyle name="Обычный 20 6 2 3 2" xfId="7686"/>
    <cellStyle name="Обычный 20 6 2 3 3" xfId="7687"/>
    <cellStyle name="Обычный 20 6 2 3 4" xfId="7688"/>
    <cellStyle name="Обычный 20 6 2 3 5" xfId="7689"/>
    <cellStyle name="Обычный 20 6 2 3 6" xfId="7690"/>
    <cellStyle name="Обычный 20 6 2 4" xfId="2817"/>
    <cellStyle name="Обычный 20 6 2 4 2" xfId="7691"/>
    <cellStyle name="Обычный 20 6 2 4 3" xfId="7692"/>
    <cellStyle name="Обычный 20 6 2 4 4" xfId="7693"/>
    <cellStyle name="Обычный 20 6 2 4 5" xfId="7694"/>
    <cellStyle name="Обычный 20 6 2 4 6" xfId="7695"/>
    <cellStyle name="Обычный 20 6 2 5" xfId="7696"/>
    <cellStyle name="Обычный 20 6 2 6" xfId="7697"/>
    <cellStyle name="Обычный 20 6 2 7" xfId="7698"/>
    <cellStyle name="Обычный 20 6 2 8" xfId="7699"/>
    <cellStyle name="Обычный 20 6 2 9" xfId="7700"/>
    <cellStyle name="Обычный 20 6 3" xfId="2818"/>
    <cellStyle name="Обычный 20 6 3 2" xfId="7701"/>
    <cellStyle name="Обычный 20 6 3 3" xfId="7702"/>
    <cellStyle name="Обычный 20 6 3 4" xfId="7703"/>
    <cellStyle name="Обычный 20 6 3 5" xfId="7704"/>
    <cellStyle name="Обычный 20 6 3 6" xfId="7705"/>
    <cellStyle name="Обычный 20 6 4" xfId="2819"/>
    <cellStyle name="Обычный 20 6 4 2" xfId="7706"/>
    <cellStyle name="Обычный 20 6 4 3" xfId="7707"/>
    <cellStyle name="Обычный 20 6 4 4" xfId="7708"/>
    <cellStyle name="Обычный 20 6 4 5" xfId="7709"/>
    <cellStyle name="Обычный 20 6 4 6" xfId="7710"/>
    <cellStyle name="Обычный 20 6 5" xfId="2820"/>
    <cellStyle name="Обычный 20 6 5 2" xfId="7711"/>
    <cellStyle name="Обычный 20 6 5 3" xfId="7712"/>
    <cellStyle name="Обычный 20 6 5 4" xfId="7713"/>
    <cellStyle name="Обычный 20 6 5 5" xfId="7714"/>
    <cellStyle name="Обычный 20 6 5 6" xfId="7715"/>
    <cellStyle name="Обычный 20 6 6" xfId="7716"/>
    <cellStyle name="Обычный 20 6 7" xfId="7717"/>
    <cellStyle name="Обычный 20 6 8" xfId="7718"/>
    <cellStyle name="Обычный 20 6 9" xfId="7719"/>
    <cellStyle name="Обычный 20 7" xfId="2821"/>
    <cellStyle name="Обычный 20 7 2" xfId="2822"/>
    <cellStyle name="Обычный 20 7 2 2" xfId="7720"/>
    <cellStyle name="Обычный 20 7 2 3" xfId="7721"/>
    <cellStyle name="Обычный 20 7 2 4" xfId="7722"/>
    <cellStyle name="Обычный 20 7 2 5" xfId="7723"/>
    <cellStyle name="Обычный 20 7 2 6" xfId="7724"/>
    <cellStyle name="Обычный 20 7 3" xfId="2823"/>
    <cellStyle name="Обычный 20 7 3 2" xfId="7725"/>
    <cellStyle name="Обычный 20 7 3 3" xfId="7726"/>
    <cellStyle name="Обычный 20 7 3 4" xfId="7727"/>
    <cellStyle name="Обычный 20 7 3 5" xfId="7728"/>
    <cellStyle name="Обычный 20 7 3 6" xfId="7729"/>
    <cellStyle name="Обычный 20 7 4" xfId="2824"/>
    <cellStyle name="Обычный 20 7 4 2" xfId="7730"/>
    <cellStyle name="Обычный 20 7 4 3" xfId="7731"/>
    <cellStyle name="Обычный 20 7 4 4" xfId="7732"/>
    <cellStyle name="Обычный 20 7 4 5" xfId="7733"/>
    <cellStyle name="Обычный 20 7 4 6" xfId="7734"/>
    <cellStyle name="Обычный 20 7 5" xfId="7735"/>
    <cellStyle name="Обычный 20 7 6" xfId="7736"/>
    <cellStyle name="Обычный 20 7 7" xfId="7737"/>
    <cellStyle name="Обычный 20 7 8" xfId="7738"/>
    <cellStyle name="Обычный 20 7 9" xfId="7739"/>
    <cellStyle name="Обычный 20 8" xfId="2825"/>
    <cellStyle name="Обычный 20 8 2" xfId="2826"/>
    <cellStyle name="Обычный 20 8 2 2" xfId="7740"/>
    <cellStyle name="Обычный 20 8 2 3" xfId="7741"/>
    <cellStyle name="Обычный 20 8 2 4" xfId="7742"/>
    <cellStyle name="Обычный 20 8 2 5" xfId="7743"/>
    <cellStyle name="Обычный 20 8 2 6" xfId="7744"/>
    <cellStyle name="Обычный 20 8 3" xfId="2827"/>
    <cellStyle name="Обычный 20 8 3 2" xfId="7745"/>
    <cellStyle name="Обычный 20 8 3 3" xfId="7746"/>
    <cellStyle name="Обычный 20 8 3 4" xfId="7747"/>
    <cellStyle name="Обычный 20 8 3 5" xfId="7748"/>
    <cellStyle name="Обычный 20 8 3 6" xfId="7749"/>
    <cellStyle name="Обычный 20 8 4" xfId="2828"/>
    <cellStyle name="Обычный 20 8 4 2" xfId="7750"/>
    <cellStyle name="Обычный 20 8 4 3" xfId="7751"/>
    <cellStyle name="Обычный 20 8 4 4" xfId="7752"/>
    <cellStyle name="Обычный 20 8 4 5" xfId="7753"/>
    <cellStyle name="Обычный 20 8 4 6" xfId="7754"/>
    <cellStyle name="Обычный 20 8 5" xfId="7755"/>
    <cellStyle name="Обычный 20 8 6" xfId="7756"/>
    <cellStyle name="Обычный 20 8 7" xfId="7757"/>
    <cellStyle name="Обычный 20 8 8" xfId="7758"/>
    <cellStyle name="Обычный 20 8 9" xfId="7759"/>
    <cellStyle name="Обычный 20 9" xfId="2829"/>
    <cellStyle name="Обычный 20 9 2" xfId="7760"/>
    <cellStyle name="Обычный 20 9 3" xfId="7761"/>
    <cellStyle name="Обычный 20 9 4" xfId="7762"/>
    <cellStyle name="Обычный 20 9 5" xfId="7763"/>
    <cellStyle name="Обычный 20 9 6" xfId="7764"/>
    <cellStyle name="Обычный 21" xfId="2830"/>
    <cellStyle name="Обычный 21 2" xfId="2831"/>
    <cellStyle name="Обычный 21 2 10" xfId="7765"/>
    <cellStyle name="Обычный 21 2 2" xfId="2832"/>
    <cellStyle name="Обычный 21 2 2 2" xfId="2833"/>
    <cellStyle name="Обычный 21 2 2 2 2" xfId="7766"/>
    <cellStyle name="Обычный 21 2 2 2 3" xfId="7767"/>
    <cellStyle name="Обычный 21 2 2 2 4" xfId="7768"/>
    <cellStyle name="Обычный 21 2 2 2 5" xfId="7769"/>
    <cellStyle name="Обычный 21 2 2 2 6" xfId="7770"/>
    <cellStyle name="Обычный 21 2 2 3" xfId="2834"/>
    <cellStyle name="Обычный 21 2 2 3 2" xfId="7771"/>
    <cellStyle name="Обычный 21 2 2 3 3" xfId="7772"/>
    <cellStyle name="Обычный 21 2 2 3 4" xfId="7773"/>
    <cellStyle name="Обычный 21 2 2 3 5" xfId="7774"/>
    <cellStyle name="Обычный 21 2 2 3 6" xfId="7775"/>
    <cellStyle name="Обычный 21 2 2 4" xfId="2835"/>
    <cellStyle name="Обычный 21 2 2 4 2" xfId="7776"/>
    <cellStyle name="Обычный 21 2 2 4 3" xfId="7777"/>
    <cellStyle name="Обычный 21 2 2 4 4" xfId="7778"/>
    <cellStyle name="Обычный 21 2 2 4 5" xfId="7779"/>
    <cellStyle name="Обычный 21 2 2 4 6" xfId="7780"/>
    <cellStyle name="Обычный 21 2 2 5" xfId="7781"/>
    <cellStyle name="Обычный 21 2 2 6" xfId="7782"/>
    <cellStyle name="Обычный 21 2 2 7" xfId="7783"/>
    <cellStyle name="Обычный 21 2 2 8" xfId="7784"/>
    <cellStyle name="Обычный 21 2 2 9" xfId="7785"/>
    <cellStyle name="Обычный 21 2 3" xfId="2836"/>
    <cellStyle name="Обычный 21 2 3 2" xfId="7786"/>
    <cellStyle name="Обычный 21 2 3 3" xfId="7787"/>
    <cellStyle name="Обычный 21 2 3 4" xfId="7788"/>
    <cellStyle name="Обычный 21 2 3 5" xfId="7789"/>
    <cellStyle name="Обычный 21 2 3 6" xfId="7790"/>
    <cellStyle name="Обычный 21 2 4" xfId="2837"/>
    <cellStyle name="Обычный 21 2 4 2" xfId="7791"/>
    <cellStyle name="Обычный 21 2 4 3" xfId="7792"/>
    <cellStyle name="Обычный 21 2 4 4" xfId="7793"/>
    <cellStyle name="Обычный 21 2 4 5" xfId="7794"/>
    <cellStyle name="Обычный 21 2 4 6" xfId="7795"/>
    <cellStyle name="Обычный 21 2 5" xfId="2838"/>
    <cellStyle name="Обычный 21 2 5 2" xfId="7796"/>
    <cellStyle name="Обычный 21 2 5 3" xfId="7797"/>
    <cellStyle name="Обычный 21 2 5 4" xfId="7798"/>
    <cellStyle name="Обычный 21 2 5 5" xfId="7799"/>
    <cellStyle name="Обычный 21 2 5 6" xfId="7800"/>
    <cellStyle name="Обычный 21 2 6" xfId="7801"/>
    <cellStyle name="Обычный 21 2 7" xfId="7802"/>
    <cellStyle name="Обычный 21 2 8" xfId="7803"/>
    <cellStyle name="Обычный 21 2 9" xfId="7804"/>
    <cellStyle name="Обычный 21 3" xfId="2839"/>
    <cellStyle name="Обычный 21 3 2" xfId="2840"/>
    <cellStyle name="Обычный 21 3 2 2" xfId="7805"/>
    <cellStyle name="Обычный 21 3 2 3" xfId="7806"/>
    <cellStyle name="Обычный 21 3 2 4" xfId="7807"/>
    <cellStyle name="Обычный 21 3 2 5" xfId="7808"/>
    <cellStyle name="Обычный 21 3 2 6" xfId="7809"/>
    <cellStyle name="Обычный 21 3 3" xfId="2841"/>
    <cellStyle name="Обычный 21 3 3 2" xfId="7810"/>
    <cellStyle name="Обычный 21 3 3 3" xfId="7811"/>
    <cellStyle name="Обычный 21 3 3 4" xfId="7812"/>
    <cellStyle name="Обычный 21 3 3 5" xfId="7813"/>
    <cellStyle name="Обычный 21 3 3 6" xfId="7814"/>
    <cellStyle name="Обычный 21 3 4" xfId="2842"/>
    <cellStyle name="Обычный 21 3 4 2" xfId="7815"/>
    <cellStyle name="Обычный 21 3 4 3" xfId="7816"/>
    <cellStyle name="Обычный 21 3 4 4" xfId="7817"/>
    <cellStyle name="Обычный 21 3 4 5" xfId="7818"/>
    <cellStyle name="Обычный 21 3 4 6" xfId="7819"/>
    <cellStyle name="Обычный 21 3 5" xfId="7820"/>
    <cellStyle name="Обычный 21 3 6" xfId="7821"/>
    <cellStyle name="Обычный 21 3 7" xfId="7822"/>
    <cellStyle name="Обычный 21 3 8" xfId="7823"/>
    <cellStyle name="Обычный 21 3 9" xfId="7824"/>
    <cellStyle name="Обычный 21 4" xfId="5274"/>
    <cellStyle name="Обычный 22" xfId="2843"/>
    <cellStyle name="Обычный 22 2" xfId="2844"/>
    <cellStyle name="Обычный 22 2 10" xfId="7825"/>
    <cellStyle name="Обычный 22 2 2" xfId="2845"/>
    <cellStyle name="Обычный 22 2 2 2" xfId="2846"/>
    <cellStyle name="Обычный 22 2 2 2 2" xfId="7826"/>
    <cellStyle name="Обычный 22 2 2 2 3" xfId="7827"/>
    <cellStyle name="Обычный 22 2 2 2 4" xfId="7828"/>
    <cellStyle name="Обычный 22 2 2 2 5" xfId="7829"/>
    <cellStyle name="Обычный 22 2 2 2 6" xfId="7830"/>
    <cellStyle name="Обычный 22 2 2 3" xfId="2847"/>
    <cellStyle name="Обычный 22 2 2 3 2" xfId="7831"/>
    <cellStyle name="Обычный 22 2 2 3 3" xfId="7832"/>
    <cellStyle name="Обычный 22 2 2 3 4" xfId="7833"/>
    <cellStyle name="Обычный 22 2 2 3 5" xfId="7834"/>
    <cellStyle name="Обычный 22 2 2 3 6" xfId="7835"/>
    <cellStyle name="Обычный 22 2 2 4" xfId="2848"/>
    <cellStyle name="Обычный 22 2 2 4 2" xfId="7836"/>
    <cellStyle name="Обычный 22 2 2 4 3" xfId="7837"/>
    <cellStyle name="Обычный 22 2 2 4 4" xfId="7838"/>
    <cellStyle name="Обычный 22 2 2 4 5" xfId="7839"/>
    <cellStyle name="Обычный 22 2 2 4 6" xfId="7840"/>
    <cellStyle name="Обычный 22 2 2 5" xfId="7841"/>
    <cellStyle name="Обычный 22 2 2 6" xfId="7842"/>
    <cellStyle name="Обычный 22 2 2 7" xfId="7843"/>
    <cellStyle name="Обычный 22 2 2 8" xfId="7844"/>
    <cellStyle name="Обычный 22 2 2 9" xfId="7845"/>
    <cellStyle name="Обычный 22 2 3" xfId="2849"/>
    <cellStyle name="Обычный 22 2 3 2" xfId="7846"/>
    <cellStyle name="Обычный 22 2 3 3" xfId="7847"/>
    <cellStyle name="Обычный 22 2 3 4" xfId="7848"/>
    <cellStyle name="Обычный 22 2 3 5" xfId="7849"/>
    <cellStyle name="Обычный 22 2 3 6" xfId="7850"/>
    <cellStyle name="Обычный 22 2 4" xfId="2850"/>
    <cellStyle name="Обычный 22 2 4 2" xfId="7851"/>
    <cellStyle name="Обычный 22 2 4 3" xfId="7852"/>
    <cellStyle name="Обычный 22 2 4 4" xfId="7853"/>
    <cellStyle name="Обычный 22 2 4 5" xfId="7854"/>
    <cellStyle name="Обычный 22 2 4 6" xfId="7855"/>
    <cellStyle name="Обычный 22 2 5" xfId="2851"/>
    <cellStyle name="Обычный 22 2 5 2" xfId="7856"/>
    <cellStyle name="Обычный 22 2 5 3" xfId="7857"/>
    <cellStyle name="Обычный 22 2 5 4" xfId="7858"/>
    <cellStyle name="Обычный 22 2 5 5" xfId="7859"/>
    <cellStyle name="Обычный 22 2 5 6" xfId="7860"/>
    <cellStyle name="Обычный 22 2 6" xfId="7861"/>
    <cellStyle name="Обычный 22 2 7" xfId="7862"/>
    <cellStyle name="Обычный 22 2 8" xfId="7863"/>
    <cellStyle name="Обычный 22 2 9" xfId="7864"/>
    <cellStyle name="Обычный 22 3" xfId="2852"/>
    <cellStyle name="Обычный 22 3 2" xfId="2853"/>
    <cellStyle name="Обычный 22 3 2 2" xfId="7865"/>
    <cellStyle name="Обычный 22 3 2 3" xfId="7866"/>
    <cellStyle name="Обычный 22 3 2 4" xfId="7867"/>
    <cellStyle name="Обычный 22 3 2 5" xfId="7868"/>
    <cellStyle name="Обычный 22 3 2 6" xfId="7869"/>
    <cellStyle name="Обычный 22 3 3" xfId="2854"/>
    <cellStyle name="Обычный 22 3 3 2" xfId="7870"/>
    <cellStyle name="Обычный 22 3 3 3" xfId="7871"/>
    <cellStyle name="Обычный 22 3 3 4" xfId="7872"/>
    <cellStyle name="Обычный 22 3 3 5" xfId="7873"/>
    <cellStyle name="Обычный 22 3 3 6" xfId="7874"/>
    <cellStyle name="Обычный 22 3 4" xfId="2855"/>
    <cellStyle name="Обычный 22 3 4 2" xfId="7875"/>
    <cellStyle name="Обычный 22 3 4 3" xfId="7876"/>
    <cellStyle name="Обычный 22 3 4 4" xfId="7877"/>
    <cellStyle name="Обычный 22 3 4 5" xfId="7878"/>
    <cellStyle name="Обычный 22 3 4 6" xfId="7879"/>
    <cellStyle name="Обычный 22 3 5" xfId="7880"/>
    <cellStyle name="Обычный 22 3 6" xfId="7881"/>
    <cellStyle name="Обычный 22 3 7" xfId="7882"/>
    <cellStyle name="Обычный 22 3 8" xfId="7883"/>
    <cellStyle name="Обычный 22 3 9" xfId="7884"/>
    <cellStyle name="Обычный 22 4" xfId="2856"/>
    <cellStyle name="Обычный 22 5" xfId="2857"/>
    <cellStyle name="Обычный 22 5 2" xfId="2858"/>
    <cellStyle name="Обычный 22 6" xfId="2859"/>
    <cellStyle name="Обычный 22 7" xfId="5275"/>
    <cellStyle name="Обычный 23" xfId="2860"/>
    <cellStyle name="Обычный 23 2" xfId="2861"/>
    <cellStyle name="Обычный 23 2 10" xfId="7885"/>
    <cellStyle name="Обычный 23 2 2" xfId="2862"/>
    <cellStyle name="Обычный 23 2 2 2" xfId="2863"/>
    <cellStyle name="Обычный 23 2 2 2 2" xfId="7886"/>
    <cellStyle name="Обычный 23 2 2 2 3" xfId="7887"/>
    <cellStyle name="Обычный 23 2 2 2 4" xfId="7888"/>
    <cellStyle name="Обычный 23 2 2 2 5" xfId="7889"/>
    <cellStyle name="Обычный 23 2 2 2 6" xfId="7890"/>
    <cellStyle name="Обычный 23 2 2 3" xfId="2864"/>
    <cellStyle name="Обычный 23 2 2 3 2" xfId="7891"/>
    <cellStyle name="Обычный 23 2 2 3 3" xfId="7892"/>
    <cellStyle name="Обычный 23 2 2 3 4" xfId="7893"/>
    <cellStyle name="Обычный 23 2 2 3 5" xfId="7894"/>
    <cellStyle name="Обычный 23 2 2 3 6" xfId="7895"/>
    <cellStyle name="Обычный 23 2 2 4" xfId="2865"/>
    <cellStyle name="Обычный 23 2 2 4 2" xfId="7896"/>
    <cellStyle name="Обычный 23 2 2 4 3" xfId="7897"/>
    <cellStyle name="Обычный 23 2 2 4 4" xfId="7898"/>
    <cellStyle name="Обычный 23 2 2 4 5" xfId="7899"/>
    <cellStyle name="Обычный 23 2 2 4 6" xfId="7900"/>
    <cellStyle name="Обычный 23 2 2 5" xfId="7901"/>
    <cellStyle name="Обычный 23 2 2 6" xfId="7902"/>
    <cellStyle name="Обычный 23 2 2 7" xfId="7903"/>
    <cellStyle name="Обычный 23 2 2 8" xfId="7904"/>
    <cellStyle name="Обычный 23 2 2 9" xfId="7905"/>
    <cellStyle name="Обычный 23 2 3" xfId="2866"/>
    <cellStyle name="Обычный 23 2 3 2" xfId="7906"/>
    <cellStyle name="Обычный 23 2 3 3" xfId="7907"/>
    <cellStyle name="Обычный 23 2 3 4" xfId="7908"/>
    <cellStyle name="Обычный 23 2 3 5" xfId="7909"/>
    <cellStyle name="Обычный 23 2 3 6" xfId="7910"/>
    <cellStyle name="Обычный 23 2 4" xfId="2867"/>
    <cellStyle name="Обычный 23 2 4 2" xfId="7911"/>
    <cellStyle name="Обычный 23 2 4 3" xfId="7912"/>
    <cellStyle name="Обычный 23 2 4 4" xfId="7913"/>
    <cellStyle name="Обычный 23 2 4 5" xfId="7914"/>
    <cellStyle name="Обычный 23 2 4 6" xfId="7915"/>
    <cellStyle name="Обычный 23 2 5" xfId="2868"/>
    <cellStyle name="Обычный 23 2 5 2" xfId="7916"/>
    <cellStyle name="Обычный 23 2 5 3" xfId="7917"/>
    <cellStyle name="Обычный 23 2 5 4" xfId="7918"/>
    <cellStyle name="Обычный 23 2 5 5" xfId="7919"/>
    <cellStyle name="Обычный 23 2 5 6" xfId="7920"/>
    <cellStyle name="Обычный 23 2 6" xfId="7921"/>
    <cellStyle name="Обычный 23 2 7" xfId="7922"/>
    <cellStyle name="Обычный 23 2 8" xfId="7923"/>
    <cellStyle name="Обычный 23 2 9" xfId="7924"/>
    <cellStyle name="Обычный 23 3" xfId="2869"/>
    <cellStyle name="Обычный 23 3 2" xfId="2870"/>
    <cellStyle name="Обычный 23 3 2 2" xfId="7925"/>
    <cellStyle name="Обычный 23 3 2 3" xfId="7926"/>
    <cellStyle name="Обычный 23 3 2 4" xfId="7927"/>
    <cellStyle name="Обычный 23 3 2 5" xfId="7928"/>
    <cellStyle name="Обычный 23 3 2 6" xfId="7929"/>
    <cellStyle name="Обычный 23 3 3" xfId="2871"/>
    <cellStyle name="Обычный 23 3 3 2" xfId="7930"/>
    <cellStyle name="Обычный 23 3 3 3" xfId="7931"/>
    <cellStyle name="Обычный 23 3 3 4" xfId="7932"/>
    <cellStyle name="Обычный 23 3 3 5" xfId="7933"/>
    <cellStyle name="Обычный 23 3 3 6" xfId="7934"/>
    <cellStyle name="Обычный 23 3 4" xfId="2872"/>
    <cellStyle name="Обычный 23 3 4 2" xfId="7935"/>
    <cellStyle name="Обычный 23 3 4 3" xfId="7936"/>
    <cellStyle name="Обычный 23 3 4 4" xfId="7937"/>
    <cellStyle name="Обычный 23 3 4 5" xfId="7938"/>
    <cellStyle name="Обычный 23 3 4 6" xfId="7939"/>
    <cellStyle name="Обычный 23 3 5" xfId="7940"/>
    <cellStyle name="Обычный 23 3 6" xfId="7941"/>
    <cellStyle name="Обычный 23 3 7" xfId="7942"/>
    <cellStyle name="Обычный 23 3 8" xfId="7943"/>
    <cellStyle name="Обычный 23 3 9" xfId="7944"/>
    <cellStyle name="Обычный 23 4" xfId="5276"/>
    <cellStyle name="Обычный 24" xfId="2873"/>
    <cellStyle name="Обычный 24 2" xfId="2874"/>
    <cellStyle name="Обычный 24 2 2" xfId="2875"/>
    <cellStyle name="Обычный 24 2 2 2" xfId="2876"/>
    <cellStyle name="Обычный 24 2 3" xfId="2877"/>
    <cellStyle name="Обычный 24 3" xfId="2878"/>
    <cellStyle name="Обычный 24 3 10" xfId="7945"/>
    <cellStyle name="Обычный 24 3 2" xfId="2879"/>
    <cellStyle name="Обычный 24 3 2 2" xfId="2880"/>
    <cellStyle name="Обычный 24 3 2 2 2" xfId="7946"/>
    <cellStyle name="Обычный 24 3 2 2 3" xfId="7947"/>
    <cellStyle name="Обычный 24 3 2 2 4" xfId="7948"/>
    <cellStyle name="Обычный 24 3 2 2 5" xfId="7949"/>
    <cellStyle name="Обычный 24 3 2 2 6" xfId="7950"/>
    <cellStyle name="Обычный 24 3 2 3" xfId="2881"/>
    <cellStyle name="Обычный 24 3 2 3 2" xfId="7951"/>
    <cellStyle name="Обычный 24 3 2 3 3" xfId="7952"/>
    <cellStyle name="Обычный 24 3 2 3 4" xfId="7953"/>
    <cellStyle name="Обычный 24 3 2 3 5" xfId="7954"/>
    <cellStyle name="Обычный 24 3 2 3 6" xfId="7955"/>
    <cellStyle name="Обычный 24 3 2 4" xfId="2882"/>
    <cellStyle name="Обычный 24 3 2 4 2" xfId="7956"/>
    <cellStyle name="Обычный 24 3 2 4 3" xfId="7957"/>
    <cellStyle name="Обычный 24 3 2 4 4" xfId="7958"/>
    <cellStyle name="Обычный 24 3 2 4 5" xfId="7959"/>
    <cellStyle name="Обычный 24 3 2 4 6" xfId="7960"/>
    <cellStyle name="Обычный 24 3 2 5" xfId="7961"/>
    <cellStyle name="Обычный 24 3 2 6" xfId="7962"/>
    <cellStyle name="Обычный 24 3 2 7" xfId="7963"/>
    <cellStyle name="Обычный 24 3 2 8" xfId="7964"/>
    <cellStyle name="Обычный 24 3 2 9" xfId="7965"/>
    <cellStyle name="Обычный 24 3 3" xfId="2883"/>
    <cellStyle name="Обычный 24 3 3 2" xfId="7966"/>
    <cellStyle name="Обычный 24 3 3 3" xfId="7967"/>
    <cellStyle name="Обычный 24 3 3 4" xfId="7968"/>
    <cellStyle name="Обычный 24 3 3 5" xfId="7969"/>
    <cellStyle name="Обычный 24 3 3 6" xfId="7970"/>
    <cellStyle name="Обычный 24 3 4" xfId="2884"/>
    <cellStyle name="Обычный 24 3 4 2" xfId="7971"/>
    <cellStyle name="Обычный 24 3 4 3" xfId="7972"/>
    <cellStyle name="Обычный 24 3 4 4" xfId="7973"/>
    <cellStyle name="Обычный 24 3 4 5" xfId="7974"/>
    <cellStyle name="Обычный 24 3 4 6" xfId="7975"/>
    <cellStyle name="Обычный 24 3 5" xfId="2885"/>
    <cellStyle name="Обычный 24 3 5 2" xfId="7976"/>
    <cellStyle name="Обычный 24 3 5 3" xfId="7977"/>
    <cellStyle name="Обычный 24 3 5 4" xfId="7978"/>
    <cellStyle name="Обычный 24 3 5 5" xfId="7979"/>
    <cellStyle name="Обычный 24 3 5 6" xfId="7980"/>
    <cellStyle name="Обычный 24 3 6" xfId="7981"/>
    <cellStyle name="Обычный 24 3 7" xfId="7982"/>
    <cellStyle name="Обычный 24 3 8" xfId="7983"/>
    <cellStyle name="Обычный 24 3 9" xfId="7984"/>
    <cellStyle name="Обычный 24 4" xfId="2886"/>
    <cellStyle name="Обычный 24 4 2" xfId="2887"/>
    <cellStyle name="Обычный 24 4 2 2" xfId="7985"/>
    <cellStyle name="Обычный 24 4 2 3" xfId="7986"/>
    <cellStyle name="Обычный 24 4 2 4" xfId="7987"/>
    <cellStyle name="Обычный 24 4 2 5" xfId="7988"/>
    <cellStyle name="Обычный 24 4 2 6" xfId="7989"/>
    <cellStyle name="Обычный 24 4 3" xfId="2888"/>
    <cellStyle name="Обычный 24 4 3 2" xfId="7990"/>
    <cellStyle name="Обычный 24 4 3 3" xfId="7991"/>
    <cellStyle name="Обычный 24 4 3 4" xfId="7992"/>
    <cellStyle name="Обычный 24 4 3 5" xfId="7993"/>
    <cellStyle name="Обычный 24 4 3 6" xfId="7994"/>
    <cellStyle name="Обычный 24 4 4" xfId="2889"/>
    <cellStyle name="Обычный 24 4 4 2" xfId="7995"/>
    <cellStyle name="Обычный 24 4 4 3" xfId="7996"/>
    <cellStyle name="Обычный 24 4 4 4" xfId="7997"/>
    <cellStyle name="Обычный 24 4 4 5" xfId="7998"/>
    <cellStyle name="Обычный 24 4 4 6" xfId="7999"/>
    <cellStyle name="Обычный 24 4 5" xfId="8000"/>
    <cellStyle name="Обычный 24 4 6" xfId="8001"/>
    <cellStyle name="Обычный 24 4 7" xfId="8002"/>
    <cellStyle name="Обычный 24 4 8" xfId="8003"/>
    <cellStyle name="Обычный 24 4 9" xfId="8004"/>
    <cellStyle name="Обычный 24 5" xfId="2890"/>
    <cellStyle name="Обычный 24 5 2" xfId="2891"/>
    <cellStyle name="Обычный 24 6" xfId="2892"/>
    <cellStyle name="Обычный 24 7" xfId="5277"/>
    <cellStyle name="Обычный 25" xfId="2893"/>
    <cellStyle name="Обычный 25 2" xfId="2894"/>
    <cellStyle name="Обычный 25 2 10" xfId="8005"/>
    <cellStyle name="Обычный 25 2 2" xfId="2895"/>
    <cellStyle name="Обычный 25 2 2 2" xfId="2896"/>
    <cellStyle name="Обычный 25 2 2 2 2" xfId="8006"/>
    <cellStyle name="Обычный 25 2 2 2 3" xfId="8007"/>
    <cellStyle name="Обычный 25 2 2 2 4" xfId="8008"/>
    <cellStyle name="Обычный 25 2 2 2 5" xfId="8009"/>
    <cellStyle name="Обычный 25 2 2 2 6" xfId="8010"/>
    <cellStyle name="Обычный 25 2 2 3" xfId="2897"/>
    <cellStyle name="Обычный 25 2 2 3 2" xfId="8011"/>
    <cellStyle name="Обычный 25 2 2 3 3" xfId="8012"/>
    <cellStyle name="Обычный 25 2 2 3 4" xfId="8013"/>
    <cellStyle name="Обычный 25 2 2 3 5" xfId="8014"/>
    <cellStyle name="Обычный 25 2 2 3 6" xfId="8015"/>
    <cellStyle name="Обычный 25 2 2 4" xfId="2898"/>
    <cellStyle name="Обычный 25 2 2 4 2" xfId="8016"/>
    <cellStyle name="Обычный 25 2 2 4 3" xfId="8017"/>
    <cellStyle name="Обычный 25 2 2 4 4" xfId="8018"/>
    <cellStyle name="Обычный 25 2 2 4 5" xfId="8019"/>
    <cellStyle name="Обычный 25 2 2 4 6" xfId="8020"/>
    <cellStyle name="Обычный 25 2 2 5" xfId="8021"/>
    <cellStyle name="Обычный 25 2 2 6" xfId="8022"/>
    <cellStyle name="Обычный 25 2 2 7" xfId="8023"/>
    <cellStyle name="Обычный 25 2 2 8" xfId="8024"/>
    <cellStyle name="Обычный 25 2 2 9" xfId="8025"/>
    <cellStyle name="Обычный 25 2 3" xfId="2899"/>
    <cellStyle name="Обычный 25 2 3 2" xfId="8026"/>
    <cellStyle name="Обычный 25 2 3 3" xfId="8027"/>
    <cellStyle name="Обычный 25 2 3 4" xfId="8028"/>
    <cellStyle name="Обычный 25 2 3 5" xfId="8029"/>
    <cellStyle name="Обычный 25 2 3 6" xfId="8030"/>
    <cellStyle name="Обычный 25 2 4" xfId="2900"/>
    <cellStyle name="Обычный 25 2 4 2" xfId="8031"/>
    <cellStyle name="Обычный 25 2 4 3" xfId="8032"/>
    <cellStyle name="Обычный 25 2 4 4" xfId="8033"/>
    <cellStyle name="Обычный 25 2 4 5" xfId="8034"/>
    <cellStyle name="Обычный 25 2 4 6" xfId="8035"/>
    <cellStyle name="Обычный 25 2 5" xfId="2901"/>
    <cellStyle name="Обычный 25 2 5 2" xfId="8036"/>
    <cellStyle name="Обычный 25 2 5 3" xfId="8037"/>
    <cellStyle name="Обычный 25 2 5 4" xfId="8038"/>
    <cellStyle name="Обычный 25 2 5 5" xfId="8039"/>
    <cellStyle name="Обычный 25 2 5 6" xfId="8040"/>
    <cellStyle name="Обычный 25 2 6" xfId="8041"/>
    <cellStyle name="Обычный 25 2 7" xfId="8042"/>
    <cellStyle name="Обычный 25 2 8" xfId="8043"/>
    <cellStyle name="Обычный 25 2 9" xfId="8044"/>
    <cellStyle name="Обычный 25 3" xfId="2902"/>
    <cellStyle name="Обычный 25 3 2" xfId="2903"/>
    <cellStyle name="Обычный 25 3 2 2" xfId="8045"/>
    <cellStyle name="Обычный 25 3 2 3" xfId="8046"/>
    <cellStyle name="Обычный 25 3 2 4" xfId="8047"/>
    <cellStyle name="Обычный 25 3 2 5" xfId="8048"/>
    <cellStyle name="Обычный 25 3 2 6" xfId="8049"/>
    <cellStyle name="Обычный 25 3 3" xfId="2904"/>
    <cellStyle name="Обычный 25 3 3 2" xfId="8050"/>
    <cellStyle name="Обычный 25 3 3 3" xfId="8051"/>
    <cellStyle name="Обычный 25 3 3 4" xfId="8052"/>
    <cellStyle name="Обычный 25 3 3 5" xfId="8053"/>
    <cellStyle name="Обычный 25 3 3 6" xfId="8054"/>
    <cellStyle name="Обычный 25 3 4" xfId="2905"/>
    <cellStyle name="Обычный 25 3 4 2" xfId="8055"/>
    <cellStyle name="Обычный 25 3 4 3" xfId="8056"/>
    <cellStyle name="Обычный 25 3 4 4" xfId="8057"/>
    <cellStyle name="Обычный 25 3 4 5" xfId="8058"/>
    <cellStyle name="Обычный 25 3 4 6" xfId="8059"/>
    <cellStyle name="Обычный 25 3 5" xfId="8060"/>
    <cellStyle name="Обычный 25 3 6" xfId="8061"/>
    <cellStyle name="Обычный 25 3 7" xfId="8062"/>
    <cellStyle name="Обычный 25 3 8" xfId="8063"/>
    <cellStyle name="Обычный 25 3 9" xfId="8064"/>
    <cellStyle name="Обычный 25 4" xfId="5278"/>
    <cellStyle name="Обычный 26" xfId="2906"/>
    <cellStyle name="Обычный 26 2" xfId="2907"/>
    <cellStyle name="Обычный 26 2 10" xfId="8065"/>
    <cellStyle name="Обычный 26 2 2" xfId="2908"/>
    <cellStyle name="Обычный 26 2 2 2" xfId="2909"/>
    <cellStyle name="Обычный 26 2 2 2 2" xfId="8066"/>
    <cellStyle name="Обычный 26 2 2 2 3" xfId="8067"/>
    <cellStyle name="Обычный 26 2 2 2 4" xfId="8068"/>
    <cellStyle name="Обычный 26 2 2 2 5" xfId="8069"/>
    <cellStyle name="Обычный 26 2 2 2 6" xfId="8070"/>
    <cellStyle name="Обычный 26 2 2 3" xfId="2910"/>
    <cellStyle name="Обычный 26 2 2 3 2" xfId="8071"/>
    <cellStyle name="Обычный 26 2 2 3 3" xfId="8072"/>
    <cellStyle name="Обычный 26 2 2 3 4" xfId="8073"/>
    <cellStyle name="Обычный 26 2 2 3 5" xfId="8074"/>
    <cellStyle name="Обычный 26 2 2 3 6" xfId="8075"/>
    <cellStyle name="Обычный 26 2 2 4" xfId="2911"/>
    <cellStyle name="Обычный 26 2 2 4 2" xfId="8076"/>
    <cellStyle name="Обычный 26 2 2 4 3" xfId="8077"/>
    <cellStyle name="Обычный 26 2 2 4 4" xfId="8078"/>
    <cellStyle name="Обычный 26 2 2 4 5" xfId="8079"/>
    <cellStyle name="Обычный 26 2 2 4 6" xfId="8080"/>
    <cellStyle name="Обычный 26 2 2 5" xfId="8081"/>
    <cellStyle name="Обычный 26 2 2 6" xfId="8082"/>
    <cellStyle name="Обычный 26 2 2 7" xfId="8083"/>
    <cellStyle name="Обычный 26 2 2 8" xfId="8084"/>
    <cellStyle name="Обычный 26 2 2 9" xfId="8085"/>
    <cellStyle name="Обычный 26 2 3" xfId="2912"/>
    <cellStyle name="Обычный 26 2 3 2" xfId="8086"/>
    <cellStyle name="Обычный 26 2 3 3" xfId="8087"/>
    <cellStyle name="Обычный 26 2 3 4" xfId="8088"/>
    <cellStyle name="Обычный 26 2 3 5" xfId="8089"/>
    <cellStyle name="Обычный 26 2 3 6" xfId="8090"/>
    <cellStyle name="Обычный 26 2 4" xfId="2913"/>
    <cellStyle name="Обычный 26 2 4 2" xfId="8091"/>
    <cellStyle name="Обычный 26 2 4 3" xfId="8092"/>
    <cellStyle name="Обычный 26 2 4 4" xfId="8093"/>
    <cellStyle name="Обычный 26 2 4 5" xfId="8094"/>
    <cellStyle name="Обычный 26 2 4 6" xfId="8095"/>
    <cellStyle name="Обычный 26 2 5" xfId="2914"/>
    <cellStyle name="Обычный 26 2 5 2" xfId="8096"/>
    <cellStyle name="Обычный 26 2 5 3" xfId="8097"/>
    <cellStyle name="Обычный 26 2 5 4" xfId="8098"/>
    <cellStyle name="Обычный 26 2 5 5" xfId="8099"/>
    <cellStyle name="Обычный 26 2 5 6" xfId="8100"/>
    <cellStyle name="Обычный 26 2 6" xfId="8101"/>
    <cellStyle name="Обычный 26 2 7" xfId="8102"/>
    <cellStyle name="Обычный 26 2 8" xfId="8103"/>
    <cellStyle name="Обычный 26 2 9" xfId="8104"/>
    <cellStyle name="Обычный 26 3" xfId="2915"/>
    <cellStyle name="Обычный 26 3 2" xfId="2916"/>
    <cellStyle name="Обычный 26 3 2 2" xfId="8105"/>
    <cellStyle name="Обычный 26 3 2 3" xfId="8106"/>
    <cellStyle name="Обычный 26 3 2 4" xfId="8107"/>
    <cellStyle name="Обычный 26 3 2 5" xfId="8108"/>
    <cellStyle name="Обычный 26 3 2 6" xfId="8109"/>
    <cellStyle name="Обычный 26 3 3" xfId="2917"/>
    <cellStyle name="Обычный 26 3 3 2" xfId="8110"/>
    <cellStyle name="Обычный 26 3 3 3" xfId="8111"/>
    <cellStyle name="Обычный 26 3 3 4" xfId="8112"/>
    <cellStyle name="Обычный 26 3 3 5" xfId="8113"/>
    <cellStyle name="Обычный 26 3 3 6" xfId="8114"/>
    <cellStyle name="Обычный 26 3 4" xfId="2918"/>
    <cellStyle name="Обычный 26 3 4 2" xfId="8115"/>
    <cellStyle name="Обычный 26 3 4 3" xfId="8116"/>
    <cellStyle name="Обычный 26 3 4 4" xfId="8117"/>
    <cellStyle name="Обычный 26 3 4 5" xfId="8118"/>
    <cellStyle name="Обычный 26 3 4 6" xfId="8119"/>
    <cellStyle name="Обычный 26 3 5" xfId="8120"/>
    <cellStyle name="Обычный 26 3 6" xfId="8121"/>
    <cellStyle name="Обычный 26 3 7" xfId="8122"/>
    <cellStyle name="Обычный 26 3 8" xfId="8123"/>
    <cellStyle name="Обычный 26 3 9" xfId="8124"/>
    <cellStyle name="Обычный 26 4" xfId="5279"/>
    <cellStyle name="Обычный 27" xfId="2919"/>
    <cellStyle name="Обычный 27 2" xfId="2920"/>
    <cellStyle name="Обычный 27 3" xfId="2921"/>
    <cellStyle name="Обычный 27 3 10" xfId="8125"/>
    <cellStyle name="Обычный 27 3 2" xfId="2922"/>
    <cellStyle name="Обычный 27 3 2 2" xfId="2923"/>
    <cellStyle name="Обычный 27 3 2 2 2" xfId="8126"/>
    <cellStyle name="Обычный 27 3 2 2 3" xfId="8127"/>
    <cellStyle name="Обычный 27 3 2 2 4" xfId="8128"/>
    <cellStyle name="Обычный 27 3 2 2 5" xfId="8129"/>
    <cellStyle name="Обычный 27 3 2 2 6" xfId="8130"/>
    <cellStyle name="Обычный 27 3 2 3" xfId="2924"/>
    <cellStyle name="Обычный 27 3 2 3 2" xfId="8131"/>
    <cellStyle name="Обычный 27 3 2 3 3" xfId="8132"/>
    <cellStyle name="Обычный 27 3 2 3 4" xfId="8133"/>
    <cellStyle name="Обычный 27 3 2 3 5" xfId="8134"/>
    <cellStyle name="Обычный 27 3 2 3 6" xfId="8135"/>
    <cellStyle name="Обычный 27 3 2 4" xfId="2925"/>
    <cellStyle name="Обычный 27 3 2 4 2" xfId="8136"/>
    <cellStyle name="Обычный 27 3 2 4 3" xfId="8137"/>
    <cellStyle name="Обычный 27 3 2 4 4" xfId="8138"/>
    <cellStyle name="Обычный 27 3 2 4 5" xfId="8139"/>
    <cellStyle name="Обычный 27 3 2 4 6" xfId="8140"/>
    <cellStyle name="Обычный 27 3 2 5" xfId="8141"/>
    <cellStyle name="Обычный 27 3 2 6" xfId="8142"/>
    <cellStyle name="Обычный 27 3 2 7" xfId="8143"/>
    <cellStyle name="Обычный 27 3 2 8" xfId="8144"/>
    <cellStyle name="Обычный 27 3 2 9" xfId="8145"/>
    <cellStyle name="Обычный 27 3 3" xfId="2926"/>
    <cellStyle name="Обычный 27 3 3 2" xfId="8146"/>
    <cellStyle name="Обычный 27 3 3 3" xfId="8147"/>
    <cellStyle name="Обычный 27 3 3 4" xfId="8148"/>
    <cellStyle name="Обычный 27 3 3 5" xfId="8149"/>
    <cellStyle name="Обычный 27 3 3 6" xfId="8150"/>
    <cellStyle name="Обычный 27 3 4" xfId="2927"/>
    <cellStyle name="Обычный 27 3 4 2" xfId="8151"/>
    <cellStyle name="Обычный 27 3 4 3" xfId="8152"/>
    <cellStyle name="Обычный 27 3 4 4" xfId="8153"/>
    <cellStyle name="Обычный 27 3 4 5" xfId="8154"/>
    <cellStyle name="Обычный 27 3 4 6" xfId="8155"/>
    <cellStyle name="Обычный 27 3 5" xfId="2928"/>
    <cellStyle name="Обычный 27 3 5 2" xfId="8156"/>
    <cellStyle name="Обычный 27 3 5 3" xfId="8157"/>
    <cellStyle name="Обычный 27 3 5 4" xfId="8158"/>
    <cellStyle name="Обычный 27 3 5 5" xfId="8159"/>
    <cellStyle name="Обычный 27 3 5 6" xfId="8160"/>
    <cellStyle name="Обычный 27 3 6" xfId="8161"/>
    <cellStyle name="Обычный 27 3 7" xfId="8162"/>
    <cellStyle name="Обычный 27 3 8" xfId="8163"/>
    <cellStyle name="Обычный 27 3 9" xfId="8164"/>
    <cellStyle name="Обычный 27 4" xfId="2929"/>
    <cellStyle name="Обычный 27 4 2" xfId="2930"/>
    <cellStyle name="Обычный 27 4 2 2" xfId="8165"/>
    <cellStyle name="Обычный 27 4 2 3" xfId="8166"/>
    <cellStyle name="Обычный 27 4 2 4" xfId="8167"/>
    <cellStyle name="Обычный 27 4 2 5" xfId="8168"/>
    <cellStyle name="Обычный 27 4 2 6" xfId="8169"/>
    <cellStyle name="Обычный 27 4 3" xfId="2931"/>
    <cellStyle name="Обычный 27 4 3 2" xfId="8170"/>
    <cellStyle name="Обычный 27 4 3 3" xfId="8171"/>
    <cellStyle name="Обычный 27 4 3 4" xfId="8172"/>
    <cellStyle name="Обычный 27 4 3 5" xfId="8173"/>
    <cellStyle name="Обычный 27 4 3 6" xfId="8174"/>
    <cellStyle name="Обычный 27 4 4" xfId="2932"/>
    <cellStyle name="Обычный 27 4 4 2" xfId="8175"/>
    <cellStyle name="Обычный 27 4 4 3" xfId="8176"/>
    <cellStyle name="Обычный 27 4 4 4" xfId="8177"/>
    <cellStyle name="Обычный 27 4 4 5" xfId="8178"/>
    <cellStyle name="Обычный 27 4 4 6" xfId="8179"/>
    <cellStyle name="Обычный 27 4 5" xfId="8180"/>
    <cellStyle name="Обычный 27 4 6" xfId="8181"/>
    <cellStyle name="Обычный 27 4 7" xfId="8182"/>
    <cellStyle name="Обычный 27 4 8" xfId="8183"/>
    <cellStyle name="Обычный 27 4 9" xfId="8184"/>
    <cellStyle name="Обычный 27 5" xfId="2933"/>
    <cellStyle name="Обычный 27 5 2" xfId="2934"/>
    <cellStyle name="Обычный 27 5 2 2" xfId="8185"/>
    <cellStyle name="Обычный 27 5 2 3" xfId="8186"/>
    <cellStyle name="Обычный 27 5 2 4" xfId="8187"/>
    <cellStyle name="Обычный 27 5 2 5" xfId="8188"/>
    <cellStyle name="Обычный 27 5 2 6" xfId="8189"/>
    <cellStyle name="Обычный 27 5 3" xfId="2935"/>
    <cellStyle name="Обычный 27 5 3 2" xfId="8190"/>
    <cellStyle name="Обычный 27 5 3 3" xfId="8191"/>
    <cellStyle name="Обычный 27 5 3 4" xfId="8192"/>
    <cellStyle name="Обычный 27 5 3 5" xfId="8193"/>
    <cellStyle name="Обычный 27 5 3 6" xfId="8194"/>
    <cellStyle name="Обычный 27 5 4" xfId="2936"/>
    <cellStyle name="Обычный 27 5 4 2" xfId="8195"/>
    <cellStyle name="Обычный 27 5 4 3" xfId="8196"/>
    <cellStyle name="Обычный 27 5 4 4" xfId="8197"/>
    <cellStyle name="Обычный 27 5 4 5" xfId="8198"/>
    <cellStyle name="Обычный 27 5 4 6" xfId="8199"/>
    <cellStyle name="Обычный 27 5 5" xfId="8200"/>
    <cellStyle name="Обычный 27 5 6" xfId="8201"/>
    <cellStyle name="Обычный 27 5 7" xfId="8202"/>
    <cellStyle name="Обычный 27 5 8" xfId="8203"/>
    <cellStyle name="Обычный 27 5 9" xfId="8204"/>
    <cellStyle name="Обычный 27 6" xfId="2937"/>
    <cellStyle name="Обычный 27 6 2" xfId="2938"/>
    <cellStyle name="Обычный 27 7" xfId="2939"/>
    <cellStyle name="Обычный 27 8" xfId="5280"/>
    <cellStyle name="Обычный 28" xfId="2940"/>
    <cellStyle name="Обычный 28 2" xfId="2941"/>
    <cellStyle name="Обычный 28 2 10" xfId="8205"/>
    <cellStyle name="Обычный 28 2 2" xfId="2942"/>
    <cellStyle name="Обычный 28 2 2 2" xfId="2943"/>
    <cellStyle name="Обычный 28 2 2 2 2" xfId="8206"/>
    <cellStyle name="Обычный 28 2 2 2 3" xfId="8207"/>
    <cellStyle name="Обычный 28 2 2 2 4" xfId="8208"/>
    <cellStyle name="Обычный 28 2 2 2 5" xfId="8209"/>
    <cellStyle name="Обычный 28 2 2 2 6" xfId="8210"/>
    <cellStyle name="Обычный 28 2 2 3" xfId="2944"/>
    <cellStyle name="Обычный 28 2 2 3 2" xfId="8211"/>
    <cellStyle name="Обычный 28 2 2 3 3" xfId="8212"/>
    <cellStyle name="Обычный 28 2 2 3 4" xfId="8213"/>
    <cellStyle name="Обычный 28 2 2 3 5" xfId="8214"/>
    <cellStyle name="Обычный 28 2 2 3 6" xfId="8215"/>
    <cellStyle name="Обычный 28 2 2 4" xfId="2945"/>
    <cellStyle name="Обычный 28 2 2 4 2" xfId="8216"/>
    <cellStyle name="Обычный 28 2 2 4 3" xfId="8217"/>
    <cellStyle name="Обычный 28 2 2 4 4" xfId="8218"/>
    <cellStyle name="Обычный 28 2 2 4 5" xfId="8219"/>
    <cellStyle name="Обычный 28 2 2 4 6" xfId="8220"/>
    <cellStyle name="Обычный 28 2 2 5" xfId="8221"/>
    <cellStyle name="Обычный 28 2 2 6" xfId="8222"/>
    <cellStyle name="Обычный 28 2 2 7" xfId="8223"/>
    <cellStyle name="Обычный 28 2 2 8" xfId="8224"/>
    <cellStyle name="Обычный 28 2 2 9" xfId="8225"/>
    <cellStyle name="Обычный 28 2 3" xfId="2946"/>
    <cellStyle name="Обычный 28 2 3 2" xfId="8226"/>
    <cellStyle name="Обычный 28 2 3 3" xfId="8227"/>
    <cellStyle name="Обычный 28 2 3 4" xfId="8228"/>
    <cellStyle name="Обычный 28 2 3 5" xfId="8229"/>
    <cellStyle name="Обычный 28 2 3 6" xfId="8230"/>
    <cellStyle name="Обычный 28 2 4" xfId="2947"/>
    <cellStyle name="Обычный 28 2 4 2" xfId="8231"/>
    <cellStyle name="Обычный 28 2 4 3" xfId="8232"/>
    <cellStyle name="Обычный 28 2 4 4" xfId="8233"/>
    <cellStyle name="Обычный 28 2 4 5" xfId="8234"/>
    <cellStyle name="Обычный 28 2 4 6" xfId="8235"/>
    <cellStyle name="Обычный 28 2 5" xfId="2948"/>
    <cellStyle name="Обычный 28 2 5 2" xfId="8236"/>
    <cellStyle name="Обычный 28 2 5 3" xfId="8237"/>
    <cellStyle name="Обычный 28 2 5 4" xfId="8238"/>
    <cellStyle name="Обычный 28 2 5 5" xfId="8239"/>
    <cellStyle name="Обычный 28 2 5 6" xfId="8240"/>
    <cellStyle name="Обычный 28 2 6" xfId="8241"/>
    <cellStyle name="Обычный 28 2 7" xfId="8242"/>
    <cellStyle name="Обычный 28 2 8" xfId="8243"/>
    <cellStyle name="Обычный 28 2 9" xfId="8244"/>
    <cellStyle name="Обычный 28 3" xfId="2949"/>
    <cellStyle name="Обычный 28 3 2" xfId="2950"/>
    <cellStyle name="Обычный 28 3 2 2" xfId="8245"/>
    <cellStyle name="Обычный 28 3 2 3" xfId="8246"/>
    <cellStyle name="Обычный 28 3 2 4" xfId="8247"/>
    <cellStyle name="Обычный 28 3 2 5" xfId="8248"/>
    <cellStyle name="Обычный 28 3 2 6" xfId="8249"/>
    <cellStyle name="Обычный 28 3 3" xfId="2951"/>
    <cellStyle name="Обычный 28 3 3 2" xfId="8250"/>
    <cellStyle name="Обычный 28 3 3 3" xfId="8251"/>
    <cellStyle name="Обычный 28 3 3 4" xfId="8252"/>
    <cellStyle name="Обычный 28 3 3 5" xfId="8253"/>
    <cellStyle name="Обычный 28 3 3 6" xfId="8254"/>
    <cellStyle name="Обычный 28 3 4" xfId="2952"/>
    <cellStyle name="Обычный 28 3 4 2" xfId="8255"/>
    <cellStyle name="Обычный 28 3 4 3" xfId="8256"/>
    <cellStyle name="Обычный 28 3 4 4" xfId="8257"/>
    <cellStyle name="Обычный 28 3 4 5" xfId="8258"/>
    <cellStyle name="Обычный 28 3 4 6" xfId="8259"/>
    <cellStyle name="Обычный 28 3 5" xfId="8260"/>
    <cellStyle name="Обычный 28 3 6" xfId="8261"/>
    <cellStyle name="Обычный 28 3 7" xfId="8262"/>
    <cellStyle name="Обычный 28 3 8" xfId="8263"/>
    <cellStyle name="Обычный 28 3 9" xfId="8264"/>
    <cellStyle name="Обычный 28 4" xfId="2953"/>
    <cellStyle name="Обычный 28 4 2" xfId="2954"/>
    <cellStyle name="Обычный 28 4 2 2" xfId="8265"/>
    <cellStyle name="Обычный 28 4 2 3" xfId="8266"/>
    <cellStyle name="Обычный 28 4 2 4" xfId="8267"/>
    <cellStyle name="Обычный 28 4 2 5" xfId="8268"/>
    <cellStyle name="Обычный 28 4 2 6" xfId="8269"/>
    <cellStyle name="Обычный 28 4 3" xfId="2955"/>
    <cellStyle name="Обычный 28 4 3 2" xfId="8270"/>
    <cellStyle name="Обычный 28 4 3 3" xfId="8271"/>
    <cellStyle name="Обычный 28 4 3 4" xfId="8272"/>
    <cellStyle name="Обычный 28 4 3 5" xfId="8273"/>
    <cellStyle name="Обычный 28 4 3 6" xfId="8274"/>
    <cellStyle name="Обычный 28 4 4" xfId="2956"/>
    <cellStyle name="Обычный 28 4 4 2" xfId="8275"/>
    <cellStyle name="Обычный 28 4 4 3" xfId="8276"/>
    <cellStyle name="Обычный 28 4 4 4" xfId="8277"/>
    <cellStyle name="Обычный 28 4 4 5" xfId="8278"/>
    <cellStyle name="Обычный 28 4 4 6" xfId="8279"/>
    <cellStyle name="Обычный 28 4 5" xfId="8280"/>
    <cellStyle name="Обычный 28 4 6" xfId="8281"/>
    <cellStyle name="Обычный 28 4 7" xfId="8282"/>
    <cellStyle name="Обычный 28 4 8" xfId="8283"/>
    <cellStyle name="Обычный 28 4 9" xfId="8284"/>
    <cellStyle name="Обычный 28 5" xfId="2957"/>
    <cellStyle name="Обычный 28 5 2" xfId="2958"/>
    <cellStyle name="Обычный 28 6" xfId="2959"/>
    <cellStyle name="Обычный 28 7" xfId="5281"/>
    <cellStyle name="Обычный 29" xfId="2960"/>
    <cellStyle name="Обычный 29 2" xfId="2961"/>
    <cellStyle name="Обычный 29 2 10" xfId="8285"/>
    <cellStyle name="Обычный 29 2 2" xfId="2962"/>
    <cellStyle name="Обычный 29 2 2 2" xfId="2963"/>
    <cellStyle name="Обычный 29 2 2 2 2" xfId="8286"/>
    <cellStyle name="Обычный 29 2 2 2 3" xfId="8287"/>
    <cellStyle name="Обычный 29 2 2 2 4" xfId="8288"/>
    <cellStyle name="Обычный 29 2 2 2 5" xfId="8289"/>
    <cellStyle name="Обычный 29 2 2 2 6" xfId="8290"/>
    <cellStyle name="Обычный 29 2 2 3" xfId="2964"/>
    <cellStyle name="Обычный 29 2 2 3 2" xfId="8291"/>
    <cellStyle name="Обычный 29 2 2 3 3" xfId="8292"/>
    <cellStyle name="Обычный 29 2 2 3 4" xfId="8293"/>
    <cellStyle name="Обычный 29 2 2 3 5" xfId="8294"/>
    <cellStyle name="Обычный 29 2 2 3 6" xfId="8295"/>
    <cellStyle name="Обычный 29 2 2 4" xfId="2965"/>
    <cellStyle name="Обычный 29 2 2 4 2" xfId="8296"/>
    <cellStyle name="Обычный 29 2 2 4 3" xfId="8297"/>
    <cellStyle name="Обычный 29 2 2 4 4" xfId="8298"/>
    <cellStyle name="Обычный 29 2 2 4 5" xfId="8299"/>
    <cellStyle name="Обычный 29 2 2 4 6" xfId="8300"/>
    <cellStyle name="Обычный 29 2 2 5" xfId="8301"/>
    <cellStyle name="Обычный 29 2 2 6" xfId="8302"/>
    <cellStyle name="Обычный 29 2 2 7" xfId="8303"/>
    <cellStyle name="Обычный 29 2 2 8" xfId="8304"/>
    <cellStyle name="Обычный 29 2 2 9" xfId="8305"/>
    <cellStyle name="Обычный 29 2 3" xfId="2966"/>
    <cellStyle name="Обычный 29 2 3 2" xfId="8306"/>
    <cellStyle name="Обычный 29 2 3 3" xfId="8307"/>
    <cellStyle name="Обычный 29 2 3 4" xfId="8308"/>
    <cellStyle name="Обычный 29 2 3 5" xfId="8309"/>
    <cellStyle name="Обычный 29 2 3 6" xfId="8310"/>
    <cellStyle name="Обычный 29 2 4" xfId="2967"/>
    <cellStyle name="Обычный 29 2 4 2" xfId="8311"/>
    <cellStyle name="Обычный 29 2 4 3" xfId="8312"/>
    <cellStyle name="Обычный 29 2 4 4" xfId="8313"/>
    <cellStyle name="Обычный 29 2 4 5" xfId="8314"/>
    <cellStyle name="Обычный 29 2 4 6" xfId="8315"/>
    <cellStyle name="Обычный 29 2 5" xfId="2968"/>
    <cellStyle name="Обычный 29 2 5 2" xfId="8316"/>
    <cellStyle name="Обычный 29 2 5 3" xfId="8317"/>
    <cellStyle name="Обычный 29 2 5 4" xfId="8318"/>
    <cellStyle name="Обычный 29 2 5 5" xfId="8319"/>
    <cellStyle name="Обычный 29 2 5 6" xfId="8320"/>
    <cellStyle name="Обычный 29 2 6" xfId="8321"/>
    <cellStyle name="Обычный 29 2 7" xfId="8322"/>
    <cellStyle name="Обычный 29 2 8" xfId="8323"/>
    <cellStyle name="Обычный 29 2 9" xfId="8324"/>
    <cellStyle name="Обычный 29 3" xfId="2969"/>
    <cellStyle name="Обычный 29 3 2" xfId="2970"/>
    <cellStyle name="Обычный 29 3 2 2" xfId="8325"/>
    <cellStyle name="Обычный 29 3 2 3" xfId="8326"/>
    <cellStyle name="Обычный 29 3 2 4" xfId="8327"/>
    <cellStyle name="Обычный 29 3 2 5" xfId="8328"/>
    <cellStyle name="Обычный 29 3 2 6" xfId="8329"/>
    <cellStyle name="Обычный 29 3 3" xfId="2971"/>
    <cellStyle name="Обычный 29 3 3 2" xfId="8330"/>
    <cellStyle name="Обычный 29 3 3 3" xfId="8331"/>
    <cellStyle name="Обычный 29 3 3 4" xfId="8332"/>
    <cellStyle name="Обычный 29 3 3 5" xfId="8333"/>
    <cellStyle name="Обычный 29 3 3 6" xfId="8334"/>
    <cellStyle name="Обычный 29 3 4" xfId="2972"/>
    <cellStyle name="Обычный 29 3 4 2" xfId="8335"/>
    <cellStyle name="Обычный 29 3 4 3" xfId="8336"/>
    <cellStyle name="Обычный 29 3 4 4" xfId="8337"/>
    <cellStyle name="Обычный 29 3 4 5" xfId="8338"/>
    <cellStyle name="Обычный 29 3 4 6" xfId="8339"/>
    <cellStyle name="Обычный 29 3 5" xfId="8340"/>
    <cellStyle name="Обычный 29 3 6" xfId="8341"/>
    <cellStyle name="Обычный 29 3 7" xfId="8342"/>
    <cellStyle name="Обычный 29 3 8" xfId="8343"/>
    <cellStyle name="Обычный 29 3 9" xfId="8344"/>
    <cellStyle name="Обычный 29 4" xfId="2973"/>
    <cellStyle name="Обычный 29 4 2" xfId="2974"/>
    <cellStyle name="Обычный 29 4 2 2" xfId="8345"/>
    <cellStyle name="Обычный 29 4 2 3" xfId="8346"/>
    <cellStyle name="Обычный 29 4 2 4" xfId="8347"/>
    <cellStyle name="Обычный 29 4 2 5" xfId="8348"/>
    <cellStyle name="Обычный 29 4 2 6" xfId="8349"/>
    <cellStyle name="Обычный 29 4 3" xfId="2975"/>
    <cellStyle name="Обычный 29 4 3 2" xfId="8350"/>
    <cellStyle name="Обычный 29 4 3 3" xfId="8351"/>
    <cellStyle name="Обычный 29 4 3 4" xfId="8352"/>
    <cellStyle name="Обычный 29 4 3 5" xfId="8353"/>
    <cellStyle name="Обычный 29 4 3 6" xfId="8354"/>
    <cellStyle name="Обычный 29 4 4" xfId="2976"/>
    <cellStyle name="Обычный 29 4 4 2" xfId="8355"/>
    <cellStyle name="Обычный 29 4 4 3" xfId="8356"/>
    <cellStyle name="Обычный 29 4 4 4" xfId="8357"/>
    <cellStyle name="Обычный 29 4 4 5" xfId="8358"/>
    <cellStyle name="Обычный 29 4 4 6" xfId="8359"/>
    <cellStyle name="Обычный 29 4 5" xfId="8360"/>
    <cellStyle name="Обычный 29 4 6" xfId="8361"/>
    <cellStyle name="Обычный 29 4 7" xfId="8362"/>
    <cellStyle name="Обычный 29 4 8" xfId="8363"/>
    <cellStyle name="Обычный 29 4 9" xfId="8364"/>
    <cellStyle name="Обычный 29 5" xfId="2977"/>
    <cellStyle name="Обычный 29 5 2" xfId="2978"/>
    <cellStyle name="Обычный 29 6" xfId="2979"/>
    <cellStyle name="Обычный 29 7" xfId="5282"/>
    <cellStyle name="Обычный 3" xfId="11"/>
    <cellStyle name="Обычный 3 2" xfId="2980"/>
    <cellStyle name="Обычный 3 2 2" xfId="2981"/>
    <cellStyle name="Обычный 3 2 3" xfId="2982"/>
    <cellStyle name="Обычный 3 2 3 2" xfId="2983"/>
    <cellStyle name="Обычный 3 2 3 2 2" xfId="2984"/>
    <cellStyle name="Обычный 3 2 4" xfId="2985"/>
    <cellStyle name="Обычный 3 2 4 2" xfId="2986"/>
    <cellStyle name="Обычный 3 2 5" xfId="2987"/>
    <cellStyle name="Обычный 3 2 6" xfId="5283"/>
    <cellStyle name="Обычный 3 3" xfId="2988"/>
    <cellStyle name="Обычный 3 3 10" xfId="8365"/>
    <cellStyle name="Обычный 3 3 11" xfId="8366"/>
    <cellStyle name="Обычный 3 3 12" xfId="8367"/>
    <cellStyle name="Обычный 3 3 13" xfId="8368"/>
    <cellStyle name="Обычный 3 3 2" xfId="2989"/>
    <cellStyle name="Обычный 3 3 2 10" xfId="8369"/>
    <cellStyle name="Обычный 3 3 2 11" xfId="8370"/>
    <cellStyle name="Обычный 3 3 2 2" xfId="2990"/>
    <cellStyle name="Обычный 3 3 2 2 10" xfId="8371"/>
    <cellStyle name="Обычный 3 3 2 2 2" xfId="2991"/>
    <cellStyle name="Обычный 3 3 2 2 2 10" xfId="8372"/>
    <cellStyle name="Обычный 3 3 2 2 2 2" xfId="2992"/>
    <cellStyle name="Обычный 3 3 2 2 2 2 2" xfId="8373"/>
    <cellStyle name="Обычный 3 3 2 2 2 2 3" xfId="8374"/>
    <cellStyle name="Обычный 3 3 2 2 2 2 4" xfId="8375"/>
    <cellStyle name="Обычный 3 3 2 2 2 2 5" xfId="8376"/>
    <cellStyle name="Обычный 3 3 2 2 2 2 6" xfId="8377"/>
    <cellStyle name="Обычный 3 3 2 2 2 3" xfId="2993"/>
    <cellStyle name="Обычный 3 3 2 2 2 3 2" xfId="8378"/>
    <cellStyle name="Обычный 3 3 2 2 2 3 3" xfId="8379"/>
    <cellStyle name="Обычный 3 3 2 2 2 3 4" xfId="8380"/>
    <cellStyle name="Обычный 3 3 2 2 2 3 5" xfId="8381"/>
    <cellStyle name="Обычный 3 3 2 2 2 3 6" xfId="8382"/>
    <cellStyle name="Обычный 3 3 2 2 2 4" xfId="2994"/>
    <cellStyle name="Обычный 3 3 2 2 2 4 2" xfId="8383"/>
    <cellStyle name="Обычный 3 3 2 2 2 4 3" xfId="8384"/>
    <cellStyle name="Обычный 3 3 2 2 2 4 4" xfId="8385"/>
    <cellStyle name="Обычный 3 3 2 2 2 4 5" xfId="8386"/>
    <cellStyle name="Обычный 3 3 2 2 2 4 6" xfId="8387"/>
    <cellStyle name="Обычный 3 3 2 2 2 5" xfId="2995"/>
    <cellStyle name="Обычный 3 3 2 2 2 5 2" xfId="8388"/>
    <cellStyle name="Обычный 3 3 2 2 2 5 3" xfId="8389"/>
    <cellStyle name="Обычный 3 3 2 2 2 5 4" xfId="8390"/>
    <cellStyle name="Обычный 3 3 2 2 2 5 5" xfId="8391"/>
    <cellStyle name="Обычный 3 3 2 2 2 5 6" xfId="8392"/>
    <cellStyle name="Обычный 3 3 2 2 2 6" xfId="8393"/>
    <cellStyle name="Обычный 3 3 2 2 2 7" xfId="8394"/>
    <cellStyle name="Обычный 3 3 2 2 2 8" xfId="8395"/>
    <cellStyle name="Обычный 3 3 2 2 2 9" xfId="8396"/>
    <cellStyle name="Обычный 3 3 2 2 3" xfId="2996"/>
    <cellStyle name="Обычный 3 3 2 2 3 2" xfId="8397"/>
    <cellStyle name="Обычный 3 3 2 2 3 3" xfId="8398"/>
    <cellStyle name="Обычный 3 3 2 2 3 4" xfId="8399"/>
    <cellStyle name="Обычный 3 3 2 2 3 5" xfId="8400"/>
    <cellStyle name="Обычный 3 3 2 2 3 6" xfId="8401"/>
    <cellStyle name="Обычный 3 3 2 2 4" xfId="2997"/>
    <cellStyle name="Обычный 3 3 2 2 4 2" xfId="8402"/>
    <cellStyle name="Обычный 3 3 2 2 4 3" xfId="8403"/>
    <cellStyle name="Обычный 3 3 2 2 4 4" xfId="8404"/>
    <cellStyle name="Обычный 3 3 2 2 4 5" xfId="8405"/>
    <cellStyle name="Обычный 3 3 2 2 4 6" xfId="8406"/>
    <cellStyle name="Обычный 3 3 2 2 5" xfId="2998"/>
    <cellStyle name="Обычный 3 3 2 2 5 2" xfId="8407"/>
    <cellStyle name="Обычный 3 3 2 2 5 3" xfId="8408"/>
    <cellStyle name="Обычный 3 3 2 2 5 4" xfId="8409"/>
    <cellStyle name="Обычный 3 3 2 2 5 5" xfId="8410"/>
    <cellStyle name="Обычный 3 3 2 2 5 6" xfId="8411"/>
    <cellStyle name="Обычный 3 3 2 2 6" xfId="8412"/>
    <cellStyle name="Обычный 3 3 2 2 7" xfId="8413"/>
    <cellStyle name="Обычный 3 3 2 2 8" xfId="8414"/>
    <cellStyle name="Обычный 3 3 2 2 9" xfId="8415"/>
    <cellStyle name="Обычный 3 3 2 3" xfId="2999"/>
    <cellStyle name="Обычный 3 3 2 3 2" xfId="3000"/>
    <cellStyle name="Обычный 3 3 2 3 2 2" xfId="8416"/>
    <cellStyle name="Обычный 3 3 2 3 2 3" xfId="8417"/>
    <cellStyle name="Обычный 3 3 2 3 2 4" xfId="8418"/>
    <cellStyle name="Обычный 3 3 2 3 2 5" xfId="8419"/>
    <cellStyle name="Обычный 3 3 2 3 2 6" xfId="8420"/>
    <cellStyle name="Обычный 3 3 2 3 3" xfId="3001"/>
    <cellStyle name="Обычный 3 3 2 3 3 2" xfId="8421"/>
    <cellStyle name="Обычный 3 3 2 3 3 3" xfId="8422"/>
    <cellStyle name="Обычный 3 3 2 3 3 4" xfId="8423"/>
    <cellStyle name="Обычный 3 3 2 3 3 5" xfId="8424"/>
    <cellStyle name="Обычный 3 3 2 3 3 6" xfId="8425"/>
    <cellStyle name="Обычный 3 3 2 3 4" xfId="3002"/>
    <cellStyle name="Обычный 3 3 2 3 4 2" xfId="8426"/>
    <cellStyle name="Обычный 3 3 2 3 4 3" xfId="8427"/>
    <cellStyle name="Обычный 3 3 2 3 4 4" xfId="8428"/>
    <cellStyle name="Обычный 3 3 2 3 4 5" xfId="8429"/>
    <cellStyle name="Обычный 3 3 2 3 4 6" xfId="8430"/>
    <cellStyle name="Обычный 3 3 2 3 5" xfId="8431"/>
    <cellStyle name="Обычный 3 3 2 3 6" xfId="8432"/>
    <cellStyle name="Обычный 3 3 2 3 7" xfId="8433"/>
    <cellStyle name="Обычный 3 3 2 3 8" xfId="8434"/>
    <cellStyle name="Обычный 3 3 2 3 9" xfId="8435"/>
    <cellStyle name="Обычный 3 3 2 4" xfId="3003"/>
    <cellStyle name="Обычный 3 3 2 4 2" xfId="8436"/>
    <cellStyle name="Обычный 3 3 2 4 3" xfId="8437"/>
    <cellStyle name="Обычный 3 3 2 4 4" xfId="8438"/>
    <cellStyle name="Обычный 3 3 2 4 5" xfId="8439"/>
    <cellStyle name="Обычный 3 3 2 4 6" xfId="8440"/>
    <cellStyle name="Обычный 3 3 2 5" xfId="3004"/>
    <cellStyle name="Обычный 3 3 2 5 2" xfId="8441"/>
    <cellStyle name="Обычный 3 3 2 5 3" xfId="8442"/>
    <cellStyle name="Обычный 3 3 2 5 4" xfId="8443"/>
    <cellStyle name="Обычный 3 3 2 5 5" xfId="8444"/>
    <cellStyle name="Обычный 3 3 2 5 6" xfId="8445"/>
    <cellStyle name="Обычный 3 3 2 6" xfId="3005"/>
    <cellStyle name="Обычный 3 3 2 6 2" xfId="8446"/>
    <cellStyle name="Обычный 3 3 2 6 3" xfId="8447"/>
    <cellStyle name="Обычный 3 3 2 6 4" xfId="8448"/>
    <cellStyle name="Обычный 3 3 2 6 5" xfId="8449"/>
    <cellStyle name="Обычный 3 3 2 6 6" xfId="8450"/>
    <cellStyle name="Обычный 3 3 2 7" xfId="8451"/>
    <cellStyle name="Обычный 3 3 2 8" xfId="8452"/>
    <cellStyle name="Обычный 3 3 2 9" xfId="8453"/>
    <cellStyle name="Обычный 3 3 3" xfId="3006"/>
    <cellStyle name="Обычный 3 3 3 10" xfId="8454"/>
    <cellStyle name="Обычный 3 3 3 2" xfId="3007"/>
    <cellStyle name="Обычный 3 3 3 2 2" xfId="3008"/>
    <cellStyle name="Обычный 3 3 3 2 2 2" xfId="8455"/>
    <cellStyle name="Обычный 3 3 3 2 2 3" xfId="8456"/>
    <cellStyle name="Обычный 3 3 3 2 2 4" xfId="8457"/>
    <cellStyle name="Обычный 3 3 3 2 2 5" xfId="8458"/>
    <cellStyle name="Обычный 3 3 3 2 2 6" xfId="8459"/>
    <cellStyle name="Обычный 3 3 3 2 3" xfId="3009"/>
    <cellStyle name="Обычный 3 3 3 2 3 2" xfId="8460"/>
    <cellStyle name="Обычный 3 3 3 2 3 3" xfId="8461"/>
    <cellStyle name="Обычный 3 3 3 2 3 4" xfId="8462"/>
    <cellStyle name="Обычный 3 3 3 2 3 5" xfId="8463"/>
    <cellStyle name="Обычный 3 3 3 2 3 6" xfId="8464"/>
    <cellStyle name="Обычный 3 3 3 2 4" xfId="3010"/>
    <cellStyle name="Обычный 3 3 3 2 4 2" xfId="8465"/>
    <cellStyle name="Обычный 3 3 3 2 4 3" xfId="8466"/>
    <cellStyle name="Обычный 3 3 3 2 4 4" xfId="8467"/>
    <cellStyle name="Обычный 3 3 3 2 4 5" xfId="8468"/>
    <cellStyle name="Обычный 3 3 3 2 4 6" xfId="8469"/>
    <cellStyle name="Обычный 3 3 3 2 5" xfId="8470"/>
    <cellStyle name="Обычный 3 3 3 2 6" xfId="8471"/>
    <cellStyle name="Обычный 3 3 3 2 7" xfId="8472"/>
    <cellStyle name="Обычный 3 3 3 2 8" xfId="8473"/>
    <cellStyle name="Обычный 3 3 3 2 9" xfId="8474"/>
    <cellStyle name="Обычный 3 3 3 3" xfId="3011"/>
    <cellStyle name="Обычный 3 3 3 3 2" xfId="8475"/>
    <cellStyle name="Обычный 3 3 3 3 3" xfId="8476"/>
    <cellStyle name="Обычный 3 3 3 3 4" xfId="8477"/>
    <cellStyle name="Обычный 3 3 3 3 5" xfId="8478"/>
    <cellStyle name="Обычный 3 3 3 3 6" xfId="8479"/>
    <cellStyle name="Обычный 3 3 3 4" xfId="3012"/>
    <cellStyle name="Обычный 3 3 3 4 2" xfId="8480"/>
    <cellStyle name="Обычный 3 3 3 4 3" xfId="8481"/>
    <cellStyle name="Обычный 3 3 3 4 4" xfId="8482"/>
    <cellStyle name="Обычный 3 3 3 4 5" xfId="8483"/>
    <cellStyle name="Обычный 3 3 3 4 6" xfId="8484"/>
    <cellStyle name="Обычный 3 3 3 5" xfId="3013"/>
    <cellStyle name="Обычный 3 3 3 5 2" xfId="8485"/>
    <cellStyle name="Обычный 3 3 3 5 3" xfId="8486"/>
    <cellStyle name="Обычный 3 3 3 5 4" xfId="8487"/>
    <cellStyle name="Обычный 3 3 3 5 5" xfId="8488"/>
    <cellStyle name="Обычный 3 3 3 5 6" xfId="8489"/>
    <cellStyle name="Обычный 3 3 3 6" xfId="8490"/>
    <cellStyle name="Обычный 3 3 3 7" xfId="8491"/>
    <cellStyle name="Обычный 3 3 3 8" xfId="8492"/>
    <cellStyle name="Обычный 3 3 3 9" xfId="8493"/>
    <cellStyle name="Обычный 3 3 4" xfId="3014"/>
    <cellStyle name="Обычный 3 3 4 2" xfId="3015"/>
    <cellStyle name="Обычный 3 3 4 2 2" xfId="8494"/>
    <cellStyle name="Обычный 3 3 4 2 3" xfId="8495"/>
    <cellStyle name="Обычный 3 3 4 2 4" xfId="8496"/>
    <cellStyle name="Обычный 3 3 4 2 5" xfId="8497"/>
    <cellStyle name="Обычный 3 3 4 2 6" xfId="8498"/>
    <cellStyle name="Обычный 3 3 4 3" xfId="3016"/>
    <cellStyle name="Обычный 3 3 4 3 2" xfId="8499"/>
    <cellStyle name="Обычный 3 3 4 3 3" xfId="8500"/>
    <cellStyle name="Обычный 3 3 4 3 4" xfId="8501"/>
    <cellStyle name="Обычный 3 3 4 3 5" xfId="8502"/>
    <cellStyle name="Обычный 3 3 4 3 6" xfId="8503"/>
    <cellStyle name="Обычный 3 3 4 4" xfId="3017"/>
    <cellStyle name="Обычный 3 3 4 4 2" xfId="8504"/>
    <cellStyle name="Обычный 3 3 4 4 3" xfId="8505"/>
    <cellStyle name="Обычный 3 3 4 4 4" xfId="8506"/>
    <cellStyle name="Обычный 3 3 4 4 5" xfId="8507"/>
    <cellStyle name="Обычный 3 3 4 4 6" xfId="8508"/>
    <cellStyle name="Обычный 3 3 4 5" xfId="8509"/>
    <cellStyle name="Обычный 3 3 4 6" xfId="8510"/>
    <cellStyle name="Обычный 3 3 4 7" xfId="8511"/>
    <cellStyle name="Обычный 3 3 4 8" xfId="8512"/>
    <cellStyle name="Обычный 3 3 4 9" xfId="8513"/>
    <cellStyle name="Обычный 3 3 5" xfId="3018"/>
    <cellStyle name="Обычный 3 3 5 2" xfId="3019"/>
    <cellStyle name="Обычный 3 3 5 2 2" xfId="8514"/>
    <cellStyle name="Обычный 3 3 5 2 3" xfId="8515"/>
    <cellStyle name="Обычный 3 3 5 2 4" xfId="8516"/>
    <cellStyle name="Обычный 3 3 5 2 5" xfId="8517"/>
    <cellStyle name="Обычный 3 3 5 2 6" xfId="8518"/>
    <cellStyle name="Обычный 3 3 5 3" xfId="3020"/>
    <cellStyle name="Обычный 3 3 5 3 2" xfId="8519"/>
    <cellStyle name="Обычный 3 3 5 3 3" xfId="8520"/>
    <cellStyle name="Обычный 3 3 5 3 4" xfId="8521"/>
    <cellStyle name="Обычный 3 3 5 3 5" xfId="8522"/>
    <cellStyle name="Обычный 3 3 5 3 6" xfId="8523"/>
    <cellStyle name="Обычный 3 3 5 4" xfId="3021"/>
    <cellStyle name="Обычный 3 3 5 4 2" xfId="8524"/>
    <cellStyle name="Обычный 3 3 5 4 3" xfId="8525"/>
    <cellStyle name="Обычный 3 3 5 4 4" xfId="8526"/>
    <cellStyle name="Обычный 3 3 5 4 5" xfId="8527"/>
    <cellStyle name="Обычный 3 3 5 4 6" xfId="8528"/>
    <cellStyle name="Обычный 3 3 5 5" xfId="8529"/>
    <cellStyle name="Обычный 3 3 5 6" xfId="8530"/>
    <cellStyle name="Обычный 3 3 5 7" xfId="8531"/>
    <cellStyle name="Обычный 3 3 5 8" xfId="8532"/>
    <cellStyle name="Обычный 3 3 5 9" xfId="8533"/>
    <cellStyle name="Обычный 3 3 6" xfId="3022"/>
    <cellStyle name="Обычный 3 3 6 2" xfId="8534"/>
    <cellStyle name="Обычный 3 3 6 3" xfId="8535"/>
    <cellStyle name="Обычный 3 3 6 4" xfId="8536"/>
    <cellStyle name="Обычный 3 3 6 5" xfId="8537"/>
    <cellStyle name="Обычный 3 3 6 6" xfId="8538"/>
    <cellStyle name="Обычный 3 3 7" xfId="3023"/>
    <cellStyle name="Обычный 3 3 7 2" xfId="8539"/>
    <cellStyle name="Обычный 3 3 7 3" xfId="8540"/>
    <cellStyle name="Обычный 3 3 7 4" xfId="8541"/>
    <cellStyle name="Обычный 3 3 7 5" xfId="8542"/>
    <cellStyle name="Обычный 3 3 7 6" xfId="8543"/>
    <cellStyle name="Обычный 3 3 8" xfId="3024"/>
    <cellStyle name="Обычный 3 3 8 2" xfId="8544"/>
    <cellStyle name="Обычный 3 3 8 3" xfId="8545"/>
    <cellStyle name="Обычный 3 3 8 4" xfId="8546"/>
    <cellStyle name="Обычный 3 3 8 5" xfId="8547"/>
    <cellStyle name="Обычный 3 3 8 6" xfId="8548"/>
    <cellStyle name="Обычный 3 3 9" xfId="5284"/>
    <cellStyle name="Обычный 3 4" xfId="3025"/>
    <cellStyle name="Обычный 3 4 2" xfId="3026"/>
    <cellStyle name="Обычный 3 4 2 2" xfId="3027"/>
    <cellStyle name="Обычный 3 4 2 2 2" xfId="8549"/>
    <cellStyle name="Обычный 3 4 2 2 3" xfId="8550"/>
    <cellStyle name="Обычный 3 4 2 2 4" xfId="8551"/>
    <cellStyle name="Обычный 3 4 2 2 5" xfId="8552"/>
    <cellStyle name="Обычный 3 4 2 2 6" xfId="8553"/>
    <cellStyle name="Обычный 3 4 2 3" xfId="3028"/>
    <cellStyle name="Обычный 3 4 2 3 2" xfId="8554"/>
    <cellStyle name="Обычный 3 4 2 3 3" xfId="8555"/>
    <cellStyle name="Обычный 3 4 2 3 4" xfId="8556"/>
    <cellStyle name="Обычный 3 4 2 3 5" xfId="8557"/>
    <cellStyle name="Обычный 3 4 2 3 6" xfId="8558"/>
    <cellStyle name="Обычный 3 4 2 4" xfId="3029"/>
    <cellStyle name="Обычный 3 4 2 4 2" xfId="8559"/>
    <cellStyle name="Обычный 3 4 2 4 3" xfId="8560"/>
    <cellStyle name="Обычный 3 4 2 4 4" xfId="8561"/>
    <cellStyle name="Обычный 3 4 2 4 5" xfId="8562"/>
    <cellStyle name="Обычный 3 4 2 4 6" xfId="8563"/>
    <cellStyle name="Обычный 3 4 2 5" xfId="8564"/>
    <cellStyle name="Обычный 3 4 2 6" xfId="8565"/>
    <cellStyle name="Обычный 3 4 2 7" xfId="8566"/>
    <cellStyle name="Обычный 3 4 2 8" xfId="8567"/>
    <cellStyle name="Обычный 3 4 2 9" xfId="8568"/>
    <cellStyle name="Обычный 3 4 3" xfId="5285"/>
    <cellStyle name="Обычный 3 5" xfId="3030"/>
    <cellStyle name="Обычный 3 5 10" xfId="8569"/>
    <cellStyle name="Обычный 3 5 11" xfId="8570"/>
    <cellStyle name="Обычный 3 5 2" xfId="3031"/>
    <cellStyle name="Обычный 3 5 2 10" xfId="8571"/>
    <cellStyle name="Обычный 3 5 2 2" xfId="3032"/>
    <cellStyle name="Обычный 3 5 2 2 2" xfId="3033"/>
    <cellStyle name="Обычный 3 5 2 2 2 2" xfId="8572"/>
    <cellStyle name="Обычный 3 5 2 2 2 3" xfId="8573"/>
    <cellStyle name="Обычный 3 5 2 2 2 4" xfId="8574"/>
    <cellStyle name="Обычный 3 5 2 2 2 5" xfId="8575"/>
    <cellStyle name="Обычный 3 5 2 2 2 6" xfId="8576"/>
    <cellStyle name="Обычный 3 5 2 2 3" xfId="3034"/>
    <cellStyle name="Обычный 3 5 2 2 3 2" xfId="8577"/>
    <cellStyle name="Обычный 3 5 2 2 3 3" xfId="8578"/>
    <cellStyle name="Обычный 3 5 2 2 3 4" xfId="8579"/>
    <cellStyle name="Обычный 3 5 2 2 3 5" xfId="8580"/>
    <cellStyle name="Обычный 3 5 2 2 3 6" xfId="8581"/>
    <cellStyle name="Обычный 3 5 2 2 4" xfId="3035"/>
    <cellStyle name="Обычный 3 5 2 2 4 2" xfId="8582"/>
    <cellStyle name="Обычный 3 5 2 2 4 3" xfId="8583"/>
    <cellStyle name="Обычный 3 5 2 2 4 4" xfId="8584"/>
    <cellStyle name="Обычный 3 5 2 2 4 5" xfId="8585"/>
    <cellStyle name="Обычный 3 5 2 2 4 6" xfId="8586"/>
    <cellStyle name="Обычный 3 5 2 2 5" xfId="8587"/>
    <cellStyle name="Обычный 3 5 2 2 6" xfId="8588"/>
    <cellStyle name="Обычный 3 5 2 2 7" xfId="8589"/>
    <cellStyle name="Обычный 3 5 2 2 8" xfId="8590"/>
    <cellStyle name="Обычный 3 5 2 2 9" xfId="8591"/>
    <cellStyle name="Обычный 3 5 2 3" xfId="3036"/>
    <cellStyle name="Обычный 3 5 2 3 2" xfId="8592"/>
    <cellStyle name="Обычный 3 5 2 3 3" xfId="8593"/>
    <cellStyle name="Обычный 3 5 2 3 4" xfId="8594"/>
    <cellStyle name="Обычный 3 5 2 3 5" xfId="8595"/>
    <cellStyle name="Обычный 3 5 2 3 6" xfId="8596"/>
    <cellStyle name="Обычный 3 5 2 4" xfId="3037"/>
    <cellStyle name="Обычный 3 5 2 4 2" xfId="8597"/>
    <cellStyle name="Обычный 3 5 2 4 3" xfId="8598"/>
    <cellStyle name="Обычный 3 5 2 4 4" xfId="8599"/>
    <cellStyle name="Обычный 3 5 2 4 5" xfId="8600"/>
    <cellStyle name="Обычный 3 5 2 4 6" xfId="8601"/>
    <cellStyle name="Обычный 3 5 2 5" xfId="3038"/>
    <cellStyle name="Обычный 3 5 2 5 2" xfId="8602"/>
    <cellStyle name="Обычный 3 5 2 5 3" xfId="8603"/>
    <cellStyle name="Обычный 3 5 2 5 4" xfId="8604"/>
    <cellStyle name="Обычный 3 5 2 5 5" xfId="8605"/>
    <cellStyle name="Обычный 3 5 2 5 6" xfId="8606"/>
    <cellStyle name="Обычный 3 5 2 6" xfId="8607"/>
    <cellStyle name="Обычный 3 5 2 7" xfId="8608"/>
    <cellStyle name="Обычный 3 5 2 8" xfId="8609"/>
    <cellStyle name="Обычный 3 5 2 9" xfId="8610"/>
    <cellStyle name="Обычный 3 5 3" xfId="3039"/>
    <cellStyle name="Обычный 3 5 3 2" xfId="3040"/>
    <cellStyle name="Обычный 3 5 3 2 2" xfId="8611"/>
    <cellStyle name="Обычный 3 5 3 2 3" xfId="8612"/>
    <cellStyle name="Обычный 3 5 3 2 4" xfId="8613"/>
    <cellStyle name="Обычный 3 5 3 2 5" xfId="8614"/>
    <cellStyle name="Обычный 3 5 3 2 6" xfId="8615"/>
    <cellStyle name="Обычный 3 5 3 3" xfId="3041"/>
    <cellStyle name="Обычный 3 5 3 3 2" xfId="8616"/>
    <cellStyle name="Обычный 3 5 3 3 3" xfId="8617"/>
    <cellStyle name="Обычный 3 5 3 3 4" xfId="8618"/>
    <cellStyle name="Обычный 3 5 3 3 5" xfId="8619"/>
    <cellStyle name="Обычный 3 5 3 3 6" xfId="8620"/>
    <cellStyle name="Обычный 3 5 3 4" xfId="3042"/>
    <cellStyle name="Обычный 3 5 3 4 2" xfId="8621"/>
    <cellStyle name="Обычный 3 5 3 4 3" xfId="8622"/>
    <cellStyle name="Обычный 3 5 3 4 4" xfId="8623"/>
    <cellStyle name="Обычный 3 5 3 4 5" xfId="8624"/>
    <cellStyle name="Обычный 3 5 3 4 6" xfId="8625"/>
    <cellStyle name="Обычный 3 5 3 5" xfId="8626"/>
    <cellStyle name="Обычный 3 5 3 6" xfId="8627"/>
    <cellStyle name="Обычный 3 5 3 7" xfId="8628"/>
    <cellStyle name="Обычный 3 5 3 8" xfId="8629"/>
    <cellStyle name="Обычный 3 5 3 9" xfId="8630"/>
    <cellStyle name="Обычный 3 5 4" xfId="3043"/>
    <cellStyle name="Обычный 3 5 4 2" xfId="8631"/>
    <cellStyle name="Обычный 3 5 4 3" xfId="8632"/>
    <cellStyle name="Обычный 3 5 4 4" xfId="8633"/>
    <cellStyle name="Обычный 3 5 4 5" xfId="8634"/>
    <cellStyle name="Обычный 3 5 4 6" xfId="8635"/>
    <cellStyle name="Обычный 3 5 5" xfId="3044"/>
    <cellStyle name="Обычный 3 5 5 2" xfId="8636"/>
    <cellStyle name="Обычный 3 5 5 3" xfId="8637"/>
    <cellStyle name="Обычный 3 5 5 4" xfId="8638"/>
    <cellStyle name="Обычный 3 5 5 5" xfId="8639"/>
    <cellStyle name="Обычный 3 5 5 6" xfId="8640"/>
    <cellStyle name="Обычный 3 5 6" xfId="3045"/>
    <cellStyle name="Обычный 3 5 6 2" xfId="8641"/>
    <cellStyle name="Обычный 3 5 6 3" xfId="8642"/>
    <cellStyle name="Обычный 3 5 6 4" xfId="8643"/>
    <cellStyle name="Обычный 3 5 6 5" xfId="8644"/>
    <cellStyle name="Обычный 3 5 6 6" xfId="8645"/>
    <cellStyle name="Обычный 3 5 7" xfId="8646"/>
    <cellStyle name="Обычный 3 5 8" xfId="8647"/>
    <cellStyle name="Обычный 3 5 9" xfId="8648"/>
    <cellStyle name="Обычный 3 6" xfId="3046"/>
    <cellStyle name="Обычный 3 6 2" xfId="3047"/>
    <cellStyle name="Обычный 3 6 3" xfId="3048"/>
    <cellStyle name="Обычный 3 7" xfId="3049"/>
    <cellStyle name="Обычный 3_косвен" xfId="3050"/>
    <cellStyle name="Обычный 30" xfId="3051"/>
    <cellStyle name="Обычный 30 10" xfId="5286"/>
    <cellStyle name="Обычный 30 11" xfId="8649"/>
    <cellStyle name="Обычный 30 12" xfId="8650"/>
    <cellStyle name="Обычный 30 13" xfId="8651"/>
    <cellStyle name="Обычный 30 14" xfId="8652"/>
    <cellStyle name="Обычный 30 2" xfId="3052"/>
    <cellStyle name="Обычный 30 2 10" xfId="8653"/>
    <cellStyle name="Обычный 30 2 2" xfId="3053"/>
    <cellStyle name="Обычный 30 2 2 2" xfId="3054"/>
    <cellStyle name="Обычный 30 2 2 2 2" xfId="8654"/>
    <cellStyle name="Обычный 30 2 2 2 3" xfId="8655"/>
    <cellStyle name="Обычный 30 2 2 2 4" xfId="8656"/>
    <cellStyle name="Обычный 30 2 2 2 5" xfId="8657"/>
    <cellStyle name="Обычный 30 2 2 2 6" xfId="8658"/>
    <cellStyle name="Обычный 30 2 2 3" xfId="3055"/>
    <cellStyle name="Обычный 30 2 2 3 2" xfId="8659"/>
    <cellStyle name="Обычный 30 2 2 3 3" xfId="8660"/>
    <cellStyle name="Обычный 30 2 2 3 4" xfId="8661"/>
    <cellStyle name="Обычный 30 2 2 3 5" xfId="8662"/>
    <cellStyle name="Обычный 30 2 2 3 6" xfId="8663"/>
    <cellStyle name="Обычный 30 2 2 4" xfId="3056"/>
    <cellStyle name="Обычный 30 2 2 4 2" xfId="8664"/>
    <cellStyle name="Обычный 30 2 2 4 3" xfId="8665"/>
    <cellStyle name="Обычный 30 2 2 4 4" xfId="8666"/>
    <cellStyle name="Обычный 30 2 2 4 5" xfId="8667"/>
    <cellStyle name="Обычный 30 2 2 4 6" xfId="8668"/>
    <cellStyle name="Обычный 30 2 2 5" xfId="8669"/>
    <cellStyle name="Обычный 30 2 2 6" xfId="8670"/>
    <cellStyle name="Обычный 30 2 2 7" xfId="8671"/>
    <cellStyle name="Обычный 30 2 2 8" xfId="8672"/>
    <cellStyle name="Обычный 30 2 2 9" xfId="8673"/>
    <cellStyle name="Обычный 30 2 3" xfId="3057"/>
    <cellStyle name="Обычный 30 2 3 2" xfId="8674"/>
    <cellStyle name="Обычный 30 2 3 3" xfId="8675"/>
    <cellStyle name="Обычный 30 2 3 4" xfId="8676"/>
    <cellStyle name="Обычный 30 2 3 5" xfId="8677"/>
    <cellStyle name="Обычный 30 2 3 6" xfId="8678"/>
    <cellStyle name="Обычный 30 2 4" xfId="3058"/>
    <cellStyle name="Обычный 30 2 4 2" xfId="8679"/>
    <cellStyle name="Обычный 30 2 4 3" xfId="8680"/>
    <cellStyle name="Обычный 30 2 4 4" xfId="8681"/>
    <cellStyle name="Обычный 30 2 4 5" xfId="8682"/>
    <cellStyle name="Обычный 30 2 4 6" xfId="8683"/>
    <cellStyle name="Обычный 30 2 5" xfId="3059"/>
    <cellStyle name="Обычный 30 2 5 2" xfId="8684"/>
    <cellStyle name="Обычный 30 2 5 3" xfId="8685"/>
    <cellStyle name="Обычный 30 2 5 4" xfId="8686"/>
    <cellStyle name="Обычный 30 2 5 5" xfId="8687"/>
    <cellStyle name="Обычный 30 2 5 6" xfId="8688"/>
    <cellStyle name="Обычный 30 2 6" xfId="8689"/>
    <cellStyle name="Обычный 30 2 7" xfId="8690"/>
    <cellStyle name="Обычный 30 2 8" xfId="8691"/>
    <cellStyle name="Обычный 30 2 9" xfId="8692"/>
    <cellStyle name="Обычный 30 3" xfId="3060"/>
    <cellStyle name="Обычный 30 3 10" xfId="8693"/>
    <cellStyle name="Обычный 30 3 2" xfId="3061"/>
    <cellStyle name="Обычный 30 3 2 2" xfId="3062"/>
    <cellStyle name="Обычный 30 3 2 2 2" xfId="8694"/>
    <cellStyle name="Обычный 30 3 2 2 3" xfId="8695"/>
    <cellStyle name="Обычный 30 3 2 2 4" xfId="8696"/>
    <cellStyle name="Обычный 30 3 2 2 5" xfId="8697"/>
    <cellStyle name="Обычный 30 3 2 2 6" xfId="8698"/>
    <cellStyle name="Обычный 30 3 2 3" xfId="3063"/>
    <cellStyle name="Обычный 30 3 2 3 2" xfId="8699"/>
    <cellStyle name="Обычный 30 3 2 3 3" xfId="8700"/>
    <cellStyle name="Обычный 30 3 2 3 4" xfId="8701"/>
    <cellStyle name="Обычный 30 3 2 3 5" xfId="8702"/>
    <cellStyle name="Обычный 30 3 2 3 6" xfId="8703"/>
    <cellStyle name="Обычный 30 3 2 4" xfId="3064"/>
    <cellStyle name="Обычный 30 3 2 4 2" xfId="8704"/>
    <cellStyle name="Обычный 30 3 2 4 3" xfId="8705"/>
    <cellStyle name="Обычный 30 3 2 4 4" xfId="8706"/>
    <cellStyle name="Обычный 30 3 2 4 5" xfId="8707"/>
    <cellStyle name="Обычный 30 3 2 4 6" xfId="8708"/>
    <cellStyle name="Обычный 30 3 2 5" xfId="8709"/>
    <cellStyle name="Обычный 30 3 2 6" xfId="8710"/>
    <cellStyle name="Обычный 30 3 2 7" xfId="8711"/>
    <cellStyle name="Обычный 30 3 2 8" xfId="8712"/>
    <cellStyle name="Обычный 30 3 2 9" xfId="8713"/>
    <cellStyle name="Обычный 30 3 3" xfId="3065"/>
    <cellStyle name="Обычный 30 3 3 2" xfId="8714"/>
    <cellStyle name="Обычный 30 3 3 3" xfId="8715"/>
    <cellStyle name="Обычный 30 3 3 4" xfId="8716"/>
    <cellStyle name="Обычный 30 3 3 5" xfId="8717"/>
    <cellStyle name="Обычный 30 3 3 6" xfId="8718"/>
    <cellStyle name="Обычный 30 3 4" xfId="3066"/>
    <cellStyle name="Обычный 30 3 4 2" xfId="8719"/>
    <cellStyle name="Обычный 30 3 4 3" xfId="8720"/>
    <cellStyle name="Обычный 30 3 4 4" xfId="8721"/>
    <cellStyle name="Обычный 30 3 4 5" xfId="8722"/>
    <cellStyle name="Обычный 30 3 4 6" xfId="8723"/>
    <cellStyle name="Обычный 30 3 5" xfId="3067"/>
    <cellStyle name="Обычный 30 3 5 2" xfId="8724"/>
    <cellStyle name="Обычный 30 3 5 3" xfId="8725"/>
    <cellStyle name="Обычный 30 3 5 4" xfId="8726"/>
    <cellStyle name="Обычный 30 3 5 5" xfId="8727"/>
    <cellStyle name="Обычный 30 3 5 6" xfId="8728"/>
    <cellStyle name="Обычный 30 3 6" xfId="8729"/>
    <cellStyle name="Обычный 30 3 7" xfId="8730"/>
    <cellStyle name="Обычный 30 3 8" xfId="8731"/>
    <cellStyle name="Обычный 30 3 9" xfId="8732"/>
    <cellStyle name="Обычный 30 4" xfId="3068"/>
    <cellStyle name="Обычный 30 4 10" xfId="8733"/>
    <cellStyle name="Обычный 30 4 2" xfId="3069"/>
    <cellStyle name="Обычный 30 4 2 2" xfId="3070"/>
    <cellStyle name="Обычный 30 4 2 2 2" xfId="8734"/>
    <cellStyle name="Обычный 30 4 2 2 3" xfId="8735"/>
    <cellStyle name="Обычный 30 4 2 2 4" xfId="8736"/>
    <cellStyle name="Обычный 30 4 2 2 5" xfId="8737"/>
    <cellStyle name="Обычный 30 4 2 2 6" xfId="8738"/>
    <cellStyle name="Обычный 30 4 2 3" xfId="3071"/>
    <cellStyle name="Обычный 30 4 2 3 2" xfId="8739"/>
    <cellStyle name="Обычный 30 4 2 3 3" xfId="8740"/>
    <cellStyle name="Обычный 30 4 2 3 4" xfId="8741"/>
    <cellStyle name="Обычный 30 4 2 3 5" xfId="8742"/>
    <cellStyle name="Обычный 30 4 2 3 6" xfId="8743"/>
    <cellStyle name="Обычный 30 4 2 4" xfId="3072"/>
    <cellStyle name="Обычный 30 4 2 4 2" xfId="8744"/>
    <cellStyle name="Обычный 30 4 2 4 3" xfId="8745"/>
    <cellStyle name="Обычный 30 4 2 4 4" xfId="8746"/>
    <cellStyle name="Обычный 30 4 2 4 5" xfId="8747"/>
    <cellStyle name="Обычный 30 4 2 4 6" xfId="8748"/>
    <cellStyle name="Обычный 30 4 2 5" xfId="8749"/>
    <cellStyle name="Обычный 30 4 2 6" xfId="8750"/>
    <cellStyle name="Обычный 30 4 2 7" xfId="8751"/>
    <cellStyle name="Обычный 30 4 2 8" xfId="8752"/>
    <cellStyle name="Обычный 30 4 2 9" xfId="8753"/>
    <cellStyle name="Обычный 30 4 3" xfId="3073"/>
    <cellStyle name="Обычный 30 4 3 2" xfId="8754"/>
    <cellStyle name="Обычный 30 4 3 3" xfId="8755"/>
    <cellStyle name="Обычный 30 4 3 4" xfId="8756"/>
    <cellStyle name="Обычный 30 4 3 5" xfId="8757"/>
    <cellStyle name="Обычный 30 4 3 6" xfId="8758"/>
    <cellStyle name="Обычный 30 4 4" xfId="3074"/>
    <cellStyle name="Обычный 30 4 4 2" xfId="8759"/>
    <cellStyle name="Обычный 30 4 4 3" xfId="8760"/>
    <cellStyle name="Обычный 30 4 4 4" xfId="8761"/>
    <cellStyle name="Обычный 30 4 4 5" xfId="8762"/>
    <cellStyle name="Обычный 30 4 4 6" xfId="8763"/>
    <cellStyle name="Обычный 30 4 5" xfId="3075"/>
    <cellStyle name="Обычный 30 4 5 2" xfId="8764"/>
    <cellStyle name="Обычный 30 4 5 3" xfId="8765"/>
    <cellStyle name="Обычный 30 4 5 4" xfId="8766"/>
    <cellStyle name="Обычный 30 4 5 5" xfId="8767"/>
    <cellStyle name="Обычный 30 4 5 6" xfId="8768"/>
    <cellStyle name="Обычный 30 4 6" xfId="8769"/>
    <cellStyle name="Обычный 30 4 7" xfId="8770"/>
    <cellStyle name="Обычный 30 4 8" xfId="8771"/>
    <cellStyle name="Обычный 30 4 9" xfId="8772"/>
    <cellStyle name="Обычный 30 5" xfId="3076"/>
    <cellStyle name="Обычный 30 5 2" xfId="3077"/>
    <cellStyle name="Обычный 30 5 2 2" xfId="8773"/>
    <cellStyle name="Обычный 30 5 2 3" xfId="8774"/>
    <cellStyle name="Обычный 30 5 2 4" xfId="8775"/>
    <cellStyle name="Обычный 30 5 2 5" xfId="8776"/>
    <cellStyle name="Обычный 30 5 2 6" xfId="8777"/>
    <cellStyle name="Обычный 30 5 3" xfId="3078"/>
    <cellStyle name="Обычный 30 5 3 2" xfId="8778"/>
    <cellStyle name="Обычный 30 5 3 3" xfId="8779"/>
    <cellStyle name="Обычный 30 5 3 4" xfId="8780"/>
    <cellStyle name="Обычный 30 5 3 5" xfId="8781"/>
    <cellStyle name="Обычный 30 5 3 6" xfId="8782"/>
    <cellStyle name="Обычный 30 5 4" xfId="3079"/>
    <cellStyle name="Обычный 30 5 4 2" xfId="8783"/>
    <cellStyle name="Обычный 30 5 4 3" xfId="8784"/>
    <cellStyle name="Обычный 30 5 4 4" xfId="8785"/>
    <cellStyle name="Обычный 30 5 4 5" xfId="8786"/>
    <cellStyle name="Обычный 30 5 4 6" xfId="8787"/>
    <cellStyle name="Обычный 30 5 5" xfId="8788"/>
    <cellStyle name="Обычный 30 5 6" xfId="8789"/>
    <cellStyle name="Обычный 30 5 7" xfId="8790"/>
    <cellStyle name="Обычный 30 5 8" xfId="8791"/>
    <cellStyle name="Обычный 30 5 9" xfId="8792"/>
    <cellStyle name="Обычный 30 6" xfId="3080"/>
    <cellStyle name="Обычный 30 6 2" xfId="3081"/>
    <cellStyle name="Обычный 30 6 2 2" xfId="8793"/>
    <cellStyle name="Обычный 30 6 2 3" xfId="8794"/>
    <cellStyle name="Обычный 30 6 2 4" xfId="8795"/>
    <cellStyle name="Обычный 30 6 2 5" xfId="8796"/>
    <cellStyle name="Обычный 30 6 2 6" xfId="8797"/>
    <cellStyle name="Обычный 30 6 3" xfId="3082"/>
    <cellStyle name="Обычный 30 6 3 2" xfId="8798"/>
    <cellStyle name="Обычный 30 6 3 3" xfId="8799"/>
    <cellStyle name="Обычный 30 6 3 4" xfId="8800"/>
    <cellStyle name="Обычный 30 6 3 5" xfId="8801"/>
    <cellStyle name="Обычный 30 6 3 6" xfId="8802"/>
    <cellStyle name="Обычный 30 6 4" xfId="3083"/>
    <cellStyle name="Обычный 30 6 4 2" xfId="8803"/>
    <cellStyle name="Обычный 30 6 4 3" xfId="8804"/>
    <cellStyle name="Обычный 30 6 4 4" xfId="8805"/>
    <cellStyle name="Обычный 30 6 4 5" xfId="8806"/>
    <cellStyle name="Обычный 30 6 4 6" xfId="8807"/>
    <cellStyle name="Обычный 30 6 5" xfId="8808"/>
    <cellStyle name="Обычный 30 6 6" xfId="8809"/>
    <cellStyle name="Обычный 30 6 7" xfId="8810"/>
    <cellStyle name="Обычный 30 6 8" xfId="8811"/>
    <cellStyle name="Обычный 30 6 9" xfId="8812"/>
    <cellStyle name="Обычный 30 7" xfId="3084"/>
    <cellStyle name="Обычный 30 7 2" xfId="8813"/>
    <cellStyle name="Обычный 30 7 3" xfId="8814"/>
    <cellStyle name="Обычный 30 7 4" xfId="8815"/>
    <cellStyle name="Обычный 30 7 5" xfId="8816"/>
    <cellStyle name="Обычный 30 7 6" xfId="8817"/>
    <cellStyle name="Обычный 30 8" xfId="3085"/>
    <cellStyle name="Обычный 30 8 2" xfId="8818"/>
    <cellStyle name="Обычный 30 8 3" xfId="8819"/>
    <cellStyle name="Обычный 30 8 4" xfId="8820"/>
    <cellStyle name="Обычный 30 8 5" xfId="8821"/>
    <cellStyle name="Обычный 30 8 6" xfId="8822"/>
    <cellStyle name="Обычный 30 9" xfId="3086"/>
    <cellStyle name="Обычный 30 9 2" xfId="8823"/>
    <cellStyle name="Обычный 30 9 3" xfId="8824"/>
    <cellStyle name="Обычный 30 9 4" xfId="8825"/>
    <cellStyle name="Обычный 30 9 5" xfId="8826"/>
    <cellStyle name="Обычный 30 9 6" xfId="8827"/>
    <cellStyle name="Обычный 31" xfId="3087"/>
    <cellStyle name="Обычный 31 10" xfId="8828"/>
    <cellStyle name="Обычный 31 11" xfId="8829"/>
    <cellStyle name="Обычный 31 12" xfId="8830"/>
    <cellStyle name="Обычный 31 2" xfId="3088"/>
    <cellStyle name="Обычный 31 2 10" xfId="8831"/>
    <cellStyle name="Обычный 31 2 2" xfId="3089"/>
    <cellStyle name="Обычный 31 2 2 2" xfId="3090"/>
    <cellStyle name="Обычный 31 2 2 2 2" xfId="8832"/>
    <cellStyle name="Обычный 31 2 2 2 3" xfId="8833"/>
    <cellStyle name="Обычный 31 2 2 2 4" xfId="8834"/>
    <cellStyle name="Обычный 31 2 2 2 5" xfId="8835"/>
    <cellStyle name="Обычный 31 2 2 2 6" xfId="8836"/>
    <cellStyle name="Обычный 31 2 2 3" xfId="3091"/>
    <cellStyle name="Обычный 31 2 2 3 2" xfId="8837"/>
    <cellStyle name="Обычный 31 2 2 3 3" xfId="8838"/>
    <cellStyle name="Обычный 31 2 2 3 4" xfId="8839"/>
    <cellStyle name="Обычный 31 2 2 3 5" xfId="8840"/>
    <cellStyle name="Обычный 31 2 2 3 6" xfId="8841"/>
    <cellStyle name="Обычный 31 2 2 4" xfId="3092"/>
    <cellStyle name="Обычный 31 2 2 4 2" xfId="8842"/>
    <cellStyle name="Обычный 31 2 2 4 3" xfId="8843"/>
    <cellStyle name="Обычный 31 2 2 4 4" xfId="8844"/>
    <cellStyle name="Обычный 31 2 2 4 5" xfId="8845"/>
    <cellStyle name="Обычный 31 2 2 4 6" xfId="8846"/>
    <cellStyle name="Обычный 31 2 2 5" xfId="8847"/>
    <cellStyle name="Обычный 31 2 2 6" xfId="8848"/>
    <cellStyle name="Обычный 31 2 2 7" xfId="8849"/>
    <cellStyle name="Обычный 31 2 2 8" xfId="8850"/>
    <cellStyle name="Обычный 31 2 2 9" xfId="8851"/>
    <cellStyle name="Обычный 31 2 3" xfId="3093"/>
    <cellStyle name="Обычный 31 2 3 2" xfId="8852"/>
    <cellStyle name="Обычный 31 2 3 3" xfId="8853"/>
    <cellStyle name="Обычный 31 2 3 4" xfId="8854"/>
    <cellStyle name="Обычный 31 2 3 5" xfId="8855"/>
    <cellStyle name="Обычный 31 2 3 6" xfId="8856"/>
    <cellStyle name="Обычный 31 2 4" xfId="3094"/>
    <cellStyle name="Обычный 31 2 4 2" xfId="8857"/>
    <cellStyle name="Обычный 31 2 4 3" xfId="8858"/>
    <cellStyle name="Обычный 31 2 4 4" xfId="8859"/>
    <cellStyle name="Обычный 31 2 4 5" xfId="8860"/>
    <cellStyle name="Обычный 31 2 4 6" xfId="8861"/>
    <cellStyle name="Обычный 31 2 5" xfId="3095"/>
    <cellStyle name="Обычный 31 2 5 2" xfId="8862"/>
    <cellStyle name="Обычный 31 2 5 3" xfId="8863"/>
    <cellStyle name="Обычный 31 2 5 4" xfId="8864"/>
    <cellStyle name="Обычный 31 2 5 5" xfId="8865"/>
    <cellStyle name="Обычный 31 2 5 6" xfId="8866"/>
    <cellStyle name="Обычный 31 2 6" xfId="8867"/>
    <cellStyle name="Обычный 31 2 7" xfId="8868"/>
    <cellStyle name="Обычный 31 2 8" xfId="8869"/>
    <cellStyle name="Обычный 31 2 9" xfId="8870"/>
    <cellStyle name="Обычный 31 3" xfId="3096"/>
    <cellStyle name="Обычный 31 3 2" xfId="3097"/>
    <cellStyle name="Обычный 31 3 2 2" xfId="8871"/>
    <cellStyle name="Обычный 31 3 2 3" xfId="8872"/>
    <cellStyle name="Обычный 31 3 2 4" xfId="8873"/>
    <cellStyle name="Обычный 31 3 2 5" xfId="8874"/>
    <cellStyle name="Обычный 31 3 2 6" xfId="8875"/>
    <cellStyle name="Обычный 31 3 3" xfId="3098"/>
    <cellStyle name="Обычный 31 3 3 2" xfId="8876"/>
    <cellStyle name="Обычный 31 3 3 3" xfId="8877"/>
    <cellStyle name="Обычный 31 3 3 4" xfId="8878"/>
    <cellStyle name="Обычный 31 3 3 5" xfId="8879"/>
    <cellStyle name="Обычный 31 3 3 6" xfId="8880"/>
    <cellStyle name="Обычный 31 3 4" xfId="3099"/>
    <cellStyle name="Обычный 31 3 4 2" xfId="8881"/>
    <cellStyle name="Обычный 31 3 4 3" xfId="8882"/>
    <cellStyle name="Обычный 31 3 4 4" xfId="8883"/>
    <cellStyle name="Обычный 31 3 4 5" xfId="8884"/>
    <cellStyle name="Обычный 31 3 4 6" xfId="8885"/>
    <cellStyle name="Обычный 31 3 5" xfId="8886"/>
    <cellStyle name="Обычный 31 3 6" xfId="8887"/>
    <cellStyle name="Обычный 31 3 7" xfId="8888"/>
    <cellStyle name="Обычный 31 3 8" xfId="8889"/>
    <cellStyle name="Обычный 31 3 9" xfId="8890"/>
    <cellStyle name="Обычный 31 4" xfId="3100"/>
    <cellStyle name="Обычный 31 4 2" xfId="3101"/>
    <cellStyle name="Обычный 31 4 2 2" xfId="8891"/>
    <cellStyle name="Обычный 31 4 2 3" xfId="8892"/>
    <cellStyle name="Обычный 31 4 2 4" xfId="8893"/>
    <cellStyle name="Обычный 31 4 2 5" xfId="8894"/>
    <cellStyle name="Обычный 31 4 2 6" xfId="8895"/>
    <cellStyle name="Обычный 31 4 3" xfId="3102"/>
    <cellStyle name="Обычный 31 4 3 2" xfId="8896"/>
    <cellStyle name="Обычный 31 4 3 3" xfId="8897"/>
    <cellStyle name="Обычный 31 4 3 4" xfId="8898"/>
    <cellStyle name="Обычный 31 4 3 5" xfId="8899"/>
    <cellStyle name="Обычный 31 4 3 6" xfId="8900"/>
    <cellStyle name="Обычный 31 4 4" xfId="3103"/>
    <cellStyle name="Обычный 31 4 4 2" xfId="8901"/>
    <cellStyle name="Обычный 31 4 4 3" xfId="8902"/>
    <cellStyle name="Обычный 31 4 4 4" xfId="8903"/>
    <cellStyle name="Обычный 31 4 4 5" xfId="8904"/>
    <cellStyle name="Обычный 31 4 4 6" xfId="8905"/>
    <cellStyle name="Обычный 31 4 5" xfId="8906"/>
    <cellStyle name="Обычный 31 4 6" xfId="8907"/>
    <cellStyle name="Обычный 31 4 7" xfId="8908"/>
    <cellStyle name="Обычный 31 4 8" xfId="8909"/>
    <cellStyle name="Обычный 31 4 9" xfId="8910"/>
    <cellStyle name="Обычный 31 5" xfId="3104"/>
    <cellStyle name="Обычный 31 5 2" xfId="8911"/>
    <cellStyle name="Обычный 31 5 3" xfId="8912"/>
    <cellStyle name="Обычный 31 5 4" xfId="8913"/>
    <cellStyle name="Обычный 31 5 5" xfId="8914"/>
    <cellStyle name="Обычный 31 5 6" xfId="8915"/>
    <cellStyle name="Обычный 31 6" xfId="3105"/>
    <cellStyle name="Обычный 31 6 2" xfId="8916"/>
    <cellStyle name="Обычный 31 6 3" xfId="8917"/>
    <cellStyle name="Обычный 31 6 4" xfId="8918"/>
    <cellStyle name="Обычный 31 6 5" xfId="8919"/>
    <cellStyle name="Обычный 31 6 6" xfId="8920"/>
    <cellStyle name="Обычный 31 7" xfId="3106"/>
    <cellStyle name="Обычный 31 7 2" xfId="8921"/>
    <cellStyle name="Обычный 31 7 3" xfId="8922"/>
    <cellStyle name="Обычный 31 7 4" xfId="8923"/>
    <cellStyle name="Обычный 31 7 5" xfId="8924"/>
    <cellStyle name="Обычный 31 7 6" xfId="8925"/>
    <cellStyle name="Обычный 31 8" xfId="5287"/>
    <cellStyle name="Обычный 31 9" xfId="8926"/>
    <cellStyle name="Обычный 32" xfId="3107"/>
    <cellStyle name="Обычный 32 10" xfId="8927"/>
    <cellStyle name="Обычный 32 11" xfId="8928"/>
    <cellStyle name="Обычный 32 12" xfId="8929"/>
    <cellStyle name="Обычный 32 2" xfId="3108"/>
    <cellStyle name="Обычный 32 2 10" xfId="8930"/>
    <cellStyle name="Обычный 32 2 2" xfId="3109"/>
    <cellStyle name="Обычный 32 2 2 2" xfId="3110"/>
    <cellStyle name="Обычный 32 2 2 2 2" xfId="8931"/>
    <cellStyle name="Обычный 32 2 2 2 3" xfId="8932"/>
    <cellStyle name="Обычный 32 2 2 2 4" xfId="8933"/>
    <cellStyle name="Обычный 32 2 2 2 5" xfId="8934"/>
    <cellStyle name="Обычный 32 2 2 2 6" xfId="8935"/>
    <cellStyle name="Обычный 32 2 2 3" xfId="3111"/>
    <cellStyle name="Обычный 32 2 2 3 2" xfId="8936"/>
    <cellStyle name="Обычный 32 2 2 3 3" xfId="8937"/>
    <cellStyle name="Обычный 32 2 2 3 4" xfId="8938"/>
    <cellStyle name="Обычный 32 2 2 3 5" xfId="8939"/>
    <cellStyle name="Обычный 32 2 2 3 6" xfId="8940"/>
    <cellStyle name="Обычный 32 2 2 4" xfId="3112"/>
    <cellStyle name="Обычный 32 2 2 4 2" xfId="8941"/>
    <cellStyle name="Обычный 32 2 2 4 3" xfId="8942"/>
    <cellStyle name="Обычный 32 2 2 4 4" xfId="8943"/>
    <cellStyle name="Обычный 32 2 2 4 5" xfId="8944"/>
    <cellStyle name="Обычный 32 2 2 4 6" xfId="8945"/>
    <cellStyle name="Обычный 32 2 2 5" xfId="8946"/>
    <cellStyle name="Обычный 32 2 2 6" xfId="8947"/>
    <cellStyle name="Обычный 32 2 2 7" xfId="8948"/>
    <cellStyle name="Обычный 32 2 2 8" xfId="8949"/>
    <cellStyle name="Обычный 32 2 2 9" xfId="8950"/>
    <cellStyle name="Обычный 32 2 3" xfId="3113"/>
    <cellStyle name="Обычный 32 2 3 2" xfId="8951"/>
    <cellStyle name="Обычный 32 2 3 3" xfId="8952"/>
    <cellStyle name="Обычный 32 2 3 4" xfId="8953"/>
    <cellStyle name="Обычный 32 2 3 5" xfId="8954"/>
    <cellStyle name="Обычный 32 2 3 6" xfId="8955"/>
    <cellStyle name="Обычный 32 2 4" xfId="3114"/>
    <cellStyle name="Обычный 32 2 4 2" xfId="8956"/>
    <cellStyle name="Обычный 32 2 4 3" xfId="8957"/>
    <cellStyle name="Обычный 32 2 4 4" xfId="8958"/>
    <cellStyle name="Обычный 32 2 4 5" xfId="8959"/>
    <cellStyle name="Обычный 32 2 4 6" xfId="8960"/>
    <cellStyle name="Обычный 32 2 5" xfId="3115"/>
    <cellStyle name="Обычный 32 2 5 2" xfId="8961"/>
    <cellStyle name="Обычный 32 2 5 3" xfId="8962"/>
    <cellStyle name="Обычный 32 2 5 4" xfId="8963"/>
    <cellStyle name="Обычный 32 2 5 5" xfId="8964"/>
    <cellStyle name="Обычный 32 2 5 6" xfId="8965"/>
    <cellStyle name="Обычный 32 2 6" xfId="8966"/>
    <cellStyle name="Обычный 32 2 7" xfId="8967"/>
    <cellStyle name="Обычный 32 2 8" xfId="8968"/>
    <cellStyle name="Обычный 32 2 9" xfId="8969"/>
    <cellStyle name="Обычный 32 3" xfId="3116"/>
    <cellStyle name="Обычный 32 3 2" xfId="3117"/>
    <cellStyle name="Обычный 32 3 2 2" xfId="8970"/>
    <cellStyle name="Обычный 32 3 2 3" xfId="8971"/>
    <cellStyle name="Обычный 32 3 2 4" xfId="8972"/>
    <cellStyle name="Обычный 32 3 2 5" xfId="8973"/>
    <cellStyle name="Обычный 32 3 2 6" xfId="8974"/>
    <cellStyle name="Обычный 32 3 3" xfId="3118"/>
    <cellStyle name="Обычный 32 3 3 2" xfId="8975"/>
    <cellStyle name="Обычный 32 3 3 3" xfId="8976"/>
    <cellStyle name="Обычный 32 3 3 4" xfId="8977"/>
    <cellStyle name="Обычный 32 3 3 5" xfId="8978"/>
    <cellStyle name="Обычный 32 3 3 6" xfId="8979"/>
    <cellStyle name="Обычный 32 3 4" xfId="3119"/>
    <cellStyle name="Обычный 32 3 4 2" xfId="8980"/>
    <cellStyle name="Обычный 32 3 4 3" xfId="8981"/>
    <cellStyle name="Обычный 32 3 4 4" xfId="8982"/>
    <cellStyle name="Обычный 32 3 4 5" xfId="8983"/>
    <cellStyle name="Обычный 32 3 4 6" xfId="8984"/>
    <cellStyle name="Обычный 32 3 5" xfId="8985"/>
    <cellStyle name="Обычный 32 3 6" xfId="8986"/>
    <cellStyle name="Обычный 32 3 7" xfId="8987"/>
    <cellStyle name="Обычный 32 3 8" xfId="8988"/>
    <cellStyle name="Обычный 32 3 9" xfId="8989"/>
    <cellStyle name="Обычный 32 4" xfId="3120"/>
    <cellStyle name="Обычный 32 4 2" xfId="3121"/>
    <cellStyle name="Обычный 32 4 2 2" xfId="8990"/>
    <cellStyle name="Обычный 32 4 2 3" xfId="8991"/>
    <cellStyle name="Обычный 32 4 2 4" xfId="8992"/>
    <cellStyle name="Обычный 32 4 2 5" xfId="8993"/>
    <cellStyle name="Обычный 32 4 2 6" xfId="8994"/>
    <cellStyle name="Обычный 32 4 3" xfId="3122"/>
    <cellStyle name="Обычный 32 4 3 2" xfId="8995"/>
    <cellStyle name="Обычный 32 4 3 3" xfId="8996"/>
    <cellStyle name="Обычный 32 4 3 4" xfId="8997"/>
    <cellStyle name="Обычный 32 4 3 5" xfId="8998"/>
    <cellStyle name="Обычный 32 4 3 6" xfId="8999"/>
    <cellStyle name="Обычный 32 4 4" xfId="3123"/>
    <cellStyle name="Обычный 32 4 4 2" xfId="9000"/>
    <cellStyle name="Обычный 32 4 4 3" xfId="9001"/>
    <cellStyle name="Обычный 32 4 4 4" xfId="9002"/>
    <cellStyle name="Обычный 32 4 4 5" xfId="9003"/>
    <cellStyle name="Обычный 32 4 4 6" xfId="9004"/>
    <cellStyle name="Обычный 32 4 5" xfId="9005"/>
    <cellStyle name="Обычный 32 4 6" xfId="9006"/>
    <cellStyle name="Обычный 32 4 7" xfId="9007"/>
    <cellStyle name="Обычный 32 4 8" xfId="9008"/>
    <cellStyle name="Обычный 32 4 9" xfId="9009"/>
    <cellStyle name="Обычный 32 5" xfId="3124"/>
    <cellStyle name="Обычный 32 5 2" xfId="9010"/>
    <cellStyle name="Обычный 32 5 3" xfId="9011"/>
    <cellStyle name="Обычный 32 5 4" xfId="9012"/>
    <cellStyle name="Обычный 32 5 5" xfId="9013"/>
    <cellStyle name="Обычный 32 5 6" xfId="9014"/>
    <cellStyle name="Обычный 32 6" xfId="3125"/>
    <cellStyle name="Обычный 32 6 2" xfId="9015"/>
    <cellStyle name="Обычный 32 6 3" xfId="9016"/>
    <cellStyle name="Обычный 32 6 4" xfId="9017"/>
    <cellStyle name="Обычный 32 6 5" xfId="9018"/>
    <cellStyle name="Обычный 32 6 6" xfId="9019"/>
    <cellStyle name="Обычный 32 7" xfId="3126"/>
    <cellStyle name="Обычный 32 7 2" xfId="9020"/>
    <cellStyle name="Обычный 32 7 3" xfId="9021"/>
    <cellStyle name="Обычный 32 7 4" xfId="9022"/>
    <cellStyle name="Обычный 32 7 5" xfId="9023"/>
    <cellStyle name="Обычный 32 7 6" xfId="9024"/>
    <cellStyle name="Обычный 32 8" xfId="5288"/>
    <cellStyle name="Обычный 32 9" xfId="9025"/>
    <cellStyle name="Обычный 33" xfId="3127"/>
    <cellStyle name="Обычный 33 10" xfId="9026"/>
    <cellStyle name="Обычный 33 11" xfId="9027"/>
    <cellStyle name="Обычный 33 12" xfId="9028"/>
    <cellStyle name="Обычный 33 13" xfId="9029"/>
    <cellStyle name="Обычный 33 2" xfId="3128"/>
    <cellStyle name="Обычный 33 2 10" xfId="9030"/>
    <cellStyle name="Обычный 33 2 2" xfId="3129"/>
    <cellStyle name="Обычный 33 2 2 2" xfId="3130"/>
    <cellStyle name="Обычный 33 2 2 2 2" xfId="9031"/>
    <cellStyle name="Обычный 33 2 2 2 3" xfId="9032"/>
    <cellStyle name="Обычный 33 2 2 2 4" xfId="9033"/>
    <cellStyle name="Обычный 33 2 2 2 5" xfId="9034"/>
    <cellStyle name="Обычный 33 2 2 2 6" xfId="9035"/>
    <cellStyle name="Обычный 33 2 2 3" xfId="3131"/>
    <cellStyle name="Обычный 33 2 2 3 2" xfId="9036"/>
    <cellStyle name="Обычный 33 2 2 3 3" xfId="9037"/>
    <cellStyle name="Обычный 33 2 2 3 4" xfId="9038"/>
    <cellStyle name="Обычный 33 2 2 3 5" xfId="9039"/>
    <cellStyle name="Обычный 33 2 2 3 6" xfId="9040"/>
    <cellStyle name="Обычный 33 2 2 4" xfId="3132"/>
    <cellStyle name="Обычный 33 2 2 4 2" xfId="9041"/>
    <cellStyle name="Обычный 33 2 2 4 3" xfId="9042"/>
    <cellStyle name="Обычный 33 2 2 4 4" xfId="9043"/>
    <cellStyle name="Обычный 33 2 2 4 5" xfId="9044"/>
    <cellStyle name="Обычный 33 2 2 4 6" xfId="9045"/>
    <cellStyle name="Обычный 33 2 2 5" xfId="9046"/>
    <cellStyle name="Обычный 33 2 2 6" xfId="9047"/>
    <cellStyle name="Обычный 33 2 2 7" xfId="9048"/>
    <cellStyle name="Обычный 33 2 2 8" xfId="9049"/>
    <cellStyle name="Обычный 33 2 2 9" xfId="9050"/>
    <cellStyle name="Обычный 33 2 3" xfId="3133"/>
    <cellStyle name="Обычный 33 2 3 2" xfId="9051"/>
    <cellStyle name="Обычный 33 2 3 3" xfId="9052"/>
    <cellStyle name="Обычный 33 2 3 4" xfId="9053"/>
    <cellStyle name="Обычный 33 2 3 5" xfId="9054"/>
    <cellStyle name="Обычный 33 2 3 6" xfId="9055"/>
    <cellStyle name="Обычный 33 2 4" xfId="3134"/>
    <cellStyle name="Обычный 33 2 4 2" xfId="9056"/>
    <cellStyle name="Обычный 33 2 4 3" xfId="9057"/>
    <cellStyle name="Обычный 33 2 4 4" xfId="9058"/>
    <cellStyle name="Обычный 33 2 4 5" xfId="9059"/>
    <cellStyle name="Обычный 33 2 4 6" xfId="9060"/>
    <cellStyle name="Обычный 33 2 5" xfId="3135"/>
    <cellStyle name="Обычный 33 2 5 2" xfId="9061"/>
    <cellStyle name="Обычный 33 2 5 3" xfId="9062"/>
    <cellStyle name="Обычный 33 2 5 4" xfId="9063"/>
    <cellStyle name="Обычный 33 2 5 5" xfId="9064"/>
    <cellStyle name="Обычный 33 2 5 6" xfId="9065"/>
    <cellStyle name="Обычный 33 2 6" xfId="9066"/>
    <cellStyle name="Обычный 33 2 7" xfId="9067"/>
    <cellStyle name="Обычный 33 2 8" xfId="9068"/>
    <cellStyle name="Обычный 33 2 9" xfId="9069"/>
    <cellStyle name="Обычный 33 3" xfId="3136"/>
    <cellStyle name="Обычный 33 3 10" xfId="9070"/>
    <cellStyle name="Обычный 33 3 2" xfId="3137"/>
    <cellStyle name="Обычный 33 3 2 2" xfId="3138"/>
    <cellStyle name="Обычный 33 3 2 2 2" xfId="9071"/>
    <cellStyle name="Обычный 33 3 2 2 3" xfId="9072"/>
    <cellStyle name="Обычный 33 3 2 2 4" xfId="9073"/>
    <cellStyle name="Обычный 33 3 2 2 5" xfId="9074"/>
    <cellStyle name="Обычный 33 3 2 2 6" xfId="9075"/>
    <cellStyle name="Обычный 33 3 2 3" xfId="3139"/>
    <cellStyle name="Обычный 33 3 2 3 2" xfId="9076"/>
    <cellStyle name="Обычный 33 3 2 3 3" xfId="9077"/>
    <cellStyle name="Обычный 33 3 2 3 4" xfId="9078"/>
    <cellStyle name="Обычный 33 3 2 3 5" xfId="9079"/>
    <cellStyle name="Обычный 33 3 2 3 6" xfId="9080"/>
    <cellStyle name="Обычный 33 3 2 4" xfId="3140"/>
    <cellStyle name="Обычный 33 3 2 4 2" xfId="9081"/>
    <cellStyle name="Обычный 33 3 2 4 3" xfId="9082"/>
    <cellStyle name="Обычный 33 3 2 4 4" xfId="9083"/>
    <cellStyle name="Обычный 33 3 2 4 5" xfId="9084"/>
    <cellStyle name="Обычный 33 3 2 4 6" xfId="9085"/>
    <cellStyle name="Обычный 33 3 2 5" xfId="9086"/>
    <cellStyle name="Обычный 33 3 2 6" xfId="9087"/>
    <cellStyle name="Обычный 33 3 2 7" xfId="9088"/>
    <cellStyle name="Обычный 33 3 2 8" xfId="9089"/>
    <cellStyle name="Обычный 33 3 2 9" xfId="9090"/>
    <cellStyle name="Обычный 33 3 3" xfId="3141"/>
    <cellStyle name="Обычный 33 3 3 2" xfId="9091"/>
    <cellStyle name="Обычный 33 3 3 3" xfId="9092"/>
    <cellStyle name="Обычный 33 3 3 4" xfId="9093"/>
    <cellStyle name="Обычный 33 3 3 5" xfId="9094"/>
    <cellStyle name="Обычный 33 3 3 6" xfId="9095"/>
    <cellStyle name="Обычный 33 3 4" xfId="3142"/>
    <cellStyle name="Обычный 33 3 4 2" xfId="9096"/>
    <cellStyle name="Обычный 33 3 4 3" xfId="9097"/>
    <cellStyle name="Обычный 33 3 4 4" xfId="9098"/>
    <cellStyle name="Обычный 33 3 4 5" xfId="9099"/>
    <cellStyle name="Обычный 33 3 4 6" xfId="9100"/>
    <cellStyle name="Обычный 33 3 5" xfId="3143"/>
    <cellStyle name="Обычный 33 3 5 2" xfId="9101"/>
    <cellStyle name="Обычный 33 3 5 3" xfId="9102"/>
    <cellStyle name="Обычный 33 3 5 4" xfId="9103"/>
    <cellStyle name="Обычный 33 3 5 5" xfId="9104"/>
    <cellStyle name="Обычный 33 3 5 6" xfId="9105"/>
    <cellStyle name="Обычный 33 3 6" xfId="9106"/>
    <cellStyle name="Обычный 33 3 7" xfId="9107"/>
    <cellStyle name="Обычный 33 3 8" xfId="9108"/>
    <cellStyle name="Обычный 33 3 9" xfId="9109"/>
    <cellStyle name="Обычный 33 4" xfId="3144"/>
    <cellStyle name="Обычный 33 4 2" xfId="3145"/>
    <cellStyle name="Обычный 33 4 2 2" xfId="9110"/>
    <cellStyle name="Обычный 33 4 2 3" xfId="9111"/>
    <cellStyle name="Обычный 33 4 2 4" xfId="9112"/>
    <cellStyle name="Обычный 33 4 2 5" xfId="9113"/>
    <cellStyle name="Обычный 33 4 2 6" xfId="9114"/>
    <cellStyle name="Обычный 33 4 3" xfId="3146"/>
    <cellStyle name="Обычный 33 4 3 2" xfId="9115"/>
    <cellStyle name="Обычный 33 4 3 3" xfId="9116"/>
    <cellStyle name="Обычный 33 4 3 4" xfId="9117"/>
    <cellStyle name="Обычный 33 4 3 5" xfId="9118"/>
    <cellStyle name="Обычный 33 4 3 6" xfId="9119"/>
    <cellStyle name="Обычный 33 4 4" xfId="3147"/>
    <cellStyle name="Обычный 33 4 4 2" xfId="9120"/>
    <cellStyle name="Обычный 33 4 4 3" xfId="9121"/>
    <cellStyle name="Обычный 33 4 4 4" xfId="9122"/>
    <cellStyle name="Обычный 33 4 4 5" xfId="9123"/>
    <cellStyle name="Обычный 33 4 4 6" xfId="9124"/>
    <cellStyle name="Обычный 33 4 5" xfId="9125"/>
    <cellStyle name="Обычный 33 4 6" xfId="9126"/>
    <cellStyle name="Обычный 33 4 7" xfId="9127"/>
    <cellStyle name="Обычный 33 4 8" xfId="9128"/>
    <cellStyle name="Обычный 33 4 9" xfId="9129"/>
    <cellStyle name="Обычный 33 5" xfId="3148"/>
    <cellStyle name="Обычный 33 5 2" xfId="3149"/>
    <cellStyle name="Обычный 33 5 2 2" xfId="9130"/>
    <cellStyle name="Обычный 33 5 2 3" xfId="9131"/>
    <cellStyle name="Обычный 33 5 2 4" xfId="9132"/>
    <cellStyle name="Обычный 33 5 2 5" xfId="9133"/>
    <cellStyle name="Обычный 33 5 2 6" xfId="9134"/>
    <cellStyle name="Обычный 33 5 3" xfId="3150"/>
    <cellStyle name="Обычный 33 5 3 2" xfId="9135"/>
    <cellStyle name="Обычный 33 5 3 3" xfId="9136"/>
    <cellStyle name="Обычный 33 5 3 4" xfId="9137"/>
    <cellStyle name="Обычный 33 5 3 5" xfId="9138"/>
    <cellStyle name="Обычный 33 5 3 6" xfId="9139"/>
    <cellStyle name="Обычный 33 5 4" xfId="3151"/>
    <cellStyle name="Обычный 33 5 4 2" xfId="9140"/>
    <cellStyle name="Обычный 33 5 4 3" xfId="9141"/>
    <cellStyle name="Обычный 33 5 4 4" xfId="9142"/>
    <cellStyle name="Обычный 33 5 4 5" xfId="9143"/>
    <cellStyle name="Обычный 33 5 4 6" xfId="9144"/>
    <cellStyle name="Обычный 33 5 5" xfId="9145"/>
    <cellStyle name="Обычный 33 5 6" xfId="9146"/>
    <cellStyle name="Обычный 33 5 7" xfId="9147"/>
    <cellStyle name="Обычный 33 5 8" xfId="9148"/>
    <cellStyle name="Обычный 33 5 9" xfId="9149"/>
    <cellStyle name="Обычный 33 6" xfId="3152"/>
    <cellStyle name="Обычный 33 6 2" xfId="9150"/>
    <cellStyle name="Обычный 33 6 3" xfId="9151"/>
    <cellStyle name="Обычный 33 6 4" xfId="9152"/>
    <cellStyle name="Обычный 33 6 5" xfId="9153"/>
    <cellStyle name="Обычный 33 6 6" xfId="9154"/>
    <cellStyle name="Обычный 33 7" xfId="3153"/>
    <cellStyle name="Обычный 33 7 2" xfId="9155"/>
    <cellStyle name="Обычный 33 7 3" xfId="9156"/>
    <cellStyle name="Обычный 33 7 4" xfId="9157"/>
    <cellStyle name="Обычный 33 7 5" xfId="9158"/>
    <cellStyle name="Обычный 33 7 6" xfId="9159"/>
    <cellStyle name="Обычный 33 8" xfId="3154"/>
    <cellStyle name="Обычный 33 8 2" xfId="9160"/>
    <cellStyle name="Обычный 33 8 3" xfId="9161"/>
    <cellStyle name="Обычный 33 8 4" xfId="9162"/>
    <cellStyle name="Обычный 33 8 5" xfId="9163"/>
    <cellStyle name="Обычный 33 8 6" xfId="9164"/>
    <cellStyle name="Обычный 33 9" xfId="4668"/>
    <cellStyle name="Обычный 34" xfId="3155"/>
    <cellStyle name="Обычный 34 10" xfId="9165"/>
    <cellStyle name="Обычный 34 11" xfId="9166"/>
    <cellStyle name="Обычный 34 12" xfId="9167"/>
    <cellStyle name="Обычный 34 2" xfId="3156"/>
    <cellStyle name="Обычный 34 2 10" xfId="9168"/>
    <cellStyle name="Обычный 34 2 2" xfId="3157"/>
    <cellStyle name="Обычный 34 2 2 2" xfId="3158"/>
    <cellStyle name="Обычный 34 2 2 2 2" xfId="9169"/>
    <cellStyle name="Обычный 34 2 2 2 3" xfId="9170"/>
    <cellStyle name="Обычный 34 2 2 2 4" xfId="9171"/>
    <cellStyle name="Обычный 34 2 2 2 5" xfId="9172"/>
    <cellStyle name="Обычный 34 2 2 2 6" xfId="9173"/>
    <cellStyle name="Обычный 34 2 2 3" xfId="3159"/>
    <cellStyle name="Обычный 34 2 2 3 2" xfId="9174"/>
    <cellStyle name="Обычный 34 2 2 3 3" xfId="9175"/>
    <cellStyle name="Обычный 34 2 2 3 4" xfId="9176"/>
    <cellStyle name="Обычный 34 2 2 3 5" xfId="9177"/>
    <cellStyle name="Обычный 34 2 2 3 6" xfId="9178"/>
    <cellStyle name="Обычный 34 2 2 4" xfId="3160"/>
    <cellStyle name="Обычный 34 2 2 4 2" xfId="9179"/>
    <cellStyle name="Обычный 34 2 2 4 3" xfId="9180"/>
    <cellStyle name="Обычный 34 2 2 4 4" xfId="9181"/>
    <cellStyle name="Обычный 34 2 2 4 5" xfId="9182"/>
    <cellStyle name="Обычный 34 2 2 4 6" xfId="9183"/>
    <cellStyle name="Обычный 34 2 2 5" xfId="9184"/>
    <cellStyle name="Обычный 34 2 2 6" xfId="9185"/>
    <cellStyle name="Обычный 34 2 2 7" xfId="9186"/>
    <cellStyle name="Обычный 34 2 2 8" xfId="9187"/>
    <cellStyle name="Обычный 34 2 2 9" xfId="9188"/>
    <cellStyle name="Обычный 34 2 3" xfId="3161"/>
    <cellStyle name="Обычный 34 2 3 2" xfId="9189"/>
    <cellStyle name="Обычный 34 2 3 3" xfId="9190"/>
    <cellStyle name="Обычный 34 2 3 4" xfId="9191"/>
    <cellStyle name="Обычный 34 2 3 5" xfId="9192"/>
    <cellStyle name="Обычный 34 2 3 6" xfId="9193"/>
    <cellStyle name="Обычный 34 2 4" xfId="3162"/>
    <cellStyle name="Обычный 34 2 4 2" xfId="9194"/>
    <cellStyle name="Обычный 34 2 4 3" xfId="9195"/>
    <cellStyle name="Обычный 34 2 4 4" xfId="9196"/>
    <cellStyle name="Обычный 34 2 4 5" xfId="9197"/>
    <cellStyle name="Обычный 34 2 4 6" xfId="9198"/>
    <cellStyle name="Обычный 34 2 5" xfId="3163"/>
    <cellStyle name="Обычный 34 2 5 2" xfId="9199"/>
    <cellStyle name="Обычный 34 2 5 3" xfId="9200"/>
    <cellStyle name="Обычный 34 2 5 4" xfId="9201"/>
    <cellStyle name="Обычный 34 2 5 5" xfId="9202"/>
    <cellStyle name="Обычный 34 2 5 6" xfId="9203"/>
    <cellStyle name="Обычный 34 2 6" xfId="9204"/>
    <cellStyle name="Обычный 34 2 7" xfId="9205"/>
    <cellStyle name="Обычный 34 2 8" xfId="9206"/>
    <cellStyle name="Обычный 34 2 9" xfId="9207"/>
    <cellStyle name="Обычный 34 3" xfId="3164"/>
    <cellStyle name="Обычный 34 3 2" xfId="3165"/>
    <cellStyle name="Обычный 34 3 2 2" xfId="9208"/>
    <cellStyle name="Обычный 34 3 2 3" xfId="9209"/>
    <cellStyle name="Обычный 34 3 2 4" xfId="9210"/>
    <cellStyle name="Обычный 34 3 2 5" xfId="9211"/>
    <cellStyle name="Обычный 34 3 2 6" xfId="9212"/>
    <cellStyle name="Обычный 34 3 3" xfId="3166"/>
    <cellStyle name="Обычный 34 3 3 2" xfId="9213"/>
    <cellStyle name="Обычный 34 3 3 3" xfId="9214"/>
    <cellStyle name="Обычный 34 3 3 4" xfId="9215"/>
    <cellStyle name="Обычный 34 3 3 5" xfId="9216"/>
    <cellStyle name="Обычный 34 3 3 6" xfId="9217"/>
    <cellStyle name="Обычный 34 3 4" xfId="3167"/>
    <cellStyle name="Обычный 34 3 4 2" xfId="9218"/>
    <cellStyle name="Обычный 34 3 4 3" xfId="9219"/>
    <cellStyle name="Обычный 34 3 4 4" xfId="9220"/>
    <cellStyle name="Обычный 34 3 4 5" xfId="9221"/>
    <cellStyle name="Обычный 34 3 4 6" xfId="9222"/>
    <cellStyle name="Обычный 34 3 5" xfId="9223"/>
    <cellStyle name="Обычный 34 3 6" xfId="9224"/>
    <cellStyle name="Обычный 34 3 7" xfId="9225"/>
    <cellStyle name="Обычный 34 3 8" xfId="9226"/>
    <cellStyle name="Обычный 34 3 9" xfId="9227"/>
    <cellStyle name="Обычный 34 4" xfId="3168"/>
    <cellStyle name="Обычный 34 4 2" xfId="3169"/>
    <cellStyle name="Обычный 34 4 2 2" xfId="9228"/>
    <cellStyle name="Обычный 34 4 2 3" xfId="9229"/>
    <cellStyle name="Обычный 34 4 2 4" xfId="9230"/>
    <cellStyle name="Обычный 34 4 2 5" xfId="9231"/>
    <cellStyle name="Обычный 34 4 2 6" xfId="9232"/>
    <cellStyle name="Обычный 34 4 3" xfId="3170"/>
    <cellStyle name="Обычный 34 4 3 2" xfId="9233"/>
    <cellStyle name="Обычный 34 4 3 3" xfId="9234"/>
    <cellStyle name="Обычный 34 4 3 4" xfId="9235"/>
    <cellStyle name="Обычный 34 4 3 5" xfId="9236"/>
    <cellStyle name="Обычный 34 4 3 6" xfId="9237"/>
    <cellStyle name="Обычный 34 4 4" xfId="3171"/>
    <cellStyle name="Обычный 34 4 4 2" xfId="9238"/>
    <cellStyle name="Обычный 34 4 4 3" xfId="9239"/>
    <cellStyle name="Обычный 34 4 4 4" xfId="9240"/>
    <cellStyle name="Обычный 34 4 4 5" xfId="9241"/>
    <cellStyle name="Обычный 34 4 4 6" xfId="9242"/>
    <cellStyle name="Обычный 34 4 5" xfId="9243"/>
    <cellStyle name="Обычный 34 4 6" xfId="9244"/>
    <cellStyle name="Обычный 34 4 7" xfId="9245"/>
    <cellStyle name="Обычный 34 4 8" xfId="9246"/>
    <cellStyle name="Обычный 34 4 9" xfId="9247"/>
    <cellStyle name="Обычный 34 5" xfId="3172"/>
    <cellStyle name="Обычный 34 5 2" xfId="9248"/>
    <cellStyle name="Обычный 34 5 3" xfId="9249"/>
    <cellStyle name="Обычный 34 5 4" xfId="9250"/>
    <cellStyle name="Обычный 34 5 5" xfId="9251"/>
    <cellStyle name="Обычный 34 5 6" xfId="9252"/>
    <cellStyle name="Обычный 34 6" xfId="3173"/>
    <cellStyle name="Обычный 34 6 2" xfId="9253"/>
    <cellStyle name="Обычный 34 6 3" xfId="9254"/>
    <cellStyle name="Обычный 34 6 4" xfId="9255"/>
    <cellStyle name="Обычный 34 6 5" xfId="9256"/>
    <cellStyle name="Обычный 34 6 6" xfId="9257"/>
    <cellStyle name="Обычный 34 7" xfId="3174"/>
    <cellStyle name="Обычный 34 7 2" xfId="9258"/>
    <cellStyle name="Обычный 34 7 3" xfId="9259"/>
    <cellStyle name="Обычный 34 7 4" xfId="9260"/>
    <cellStyle name="Обычный 34 7 5" xfId="9261"/>
    <cellStyle name="Обычный 34 7 6" xfId="9262"/>
    <cellStyle name="Обычный 34 8" xfId="5289"/>
    <cellStyle name="Обычный 34 9" xfId="9263"/>
    <cellStyle name="Обычный 35" xfId="3175"/>
    <cellStyle name="Обычный 35 10" xfId="9264"/>
    <cellStyle name="Обычный 35 11" xfId="9265"/>
    <cellStyle name="Обычный 35 12" xfId="9266"/>
    <cellStyle name="Обычный 35 13" xfId="9267"/>
    <cellStyle name="Обычный 35 14" xfId="9268"/>
    <cellStyle name="Обычный 35 2" xfId="3176"/>
    <cellStyle name="Обычный 35 2 10" xfId="9269"/>
    <cellStyle name="Обычный 35 2 2" xfId="3177"/>
    <cellStyle name="Обычный 35 2 2 2" xfId="3178"/>
    <cellStyle name="Обычный 35 2 2 2 2" xfId="9270"/>
    <cellStyle name="Обычный 35 2 2 2 3" xfId="9271"/>
    <cellStyle name="Обычный 35 2 2 2 4" xfId="9272"/>
    <cellStyle name="Обычный 35 2 2 2 5" xfId="9273"/>
    <cellStyle name="Обычный 35 2 2 2 6" xfId="9274"/>
    <cellStyle name="Обычный 35 2 2 3" xfId="3179"/>
    <cellStyle name="Обычный 35 2 2 3 2" xfId="9275"/>
    <cellStyle name="Обычный 35 2 2 3 3" xfId="9276"/>
    <cellStyle name="Обычный 35 2 2 3 4" xfId="9277"/>
    <cellStyle name="Обычный 35 2 2 3 5" xfId="9278"/>
    <cellStyle name="Обычный 35 2 2 3 6" xfId="9279"/>
    <cellStyle name="Обычный 35 2 2 4" xfId="3180"/>
    <cellStyle name="Обычный 35 2 2 4 2" xfId="9280"/>
    <cellStyle name="Обычный 35 2 2 4 3" xfId="9281"/>
    <cellStyle name="Обычный 35 2 2 4 4" xfId="9282"/>
    <cellStyle name="Обычный 35 2 2 4 5" xfId="9283"/>
    <cellStyle name="Обычный 35 2 2 4 6" xfId="9284"/>
    <cellStyle name="Обычный 35 2 2 5" xfId="9285"/>
    <cellStyle name="Обычный 35 2 2 6" xfId="9286"/>
    <cellStyle name="Обычный 35 2 2 7" xfId="9287"/>
    <cellStyle name="Обычный 35 2 2 8" xfId="9288"/>
    <cellStyle name="Обычный 35 2 2 9" xfId="9289"/>
    <cellStyle name="Обычный 35 2 3" xfId="3181"/>
    <cellStyle name="Обычный 35 2 3 2" xfId="9290"/>
    <cellStyle name="Обычный 35 2 3 3" xfId="9291"/>
    <cellStyle name="Обычный 35 2 3 4" xfId="9292"/>
    <cellStyle name="Обычный 35 2 3 5" xfId="9293"/>
    <cellStyle name="Обычный 35 2 3 6" xfId="9294"/>
    <cellStyle name="Обычный 35 2 4" xfId="3182"/>
    <cellStyle name="Обычный 35 2 4 2" xfId="9295"/>
    <cellStyle name="Обычный 35 2 4 3" xfId="9296"/>
    <cellStyle name="Обычный 35 2 4 4" xfId="9297"/>
    <cellStyle name="Обычный 35 2 4 5" xfId="9298"/>
    <cellStyle name="Обычный 35 2 4 6" xfId="9299"/>
    <cellStyle name="Обычный 35 2 5" xfId="3183"/>
    <cellStyle name="Обычный 35 2 5 2" xfId="9300"/>
    <cellStyle name="Обычный 35 2 5 3" xfId="9301"/>
    <cellStyle name="Обычный 35 2 5 4" xfId="9302"/>
    <cellStyle name="Обычный 35 2 5 5" xfId="9303"/>
    <cellStyle name="Обычный 35 2 5 6" xfId="9304"/>
    <cellStyle name="Обычный 35 2 6" xfId="9305"/>
    <cellStyle name="Обычный 35 2 7" xfId="9306"/>
    <cellStyle name="Обычный 35 2 8" xfId="9307"/>
    <cellStyle name="Обычный 35 2 9" xfId="9308"/>
    <cellStyle name="Обычный 35 3" xfId="3184"/>
    <cellStyle name="Обычный 35 3 2" xfId="3185"/>
    <cellStyle name="Обычный 35 3 2 2" xfId="9309"/>
    <cellStyle name="Обычный 35 3 2 3" xfId="9310"/>
    <cellStyle name="Обычный 35 3 2 4" xfId="9311"/>
    <cellStyle name="Обычный 35 3 2 5" xfId="9312"/>
    <cellStyle name="Обычный 35 3 2 6" xfId="9313"/>
    <cellStyle name="Обычный 35 3 3" xfId="3186"/>
    <cellStyle name="Обычный 35 3 3 2" xfId="9314"/>
    <cellStyle name="Обычный 35 3 3 3" xfId="9315"/>
    <cellStyle name="Обычный 35 3 3 4" xfId="9316"/>
    <cellStyle name="Обычный 35 3 3 5" xfId="9317"/>
    <cellStyle name="Обычный 35 3 3 6" xfId="9318"/>
    <cellStyle name="Обычный 35 3 4" xfId="3187"/>
    <cellStyle name="Обычный 35 3 4 2" xfId="9319"/>
    <cellStyle name="Обычный 35 3 4 3" xfId="9320"/>
    <cellStyle name="Обычный 35 3 4 4" xfId="9321"/>
    <cellStyle name="Обычный 35 3 4 5" xfId="9322"/>
    <cellStyle name="Обычный 35 3 4 6" xfId="9323"/>
    <cellStyle name="Обычный 35 3 5" xfId="9324"/>
    <cellStyle name="Обычный 35 3 6" xfId="9325"/>
    <cellStyle name="Обычный 35 3 7" xfId="9326"/>
    <cellStyle name="Обычный 35 3 8" xfId="9327"/>
    <cellStyle name="Обычный 35 3 9" xfId="9328"/>
    <cellStyle name="Обычный 35 4" xfId="3188"/>
    <cellStyle name="Обычный 35 4 2" xfId="3189"/>
    <cellStyle name="Обычный 35 4 2 2" xfId="9329"/>
    <cellStyle name="Обычный 35 4 2 3" xfId="9330"/>
    <cellStyle name="Обычный 35 4 2 4" xfId="9331"/>
    <cellStyle name="Обычный 35 4 2 5" xfId="9332"/>
    <cellStyle name="Обычный 35 4 2 6" xfId="9333"/>
    <cellStyle name="Обычный 35 4 3" xfId="3190"/>
    <cellStyle name="Обычный 35 4 3 2" xfId="9334"/>
    <cellStyle name="Обычный 35 4 3 3" xfId="9335"/>
    <cellStyle name="Обычный 35 4 3 4" xfId="9336"/>
    <cellStyle name="Обычный 35 4 3 5" xfId="9337"/>
    <cellStyle name="Обычный 35 4 3 6" xfId="9338"/>
    <cellStyle name="Обычный 35 4 4" xfId="3191"/>
    <cellStyle name="Обычный 35 4 4 2" xfId="9339"/>
    <cellStyle name="Обычный 35 4 4 3" xfId="9340"/>
    <cellStyle name="Обычный 35 4 4 4" xfId="9341"/>
    <cellStyle name="Обычный 35 4 4 5" xfId="9342"/>
    <cellStyle name="Обычный 35 4 4 6" xfId="9343"/>
    <cellStyle name="Обычный 35 4 5" xfId="9344"/>
    <cellStyle name="Обычный 35 4 6" xfId="9345"/>
    <cellStyle name="Обычный 35 4 7" xfId="9346"/>
    <cellStyle name="Обычный 35 4 8" xfId="9347"/>
    <cellStyle name="Обычный 35 4 9" xfId="9348"/>
    <cellStyle name="Обычный 35 5" xfId="3192"/>
    <cellStyle name="Обычный 35 5 2" xfId="3193"/>
    <cellStyle name="Обычный 35 5 2 2" xfId="9349"/>
    <cellStyle name="Обычный 35 5 2 3" xfId="9350"/>
    <cellStyle name="Обычный 35 5 2 4" xfId="9351"/>
    <cellStyle name="Обычный 35 5 2 5" xfId="9352"/>
    <cellStyle name="Обычный 35 5 2 6" xfId="9353"/>
    <cellStyle name="Обычный 35 5 3" xfId="3194"/>
    <cellStyle name="Обычный 35 5 3 2" xfId="9354"/>
    <cellStyle name="Обычный 35 5 3 3" xfId="9355"/>
    <cellStyle name="Обычный 35 5 3 4" xfId="9356"/>
    <cellStyle name="Обычный 35 5 3 5" xfId="9357"/>
    <cellStyle name="Обычный 35 5 3 6" xfId="9358"/>
    <cellStyle name="Обычный 35 5 4" xfId="3195"/>
    <cellStyle name="Обычный 35 5 4 2" xfId="9359"/>
    <cellStyle name="Обычный 35 5 4 3" xfId="9360"/>
    <cellStyle name="Обычный 35 5 4 4" xfId="9361"/>
    <cellStyle name="Обычный 35 5 4 5" xfId="9362"/>
    <cellStyle name="Обычный 35 5 4 6" xfId="9363"/>
    <cellStyle name="Обычный 35 5 5" xfId="9364"/>
    <cellStyle name="Обычный 35 5 6" xfId="9365"/>
    <cellStyle name="Обычный 35 5 7" xfId="9366"/>
    <cellStyle name="Обычный 35 5 8" xfId="9367"/>
    <cellStyle name="Обычный 35 5 9" xfId="9368"/>
    <cellStyle name="Обычный 35 6" xfId="3196"/>
    <cellStyle name="Обычный 35 6 2" xfId="9369"/>
    <cellStyle name="Обычный 35 6 3" xfId="9370"/>
    <cellStyle name="Обычный 35 6 4" xfId="9371"/>
    <cellStyle name="Обычный 35 6 5" xfId="9372"/>
    <cellStyle name="Обычный 35 6 6" xfId="9373"/>
    <cellStyle name="Обычный 35 7" xfId="3197"/>
    <cellStyle name="Обычный 35 7 2" xfId="9374"/>
    <cellStyle name="Обычный 35 7 3" xfId="9375"/>
    <cellStyle name="Обычный 35 7 4" xfId="9376"/>
    <cellStyle name="Обычный 35 7 5" xfId="9377"/>
    <cellStyle name="Обычный 35 7 6" xfId="9378"/>
    <cellStyle name="Обычный 35 8" xfId="3198"/>
    <cellStyle name="Обычный 35 8 2" xfId="9379"/>
    <cellStyle name="Обычный 35 8 3" xfId="9380"/>
    <cellStyle name="Обычный 35 8 4" xfId="9381"/>
    <cellStyle name="Обычный 35 8 5" xfId="9382"/>
    <cellStyle name="Обычный 35 8 6" xfId="9383"/>
    <cellStyle name="Обычный 35 9" xfId="5290"/>
    <cellStyle name="Обычный 36" xfId="3199"/>
    <cellStyle name="Обычный 36 2" xfId="3200"/>
    <cellStyle name="Обычный 36 2 2" xfId="3201"/>
    <cellStyle name="Обычный 36 2 2 2" xfId="9384"/>
    <cellStyle name="Обычный 36 2 2 3" xfId="9385"/>
    <cellStyle name="Обычный 36 2 2 4" xfId="9386"/>
    <cellStyle name="Обычный 36 2 2 5" xfId="9387"/>
    <cellStyle name="Обычный 36 2 2 6" xfId="9388"/>
    <cellStyle name="Обычный 36 2 3" xfId="3202"/>
    <cellStyle name="Обычный 36 2 3 2" xfId="9389"/>
    <cellStyle name="Обычный 36 2 3 3" xfId="9390"/>
    <cellStyle name="Обычный 36 2 3 4" xfId="9391"/>
    <cellStyle name="Обычный 36 2 3 5" xfId="9392"/>
    <cellStyle name="Обычный 36 2 3 6" xfId="9393"/>
    <cellStyle name="Обычный 36 2 4" xfId="3203"/>
    <cellStyle name="Обычный 36 2 4 2" xfId="9394"/>
    <cellStyle name="Обычный 36 2 4 3" xfId="9395"/>
    <cellStyle name="Обычный 36 2 4 4" xfId="9396"/>
    <cellStyle name="Обычный 36 2 4 5" xfId="9397"/>
    <cellStyle name="Обычный 36 2 4 6" xfId="9398"/>
    <cellStyle name="Обычный 36 2 5" xfId="9399"/>
    <cellStyle name="Обычный 36 2 6" xfId="9400"/>
    <cellStyle name="Обычный 36 2 7" xfId="9401"/>
    <cellStyle name="Обычный 36 2 8" xfId="9402"/>
    <cellStyle name="Обычный 36 2 9" xfId="9403"/>
    <cellStyle name="Обычный 36 3" xfId="3204"/>
    <cellStyle name="Обычный 36 3 2" xfId="3205"/>
    <cellStyle name="Обычный 36 3 2 2" xfId="9404"/>
    <cellStyle name="Обычный 36 3 2 3" xfId="9405"/>
    <cellStyle name="Обычный 36 3 2 4" xfId="9406"/>
    <cellStyle name="Обычный 36 3 2 5" xfId="9407"/>
    <cellStyle name="Обычный 36 3 2 6" xfId="9408"/>
    <cellStyle name="Обычный 36 3 3" xfId="3206"/>
    <cellStyle name="Обычный 36 3 3 2" xfId="9409"/>
    <cellStyle name="Обычный 36 3 3 3" xfId="9410"/>
    <cellStyle name="Обычный 36 3 3 4" xfId="9411"/>
    <cellStyle name="Обычный 36 3 3 5" xfId="9412"/>
    <cellStyle name="Обычный 36 3 3 6" xfId="9413"/>
    <cellStyle name="Обычный 36 3 4" xfId="3207"/>
    <cellStyle name="Обычный 36 3 4 2" xfId="9414"/>
    <cellStyle name="Обычный 36 3 4 3" xfId="9415"/>
    <cellStyle name="Обычный 36 3 4 4" xfId="9416"/>
    <cellStyle name="Обычный 36 3 4 5" xfId="9417"/>
    <cellStyle name="Обычный 36 3 4 6" xfId="9418"/>
    <cellStyle name="Обычный 36 3 5" xfId="9419"/>
    <cellStyle name="Обычный 36 3 6" xfId="9420"/>
    <cellStyle name="Обычный 36 3 7" xfId="9421"/>
    <cellStyle name="Обычный 36 3 8" xfId="9422"/>
    <cellStyle name="Обычный 36 3 9" xfId="9423"/>
    <cellStyle name="Обычный 36 4" xfId="5291"/>
    <cellStyle name="Обычный 37" xfId="3208"/>
    <cellStyle name="Обычный 37 2" xfId="3209"/>
    <cellStyle name="Обычный 37 2 2" xfId="3210"/>
    <cellStyle name="Обычный 37 2 2 2" xfId="9424"/>
    <cellStyle name="Обычный 37 2 2 3" xfId="9425"/>
    <cellStyle name="Обычный 37 2 2 4" xfId="9426"/>
    <cellStyle name="Обычный 37 2 2 5" xfId="9427"/>
    <cellStyle name="Обычный 37 2 2 6" xfId="9428"/>
    <cellStyle name="Обычный 37 2 3" xfId="3211"/>
    <cellStyle name="Обычный 37 2 3 2" xfId="9429"/>
    <cellStyle name="Обычный 37 2 3 3" xfId="9430"/>
    <cellStyle name="Обычный 37 2 3 4" xfId="9431"/>
    <cellStyle name="Обычный 37 2 3 5" xfId="9432"/>
    <cellStyle name="Обычный 37 2 3 6" xfId="9433"/>
    <cellStyle name="Обычный 37 2 4" xfId="3212"/>
    <cellStyle name="Обычный 37 2 4 2" xfId="9434"/>
    <cellStyle name="Обычный 37 2 4 3" xfId="9435"/>
    <cellStyle name="Обычный 37 2 4 4" xfId="9436"/>
    <cellStyle name="Обычный 37 2 4 5" xfId="9437"/>
    <cellStyle name="Обычный 37 2 4 6" xfId="9438"/>
    <cellStyle name="Обычный 37 2 5" xfId="9439"/>
    <cellStyle name="Обычный 37 2 6" xfId="9440"/>
    <cellStyle name="Обычный 37 2 7" xfId="9441"/>
    <cellStyle name="Обычный 37 2 8" xfId="9442"/>
    <cellStyle name="Обычный 37 2 9" xfId="9443"/>
    <cellStyle name="Обычный 37 3" xfId="5292"/>
    <cellStyle name="Обычный 38" xfId="3213"/>
    <cellStyle name="Обычный 38 2" xfId="3214"/>
    <cellStyle name="Обычный 38 2 2" xfId="3215"/>
    <cellStyle name="Обычный 38 2 2 2" xfId="9444"/>
    <cellStyle name="Обычный 38 2 2 3" xfId="9445"/>
    <cellStyle name="Обычный 38 2 2 4" xfId="9446"/>
    <cellStyle name="Обычный 38 2 2 5" xfId="9447"/>
    <cellStyle name="Обычный 38 2 2 6" xfId="9448"/>
    <cellStyle name="Обычный 38 2 3" xfId="3216"/>
    <cellStyle name="Обычный 38 2 3 2" xfId="9449"/>
    <cellStyle name="Обычный 38 2 3 3" xfId="9450"/>
    <cellStyle name="Обычный 38 2 3 4" xfId="9451"/>
    <cellStyle name="Обычный 38 2 3 5" xfId="9452"/>
    <cellStyle name="Обычный 38 2 3 6" xfId="9453"/>
    <cellStyle name="Обычный 38 2 4" xfId="3217"/>
    <cellStyle name="Обычный 38 2 4 2" xfId="9454"/>
    <cellStyle name="Обычный 38 2 4 3" xfId="9455"/>
    <cellStyle name="Обычный 38 2 4 4" xfId="9456"/>
    <cellStyle name="Обычный 38 2 4 5" xfId="9457"/>
    <cellStyle name="Обычный 38 2 4 6" xfId="9458"/>
    <cellStyle name="Обычный 38 2 5" xfId="9459"/>
    <cellStyle name="Обычный 38 2 6" xfId="9460"/>
    <cellStyle name="Обычный 38 2 7" xfId="9461"/>
    <cellStyle name="Обычный 38 2 8" xfId="9462"/>
    <cellStyle name="Обычный 38 2 9" xfId="9463"/>
    <cellStyle name="Обычный 38 3" xfId="3218"/>
    <cellStyle name="Обычный 38 3 2" xfId="3219"/>
    <cellStyle name="Обычный 38 3 2 2" xfId="9464"/>
    <cellStyle name="Обычный 38 3 2 3" xfId="9465"/>
    <cellStyle name="Обычный 38 3 2 4" xfId="9466"/>
    <cellStyle name="Обычный 38 3 2 5" xfId="9467"/>
    <cellStyle name="Обычный 38 3 2 6" xfId="9468"/>
    <cellStyle name="Обычный 38 3 3" xfId="3220"/>
    <cellStyle name="Обычный 38 3 3 2" xfId="9469"/>
    <cellStyle name="Обычный 38 3 3 3" xfId="9470"/>
    <cellStyle name="Обычный 38 3 3 4" xfId="9471"/>
    <cellStyle name="Обычный 38 3 3 5" xfId="9472"/>
    <cellStyle name="Обычный 38 3 3 6" xfId="9473"/>
    <cellStyle name="Обычный 38 3 4" xfId="3221"/>
    <cellStyle name="Обычный 38 3 4 2" xfId="9474"/>
    <cellStyle name="Обычный 38 3 4 3" xfId="9475"/>
    <cellStyle name="Обычный 38 3 4 4" xfId="9476"/>
    <cellStyle name="Обычный 38 3 4 5" xfId="9477"/>
    <cellStyle name="Обычный 38 3 4 6" xfId="9478"/>
    <cellStyle name="Обычный 38 3 5" xfId="9479"/>
    <cellStyle name="Обычный 38 3 6" xfId="9480"/>
    <cellStyle name="Обычный 38 3 7" xfId="9481"/>
    <cellStyle name="Обычный 38 3 8" xfId="9482"/>
    <cellStyle name="Обычный 38 3 9" xfId="9483"/>
    <cellStyle name="Обычный 38 4" xfId="5293"/>
    <cellStyle name="Обычный 39" xfId="3222"/>
    <cellStyle name="Обычный 39 2" xfId="3223"/>
    <cellStyle name="Обычный 39 2 2" xfId="3224"/>
    <cellStyle name="Обычный 39 2 2 2" xfId="9484"/>
    <cellStyle name="Обычный 39 2 2 3" xfId="9485"/>
    <cellStyle name="Обычный 39 2 2 4" xfId="9486"/>
    <cellStyle name="Обычный 39 2 2 5" xfId="9487"/>
    <cellStyle name="Обычный 39 2 2 6" xfId="9488"/>
    <cellStyle name="Обычный 39 2 3" xfId="3225"/>
    <cellStyle name="Обычный 39 2 3 2" xfId="9489"/>
    <cellStyle name="Обычный 39 2 3 3" xfId="9490"/>
    <cellStyle name="Обычный 39 2 3 4" xfId="9491"/>
    <cellStyle name="Обычный 39 2 3 5" xfId="9492"/>
    <cellStyle name="Обычный 39 2 3 6" xfId="9493"/>
    <cellStyle name="Обычный 39 2 4" xfId="3226"/>
    <cellStyle name="Обычный 39 2 4 2" xfId="9494"/>
    <cellStyle name="Обычный 39 2 4 3" xfId="9495"/>
    <cellStyle name="Обычный 39 2 4 4" xfId="9496"/>
    <cellStyle name="Обычный 39 2 4 5" xfId="9497"/>
    <cellStyle name="Обычный 39 2 4 6" xfId="9498"/>
    <cellStyle name="Обычный 39 2 5" xfId="9499"/>
    <cellStyle name="Обычный 39 2 6" xfId="9500"/>
    <cellStyle name="Обычный 39 2 7" xfId="9501"/>
    <cellStyle name="Обычный 39 2 8" xfId="9502"/>
    <cellStyle name="Обычный 39 2 9" xfId="9503"/>
    <cellStyle name="Обычный 39 3" xfId="3227"/>
    <cellStyle name="Обычный 39 3 2" xfId="3228"/>
    <cellStyle name="Обычный 39 3 2 2" xfId="9504"/>
    <cellStyle name="Обычный 39 3 2 3" xfId="9505"/>
    <cellStyle name="Обычный 39 3 2 4" xfId="9506"/>
    <cellStyle name="Обычный 39 3 2 5" xfId="9507"/>
    <cellStyle name="Обычный 39 3 2 6" xfId="9508"/>
    <cellStyle name="Обычный 39 3 3" xfId="3229"/>
    <cellStyle name="Обычный 39 3 3 2" xfId="9509"/>
    <cellStyle name="Обычный 39 3 3 3" xfId="9510"/>
    <cellStyle name="Обычный 39 3 3 4" xfId="9511"/>
    <cellStyle name="Обычный 39 3 3 5" xfId="9512"/>
    <cellStyle name="Обычный 39 3 3 6" xfId="9513"/>
    <cellStyle name="Обычный 39 3 4" xfId="3230"/>
    <cellStyle name="Обычный 39 3 4 2" xfId="9514"/>
    <cellStyle name="Обычный 39 3 4 3" xfId="9515"/>
    <cellStyle name="Обычный 39 3 4 4" xfId="9516"/>
    <cellStyle name="Обычный 39 3 4 5" xfId="9517"/>
    <cellStyle name="Обычный 39 3 4 6" xfId="9518"/>
    <cellStyle name="Обычный 39 3 5" xfId="9519"/>
    <cellStyle name="Обычный 39 3 6" xfId="9520"/>
    <cellStyle name="Обычный 39 3 7" xfId="9521"/>
    <cellStyle name="Обычный 39 3 8" xfId="9522"/>
    <cellStyle name="Обычный 39 3 9" xfId="9523"/>
    <cellStyle name="Обычный 39 4" xfId="5294"/>
    <cellStyle name="Обычный 4" xfId="3231"/>
    <cellStyle name="Обычный 4 2" xfId="3232"/>
    <cellStyle name="Обычный 4 2 2" xfId="3233"/>
    <cellStyle name="Обычный 4 2 3" xfId="5295"/>
    <cellStyle name="Обычный 4 2_46EP.2012(v0.1)" xfId="3234"/>
    <cellStyle name="Обычный 4 3" xfId="3235"/>
    <cellStyle name="Обычный 4 3 10" xfId="9524"/>
    <cellStyle name="Обычный 4 3 11" xfId="9525"/>
    <cellStyle name="Обычный 4 3 12" xfId="9526"/>
    <cellStyle name="Обычный 4 3 2" xfId="3236"/>
    <cellStyle name="Обычный 4 3 2 10" xfId="9527"/>
    <cellStyle name="Обычный 4 3 2 2" xfId="3237"/>
    <cellStyle name="Обычный 4 3 2 2 2" xfId="3238"/>
    <cellStyle name="Обычный 4 3 2 2 2 2" xfId="9528"/>
    <cellStyle name="Обычный 4 3 2 2 2 3" xfId="9529"/>
    <cellStyle name="Обычный 4 3 2 2 2 4" xfId="9530"/>
    <cellStyle name="Обычный 4 3 2 2 2 5" xfId="9531"/>
    <cellStyle name="Обычный 4 3 2 2 2 6" xfId="9532"/>
    <cellStyle name="Обычный 4 3 2 2 3" xfId="3239"/>
    <cellStyle name="Обычный 4 3 2 2 3 2" xfId="9533"/>
    <cellStyle name="Обычный 4 3 2 2 3 3" xfId="9534"/>
    <cellStyle name="Обычный 4 3 2 2 3 4" xfId="9535"/>
    <cellStyle name="Обычный 4 3 2 2 3 5" xfId="9536"/>
    <cellStyle name="Обычный 4 3 2 2 3 6" xfId="9537"/>
    <cellStyle name="Обычный 4 3 2 2 4" xfId="3240"/>
    <cellStyle name="Обычный 4 3 2 2 4 2" xfId="9538"/>
    <cellStyle name="Обычный 4 3 2 2 4 3" xfId="9539"/>
    <cellStyle name="Обычный 4 3 2 2 4 4" xfId="9540"/>
    <cellStyle name="Обычный 4 3 2 2 4 5" xfId="9541"/>
    <cellStyle name="Обычный 4 3 2 2 4 6" xfId="9542"/>
    <cellStyle name="Обычный 4 3 2 2 5" xfId="9543"/>
    <cellStyle name="Обычный 4 3 2 2 6" xfId="9544"/>
    <cellStyle name="Обычный 4 3 2 2 7" xfId="9545"/>
    <cellStyle name="Обычный 4 3 2 2 8" xfId="9546"/>
    <cellStyle name="Обычный 4 3 2 2 9" xfId="9547"/>
    <cellStyle name="Обычный 4 3 2 3" xfId="3241"/>
    <cellStyle name="Обычный 4 3 2 3 2" xfId="9548"/>
    <cellStyle name="Обычный 4 3 2 3 3" xfId="9549"/>
    <cellStyle name="Обычный 4 3 2 3 4" xfId="9550"/>
    <cellStyle name="Обычный 4 3 2 3 5" xfId="9551"/>
    <cellStyle name="Обычный 4 3 2 3 6" xfId="9552"/>
    <cellStyle name="Обычный 4 3 2 4" xfId="3242"/>
    <cellStyle name="Обычный 4 3 2 4 2" xfId="9553"/>
    <cellStyle name="Обычный 4 3 2 4 3" xfId="9554"/>
    <cellStyle name="Обычный 4 3 2 4 4" xfId="9555"/>
    <cellStyle name="Обычный 4 3 2 4 5" xfId="9556"/>
    <cellStyle name="Обычный 4 3 2 4 6" xfId="9557"/>
    <cellStyle name="Обычный 4 3 2 5" xfId="3243"/>
    <cellStyle name="Обычный 4 3 2 5 2" xfId="9558"/>
    <cellStyle name="Обычный 4 3 2 5 3" xfId="9559"/>
    <cellStyle name="Обычный 4 3 2 5 4" xfId="9560"/>
    <cellStyle name="Обычный 4 3 2 5 5" xfId="9561"/>
    <cellStyle name="Обычный 4 3 2 5 6" xfId="9562"/>
    <cellStyle name="Обычный 4 3 2 6" xfId="9563"/>
    <cellStyle name="Обычный 4 3 2 7" xfId="9564"/>
    <cellStyle name="Обычный 4 3 2 8" xfId="9565"/>
    <cellStyle name="Обычный 4 3 2 9" xfId="9566"/>
    <cellStyle name="Обычный 4 3 3" xfId="3244"/>
    <cellStyle name="Обычный 4 3 3 10" xfId="9567"/>
    <cellStyle name="Обычный 4 3 3 2" xfId="3245"/>
    <cellStyle name="Обычный 4 3 3 2 2" xfId="3246"/>
    <cellStyle name="Обычный 4 3 3 2 2 2" xfId="9568"/>
    <cellStyle name="Обычный 4 3 3 2 2 3" xfId="9569"/>
    <cellStyle name="Обычный 4 3 3 2 2 4" xfId="9570"/>
    <cellStyle name="Обычный 4 3 3 2 2 5" xfId="9571"/>
    <cellStyle name="Обычный 4 3 3 2 2 6" xfId="9572"/>
    <cellStyle name="Обычный 4 3 3 2 3" xfId="3247"/>
    <cellStyle name="Обычный 4 3 3 2 3 2" xfId="9573"/>
    <cellStyle name="Обычный 4 3 3 2 3 3" xfId="9574"/>
    <cellStyle name="Обычный 4 3 3 2 3 4" xfId="9575"/>
    <cellStyle name="Обычный 4 3 3 2 3 5" xfId="9576"/>
    <cellStyle name="Обычный 4 3 3 2 3 6" xfId="9577"/>
    <cellStyle name="Обычный 4 3 3 2 4" xfId="3248"/>
    <cellStyle name="Обычный 4 3 3 2 4 2" xfId="9578"/>
    <cellStyle name="Обычный 4 3 3 2 4 3" xfId="9579"/>
    <cellStyle name="Обычный 4 3 3 2 4 4" xfId="9580"/>
    <cellStyle name="Обычный 4 3 3 2 4 5" xfId="9581"/>
    <cellStyle name="Обычный 4 3 3 2 4 6" xfId="9582"/>
    <cellStyle name="Обычный 4 3 3 2 5" xfId="9583"/>
    <cellStyle name="Обычный 4 3 3 2 6" xfId="9584"/>
    <cellStyle name="Обычный 4 3 3 2 7" xfId="9585"/>
    <cellStyle name="Обычный 4 3 3 2 8" xfId="9586"/>
    <cellStyle name="Обычный 4 3 3 2 9" xfId="9587"/>
    <cellStyle name="Обычный 4 3 3 3" xfId="3249"/>
    <cellStyle name="Обычный 4 3 3 3 2" xfId="9588"/>
    <cellStyle name="Обычный 4 3 3 3 3" xfId="9589"/>
    <cellStyle name="Обычный 4 3 3 3 4" xfId="9590"/>
    <cellStyle name="Обычный 4 3 3 3 5" xfId="9591"/>
    <cellStyle name="Обычный 4 3 3 3 6" xfId="9592"/>
    <cellStyle name="Обычный 4 3 3 4" xfId="3250"/>
    <cellStyle name="Обычный 4 3 3 4 2" xfId="9593"/>
    <cellStyle name="Обычный 4 3 3 4 3" xfId="9594"/>
    <cellStyle name="Обычный 4 3 3 4 4" xfId="9595"/>
    <cellStyle name="Обычный 4 3 3 4 5" xfId="9596"/>
    <cellStyle name="Обычный 4 3 3 4 6" xfId="9597"/>
    <cellStyle name="Обычный 4 3 3 5" xfId="3251"/>
    <cellStyle name="Обычный 4 3 3 5 2" xfId="9598"/>
    <cellStyle name="Обычный 4 3 3 5 3" xfId="9599"/>
    <cellStyle name="Обычный 4 3 3 5 4" xfId="9600"/>
    <cellStyle name="Обычный 4 3 3 5 5" xfId="9601"/>
    <cellStyle name="Обычный 4 3 3 5 6" xfId="9602"/>
    <cellStyle name="Обычный 4 3 3 6" xfId="9603"/>
    <cellStyle name="Обычный 4 3 3 7" xfId="9604"/>
    <cellStyle name="Обычный 4 3 3 8" xfId="9605"/>
    <cellStyle name="Обычный 4 3 3 9" xfId="9606"/>
    <cellStyle name="Обычный 4 3 4" xfId="3252"/>
    <cellStyle name="Обычный 4 3 4 2" xfId="3253"/>
    <cellStyle name="Обычный 4 3 4 2 2" xfId="9607"/>
    <cellStyle name="Обычный 4 3 4 2 3" xfId="9608"/>
    <cellStyle name="Обычный 4 3 4 2 4" xfId="9609"/>
    <cellStyle name="Обычный 4 3 4 2 5" xfId="9610"/>
    <cellStyle name="Обычный 4 3 4 2 6" xfId="9611"/>
    <cellStyle name="Обычный 4 3 4 3" xfId="3254"/>
    <cellStyle name="Обычный 4 3 4 3 2" xfId="9612"/>
    <cellStyle name="Обычный 4 3 4 3 3" xfId="9613"/>
    <cellStyle name="Обычный 4 3 4 3 4" xfId="9614"/>
    <cellStyle name="Обычный 4 3 4 3 5" xfId="9615"/>
    <cellStyle name="Обычный 4 3 4 3 6" xfId="9616"/>
    <cellStyle name="Обычный 4 3 4 4" xfId="3255"/>
    <cellStyle name="Обычный 4 3 4 4 2" xfId="9617"/>
    <cellStyle name="Обычный 4 3 4 4 3" xfId="9618"/>
    <cellStyle name="Обычный 4 3 4 4 4" xfId="9619"/>
    <cellStyle name="Обычный 4 3 4 4 5" xfId="9620"/>
    <cellStyle name="Обычный 4 3 4 4 6" xfId="9621"/>
    <cellStyle name="Обычный 4 3 4 5" xfId="9622"/>
    <cellStyle name="Обычный 4 3 4 6" xfId="9623"/>
    <cellStyle name="Обычный 4 3 4 7" xfId="9624"/>
    <cellStyle name="Обычный 4 3 4 8" xfId="9625"/>
    <cellStyle name="Обычный 4 3 4 9" xfId="9626"/>
    <cellStyle name="Обычный 4 3 5" xfId="3256"/>
    <cellStyle name="Обычный 4 3 5 2" xfId="9627"/>
    <cellStyle name="Обычный 4 3 5 3" xfId="9628"/>
    <cellStyle name="Обычный 4 3 5 4" xfId="9629"/>
    <cellStyle name="Обычный 4 3 5 5" xfId="9630"/>
    <cellStyle name="Обычный 4 3 5 6" xfId="9631"/>
    <cellStyle name="Обычный 4 3 6" xfId="3257"/>
    <cellStyle name="Обычный 4 3 6 2" xfId="9632"/>
    <cellStyle name="Обычный 4 3 6 3" xfId="9633"/>
    <cellStyle name="Обычный 4 3 6 4" xfId="9634"/>
    <cellStyle name="Обычный 4 3 6 5" xfId="9635"/>
    <cellStyle name="Обычный 4 3 6 6" xfId="9636"/>
    <cellStyle name="Обычный 4 3 7" xfId="3258"/>
    <cellStyle name="Обычный 4 3 7 2" xfId="9637"/>
    <cellStyle name="Обычный 4 3 7 3" xfId="9638"/>
    <cellStyle name="Обычный 4 3 7 4" xfId="9639"/>
    <cellStyle name="Обычный 4 3 7 5" xfId="9640"/>
    <cellStyle name="Обычный 4 3 7 6" xfId="9641"/>
    <cellStyle name="Обычный 4 3 8" xfId="9642"/>
    <cellStyle name="Обычный 4 3 9" xfId="9643"/>
    <cellStyle name="Обычный 4 4" xfId="3259"/>
    <cellStyle name="Обычный 4 4 10" xfId="9644"/>
    <cellStyle name="Обычный 4 4 11" xfId="9645"/>
    <cellStyle name="Обычный 4 4 2" xfId="3260"/>
    <cellStyle name="Обычный 4 4 2 10" xfId="9646"/>
    <cellStyle name="Обычный 4 4 2 2" xfId="3261"/>
    <cellStyle name="Обычный 4 4 2 2 2" xfId="3262"/>
    <cellStyle name="Обычный 4 4 2 2 2 2" xfId="9647"/>
    <cellStyle name="Обычный 4 4 2 2 2 3" xfId="9648"/>
    <cellStyle name="Обычный 4 4 2 2 2 4" xfId="9649"/>
    <cellStyle name="Обычный 4 4 2 2 2 5" xfId="9650"/>
    <cellStyle name="Обычный 4 4 2 2 2 6" xfId="9651"/>
    <cellStyle name="Обычный 4 4 2 2 3" xfId="3263"/>
    <cellStyle name="Обычный 4 4 2 2 3 2" xfId="9652"/>
    <cellStyle name="Обычный 4 4 2 2 3 3" xfId="9653"/>
    <cellStyle name="Обычный 4 4 2 2 3 4" xfId="9654"/>
    <cellStyle name="Обычный 4 4 2 2 3 5" xfId="9655"/>
    <cellStyle name="Обычный 4 4 2 2 3 6" xfId="9656"/>
    <cellStyle name="Обычный 4 4 2 2 4" xfId="3264"/>
    <cellStyle name="Обычный 4 4 2 2 4 2" xfId="9657"/>
    <cellStyle name="Обычный 4 4 2 2 4 3" xfId="9658"/>
    <cellStyle name="Обычный 4 4 2 2 4 4" xfId="9659"/>
    <cellStyle name="Обычный 4 4 2 2 4 5" xfId="9660"/>
    <cellStyle name="Обычный 4 4 2 2 4 6" xfId="9661"/>
    <cellStyle name="Обычный 4 4 2 2 5" xfId="9662"/>
    <cellStyle name="Обычный 4 4 2 2 6" xfId="9663"/>
    <cellStyle name="Обычный 4 4 2 2 7" xfId="9664"/>
    <cellStyle name="Обычный 4 4 2 2 8" xfId="9665"/>
    <cellStyle name="Обычный 4 4 2 2 9" xfId="9666"/>
    <cellStyle name="Обычный 4 4 2 3" xfId="3265"/>
    <cellStyle name="Обычный 4 4 2 3 2" xfId="9667"/>
    <cellStyle name="Обычный 4 4 2 3 3" xfId="9668"/>
    <cellStyle name="Обычный 4 4 2 3 4" xfId="9669"/>
    <cellStyle name="Обычный 4 4 2 3 5" xfId="9670"/>
    <cellStyle name="Обычный 4 4 2 3 6" xfId="9671"/>
    <cellStyle name="Обычный 4 4 2 4" xfId="3266"/>
    <cellStyle name="Обычный 4 4 2 4 2" xfId="9672"/>
    <cellStyle name="Обычный 4 4 2 4 3" xfId="9673"/>
    <cellStyle name="Обычный 4 4 2 4 4" xfId="9674"/>
    <cellStyle name="Обычный 4 4 2 4 5" xfId="9675"/>
    <cellStyle name="Обычный 4 4 2 4 6" xfId="9676"/>
    <cellStyle name="Обычный 4 4 2 5" xfId="3267"/>
    <cellStyle name="Обычный 4 4 2 5 2" xfId="9677"/>
    <cellStyle name="Обычный 4 4 2 5 3" xfId="9678"/>
    <cellStyle name="Обычный 4 4 2 5 4" xfId="9679"/>
    <cellStyle name="Обычный 4 4 2 5 5" xfId="9680"/>
    <cellStyle name="Обычный 4 4 2 5 6" xfId="9681"/>
    <cellStyle name="Обычный 4 4 2 6" xfId="9682"/>
    <cellStyle name="Обычный 4 4 2 7" xfId="9683"/>
    <cellStyle name="Обычный 4 4 2 8" xfId="9684"/>
    <cellStyle name="Обычный 4 4 2 9" xfId="9685"/>
    <cellStyle name="Обычный 4 4 3" xfId="3268"/>
    <cellStyle name="Обычный 4 4 3 2" xfId="3269"/>
    <cellStyle name="Обычный 4 4 3 2 2" xfId="9686"/>
    <cellStyle name="Обычный 4 4 3 2 3" xfId="9687"/>
    <cellStyle name="Обычный 4 4 3 2 4" xfId="9688"/>
    <cellStyle name="Обычный 4 4 3 2 5" xfId="9689"/>
    <cellStyle name="Обычный 4 4 3 2 6" xfId="9690"/>
    <cellStyle name="Обычный 4 4 3 3" xfId="3270"/>
    <cellStyle name="Обычный 4 4 3 3 2" xfId="9691"/>
    <cellStyle name="Обычный 4 4 3 3 3" xfId="9692"/>
    <cellStyle name="Обычный 4 4 3 3 4" xfId="9693"/>
    <cellStyle name="Обычный 4 4 3 3 5" xfId="9694"/>
    <cellStyle name="Обычный 4 4 3 3 6" xfId="9695"/>
    <cellStyle name="Обычный 4 4 3 4" xfId="3271"/>
    <cellStyle name="Обычный 4 4 3 4 2" xfId="9696"/>
    <cellStyle name="Обычный 4 4 3 4 3" xfId="9697"/>
    <cellStyle name="Обычный 4 4 3 4 4" xfId="9698"/>
    <cellStyle name="Обычный 4 4 3 4 5" xfId="9699"/>
    <cellStyle name="Обычный 4 4 3 4 6" xfId="9700"/>
    <cellStyle name="Обычный 4 4 3 5" xfId="9701"/>
    <cellStyle name="Обычный 4 4 3 6" xfId="9702"/>
    <cellStyle name="Обычный 4 4 3 7" xfId="9703"/>
    <cellStyle name="Обычный 4 4 3 8" xfId="9704"/>
    <cellStyle name="Обычный 4 4 3 9" xfId="9705"/>
    <cellStyle name="Обычный 4 4 4" xfId="3272"/>
    <cellStyle name="Обычный 4 4 4 2" xfId="9706"/>
    <cellStyle name="Обычный 4 4 4 3" xfId="9707"/>
    <cellStyle name="Обычный 4 4 4 4" xfId="9708"/>
    <cellStyle name="Обычный 4 4 4 5" xfId="9709"/>
    <cellStyle name="Обычный 4 4 4 6" xfId="9710"/>
    <cellStyle name="Обычный 4 4 5" xfId="3273"/>
    <cellStyle name="Обычный 4 4 5 2" xfId="9711"/>
    <cellStyle name="Обычный 4 4 5 3" xfId="9712"/>
    <cellStyle name="Обычный 4 4 5 4" xfId="9713"/>
    <cellStyle name="Обычный 4 4 5 5" xfId="9714"/>
    <cellStyle name="Обычный 4 4 5 6" xfId="9715"/>
    <cellStyle name="Обычный 4 4 6" xfId="3274"/>
    <cellStyle name="Обычный 4 4 6 2" xfId="9716"/>
    <cellStyle name="Обычный 4 4 6 3" xfId="9717"/>
    <cellStyle name="Обычный 4 4 6 4" xfId="9718"/>
    <cellStyle name="Обычный 4 4 6 5" xfId="9719"/>
    <cellStyle name="Обычный 4 4 6 6" xfId="9720"/>
    <cellStyle name="Обычный 4 4 7" xfId="9721"/>
    <cellStyle name="Обычный 4 4 8" xfId="9722"/>
    <cellStyle name="Обычный 4 4 9" xfId="9723"/>
    <cellStyle name="Обычный 4_ARMRAZR" xfId="3275"/>
    <cellStyle name="Обычный 40" xfId="3276"/>
    <cellStyle name="Обычный 40 2" xfId="3277"/>
    <cellStyle name="Обычный 40 2 2" xfId="3278"/>
    <cellStyle name="Обычный 40 2 2 2" xfId="9724"/>
    <cellStyle name="Обычный 40 2 2 3" xfId="9725"/>
    <cellStyle name="Обычный 40 2 2 4" xfId="9726"/>
    <cellStyle name="Обычный 40 2 2 5" xfId="9727"/>
    <cellStyle name="Обычный 40 2 2 6" xfId="9728"/>
    <cellStyle name="Обычный 40 2 3" xfId="3279"/>
    <cellStyle name="Обычный 40 2 3 2" xfId="9729"/>
    <cellStyle name="Обычный 40 2 3 3" xfId="9730"/>
    <cellStyle name="Обычный 40 2 3 4" xfId="9731"/>
    <cellStyle name="Обычный 40 2 3 5" xfId="9732"/>
    <cellStyle name="Обычный 40 2 3 6" xfId="9733"/>
    <cellStyle name="Обычный 40 2 4" xfId="3280"/>
    <cellStyle name="Обычный 40 2 4 2" xfId="9734"/>
    <cellStyle name="Обычный 40 2 4 3" xfId="9735"/>
    <cellStyle name="Обычный 40 2 4 4" xfId="9736"/>
    <cellStyle name="Обычный 40 2 4 5" xfId="9737"/>
    <cellStyle name="Обычный 40 2 4 6" xfId="9738"/>
    <cellStyle name="Обычный 40 2 5" xfId="9739"/>
    <cellStyle name="Обычный 40 2 6" xfId="9740"/>
    <cellStyle name="Обычный 40 2 7" xfId="9741"/>
    <cellStyle name="Обычный 40 2 8" xfId="9742"/>
    <cellStyle name="Обычный 40 2 9" xfId="9743"/>
    <cellStyle name="Обычный 40 3" xfId="3281"/>
    <cellStyle name="Обычный 40 3 2" xfId="3282"/>
    <cellStyle name="Обычный 40 3 2 2" xfId="9744"/>
    <cellStyle name="Обычный 40 3 2 3" xfId="9745"/>
    <cellStyle name="Обычный 40 3 2 4" xfId="9746"/>
    <cellStyle name="Обычный 40 3 2 5" xfId="9747"/>
    <cellStyle name="Обычный 40 3 2 6" xfId="9748"/>
    <cellStyle name="Обычный 40 3 3" xfId="3283"/>
    <cellStyle name="Обычный 40 3 3 2" xfId="9749"/>
    <cellStyle name="Обычный 40 3 3 3" xfId="9750"/>
    <cellStyle name="Обычный 40 3 3 4" xfId="9751"/>
    <cellStyle name="Обычный 40 3 3 5" xfId="9752"/>
    <cellStyle name="Обычный 40 3 3 6" xfId="9753"/>
    <cellStyle name="Обычный 40 3 4" xfId="3284"/>
    <cellStyle name="Обычный 40 3 4 2" xfId="9754"/>
    <cellStyle name="Обычный 40 3 4 3" xfId="9755"/>
    <cellStyle name="Обычный 40 3 4 4" xfId="9756"/>
    <cellStyle name="Обычный 40 3 4 5" xfId="9757"/>
    <cellStyle name="Обычный 40 3 4 6" xfId="9758"/>
    <cellStyle name="Обычный 40 3 5" xfId="9759"/>
    <cellStyle name="Обычный 40 3 6" xfId="9760"/>
    <cellStyle name="Обычный 40 3 7" xfId="9761"/>
    <cellStyle name="Обычный 40 3 8" xfId="9762"/>
    <cellStyle name="Обычный 40 3 9" xfId="9763"/>
    <cellStyle name="Обычный 40 4" xfId="5296"/>
    <cellStyle name="Обычный 41" xfId="3285"/>
    <cellStyle name="Обычный 41 2" xfId="3286"/>
    <cellStyle name="Обычный 41 2 2" xfId="3287"/>
    <cellStyle name="Обычный 41 2 2 2" xfId="9764"/>
    <cellStyle name="Обычный 41 2 2 3" xfId="9765"/>
    <cellStyle name="Обычный 41 2 2 4" xfId="9766"/>
    <cellStyle name="Обычный 41 2 2 5" xfId="9767"/>
    <cellStyle name="Обычный 41 2 2 6" xfId="9768"/>
    <cellStyle name="Обычный 41 2 3" xfId="3288"/>
    <cellStyle name="Обычный 41 2 3 2" xfId="9769"/>
    <cellStyle name="Обычный 41 2 3 3" xfId="9770"/>
    <cellStyle name="Обычный 41 2 3 4" xfId="9771"/>
    <cellStyle name="Обычный 41 2 3 5" xfId="9772"/>
    <cellStyle name="Обычный 41 2 3 6" xfId="9773"/>
    <cellStyle name="Обычный 41 2 4" xfId="3289"/>
    <cellStyle name="Обычный 41 2 4 2" xfId="9774"/>
    <cellStyle name="Обычный 41 2 4 3" xfId="9775"/>
    <cellStyle name="Обычный 41 2 4 4" xfId="9776"/>
    <cellStyle name="Обычный 41 2 4 5" xfId="9777"/>
    <cellStyle name="Обычный 41 2 4 6" xfId="9778"/>
    <cellStyle name="Обычный 41 2 5" xfId="9779"/>
    <cellStyle name="Обычный 41 2 6" xfId="9780"/>
    <cellStyle name="Обычный 41 2 7" xfId="9781"/>
    <cellStyle name="Обычный 41 2 8" xfId="9782"/>
    <cellStyle name="Обычный 41 2 9" xfId="9783"/>
    <cellStyle name="Обычный 41 3" xfId="3290"/>
    <cellStyle name="Обычный 41 3 2" xfId="3291"/>
    <cellStyle name="Обычный 41 3 2 2" xfId="9784"/>
    <cellStyle name="Обычный 41 3 2 3" xfId="9785"/>
    <cellStyle name="Обычный 41 3 2 4" xfId="9786"/>
    <cellStyle name="Обычный 41 3 2 5" xfId="9787"/>
    <cellStyle name="Обычный 41 3 2 6" xfId="9788"/>
    <cellStyle name="Обычный 41 3 3" xfId="3292"/>
    <cellStyle name="Обычный 41 3 3 2" xfId="9789"/>
    <cellStyle name="Обычный 41 3 3 3" xfId="9790"/>
    <cellStyle name="Обычный 41 3 3 4" xfId="9791"/>
    <cellStyle name="Обычный 41 3 3 5" xfId="9792"/>
    <cellStyle name="Обычный 41 3 3 6" xfId="9793"/>
    <cellStyle name="Обычный 41 3 4" xfId="3293"/>
    <cellStyle name="Обычный 41 3 4 2" xfId="9794"/>
    <cellStyle name="Обычный 41 3 4 3" xfId="9795"/>
    <cellStyle name="Обычный 41 3 4 4" xfId="9796"/>
    <cellStyle name="Обычный 41 3 4 5" xfId="9797"/>
    <cellStyle name="Обычный 41 3 4 6" xfId="9798"/>
    <cellStyle name="Обычный 41 3 5" xfId="9799"/>
    <cellStyle name="Обычный 41 3 6" xfId="9800"/>
    <cellStyle name="Обычный 41 3 7" xfId="9801"/>
    <cellStyle name="Обычный 41 3 8" xfId="9802"/>
    <cellStyle name="Обычный 41 3 9" xfId="9803"/>
    <cellStyle name="Обычный 41 4" xfId="5297"/>
    <cellStyle name="Обычный 42" xfId="3294"/>
    <cellStyle name="Обычный 42 10" xfId="9804"/>
    <cellStyle name="Обычный 42 11" xfId="9805"/>
    <cellStyle name="Обычный 42 12" xfId="9806"/>
    <cellStyle name="Обычный 42 13" xfId="9807"/>
    <cellStyle name="Обычный 42 2" xfId="3295"/>
    <cellStyle name="Обычный 42 2 2" xfId="3296"/>
    <cellStyle name="Обычный 42 2 2 2" xfId="9808"/>
    <cellStyle name="Обычный 42 2 2 3" xfId="9809"/>
    <cellStyle name="Обычный 42 2 2 4" xfId="9810"/>
    <cellStyle name="Обычный 42 2 2 5" xfId="9811"/>
    <cellStyle name="Обычный 42 2 2 6" xfId="9812"/>
    <cellStyle name="Обычный 42 2 3" xfId="3297"/>
    <cellStyle name="Обычный 42 2 3 2" xfId="9813"/>
    <cellStyle name="Обычный 42 2 3 3" xfId="9814"/>
    <cellStyle name="Обычный 42 2 3 4" xfId="9815"/>
    <cellStyle name="Обычный 42 2 3 5" xfId="9816"/>
    <cellStyle name="Обычный 42 2 3 6" xfId="9817"/>
    <cellStyle name="Обычный 42 2 4" xfId="3298"/>
    <cellStyle name="Обычный 42 2 4 2" xfId="9818"/>
    <cellStyle name="Обычный 42 2 4 3" xfId="9819"/>
    <cellStyle name="Обычный 42 2 4 4" xfId="9820"/>
    <cellStyle name="Обычный 42 2 4 5" xfId="9821"/>
    <cellStyle name="Обычный 42 2 4 6" xfId="9822"/>
    <cellStyle name="Обычный 42 2 5" xfId="9823"/>
    <cellStyle name="Обычный 42 2 6" xfId="9824"/>
    <cellStyle name="Обычный 42 2 7" xfId="9825"/>
    <cellStyle name="Обычный 42 2 8" xfId="9826"/>
    <cellStyle name="Обычный 42 2 9" xfId="9827"/>
    <cellStyle name="Обычный 42 3" xfId="3299"/>
    <cellStyle name="Обычный 42 3 2" xfId="3300"/>
    <cellStyle name="Обычный 42 3 2 2" xfId="9828"/>
    <cellStyle name="Обычный 42 3 2 3" xfId="9829"/>
    <cellStyle name="Обычный 42 3 2 4" xfId="9830"/>
    <cellStyle name="Обычный 42 3 2 5" xfId="9831"/>
    <cellStyle name="Обычный 42 3 2 6" xfId="9832"/>
    <cellStyle name="Обычный 42 3 3" xfId="3301"/>
    <cellStyle name="Обычный 42 3 3 2" xfId="9833"/>
    <cellStyle name="Обычный 42 3 3 3" xfId="9834"/>
    <cellStyle name="Обычный 42 3 3 4" xfId="9835"/>
    <cellStyle name="Обычный 42 3 3 5" xfId="9836"/>
    <cellStyle name="Обычный 42 3 3 6" xfId="9837"/>
    <cellStyle name="Обычный 42 3 4" xfId="3302"/>
    <cellStyle name="Обычный 42 3 4 2" xfId="9838"/>
    <cellStyle name="Обычный 42 3 4 3" xfId="9839"/>
    <cellStyle name="Обычный 42 3 4 4" xfId="9840"/>
    <cellStyle name="Обычный 42 3 4 5" xfId="9841"/>
    <cellStyle name="Обычный 42 3 4 6" xfId="9842"/>
    <cellStyle name="Обычный 42 3 5" xfId="9843"/>
    <cellStyle name="Обычный 42 3 6" xfId="9844"/>
    <cellStyle name="Обычный 42 3 7" xfId="9845"/>
    <cellStyle name="Обычный 42 3 8" xfId="9846"/>
    <cellStyle name="Обычный 42 3 9" xfId="9847"/>
    <cellStyle name="Обычный 42 4" xfId="3303"/>
    <cellStyle name="Обычный 42 4 2" xfId="3304"/>
    <cellStyle name="Обычный 42 4 2 2" xfId="9848"/>
    <cellStyle name="Обычный 42 4 2 3" xfId="9849"/>
    <cellStyle name="Обычный 42 4 2 4" xfId="9850"/>
    <cellStyle name="Обычный 42 4 2 5" xfId="9851"/>
    <cellStyle name="Обычный 42 4 2 6" xfId="9852"/>
    <cellStyle name="Обычный 42 4 3" xfId="3305"/>
    <cellStyle name="Обычный 42 4 3 2" xfId="9853"/>
    <cellStyle name="Обычный 42 4 3 3" xfId="9854"/>
    <cellStyle name="Обычный 42 4 3 4" xfId="9855"/>
    <cellStyle name="Обычный 42 4 3 5" xfId="9856"/>
    <cellStyle name="Обычный 42 4 3 6" xfId="9857"/>
    <cellStyle name="Обычный 42 4 4" xfId="3306"/>
    <cellStyle name="Обычный 42 4 4 2" xfId="9858"/>
    <cellStyle name="Обычный 42 4 4 3" xfId="9859"/>
    <cellStyle name="Обычный 42 4 4 4" xfId="9860"/>
    <cellStyle name="Обычный 42 4 4 5" xfId="9861"/>
    <cellStyle name="Обычный 42 4 4 6" xfId="9862"/>
    <cellStyle name="Обычный 42 4 5" xfId="9863"/>
    <cellStyle name="Обычный 42 4 6" xfId="9864"/>
    <cellStyle name="Обычный 42 4 7" xfId="9865"/>
    <cellStyle name="Обычный 42 4 8" xfId="9866"/>
    <cellStyle name="Обычный 42 4 9" xfId="9867"/>
    <cellStyle name="Обычный 42 5" xfId="3307"/>
    <cellStyle name="Обычный 42 5 2" xfId="9868"/>
    <cellStyle name="Обычный 42 5 3" xfId="9869"/>
    <cellStyle name="Обычный 42 5 4" xfId="9870"/>
    <cellStyle name="Обычный 42 5 5" xfId="9871"/>
    <cellStyle name="Обычный 42 5 6" xfId="9872"/>
    <cellStyle name="Обычный 42 6" xfId="3308"/>
    <cellStyle name="Обычный 42 6 2" xfId="9873"/>
    <cellStyle name="Обычный 42 6 3" xfId="9874"/>
    <cellStyle name="Обычный 42 6 4" xfId="9875"/>
    <cellStyle name="Обычный 42 6 5" xfId="9876"/>
    <cellStyle name="Обычный 42 6 6" xfId="9877"/>
    <cellStyle name="Обычный 42 7" xfId="3309"/>
    <cellStyle name="Обычный 42 7 2" xfId="9878"/>
    <cellStyle name="Обычный 42 7 3" xfId="9879"/>
    <cellStyle name="Обычный 42 7 4" xfId="9880"/>
    <cellStyle name="Обычный 42 7 5" xfId="9881"/>
    <cellStyle name="Обычный 42 7 6" xfId="9882"/>
    <cellStyle name="Обычный 42 8" xfId="3310"/>
    <cellStyle name="Обычный 42 8 2" xfId="9883"/>
    <cellStyle name="Обычный 42 8 3" xfId="9884"/>
    <cellStyle name="Обычный 42 8 4" xfId="9885"/>
    <cellStyle name="Обычный 42 8 5" xfId="9886"/>
    <cellStyle name="Обычный 42 8 6" xfId="9887"/>
    <cellStyle name="Обычный 42 9" xfId="5298"/>
    <cellStyle name="Обычный 43" xfId="3311"/>
    <cellStyle name="Обычный 43 10" xfId="9888"/>
    <cellStyle name="Обычный 43 11" xfId="9889"/>
    <cellStyle name="Обычный 43 2" xfId="3312"/>
    <cellStyle name="Обычный 43 2 2" xfId="3313"/>
    <cellStyle name="Обычный 43 2 2 2" xfId="9890"/>
    <cellStyle name="Обычный 43 2 2 3" xfId="9891"/>
    <cellStyle name="Обычный 43 2 2 4" xfId="9892"/>
    <cellStyle name="Обычный 43 2 2 5" xfId="9893"/>
    <cellStyle name="Обычный 43 2 2 6" xfId="9894"/>
    <cellStyle name="Обычный 43 2 3" xfId="3314"/>
    <cellStyle name="Обычный 43 2 3 2" xfId="9895"/>
    <cellStyle name="Обычный 43 2 3 3" xfId="9896"/>
    <cellStyle name="Обычный 43 2 3 4" xfId="9897"/>
    <cellStyle name="Обычный 43 2 3 5" xfId="9898"/>
    <cellStyle name="Обычный 43 2 3 6" xfId="9899"/>
    <cellStyle name="Обычный 43 2 4" xfId="3315"/>
    <cellStyle name="Обычный 43 2 4 2" xfId="9900"/>
    <cellStyle name="Обычный 43 2 4 3" xfId="9901"/>
    <cellStyle name="Обычный 43 2 4 4" xfId="9902"/>
    <cellStyle name="Обычный 43 2 4 5" xfId="9903"/>
    <cellStyle name="Обычный 43 2 4 6" xfId="9904"/>
    <cellStyle name="Обычный 43 2 5" xfId="9905"/>
    <cellStyle name="Обычный 43 2 6" xfId="9906"/>
    <cellStyle name="Обычный 43 2 7" xfId="9907"/>
    <cellStyle name="Обычный 43 2 8" xfId="9908"/>
    <cellStyle name="Обычный 43 2 9" xfId="9909"/>
    <cellStyle name="Обычный 43 3" xfId="3316"/>
    <cellStyle name="Обычный 43 3 2" xfId="3317"/>
    <cellStyle name="Обычный 43 3 2 2" xfId="9910"/>
    <cellStyle name="Обычный 43 3 2 3" xfId="9911"/>
    <cellStyle name="Обычный 43 3 2 4" xfId="9912"/>
    <cellStyle name="Обычный 43 3 2 5" xfId="9913"/>
    <cellStyle name="Обычный 43 3 2 6" xfId="9914"/>
    <cellStyle name="Обычный 43 3 3" xfId="3318"/>
    <cellStyle name="Обычный 43 3 3 2" xfId="9915"/>
    <cellStyle name="Обычный 43 3 3 3" xfId="9916"/>
    <cellStyle name="Обычный 43 3 3 4" xfId="9917"/>
    <cellStyle name="Обычный 43 3 3 5" xfId="9918"/>
    <cellStyle name="Обычный 43 3 3 6" xfId="9919"/>
    <cellStyle name="Обычный 43 3 4" xfId="3319"/>
    <cellStyle name="Обычный 43 3 4 2" xfId="9920"/>
    <cellStyle name="Обычный 43 3 4 3" xfId="9921"/>
    <cellStyle name="Обычный 43 3 4 4" xfId="9922"/>
    <cellStyle name="Обычный 43 3 4 5" xfId="9923"/>
    <cellStyle name="Обычный 43 3 4 6" xfId="9924"/>
    <cellStyle name="Обычный 43 3 5" xfId="9925"/>
    <cellStyle name="Обычный 43 3 6" xfId="9926"/>
    <cellStyle name="Обычный 43 3 7" xfId="9927"/>
    <cellStyle name="Обычный 43 3 8" xfId="9928"/>
    <cellStyle name="Обычный 43 3 9" xfId="9929"/>
    <cellStyle name="Обычный 43 4" xfId="3320"/>
    <cellStyle name="Обычный 43 4 2" xfId="9930"/>
    <cellStyle name="Обычный 43 4 3" xfId="9931"/>
    <cellStyle name="Обычный 43 4 4" xfId="9932"/>
    <cellStyle name="Обычный 43 4 5" xfId="9933"/>
    <cellStyle name="Обычный 43 4 6" xfId="9934"/>
    <cellStyle name="Обычный 43 5" xfId="3321"/>
    <cellStyle name="Обычный 43 5 2" xfId="9935"/>
    <cellStyle name="Обычный 43 5 3" xfId="9936"/>
    <cellStyle name="Обычный 43 5 4" xfId="9937"/>
    <cellStyle name="Обычный 43 5 5" xfId="9938"/>
    <cellStyle name="Обычный 43 5 6" xfId="9939"/>
    <cellStyle name="Обычный 43 6" xfId="3322"/>
    <cellStyle name="Обычный 43 6 2" xfId="9940"/>
    <cellStyle name="Обычный 43 6 3" xfId="9941"/>
    <cellStyle name="Обычный 43 6 4" xfId="9942"/>
    <cellStyle name="Обычный 43 6 5" xfId="9943"/>
    <cellStyle name="Обычный 43 6 6" xfId="9944"/>
    <cellStyle name="Обычный 43 7" xfId="5299"/>
    <cellStyle name="Обычный 43 8" xfId="9945"/>
    <cellStyle name="Обычный 43 9" xfId="9946"/>
    <cellStyle name="Обычный 44" xfId="3323"/>
    <cellStyle name="Обычный 44 10" xfId="9947"/>
    <cellStyle name="Обычный 44 11" xfId="9948"/>
    <cellStyle name="Обычный 44 2" xfId="3324"/>
    <cellStyle name="Обычный 44 2 2" xfId="3325"/>
    <cellStyle name="Обычный 44 2 2 2" xfId="3326"/>
    <cellStyle name="Обычный 44 2 2 2 2" xfId="9949"/>
    <cellStyle name="Обычный 44 2 2 2 3" xfId="9950"/>
    <cellStyle name="Обычный 44 2 2 2 4" xfId="9951"/>
    <cellStyle name="Обычный 44 2 2 2 5" xfId="9952"/>
    <cellStyle name="Обычный 44 2 2 2 6" xfId="9953"/>
    <cellStyle name="Обычный 44 2 2 3" xfId="3327"/>
    <cellStyle name="Обычный 44 2 2 3 2" xfId="9954"/>
    <cellStyle name="Обычный 44 2 2 3 3" xfId="9955"/>
    <cellStyle name="Обычный 44 2 2 3 4" xfId="9956"/>
    <cellStyle name="Обычный 44 2 2 3 5" xfId="9957"/>
    <cellStyle name="Обычный 44 2 2 3 6" xfId="9958"/>
    <cellStyle name="Обычный 44 2 2 4" xfId="3328"/>
    <cellStyle name="Обычный 44 2 2 4 2" xfId="9959"/>
    <cellStyle name="Обычный 44 2 2 4 3" xfId="9960"/>
    <cellStyle name="Обычный 44 2 2 4 4" xfId="9961"/>
    <cellStyle name="Обычный 44 2 2 4 5" xfId="9962"/>
    <cellStyle name="Обычный 44 2 2 4 6" xfId="9963"/>
    <cellStyle name="Обычный 44 2 2 5" xfId="9964"/>
    <cellStyle name="Обычный 44 2 2 6" xfId="9965"/>
    <cellStyle name="Обычный 44 2 2 7" xfId="9966"/>
    <cellStyle name="Обычный 44 2 2 8" xfId="9967"/>
    <cellStyle name="Обычный 44 2 2 9" xfId="9968"/>
    <cellStyle name="Обычный 44 2 3" xfId="3329"/>
    <cellStyle name="Обычный 44 3" xfId="3330"/>
    <cellStyle name="Обычный 44 3 2" xfId="3331"/>
    <cellStyle name="Обычный 44 3 2 2" xfId="9969"/>
    <cellStyle name="Обычный 44 3 2 3" xfId="9970"/>
    <cellStyle name="Обычный 44 3 2 4" xfId="9971"/>
    <cellStyle name="Обычный 44 3 2 5" xfId="9972"/>
    <cellStyle name="Обычный 44 3 2 6" xfId="9973"/>
    <cellStyle name="Обычный 44 3 3" xfId="3332"/>
    <cellStyle name="Обычный 44 3 3 2" xfId="9974"/>
    <cellStyle name="Обычный 44 3 3 3" xfId="9975"/>
    <cellStyle name="Обычный 44 3 3 4" xfId="9976"/>
    <cellStyle name="Обычный 44 3 3 5" xfId="9977"/>
    <cellStyle name="Обычный 44 3 3 6" xfId="9978"/>
    <cellStyle name="Обычный 44 3 4" xfId="3333"/>
    <cellStyle name="Обычный 44 3 4 2" xfId="9979"/>
    <cellStyle name="Обычный 44 3 4 3" xfId="9980"/>
    <cellStyle name="Обычный 44 3 4 4" xfId="9981"/>
    <cellStyle name="Обычный 44 3 4 5" xfId="9982"/>
    <cellStyle name="Обычный 44 3 4 6" xfId="9983"/>
    <cellStyle name="Обычный 44 3 5" xfId="9984"/>
    <cellStyle name="Обычный 44 3 6" xfId="9985"/>
    <cellStyle name="Обычный 44 3 7" xfId="9986"/>
    <cellStyle name="Обычный 44 3 8" xfId="9987"/>
    <cellStyle name="Обычный 44 3 9" xfId="9988"/>
    <cellStyle name="Обычный 44 4" xfId="3334"/>
    <cellStyle name="Обычный 44 4 2" xfId="9989"/>
    <cellStyle name="Обычный 44 4 3" xfId="9990"/>
    <cellStyle name="Обычный 44 4 4" xfId="9991"/>
    <cellStyle name="Обычный 44 4 5" xfId="9992"/>
    <cellStyle name="Обычный 44 4 6" xfId="9993"/>
    <cellStyle name="Обычный 44 5" xfId="3335"/>
    <cellStyle name="Обычный 44 5 2" xfId="9994"/>
    <cellStyle name="Обычный 44 5 3" xfId="9995"/>
    <cellStyle name="Обычный 44 5 4" xfId="9996"/>
    <cellStyle name="Обычный 44 5 5" xfId="9997"/>
    <cellStyle name="Обычный 44 5 6" xfId="9998"/>
    <cellStyle name="Обычный 44 6" xfId="3336"/>
    <cellStyle name="Обычный 44 6 2" xfId="9999"/>
    <cellStyle name="Обычный 44 6 3" xfId="10000"/>
    <cellStyle name="Обычный 44 6 4" xfId="10001"/>
    <cellStyle name="Обычный 44 6 5" xfId="10002"/>
    <cellStyle name="Обычный 44 6 6" xfId="10003"/>
    <cellStyle name="Обычный 44 7" xfId="5300"/>
    <cellStyle name="Обычный 44 8" xfId="10004"/>
    <cellStyle name="Обычный 44 9" xfId="10005"/>
    <cellStyle name="Обычный 45" xfId="3337"/>
    <cellStyle name="Обычный 45 2" xfId="3338"/>
    <cellStyle name="Обычный 45 2 2" xfId="3339"/>
    <cellStyle name="Обычный 45 2 2 2" xfId="10006"/>
    <cellStyle name="Обычный 45 2 2 3" xfId="10007"/>
    <cellStyle name="Обычный 45 2 2 4" xfId="10008"/>
    <cellStyle name="Обычный 45 2 2 5" xfId="10009"/>
    <cellStyle name="Обычный 45 2 2 6" xfId="10010"/>
    <cellStyle name="Обычный 45 2 3" xfId="3340"/>
    <cellStyle name="Обычный 45 2 3 2" xfId="10011"/>
    <cellStyle name="Обычный 45 2 3 3" xfId="10012"/>
    <cellStyle name="Обычный 45 2 3 4" xfId="10013"/>
    <cellStyle name="Обычный 45 2 3 5" xfId="10014"/>
    <cellStyle name="Обычный 45 2 3 6" xfId="10015"/>
    <cellStyle name="Обычный 45 2 4" xfId="3341"/>
    <cellStyle name="Обычный 45 2 4 2" xfId="10016"/>
    <cellStyle name="Обычный 45 2 4 3" xfId="10017"/>
    <cellStyle name="Обычный 45 2 4 4" xfId="10018"/>
    <cellStyle name="Обычный 45 2 4 5" xfId="10019"/>
    <cellStyle name="Обычный 45 2 4 6" xfId="10020"/>
    <cellStyle name="Обычный 45 2 5" xfId="10021"/>
    <cellStyle name="Обычный 45 2 6" xfId="10022"/>
    <cellStyle name="Обычный 45 2 7" xfId="10023"/>
    <cellStyle name="Обычный 45 2 8" xfId="10024"/>
    <cellStyle name="Обычный 45 2 9" xfId="10025"/>
    <cellStyle name="Обычный 45 3" xfId="5301"/>
    <cellStyle name="Обычный 46" xfId="3342"/>
    <cellStyle name="Обычный 46 2" xfId="3343"/>
    <cellStyle name="Обычный 46 2 2" xfId="3344"/>
    <cellStyle name="Обычный 46 2 2 2" xfId="3345"/>
    <cellStyle name="Обычный 46 2 2 2 2" xfId="10026"/>
    <cellStyle name="Обычный 46 2 2 2 3" xfId="10027"/>
    <cellStyle name="Обычный 46 2 2 2 4" xfId="10028"/>
    <cellStyle name="Обычный 46 2 2 2 5" xfId="10029"/>
    <cellStyle name="Обычный 46 2 2 2 6" xfId="10030"/>
    <cellStyle name="Обычный 46 2 2 3" xfId="3346"/>
    <cellStyle name="Обычный 46 2 2 3 2" xfId="10031"/>
    <cellStyle name="Обычный 46 2 2 3 3" xfId="10032"/>
    <cellStyle name="Обычный 46 2 2 3 4" xfId="10033"/>
    <cellStyle name="Обычный 46 2 2 3 5" xfId="10034"/>
    <cellStyle name="Обычный 46 2 2 3 6" xfId="10035"/>
    <cellStyle name="Обычный 46 2 2 4" xfId="3347"/>
    <cellStyle name="Обычный 46 2 2 4 2" xfId="10036"/>
    <cellStyle name="Обычный 46 2 2 4 3" xfId="10037"/>
    <cellStyle name="Обычный 46 2 2 4 4" xfId="10038"/>
    <cellStyle name="Обычный 46 2 2 4 5" xfId="10039"/>
    <cellStyle name="Обычный 46 2 2 4 6" xfId="10040"/>
    <cellStyle name="Обычный 46 2 2 5" xfId="10041"/>
    <cellStyle name="Обычный 46 2 2 6" xfId="10042"/>
    <cellStyle name="Обычный 46 2 2 7" xfId="10043"/>
    <cellStyle name="Обычный 46 2 2 8" xfId="10044"/>
    <cellStyle name="Обычный 46 2 2 9" xfId="10045"/>
    <cellStyle name="Обычный 46 2 3" xfId="3348"/>
    <cellStyle name="Обычный 46 3" xfId="3349"/>
    <cellStyle name="Обычный 46 3 2" xfId="3350"/>
    <cellStyle name="Обычный 46 3 2 2" xfId="10046"/>
    <cellStyle name="Обычный 46 3 2 3" xfId="10047"/>
    <cellStyle name="Обычный 46 3 2 4" xfId="10048"/>
    <cellStyle name="Обычный 46 3 2 5" xfId="10049"/>
    <cellStyle name="Обычный 46 3 2 6" xfId="10050"/>
    <cellStyle name="Обычный 46 3 3" xfId="3351"/>
    <cellStyle name="Обычный 46 3 3 2" xfId="10051"/>
    <cellStyle name="Обычный 46 3 3 3" xfId="10052"/>
    <cellStyle name="Обычный 46 3 3 4" xfId="10053"/>
    <cellStyle name="Обычный 46 3 3 5" xfId="10054"/>
    <cellStyle name="Обычный 46 3 3 6" xfId="10055"/>
    <cellStyle name="Обычный 46 3 4" xfId="3352"/>
    <cellStyle name="Обычный 46 3 4 2" xfId="10056"/>
    <cellStyle name="Обычный 46 3 4 3" xfId="10057"/>
    <cellStyle name="Обычный 46 3 4 4" xfId="10058"/>
    <cellStyle name="Обычный 46 3 4 5" xfId="10059"/>
    <cellStyle name="Обычный 46 3 4 6" xfId="10060"/>
    <cellStyle name="Обычный 46 3 5" xfId="10061"/>
    <cellStyle name="Обычный 46 3 6" xfId="10062"/>
    <cellStyle name="Обычный 46 3 7" xfId="10063"/>
    <cellStyle name="Обычный 46 3 8" xfId="10064"/>
    <cellStyle name="Обычный 46 3 9" xfId="10065"/>
    <cellStyle name="Обычный 46 4" xfId="3353"/>
    <cellStyle name="Обычный 46 5" xfId="5302"/>
    <cellStyle name="Обычный 47" xfId="3354"/>
    <cellStyle name="Обычный 47 2" xfId="3355"/>
    <cellStyle name="Обычный 47 2 2" xfId="3356"/>
    <cellStyle name="Обычный 47 2 2 2" xfId="3357"/>
    <cellStyle name="Обычный 47 2 2 2 2" xfId="10066"/>
    <cellStyle name="Обычный 47 2 2 2 3" xfId="10067"/>
    <cellStyle name="Обычный 47 2 2 2 4" xfId="10068"/>
    <cellStyle name="Обычный 47 2 2 2 5" xfId="10069"/>
    <cellStyle name="Обычный 47 2 2 2 6" xfId="10070"/>
    <cellStyle name="Обычный 47 2 2 3" xfId="3358"/>
    <cellStyle name="Обычный 47 2 2 3 2" xfId="10071"/>
    <cellStyle name="Обычный 47 2 2 3 3" xfId="10072"/>
    <cellStyle name="Обычный 47 2 2 3 4" xfId="10073"/>
    <cellStyle name="Обычный 47 2 2 3 5" xfId="10074"/>
    <cellStyle name="Обычный 47 2 2 3 6" xfId="10075"/>
    <cellStyle name="Обычный 47 2 2 4" xfId="3359"/>
    <cellStyle name="Обычный 47 2 2 4 2" xfId="10076"/>
    <cellStyle name="Обычный 47 2 2 4 3" xfId="10077"/>
    <cellStyle name="Обычный 47 2 2 4 4" xfId="10078"/>
    <cellStyle name="Обычный 47 2 2 4 5" xfId="10079"/>
    <cellStyle name="Обычный 47 2 2 4 6" xfId="10080"/>
    <cellStyle name="Обычный 47 2 2 5" xfId="10081"/>
    <cellStyle name="Обычный 47 2 2 6" xfId="10082"/>
    <cellStyle name="Обычный 47 2 2 7" xfId="10083"/>
    <cellStyle name="Обычный 47 2 2 8" xfId="10084"/>
    <cellStyle name="Обычный 47 2 2 9" xfId="10085"/>
    <cellStyle name="Обычный 47 2 3" xfId="3360"/>
    <cellStyle name="Обычный 47 3" xfId="3361"/>
    <cellStyle name="Обычный 47 3 2" xfId="3362"/>
    <cellStyle name="Обычный 47 3 2 2" xfId="10086"/>
    <cellStyle name="Обычный 47 3 2 3" xfId="10087"/>
    <cellStyle name="Обычный 47 3 2 4" xfId="10088"/>
    <cellStyle name="Обычный 47 3 2 5" xfId="10089"/>
    <cellStyle name="Обычный 47 3 2 6" xfId="10090"/>
    <cellStyle name="Обычный 47 3 3" xfId="3363"/>
    <cellStyle name="Обычный 47 3 3 2" xfId="10091"/>
    <cellStyle name="Обычный 47 3 3 3" xfId="10092"/>
    <cellStyle name="Обычный 47 3 3 4" xfId="10093"/>
    <cellStyle name="Обычный 47 3 3 5" xfId="10094"/>
    <cellStyle name="Обычный 47 3 3 6" xfId="10095"/>
    <cellStyle name="Обычный 47 3 4" xfId="3364"/>
    <cellStyle name="Обычный 47 3 4 2" xfId="10096"/>
    <cellStyle name="Обычный 47 3 4 3" xfId="10097"/>
    <cellStyle name="Обычный 47 3 4 4" xfId="10098"/>
    <cellStyle name="Обычный 47 3 4 5" xfId="10099"/>
    <cellStyle name="Обычный 47 3 4 6" xfId="10100"/>
    <cellStyle name="Обычный 47 3 5" xfId="10101"/>
    <cellStyle name="Обычный 47 3 6" xfId="10102"/>
    <cellStyle name="Обычный 47 3 7" xfId="10103"/>
    <cellStyle name="Обычный 47 3 8" xfId="10104"/>
    <cellStyle name="Обычный 47 3 9" xfId="10105"/>
    <cellStyle name="Обычный 47 4" xfId="3365"/>
    <cellStyle name="Обычный 47 5" xfId="5303"/>
    <cellStyle name="Обычный 48" xfId="3366"/>
    <cellStyle name="Обычный 48 2" xfId="3367"/>
    <cellStyle name="Обычный 48 2 2" xfId="3368"/>
    <cellStyle name="Обычный 48 2 2 2" xfId="3369"/>
    <cellStyle name="Обычный 48 2 2 2 2" xfId="10106"/>
    <cellStyle name="Обычный 48 2 2 2 3" xfId="10107"/>
    <cellStyle name="Обычный 48 2 2 2 4" xfId="10108"/>
    <cellStyle name="Обычный 48 2 2 2 5" xfId="10109"/>
    <cellStyle name="Обычный 48 2 2 2 6" xfId="10110"/>
    <cellStyle name="Обычный 48 2 2 3" xfId="3370"/>
    <cellStyle name="Обычный 48 2 2 3 2" xfId="10111"/>
    <cellStyle name="Обычный 48 2 2 3 3" xfId="10112"/>
    <cellStyle name="Обычный 48 2 2 3 4" xfId="10113"/>
    <cellStyle name="Обычный 48 2 2 3 5" xfId="10114"/>
    <cellStyle name="Обычный 48 2 2 3 6" xfId="10115"/>
    <cellStyle name="Обычный 48 2 2 4" xfId="3371"/>
    <cellStyle name="Обычный 48 2 2 4 2" xfId="10116"/>
    <cellStyle name="Обычный 48 2 2 4 3" xfId="10117"/>
    <cellStyle name="Обычный 48 2 2 4 4" xfId="10118"/>
    <cellStyle name="Обычный 48 2 2 4 5" xfId="10119"/>
    <cellStyle name="Обычный 48 2 2 4 6" xfId="10120"/>
    <cellStyle name="Обычный 48 2 2 5" xfId="10121"/>
    <cellStyle name="Обычный 48 2 2 6" xfId="10122"/>
    <cellStyle name="Обычный 48 2 2 7" xfId="10123"/>
    <cellStyle name="Обычный 48 2 2 8" xfId="10124"/>
    <cellStyle name="Обычный 48 2 2 9" xfId="10125"/>
    <cellStyle name="Обычный 48 2 3" xfId="3372"/>
    <cellStyle name="Обычный 48 3" xfId="3373"/>
    <cellStyle name="Обычный 48 3 2" xfId="3374"/>
    <cellStyle name="Обычный 48 3 2 2" xfId="10126"/>
    <cellStyle name="Обычный 48 3 2 3" xfId="10127"/>
    <cellStyle name="Обычный 48 3 2 4" xfId="10128"/>
    <cellStyle name="Обычный 48 3 2 5" xfId="10129"/>
    <cellStyle name="Обычный 48 3 2 6" xfId="10130"/>
    <cellStyle name="Обычный 48 3 3" xfId="3375"/>
    <cellStyle name="Обычный 48 3 3 2" xfId="10131"/>
    <cellStyle name="Обычный 48 3 3 3" xfId="10132"/>
    <cellStyle name="Обычный 48 3 3 4" xfId="10133"/>
    <cellStyle name="Обычный 48 3 3 5" xfId="10134"/>
    <cellStyle name="Обычный 48 3 3 6" xfId="10135"/>
    <cellStyle name="Обычный 48 3 4" xfId="3376"/>
    <cellStyle name="Обычный 48 3 4 2" xfId="10136"/>
    <cellStyle name="Обычный 48 3 4 3" xfId="10137"/>
    <cellStyle name="Обычный 48 3 4 4" xfId="10138"/>
    <cellStyle name="Обычный 48 3 4 5" xfId="10139"/>
    <cellStyle name="Обычный 48 3 4 6" xfId="10140"/>
    <cellStyle name="Обычный 48 3 5" xfId="10141"/>
    <cellStyle name="Обычный 48 3 6" xfId="10142"/>
    <cellStyle name="Обычный 48 3 7" xfId="10143"/>
    <cellStyle name="Обычный 48 3 8" xfId="10144"/>
    <cellStyle name="Обычный 48 3 9" xfId="10145"/>
    <cellStyle name="Обычный 48 4" xfId="3377"/>
    <cellStyle name="Обычный 48 5" xfId="5304"/>
    <cellStyle name="Обычный 49" xfId="3378"/>
    <cellStyle name="Обычный 49 2" xfId="3379"/>
    <cellStyle name="Обычный 49 2 2" xfId="3380"/>
    <cellStyle name="Обычный 49 2 2 2" xfId="3381"/>
    <cellStyle name="Обычный 49 2 2 2 2" xfId="10146"/>
    <cellStyle name="Обычный 49 2 2 2 3" xfId="10147"/>
    <cellStyle name="Обычный 49 2 2 2 4" xfId="10148"/>
    <cellStyle name="Обычный 49 2 2 2 5" xfId="10149"/>
    <cellStyle name="Обычный 49 2 2 2 6" xfId="10150"/>
    <cellStyle name="Обычный 49 2 2 3" xfId="3382"/>
    <cellStyle name="Обычный 49 2 2 3 2" xfId="10151"/>
    <cellStyle name="Обычный 49 2 2 3 3" xfId="10152"/>
    <cellStyle name="Обычный 49 2 2 3 4" xfId="10153"/>
    <cellStyle name="Обычный 49 2 2 3 5" xfId="10154"/>
    <cellStyle name="Обычный 49 2 2 3 6" xfId="10155"/>
    <cellStyle name="Обычный 49 2 2 4" xfId="3383"/>
    <cellStyle name="Обычный 49 2 2 4 2" xfId="10156"/>
    <cellStyle name="Обычный 49 2 2 4 3" xfId="10157"/>
    <cellStyle name="Обычный 49 2 2 4 4" xfId="10158"/>
    <cellStyle name="Обычный 49 2 2 4 5" xfId="10159"/>
    <cellStyle name="Обычный 49 2 2 4 6" xfId="10160"/>
    <cellStyle name="Обычный 49 2 2 5" xfId="10161"/>
    <cellStyle name="Обычный 49 2 2 6" xfId="10162"/>
    <cellStyle name="Обычный 49 2 2 7" xfId="10163"/>
    <cellStyle name="Обычный 49 2 2 8" xfId="10164"/>
    <cellStyle name="Обычный 49 2 2 9" xfId="10165"/>
    <cellStyle name="Обычный 49 2 3" xfId="3384"/>
    <cellStyle name="Обычный 49 3" xfId="3385"/>
    <cellStyle name="Обычный 49 3 2" xfId="3386"/>
    <cellStyle name="Обычный 49 3 2 2" xfId="10166"/>
    <cellStyle name="Обычный 49 3 2 3" xfId="10167"/>
    <cellStyle name="Обычный 49 3 2 4" xfId="10168"/>
    <cellStyle name="Обычный 49 3 2 5" xfId="10169"/>
    <cellStyle name="Обычный 49 3 2 6" xfId="10170"/>
    <cellStyle name="Обычный 49 3 3" xfId="3387"/>
    <cellStyle name="Обычный 49 3 3 2" xfId="10171"/>
    <cellStyle name="Обычный 49 3 3 3" xfId="10172"/>
    <cellStyle name="Обычный 49 3 3 4" xfId="10173"/>
    <cellStyle name="Обычный 49 3 3 5" xfId="10174"/>
    <cellStyle name="Обычный 49 3 3 6" xfId="10175"/>
    <cellStyle name="Обычный 49 3 4" xfId="3388"/>
    <cellStyle name="Обычный 49 3 4 2" xfId="10176"/>
    <cellStyle name="Обычный 49 3 4 3" xfId="10177"/>
    <cellStyle name="Обычный 49 3 4 4" xfId="10178"/>
    <cellStyle name="Обычный 49 3 4 5" xfId="10179"/>
    <cellStyle name="Обычный 49 3 4 6" xfId="10180"/>
    <cellStyle name="Обычный 49 3 5" xfId="10181"/>
    <cellStyle name="Обычный 49 3 6" xfId="10182"/>
    <cellStyle name="Обычный 49 3 7" xfId="10183"/>
    <cellStyle name="Обычный 49 3 8" xfId="10184"/>
    <cellStyle name="Обычный 49 3 9" xfId="10185"/>
    <cellStyle name="Обычный 49 4" xfId="3389"/>
    <cellStyle name="Обычный 49 5" xfId="5305"/>
    <cellStyle name="Обычный 5" xfId="3390"/>
    <cellStyle name="Обычный 5 10" xfId="3391"/>
    <cellStyle name="Обычный 5 10 10" xfId="10186"/>
    <cellStyle name="Обычный 5 10 2" xfId="3392"/>
    <cellStyle name="Обычный 5 10 2 2" xfId="10187"/>
    <cellStyle name="Обычный 5 10 2 3" xfId="10188"/>
    <cellStyle name="Обычный 5 10 2 4" xfId="10189"/>
    <cellStyle name="Обычный 5 10 2 5" xfId="10190"/>
    <cellStyle name="Обычный 5 10 2 6" xfId="10191"/>
    <cellStyle name="Обычный 5 10 3" xfId="3393"/>
    <cellStyle name="Обычный 5 10 3 2" xfId="10192"/>
    <cellStyle name="Обычный 5 10 3 3" xfId="10193"/>
    <cellStyle name="Обычный 5 10 3 4" xfId="10194"/>
    <cellStyle name="Обычный 5 10 3 5" xfId="10195"/>
    <cellStyle name="Обычный 5 10 3 6" xfId="10196"/>
    <cellStyle name="Обычный 5 10 4" xfId="3394"/>
    <cellStyle name="Обычный 5 10 4 2" xfId="10197"/>
    <cellStyle name="Обычный 5 10 4 3" xfId="10198"/>
    <cellStyle name="Обычный 5 10 4 4" xfId="10199"/>
    <cellStyle name="Обычный 5 10 4 5" xfId="10200"/>
    <cellStyle name="Обычный 5 10 4 6" xfId="10201"/>
    <cellStyle name="Обычный 5 10 5" xfId="3395"/>
    <cellStyle name="Обычный 5 10 6" xfId="10202"/>
    <cellStyle name="Обычный 5 10 7" xfId="10203"/>
    <cellStyle name="Обычный 5 10 8" xfId="10204"/>
    <cellStyle name="Обычный 5 10 9" xfId="10205"/>
    <cellStyle name="Обычный 5 11" xfId="3396"/>
    <cellStyle name="Обычный 5 11 2" xfId="10206"/>
    <cellStyle name="Обычный 5 11 3" xfId="10207"/>
    <cellStyle name="Обычный 5 11 4" xfId="10208"/>
    <cellStyle name="Обычный 5 11 5" xfId="10209"/>
    <cellStyle name="Обычный 5 11 6" xfId="10210"/>
    <cellStyle name="Обычный 5 12" xfId="3397"/>
    <cellStyle name="Обычный 5 12 2" xfId="10211"/>
    <cellStyle name="Обычный 5 12 3" xfId="10212"/>
    <cellStyle name="Обычный 5 12 4" xfId="10213"/>
    <cellStyle name="Обычный 5 12 5" xfId="10214"/>
    <cellStyle name="Обычный 5 12 6" xfId="10215"/>
    <cellStyle name="Обычный 5 13" xfId="3398"/>
    <cellStyle name="Обычный 5 13 2" xfId="10216"/>
    <cellStyle name="Обычный 5 13 3" xfId="10217"/>
    <cellStyle name="Обычный 5 13 4" xfId="10218"/>
    <cellStyle name="Обычный 5 13 5" xfId="10219"/>
    <cellStyle name="Обычный 5 13 6" xfId="10220"/>
    <cellStyle name="Обычный 5 14" xfId="5306"/>
    <cellStyle name="Обычный 5 15" xfId="10221"/>
    <cellStyle name="Обычный 5 16" xfId="10222"/>
    <cellStyle name="Обычный 5 17" xfId="10223"/>
    <cellStyle name="Обычный 5 18" xfId="10224"/>
    <cellStyle name="Обычный 5 2" xfId="3399"/>
    <cellStyle name="Обычный 5 2 10" xfId="3400"/>
    <cellStyle name="Обычный 5 2 10 2" xfId="3401"/>
    <cellStyle name="Обычный 5 2 11" xfId="3402"/>
    <cellStyle name="Обычный 5 2 12" xfId="5307"/>
    <cellStyle name="Обычный 5 2 2" xfId="3403"/>
    <cellStyle name="Обычный 5 2 2 10" xfId="3404"/>
    <cellStyle name="Обычный 5 2 2 10 2" xfId="10225"/>
    <cellStyle name="Обычный 5 2 2 10 3" xfId="10226"/>
    <cellStyle name="Обычный 5 2 2 10 4" xfId="10227"/>
    <cellStyle name="Обычный 5 2 2 10 5" xfId="10228"/>
    <cellStyle name="Обычный 5 2 2 10 6" xfId="10229"/>
    <cellStyle name="Обычный 5 2 2 11" xfId="5308"/>
    <cellStyle name="Обычный 5 2 2 12" xfId="10230"/>
    <cellStyle name="Обычный 5 2 2 13" xfId="10231"/>
    <cellStyle name="Обычный 5 2 2 14" xfId="10232"/>
    <cellStyle name="Обычный 5 2 2 15" xfId="10233"/>
    <cellStyle name="Обычный 5 2 2 2" xfId="3405"/>
    <cellStyle name="Обычный 5 2 2 2 10" xfId="10234"/>
    <cellStyle name="Обычный 5 2 2 2 11" xfId="10235"/>
    <cellStyle name="Обычный 5 2 2 2 2" xfId="3406"/>
    <cellStyle name="Обычный 5 2 2 2 2 2" xfId="3407"/>
    <cellStyle name="Обычный 5 2 2 2 2 2 2" xfId="10236"/>
    <cellStyle name="Обычный 5 2 2 2 2 2 3" xfId="10237"/>
    <cellStyle name="Обычный 5 2 2 2 2 2 4" xfId="10238"/>
    <cellStyle name="Обычный 5 2 2 2 2 2 5" xfId="10239"/>
    <cellStyle name="Обычный 5 2 2 2 2 2 6" xfId="10240"/>
    <cellStyle name="Обычный 5 2 2 2 2 3" xfId="3408"/>
    <cellStyle name="Обычный 5 2 2 2 2 3 2" xfId="10241"/>
    <cellStyle name="Обычный 5 2 2 2 2 3 3" xfId="10242"/>
    <cellStyle name="Обычный 5 2 2 2 2 3 4" xfId="10243"/>
    <cellStyle name="Обычный 5 2 2 2 2 3 5" xfId="10244"/>
    <cellStyle name="Обычный 5 2 2 2 2 3 6" xfId="10245"/>
    <cellStyle name="Обычный 5 2 2 2 2 4" xfId="3409"/>
    <cellStyle name="Обычный 5 2 2 2 2 4 2" xfId="10246"/>
    <cellStyle name="Обычный 5 2 2 2 2 4 3" xfId="10247"/>
    <cellStyle name="Обычный 5 2 2 2 2 4 4" xfId="10248"/>
    <cellStyle name="Обычный 5 2 2 2 2 4 5" xfId="10249"/>
    <cellStyle name="Обычный 5 2 2 2 2 4 6" xfId="10250"/>
    <cellStyle name="Обычный 5 2 2 2 2 5" xfId="5309"/>
    <cellStyle name="Обычный 5 2 2 2 2 6" xfId="10251"/>
    <cellStyle name="Обычный 5 2 2 2 2 7" xfId="10252"/>
    <cellStyle name="Обычный 5 2 2 2 2 8" xfId="10253"/>
    <cellStyle name="Обычный 5 2 2 2 2 9" xfId="10254"/>
    <cellStyle name="Обычный 5 2 2 2 3" xfId="3410"/>
    <cellStyle name="Обычный 5 2 2 2 3 2" xfId="3411"/>
    <cellStyle name="Обычный 5 2 2 2 3 2 2" xfId="10255"/>
    <cellStyle name="Обычный 5 2 2 2 3 2 3" xfId="10256"/>
    <cellStyle name="Обычный 5 2 2 2 3 2 4" xfId="10257"/>
    <cellStyle name="Обычный 5 2 2 2 3 2 5" xfId="10258"/>
    <cellStyle name="Обычный 5 2 2 2 3 2 6" xfId="10259"/>
    <cellStyle name="Обычный 5 2 2 2 3 3" xfId="3412"/>
    <cellStyle name="Обычный 5 2 2 2 3 3 2" xfId="10260"/>
    <cellStyle name="Обычный 5 2 2 2 3 3 3" xfId="10261"/>
    <cellStyle name="Обычный 5 2 2 2 3 3 4" xfId="10262"/>
    <cellStyle name="Обычный 5 2 2 2 3 3 5" xfId="10263"/>
    <cellStyle name="Обычный 5 2 2 2 3 3 6" xfId="10264"/>
    <cellStyle name="Обычный 5 2 2 2 3 4" xfId="3413"/>
    <cellStyle name="Обычный 5 2 2 2 3 4 2" xfId="10265"/>
    <cellStyle name="Обычный 5 2 2 2 3 4 3" xfId="10266"/>
    <cellStyle name="Обычный 5 2 2 2 3 4 4" xfId="10267"/>
    <cellStyle name="Обычный 5 2 2 2 3 4 5" xfId="10268"/>
    <cellStyle name="Обычный 5 2 2 2 3 4 6" xfId="10269"/>
    <cellStyle name="Обычный 5 2 2 2 3 5" xfId="10270"/>
    <cellStyle name="Обычный 5 2 2 2 3 6" xfId="10271"/>
    <cellStyle name="Обычный 5 2 2 2 3 7" xfId="10272"/>
    <cellStyle name="Обычный 5 2 2 2 3 8" xfId="10273"/>
    <cellStyle name="Обычный 5 2 2 2 3 9" xfId="10274"/>
    <cellStyle name="Обычный 5 2 2 2 4" xfId="3414"/>
    <cellStyle name="Обычный 5 2 2 2 4 2" xfId="10275"/>
    <cellStyle name="Обычный 5 2 2 2 4 3" xfId="10276"/>
    <cellStyle name="Обычный 5 2 2 2 4 4" xfId="10277"/>
    <cellStyle name="Обычный 5 2 2 2 4 5" xfId="10278"/>
    <cellStyle name="Обычный 5 2 2 2 4 6" xfId="10279"/>
    <cellStyle name="Обычный 5 2 2 2 5" xfId="3415"/>
    <cellStyle name="Обычный 5 2 2 2 5 2" xfId="10280"/>
    <cellStyle name="Обычный 5 2 2 2 5 3" xfId="10281"/>
    <cellStyle name="Обычный 5 2 2 2 5 4" xfId="10282"/>
    <cellStyle name="Обычный 5 2 2 2 5 5" xfId="10283"/>
    <cellStyle name="Обычный 5 2 2 2 5 6" xfId="10284"/>
    <cellStyle name="Обычный 5 2 2 2 6" xfId="3416"/>
    <cellStyle name="Обычный 5 2 2 2 6 2" xfId="10285"/>
    <cellStyle name="Обычный 5 2 2 2 6 3" xfId="10286"/>
    <cellStyle name="Обычный 5 2 2 2 6 4" xfId="10287"/>
    <cellStyle name="Обычный 5 2 2 2 6 5" xfId="10288"/>
    <cellStyle name="Обычный 5 2 2 2 6 6" xfId="10289"/>
    <cellStyle name="Обычный 5 2 2 2 7" xfId="5310"/>
    <cellStyle name="Обычный 5 2 2 2 8" xfId="10290"/>
    <cellStyle name="Обычный 5 2 2 2 9" xfId="10291"/>
    <cellStyle name="Обычный 5 2 2 3" xfId="3417"/>
    <cellStyle name="Обычный 5 2 2 3 2" xfId="3418"/>
    <cellStyle name="Обычный 5 2 2 3 2 2" xfId="10292"/>
    <cellStyle name="Обычный 5 2 2 3 2 3" xfId="10293"/>
    <cellStyle name="Обычный 5 2 2 3 2 4" xfId="10294"/>
    <cellStyle name="Обычный 5 2 2 3 2 5" xfId="10295"/>
    <cellStyle name="Обычный 5 2 2 3 2 6" xfId="10296"/>
    <cellStyle name="Обычный 5 2 2 3 3" xfId="3419"/>
    <cellStyle name="Обычный 5 2 2 3 3 2" xfId="10297"/>
    <cellStyle name="Обычный 5 2 2 3 3 3" xfId="10298"/>
    <cellStyle name="Обычный 5 2 2 3 3 4" xfId="10299"/>
    <cellStyle name="Обычный 5 2 2 3 3 5" xfId="10300"/>
    <cellStyle name="Обычный 5 2 2 3 3 6" xfId="10301"/>
    <cellStyle name="Обычный 5 2 2 3 4" xfId="3420"/>
    <cellStyle name="Обычный 5 2 2 3 4 2" xfId="10302"/>
    <cellStyle name="Обычный 5 2 2 3 4 3" xfId="10303"/>
    <cellStyle name="Обычный 5 2 2 3 4 4" xfId="10304"/>
    <cellStyle name="Обычный 5 2 2 3 4 5" xfId="10305"/>
    <cellStyle name="Обычный 5 2 2 3 4 6" xfId="10306"/>
    <cellStyle name="Обычный 5 2 2 3 5" xfId="5311"/>
    <cellStyle name="Обычный 5 2 2 3 6" xfId="10307"/>
    <cellStyle name="Обычный 5 2 2 3 7" xfId="10308"/>
    <cellStyle name="Обычный 5 2 2 3 8" xfId="10309"/>
    <cellStyle name="Обычный 5 2 2 3 9" xfId="10310"/>
    <cellStyle name="Обычный 5 2 2 4" xfId="3421"/>
    <cellStyle name="Обычный 5 2 2 4 2" xfId="3422"/>
    <cellStyle name="Обычный 5 2 2 4 2 2" xfId="10311"/>
    <cellStyle name="Обычный 5 2 2 4 2 3" xfId="10312"/>
    <cellStyle name="Обычный 5 2 2 4 2 4" xfId="10313"/>
    <cellStyle name="Обычный 5 2 2 4 2 5" xfId="10314"/>
    <cellStyle name="Обычный 5 2 2 4 2 6" xfId="10315"/>
    <cellStyle name="Обычный 5 2 2 4 3" xfId="3423"/>
    <cellStyle name="Обычный 5 2 2 4 3 2" xfId="10316"/>
    <cellStyle name="Обычный 5 2 2 4 3 3" xfId="10317"/>
    <cellStyle name="Обычный 5 2 2 4 3 4" xfId="10318"/>
    <cellStyle name="Обычный 5 2 2 4 3 5" xfId="10319"/>
    <cellStyle name="Обычный 5 2 2 4 3 6" xfId="10320"/>
    <cellStyle name="Обычный 5 2 2 4 4" xfId="3424"/>
    <cellStyle name="Обычный 5 2 2 4 4 2" xfId="10321"/>
    <cellStyle name="Обычный 5 2 2 4 4 3" xfId="10322"/>
    <cellStyle name="Обычный 5 2 2 4 4 4" xfId="10323"/>
    <cellStyle name="Обычный 5 2 2 4 4 5" xfId="10324"/>
    <cellStyle name="Обычный 5 2 2 4 4 6" xfId="10325"/>
    <cellStyle name="Обычный 5 2 2 4 5" xfId="5312"/>
    <cellStyle name="Обычный 5 2 2 4 6" xfId="10326"/>
    <cellStyle name="Обычный 5 2 2 4 7" xfId="10327"/>
    <cellStyle name="Обычный 5 2 2 4 8" xfId="10328"/>
    <cellStyle name="Обычный 5 2 2 4 9" xfId="10329"/>
    <cellStyle name="Обычный 5 2 2 5" xfId="3425"/>
    <cellStyle name="Обычный 5 2 2 5 2" xfId="3426"/>
    <cellStyle name="Обычный 5 2 2 5 2 2" xfId="10330"/>
    <cellStyle name="Обычный 5 2 2 5 2 3" xfId="10331"/>
    <cellStyle name="Обычный 5 2 2 5 2 4" xfId="10332"/>
    <cellStyle name="Обычный 5 2 2 5 2 5" xfId="10333"/>
    <cellStyle name="Обычный 5 2 2 5 2 6" xfId="10334"/>
    <cellStyle name="Обычный 5 2 2 5 3" xfId="3427"/>
    <cellStyle name="Обычный 5 2 2 5 3 2" xfId="10335"/>
    <cellStyle name="Обычный 5 2 2 5 3 3" xfId="10336"/>
    <cellStyle name="Обычный 5 2 2 5 3 4" xfId="10337"/>
    <cellStyle name="Обычный 5 2 2 5 3 5" xfId="10338"/>
    <cellStyle name="Обычный 5 2 2 5 3 6" xfId="10339"/>
    <cellStyle name="Обычный 5 2 2 5 4" xfId="3428"/>
    <cellStyle name="Обычный 5 2 2 5 4 2" xfId="10340"/>
    <cellStyle name="Обычный 5 2 2 5 4 3" xfId="10341"/>
    <cellStyle name="Обычный 5 2 2 5 4 4" xfId="10342"/>
    <cellStyle name="Обычный 5 2 2 5 4 5" xfId="10343"/>
    <cellStyle name="Обычный 5 2 2 5 4 6" xfId="10344"/>
    <cellStyle name="Обычный 5 2 2 5 5" xfId="5313"/>
    <cellStyle name="Обычный 5 2 2 5 6" xfId="10345"/>
    <cellStyle name="Обычный 5 2 2 5 7" xfId="10346"/>
    <cellStyle name="Обычный 5 2 2 5 8" xfId="10347"/>
    <cellStyle name="Обычный 5 2 2 5 9" xfId="10348"/>
    <cellStyle name="Обычный 5 2 2 6" xfId="3429"/>
    <cellStyle name="Обычный 5 2 2 6 2" xfId="3430"/>
    <cellStyle name="Обычный 5 2 2 6 2 2" xfId="10349"/>
    <cellStyle name="Обычный 5 2 2 6 2 3" xfId="10350"/>
    <cellStyle name="Обычный 5 2 2 6 2 4" xfId="10351"/>
    <cellStyle name="Обычный 5 2 2 6 2 5" xfId="10352"/>
    <cellStyle name="Обычный 5 2 2 6 2 6" xfId="10353"/>
    <cellStyle name="Обычный 5 2 2 6 3" xfId="3431"/>
    <cellStyle name="Обычный 5 2 2 6 3 2" xfId="10354"/>
    <cellStyle name="Обычный 5 2 2 6 3 3" xfId="10355"/>
    <cellStyle name="Обычный 5 2 2 6 3 4" xfId="10356"/>
    <cellStyle name="Обычный 5 2 2 6 3 5" xfId="10357"/>
    <cellStyle name="Обычный 5 2 2 6 3 6" xfId="10358"/>
    <cellStyle name="Обычный 5 2 2 6 4" xfId="3432"/>
    <cellStyle name="Обычный 5 2 2 6 4 2" xfId="10359"/>
    <cellStyle name="Обычный 5 2 2 6 4 3" xfId="10360"/>
    <cellStyle name="Обычный 5 2 2 6 4 4" xfId="10361"/>
    <cellStyle name="Обычный 5 2 2 6 4 5" xfId="10362"/>
    <cellStyle name="Обычный 5 2 2 6 4 6" xfId="10363"/>
    <cellStyle name="Обычный 5 2 2 6 5" xfId="5314"/>
    <cellStyle name="Обычный 5 2 2 6 6" xfId="5315"/>
    <cellStyle name="Обычный 5 2 2 6 7" xfId="10364"/>
    <cellStyle name="Обычный 5 2 2 6 8" xfId="10365"/>
    <cellStyle name="Обычный 5 2 2 6 9" xfId="10366"/>
    <cellStyle name="Обычный 5 2 2 7" xfId="3433"/>
    <cellStyle name="Обычный 5 2 2 7 2" xfId="3434"/>
    <cellStyle name="Обычный 5 2 2 7 2 2" xfId="10367"/>
    <cellStyle name="Обычный 5 2 2 7 2 3" xfId="10368"/>
    <cellStyle name="Обычный 5 2 2 7 2 4" xfId="10369"/>
    <cellStyle name="Обычный 5 2 2 7 2 5" xfId="10370"/>
    <cellStyle name="Обычный 5 2 2 7 2 6" xfId="10371"/>
    <cellStyle name="Обычный 5 2 2 7 3" xfId="3435"/>
    <cellStyle name="Обычный 5 2 2 7 3 2" xfId="10372"/>
    <cellStyle name="Обычный 5 2 2 7 3 3" xfId="10373"/>
    <cellStyle name="Обычный 5 2 2 7 3 4" xfId="10374"/>
    <cellStyle name="Обычный 5 2 2 7 3 5" xfId="10375"/>
    <cellStyle name="Обычный 5 2 2 7 3 6" xfId="10376"/>
    <cellStyle name="Обычный 5 2 2 7 4" xfId="3436"/>
    <cellStyle name="Обычный 5 2 2 7 4 2" xfId="10377"/>
    <cellStyle name="Обычный 5 2 2 7 4 3" xfId="10378"/>
    <cellStyle name="Обычный 5 2 2 7 4 4" xfId="10379"/>
    <cellStyle name="Обычный 5 2 2 7 4 5" xfId="10380"/>
    <cellStyle name="Обычный 5 2 2 7 4 6" xfId="10381"/>
    <cellStyle name="Обычный 5 2 2 7 5" xfId="10382"/>
    <cellStyle name="Обычный 5 2 2 7 6" xfId="10383"/>
    <cellStyle name="Обычный 5 2 2 7 7" xfId="10384"/>
    <cellStyle name="Обычный 5 2 2 7 8" xfId="10385"/>
    <cellStyle name="Обычный 5 2 2 7 9" xfId="10386"/>
    <cellStyle name="Обычный 5 2 2 8" xfId="3437"/>
    <cellStyle name="Обычный 5 2 2 8 2" xfId="10387"/>
    <cellStyle name="Обычный 5 2 2 8 3" xfId="10388"/>
    <cellStyle name="Обычный 5 2 2 8 4" xfId="10389"/>
    <cellStyle name="Обычный 5 2 2 8 5" xfId="10390"/>
    <cellStyle name="Обычный 5 2 2 8 6" xfId="10391"/>
    <cellStyle name="Обычный 5 2 2 9" xfId="3438"/>
    <cellStyle name="Обычный 5 2 2 9 2" xfId="10392"/>
    <cellStyle name="Обычный 5 2 2 9 3" xfId="10393"/>
    <cellStyle name="Обычный 5 2 2 9 4" xfId="10394"/>
    <cellStyle name="Обычный 5 2 2 9 5" xfId="10395"/>
    <cellStyle name="Обычный 5 2 2 9 6" xfId="10396"/>
    <cellStyle name="Обычный 5 2 3" xfId="3439"/>
    <cellStyle name="Обычный 5 2 3 10" xfId="10397"/>
    <cellStyle name="Обычный 5 2 3 11" xfId="10398"/>
    <cellStyle name="Обычный 5 2 3 12" xfId="10399"/>
    <cellStyle name="Обычный 5 2 3 13" xfId="10400"/>
    <cellStyle name="Обычный 5 2 3 2" xfId="3440"/>
    <cellStyle name="Обычный 5 2 3 2 10" xfId="10401"/>
    <cellStyle name="Обычный 5 2 3 2 2" xfId="3441"/>
    <cellStyle name="Обычный 5 2 3 2 2 2" xfId="3442"/>
    <cellStyle name="Обычный 5 2 3 2 2 2 2" xfId="10402"/>
    <cellStyle name="Обычный 5 2 3 2 2 2 3" xfId="10403"/>
    <cellStyle name="Обычный 5 2 3 2 2 2 4" xfId="10404"/>
    <cellStyle name="Обычный 5 2 3 2 2 2 5" xfId="10405"/>
    <cellStyle name="Обычный 5 2 3 2 2 2 6" xfId="10406"/>
    <cellStyle name="Обычный 5 2 3 2 2 3" xfId="3443"/>
    <cellStyle name="Обычный 5 2 3 2 2 3 2" xfId="10407"/>
    <cellStyle name="Обычный 5 2 3 2 2 3 3" xfId="10408"/>
    <cellStyle name="Обычный 5 2 3 2 2 3 4" xfId="10409"/>
    <cellStyle name="Обычный 5 2 3 2 2 3 5" xfId="10410"/>
    <cellStyle name="Обычный 5 2 3 2 2 3 6" xfId="10411"/>
    <cellStyle name="Обычный 5 2 3 2 2 4" xfId="3444"/>
    <cellStyle name="Обычный 5 2 3 2 2 4 2" xfId="10412"/>
    <cellStyle name="Обычный 5 2 3 2 2 4 3" xfId="10413"/>
    <cellStyle name="Обычный 5 2 3 2 2 4 4" xfId="10414"/>
    <cellStyle name="Обычный 5 2 3 2 2 4 5" xfId="10415"/>
    <cellStyle name="Обычный 5 2 3 2 2 4 6" xfId="10416"/>
    <cellStyle name="Обычный 5 2 3 2 2 5" xfId="10417"/>
    <cellStyle name="Обычный 5 2 3 2 2 6" xfId="10418"/>
    <cellStyle name="Обычный 5 2 3 2 2 7" xfId="10419"/>
    <cellStyle name="Обычный 5 2 3 2 2 8" xfId="10420"/>
    <cellStyle name="Обычный 5 2 3 2 2 9" xfId="10421"/>
    <cellStyle name="Обычный 5 2 3 2 3" xfId="3445"/>
    <cellStyle name="Обычный 5 2 3 2 3 2" xfId="10422"/>
    <cellStyle name="Обычный 5 2 3 2 3 3" xfId="10423"/>
    <cellStyle name="Обычный 5 2 3 2 3 4" xfId="10424"/>
    <cellStyle name="Обычный 5 2 3 2 3 5" xfId="10425"/>
    <cellStyle name="Обычный 5 2 3 2 3 6" xfId="10426"/>
    <cellStyle name="Обычный 5 2 3 2 4" xfId="3446"/>
    <cellStyle name="Обычный 5 2 3 2 4 2" xfId="10427"/>
    <cellStyle name="Обычный 5 2 3 2 4 3" xfId="10428"/>
    <cellStyle name="Обычный 5 2 3 2 4 4" xfId="10429"/>
    <cellStyle name="Обычный 5 2 3 2 4 5" xfId="10430"/>
    <cellStyle name="Обычный 5 2 3 2 4 6" xfId="10431"/>
    <cellStyle name="Обычный 5 2 3 2 5" xfId="3447"/>
    <cellStyle name="Обычный 5 2 3 2 5 2" xfId="10432"/>
    <cellStyle name="Обычный 5 2 3 2 5 3" xfId="10433"/>
    <cellStyle name="Обычный 5 2 3 2 5 4" xfId="10434"/>
    <cellStyle name="Обычный 5 2 3 2 5 5" xfId="10435"/>
    <cellStyle name="Обычный 5 2 3 2 5 6" xfId="10436"/>
    <cellStyle name="Обычный 5 2 3 2 6" xfId="5316"/>
    <cellStyle name="Обычный 5 2 3 2 7" xfId="10437"/>
    <cellStyle name="Обычный 5 2 3 2 8" xfId="10438"/>
    <cellStyle name="Обычный 5 2 3 2 9" xfId="10439"/>
    <cellStyle name="Обычный 5 2 3 3" xfId="3448"/>
    <cellStyle name="Обычный 5 2 3 3 10" xfId="10440"/>
    <cellStyle name="Обычный 5 2 3 3 2" xfId="3449"/>
    <cellStyle name="Обычный 5 2 3 3 2 2" xfId="3450"/>
    <cellStyle name="Обычный 5 2 3 3 2 2 2" xfId="10441"/>
    <cellStyle name="Обычный 5 2 3 3 2 2 3" xfId="10442"/>
    <cellStyle name="Обычный 5 2 3 3 2 2 4" xfId="10443"/>
    <cellStyle name="Обычный 5 2 3 3 2 2 5" xfId="10444"/>
    <cellStyle name="Обычный 5 2 3 3 2 2 6" xfId="10445"/>
    <cellStyle name="Обычный 5 2 3 3 2 3" xfId="3451"/>
    <cellStyle name="Обычный 5 2 3 3 2 3 2" xfId="10446"/>
    <cellStyle name="Обычный 5 2 3 3 2 3 3" xfId="10447"/>
    <cellStyle name="Обычный 5 2 3 3 2 3 4" xfId="10448"/>
    <cellStyle name="Обычный 5 2 3 3 2 3 5" xfId="10449"/>
    <cellStyle name="Обычный 5 2 3 3 2 3 6" xfId="10450"/>
    <cellStyle name="Обычный 5 2 3 3 2 4" xfId="3452"/>
    <cellStyle name="Обычный 5 2 3 3 2 4 2" xfId="10451"/>
    <cellStyle name="Обычный 5 2 3 3 2 4 3" xfId="10452"/>
    <cellStyle name="Обычный 5 2 3 3 2 4 4" xfId="10453"/>
    <cellStyle name="Обычный 5 2 3 3 2 4 5" xfId="10454"/>
    <cellStyle name="Обычный 5 2 3 3 2 4 6" xfId="10455"/>
    <cellStyle name="Обычный 5 2 3 3 2 5" xfId="10456"/>
    <cellStyle name="Обычный 5 2 3 3 2 6" xfId="10457"/>
    <cellStyle name="Обычный 5 2 3 3 2 7" xfId="10458"/>
    <cellStyle name="Обычный 5 2 3 3 2 8" xfId="10459"/>
    <cellStyle name="Обычный 5 2 3 3 2 9" xfId="10460"/>
    <cellStyle name="Обычный 5 2 3 3 3" xfId="3453"/>
    <cellStyle name="Обычный 5 2 3 3 3 2" xfId="10461"/>
    <cellStyle name="Обычный 5 2 3 3 3 3" xfId="10462"/>
    <cellStyle name="Обычный 5 2 3 3 3 4" xfId="10463"/>
    <cellStyle name="Обычный 5 2 3 3 3 5" xfId="10464"/>
    <cellStyle name="Обычный 5 2 3 3 3 6" xfId="10465"/>
    <cellStyle name="Обычный 5 2 3 3 4" xfId="3454"/>
    <cellStyle name="Обычный 5 2 3 3 4 2" xfId="10466"/>
    <cellStyle name="Обычный 5 2 3 3 4 3" xfId="10467"/>
    <cellStyle name="Обычный 5 2 3 3 4 4" xfId="10468"/>
    <cellStyle name="Обычный 5 2 3 3 4 5" xfId="10469"/>
    <cellStyle name="Обычный 5 2 3 3 4 6" xfId="10470"/>
    <cellStyle name="Обычный 5 2 3 3 5" xfId="3455"/>
    <cellStyle name="Обычный 5 2 3 3 5 2" xfId="10471"/>
    <cellStyle name="Обычный 5 2 3 3 5 3" xfId="10472"/>
    <cellStyle name="Обычный 5 2 3 3 5 4" xfId="10473"/>
    <cellStyle name="Обычный 5 2 3 3 5 5" xfId="10474"/>
    <cellStyle name="Обычный 5 2 3 3 5 6" xfId="10475"/>
    <cellStyle name="Обычный 5 2 3 3 6" xfId="10476"/>
    <cellStyle name="Обычный 5 2 3 3 7" xfId="10477"/>
    <cellStyle name="Обычный 5 2 3 3 8" xfId="10478"/>
    <cellStyle name="Обычный 5 2 3 3 9" xfId="10479"/>
    <cellStyle name="Обычный 5 2 3 4" xfId="3456"/>
    <cellStyle name="Обычный 5 2 3 4 2" xfId="3457"/>
    <cellStyle name="Обычный 5 2 3 4 2 2" xfId="10480"/>
    <cellStyle name="Обычный 5 2 3 4 2 3" xfId="10481"/>
    <cellStyle name="Обычный 5 2 3 4 2 4" xfId="10482"/>
    <cellStyle name="Обычный 5 2 3 4 2 5" xfId="10483"/>
    <cellStyle name="Обычный 5 2 3 4 2 6" xfId="10484"/>
    <cellStyle name="Обычный 5 2 3 4 3" xfId="3458"/>
    <cellStyle name="Обычный 5 2 3 4 3 2" xfId="10485"/>
    <cellStyle name="Обычный 5 2 3 4 3 3" xfId="10486"/>
    <cellStyle name="Обычный 5 2 3 4 3 4" xfId="10487"/>
    <cellStyle name="Обычный 5 2 3 4 3 5" xfId="10488"/>
    <cellStyle name="Обычный 5 2 3 4 3 6" xfId="10489"/>
    <cellStyle name="Обычный 5 2 3 4 4" xfId="3459"/>
    <cellStyle name="Обычный 5 2 3 4 4 2" xfId="10490"/>
    <cellStyle name="Обычный 5 2 3 4 4 3" xfId="10491"/>
    <cellStyle name="Обычный 5 2 3 4 4 4" xfId="10492"/>
    <cellStyle name="Обычный 5 2 3 4 4 5" xfId="10493"/>
    <cellStyle name="Обычный 5 2 3 4 4 6" xfId="10494"/>
    <cellStyle name="Обычный 5 2 3 4 5" xfId="10495"/>
    <cellStyle name="Обычный 5 2 3 4 6" xfId="10496"/>
    <cellStyle name="Обычный 5 2 3 4 7" xfId="10497"/>
    <cellStyle name="Обычный 5 2 3 4 8" xfId="10498"/>
    <cellStyle name="Обычный 5 2 3 4 9" xfId="10499"/>
    <cellStyle name="Обычный 5 2 3 5" xfId="3460"/>
    <cellStyle name="Обычный 5 2 3 5 2" xfId="3461"/>
    <cellStyle name="Обычный 5 2 3 5 2 2" xfId="10500"/>
    <cellStyle name="Обычный 5 2 3 5 2 3" xfId="10501"/>
    <cellStyle name="Обычный 5 2 3 5 2 4" xfId="10502"/>
    <cellStyle name="Обычный 5 2 3 5 2 5" xfId="10503"/>
    <cellStyle name="Обычный 5 2 3 5 2 6" xfId="10504"/>
    <cellStyle name="Обычный 5 2 3 5 3" xfId="3462"/>
    <cellStyle name="Обычный 5 2 3 5 3 2" xfId="10505"/>
    <cellStyle name="Обычный 5 2 3 5 3 3" xfId="10506"/>
    <cellStyle name="Обычный 5 2 3 5 3 4" xfId="10507"/>
    <cellStyle name="Обычный 5 2 3 5 3 5" xfId="10508"/>
    <cellStyle name="Обычный 5 2 3 5 3 6" xfId="10509"/>
    <cellStyle name="Обычный 5 2 3 5 4" xfId="3463"/>
    <cellStyle name="Обычный 5 2 3 5 4 2" xfId="10510"/>
    <cellStyle name="Обычный 5 2 3 5 4 3" xfId="10511"/>
    <cellStyle name="Обычный 5 2 3 5 4 4" xfId="10512"/>
    <cellStyle name="Обычный 5 2 3 5 4 5" xfId="10513"/>
    <cellStyle name="Обычный 5 2 3 5 4 6" xfId="10514"/>
    <cellStyle name="Обычный 5 2 3 5 5" xfId="10515"/>
    <cellStyle name="Обычный 5 2 3 5 6" xfId="10516"/>
    <cellStyle name="Обычный 5 2 3 5 7" xfId="10517"/>
    <cellStyle name="Обычный 5 2 3 5 8" xfId="10518"/>
    <cellStyle name="Обычный 5 2 3 5 9" xfId="10519"/>
    <cellStyle name="Обычный 5 2 3 6" xfId="3464"/>
    <cellStyle name="Обычный 5 2 3 6 2" xfId="10520"/>
    <cellStyle name="Обычный 5 2 3 6 3" xfId="10521"/>
    <cellStyle name="Обычный 5 2 3 6 4" xfId="10522"/>
    <cellStyle name="Обычный 5 2 3 6 5" xfId="10523"/>
    <cellStyle name="Обычный 5 2 3 6 6" xfId="10524"/>
    <cellStyle name="Обычный 5 2 3 7" xfId="3465"/>
    <cellStyle name="Обычный 5 2 3 7 2" xfId="10525"/>
    <cellStyle name="Обычный 5 2 3 7 3" xfId="10526"/>
    <cellStyle name="Обычный 5 2 3 7 4" xfId="10527"/>
    <cellStyle name="Обычный 5 2 3 7 5" xfId="10528"/>
    <cellStyle name="Обычный 5 2 3 7 6" xfId="10529"/>
    <cellStyle name="Обычный 5 2 3 8" xfId="3466"/>
    <cellStyle name="Обычный 5 2 3 8 2" xfId="10530"/>
    <cellStyle name="Обычный 5 2 3 8 3" xfId="10531"/>
    <cellStyle name="Обычный 5 2 3 8 4" xfId="10532"/>
    <cellStyle name="Обычный 5 2 3 8 5" xfId="10533"/>
    <cellStyle name="Обычный 5 2 3 8 6" xfId="10534"/>
    <cellStyle name="Обычный 5 2 3 9" xfId="5317"/>
    <cellStyle name="Обычный 5 2 4" xfId="3467"/>
    <cellStyle name="Обычный 5 2 4 10" xfId="5318"/>
    <cellStyle name="Обычный 5 2 4 11" xfId="10535"/>
    <cellStyle name="Обычный 5 2 4 12" xfId="10536"/>
    <cellStyle name="Обычный 5 2 4 13" xfId="10537"/>
    <cellStyle name="Обычный 5 2 4 14" xfId="10538"/>
    <cellStyle name="Обычный 5 2 4 2" xfId="3468"/>
    <cellStyle name="Обычный 5 2 4 2 10" xfId="10539"/>
    <cellStyle name="Обычный 5 2 4 2 11" xfId="10540"/>
    <cellStyle name="Обычный 5 2 4 2 2" xfId="3469"/>
    <cellStyle name="Обычный 5 2 4 2 2 10" xfId="10541"/>
    <cellStyle name="Обычный 5 2 4 2 2 2" xfId="3470"/>
    <cellStyle name="Обычный 5 2 4 2 2 2 2" xfId="3471"/>
    <cellStyle name="Обычный 5 2 4 2 2 2 2 2" xfId="10542"/>
    <cellStyle name="Обычный 5 2 4 2 2 2 2 3" xfId="10543"/>
    <cellStyle name="Обычный 5 2 4 2 2 2 2 4" xfId="10544"/>
    <cellStyle name="Обычный 5 2 4 2 2 2 2 5" xfId="10545"/>
    <cellStyle name="Обычный 5 2 4 2 2 2 2 6" xfId="10546"/>
    <cellStyle name="Обычный 5 2 4 2 2 2 3" xfId="3472"/>
    <cellStyle name="Обычный 5 2 4 2 2 2 3 2" xfId="10547"/>
    <cellStyle name="Обычный 5 2 4 2 2 2 3 3" xfId="10548"/>
    <cellStyle name="Обычный 5 2 4 2 2 2 3 4" xfId="10549"/>
    <cellStyle name="Обычный 5 2 4 2 2 2 3 5" xfId="10550"/>
    <cellStyle name="Обычный 5 2 4 2 2 2 3 6" xfId="10551"/>
    <cellStyle name="Обычный 5 2 4 2 2 2 4" xfId="3473"/>
    <cellStyle name="Обычный 5 2 4 2 2 2 4 2" xfId="10552"/>
    <cellStyle name="Обычный 5 2 4 2 2 2 4 3" xfId="10553"/>
    <cellStyle name="Обычный 5 2 4 2 2 2 4 4" xfId="10554"/>
    <cellStyle name="Обычный 5 2 4 2 2 2 4 5" xfId="10555"/>
    <cellStyle name="Обычный 5 2 4 2 2 2 4 6" xfId="10556"/>
    <cellStyle name="Обычный 5 2 4 2 2 2 5" xfId="10557"/>
    <cellStyle name="Обычный 5 2 4 2 2 2 6" xfId="10558"/>
    <cellStyle name="Обычный 5 2 4 2 2 2 7" xfId="10559"/>
    <cellStyle name="Обычный 5 2 4 2 2 2 8" xfId="10560"/>
    <cellStyle name="Обычный 5 2 4 2 2 2 9" xfId="10561"/>
    <cellStyle name="Обычный 5 2 4 2 2 3" xfId="3474"/>
    <cellStyle name="Обычный 5 2 4 2 2 3 2" xfId="10562"/>
    <cellStyle name="Обычный 5 2 4 2 2 3 3" xfId="10563"/>
    <cellStyle name="Обычный 5 2 4 2 2 3 4" xfId="10564"/>
    <cellStyle name="Обычный 5 2 4 2 2 3 5" xfId="10565"/>
    <cellStyle name="Обычный 5 2 4 2 2 3 6" xfId="10566"/>
    <cellStyle name="Обычный 5 2 4 2 2 4" xfId="3475"/>
    <cellStyle name="Обычный 5 2 4 2 2 4 2" xfId="10567"/>
    <cellStyle name="Обычный 5 2 4 2 2 4 3" xfId="10568"/>
    <cellStyle name="Обычный 5 2 4 2 2 4 4" xfId="10569"/>
    <cellStyle name="Обычный 5 2 4 2 2 4 5" xfId="10570"/>
    <cellStyle name="Обычный 5 2 4 2 2 4 6" xfId="10571"/>
    <cellStyle name="Обычный 5 2 4 2 2 5" xfId="3476"/>
    <cellStyle name="Обычный 5 2 4 2 2 5 2" xfId="10572"/>
    <cellStyle name="Обычный 5 2 4 2 2 5 3" xfId="10573"/>
    <cellStyle name="Обычный 5 2 4 2 2 5 4" xfId="10574"/>
    <cellStyle name="Обычный 5 2 4 2 2 5 5" xfId="10575"/>
    <cellStyle name="Обычный 5 2 4 2 2 5 6" xfId="10576"/>
    <cellStyle name="Обычный 5 2 4 2 2 6" xfId="10577"/>
    <cellStyle name="Обычный 5 2 4 2 2 7" xfId="10578"/>
    <cellStyle name="Обычный 5 2 4 2 2 8" xfId="10579"/>
    <cellStyle name="Обычный 5 2 4 2 2 9" xfId="10580"/>
    <cellStyle name="Обычный 5 2 4 2 3" xfId="3477"/>
    <cellStyle name="Обычный 5 2 4 2 3 2" xfId="3478"/>
    <cellStyle name="Обычный 5 2 4 2 3 2 2" xfId="10581"/>
    <cellStyle name="Обычный 5 2 4 2 3 2 3" xfId="10582"/>
    <cellStyle name="Обычный 5 2 4 2 3 2 4" xfId="10583"/>
    <cellStyle name="Обычный 5 2 4 2 3 2 5" xfId="10584"/>
    <cellStyle name="Обычный 5 2 4 2 3 2 6" xfId="10585"/>
    <cellStyle name="Обычный 5 2 4 2 3 3" xfId="3479"/>
    <cellStyle name="Обычный 5 2 4 2 3 3 2" xfId="10586"/>
    <cellStyle name="Обычный 5 2 4 2 3 3 3" xfId="10587"/>
    <cellStyle name="Обычный 5 2 4 2 3 3 4" xfId="10588"/>
    <cellStyle name="Обычный 5 2 4 2 3 3 5" xfId="10589"/>
    <cellStyle name="Обычный 5 2 4 2 3 3 6" xfId="10590"/>
    <cellStyle name="Обычный 5 2 4 2 3 4" xfId="3480"/>
    <cellStyle name="Обычный 5 2 4 2 3 4 2" xfId="10591"/>
    <cellStyle name="Обычный 5 2 4 2 3 4 3" xfId="10592"/>
    <cellStyle name="Обычный 5 2 4 2 3 4 4" xfId="10593"/>
    <cellStyle name="Обычный 5 2 4 2 3 4 5" xfId="10594"/>
    <cellStyle name="Обычный 5 2 4 2 3 4 6" xfId="10595"/>
    <cellStyle name="Обычный 5 2 4 2 3 5" xfId="10596"/>
    <cellStyle name="Обычный 5 2 4 2 3 6" xfId="10597"/>
    <cellStyle name="Обычный 5 2 4 2 3 7" xfId="10598"/>
    <cellStyle name="Обычный 5 2 4 2 3 8" xfId="10599"/>
    <cellStyle name="Обычный 5 2 4 2 3 9" xfId="10600"/>
    <cellStyle name="Обычный 5 2 4 2 4" xfId="3481"/>
    <cellStyle name="Обычный 5 2 4 2 4 2" xfId="10601"/>
    <cellStyle name="Обычный 5 2 4 2 4 3" xfId="10602"/>
    <cellStyle name="Обычный 5 2 4 2 4 4" xfId="10603"/>
    <cellStyle name="Обычный 5 2 4 2 4 5" xfId="10604"/>
    <cellStyle name="Обычный 5 2 4 2 4 6" xfId="10605"/>
    <cellStyle name="Обычный 5 2 4 2 5" xfId="3482"/>
    <cellStyle name="Обычный 5 2 4 2 5 2" xfId="10606"/>
    <cellStyle name="Обычный 5 2 4 2 5 3" xfId="10607"/>
    <cellStyle name="Обычный 5 2 4 2 5 4" xfId="10608"/>
    <cellStyle name="Обычный 5 2 4 2 5 5" xfId="10609"/>
    <cellStyle name="Обычный 5 2 4 2 5 6" xfId="10610"/>
    <cellStyle name="Обычный 5 2 4 2 6" xfId="3483"/>
    <cellStyle name="Обычный 5 2 4 2 6 2" xfId="10611"/>
    <cellStyle name="Обычный 5 2 4 2 6 3" xfId="10612"/>
    <cellStyle name="Обычный 5 2 4 2 6 4" xfId="10613"/>
    <cellStyle name="Обычный 5 2 4 2 6 5" xfId="10614"/>
    <cellStyle name="Обычный 5 2 4 2 6 6" xfId="10615"/>
    <cellStyle name="Обычный 5 2 4 2 7" xfId="10616"/>
    <cellStyle name="Обычный 5 2 4 2 8" xfId="10617"/>
    <cellStyle name="Обычный 5 2 4 2 9" xfId="10618"/>
    <cellStyle name="Обычный 5 2 4 3" xfId="3484"/>
    <cellStyle name="Обычный 5 2 4 3 10" xfId="10619"/>
    <cellStyle name="Обычный 5 2 4 3 2" xfId="3485"/>
    <cellStyle name="Обычный 5 2 4 3 2 2" xfId="3486"/>
    <cellStyle name="Обычный 5 2 4 3 2 2 2" xfId="10620"/>
    <cellStyle name="Обычный 5 2 4 3 2 2 3" xfId="10621"/>
    <cellStyle name="Обычный 5 2 4 3 2 2 4" xfId="10622"/>
    <cellStyle name="Обычный 5 2 4 3 2 2 5" xfId="10623"/>
    <cellStyle name="Обычный 5 2 4 3 2 2 6" xfId="10624"/>
    <cellStyle name="Обычный 5 2 4 3 2 3" xfId="3487"/>
    <cellStyle name="Обычный 5 2 4 3 2 3 2" xfId="10625"/>
    <cellStyle name="Обычный 5 2 4 3 2 3 3" xfId="10626"/>
    <cellStyle name="Обычный 5 2 4 3 2 3 4" xfId="10627"/>
    <cellStyle name="Обычный 5 2 4 3 2 3 5" xfId="10628"/>
    <cellStyle name="Обычный 5 2 4 3 2 3 6" xfId="10629"/>
    <cellStyle name="Обычный 5 2 4 3 2 4" xfId="3488"/>
    <cellStyle name="Обычный 5 2 4 3 2 4 2" xfId="10630"/>
    <cellStyle name="Обычный 5 2 4 3 2 4 3" xfId="10631"/>
    <cellStyle name="Обычный 5 2 4 3 2 4 4" xfId="10632"/>
    <cellStyle name="Обычный 5 2 4 3 2 4 5" xfId="10633"/>
    <cellStyle name="Обычный 5 2 4 3 2 4 6" xfId="10634"/>
    <cellStyle name="Обычный 5 2 4 3 2 5" xfId="10635"/>
    <cellStyle name="Обычный 5 2 4 3 2 6" xfId="10636"/>
    <cellStyle name="Обычный 5 2 4 3 2 7" xfId="10637"/>
    <cellStyle name="Обычный 5 2 4 3 2 8" xfId="10638"/>
    <cellStyle name="Обычный 5 2 4 3 2 9" xfId="10639"/>
    <cellStyle name="Обычный 5 2 4 3 3" xfId="3489"/>
    <cellStyle name="Обычный 5 2 4 3 3 2" xfId="10640"/>
    <cellStyle name="Обычный 5 2 4 3 3 3" xfId="10641"/>
    <cellStyle name="Обычный 5 2 4 3 3 4" xfId="10642"/>
    <cellStyle name="Обычный 5 2 4 3 3 5" xfId="10643"/>
    <cellStyle name="Обычный 5 2 4 3 3 6" xfId="10644"/>
    <cellStyle name="Обычный 5 2 4 3 4" xfId="3490"/>
    <cellStyle name="Обычный 5 2 4 3 4 2" xfId="10645"/>
    <cellStyle name="Обычный 5 2 4 3 4 3" xfId="10646"/>
    <cellStyle name="Обычный 5 2 4 3 4 4" xfId="10647"/>
    <cellStyle name="Обычный 5 2 4 3 4 5" xfId="10648"/>
    <cellStyle name="Обычный 5 2 4 3 4 6" xfId="10649"/>
    <cellStyle name="Обычный 5 2 4 3 5" xfId="3491"/>
    <cellStyle name="Обычный 5 2 4 3 5 2" xfId="10650"/>
    <cellStyle name="Обычный 5 2 4 3 5 3" xfId="10651"/>
    <cellStyle name="Обычный 5 2 4 3 5 4" xfId="10652"/>
    <cellStyle name="Обычный 5 2 4 3 5 5" xfId="10653"/>
    <cellStyle name="Обычный 5 2 4 3 5 6" xfId="10654"/>
    <cellStyle name="Обычный 5 2 4 3 6" xfId="10655"/>
    <cellStyle name="Обычный 5 2 4 3 7" xfId="10656"/>
    <cellStyle name="Обычный 5 2 4 3 8" xfId="10657"/>
    <cellStyle name="Обычный 5 2 4 3 9" xfId="10658"/>
    <cellStyle name="Обычный 5 2 4 4" xfId="3492"/>
    <cellStyle name="Обычный 5 2 4 4 10" xfId="10659"/>
    <cellStyle name="Обычный 5 2 4 4 2" xfId="3493"/>
    <cellStyle name="Обычный 5 2 4 4 2 2" xfId="3494"/>
    <cellStyle name="Обычный 5 2 4 4 2 2 2" xfId="10660"/>
    <cellStyle name="Обычный 5 2 4 4 2 2 3" xfId="10661"/>
    <cellStyle name="Обычный 5 2 4 4 2 2 4" xfId="10662"/>
    <cellStyle name="Обычный 5 2 4 4 2 2 5" xfId="10663"/>
    <cellStyle name="Обычный 5 2 4 4 2 2 6" xfId="10664"/>
    <cellStyle name="Обычный 5 2 4 4 2 3" xfId="3495"/>
    <cellStyle name="Обычный 5 2 4 4 2 3 2" xfId="10665"/>
    <cellStyle name="Обычный 5 2 4 4 2 3 3" xfId="10666"/>
    <cellStyle name="Обычный 5 2 4 4 2 3 4" xfId="10667"/>
    <cellStyle name="Обычный 5 2 4 4 2 3 5" xfId="10668"/>
    <cellStyle name="Обычный 5 2 4 4 2 3 6" xfId="10669"/>
    <cellStyle name="Обычный 5 2 4 4 2 4" xfId="3496"/>
    <cellStyle name="Обычный 5 2 4 4 2 4 2" xfId="10670"/>
    <cellStyle name="Обычный 5 2 4 4 2 4 3" xfId="10671"/>
    <cellStyle name="Обычный 5 2 4 4 2 4 4" xfId="10672"/>
    <cellStyle name="Обычный 5 2 4 4 2 4 5" xfId="10673"/>
    <cellStyle name="Обычный 5 2 4 4 2 4 6" xfId="10674"/>
    <cellStyle name="Обычный 5 2 4 4 2 5" xfId="10675"/>
    <cellStyle name="Обычный 5 2 4 4 2 6" xfId="10676"/>
    <cellStyle name="Обычный 5 2 4 4 2 7" xfId="10677"/>
    <cellStyle name="Обычный 5 2 4 4 2 8" xfId="10678"/>
    <cellStyle name="Обычный 5 2 4 4 2 9" xfId="10679"/>
    <cellStyle name="Обычный 5 2 4 4 3" xfId="3497"/>
    <cellStyle name="Обычный 5 2 4 4 3 2" xfId="10680"/>
    <cellStyle name="Обычный 5 2 4 4 3 3" xfId="10681"/>
    <cellStyle name="Обычный 5 2 4 4 3 4" xfId="10682"/>
    <cellStyle name="Обычный 5 2 4 4 3 5" xfId="10683"/>
    <cellStyle name="Обычный 5 2 4 4 3 6" xfId="10684"/>
    <cellStyle name="Обычный 5 2 4 4 4" xfId="3498"/>
    <cellStyle name="Обычный 5 2 4 4 4 2" xfId="10685"/>
    <cellStyle name="Обычный 5 2 4 4 4 3" xfId="10686"/>
    <cellStyle name="Обычный 5 2 4 4 4 4" xfId="10687"/>
    <cellStyle name="Обычный 5 2 4 4 4 5" xfId="10688"/>
    <cellStyle name="Обычный 5 2 4 4 4 6" xfId="10689"/>
    <cellStyle name="Обычный 5 2 4 4 5" xfId="3499"/>
    <cellStyle name="Обычный 5 2 4 4 5 2" xfId="10690"/>
    <cellStyle name="Обычный 5 2 4 4 5 3" xfId="10691"/>
    <cellStyle name="Обычный 5 2 4 4 5 4" xfId="10692"/>
    <cellStyle name="Обычный 5 2 4 4 5 5" xfId="10693"/>
    <cellStyle name="Обычный 5 2 4 4 5 6" xfId="10694"/>
    <cellStyle name="Обычный 5 2 4 4 6" xfId="10695"/>
    <cellStyle name="Обычный 5 2 4 4 7" xfId="10696"/>
    <cellStyle name="Обычный 5 2 4 4 8" xfId="10697"/>
    <cellStyle name="Обычный 5 2 4 4 9" xfId="10698"/>
    <cellStyle name="Обычный 5 2 4 5" xfId="3500"/>
    <cellStyle name="Обычный 5 2 4 5 2" xfId="3501"/>
    <cellStyle name="Обычный 5 2 4 5 2 2" xfId="10699"/>
    <cellStyle name="Обычный 5 2 4 5 2 3" xfId="10700"/>
    <cellStyle name="Обычный 5 2 4 5 2 4" xfId="10701"/>
    <cellStyle name="Обычный 5 2 4 5 2 5" xfId="10702"/>
    <cellStyle name="Обычный 5 2 4 5 2 6" xfId="10703"/>
    <cellStyle name="Обычный 5 2 4 5 3" xfId="3502"/>
    <cellStyle name="Обычный 5 2 4 5 3 2" xfId="10704"/>
    <cellStyle name="Обычный 5 2 4 5 3 3" xfId="10705"/>
    <cellStyle name="Обычный 5 2 4 5 3 4" xfId="10706"/>
    <cellStyle name="Обычный 5 2 4 5 3 5" xfId="10707"/>
    <cellStyle name="Обычный 5 2 4 5 3 6" xfId="10708"/>
    <cellStyle name="Обычный 5 2 4 5 4" xfId="3503"/>
    <cellStyle name="Обычный 5 2 4 5 4 2" xfId="10709"/>
    <cellStyle name="Обычный 5 2 4 5 4 3" xfId="10710"/>
    <cellStyle name="Обычный 5 2 4 5 4 4" xfId="10711"/>
    <cellStyle name="Обычный 5 2 4 5 4 5" xfId="10712"/>
    <cellStyle name="Обычный 5 2 4 5 4 6" xfId="10713"/>
    <cellStyle name="Обычный 5 2 4 5 5" xfId="10714"/>
    <cellStyle name="Обычный 5 2 4 5 6" xfId="10715"/>
    <cellStyle name="Обычный 5 2 4 5 7" xfId="10716"/>
    <cellStyle name="Обычный 5 2 4 5 8" xfId="10717"/>
    <cellStyle name="Обычный 5 2 4 5 9" xfId="10718"/>
    <cellStyle name="Обычный 5 2 4 6" xfId="3504"/>
    <cellStyle name="Обычный 5 2 4 6 2" xfId="3505"/>
    <cellStyle name="Обычный 5 2 4 6 2 2" xfId="10719"/>
    <cellStyle name="Обычный 5 2 4 6 2 3" xfId="10720"/>
    <cellStyle name="Обычный 5 2 4 6 2 4" xfId="10721"/>
    <cellStyle name="Обычный 5 2 4 6 2 5" xfId="10722"/>
    <cellStyle name="Обычный 5 2 4 6 2 6" xfId="10723"/>
    <cellStyle name="Обычный 5 2 4 6 3" xfId="3506"/>
    <cellStyle name="Обычный 5 2 4 6 3 2" xfId="10724"/>
    <cellStyle name="Обычный 5 2 4 6 3 3" xfId="10725"/>
    <cellStyle name="Обычный 5 2 4 6 3 4" xfId="10726"/>
    <cellStyle name="Обычный 5 2 4 6 3 5" xfId="10727"/>
    <cellStyle name="Обычный 5 2 4 6 3 6" xfId="10728"/>
    <cellStyle name="Обычный 5 2 4 6 4" xfId="3507"/>
    <cellStyle name="Обычный 5 2 4 6 4 2" xfId="10729"/>
    <cellStyle name="Обычный 5 2 4 6 4 3" xfId="10730"/>
    <cellStyle name="Обычный 5 2 4 6 4 4" xfId="10731"/>
    <cellStyle name="Обычный 5 2 4 6 4 5" xfId="10732"/>
    <cellStyle name="Обычный 5 2 4 6 4 6" xfId="10733"/>
    <cellStyle name="Обычный 5 2 4 6 5" xfId="10734"/>
    <cellStyle name="Обычный 5 2 4 6 6" xfId="10735"/>
    <cellStyle name="Обычный 5 2 4 6 7" xfId="10736"/>
    <cellStyle name="Обычный 5 2 4 6 8" xfId="10737"/>
    <cellStyle name="Обычный 5 2 4 6 9" xfId="10738"/>
    <cellStyle name="Обычный 5 2 4 7" xfId="3508"/>
    <cellStyle name="Обычный 5 2 4 7 2" xfId="10739"/>
    <cellStyle name="Обычный 5 2 4 7 3" xfId="10740"/>
    <cellStyle name="Обычный 5 2 4 7 4" xfId="10741"/>
    <cellStyle name="Обычный 5 2 4 7 5" xfId="10742"/>
    <cellStyle name="Обычный 5 2 4 7 6" xfId="10743"/>
    <cellStyle name="Обычный 5 2 4 8" xfId="3509"/>
    <cellStyle name="Обычный 5 2 4 8 2" xfId="10744"/>
    <cellStyle name="Обычный 5 2 4 8 3" xfId="10745"/>
    <cellStyle name="Обычный 5 2 4 8 4" xfId="10746"/>
    <cellStyle name="Обычный 5 2 4 8 5" xfId="10747"/>
    <cellStyle name="Обычный 5 2 4 8 6" xfId="10748"/>
    <cellStyle name="Обычный 5 2 4 9" xfId="3510"/>
    <cellStyle name="Обычный 5 2 4 9 2" xfId="10749"/>
    <cellStyle name="Обычный 5 2 4 9 3" xfId="10750"/>
    <cellStyle name="Обычный 5 2 4 9 4" xfId="10751"/>
    <cellStyle name="Обычный 5 2 4 9 5" xfId="10752"/>
    <cellStyle name="Обычный 5 2 4 9 6" xfId="10753"/>
    <cellStyle name="Обычный 5 2 5" xfId="3511"/>
    <cellStyle name="Обычный 5 2 5 10" xfId="10754"/>
    <cellStyle name="Обычный 5 2 5 11" xfId="10755"/>
    <cellStyle name="Обычный 5 2 5 2" xfId="3512"/>
    <cellStyle name="Обычный 5 2 5 2 2" xfId="3513"/>
    <cellStyle name="Обычный 5 2 5 2 2 2" xfId="10756"/>
    <cellStyle name="Обычный 5 2 5 2 2 3" xfId="10757"/>
    <cellStyle name="Обычный 5 2 5 2 2 4" xfId="10758"/>
    <cellStyle name="Обычный 5 2 5 2 2 5" xfId="10759"/>
    <cellStyle name="Обычный 5 2 5 2 2 6" xfId="10760"/>
    <cellStyle name="Обычный 5 2 5 2 3" xfId="3514"/>
    <cellStyle name="Обычный 5 2 5 2 3 2" xfId="10761"/>
    <cellStyle name="Обычный 5 2 5 2 3 3" xfId="10762"/>
    <cellStyle name="Обычный 5 2 5 2 3 4" xfId="10763"/>
    <cellStyle name="Обычный 5 2 5 2 3 5" xfId="10764"/>
    <cellStyle name="Обычный 5 2 5 2 3 6" xfId="10765"/>
    <cellStyle name="Обычный 5 2 5 2 4" xfId="3515"/>
    <cellStyle name="Обычный 5 2 5 2 4 2" xfId="10766"/>
    <cellStyle name="Обычный 5 2 5 2 4 3" xfId="10767"/>
    <cellStyle name="Обычный 5 2 5 2 4 4" xfId="10768"/>
    <cellStyle name="Обычный 5 2 5 2 4 5" xfId="10769"/>
    <cellStyle name="Обычный 5 2 5 2 4 6" xfId="10770"/>
    <cellStyle name="Обычный 5 2 5 2 5" xfId="10771"/>
    <cellStyle name="Обычный 5 2 5 2 6" xfId="10772"/>
    <cellStyle name="Обычный 5 2 5 2 7" xfId="10773"/>
    <cellStyle name="Обычный 5 2 5 2 8" xfId="10774"/>
    <cellStyle name="Обычный 5 2 5 2 9" xfId="10775"/>
    <cellStyle name="Обычный 5 2 5 3" xfId="3516"/>
    <cellStyle name="Обычный 5 2 5 3 2" xfId="3517"/>
    <cellStyle name="Обычный 5 2 5 3 2 2" xfId="10776"/>
    <cellStyle name="Обычный 5 2 5 3 2 3" xfId="10777"/>
    <cellStyle name="Обычный 5 2 5 3 2 4" xfId="10778"/>
    <cellStyle name="Обычный 5 2 5 3 2 5" xfId="10779"/>
    <cellStyle name="Обычный 5 2 5 3 2 6" xfId="10780"/>
    <cellStyle name="Обычный 5 2 5 3 3" xfId="3518"/>
    <cellStyle name="Обычный 5 2 5 3 3 2" xfId="10781"/>
    <cellStyle name="Обычный 5 2 5 3 3 3" xfId="10782"/>
    <cellStyle name="Обычный 5 2 5 3 3 4" xfId="10783"/>
    <cellStyle name="Обычный 5 2 5 3 3 5" xfId="10784"/>
    <cellStyle name="Обычный 5 2 5 3 3 6" xfId="10785"/>
    <cellStyle name="Обычный 5 2 5 3 4" xfId="3519"/>
    <cellStyle name="Обычный 5 2 5 3 4 2" xfId="10786"/>
    <cellStyle name="Обычный 5 2 5 3 4 3" xfId="10787"/>
    <cellStyle name="Обычный 5 2 5 3 4 4" xfId="10788"/>
    <cellStyle name="Обычный 5 2 5 3 4 5" xfId="10789"/>
    <cellStyle name="Обычный 5 2 5 3 4 6" xfId="10790"/>
    <cellStyle name="Обычный 5 2 5 3 5" xfId="10791"/>
    <cellStyle name="Обычный 5 2 5 3 6" xfId="10792"/>
    <cellStyle name="Обычный 5 2 5 3 7" xfId="10793"/>
    <cellStyle name="Обычный 5 2 5 3 8" xfId="10794"/>
    <cellStyle name="Обычный 5 2 5 3 9" xfId="10795"/>
    <cellStyle name="Обычный 5 2 5 4" xfId="3520"/>
    <cellStyle name="Обычный 5 2 5 4 2" xfId="10796"/>
    <cellStyle name="Обычный 5 2 5 4 3" xfId="10797"/>
    <cellStyle name="Обычный 5 2 5 4 4" xfId="10798"/>
    <cellStyle name="Обычный 5 2 5 4 5" xfId="10799"/>
    <cellStyle name="Обычный 5 2 5 4 6" xfId="10800"/>
    <cellStyle name="Обычный 5 2 5 5" xfId="3521"/>
    <cellStyle name="Обычный 5 2 5 5 2" xfId="10801"/>
    <cellStyle name="Обычный 5 2 5 5 3" xfId="10802"/>
    <cellStyle name="Обычный 5 2 5 5 4" xfId="10803"/>
    <cellStyle name="Обычный 5 2 5 5 5" xfId="10804"/>
    <cellStyle name="Обычный 5 2 5 5 6" xfId="10805"/>
    <cellStyle name="Обычный 5 2 5 6" xfId="3522"/>
    <cellStyle name="Обычный 5 2 5 6 2" xfId="10806"/>
    <cellStyle name="Обычный 5 2 5 6 3" xfId="10807"/>
    <cellStyle name="Обычный 5 2 5 6 4" xfId="10808"/>
    <cellStyle name="Обычный 5 2 5 6 5" xfId="10809"/>
    <cellStyle name="Обычный 5 2 5 6 6" xfId="10810"/>
    <cellStyle name="Обычный 5 2 5 7" xfId="5319"/>
    <cellStyle name="Обычный 5 2 5 8" xfId="10811"/>
    <cellStyle name="Обычный 5 2 5 9" xfId="10812"/>
    <cellStyle name="Обычный 5 2 6" xfId="3523"/>
    <cellStyle name="Обычный 5 2 6 10" xfId="10813"/>
    <cellStyle name="Обычный 5 2 6 2" xfId="3524"/>
    <cellStyle name="Обычный 5 2 6 2 2" xfId="3525"/>
    <cellStyle name="Обычный 5 2 6 2 2 2" xfId="10814"/>
    <cellStyle name="Обычный 5 2 6 2 2 3" xfId="10815"/>
    <cellStyle name="Обычный 5 2 6 2 2 4" xfId="10816"/>
    <cellStyle name="Обычный 5 2 6 2 2 5" xfId="10817"/>
    <cellStyle name="Обычный 5 2 6 2 2 6" xfId="10818"/>
    <cellStyle name="Обычный 5 2 6 2 3" xfId="3526"/>
    <cellStyle name="Обычный 5 2 6 2 3 2" xfId="10819"/>
    <cellStyle name="Обычный 5 2 6 2 3 3" xfId="10820"/>
    <cellStyle name="Обычный 5 2 6 2 3 4" xfId="10821"/>
    <cellStyle name="Обычный 5 2 6 2 3 5" xfId="10822"/>
    <cellStyle name="Обычный 5 2 6 2 3 6" xfId="10823"/>
    <cellStyle name="Обычный 5 2 6 2 4" xfId="3527"/>
    <cellStyle name="Обычный 5 2 6 2 4 2" xfId="10824"/>
    <cellStyle name="Обычный 5 2 6 2 4 3" xfId="10825"/>
    <cellStyle name="Обычный 5 2 6 2 4 4" xfId="10826"/>
    <cellStyle name="Обычный 5 2 6 2 4 5" xfId="10827"/>
    <cellStyle name="Обычный 5 2 6 2 4 6" xfId="10828"/>
    <cellStyle name="Обычный 5 2 6 2 5" xfId="10829"/>
    <cellStyle name="Обычный 5 2 6 2 6" xfId="10830"/>
    <cellStyle name="Обычный 5 2 6 2 7" xfId="10831"/>
    <cellStyle name="Обычный 5 2 6 2 8" xfId="10832"/>
    <cellStyle name="Обычный 5 2 6 2 9" xfId="10833"/>
    <cellStyle name="Обычный 5 2 6 3" xfId="3528"/>
    <cellStyle name="Обычный 5 2 6 3 2" xfId="10834"/>
    <cellStyle name="Обычный 5 2 6 3 3" xfId="10835"/>
    <cellStyle name="Обычный 5 2 6 3 4" xfId="10836"/>
    <cellStyle name="Обычный 5 2 6 3 5" xfId="10837"/>
    <cellStyle name="Обычный 5 2 6 3 6" xfId="10838"/>
    <cellStyle name="Обычный 5 2 6 4" xfId="3529"/>
    <cellStyle name="Обычный 5 2 6 4 2" xfId="10839"/>
    <cellStyle name="Обычный 5 2 6 4 3" xfId="10840"/>
    <cellStyle name="Обычный 5 2 6 4 4" xfId="10841"/>
    <cellStyle name="Обычный 5 2 6 4 5" xfId="10842"/>
    <cellStyle name="Обычный 5 2 6 4 6" xfId="10843"/>
    <cellStyle name="Обычный 5 2 6 5" xfId="3530"/>
    <cellStyle name="Обычный 5 2 6 5 2" xfId="10844"/>
    <cellStyle name="Обычный 5 2 6 5 3" xfId="10845"/>
    <cellStyle name="Обычный 5 2 6 5 4" xfId="10846"/>
    <cellStyle name="Обычный 5 2 6 5 5" xfId="10847"/>
    <cellStyle name="Обычный 5 2 6 5 6" xfId="10848"/>
    <cellStyle name="Обычный 5 2 6 6" xfId="5320"/>
    <cellStyle name="Обычный 5 2 6 7" xfId="10849"/>
    <cellStyle name="Обычный 5 2 6 8" xfId="10850"/>
    <cellStyle name="Обычный 5 2 6 9" xfId="10851"/>
    <cellStyle name="Обычный 5 2 7" xfId="3531"/>
    <cellStyle name="Обычный 5 2 7 10" xfId="10852"/>
    <cellStyle name="Обычный 5 2 7 2" xfId="3532"/>
    <cellStyle name="Обычный 5 2 7 2 2" xfId="3533"/>
    <cellStyle name="Обычный 5 2 7 3" xfId="3534"/>
    <cellStyle name="Обычный 5 2 7 3 2" xfId="10853"/>
    <cellStyle name="Обычный 5 2 7 3 3" xfId="10854"/>
    <cellStyle name="Обычный 5 2 7 3 4" xfId="10855"/>
    <cellStyle name="Обычный 5 2 7 3 5" xfId="10856"/>
    <cellStyle name="Обычный 5 2 7 3 6" xfId="10857"/>
    <cellStyle name="Обычный 5 2 7 4" xfId="3535"/>
    <cellStyle name="Обычный 5 2 7 4 2" xfId="10858"/>
    <cellStyle name="Обычный 5 2 7 4 3" xfId="10859"/>
    <cellStyle name="Обычный 5 2 7 4 4" xfId="10860"/>
    <cellStyle name="Обычный 5 2 7 4 5" xfId="10861"/>
    <cellStyle name="Обычный 5 2 7 4 6" xfId="10862"/>
    <cellStyle name="Обычный 5 2 7 5" xfId="3536"/>
    <cellStyle name="Обычный 5 2 7 5 2" xfId="10863"/>
    <cellStyle name="Обычный 5 2 7 5 3" xfId="10864"/>
    <cellStyle name="Обычный 5 2 7 5 4" xfId="10865"/>
    <cellStyle name="Обычный 5 2 7 5 5" xfId="10866"/>
    <cellStyle name="Обычный 5 2 7 5 6" xfId="10867"/>
    <cellStyle name="Обычный 5 2 7 6" xfId="10868"/>
    <cellStyle name="Обычный 5 2 7 7" xfId="10869"/>
    <cellStyle name="Обычный 5 2 7 8" xfId="10870"/>
    <cellStyle name="Обычный 5 2 7 9" xfId="10871"/>
    <cellStyle name="Обычный 5 2 8" xfId="3537"/>
    <cellStyle name="Обычный 5 2 8 2" xfId="3538"/>
    <cellStyle name="Обычный 5 2 8 2 2" xfId="10872"/>
    <cellStyle name="Обычный 5 2 8 2 3" xfId="10873"/>
    <cellStyle name="Обычный 5 2 8 2 4" xfId="10874"/>
    <cellStyle name="Обычный 5 2 8 2 5" xfId="10875"/>
    <cellStyle name="Обычный 5 2 8 2 6" xfId="10876"/>
    <cellStyle name="Обычный 5 2 8 3" xfId="3539"/>
    <cellStyle name="Обычный 5 2 8 3 2" xfId="10877"/>
    <cellStyle name="Обычный 5 2 8 3 3" xfId="10878"/>
    <cellStyle name="Обычный 5 2 8 3 4" xfId="10879"/>
    <cellStyle name="Обычный 5 2 8 3 5" xfId="10880"/>
    <cellStyle name="Обычный 5 2 8 3 6" xfId="10881"/>
    <cellStyle name="Обычный 5 2 8 4" xfId="3540"/>
    <cellStyle name="Обычный 5 2 8 4 2" xfId="10882"/>
    <cellStyle name="Обычный 5 2 8 4 3" xfId="10883"/>
    <cellStyle name="Обычный 5 2 8 4 4" xfId="10884"/>
    <cellStyle name="Обычный 5 2 8 4 5" xfId="10885"/>
    <cellStyle name="Обычный 5 2 8 4 6" xfId="10886"/>
    <cellStyle name="Обычный 5 2 8 5" xfId="10887"/>
    <cellStyle name="Обычный 5 2 8 6" xfId="10888"/>
    <cellStyle name="Обычный 5 2 8 7" xfId="10889"/>
    <cellStyle name="Обычный 5 2 8 8" xfId="10890"/>
    <cellStyle name="Обычный 5 2 8 9" xfId="10891"/>
    <cellStyle name="Обычный 5 2 9" xfId="3541"/>
    <cellStyle name="Обычный 5 2 9 2" xfId="3542"/>
    <cellStyle name="Обычный 5 2 9 2 2" xfId="10892"/>
    <cellStyle name="Обычный 5 2 9 2 3" xfId="10893"/>
    <cellStyle name="Обычный 5 2 9 2 4" xfId="10894"/>
    <cellStyle name="Обычный 5 2 9 2 5" xfId="10895"/>
    <cellStyle name="Обычный 5 2 9 2 6" xfId="10896"/>
    <cellStyle name="Обычный 5 2 9 3" xfId="3543"/>
    <cellStyle name="Обычный 5 2 9 3 2" xfId="10897"/>
    <cellStyle name="Обычный 5 2 9 3 3" xfId="10898"/>
    <cellStyle name="Обычный 5 2 9 3 4" xfId="10899"/>
    <cellStyle name="Обычный 5 2 9 3 5" xfId="10900"/>
    <cellStyle name="Обычный 5 2 9 3 6" xfId="10901"/>
    <cellStyle name="Обычный 5 2 9 4" xfId="3544"/>
    <cellStyle name="Обычный 5 2 9 4 2" xfId="10902"/>
    <cellStyle name="Обычный 5 2 9 4 3" xfId="10903"/>
    <cellStyle name="Обычный 5 2 9 4 4" xfId="10904"/>
    <cellStyle name="Обычный 5 2 9 4 5" xfId="10905"/>
    <cellStyle name="Обычный 5 2 9 4 6" xfId="10906"/>
    <cellStyle name="Обычный 5 2 9 5" xfId="10907"/>
    <cellStyle name="Обычный 5 2 9 6" xfId="10908"/>
    <cellStyle name="Обычный 5 2 9 7" xfId="10909"/>
    <cellStyle name="Обычный 5 2 9 8" xfId="10910"/>
    <cellStyle name="Обычный 5 2 9 9" xfId="10911"/>
    <cellStyle name="Обычный 5 3" xfId="3545"/>
    <cellStyle name="Обычный 5 3 10" xfId="5321"/>
    <cellStyle name="Обычный 5 3 11" xfId="10912"/>
    <cellStyle name="Обычный 5 3 12" xfId="10913"/>
    <cellStyle name="Обычный 5 3 13" xfId="10914"/>
    <cellStyle name="Обычный 5 3 14" xfId="10915"/>
    <cellStyle name="Обычный 5 3 2" xfId="3546"/>
    <cellStyle name="Обычный 5 3 2 10" xfId="10916"/>
    <cellStyle name="Обычный 5 3 2 11" xfId="10917"/>
    <cellStyle name="Обычный 5 3 2 12" xfId="10918"/>
    <cellStyle name="Обычный 5 3 2 2" xfId="3547"/>
    <cellStyle name="Обычный 5 3 2 2 10" xfId="10919"/>
    <cellStyle name="Обычный 5 3 2 2 2" xfId="3548"/>
    <cellStyle name="Обычный 5 3 2 2 2 2" xfId="3549"/>
    <cellStyle name="Обычный 5 3 2 2 2 2 2" xfId="10920"/>
    <cellStyle name="Обычный 5 3 2 2 2 2 3" xfId="10921"/>
    <cellStyle name="Обычный 5 3 2 2 2 2 4" xfId="10922"/>
    <cellStyle name="Обычный 5 3 2 2 2 2 5" xfId="10923"/>
    <cellStyle name="Обычный 5 3 2 2 2 2 6" xfId="10924"/>
    <cellStyle name="Обычный 5 3 2 2 2 3" xfId="3550"/>
    <cellStyle name="Обычный 5 3 2 2 2 3 2" xfId="10925"/>
    <cellStyle name="Обычный 5 3 2 2 2 3 3" xfId="10926"/>
    <cellStyle name="Обычный 5 3 2 2 2 3 4" xfId="10927"/>
    <cellStyle name="Обычный 5 3 2 2 2 3 5" xfId="10928"/>
    <cellStyle name="Обычный 5 3 2 2 2 3 6" xfId="10929"/>
    <cellStyle name="Обычный 5 3 2 2 2 4" xfId="3551"/>
    <cellStyle name="Обычный 5 3 2 2 2 4 2" xfId="10930"/>
    <cellStyle name="Обычный 5 3 2 2 2 4 3" xfId="10931"/>
    <cellStyle name="Обычный 5 3 2 2 2 4 4" xfId="10932"/>
    <cellStyle name="Обычный 5 3 2 2 2 4 5" xfId="10933"/>
    <cellStyle name="Обычный 5 3 2 2 2 4 6" xfId="10934"/>
    <cellStyle name="Обычный 5 3 2 2 2 5" xfId="10935"/>
    <cellStyle name="Обычный 5 3 2 2 2 6" xfId="10936"/>
    <cellStyle name="Обычный 5 3 2 2 2 7" xfId="10937"/>
    <cellStyle name="Обычный 5 3 2 2 2 8" xfId="10938"/>
    <cellStyle name="Обычный 5 3 2 2 2 9" xfId="10939"/>
    <cellStyle name="Обычный 5 3 2 2 3" xfId="3552"/>
    <cellStyle name="Обычный 5 3 2 2 3 2" xfId="10940"/>
    <cellStyle name="Обычный 5 3 2 2 3 3" xfId="10941"/>
    <cellStyle name="Обычный 5 3 2 2 3 4" xfId="10942"/>
    <cellStyle name="Обычный 5 3 2 2 3 5" xfId="10943"/>
    <cellStyle name="Обычный 5 3 2 2 3 6" xfId="10944"/>
    <cellStyle name="Обычный 5 3 2 2 4" xfId="3553"/>
    <cellStyle name="Обычный 5 3 2 2 4 2" xfId="10945"/>
    <cellStyle name="Обычный 5 3 2 2 4 3" xfId="10946"/>
    <cellStyle name="Обычный 5 3 2 2 4 4" xfId="10947"/>
    <cellStyle name="Обычный 5 3 2 2 4 5" xfId="10948"/>
    <cellStyle name="Обычный 5 3 2 2 4 6" xfId="10949"/>
    <cellStyle name="Обычный 5 3 2 2 5" xfId="3554"/>
    <cellStyle name="Обычный 5 3 2 2 5 2" xfId="10950"/>
    <cellStyle name="Обычный 5 3 2 2 5 3" xfId="10951"/>
    <cellStyle name="Обычный 5 3 2 2 5 4" xfId="10952"/>
    <cellStyle name="Обычный 5 3 2 2 5 5" xfId="10953"/>
    <cellStyle name="Обычный 5 3 2 2 5 6" xfId="10954"/>
    <cellStyle name="Обычный 5 3 2 2 6" xfId="10955"/>
    <cellStyle name="Обычный 5 3 2 2 7" xfId="10956"/>
    <cellStyle name="Обычный 5 3 2 2 8" xfId="10957"/>
    <cellStyle name="Обычный 5 3 2 2 9" xfId="10958"/>
    <cellStyle name="Обычный 5 3 2 3" xfId="3555"/>
    <cellStyle name="Обычный 5 3 2 3 2" xfId="3556"/>
    <cellStyle name="Обычный 5 3 2 3 2 2" xfId="10959"/>
    <cellStyle name="Обычный 5 3 2 3 2 3" xfId="10960"/>
    <cellStyle name="Обычный 5 3 2 3 2 4" xfId="10961"/>
    <cellStyle name="Обычный 5 3 2 3 2 5" xfId="10962"/>
    <cellStyle name="Обычный 5 3 2 3 2 6" xfId="10963"/>
    <cellStyle name="Обычный 5 3 2 3 3" xfId="3557"/>
    <cellStyle name="Обычный 5 3 2 3 3 2" xfId="10964"/>
    <cellStyle name="Обычный 5 3 2 3 3 3" xfId="10965"/>
    <cellStyle name="Обычный 5 3 2 3 3 4" xfId="10966"/>
    <cellStyle name="Обычный 5 3 2 3 3 5" xfId="10967"/>
    <cellStyle name="Обычный 5 3 2 3 3 6" xfId="10968"/>
    <cellStyle name="Обычный 5 3 2 3 4" xfId="3558"/>
    <cellStyle name="Обычный 5 3 2 3 4 2" xfId="10969"/>
    <cellStyle name="Обычный 5 3 2 3 4 3" xfId="10970"/>
    <cellStyle name="Обычный 5 3 2 3 4 4" xfId="10971"/>
    <cellStyle name="Обычный 5 3 2 3 4 5" xfId="10972"/>
    <cellStyle name="Обычный 5 3 2 3 4 6" xfId="10973"/>
    <cellStyle name="Обычный 5 3 2 3 5" xfId="10974"/>
    <cellStyle name="Обычный 5 3 2 3 6" xfId="10975"/>
    <cellStyle name="Обычный 5 3 2 3 7" xfId="10976"/>
    <cellStyle name="Обычный 5 3 2 3 8" xfId="10977"/>
    <cellStyle name="Обычный 5 3 2 3 9" xfId="10978"/>
    <cellStyle name="Обычный 5 3 2 4" xfId="3559"/>
    <cellStyle name="Обычный 5 3 2 4 2" xfId="3560"/>
    <cellStyle name="Обычный 5 3 2 4 2 2" xfId="10979"/>
    <cellStyle name="Обычный 5 3 2 4 2 3" xfId="10980"/>
    <cellStyle name="Обычный 5 3 2 4 2 4" xfId="10981"/>
    <cellStyle name="Обычный 5 3 2 4 2 5" xfId="10982"/>
    <cellStyle name="Обычный 5 3 2 4 2 6" xfId="10983"/>
    <cellStyle name="Обычный 5 3 2 4 3" xfId="3561"/>
    <cellStyle name="Обычный 5 3 2 4 3 2" xfId="10984"/>
    <cellStyle name="Обычный 5 3 2 4 3 3" xfId="10985"/>
    <cellStyle name="Обычный 5 3 2 4 3 4" xfId="10986"/>
    <cellStyle name="Обычный 5 3 2 4 3 5" xfId="10987"/>
    <cellStyle name="Обычный 5 3 2 4 3 6" xfId="10988"/>
    <cellStyle name="Обычный 5 3 2 4 4" xfId="3562"/>
    <cellStyle name="Обычный 5 3 2 4 4 2" xfId="10989"/>
    <cellStyle name="Обычный 5 3 2 4 4 3" xfId="10990"/>
    <cellStyle name="Обычный 5 3 2 4 4 4" xfId="10991"/>
    <cellStyle name="Обычный 5 3 2 4 4 5" xfId="10992"/>
    <cellStyle name="Обычный 5 3 2 4 4 6" xfId="10993"/>
    <cellStyle name="Обычный 5 3 2 4 5" xfId="10994"/>
    <cellStyle name="Обычный 5 3 2 4 6" xfId="10995"/>
    <cellStyle name="Обычный 5 3 2 4 7" xfId="10996"/>
    <cellStyle name="Обычный 5 3 2 4 8" xfId="10997"/>
    <cellStyle name="Обычный 5 3 2 4 9" xfId="10998"/>
    <cellStyle name="Обычный 5 3 2 5" xfId="3563"/>
    <cellStyle name="Обычный 5 3 2 5 2" xfId="10999"/>
    <cellStyle name="Обычный 5 3 2 5 3" xfId="11000"/>
    <cellStyle name="Обычный 5 3 2 5 4" xfId="11001"/>
    <cellStyle name="Обычный 5 3 2 5 5" xfId="11002"/>
    <cellStyle name="Обычный 5 3 2 5 6" xfId="11003"/>
    <cellStyle name="Обычный 5 3 2 6" xfId="3564"/>
    <cellStyle name="Обычный 5 3 2 6 2" xfId="11004"/>
    <cellStyle name="Обычный 5 3 2 6 3" xfId="11005"/>
    <cellStyle name="Обычный 5 3 2 6 4" xfId="11006"/>
    <cellStyle name="Обычный 5 3 2 6 5" xfId="11007"/>
    <cellStyle name="Обычный 5 3 2 6 6" xfId="11008"/>
    <cellStyle name="Обычный 5 3 2 7" xfId="3565"/>
    <cellStyle name="Обычный 5 3 2 7 2" xfId="11009"/>
    <cellStyle name="Обычный 5 3 2 7 3" xfId="11010"/>
    <cellStyle name="Обычный 5 3 2 7 4" xfId="11011"/>
    <cellStyle name="Обычный 5 3 2 7 5" xfId="11012"/>
    <cellStyle name="Обычный 5 3 2 7 6" xfId="11013"/>
    <cellStyle name="Обычный 5 3 2 8" xfId="5322"/>
    <cellStyle name="Обычный 5 3 2 9" xfId="11014"/>
    <cellStyle name="Обычный 5 3 3" xfId="3566"/>
    <cellStyle name="Обычный 5 3 3 10" xfId="11015"/>
    <cellStyle name="Обычный 5 3 3 2" xfId="3567"/>
    <cellStyle name="Обычный 5 3 3 2 2" xfId="3568"/>
    <cellStyle name="Обычный 5 3 3 2 2 2" xfId="11016"/>
    <cellStyle name="Обычный 5 3 3 2 2 3" xfId="11017"/>
    <cellStyle name="Обычный 5 3 3 2 2 4" xfId="11018"/>
    <cellStyle name="Обычный 5 3 3 2 2 5" xfId="11019"/>
    <cellStyle name="Обычный 5 3 3 2 2 6" xfId="11020"/>
    <cellStyle name="Обычный 5 3 3 2 3" xfId="3569"/>
    <cellStyle name="Обычный 5 3 3 2 3 2" xfId="11021"/>
    <cellStyle name="Обычный 5 3 3 2 3 3" xfId="11022"/>
    <cellStyle name="Обычный 5 3 3 2 3 4" xfId="11023"/>
    <cellStyle name="Обычный 5 3 3 2 3 5" xfId="11024"/>
    <cellStyle name="Обычный 5 3 3 2 3 6" xfId="11025"/>
    <cellStyle name="Обычный 5 3 3 2 4" xfId="3570"/>
    <cellStyle name="Обычный 5 3 3 2 4 2" xfId="11026"/>
    <cellStyle name="Обычный 5 3 3 2 4 3" xfId="11027"/>
    <cellStyle name="Обычный 5 3 3 2 4 4" xfId="11028"/>
    <cellStyle name="Обычный 5 3 3 2 4 5" xfId="11029"/>
    <cellStyle name="Обычный 5 3 3 2 4 6" xfId="11030"/>
    <cellStyle name="Обычный 5 3 3 2 5" xfId="11031"/>
    <cellStyle name="Обычный 5 3 3 2 6" xfId="11032"/>
    <cellStyle name="Обычный 5 3 3 2 7" xfId="11033"/>
    <cellStyle name="Обычный 5 3 3 2 8" xfId="11034"/>
    <cellStyle name="Обычный 5 3 3 2 9" xfId="11035"/>
    <cellStyle name="Обычный 5 3 3 3" xfId="3571"/>
    <cellStyle name="Обычный 5 3 3 3 2" xfId="11036"/>
    <cellStyle name="Обычный 5 3 3 3 3" xfId="11037"/>
    <cellStyle name="Обычный 5 3 3 3 4" xfId="11038"/>
    <cellStyle name="Обычный 5 3 3 3 5" xfId="11039"/>
    <cellStyle name="Обычный 5 3 3 3 6" xfId="11040"/>
    <cellStyle name="Обычный 5 3 3 4" xfId="3572"/>
    <cellStyle name="Обычный 5 3 3 4 2" xfId="11041"/>
    <cellStyle name="Обычный 5 3 3 4 3" xfId="11042"/>
    <cellStyle name="Обычный 5 3 3 4 4" xfId="11043"/>
    <cellStyle name="Обычный 5 3 3 4 5" xfId="11044"/>
    <cellStyle name="Обычный 5 3 3 4 6" xfId="11045"/>
    <cellStyle name="Обычный 5 3 3 5" xfId="3573"/>
    <cellStyle name="Обычный 5 3 3 5 2" xfId="11046"/>
    <cellStyle name="Обычный 5 3 3 5 3" xfId="11047"/>
    <cellStyle name="Обычный 5 3 3 5 4" xfId="11048"/>
    <cellStyle name="Обычный 5 3 3 5 5" xfId="11049"/>
    <cellStyle name="Обычный 5 3 3 5 6" xfId="11050"/>
    <cellStyle name="Обычный 5 3 3 6" xfId="5323"/>
    <cellStyle name="Обычный 5 3 3 7" xfId="11051"/>
    <cellStyle name="Обычный 5 3 3 8" xfId="11052"/>
    <cellStyle name="Обычный 5 3 3 9" xfId="11053"/>
    <cellStyle name="Обычный 5 3 4" xfId="3574"/>
    <cellStyle name="Обычный 5 3 5" xfId="3575"/>
    <cellStyle name="Обычный 5 3 5 2" xfId="3576"/>
    <cellStyle name="Обычный 5 3 5 2 2" xfId="11054"/>
    <cellStyle name="Обычный 5 3 5 2 3" xfId="11055"/>
    <cellStyle name="Обычный 5 3 5 2 4" xfId="11056"/>
    <cellStyle name="Обычный 5 3 5 2 5" xfId="11057"/>
    <cellStyle name="Обычный 5 3 5 2 6" xfId="11058"/>
    <cellStyle name="Обычный 5 3 5 3" xfId="3577"/>
    <cellStyle name="Обычный 5 3 5 3 2" xfId="11059"/>
    <cellStyle name="Обычный 5 3 5 3 3" xfId="11060"/>
    <cellStyle name="Обычный 5 3 5 3 4" xfId="11061"/>
    <cellStyle name="Обычный 5 3 5 3 5" xfId="11062"/>
    <cellStyle name="Обычный 5 3 5 3 6" xfId="11063"/>
    <cellStyle name="Обычный 5 3 5 4" xfId="3578"/>
    <cellStyle name="Обычный 5 3 5 4 2" xfId="11064"/>
    <cellStyle name="Обычный 5 3 5 4 3" xfId="11065"/>
    <cellStyle name="Обычный 5 3 5 4 4" xfId="11066"/>
    <cellStyle name="Обычный 5 3 5 4 5" xfId="11067"/>
    <cellStyle name="Обычный 5 3 5 4 6" xfId="11068"/>
    <cellStyle name="Обычный 5 3 5 5" xfId="11069"/>
    <cellStyle name="Обычный 5 3 5 6" xfId="11070"/>
    <cellStyle name="Обычный 5 3 5 7" xfId="11071"/>
    <cellStyle name="Обычный 5 3 5 8" xfId="11072"/>
    <cellStyle name="Обычный 5 3 5 9" xfId="11073"/>
    <cellStyle name="Обычный 5 3 6" xfId="3579"/>
    <cellStyle name="Обычный 5 3 6 2" xfId="3580"/>
    <cellStyle name="Обычный 5 3 6 2 2" xfId="11074"/>
    <cellStyle name="Обычный 5 3 6 2 3" xfId="11075"/>
    <cellStyle name="Обычный 5 3 6 2 4" xfId="11076"/>
    <cellStyle name="Обычный 5 3 6 2 5" xfId="11077"/>
    <cellStyle name="Обычный 5 3 6 2 6" xfId="11078"/>
    <cellStyle name="Обычный 5 3 6 3" xfId="3581"/>
    <cellStyle name="Обычный 5 3 6 3 2" xfId="11079"/>
    <cellStyle name="Обычный 5 3 6 3 3" xfId="11080"/>
    <cellStyle name="Обычный 5 3 6 3 4" xfId="11081"/>
    <cellStyle name="Обычный 5 3 6 3 5" xfId="11082"/>
    <cellStyle name="Обычный 5 3 6 3 6" xfId="11083"/>
    <cellStyle name="Обычный 5 3 6 4" xfId="3582"/>
    <cellStyle name="Обычный 5 3 6 4 2" xfId="11084"/>
    <cellStyle name="Обычный 5 3 6 4 3" xfId="11085"/>
    <cellStyle name="Обычный 5 3 6 4 4" xfId="11086"/>
    <cellStyle name="Обычный 5 3 6 4 5" xfId="11087"/>
    <cellStyle name="Обычный 5 3 6 4 6" xfId="11088"/>
    <cellStyle name="Обычный 5 3 6 5" xfId="5324"/>
    <cellStyle name="Обычный 5 3 6 6" xfId="11089"/>
    <cellStyle name="Обычный 5 3 6 7" xfId="11090"/>
    <cellStyle name="Обычный 5 3 6 8" xfId="11091"/>
    <cellStyle name="Обычный 5 3 6 9" xfId="11092"/>
    <cellStyle name="Обычный 5 3 7" xfId="3583"/>
    <cellStyle name="Обычный 5 3 7 2" xfId="11093"/>
    <cellStyle name="Обычный 5 3 7 3" xfId="11094"/>
    <cellStyle name="Обычный 5 3 7 4" xfId="11095"/>
    <cellStyle name="Обычный 5 3 7 5" xfId="11096"/>
    <cellStyle name="Обычный 5 3 7 6" xfId="11097"/>
    <cellStyle name="Обычный 5 3 8" xfId="3584"/>
    <cellStyle name="Обычный 5 3 8 2" xfId="11098"/>
    <cellStyle name="Обычный 5 3 8 3" xfId="11099"/>
    <cellStyle name="Обычный 5 3 8 4" xfId="11100"/>
    <cellStyle name="Обычный 5 3 8 5" xfId="11101"/>
    <cellStyle name="Обычный 5 3 8 6" xfId="11102"/>
    <cellStyle name="Обычный 5 3 9" xfId="3585"/>
    <cellStyle name="Обычный 5 3 9 2" xfId="11103"/>
    <cellStyle name="Обычный 5 3 9 3" xfId="11104"/>
    <cellStyle name="Обычный 5 3 9 4" xfId="11105"/>
    <cellStyle name="Обычный 5 3 9 5" xfId="11106"/>
    <cellStyle name="Обычный 5 3 9 6" xfId="11107"/>
    <cellStyle name="Обычный 5 4" xfId="3586"/>
    <cellStyle name="Обычный 5 4 10" xfId="11108"/>
    <cellStyle name="Обычный 5 4 11" xfId="11109"/>
    <cellStyle name="Обычный 5 4 12" xfId="11110"/>
    <cellStyle name="Обычный 5 4 13" xfId="11111"/>
    <cellStyle name="Обычный 5 4 2" xfId="3587"/>
    <cellStyle name="Обычный 5 4 2 10" xfId="11112"/>
    <cellStyle name="Обычный 5 4 2 2" xfId="3588"/>
    <cellStyle name="Обычный 5 4 2 2 2" xfId="3589"/>
    <cellStyle name="Обычный 5 4 2 2 2 2" xfId="11113"/>
    <cellStyle name="Обычный 5 4 2 2 2 3" xfId="11114"/>
    <cellStyle name="Обычный 5 4 2 2 2 4" xfId="11115"/>
    <cellStyle name="Обычный 5 4 2 2 2 5" xfId="11116"/>
    <cellStyle name="Обычный 5 4 2 2 2 6" xfId="11117"/>
    <cellStyle name="Обычный 5 4 2 2 3" xfId="3590"/>
    <cellStyle name="Обычный 5 4 2 2 3 2" xfId="11118"/>
    <cellStyle name="Обычный 5 4 2 2 3 3" xfId="11119"/>
    <cellStyle name="Обычный 5 4 2 2 3 4" xfId="11120"/>
    <cellStyle name="Обычный 5 4 2 2 3 5" xfId="11121"/>
    <cellStyle name="Обычный 5 4 2 2 3 6" xfId="11122"/>
    <cellStyle name="Обычный 5 4 2 2 4" xfId="3591"/>
    <cellStyle name="Обычный 5 4 2 2 4 2" xfId="11123"/>
    <cellStyle name="Обычный 5 4 2 2 4 3" xfId="11124"/>
    <cellStyle name="Обычный 5 4 2 2 4 4" xfId="11125"/>
    <cellStyle name="Обычный 5 4 2 2 4 5" xfId="11126"/>
    <cellStyle name="Обычный 5 4 2 2 4 6" xfId="11127"/>
    <cellStyle name="Обычный 5 4 2 2 5" xfId="11128"/>
    <cellStyle name="Обычный 5 4 2 2 6" xfId="11129"/>
    <cellStyle name="Обычный 5 4 2 2 7" xfId="11130"/>
    <cellStyle name="Обычный 5 4 2 2 8" xfId="11131"/>
    <cellStyle name="Обычный 5 4 2 2 9" xfId="11132"/>
    <cellStyle name="Обычный 5 4 2 3" xfId="3592"/>
    <cellStyle name="Обычный 5 4 2 3 2" xfId="11133"/>
    <cellStyle name="Обычный 5 4 2 3 3" xfId="11134"/>
    <cellStyle name="Обычный 5 4 2 3 4" xfId="11135"/>
    <cellStyle name="Обычный 5 4 2 3 5" xfId="11136"/>
    <cellStyle name="Обычный 5 4 2 3 6" xfId="11137"/>
    <cellStyle name="Обычный 5 4 2 4" xfId="3593"/>
    <cellStyle name="Обычный 5 4 2 4 2" xfId="11138"/>
    <cellStyle name="Обычный 5 4 2 4 3" xfId="11139"/>
    <cellStyle name="Обычный 5 4 2 4 4" xfId="11140"/>
    <cellStyle name="Обычный 5 4 2 4 5" xfId="11141"/>
    <cellStyle name="Обычный 5 4 2 4 6" xfId="11142"/>
    <cellStyle name="Обычный 5 4 2 5" xfId="3594"/>
    <cellStyle name="Обычный 5 4 2 5 2" xfId="11143"/>
    <cellStyle name="Обычный 5 4 2 5 3" xfId="11144"/>
    <cellStyle name="Обычный 5 4 2 5 4" xfId="11145"/>
    <cellStyle name="Обычный 5 4 2 5 5" xfId="11146"/>
    <cellStyle name="Обычный 5 4 2 5 6" xfId="11147"/>
    <cellStyle name="Обычный 5 4 2 6" xfId="11148"/>
    <cellStyle name="Обычный 5 4 2 7" xfId="11149"/>
    <cellStyle name="Обычный 5 4 2 8" xfId="11150"/>
    <cellStyle name="Обычный 5 4 2 9" xfId="11151"/>
    <cellStyle name="Обычный 5 4 3" xfId="3595"/>
    <cellStyle name="Обычный 5 4 3 10" xfId="11152"/>
    <cellStyle name="Обычный 5 4 3 2" xfId="3596"/>
    <cellStyle name="Обычный 5 4 3 2 2" xfId="3597"/>
    <cellStyle name="Обычный 5 4 3 2 2 2" xfId="11153"/>
    <cellStyle name="Обычный 5 4 3 2 2 3" xfId="11154"/>
    <cellStyle name="Обычный 5 4 3 2 2 4" xfId="11155"/>
    <cellStyle name="Обычный 5 4 3 2 2 5" xfId="11156"/>
    <cellStyle name="Обычный 5 4 3 2 2 6" xfId="11157"/>
    <cellStyle name="Обычный 5 4 3 2 3" xfId="3598"/>
    <cellStyle name="Обычный 5 4 3 2 3 2" xfId="11158"/>
    <cellStyle name="Обычный 5 4 3 2 3 3" xfId="11159"/>
    <cellStyle name="Обычный 5 4 3 2 3 4" xfId="11160"/>
    <cellStyle name="Обычный 5 4 3 2 3 5" xfId="11161"/>
    <cellStyle name="Обычный 5 4 3 2 3 6" xfId="11162"/>
    <cellStyle name="Обычный 5 4 3 2 4" xfId="3599"/>
    <cellStyle name="Обычный 5 4 3 2 4 2" xfId="11163"/>
    <cellStyle name="Обычный 5 4 3 2 4 3" xfId="11164"/>
    <cellStyle name="Обычный 5 4 3 2 4 4" xfId="11165"/>
    <cellStyle name="Обычный 5 4 3 2 4 5" xfId="11166"/>
    <cellStyle name="Обычный 5 4 3 2 4 6" xfId="11167"/>
    <cellStyle name="Обычный 5 4 3 2 5" xfId="11168"/>
    <cellStyle name="Обычный 5 4 3 2 6" xfId="11169"/>
    <cellStyle name="Обычный 5 4 3 2 7" xfId="11170"/>
    <cellStyle name="Обычный 5 4 3 2 8" xfId="11171"/>
    <cellStyle name="Обычный 5 4 3 2 9" xfId="11172"/>
    <cellStyle name="Обычный 5 4 3 3" xfId="3600"/>
    <cellStyle name="Обычный 5 4 3 3 2" xfId="11173"/>
    <cellStyle name="Обычный 5 4 3 3 3" xfId="11174"/>
    <cellStyle name="Обычный 5 4 3 3 4" xfId="11175"/>
    <cellStyle name="Обычный 5 4 3 3 5" xfId="11176"/>
    <cellStyle name="Обычный 5 4 3 3 6" xfId="11177"/>
    <cellStyle name="Обычный 5 4 3 4" xfId="3601"/>
    <cellStyle name="Обычный 5 4 3 4 2" xfId="11178"/>
    <cellStyle name="Обычный 5 4 3 4 3" xfId="11179"/>
    <cellStyle name="Обычный 5 4 3 4 4" xfId="11180"/>
    <cellStyle name="Обычный 5 4 3 4 5" xfId="11181"/>
    <cellStyle name="Обычный 5 4 3 4 6" xfId="11182"/>
    <cellStyle name="Обычный 5 4 3 5" xfId="3602"/>
    <cellStyle name="Обычный 5 4 3 5 2" xfId="11183"/>
    <cellStyle name="Обычный 5 4 3 5 3" xfId="11184"/>
    <cellStyle name="Обычный 5 4 3 5 4" xfId="11185"/>
    <cellStyle name="Обычный 5 4 3 5 5" xfId="11186"/>
    <cellStyle name="Обычный 5 4 3 5 6" xfId="11187"/>
    <cellStyle name="Обычный 5 4 3 6" xfId="11188"/>
    <cellStyle name="Обычный 5 4 3 7" xfId="11189"/>
    <cellStyle name="Обычный 5 4 3 8" xfId="11190"/>
    <cellStyle name="Обычный 5 4 3 9" xfId="11191"/>
    <cellStyle name="Обычный 5 4 4" xfId="3603"/>
    <cellStyle name="Обычный 5 4 4 2" xfId="3604"/>
    <cellStyle name="Обычный 5 4 4 2 2" xfId="11192"/>
    <cellStyle name="Обычный 5 4 4 2 3" xfId="11193"/>
    <cellStyle name="Обычный 5 4 4 2 4" xfId="11194"/>
    <cellStyle name="Обычный 5 4 4 2 5" xfId="11195"/>
    <cellStyle name="Обычный 5 4 4 2 6" xfId="11196"/>
    <cellStyle name="Обычный 5 4 4 3" xfId="3605"/>
    <cellStyle name="Обычный 5 4 4 3 2" xfId="11197"/>
    <cellStyle name="Обычный 5 4 4 3 3" xfId="11198"/>
    <cellStyle name="Обычный 5 4 4 3 4" xfId="11199"/>
    <cellStyle name="Обычный 5 4 4 3 5" xfId="11200"/>
    <cellStyle name="Обычный 5 4 4 3 6" xfId="11201"/>
    <cellStyle name="Обычный 5 4 4 4" xfId="3606"/>
    <cellStyle name="Обычный 5 4 4 4 2" xfId="11202"/>
    <cellStyle name="Обычный 5 4 4 4 3" xfId="11203"/>
    <cellStyle name="Обычный 5 4 4 4 4" xfId="11204"/>
    <cellStyle name="Обычный 5 4 4 4 5" xfId="11205"/>
    <cellStyle name="Обычный 5 4 4 4 6" xfId="11206"/>
    <cellStyle name="Обычный 5 4 4 5" xfId="11207"/>
    <cellStyle name="Обычный 5 4 4 6" xfId="11208"/>
    <cellStyle name="Обычный 5 4 4 7" xfId="11209"/>
    <cellStyle name="Обычный 5 4 4 8" xfId="11210"/>
    <cellStyle name="Обычный 5 4 4 9" xfId="11211"/>
    <cellStyle name="Обычный 5 4 5" xfId="3607"/>
    <cellStyle name="Обычный 5 4 5 2" xfId="3608"/>
    <cellStyle name="Обычный 5 4 5 2 2" xfId="11212"/>
    <cellStyle name="Обычный 5 4 5 2 3" xfId="11213"/>
    <cellStyle name="Обычный 5 4 5 2 4" xfId="11214"/>
    <cellStyle name="Обычный 5 4 5 2 5" xfId="11215"/>
    <cellStyle name="Обычный 5 4 5 2 6" xfId="11216"/>
    <cellStyle name="Обычный 5 4 5 3" xfId="3609"/>
    <cellStyle name="Обычный 5 4 5 3 2" xfId="11217"/>
    <cellStyle name="Обычный 5 4 5 3 3" xfId="11218"/>
    <cellStyle name="Обычный 5 4 5 3 4" xfId="11219"/>
    <cellStyle name="Обычный 5 4 5 3 5" xfId="11220"/>
    <cellStyle name="Обычный 5 4 5 3 6" xfId="11221"/>
    <cellStyle name="Обычный 5 4 5 4" xfId="3610"/>
    <cellStyle name="Обычный 5 4 5 4 2" xfId="11222"/>
    <cellStyle name="Обычный 5 4 5 4 3" xfId="11223"/>
    <cellStyle name="Обычный 5 4 5 4 4" xfId="11224"/>
    <cellStyle name="Обычный 5 4 5 4 5" xfId="11225"/>
    <cellStyle name="Обычный 5 4 5 4 6" xfId="11226"/>
    <cellStyle name="Обычный 5 4 5 5" xfId="11227"/>
    <cellStyle name="Обычный 5 4 5 6" xfId="11228"/>
    <cellStyle name="Обычный 5 4 5 7" xfId="11229"/>
    <cellStyle name="Обычный 5 4 5 8" xfId="11230"/>
    <cellStyle name="Обычный 5 4 5 9" xfId="11231"/>
    <cellStyle name="Обычный 5 4 6" xfId="3611"/>
    <cellStyle name="Обычный 5 4 6 2" xfId="11232"/>
    <cellStyle name="Обычный 5 4 6 3" xfId="11233"/>
    <cellStyle name="Обычный 5 4 6 4" xfId="11234"/>
    <cellStyle name="Обычный 5 4 6 5" xfId="11235"/>
    <cellStyle name="Обычный 5 4 6 6" xfId="11236"/>
    <cellStyle name="Обычный 5 4 7" xfId="3612"/>
    <cellStyle name="Обычный 5 4 7 2" xfId="11237"/>
    <cellStyle name="Обычный 5 4 7 3" xfId="11238"/>
    <cellStyle name="Обычный 5 4 7 4" xfId="11239"/>
    <cellStyle name="Обычный 5 4 7 5" xfId="11240"/>
    <cellStyle name="Обычный 5 4 7 6" xfId="11241"/>
    <cellStyle name="Обычный 5 4 8" xfId="3613"/>
    <cellStyle name="Обычный 5 4 8 2" xfId="11242"/>
    <cellStyle name="Обычный 5 4 8 3" xfId="11243"/>
    <cellStyle name="Обычный 5 4 8 4" xfId="11244"/>
    <cellStyle name="Обычный 5 4 8 5" xfId="11245"/>
    <cellStyle name="Обычный 5 4 8 6" xfId="11246"/>
    <cellStyle name="Обычный 5 4 9" xfId="5325"/>
    <cellStyle name="Обычный 5 5" xfId="3614"/>
    <cellStyle name="Обычный 5 5 10" xfId="11247"/>
    <cellStyle name="Обычный 5 5 11" xfId="11248"/>
    <cellStyle name="Обычный 5 5 2" xfId="3615"/>
    <cellStyle name="Обычный 5 5 2 10" xfId="11249"/>
    <cellStyle name="Обычный 5 5 2 2" xfId="3616"/>
    <cellStyle name="Обычный 5 5 2 2 2" xfId="3617"/>
    <cellStyle name="Обычный 5 5 2 2 2 2" xfId="11250"/>
    <cellStyle name="Обычный 5 5 2 2 2 3" xfId="11251"/>
    <cellStyle name="Обычный 5 5 2 2 2 4" xfId="11252"/>
    <cellStyle name="Обычный 5 5 2 2 2 5" xfId="11253"/>
    <cellStyle name="Обычный 5 5 2 2 2 6" xfId="11254"/>
    <cellStyle name="Обычный 5 5 2 2 3" xfId="3618"/>
    <cellStyle name="Обычный 5 5 2 2 3 2" xfId="11255"/>
    <cellStyle name="Обычный 5 5 2 2 3 3" xfId="11256"/>
    <cellStyle name="Обычный 5 5 2 2 3 4" xfId="11257"/>
    <cellStyle name="Обычный 5 5 2 2 3 5" xfId="11258"/>
    <cellStyle name="Обычный 5 5 2 2 3 6" xfId="11259"/>
    <cellStyle name="Обычный 5 5 2 2 4" xfId="3619"/>
    <cellStyle name="Обычный 5 5 2 2 4 2" xfId="11260"/>
    <cellStyle name="Обычный 5 5 2 2 4 3" xfId="11261"/>
    <cellStyle name="Обычный 5 5 2 2 4 4" xfId="11262"/>
    <cellStyle name="Обычный 5 5 2 2 4 5" xfId="11263"/>
    <cellStyle name="Обычный 5 5 2 2 4 6" xfId="11264"/>
    <cellStyle name="Обычный 5 5 2 2 5" xfId="11265"/>
    <cellStyle name="Обычный 5 5 2 2 6" xfId="11266"/>
    <cellStyle name="Обычный 5 5 2 2 7" xfId="11267"/>
    <cellStyle name="Обычный 5 5 2 2 8" xfId="11268"/>
    <cellStyle name="Обычный 5 5 2 2 9" xfId="11269"/>
    <cellStyle name="Обычный 5 5 2 3" xfId="3620"/>
    <cellStyle name="Обычный 5 5 2 3 2" xfId="11270"/>
    <cellStyle name="Обычный 5 5 2 3 3" xfId="11271"/>
    <cellStyle name="Обычный 5 5 2 3 4" xfId="11272"/>
    <cellStyle name="Обычный 5 5 2 3 5" xfId="11273"/>
    <cellStyle name="Обычный 5 5 2 3 6" xfId="11274"/>
    <cellStyle name="Обычный 5 5 2 4" xfId="3621"/>
    <cellStyle name="Обычный 5 5 2 4 2" xfId="11275"/>
    <cellStyle name="Обычный 5 5 2 4 3" xfId="11276"/>
    <cellStyle name="Обычный 5 5 2 4 4" xfId="11277"/>
    <cellStyle name="Обычный 5 5 2 4 5" xfId="11278"/>
    <cellStyle name="Обычный 5 5 2 4 6" xfId="11279"/>
    <cellStyle name="Обычный 5 5 2 5" xfId="3622"/>
    <cellStyle name="Обычный 5 5 2 5 2" xfId="11280"/>
    <cellStyle name="Обычный 5 5 2 5 3" xfId="11281"/>
    <cellStyle name="Обычный 5 5 2 5 4" xfId="11282"/>
    <cellStyle name="Обычный 5 5 2 5 5" xfId="11283"/>
    <cellStyle name="Обычный 5 5 2 5 6" xfId="11284"/>
    <cellStyle name="Обычный 5 5 2 6" xfId="11285"/>
    <cellStyle name="Обычный 5 5 2 7" xfId="11286"/>
    <cellStyle name="Обычный 5 5 2 8" xfId="11287"/>
    <cellStyle name="Обычный 5 5 2 9" xfId="11288"/>
    <cellStyle name="Обычный 5 5 3" xfId="3623"/>
    <cellStyle name="Обычный 5 5 3 2" xfId="3624"/>
    <cellStyle name="Обычный 5 5 3 2 2" xfId="11289"/>
    <cellStyle name="Обычный 5 5 3 2 3" xfId="11290"/>
    <cellStyle name="Обычный 5 5 3 2 4" xfId="11291"/>
    <cellStyle name="Обычный 5 5 3 2 5" xfId="11292"/>
    <cellStyle name="Обычный 5 5 3 2 6" xfId="11293"/>
    <cellStyle name="Обычный 5 5 3 3" xfId="3625"/>
    <cellStyle name="Обычный 5 5 3 3 2" xfId="11294"/>
    <cellStyle name="Обычный 5 5 3 3 3" xfId="11295"/>
    <cellStyle name="Обычный 5 5 3 3 4" xfId="11296"/>
    <cellStyle name="Обычный 5 5 3 3 5" xfId="11297"/>
    <cellStyle name="Обычный 5 5 3 3 6" xfId="11298"/>
    <cellStyle name="Обычный 5 5 3 4" xfId="3626"/>
    <cellStyle name="Обычный 5 5 3 4 2" xfId="11299"/>
    <cellStyle name="Обычный 5 5 3 4 3" xfId="11300"/>
    <cellStyle name="Обычный 5 5 3 4 4" xfId="11301"/>
    <cellStyle name="Обычный 5 5 3 4 5" xfId="11302"/>
    <cellStyle name="Обычный 5 5 3 4 6" xfId="11303"/>
    <cellStyle name="Обычный 5 5 3 5" xfId="11304"/>
    <cellStyle name="Обычный 5 5 3 6" xfId="11305"/>
    <cellStyle name="Обычный 5 5 3 7" xfId="11306"/>
    <cellStyle name="Обычный 5 5 3 8" xfId="11307"/>
    <cellStyle name="Обычный 5 5 3 9" xfId="11308"/>
    <cellStyle name="Обычный 5 5 4" xfId="3627"/>
    <cellStyle name="Обычный 5 5 4 2" xfId="11309"/>
    <cellStyle name="Обычный 5 5 4 3" xfId="11310"/>
    <cellStyle name="Обычный 5 5 4 4" xfId="11311"/>
    <cellStyle name="Обычный 5 5 4 5" xfId="11312"/>
    <cellStyle name="Обычный 5 5 4 6" xfId="11313"/>
    <cellStyle name="Обычный 5 5 5" xfId="3628"/>
    <cellStyle name="Обычный 5 5 5 2" xfId="11314"/>
    <cellStyle name="Обычный 5 5 5 3" xfId="11315"/>
    <cellStyle name="Обычный 5 5 5 4" xfId="11316"/>
    <cellStyle name="Обычный 5 5 5 5" xfId="11317"/>
    <cellStyle name="Обычный 5 5 5 6" xfId="11318"/>
    <cellStyle name="Обычный 5 5 6" xfId="3629"/>
    <cellStyle name="Обычный 5 5 6 2" xfId="11319"/>
    <cellStyle name="Обычный 5 5 6 3" xfId="11320"/>
    <cellStyle name="Обычный 5 5 6 4" xfId="11321"/>
    <cellStyle name="Обычный 5 5 6 5" xfId="11322"/>
    <cellStyle name="Обычный 5 5 6 6" xfId="11323"/>
    <cellStyle name="Обычный 5 5 7" xfId="5326"/>
    <cellStyle name="Обычный 5 5 8" xfId="11324"/>
    <cellStyle name="Обычный 5 5 9" xfId="11325"/>
    <cellStyle name="Обычный 5 6" xfId="3630"/>
    <cellStyle name="Обычный 5 6 2" xfId="3631"/>
    <cellStyle name="Обычный 5 6 2 2" xfId="3632"/>
    <cellStyle name="Обычный 5 6 3" xfId="3633"/>
    <cellStyle name="Обычный 5 6 3 2" xfId="3634"/>
    <cellStyle name="Обычный 5 6 4" xfId="3635"/>
    <cellStyle name="Обычный 5 6 5" xfId="5327"/>
    <cellStyle name="Обычный 5 7" xfId="3636"/>
    <cellStyle name="Обычный 5 7 10" xfId="11326"/>
    <cellStyle name="Обычный 5 7 2" xfId="3637"/>
    <cellStyle name="Обычный 5 7 2 2" xfId="3638"/>
    <cellStyle name="Обычный 5 7 2 2 2" xfId="11327"/>
    <cellStyle name="Обычный 5 7 2 2 3" xfId="11328"/>
    <cellStyle name="Обычный 5 7 2 2 4" xfId="11329"/>
    <cellStyle name="Обычный 5 7 2 2 5" xfId="11330"/>
    <cellStyle name="Обычный 5 7 2 2 6" xfId="11331"/>
    <cellStyle name="Обычный 5 7 2 3" xfId="3639"/>
    <cellStyle name="Обычный 5 7 2 3 2" xfId="11332"/>
    <cellStyle name="Обычный 5 7 2 3 3" xfId="11333"/>
    <cellStyle name="Обычный 5 7 2 3 4" xfId="11334"/>
    <cellStyle name="Обычный 5 7 2 3 5" xfId="11335"/>
    <cellStyle name="Обычный 5 7 2 3 6" xfId="11336"/>
    <cellStyle name="Обычный 5 7 2 4" xfId="3640"/>
    <cellStyle name="Обычный 5 7 2 4 2" xfId="11337"/>
    <cellStyle name="Обычный 5 7 2 4 3" xfId="11338"/>
    <cellStyle name="Обычный 5 7 2 4 4" xfId="11339"/>
    <cellStyle name="Обычный 5 7 2 4 5" xfId="11340"/>
    <cellStyle name="Обычный 5 7 2 4 6" xfId="11341"/>
    <cellStyle name="Обычный 5 7 2 5" xfId="11342"/>
    <cellStyle name="Обычный 5 7 2 6" xfId="11343"/>
    <cellStyle name="Обычный 5 7 2 7" xfId="11344"/>
    <cellStyle name="Обычный 5 7 2 8" xfId="11345"/>
    <cellStyle name="Обычный 5 7 2 9" xfId="11346"/>
    <cellStyle name="Обычный 5 7 3" xfId="3641"/>
    <cellStyle name="Обычный 5 7 3 2" xfId="11347"/>
    <cellStyle name="Обычный 5 7 3 3" xfId="11348"/>
    <cellStyle name="Обычный 5 7 3 4" xfId="11349"/>
    <cellStyle name="Обычный 5 7 3 5" xfId="11350"/>
    <cellStyle name="Обычный 5 7 3 6" xfId="11351"/>
    <cellStyle name="Обычный 5 7 4" xfId="3642"/>
    <cellStyle name="Обычный 5 7 4 2" xfId="11352"/>
    <cellStyle name="Обычный 5 7 4 3" xfId="11353"/>
    <cellStyle name="Обычный 5 7 4 4" xfId="11354"/>
    <cellStyle name="Обычный 5 7 4 5" xfId="11355"/>
    <cellStyle name="Обычный 5 7 4 6" xfId="11356"/>
    <cellStyle name="Обычный 5 7 5" xfId="3643"/>
    <cellStyle name="Обычный 5 7 5 2" xfId="11357"/>
    <cellStyle name="Обычный 5 7 5 3" xfId="11358"/>
    <cellStyle name="Обычный 5 7 5 4" xfId="11359"/>
    <cellStyle name="Обычный 5 7 5 5" xfId="11360"/>
    <cellStyle name="Обычный 5 7 5 6" xfId="11361"/>
    <cellStyle name="Обычный 5 7 6" xfId="5328"/>
    <cellStyle name="Обычный 5 7 7" xfId="11362"/>
    <cellStyle name="Обычный 5 7 8" xfId="11363"/>
    <cellStyle name="Обычный 5 7 9" xfId="11364"/>
    <cellStyle name="Обычный 5 8" xfId="3644"/>
    <cellStyle name="Обычный 5 8 10" xfId="11365"/>
    <cellStyle name="Обычный 5 8 2" xfId="3645"/>
    <cellStyle name="Обычный 5 8 2 2" xfId="3646"/>
    <cellStyle name="Обычный 5 8 2 2 2" xfId="11366"/>
    <cellStyle name="Обычный 5 8 2 2 3" xfId="11367"/>
    <cellStyle name="Обычный 5 8 2 2 4" xfId="11368"/>
    <cellStyle name="Обычный 5 8 2 2 5" xfId="11369"/>
    <cellStyle name="Обычный 5 8 2 2 6" xfId="11370"/>
    <cellStyle name="Обычный 5 8 2 3" xfId="3647"/>
    <cellStyle name="Обычный 5 8 2 3 2" xfId="11371"/>
    <cellStyle name="Обычный 5 8 2 3 3" xfId="11372"/>
    <cellStyle name="Обычный 5 8 2 3 4" xfId="11373"/>
    <cellStyle name="Обычный 5 8 2 3 5" xfId="11374"/>
    <cellStyle name="Обычный 5 8 2 3 6" xfId="11375"/>
    <cellStyle name="Обычный 5 8 2 4" xfId="3648"/>
    <cellStyle name="Обычный 5 8 2 4 2" xfId="11376"/>
    <cellStyle name="Обычный 5 8 2 4 3" xfId="11377"/>
    <cellStyle name="Обычный 5 8 2 4 4" xfId="11378"/>
    <cellStyle name="Обычный 5 8 2 4 5" xfId="11379"/>
    <cellStyle name="Обычный 5 8 2 4 6" xfId="11380"/>
    <cellStyle name="Обычный 5 8 2 5" xfId="11381"/>
    <cellStyle name="Обычный 5 8 2 6" xfId="11382"/>
    <cellStyle name="Обычный 5 8 2 7" xfId="11383"/>
    <cellStyle name="Обычный 5 8 2 8" xfId="11384"/>
    <cellStyle name="Обычный 5 8 2 9" xfId="11385"/>
    <cellStyle name="Обычный 5 8 3" xfId="3649"/>
    <cellStyle name="Обычный 5 8 3 2" xfId="11386"/>
    <cellStyle name="Обычный 5 8 3 3" xfId="11387"/>
    <cellStyle name="Обычный 5 8 3 4" xfId="11388"/>
    <cellStyle name="Обычный 5 8 3 5" xfId="11389"/>
    <cellStyle name="Обычный 5 8 3 6" xfId="11390"/>
    <cellStyle name="Обычный 5 8 4" xfId="3650"/>
    <cellStyle name="Обычный 5 8 4 2" xfId="11391"/>
    <cellStyle name="Обычный 5 8 4 3" xfId="11392"/>
    <cellStyle name="Обычный 5 8 4 4" xfId="11393"/>
    <cellStyle name="Обычный 5 8 4 5" xfId="11394"/>
    <cellStyle name="Обычный 5 8 4 6" xfId="11395"/>
    <cellStyle name="Обычный 5 8 5" xfId="3651"/>
    <cellStyle name="Обычный 5 8 5 2" xfId="11396"/>
    <cellStyle name="Обычный 5 8 5 3" xfId="11397"/>
    <cellStyle name="Обычный 5 8 5 4" xfId="11398"/>
    <cellStyle name="Обычный 5 8 5 5" xfId="11399"/>
    <cellStyle name="Обычный 5 8 5 6" xfId="11400"/>
    <cellStyle name="Обычный 5 8 6" xfId="11401"/>
    <cellStyle name="Обычный 5 8 7" xfId="11402"/>
    <cellStyle name="Обычный 5 8 8" xfId="11403"/>
    <cellStyle name="Обычный 5 8 9" xfId="11404"/>
    <cellStyle name="Обычный 5 9" xfId="3652"/>
    <cellStyle name="Обычный 5 9 10" xfId="11405"/>
    <cellStyle name="Обычный 5 9 2" xfId="3653"/>
    <cellStyle name="Обычный 5 9 2 2" xfId="3654"/>
    <cellStyle name="Обычный 5 9 2 2 2" xfId="11406"/>
    <cellStyle name="Обычный 5 9 2 2 3" xfId="11407"/>
    <cellStyle name="Обычный 5 9 2 2 4" xfId="11408"/>
    <cellStyle name="Обычный 5 9 2 2 5" xfId="11409"/>
    <cellStyle name="Обычный 5 9 2 2 6" xfId="11410"/>
    <cellStyle name="Обычный 5 9 2 3" xfId="3655"/>
    <cellStyle name="Обычный 5 9 2 3 2" xfId="11411"/>
    <cellStyle name="Обычный 5 9 2 3 3" xfId="11412"/>
    <cellStyle name="Обычный 5 9 2 3 4" xfId="11413"/>
    <cellStyle name="Обычный 5 9 2 3 5" xfId="11414"/>
    <cellStyle name="Обычный 5 9 2 3 6" xfId="11415"/>
    <cellStyle name="Обычный 5 9 2 4" xfId="3656"/>
    <cellStyle name="Обычный 5 9 2 4 2" xfId="11416"/>
    <cellStyle name="Обычный 5 9 2 4 3" xfId="11417"/>
    <cellStyle name="Обычный 5 9 2 4 4" xfId="11418"/>
    <cellStyle name="Обычный 5 9 2 4 5" xfId="11419"/>
    <cellStyle name="Обычный 5 9 2 4 6" xfId="11420"/>
    <cellStyle name="Обычный 5 9 2 5" xfId="11421"/>
    <cellStyle name="Обычный 5 9 2 6" xfId="11422"/>
    <cellStyle name="Обычный 5 9 2 7" xfId="11423"/>
    <cellStyle name="Обычный 5 9 2 8" xfId="11424"/>
    <cellStyle name="Обычный 5 9 2 9" xfId="11425"/>
    <cellStyle name="Обычный 5 9 3" xfId="3657"/>
    <cellStyle name="Обычный 5 9 3 2" xfId="11426"/>
    <cellStyle name="Обычный 5 9 3 3" xfId="11427"/>
    <cellStyle name="Обычный 5 9 3 4" xfId="11428"/>
    <cellStyle name="Обычный 5 9 3 5" xfId="11429"/>
    <cellStyle name="Обычный 5 9 3 6" xfId="11430"/>
    <cellStyle name="Обычный 5 9 4" xfId="3658"/>
    <cellStyle name="Обычный 5 9 4 2" xfId="11431"/>
    <cellStyle name="Обычный 5 9 4 3" xfId="11432"/>
    <cellStyle name="Обычный 5 9 4 4" xfId="11433"/>
    <cellStyle name="Обычный 5 9 4 5" xfId="11434"/>
    <cellStyle name="Обычный 5 9 4 6" xfId="11435"/>
    <cellStyle name="Обычный 5 9 5" xfId="3659"/>
    <cellStyle name="Обычный 5 9 5 2" xfId="11436"/>
    <cellStyle name="Обычный 5 9 5 3" xfId="11437"/>
    <cellStyle name="Обычный 5 9 5 4" xfId="11438"/>
    <cellStyle name="Обычный 5 9 5 5" xfId="11439"/>
    <cellStyle name="Обычный 5 9 5 6" xfId="11440"/>
    <cellStyle name="Обычный 5 9 6" xfId="11441"/>
    <cellStyle name="Обычный 5 9 7" xfId="11442"/>
    <cellStyle name="Обычный 5 9 8" xfId="11443"/>
    <cellStyle name="Обычный 5 9 9" xfId="11444"/>
    <cellStyle name="Обычный 5_Альбом_форм_ТОК_-_Ядро_корр_310111_с_шабл_ОФФ" xfId="3660"/>
    <cellStyle name="Обычный 50" xfId="3661"/>
    <cellStyle name="Обычный 50 2" xfId="3662"/>
    <cellStyle name="Обычный 50 2 2" xfId="3663"/>
    <cellStyle name="Обычный 50 2 2 2" xfId="3664"/>
    <cellStyle name="Обычный 50 2 2 2 2" xfId="11445"/>
    <cellStyle name="Обычный 50 2 2 2 3" xfId="11446"/>
    <cellStyle name="Обычный 50 2 2 2 4" xfId="11447"/>
    <cellStyle name="Обычный 50 2 2 2 5" xfId="11448"/>
    <cellStyle name="Обычный 50 2 2 2 6" xfId="11449"/>
    <cellStyle name="Обычный 50 2 2 3" xfId="3665"/>
    <cellStyle name="Обычный 50 2 2 3 2" xfId="11450"/>
    <cellStyle name="Обычный 50 2 2 3 3" xfId="11451"/>
    <cellStyle name="Обычный 50 2 2 3 4" xfId="11452"/>
    <cellStyle name="Обычный 50 2 2 3 5" xfId="11453"/>
    <cellStyle name="Обычный 50 2 2 3 6" xfId="11454"/>
    <cellStyle name="Обычный 50 2 2 4" xfId="3666"/>
    <cellStyle name="Обычный 50 2 2 4 2" xfId="11455"/>
    <cellStyle name="Обычный 50 2 2 4 3" xfId="11456"/>
    <cellStyle name="Обычный 50 2 2 4 4" xfId="11457"/>
    <cellStyle name="Обычный 50 2 2 4 5" xfId="11458"/>
    <cellStyle name="Обычный 50 2 2 4 6" xfId="11459"/>
    <cellStyle name="Обычный 50 2 2 5" xfId="11460"/>
    <cellStyle name="Обычный 50 2 2 6" xfId="11461"/>
    <cellStyle name="Обычный 50 2 2 7" xfId="11462"/>
    <cellStyle name="Обычный 50 2 2 8" xfId="11463"/>
    <cellStyle name="Обычный 50 2 2 9" xfId="11464"/>
    <cellStyle name="Обычный 50 2 3" xfId="3667"/>
    <cellStyle name="Обычный 50 3" xfId="3668"/>
    <cellStyle name="Обычный 50 3 2" xfId="3669"/>
    <cellStyle name="Обычный 50 3 2 2" xfId="11465"/>
    <cellStyle name="Обычный 50 3 2 3" xfId="11466"/>
    <cellStyle name="Обычный 50 3 2 4" xfId="11467"/>
    <cellStyle name="Обычный 50 3 2 5" xfId="11468"/>
    <cellStyle name="Обычный 50 3 2 6" xfId="11469"/>
    <cellStyle name="Обычный 50 3 3" xfId="3670"/>
    <cellStyle name="Обычный 50 3 3 2" xfId="11470"/>
    <cellStyle name="Обычный 50 3 3 3" xfId="11471"/>
    <cellStyle name="Обычный 50 3 3 4" xfId="11472"/>
    <cellStyle name="Обычный 50 3 3 5" xfId="11473"/>
    <cellStyle name="Обычный 50 3 3 6" xfId="11474"/>
    <cellStyle name="Обычный 50 3 4" xfId="3671"/>
    <cellStyle name="Обычный 50 3 4 2" xfId="11475"/>
    <cellStyle name="Обычный 50 3 4 3" xfId="11476"/>
    <cellStyle name="Обычный 50 3 4 4" xfId="11477"/>
    <cellStyle name="Обычный 50 3 4 5" xfId="11478"/>
    <cellStyle name="Обычный 50 3 4 6" xfId="11479"/>
    <cellStyle name="Обычный 50 3 5" xfId="11480"/>
    <cellStyle name="Обычный 50 3 6" xfId="11481"/>
    <cellStyle name="Обычный 50 3 7" xfId="11482"/>
    <cellStyle name="Обычный 50 3 8" xfId="11483"/>
    <cellStyle name="Обычный 50 3 9" xfId="11484"/>
    <cellStyle name="Обычный 50 4" xfId="3672"/>
    <cellStyle name="Обычный 50 5" xfId="5329"/>
    <cellStyle name="Обычный 51" xfId="3673"/>
    <cellStyle name="Обычный 51 2" xfId="3674"/>
    <cellStyle name="Обычный 51 2 2" xfId="3675"/>
    <cellStyle name="Обычный 51 3" xfId="3676"/>
    <cellStyle name="Обычный 51 4" xfId="3677"/>
    <cellStyle name="Обычный 52" xfId="3678"/>
    <cellStyle name="Обычный 52 2" xfId="3679"/>
    <cellStyle name="Обычный 52 2 2" xfId="3680"/>
    <cellStyle name="Обычный 52 2 2 2" xfId="3681"/>
    <cellStyle name="Обычный 52 2 2 2 2" xfId="11485"/>
    <cellStyle name="Обычный 52 2 2 2 3" xfId="11486"/>
    <cellStyle name="Обычный 52 2 2 2 4" xfId="11487"/>
    <cellStyle name="Обычный 52 2 2 2 5" xfId="11488"/>
    <cellStyle name="Обычный 52 2 2 2 6" xfId="11489"/>
    <cellStyle name="Обычный 52 2 2 3" xfId="3682"/>
    <cellStyle name="Обычный 52 2 2 3 2" xfId="11490"/>
    <cellStyle name="Обычный 52 2 2 3 3" xfId="11491"/>
    <cellStyle name="Обычный 52 2 2 3 4" xfId="11492"/>
    <cellStyle name="Обычный 52 2 2 3 5" xfId="11493"/>
    <cellStyle name="Обычный 52 2 2 3 6" xfId="11494"/>
    <cellStyle name="Обычный 52 2 2 4" xfId="3683"/>
    <cellStyle name="Обычный 52 2 2 4 2" xfId="11495"/>
    <cellStyle name="Обычный 52 2 2 4 3" xfId="11496"/>
    <cellStyle name="Обычный 52 2 2 4 4" xfId="11497"/>
    <cellStyle name="Обычный 52 2 2 4 5" xfId="11498"/>
    <cellStyle name="Обычный 52 2 2 4 6" xfId="11499"/>
    <cellStyle name="Обычный 52 2 2 5" xfId="11500"/>
    <cellStyle name="Обычный 52 2 2 6" xfId="11501"/>
    <cellStyle name="Обычный 52 2 2 7" xfId="11502"/>
    <cellStyle name="Обычный 52 2 2 8" xfId="11503"/>
    <cellStyle name="Обычный 52 2 2 9" xfId="11504"/>
    <cellStyle name="Обычный 52 2 3" xfId="3684"/>
    <cellStyle name="Обычный 52 3" xfId="3685"/>
    <cellStyle name="Обычный 52 3 2" xfId="3686"/>
    <cellStyle name="Обычный 52 3 2 2" xfId="11505"/>
    <cellStyle name="Обычный 52 3 2 3" xfId="11506"/>
    <cellStyle name="Обычный 52 3 2 4" xfId="11507"/>
    <cellStyle name="Обычный 52 3 2 5" xfId="11508"/>
    <cellStyle name="Обычный 52 3 2 6" xfId="11509"/>
    <cellStyle name="Обычный 52 3 3" xfId="3687"/>
    <cellStyle name="Обычный 52 3 3 2" xfId="11510"/>
    <cellStyle name="Обычный 52 3 3 3" xfId="11511"/>
    <cellStyle name="Обычный 52 3 3 4" xfId="11512"/>
    <cellStyle name="Обычный 52 3 3 5" xfId="11513"/>
    <cellStyle name="Обычный 52 3 3 6" xfId="11514"/>
    <cellStyle name="Обычный 52 3 4" xfId="3688"/>
    <cellStyle name="Обычный 52 3 4 2" xfId="11515"/>
    <cellStyle name="Обычный 52 3 4 3" xfId="11516"/>
    <cellStyle name="Обычный 52 3 4 4" xfId="11517"/>
    <cellStyle name="Обычный 52 3 4 5" xfId="11518"/>
    <cellStyle name="Обычный 52 3 4 6" xfId="11519"/>
    <cellStyle name="Обычный 52 3 5" xfId="11520"/>
    <cellStyle name="Обычный 52 3 6" xfId="11521"/>
    <cellStyle name="Обычный 52 3 7" xfId="11522"/>
    <cellStyle name="Обычный 52 3 8" xfId="11523"/>
    <cellStyle name="Обычный 52 3 9" xfId="11524"/>
    <cellStyle name="Обычный 52 4" xfId="3689"/>
    <cellStyle name="Обычный 52 5" xfId="5330"/>
    <cellStyle name="Обычный 53" xfId="3690"/>
    <cellStyle name="Обычный 53 2" xfId="3691"/>
    <cellStyle name="Обычный 53 2 2" xfId="3692"/>
    <cellStyle name="Обычный 53 2 3" xfId="3693"/>
    <cellStyle name="Обычный 53 3" xfId="3694"/>
    <cellStyle name="Обычный 53 3 2" xfId="3695"/>
    <cellStyle name="Обычный 53 3 2 2" xfId="11525"/>
    <cellStyle name="Обычный 53 3 2 3" xfId="11526"/>
    <cellStyle name="Обычный 53 3 2 4" xfId="11527"/>
    <cellStyle name="Обычный 53 3 2 5" xfId="11528"/>
    <cellStyle name="Обычный 53 3 2 6" xfId="11529"/>
    <cellStyle name="Обычный 53 3 3" xfId="3696"/>
    <cellStyle name="Обычный 53 3 3 2" xfId="11530"/>
    <cellStyle name="Обычный 53 3 3 3" xfId="11531"/>
    <cellStyle name="Обычный 53 3 3 4" xfId="11532"/>
    <cellStyle name="Обычный 53 3 3 5" xfId="11533"/>
    <cellStyle name="Обычный 53 3 3 6" xfId="11534"/>
    <cellStyle name="Обычный 53 3 4" xfId="3697"/>
    <cellStyle name="Обычный 53 3 4 2" xfId="11535"/>
    <cellStyle name="Обычный 53 3 4 3" xfId="11536"/>
    <cellStyle name="Обычный 53 3 4 4" xfId="11537"/>
    <cellStyle name="Обычный 53 3 4 5" xfId="11538"/>
    <cellStyle name="Обычный 53 3 4 6" xfId="11539"/>
    <cellStyle name="Обычный 53 3 5" xfId="11540"/>
    <cellStyle name="Обычный 53 3 6" xfId="11541"/>
    <cellStyle name="Обычный 53 3 7" xfId="11542"/>
    <cellStyle name="Обычный 53 3 8" xfId="11543"/>
    <cellStyle name="Обычный 53 3 9" xfId="11544"/>
    <cellStyle name="Обычный 53 4" xfId="3698"/>
    <cellStyle name="Обычный 54" xfId="3699"/>
    <cellStyle name="Обычный 55" xfId="3700"/>
    <cellStyle name="Обычный 55 10" xfId="11545"/>
    <cellStyle name="Обычный 55 2" xfId="3701"/>
    <cellStyle name="Обычный 55 2 2" xfId="3702"/>
    <cellStyle name="Обычный 55 2 2 2" xfId="11546"/>
    <cellStyle name="Обычный 55 2 2 3" xfId="11547"/>
    <cellStyle name="Обычный 55 2 2 4" xfId="11548"/>
    <cellStyle name="Обычный 55 2 2 5" xfId="11549"/>
    <cellStyle name="Обычный 55 2 2 6" xfId="11550"/>
    <cellStyle name="Обычный 55 2 3" xfId="3703"/>
    <cellStyle name="Обычный 55 2 3 2" xfId="11551"/>
    <cellStyle name="Обычный 55 2 3 3" xfId="11552"/>
    <cellStyle name="Обычный 55 2 3 4" xfId="11553"/>
    <cellStyle name="Обычный 55 2 3 5" xfId="11554"/>
    <cellStyle name="Обычный 55 2 3 6" xfId="11555"/>
    <cellStyle name="Обычный 55 2 4" xfId="3704"/>
    <cellStyle name="Обычный 55 2 4 2" xfId="11556"/>
    <cellStyle name="Обычный 55 2 4 3" xfId="11557"/>
    <cellStyle name="Обычный 55 2 4 4" xfId="11558"/>
    <cellStyle name="Обычный 55 2 4 5" xfId="11559"/>
    <cellStyle name="Обычный 55 2 4 6" xfId="11560"/>
    <cellStyle name="Обычный 55 2 5" xfId="11561"/>
    <cellStyle name="Обычный 55 2 6" xfId="11562"/>
    <cellStyle name="Обычный 55 2 7" xfId="11563"/>
    <cellStyle name="Обычный 55 2 8" xfId="11564"/>
    <cellStyle name="Обычный 55 2 9" xfId="11565"/>
    <cellStyle name="Обычный 55 3" xfId="3705"/>
    <cellStyle name="Обычный 55 3 2" xfId="11566"/>
    <cellStyle name="Обычный 55 3 3" xfId="11567"/>
    <cellStyle name="Обычный 55 3 4" xfId="11568"/>
    <cellStyle name="Обычный 55 3 5" xfId="11569"/>
    <cellStyle name="Обычный 55 3 6" xfId="11570"/>
    <cellStyle name="Обычный 55 4" xfId="3706"/>
    <cellStyle name="Обычный 55 4 2" xfId="11571"/>
    <cellStyle name="Обычный 55 4 3" xfId="11572"/>
    <cellStyle name="Обычный 55 4 4" xfId="11573"/>
    <cellStyle name="Обычный 55 4 5" xfId="11574"/>
    <cellStyle name="Обычный 55 4 6" xfId="11575"/>
    <cellStyle name="Обычный 55 5" xfId="3707"/>
    <cellStyle name="Обычный 55 5 2" xfId="11576"/>
    <cellStyle name="Обычный 55 5 3" xfId="11577"/>
    <cellStyle name="Обычный 55 5 4" xfId="11578"/>
    <cellStyle name="Обычный 55 5 5" xfId="11579"/>
    <cellStyle name="Обычный 55 5 6" xfId="11580"/>
    <cellStyle name="Обычный 55 6" xfId="5331"/>
    <cellStyle name="Обычный 55 7" xfId="11581"/>
    <cellStyle name="Обычный 55 8" xfId="11582"/>
    <cellStyle name="Обычный 55 9" xfId="11583"/>
    <cellStyle name="Обычный 56" xfId="3708"/>
    <cellStyle name="Обычный 57" xfId="3709"/>
    <cellStyle name="Обычный 58" xfId="3710"/>
    <cellStyle name="Обычный 59" xfId="3711"/>
    <cellStyle name="Обычный 6" xfId="3712"/>
    <cellStyle name="Обычный 6 10" xfId="5332"/>
    <cellStyle name="Обычный 6 11" xfId="11584"/>
    <cellStyle name="Обычный 6 12" xfId="11585"/>
    <cellStyle name="Обычный 6 13" xfId="11586"/>
    <cellStyle name="Обычный 6 14" xfId="11587"/>
    <cellStyle name="Обычный 6 2" xfId="3713"/>
    <cellStyle name="Обычный 6 2 10" xfId="11588"/>
    <cellStyle name="Обычный 6 2 11" xfId="11589"/>
    <cellStyle name="Обычный 6 2 12" xfId="11590"/>
    <cellStyle name="Обычный 6 2 13" xfId="11591"/>
    <cellStyle name="Обычный 6 2 2" xfId="3714"/>
    <cellStyle name="Обычный 6 2 2 10" xfId="11592"/>
    <cellStyle name="Обычный 6 2 2 11" xfId="11593"/>
    <cellStyle name="Обычный 6 2 2 2" xfId="3715"/>
    <cellStyle name="Обычный 6 2 2 2 10" xfId="11594"/>
    <cellStyle name="Обычный 6 2 2 2 2" xfId="3716"/>
    <cellStyle name="Обычный 6 2 2 2 2 2" xfId="3717"/>
    <cellStyle name="Обычный 6 2 2 2 2 2 2" xfId="11595"/>
    <cellStyle name="Обычный 6 2 2 2 2 2 3" xfId="11596"/>
    <cellStyle name="Обычный 6 2 2 2 2 2 4" xfId="11597"/>
    <cellStyle name="Обычный 6 2 2 2 2 2 5" xfId="11598"/>
    <cellStyle name="Обычный 6 2 2 2 2 2 6" xfId="11599"/>
    <cellStyle name="Обычный 6 2 2 2 2 3" xfId="3718"/>
    <cellStyle name="Обычный 6 2 2 2 2 3 2" xfId="11600"/>
    <cellStyle name="Обычный 6 2 2 2 2 3 3" xfId="11601"/>
    <cellStyle name="Обычный 6 2 2 2 2 3 4" xfId="11602"/>
    <cellStyle name="Обычный 6 2 2 2 2 3 5" xfId="11603"/>
    <cellStyle name="Обычный 6 2 2 2 2 3 6" xfId="11604"/>
    <cellStyle name="Обычный 6 2 2 2 2 4" xfId="3719"/>
    <cellStyle name="Обычный 6 2 2 2 2 4 2" xfId="11605"/>
    <cellStyle name="Обычный 6 2 2 2 2 4 3" xfId="11606"/>
    <cellStyle name="Обычный 6 2 2 2 2 4 4" xfId="11607"/>
    <cellStyle name="Обычный 6 2 2 2 2 4 5" xfId="11608"/>
    <cellStyle name="Обычный 6 2 2 2 2 4 6" xfId="11609"/>
    <cellStyle name="Обычный 6 2 2 2 2 5" xfId="11610"/>
    <cellStyle name="Обычный 6 2 2 2 2 6" xfId="11611"/>
    <cellStyle name="Обычный 6 2 2 2 2 7" xfId="11612"/>
    <cellStyle name="Обычный 6 2 2 2 2 8" xfId="11613"/>
    <cellStyle name="Обычный 6 2 2 2 2 9" xfId="11614"/>
    <cellStyle name="Обычный 6 2 2 2 3" xfId="3720"/>
    <cellStyle name="Обычный 6 2 2 2 3 2" xfId="11615"/>
    <cellStyle name="Обычный 6 2 2 2 3 3" xfId="11616"/>
    <cellStyle name="Обычный 6 2 2 2 3 4" xfId="11617"/>
    <cellStyle name="Обычный 6 2 2 2 3 5" xfId="11618"/>
    <cellStyle name="Обычный 6 2 2 2 3 6" xfId="11619"/>
    <cellStyle name="Обычный 6 2 2 2 4" xfId="3721"/>
    <cellStyle name="Обычный 6 2 2 2 4 2" xfId="11620"/>
    <cellStyle name="Обычный 6 2 2 2 4 3" xfId="11621"/>
    <cellStyle name="Обычный 6 2 2 2 4 4" xfId="11622"/>
    <cellStyle name="Обычный 6 2 2 2 4 5" xfId="11623"/>
    <cellStyle name="Обычный 6 2 2 2 4 6" xfId="11624"/>
    <cellStyle name="Обычный 6 2 2 2 5" xfId="3722"/>
    <cellStyle name="Обычный 6 2 2 2 5 2" xfId="11625"/>
    <cellStyle name="Обычный 6 2 2 2 5 3" xfId="11626"/>
    <cellStyle name="Обычный 6 2 2 2 5 4" xfId="11627"/>
    <cellStyle name="Обычный 6 2 2 2 5 5" xfId="11628"/>
    <cellStyle name="Обычный 6 2 2 2 5 6" xfId="11629"/>
    <cellStyle name="Обычный 6 2 2 2 6" xfId="11630"/>
    <cellStyle name="Обычный 6 2 2 2 7" xfId="11631"/>
    <cellStyle name="Обычный 6 2 2 2 8" xfId="11632"/>
    <cellStyle name="Обычный 6 2 2 2 9" xfId="11633"/>
    <cellStyle name="Обычный 6 2 2 3" xfId="3723"/>
    <cellStyle name="Обычный 6 2 2 3 2" xfId="3724"/>
    <cellStyle name="Обычный 6 2 2 3 2 2" xfId="11634"/>
    <cellStyle name="Обычный 6 2 2 3 2 3" xfId="11635"/>
    <cellStyle name="Обычный 6 2 2 3 2 4" xfId="11636"/>
    <cellStyle name="Обычный 6 2 2 3 2 5" xfId="11637"/>
    <cellStyle name="Обычный 6 2 2 3 2 6" xfId="11638"/>
    <cellStyle name="Обычный 6 2 2 3 3" xfId="3725"/>
    <cellStyle name="Обычный 6 2 2 3 3 2" xfId="11639"/>
    <cellStyle name="Обычный 6 2 2 3 3 3" xfId="11640"/>
    <cellStyle name="Обычный 6 2 2 3 3 4" xfId="11641"/>
    <cellStyle name="Обычный 6 2 2 3 3 5" xfId="11642"/>
    <cellStyle name="Обычный 6 2 2 3 3 6" xfId="11643"/>
    <cellStyle name="Обычный 6 2 2 3 4" xfId="3726"/>
    <cellStyle name="Обычный 6 2 2 3 4 2" xfId="11644"/>
    <cellStyle name="Обычный 6 2 2 3 4 3" xfId="11645"/>
    <cellStyle name="Обычный 6 2 2 3 4 4" xfId="11646"/>
    <cellStyle name="Обычный 6 2 2 3 4 5" xfId="11647"/>
    <cellStyle name="Обычный 6 2 2 3 4 6" xfId="11648"/>
    <cellStyle name="Обычный 6 2 2 3 5" xfId="11649"/>
    <cellStyle name="Обычный 6 2 2 3 6" xfId="11650"/>
    <cellStyle name="Обычный 6 2 2 3 7" xfId="11651"/>
    <cellStyle name="Обычный 6 2 2 3 8" xfId="11652"/>
    <cellStyle name="Обычный 6 2 2 3 9" xfId="11653"/>
    <cellStyle name="Обычный 6 2 2 4" xfId="3727"/>
    <cellStyle name="Обычный 6 2 2 4 2" xfId="11654"/>
    <cellStyle name="Обычный 6 2 2 4 3" xfId="11655"/>
    <cellStyle name="Обычный 6 2 2 4 4" xfId="11656"/>
    <cellStyle name="Обычный 6 2 2 4 5" xfId="11657"/>
    <cellStyle name="Обычный 6 2 2 4 6" xfId="11658"/>
    <cellStyle name="Обычный 6 2 2 5" xfId="3728"/>
    <cellStyle name="Обычный 6 2 2 5 2" xfId="11659"/>
    <cellStyle name="Обычный 6 2 2 5 3" xfId="11660"/>
    <cellStyle name="Обычный 6 2 2 5 4" xfId="11661"/>
    <cellStyle name="Обычный 6 2 2 5 5" xfId="11662"/>
    <cellStyle name="Обычный 6 2 2 5 6" xfId="11663"/>
    <cellStyle name="Обычный 6 2 2 6" xfId="3729"/>
    <cellStyle name="Обычный 6 2 2 6 2" xfId="11664"/>
    <cellStyle name="Обычный 6 2 2 6 3" xfId="11665"/>
    <cellStyle name="Обычный 6 2 2 6 4" xfId="11666"/>
    <cellStyle name="Обычный 6 2 2 6 5" xfId="11667"/>
    <cellStyle name="Обычный 6 2 2 6 6" xfId="11668"/>
    <cellStyle name="Обычный 6 2 2 7" xfId="5333"/>
    <cellStyle name="Обычный 6 2 2 8" xfId="11669"/>
    <cellStyle name="Обычный 6 2 2 9" xfId="11670"/>
    <cellStyle name="Обычный 6 2 3" xfId="3730"/>
    <cellStyle name="Обычный 6 2 3 10" xfId="11671"/>
    <cellStyle name="Обычный 6 2 3 2" xfId="3731"/>
    <cellStyle name="Обычный 6 2 3 2 2" xfId="3732"/>
    <cellStyle name="Обычный 6 2 3 2 2 2" xfId="11672"/>
    <cellStyle name="Обычный 6 2 3 2 2 3" xfId="11673"/>
    <cellStyle name="Обычный 6 2 3 2 2 4" xfId="11674"/>
    <cellStyle name="Обычный 6 2 3 2 2 5" xfId="11675"/>
    <cellStyle name="Обычный 6 2 3 2 2 6" xfId="11676"/>
    <cellStyle name="Обычный 6 2 3 2 3" xfId="3733"/>
    <cellStyle name="Обычный 6 2 3 2 3 2" xfId="11677"/>
    <cellStyle name="Обычный 6 2 3 2 3 3" xfId="11678"/>
    <cellStyle name="Обычный 6 2 3 2 3 4" xfId="11679"/>
    <cellStyle name="Обычный 6 2 3 2 3 5" xfId="11680"/>
    <cellStyle name="Обычный 6 2 3 2 3 6" xfId="11681"/>
    <cellStyle name="Обычный 6 2 3 2 4" xfId="3734"/>
    <cellStyle name="Обычный 6 2 3 2 4 2" xfId="11682"/>
    <cellStyle name="Обычный 6 2 3 2 4 3" xfId="11683"/>
    <cellStyle name="Обычный 6 2 3 2 4 4" xfId="11684"/>
    <cellStyle name="Обычный 6 2 3 2 4 5" xfId="11685"/>
    <cellStyle name="Обычный 6 2 3 2 4 6" xfId="11686"/>
    <cellStyle name="Обычный 6 2 3 2 5" xfId="11687"/>
    <cellStyle name="Обычный 6 2 3 2 6" xfId="11688"/>
    <cellStyle name="Обычный 6 2 3 2 7" xfId="11689"/>
    <cellStyle name="Обычный 6 2 3 2 8" xfId="11690"/>
    <cellStyle name="Обычный 6 2 3 2 9" xfId="11691"/>
    <cellStyle name="Обычный 6 2 3 3" xfId="3735"/>
    <cellStyle name="Обычный 6 2 3 3 2" xfId="11692"/>
    <cellStyle name="Обычный 6 2 3 3 3" xfId="11693"/>
    <cellStyle name="Обычный 6 2 3 3 4" xfId="11694"/>
    <cellStyle name="Обычный 6 2 3 3 5" xfId="11695"/>
    <cellStyle name="Обычный 6 2 3 3 6" xfId="11696"/>
    <cellStyle name="Обычный 6 2 3 4" xfId="3736"/>
    <cellStyle name="Обычный 6 2 3 4 2" xfId="11697"/>
    <cellStyle name="Обычный 6 2 3 4 3" xfId="11698"/>
    <cellStyle name="Обычный 6 2 3 4 4" xfId="11699"/>
    <cellStyle name="Обычный 6 2 3 4 5" xfId="11700"/>
    <cellStyle name="Обычный 6 2 3 4 6" xfId="11701"/>
    <cellStyle name="Обычный 6 2 3 5" xfId="3737"/>
    <cellStyle name="Обычный 6 2 3 5 2" xfId="11702"/>
    <cellStyle name="Обычный 6 2 3 5 3" xfId="11703"/>
    <cellStyle name="Обычный 6 2 3 5 4" xfId="11704"/>
    <cellStyle name="Обычный 6 2 3 5 5" xfId="11705"/>
    <cellStyle name="Обычный 6 2 3 5 6" xfId="11706"/>
    <cellStyle name="Обычный 6 2 3 6" xfId="11707"/>
    <cellStyle name="Обычный 6 2 3 7" xfId="11708"/>
    <cellStyle name="Обычный 6 2 3 8" xfId="11709"/>
    <cellStyle name="Обычный 6 2 3 9" xfId="11710"/>
    <cellStyle name="Обычный 6 2 4" xfId="3738"/>
    <cellStyle name="Обычный 6 2 5" xfId="3739"/>
    <cellStyle name="Обычный 6 2 5 2" xfId="3740"/>
    <cellStyle name="Обычный 6 2 5 2 2" xfId="11711"/>
    <cellStyle name="Обычный 6 2 5 2 3" xfId="11712"/>
    <cellStyle name="Обычный 6 2 5 2 4" xfId="11713"/>
    <cellStyle name="Обычный 6 2 5 2 5" xfId="11714"/>
    <cellStyle name="Обычный 6 2 5 2 6" xfId="11715"/>
    <cellStyle name="Обычный 6 2 5 3" xfId="3741"/>
    <cellStyle name="Обычный 6 2 5 3 2" xfId="11716"/>
    <cellStyle name="Обычный 6 2 5 3 3" xfId="11717"/>
    <cellStyle name="Обычный 6 2 5 3 4" xfId="11718"/>
    <cellStyle name="Обычный 6 2 5 3 5" xfId="11719"/>
    <cellStyle name="Обычный 6 2 5 3 6" xfId="11720"/>
    <cellStyle name="Обычный 6 2 5 4" xfId="3742"/>
    <cellStyle name="Обычный 6 2 5 4 2" xfId="11721"/>
    <cellStyle name="Обычный 6 2 5 4 3" xfId="11722"/>
    <cellStyle name="Обычный 6 2 5 4 4" xfId="11723"/>
    <cellStyle name="Обычный 6 2 5 4 5" xfId="11724"/>
    <cellStyle name="Обычный 6 2 5 4 6" xfId="11725"/>
    <cellStyle name="Обычный 6 2 5 5" xfId="11726"/>
    <cellStyle name="Обычный 6 2 5 6" xfId="11727"/>
    <cellStyle name="Обычный 6 2 5 7" xfId="11728"/>
    <cellStyle name="Обычный 6 2 5 8" xfId="11729"/>
    <cellStyle name="Обычный 6 2 5 9" xfId="11730"/>
    <cellStyle name="Обычный 6 2 6" xfId="3743"/>
    <cellStyle name="Обычный 6 2 6 2" xfId="11731"/>
    <cellStyle name="Обычный 6 2 6 3" xfId="11732"/>
    <cellStyle name="Обычный 6 2 6 4" xfId="11733"/>
    <cellStyle name="Обычный 6 2 6 5" xfId="11734"/>
    <cellStyle name="Обычный 6 2 6 6" xfId="11735"/>
    <cellStyle name="Обычный 6 2 7" xfId="3744"/>
    <cellStyle name="Обычный 6 2 7 2" xfId="11736"/>
    <cellStyle name="Обычный 6 2 7 3" xfId="11737"/>
    <cellStyle name="Обычный 6 2 7 4" xfId="11738"/>
    <cellStyle name="Обычный 6 2 7 5" xfId="11739"/>
    <cellStyle name="Обычный 6 2 7 6" xfId="11740"/>
    <cellStyle name="Обычный 6 2 8" xfId="3745"/>
    <cellStyle name="Обычный 6 2 8 2" xfId="11741"/>
    <cellStyle name="Обычный 6 2 8 3" xfId="11742"/>
    <cellStyle name="Обычный 6 2 8 4" xfId="11743"/>
    <cellStyle name="Обычный 6 2 8 5" xfId="11744"/>
    <cellStyle name="Обычный 6 2 8 6" xfId="11745"/>
    <cellStyle name="Обычный 6 2 9" xfId="5334"/>
    <cellStyle name="Обычный 6 3" xfId="3746"/>
    <cellStyle name="Обычный 6 3 2" xfId="3747"/>
    <cellStyle name="Обычный 6 3 3" xfId="3748"/>
    <cellStyle name="Обычный 6 3 3 2" xfId="3749"/>
    <cellStyle name="Обычный 6 3 3 2 2" xfId="11746"/>
    <cellStyle name="Обычный 6 3 3 2 3" xfId="11747"/>
    <cellStyle name="Обычный 6 3 3 2 4" xfId="11748"/>
    <cellStyle name="Обычный 6 3 3 2 5" xfId="11749"/>
    <cellStyle name="Обычный 6 3 3 2 6" xfId="11750"/>
    <cellStyle name="Обычный 6 3 3 3" xfId="3750"/>
    <cellStyle name="Обычный 6 3 3 3 2" xfId="11751"/>
    <cellStyle name="Обычный 6 3 3 3 3" xfId="11752"/>
    <cellStyle name="Обычный 6 3 3 3 4" xfId="11753"/>
    <cellStyle name="Обычный 6 3 3 3 5" xfId="11754"/>
    <cellStyle name="Обычный 6 3 3 3 6" xfId="11755"/>
    <cellStyle name="Обычный 6 3 3 4" xfId="3751"/>
    <cellStyle name="Обычный 6 3 3 4 2" xfId="11756"/>
    <cellStyle name="Обычный 6 3 3 4 3" xfId="11757"/>
    <cellStyle name="Обычный 6 3 3 4 4" xfId="11758"/>
    <cellStyle name="Обычный 6 3 3 4 5" xfId="11759"/>
    <cellStyle name="Обычный 6 3 3 4 6" xfId="11760"/>
    <cellStyle name="Обычный 6 3 3 5" xfId="11761"/>
    <cellStyle name="Обычный 6 3 3 6" xfId="11762"/>
    <cellStyle name="Обычный 6 3 3 7" xfId="11763"/>
    <cellStyle name="Обычный 6 3 3 8" xfId="11764"/>
    <cellStyle name="Обычный 6 3 3 9" xfId="11765"/>
    <cellStyle name="Обычный 6 3 4" xfId="5335"/>
    <cellStyle name="Обычный 6 4" xfId="3752"/>
    <cellStyle name="Обычный 6 4 10" xfId="11766"/>
    <cellStyle name="Обычный 6 4 11" xfId="11767"/>
    <cellStyle name="Обычный 6 4 2" xfId="3753"/>
    <cellStyle name="Обычный 6 4 2 10" xfId="11768"/>
    <cellStyle name="Обычный 6 4 2 2" xfId="3754"/>
    <cellStyle name="Обычный 6 4 2 2 2" xfId="3755"/>
    <cellStyle name="Обычный 6 4 2 2 2 2" xfId="11769"/>
    <cellStyle name="Обычный 6 4 2 2 2 3" xfId="11770"/>
    <cellStyle name="Обычный 6 4 2 2 2 4" xfId="11771"/>
    <cellStyle name="Обычный 6 4 2 2 2 5" xfId="11772"/>
    <cellStyle name="Обычный 6 4 2 2 2 6" xfId="11773"/>
    <cellStyle name="Обычный 6 4 2 2 3" xfId="3756"/>
    <cellStyle name="Обычный 6 4 2 2 3 2" xfId="11774"/>
    <cellStyle name="Обычный 6 4 2 2 3 3" xfId="11775"/>
    <cellStyle name="Обычный 6 4 2 2 3 4" xfId="11776"/>
    <cellStyle name="Обычный 6 4 2 2 3 5" xfId="11777"/>
    <cellStyle name="Обычный 6 4 2 2 3 6" xfId="11778"/>
    <cellStyle name="Обычный 6 4 2 2 4" xfId="3757"/>
    <cellStyle name="Обычный 6 4 2 2 4 2" xfId="11779"/>
    <cellStyle name="Обычный 6 4 2 2 4 3" xfId="11780"/>
    <cellStyle name="Обычный 6 4 2 2 4 4" xfId="11781"/>
    <cellStyle name="Обычный 6 4 2 2 4 5" xfId="11782"/>
    <cellStyle name="Обычный 6 4 2 2 4 6" xfId="11783"/>
    <cellStyle name="Обычный 6 4 2 2 5" xfId="11784"/>
    <cellStyle name="Обычный 6 4 2 2 6" xfId="11785"/>
    <cellStyle name="Обычный 6 4 2 2 7" xfId="11786"/>
    <cellStyle name="Обычный 6 4 2 2 8" xfId="11787"/>
    <cellStyle name="Обычный 6 4 2 2 9" xfId="11788"/>
    <cellStyle name="Обычный 6 4 2 3" xfId="3758"/>
    <cellStyle name="Обычный 6 4 2 3 2" xfId="11789"/>
    <cellStyle name="Обычный 6 4 2 3 3" xfId="11790"/>
    <cellStyle name="Обычный 6 4 2 3 4" xfId="11791"/>
    <cellStyle name="Обычный 6 4 2 3 5" xfId="11792"/>
    <cellStyle name="Обычный 6 4 2 3 6" xfId="11793"/>
    <cellStyle name="Обычный 6 4 2 4" xfId="3759"/>
    <cellStyle name="Обычный 6 4 2 4 2" xfId="11794"/>
    <cellStyle name="Обычный 6 4 2 4 3" xfId="11795"/>
    <cellStyle name="Обычный 6 4 2 4 4" xfId="11796"/>
    <cellStyle name="Обычный 6 4 2 4 5" xfId="11797"/>
    <cellStyle name="Обычный 6 4 2 4 6" xfId="11798"/>
    <cellStyle name="Обычный 6 4 2 5" xfId="3760"/>
    <cellStyle name="Обычный 6 4 2 5 2" xfId="11799"/>
    <cellStyle name="Обычный 6 4 2 5 3" xfId="11800"/>
    <cellStyle name="Обычный 6 4 2 5 4" xfId="11801"/>
    <cellStyle name="Обычный 6 4 2 5 5" xfId="11802"/>
    <cellStyle name="Обычный 6 4 2 5 6" xfId="11803"/>
    <cellStyle name="Обычный 6 4 2 6" xfId="11804"/>
    <cellStyle name="Обычный 6 4 2 7" xfId="11805"/>
    <cellStyle name="Обычный 6 4 2 8" xfId="11806"/>
    <cellStyle name="Обычный 6 4 2 9" xfId="11807"/>
    <cellStyle name="Обычный 6 4 3" xfId="3761"/>
    <cellStyle name="Обычный 6 4 3 2" xfId="3762"/>
    <cellStyle name="Обычный 6 4 3 2 2" xfId="11808"/>
    <cellStyle name="Обычный 6 4 3 2 3" xfId="11809"/>
    <cellStyle name="Обычный 6 4 3 2 4" xfId="11810"/>
    <cellStyle name="Обычный 6 4 3 2 5" xfId="11811"/>
    <cellStyle name="Обычный 6 4 3 2 6" xfId="11812"/>
    <cellStyle name="Обычный 6 4 3 3" xfId="3763"/>
    <cellStyle name="Обычный 6 4 3 3 2" xfId="11813"/>
    <cellStyle name="Обычный 6 4 3 3 3" xfId="11814"/>
    <cellStyle name="Обычный 6 4 3 3 4" xfId="11815"/>
    <cellStyle name="Обычный 6 4 3 3 5" xfId="11816"/>
    <cellStyle name="Обычный 6 4 3 3 6" xfId="11817"/>
    <cellStyle name="Обычный 6 4 3 4" xfId="3764"/>
    <cellStyle name="Обычный 6 4 3 4 2" xfId="11818"/>
    <cellStyle name="Обычный 6 4 3 4 3" xfId="11819"/>
    <cellStyle name="Обычный 6 4 3 4 4" xfId="11820"/>
    <cellStyle name="Обычный 6 4 3 4 5" xfId="11821"/>
    <cellStyle name="Обычный 6 4 3 4 6" xfId="11822"/>
    <cellStyle name="Обычный 6 4 3 5" xfId="11823"/>
    <cellStyle name="Обычный 6 4 3 6" xfId="11824"/>
    <cellStyle name="Обычный 6 4 3 7" xfId="11825"/>
    <cellStyle name="Обычный 6 4 3 8" xfId="11826"/>
    <cellStyle name="Обычный 6 4 3 9" xfId="11827"/>
    <cellStyle name="Обычный 6 4 4" xfId="3765"/>
    <cellStyle name="Обычный 6 4 4 2" xfId="11828"/>
    <cellStyle name="Обычный 6 4 4 3" xfId="11829"/>
    <cellStyle name="Обычный 6 4 4 4" xfId="11830"/>
    <cellStyle name="Обычный 6 4 4 5" xfId="11831"/>
    <cellStyle name="Обычный 6 4 4 6" xfId="11832"/>
    <cellStyle name="Обычный 6 4 5" xfId="3766"/>
    <cellStyle name="Обычный 6 4 5 2" xfId="11833"/>
    <cellStyle name="Обычный 6 4 5 3" xfId="11834"/>
    <cellStyle name="Обычный 6 4 5 4" xfId="11835"/>
    <cellStyle name="Обычный 6 4 5 5" xfId="11836"/>
    <cellStyle name="Обычный 6 4 5 6" xfId="11837"/>
    <cellStyle name="Обычный 6 4 6" xfId="3767"/>
    <cellStyle name="Обычный 6 4 6 2" xfId="11838"/>
    <cellStyle name="Обычный 6 4 6 3" xfId="11839"/>
    <cellStyle name="Обычный 6 4 6 4" xfId="11840"/>
    <cellStyle name="Обычный 6 4 6 5" xfId="11841"/>
    <cellStyle name="Обычный 6 4 6 6" xfId="11842"/>
    <cellStyle name="Обычный 6 4 7" xfId="5336"/>
    <cellStyle name="Обычный 6 4 8" xfId="11843"/>
    <cellStyle name="Обычный 6 4 9" xfId="11844"/>
    <cellStyle name="Обычный 6 5" xfId="3768"/>
    <cellStyle name="Обычный 6 5 10" xfId="11845"/>
    <cellStyle name="Обычный 6 5 2" xfId="3769"/>
    <cellStyle name="Обычный 6 5 2 2" xfId="3770"/>
    <cellStyle name="Обычный 6 5 2 2 2" xfId="11846"/>
    <cellStyle name="Обычный 6 5 2 2 3" xfId="11847"/>
    <cellStyle name="Обычный 6 5 2 2 4" xfId="11848"/>
    <cellStyle name="Обычный 6 5 2 2 5" xfId="11849"/>
    <cellStyle name="Обычный 6 5 2 2 6" xfId="11850"/>
    <cellStyle name="Обычный 6 5 2 3" xfId="3771"/>
    <cellStyle name="Обычный 6 5 2 3 2" xfId="11851"/>
    <cellStyle name="Обычный 6 5 2 3 3" xfId="11852"/>
    <cellStyle name="Обычный 6 5 2 3 4" xfId="11853"/>
    <cellStyle name="Обычный 6 5 2 3 5" xfId="11854"/>
    <cellStyle name="Обычный 6 5 2 3 6" xfId="11855"/>
    <cellStyle name="Обычный 6 5 2 4" xfId="3772"/>
    <cellStyle name="Обычный 6 5 2 4 2" xfId="11856"/>
    <cellStyle name="Обычный 6 5 2 4 3" xfId="11857"/>
    <cellStyle name="Обычный 6 5 2 4 4" xfId="11858"/>
    <cellStyle name="Обычный 6 5 2 4 5" xfId="11859"/>
    <cellStyle name="Обычный 6 5 2 4 6" xfId="11860"/>
    <cellStyle name="Обычный 6 5 2 5" xfId="11861"/>
    <cellStyle name="Обычный 6 5 2 6" xfId="11862"/>
    <cellStyle name="Обычный 6 5 2 7" xfId="11863"/>
    <cellStyle name="Обычный 6 5 2 8" xfId="11864"/>
    <cellStyle name="Обычный 6 5 2 9" xfId="11865"/>
    <cellStyle name="Обычный 6 5 3" xfId="3773"/>
    <cellStyle name="Обычный 6 5 3 2" xfId="11866"/>
    <cellStyle name="Обычный 6 5 3 3" xfId="11867"/>
    <cellStyle name="Обычный 6 5 3 4" xfId="11868"/>
    <cellStyle name="Обычный 6 5 3 5" xfId="11869"/>
    <cellStyle name="Обычный 6 5 3 6" xfId="11870"/>
    <cellStyle name="Обычный 6 5 4" xfId="3774"/>
    <cellStyle name="Обычный 6 5 4 2" xfId="11871"/>
    <cellStyle name="Обычный 6 5 4 3" xfId="11872"/>
    <cellStyle name="Обычный 6 5 4 4" xfId="11873"/>
    <cellStyle name="Обычный 6 5 4 5" xfId="11874"/>
    <cellStyle name="Обычный 6 5 4 6" xfId="11875"/>
    <cellStyle name="Обычный 6 5 5" xfId="3775"/>
    <cellStyle name="Обычный 6 5 5 2" xfId="11876"/>
    <cellStyle name="Обычный 6 5 5 3" xfId="11877"/>
    <cellStyle name="Обычный 6 5 5 4" xfId="11878"/>
    <cellStyle name="Обычный 6 5 5 5" xfId="11879"/>
    <cellStyle name="Обычный 6 5 5 6" xfId="11880"/>
    <cellStyle name="Обычный 6 5 6" xfId="11881"/>
    <cellStyle name="Обычный 6 5 7" xfId="11882"/>
    <cellStyle name="Обычный 6 5 8" xfId="11883"/>
    <cellStyle name="Обычный 6 5 9" xfId="11884"/>
    <cellStyle name="Обычный 6 6" xfId="3776"/>
    <cellStyle name="Обычный 6 6 2" xfId="3777"/>
    <cellStyle name="Обычный 6 6 2 2" xfId="11885"/>
    <cellStyle name="Обычный 6 6 2 3" xfId="11886"/>
    <cellStyle name="Обычный 6 6 2 4" xfId="11887"/>
    <cellStyle name="Обычный 6 6 2 5" xfId="11888"/>
    <cellStyle name="Обычный 6 6 2 6" xfId="11889"/>
    <cellStyle name="Обычный 6 6 3" xfId="3778"/>
    <cellStyle name="Обычный 6 6 3 2" xfId="11890"/>
    <cellStyle name="Обычный 6 6 3 3" xfId="11891"/>
    <cellStyle name="Обычный 6 6 3 4" xfId="11892"/>
    <cellStyle name="Обычный 6 6 3 5" xfId="11893"/>
    <cellStyle name="Обычный 6 6 3 6" xfId="11894"/>
    <cellStyle name="Обычный 6 6 4" xfId="3779"/>
    <cellStyle name="Обычный 6 6 4 2" xfId="11895"/>
    <cellStyle name="Обычный 6 6 4 3" xfId="11896"/>
    <cellStyle name="Обычный 6 6 4 4" xfId="11897"/>
    <cellStyle name="Обычный 6 6 4 5" xfId="11898"/>
    <cellStyle name="Обычный 6 6 4 6" xfId="11899"/>
    <cellStyle name="Обычный 6 6 5" xfId="11900"/>
    <cellStyle name="Обычный 6 6 6" xfId="11901"/>
    <cellStyle name="Обычный 6 6 7" xfId="11902"/>
    <cellStyle name="Обычный 6 6 8" xfId="11903"/>
    <cellStyle name="Обычный 6 6 9" xfId="11904"/>
    <cellStyle name="Обычный 6 7" xfId="3780"/>
    <cellStyle name="Обычный 6 7 2" xfId="11905"/>
    <cellStyle name="Обычный 6 7 3" xfId="11906"/>
    <cellStyle name="Обычный 6 7 4" xfId="11907"/>
    <cellStyle name="Обычный 6 7 5" xfId="11908"/>
    <cellStyle name="Обычный 6 7 6" xfId="11909"/>
    <cellStyle name="Обычный 6 8" xfId="3781"/>
    <cellStyle name="Обычный 6 8 2" xfId="11910"/>
    <cellStyle name="Обычный 6 8 3" xfId="11911"/>
    <cellStyle name="Обычный 6 8 4" xfId="11912"/>
    <cellStyle name="Обычный 6 8 5" xfId="11913"/>
    <cellStyle name="Обычный 6 8 6" xfId="11914"/>
    <cellStyle name="Обычный 6 9" xfId="3782"/>
    <cellStyle name="Обычный 6 9 2" xfId="11915"/>
    <cellStyle name="Обычный 6 9 3" xfId="11916"/>
    <cellStyle name="Обычный 6 9 4" xfId="11917"/>
    <cellStyle name="Обычный 6 9 5" xfId="11918"/>
    <cellStyle name="Обычный 6 9 6" xfId="11919"/>
    <cellStyle name="Обычный 6_косвен" xfId="3783"/>
    <cellStyle name="Обычный 60" xfId="3784"/>
    <cellStyle name="Обычный 61" xfId="3785"/>
    <cellStyle name="Обычный 61 2" xfId="3786"/>
    <cellStyle name="Обычный 62" xfId="3787"/>
    <cellStyle name="Обычный 62 2" xfId="3788"/>
    <cellStyle name="Обычный 62 2 2" xfId="11920"/>
    <cellStyle name="Обычный 62 2 3" xfId="11921"/>
    <cellStyle name="Обычный 62 2 4" xfId="11922"/>
    <cellStyle name="Обычный 62 2 5" xfId="11923"/>
    <cellStyle name="Обычный 62 2 6" xfId="11924"/>
    <cellStyle name="Обычный 62 3" xfId="3789"/>
    <cellStyle name="Обычный 62 3 2" xfId="11925"/>
    <cellStyle name="Обычный 62 3 3" xfId="11926"/>
    <cellStyle name="Обычный 62 3 4" xfId="11927"/>
    <cellStyle name="Обычный 62 3 5" xfId="11928"/>
    <cellStyle name="Обычный 62 3 6" xfId="11929"/>
    <cellStyle name="Обычный 62 4" xfId="3790"/>
    <cellStyle name="Обычный 62 4 2" xfId="11930"/>
    <cellStyle name="Обычный 62 4 3" xfId="11931"/>
    <cellStyle name="Обычный 62 4 4" xfId="11932"/>
    <cellStyle name="Обычный 62 4 5" xfId="11933"/>
    <cellStyle name="Обычный 62 4 6" xfId="11934"/>
    <cellStyle name="Обычный 62 5" xfId="11935"/>
    <cellStyle name="Обычный 62 6" xfId="11936"/>
    <cellStyle name="Обычный 62 7" xfId="11937"/>
    <cellStyle name="Обычный 62 8" xfId="11938"/>
    <cellStyle name="Обычный 62 9" xfId="11939"/>
    <cellStyle name="Обычный 63" xfId="3791"/>
    <cellStyle name="Обычный 63 2" xfId="3792"/>
    <cellStyle name="Обычный 64" xfId="3793"/>
    <cellStyle name="Обычный 64 2" xfId="11940"/>
    <cellStyle name="Обычный 64 3" xfId="11941"/>
    <cellStyle name="Обычный 64 4" xfId="11942"/>
    <cellStyle name="Обычный 64 5" xfId="11943"/>
    <cellStyle name="Обычный 64 6" xfId="11944"/>
    <cellStyle name="Обычный 65" xfId="3794"/>
    <cellStyle name="Обычный 66" xfId="3795"/>
    <cellStyle name="Обычный 66 2" xfId="11945"/>
    <cellStyle name="Обычный 66 3" xfId="11946"/>
    <cellStyle name="Обычный 66 4" xfId="11947"/>
    <cellStyle name="Обычный 66 5" xfId="11948"/>
    <cellStyle name="Обычный 66 6" xfId="11949"/>
    <cellStyle name="Обычный 67" xfId="3796"/>
    <cellStyle name="Обычный 67 2" xfId="11950"/>
    <cellStyle name="Обычный 67 3" xfId="11951"/>
    <cellStyle name="Обычный 67 4" xfId="11952"/>
    <cellStyle name="Обычный 67 5" xfId="11953"/>
    <cellStyle name="Обычный 67 6" xfId="11954"/>
    <cellStyle name="Обычный 68" xfId="3797"/>
    <cellStyle name="Обычный 68 2" xfId="3798"/>
    <cellStyle name="Обычный 68 2 2" xfId="11955"/>
    <cellStyle name="Обычный 68 3" xfId="11956"/>
    <cellStyle name="Обычный 68 4" xfId="11957"/>
    <cellStyle name="Обычный 68 5" xfId="11958"/>
    <cellStyle name="Обычный 68 6" xfId="11959"/>
    <cellStyle name="Обычный 68 7" xfId="11960"/>
    <cellStyle name="Обычный 69" xfId="3799"/>
    <cellStyle name="Обычный 69 2" xfId="11961"/>
    <cellStyle name="Обычный 69 3" xfId="11962"/>
    <cellStyle name="Обычный 69 4" xfId="11963"/>
    <cellStyle name="Обычный 69 5" xfId="11964"/>
    <cellStyle name="Обычный 69 6" xfId="11965"/>
    <cellStyle name="Обычный 7" xfId="3800"/>
    <cellStyle name="Обычный 7 10" xfId="11966"/>
    <cellStyle name="Обычный 7 11" xfId="11967"/>
    <cellStyle name="Обычный 7 12" xfId="11968"/>
    <cellStyle name="Обычный 7 13" xfId="11969"/>
    <cellStyle name="Обычный 7 14" xfId="11970"/>
    <cellStyle name="Обычный 7 2" xfId="3801"/>
    <cellStyle name="Обычный 7 2 10" xfId="11971"/>
    <cellStyle name="Обычный 7 2 11" xfId="11972"/>
    <cellStyle name="Обычный 7 2 12" xfId="11973"/>
    <cellStyle name="Обычный 7 2 13" xfId="11974"/>
    <cellStyle name="Обычный 7 2 2" xfId="3802"/>
    <cellStyle name="Обычный 7 2 2 10" xfId="11975"/>
    <cellStyle name="Обычный 7 2 2 11" xfId="11976"/>
    <cellStyle name="Обычный 7 2 2 2" xfId="3803"/>
    <cellStyle name="Обычный 7 2 2 2 10" xfId="11977"/>
    <cellStyle name="Обычный 7 2 2 2 2" xfId="3804"/>
    <cellStyle name="Обычный 7 2 2 2 2 2" xfId="3805"/>
    <cellStyle name="Обычный 7 2 2 2 2 2 2" xfId="11978"/>
    <cellStyle name="Обычный 7 2 2 2 2 2 3" xfId="11979"/>
    <cellStyle name="Обычный 7 2 2 2 2 2 4" xfId="11980"/>
    <cellStyle name="Обычный 7 2 2 2 2 2 5" xfId="11981"/>
    <cellStyle name="Обычный 7 2 2 2 2 2 6" xfId="11982"/>
    <cellStyle name="Обычный 7 2 2 2 2 3" xfId="3806"/>
    <cellStyle name="Обычный 7 2 2 2 2 3 2" xfId="11983"/>
    <cellStyle name="Обычный 7 2 2 2 2 3 3" xfId="11984"/>
    <cellStyle name="Обычный 7 2 2 2 2 3 4" xfId="11985"/>
    <cellStyle name="Обычный 7 2 2 2 2 3 5" xfId="11986"/>
    <cellStyle name="Обычный 7 2 2 2 2 3 6" xfId="11987"/>
    <cellStyle name="Обычный 7 2 2 2 2 4" xfId="3807"/>
    <cellStyle name="Обычный 7 2 2 2 2 4 2" xfId="11988"/>
    <cellStyle name="Обычный 7 2 2 2 2 4 3" xfId="11989"/>
    <cellStyle name="Обычный 7 2 2 2 2 4 4" xfId="11990"/>
    <cellStyle name="Обычный 7 2 2 2 2 4 5" xfId="11991"/>
    <cellStyle name="Обычный 7 2 2 2 2 4 6" xfId="11992"/>
    <cellStyle name="Обычный 7 2 2 2 2 5" xfId="11993"/>
    <cellStyle name="Обычный 7 2 2 2 2 6" xfId="11994"/>
    <cellStyle name="Обычный 7 2 2 2 2 7" xfId="11995"/>
    <cellStyle name="Обычный 7 2 2 2 2 8" xfId="11996"/>
    <cellStyle name="Обычный 7 2 2 2 2 9" xfId="11997"/>
    <cellStyle name="Обычный 7 2 2 2 3" xfId="3808"/>
    <cellStyle name="Обычный 7 2 2 2 3 2" xfId="11998"/>
    <cellStyle name="Обычный 7 2 2 2 3 3" xfId="11999"/>
    <cellStyle name="Обычный 7 2 2 2 3 4" xfId="12000"/>
    <cellStyle name="Обычный 7 2 2 2 3 5" xfId="12001"/>
    <cellStyle name="Обычный 7 2 2 2 3 6" xfId="12002"/>
    <cellStyle name="Обычный 7 2 2 2 4" xfId="3809"/>
    <cellStyle name="Обычный 7 2 2 2 4 2" xfId="12003"/>
    <cellStyle name="Обычный 7 2 2 2 4 3" xfId="12004"/>
    <cellStyle name="Обычный 7 2 2 2 4 4" xfId="12005"/>
    <cellStyle name="Обычный 7 2 2 2 4 5" xfId="12006"/>
    <cellStyle name="Обычный 7 2 2 2 4 6" xfId="12007"/>
    <cellStyle name="Обычный 7 2 2 2 5" xfId="3810"/>
    <cellStyle name="Обычный 7 2 2 2 5 2" xfId="12008"/>
    <cellStyle name="Обычный 7 2 2 2 5 3" xfId="12009"/>
    <cellStyle name="Обычный 7 2 2 2 5 4" xfId="12010"/>
    <cellStyle name="Обычный 7 2 2 2 5 5" xfId="12011"/>
    <cellStyle name="Обычный 7 2 2 2 5 6" xfId="12012"/>
    <cellStyle name="Обычный 7 2 2 2 6" xfId="12013"/>
    <cellStyle name="Обычный 7 2 2 2 7" xfId="12014"/>
    <cellStyle name="Обычный 7 2 2 2 8" xfId="12015"/>
    <cellStyle name="Обычный 7 2 2 2 9" xfId="12016"/>
    <cellStyle name="Обычный 7 2 2 3" xfId="3811"/>
    <cellStyle name="Обычный 7 2 2 3 2" xfId="3812"/>
    <cellStyle name="Обычный 7 2 2 3 2 2" xfId="12017"/>
    <cellStyle name="Обычный 7 2 2 3 2 3" xfId="12018"/>
    <cellStyle name="Обычный 7 2 2 3 2 4" xfId="12019"/>
    <cellStyle name="Обычный 7 2 2 3 2 5" xfId="12020"/>
    <cellStyle name="Обычный 7 2 2 3 2 6" xfId="12021"/>
    <cellStyle name="Обычный 7 2 2 3 3" xfId="3813"/>
    <cellStyle name="Обычный 7 2 2 3 3 2" xfId="12022"/>
    <cellStyle name="Обычный 7 2 2 3 3 3" xfId="12023"/>
    <cellStyle name="Обычный 7 2 2 3 3 4" xfId="12024"/>
    <cellStyle name="Обычный 7 2 2 3 3 5" xfId="12025"/>
    <cellStyle name="Обычный 7 2 2 3 3 6" xfId="12026"/>
    <cellStyle name="Обычный 7 2 2 3 4" xfId="3814"/>
    <cellStyle name="Обычный 7 2 2 3 4 2" xfId="12027"/>
    <cellStyle name="Обычный 7 2 2 3 4 3" xfId="12028"/>
    <cellStyle name="Обычный 7 2 2 3 4 4" xfId="12029"/>
    <cellStyle name="Обычный 7 2 2 3 4 5" xfId="12030"/>
    <cellStyle name="Обычный 7 2 2 3 4 6" xfId="12031"/>
    <cellStyle name="Обычный 7 2 2 3 5" xfId="12032"/>
    <cellStyle name="Обычный 7 2 2 3 6" xfId="12033"/>
    <cellStyle name="Обычный 7 2 2 3 7" xfId="12034"/>
    <cellStyle name="Обычный 7 2 2 3 8" xfId="12035"/>
    <cellStyle name="Обычный 7 2 2 3 9" xfId="12036"/>
    <cellStyle name="Обычный 7 2 2 4" xfId="3815"/>
    <cellStyle name="Обычный 7 2 2 4 2" xfId="12037"/>
    <cellStyle name="Обычный 7 2 2 4 3" xfId="12038"/>
    <cellStyle name="Обычный 7 2 2 4 4" xfId="12039"/>
    <cellStyle name="Обычный 7 2 2 4 5" xfId="12040"/>
    <cellStyle name="Обычный 7 2 2 4 6" xfId="12041"/>
    <cellStyle name="Обычный 7 2 2 5" xfId="3816"/>
    <cellStyle name="Обычный 7 2 2 5 2" xfId="12042"/>
    <cellStyle name="Обычный 7 2 2 5 3" xfId="12043"/>
    <cellStyle name="Обычный 7 2 2 5 4" xfId="12044"/>
    <cellStyle name="Обычный 7 2 2 5 5" xfId="12045"/>
    <cellStyle name="Обычный 7 2 2 5 6" xfId="12046"/>
    <cellStyle name="Обычный 7 2 2 6" xfId="3817"/>
    <cellStyle name="Обычный 7 2 2 6 2" xfId="12047"/>
    <cellStyle name="Обычный 7 2 2 6 3" xfId="12048"/>
    <cellStyle name="Обычный 7 2 2 6 4" xfId="12049"/>
    <cellStyle name="Обычный 7 2 2 6 5" xfId="12050"/>
    <cellStyle name="Обычный 7 2 2 6 6" xfId="12051"/>
    <cellStyle name="Обычный 7 2 2 7" xfId="12052"/>
    <cellStyle name="Обычный 7 2 2 8" xfId="12053"/>
    <cellStyle name="Обычный 7 2 2 9" xfId="12054"/>
    <cellStyle name="Обычный 7 2 3" xfId="3818"/>
    <cellStyle name="Обычный 7 2 3 10" xfId="12055"/>
    <cellStyle name="Обычный 7 2 3 2" xfId="3819"/>
    <cellStyle name="Обычный 7 2 3 2 2" xfId="3820"/>
    <cellStyle name="Обычный 7 2 3 2 2 2" xfId="12056"/>
    <cellStyle name="Обычный 7 2 3 2 2 3" xfId="12057"/>
    <cellStyle name="Обычный 7 2 3 2 2 4" xfId="12058"/>
    <cellStyle name="Обычный 7 2 3 2 2 5" xfId="12059"/>
    <cellStyle name="Обычный 7 2 3 2 2 6" xfId="12060"/>
    <cellStyle name="Обычный 7 2 3 2 3" xfId="3821"/>
    <cellStyle name="Обычный 7 2 3 2 3 2" xfId="12061"/>
    <cellStyle name="Обычный 7 2 3 2 3 3" xfId="12062"/>
    <cellStyle name="Обычный 7 2 3 2 3 4" xfId="12063"/>
    <cellStyle name="Обычный 7 2 3 2 3 5" xfId="12064"/>
    <cellStyle name="Обычный 7 2 3 2 3 6" xfId="12065"/>
    <cellStyle name="Обычный 7 2 3 2 4" xfId="3822"/>
    <cellStyle name="Обычный 7 2 3 2 4 2" xfId="12066"/>
    <cellStyle name="Обычный 7 2 3 2 4 3" xfId="12067"/>
    <cellStyle name="Обычный 7 2 3 2 4 4" xfId="12068"/>
    <cellStyle name="Обычный 7 2 3 2 4 5" xfId="12069"/>
    <cellStyle name="Обычный 7 2 3 2 4 6" xfId="12070"/>
    <cellStyle name="Обычный 7 2 3 2 5" xfId="12071"/>
    <cellStyle name="Обычный 7 2 3 2 6" xfId="12072"/>
    <cellStyle name="Обычный 7 2 3 2 7" xfId="12073"/>
    <cellStyle name="Обычный 7 2 3 2 8" xfId="12074"/>
    <cellStyle name="Обычный 7 2 3 2 9" xfId="12075"/>
    <cellStyle name="Обычный 7 2 3 3" xfId="3823"/>
    <cellStyle name="Обычный 7 2 3 3 2" xfId="12076"/>
    <cellStyle name="Обычный 7 2 3 3 3" xfId="12077"/>
    <cellStyle name="Обычный 7 2 3 3 4" xfId="12078"/>
    <cellStyle name="Обычный 7 2 3 3 5" xfId="12079"/>
    <cellStyle name="Обычный 7 2 3 3 6" xfId="12080"/>
    <cellStyle name="Обычный 7 2 3 4" xfId="3824"/>
    <cellStyle name="Обычный 7 2 3 4 2" xfId="12081"/>
    <cellStyle name="Обычный 7 2 3 4 3" xfId="12082"/>
    <cellStyle name="Обычный 7 2 3 4 4" xfId="12083"/>
    <cellStyle name="Обычный 7 2 3 4 5" xfId="12084"/>
    <cellStyle name="Обычный 7 2 3 4 6" xfId="12085"/>
    <cellStyle name="Обычный 7 2 3 5" xfId="3825"/>
    <cellStyle name="Обычный 7 2 3 5 2" xfId="12086"/>
    <cellStyle name="Обычный 7 2 3 5 3" xfId="12087"/>
    <cellStyle name="Обычный 7 2 3 5 4" xfId="12088"/>
    <cellStyle name="Обычный 7 2 3 5 5" xfId="12089"/>
    <cellStyle name="Обычный 7 2 3 5 6" xfId="12090"/>
    <cellStyle name="Обычный 7 2 3 6" xfId="12091"/>
    <cellStyle name="Обычный 7 2 3 7" xfId="12092"/>
    <cellStyle name="Обычный 7 2 3 8" xfId="12093"/>
    <cellStyle name="Обычный 7 2 3 9" xfId="12094"/>
    <cellStyle name="Обычный 7 2 4" xfId="3826"/>
    <cellStyle name="Обычный 7 2 5" xfId="3827"/>
    <cellStyle name="Обычный 7 2 5 2" xfId="3828"/>
    <cellStyle name="Обычный 7 2 5 2 2" xfId="12095"/>
    <cellStyle name="Обычный 7 2 5 2 3" xfId="12096"/>
    <cellStyle name="Обычный 7 2 5 2 4" xfId="12097"/>
    <cellStyle name="Обычный 7 2 5 2 5" xfId="12098"/>
    <cellStyle name="Обычный 7 2 5 2 6" xfId="12099"/>
    <cellStyle name="Обычный 7 2 5 3" xfId="3829"/>
    <cellStyle name="Обычный 7 2 5 3 2" xfId="12100"/>
    <cellStyle name="Обычный 7 2 5 3 3" xfId="12101"/>
    <cellStyle name="Обычный 7 2 5 3 4" xfId="12102"/>
    <cellStyle name="Обычный 7 2 5 3 5" xfId="12103"/>
    <cellStyle name="Обычный 7 2 5 3 6" xfId="12104"/>
    <cellStyle name="Обычный 7 2 5 4" xfId="3830"/>
    <cellStyle name="Обычный 7 2 5 4 2" xfId="12105"/>
    <cellStyle name="Обычный 7 2 5 4 3" xfId="12106"/>
    <cellStyle name="Обычный 7 2 5 4 4" xfId="12107"/>
    <cellStyle name="Обычный 7 2 5 4 5" xfId="12108"/>
    <cellStyle name="Обычный 7 2 5 4 6" xfId="12109"/>
    <cellStyle name="Обычный 7 2 5 5" xfId="12110"/>
    <cellStyle name="Обычный 7 2 5 6" xfId="12111"/>
    <cellStyle name="Обычный 7 2 5 7" xfId="12112"/>
    <cellStyle name="Обычный 7 2 5 8" xfId="12113"/>
    <cellStyle name="Обычный 7 2 5 9" xfId="12114"/>
    <cellStyle name="Обычный 7 2 6" xfId="3831"/>
    <cellStyle name="Обычный 7 2 6 2" xfId="12115"/>
    <cellStyle name="Обычный 7 2 6 3" xfId="12116"/>
    <cellStyle name="Обычный 7 2 6 4" xfId="12117"/>
    <cellStyle name="Обычный 7 2 6 5" xfId="12118"/>
    <cellStyle name="Обычный 7 2 6 6" xfId="12119"/>
    <cellStyle name="Обычный 7 2 7" xfId="3832"/>
    <cellStyle name="Обычный 7 2 7 2" xfId="12120"/>
    <cellStyle name="Обычный 7 2 7 3" xfId="12121"/>
    <cellStyle name="Обычный 7 2 7 4" xfId="12122"/>
    <cellStyle name="Обычный 7 2 7 5" xfId="12123"/>
    <cellStyle name="Обычный 7 2 7 6" xfId="12124"/>
    <cellStyle name="Обычный 7 2 8" xfId="3833"/>
    <cellStyle name="Обычный 7 2 8 2" xfId="12125"/>
    <cellStyle name="Обычный 7 2 8 3" xfId="12126"/>
    <cellStyle name="Обычный 7 2 8 4" xfId="12127"/>
    <cellStyle name="Обычный 7 2 8 5" xfId="12128"/>
    <cellStyle name="Обычный 7 2 8 6" xfId="12129"/>
    <cellStyle name="Обычный 7 2 9" xfId="5337"/>
    <cellStyle name="Обычный 7 3" xfId="3834"/>
    <cellStyle name="Обычный 7 3 2" xfId="3835"/>
    <cellStyle name="Обычный 7 3 3" xfId="3836"/>
    <cellStyle name="Обычный 7 3 3 2" xfId="3837"/>
    <cellStyle name="Обычный 7 3 3 2 2" xfId="12130"/>
    <cellStyle name="Обычный 7 3 3 2 3" xfId="12131"/>
    <cellStyle name="Обычный 7 3 3 2 4" xfId="12132"/>
    <cellStyle name="Обычный 7 3 3 2 5" xfId="12133"/>
    <cellStyle name="Обычный 7 3 3 2 6" xfId="12134"/>
    <cellStyle name="Обычный 7 3 3 3" xfId="3838"/>
    <cellStyle name="Обычный 7 3 3 3 2" xfId="12135"/>
    <cellStyle name="Обычный 7 3 3 3 3" xfId="12136"/>
    <cellStyle name="Обычный 7 3 3 3 4" xfId="12137"/>
    <cellStyle name="Обычный 7 3 3 3 5" xfId="12138"/>
    <cellStyle name="Обычный 7 3 3 3 6" xfId="12139"/>
    <cellStyle name="Обычный 7 3 3 4" xfId="3839"/>
    <cellStyle name="Обычный 7 3 3 4 2" xfId="12140"/>
    <cellStyle name="Обычный 7 3 3 4 3" xfId="12141"/>
    <cellStyle name="Обычный 7 3 3 4 4" xfId="12142"/>
    <cellStyle name="Обычный 7 3 3 4 5" xfId="12143"/>
    <cellStyle name="Обычный 7 3 3 4 6" xfId="12144"/>
    <cellStyle name="Обычный 7 3 3 5" xfId="12145"/>
    <cellStyle name="Обычный 7 3 3 6" xfId="12146"/>
    <cellStyle name="Обычный 7 3 3 7" xfId="12147"/>
    <cellStyle name="Обычный 7 3 3 8" xfId="12148"/>
    <cellStyle name="Обычный 7 3 3 9" xfId="12149"/>
    <cellStyle name="Обычный 7 3 4" xfId="5338"/>
    <cellStyle name="Обычный 7 4" xfId="3840"/>
    <cellStyle name="Обычный 7 4 10" xfId="12150"/>
    <cellStyle name="Обычный 7 4 11" xfId="12151"/>
    <cellStyle name="Обычный 7 4 2" xfId="3841"/>
    <cellStyle name="Обычный 7 4 2 10" xfId="12152"/>
    <cellStyle name="Обычный 7 4 2 2" xfId="3842"/>
    <cellStyle name="Обычный 7 4 2 2 2" xfId="3843"/>
    <cellStyle name="Обычный 7 4 2 2 2 2" xfId="12153"/>
    <cellStyle name="Обычный 7 4 2 2 2 3" xfId="12154"/>
    <cellStyle name="Обычный 7 4 2 2 2 4" xfId="12155"/>
    <cellStyle name="Обычный 7 4 2 2 2 5" xfId="12156"/>
    <cellStyle name="Обычный 7 4 2 2 2 6" xfId="12157"/>
    <cellStyle name="Обычный 7 4 2 2 3" xfId="3844"/>
    <cellStyle name="Обычный 7 4 2 2 3 2" xfId="12158"/>
    <cellStyle name="Обычный 7 4 2 2 3 3" xfId="12159"/>
    <cellStyle name="Обычный 7 4 2 2 3 4" xfId="12160"/>
    <cellStyle name="Обычный 7 4 2 2 3 5" xfId="12161"/>
    <cellStyle name="Обычный 7 4 2 2 3 6" xfId="12162"/>
    <cellStyle name="Обычный 7 4 2 2 4" xfId="3845"/>
    <cellStyle name="Обычный 7 4 2 2 4 2" xfId="12163"/>
    <cellStyle name="Обычный 7 4 2 2 4 3" xfId="12164"/>
    <cellStyle name="Обычный 7 4 2 2 4 4" xfId="12165"/>
    <cellStyle name="Обычный 7 4 2 2 4 5" xfId="12166"/>
    <cellStyle name="Обычный 7 4 2 2 4 6" xfId="12167"/>
    <cellStyle name="Обычный 7 4 2 2 5" xfId="12168"/>
    <cellStyle name="Обычный 7 4 2 2 6" xfId="12169"/>
    <cellStyle name="Обычный 7 4 2 2 7" xfId="12170"/>
    <cellStyle name="Обычный 7 4 2 2 8" xfId="12171"/>
    <cellStyle name="Обычный 7 4 2 2 9" xfId="12172"/>
    <cellStyle name="Обычный 7 4 2 3" xfId="3846"/>
    <cellStyle name="Обычный 7 4 2 3 2" xfId="12173"/>
    <cellStyle name="Обычный 7 4 2 3 3" xfId="12174"/>
    <cellStyle name="Обычный 7 4 2 3 4" xfId="12175"/>
    <cellStyle name="Обычный 7 4 2 3 5" xfId="12176"/>
    <cellStyle name="Обычный 7 4 2 3 6" xfId="12177"/>
    <cellStyle name="Обычный 7 4 2 4" xfId="3847"/>
    <cellStyle name="Обычный 7 4 2 4 2" xfId="12178"/>
    <cellStyle name="Обычный 7 4 2 4 3" xfId="12179"/>
    <cellStyle name="Обычный 7 4 2 4 4" xfId="12180"/>
    <cellStyle name="Обычный 7 4 2 4 5" xfId="12181"/>
    <cellStyle name="Обычный 7 4 2 4 6" xfId="12182"/>
    <cellStyle name="Обычный 7 4 2 5" xfId="3848"/>
    <cellStyle name="Обычный 7 4 2 5 2" xfId="12183"/>
    <cellStyle name="Обычный 7 4 2 5 3" xfId="12184"/>
    <cellStyle name="Обычный 7 4 2 5 4" xfId="12185"/>
    <cellStyle name="Обычный 7 4 2 5 5" xfId="12186"/>
    <cellStyle name="Обычный 7 4 2 5 6" xfId="12187"/>
    <cellStyle name="Обычный 7 4 2 6" xfId="12188"/>
    <cellStyle name="Обычный 7 4 2 7" xfId="12189"/>
    <cellStyle name="Обычный 7 4 2 8" xfId="12190"/>
    <cellStyle name="Обычный 7 4 2 9" xfId="12191"/>
    <cellStyle name="Обычный 7 4 3" xfId="3849"/>
    <cellStyle name="Обычный 7 4 3 2" xfId="3850"/>
    <cellStyle name="Обычный 7 4 3 2 2" xfId="12192"/>
    <cellStyle name="Обычный 7 4 3 2 3" xfId="12193"/>
    <cellStyle name="Обычный 7 4 3 2 4" xfId="12194"/>
    <cellStyle name="Обычный 7 4 3 2 5" xfId="12195"/>
    <cellStyle name="Обычный 7 4 3 2 6" xfId="12196"/>
    <cellStyle name="Обычный 7 4 3 3" xfId="3851"/>
    <cellStyle name="Обычный 7 4 3 3 2" xfId="12197"/>
    <cellStyle name="Обычный 7 4 3 3 3" xfId="12198"/>
    <cellStyle name="Обычный 7 4 3 3 4" xfId="12199"/>
    <cellStyle name="Обычный 7 4 3 3 5" xfId="12200"/>
    <cellStyle name="Обычный 7 4 3 3 6" xfId="12201"/>
    <cellStyle name="Обычный 7 4 3 4" xfId="3852"/>
    <cellStyle name="Обычный 7 4 3 4 2" xfId="12202"/>
    <cellStyle name="Обычный 7 4 3 4 3" xfId="12203"/>
    <cellStyle name="Обычный 7 4 3 4 4" xfId="12204"/>
    <cellStyle name="Обычный 7 4 3 4 5" xfId="12205"/>
    <cellStyle name="Обычный 7 4 3 4 6" xfId="12206"/>
    <cellStyle name="Обычный 7 4 3 5" xfId="12207"/>
    <cellStyle name="Обычный 7 4 3 6" xfId="12208"/>
    <cellStyle name="Обычный 7 4 3 7" xfId="12209"/>
    <cellStyle name="Обычный 7 4 3 8" xfId="12210"/>
    <cellStyle name="Обычный 7 4 3 9" xfId="12211"/>
    <cellStyle name="Обычный 7 4 4" xfId="3853"/>
    <cellStyle name="Обычный 7 4 4 2" xfId="12212"/>
    <cellStyle name="Обычный 7 4 4 3" xfId="12213"/>
    <cellStyle name="Обычный 7 4 4 4" xfId="12214"/>
    <cellStyle name="Обычный 7 4 4 5" xfId="12215"/>
    <cellStyle name="Обычный 7 4 4 6" xfId="12216"/>
    <cellStyle name="Обычный 7 4 5" xfId="3854"/>
    <cellStyle name="Обычный 7 4 5 2" xfId="12217"/>
    <cellStyle name="Обычный 7 4 5 3" xfId="12218"/>
    <cellStyle name="Обычный 7 4 5 4" xfId="12219"/>
    <cellStyle name="Обычный 7 4 5 5" xfId="12220"/>
    <cellStyle name="Обычный 7 4 5 6" xfId="12221"/>
    <cellStyle name="Обычный 7 4 6" xfId="3855"/>
    <cellStyle name="Обычный 7 4 6 2" xfId="12222"/>
    <cellStyle name="Обычный 7 4 6 3" xfId="12223"/>
    <cellStyle name="Обычный 7 4 6 4" xfId="12224"/>
    <cellStyle name="Обычный 7 4 6 5" xfId="12225"/>
    <cellStyle name="Обычный 7 4 6 6" xfId="12226"/>
    <cellStyle name="Обычный 7 4 7" xfId="12227"/>
    <cellStyle name="Обычный 7 4 8" xfId="12228"/>
    <cellStyle name="Обычный 7 4 9" xfId="12229"/>
    <cellStyle name="Обычный 7 5" xfId="3856"/>
    <cellStyle name="Обычный 7 5 10" xfId="12230"/>
    <cellStyle name="Обычный 7 5 2" xfId="3857"/>
    <cellStyle name="Обычный 7 5 2 2" xfId="3858"/>
    <cellStyle name="Обычный 7 5 2 2 2" xfId="12231"/>
    <cellStyle name="Обычный 7 5 2 2 3" xfId="12232"/>
    <cellStyle name="Обычный 7 5 2 2 4" xfId="12233"/>
    <cellStyle name="Обычный 7 5 2 2 5" xfId="12234"/>
    <cellStyle name="Обычный 7 5 2 2 6" xfId="12235"/>
    <cellStyle name="Обычный 7 5 2 3" xfId="3859"/>
    <cellStyle name="Обычный 7 5 2 3 2" xfId="12236"/>
    <cellStyle name="Обычный 7 5 2 3 3" xfId="12237"/>
    <cellStyle name="Обычный 7 5 2 3 4" xfId="12238"/>
    <cellStyle name="Обычный 7 5 2 3 5" xfId="12239"/>
    <cellStyle name="Обычный 7 5 2 3 6" xfId="12240"/>
    <cellStyle name="Обычный 7 5 2 4" xfId="3860"/>
    <cellStyle name="Обычный 7 5 2 4 2" xfId="12241"/>
    <cellStyle name="Обычный 7 5 2 4 3" xfId="12242"/>
    <cellStyle name="Обычный 7 5 2 4 4" xfId="12243"/>
    <cellStyle name="Обычный 7 5 2 4 5" xfId="12244"/>
    <cellStyle name="Обычный 7 5 2 4 6" xfId="12245"/>
    <cellStyle name="Обычный 7 5 2 5" xfId="12246"/>
    <cellStyle name="Обычный 7 5 2 6" xfId="12247"/>
    <cellStyle name="Обычный 7 5 2 7" xfId="12248"/>
    <cellStyle name="Обычный 7 5 2 8" xfId="12249"/>
    <cellStyle name="Обычный 7 5 2 9" xfId="12250"/>
    <cellStyle name="Обычный 7 5 3" xfId="3861"/>
    <cellStyle name="Обычный 7 5 3 2" xfId="12251"/>
    <cellStyle name="Обычный 7 5 3 3" xfId="12252"/>
    <cellStyle name="Обычный 7 5 3 4" xfId="12253"/>
    <cellStyle name="Обычный 7 5 3 5" xfId="12254"/>
    <cellStyle name="Обычный 7 5 3 6" xfId="12255"/>
    <cellStyle name="Обычный 7 5 4" xfId="3862"/>
    <cellStyle name="Обычный 7 5 4 2" xfId="12256"/>
    <cellStyle name="Обычный 7 5 4 3" xfId="12257"/>
    <cellStyle name="Обычный 7 5 4 4" xfId="12258"/>
    <cellStyle name="Обычный 7 5 4 5" xfId="12259"/>
    <cellStyle name="Обычный 7 5 4 6" xfId="12260"/>
    <cellStyle name="Обычный 7 5 5" xfId="3863"/>
    <cellStyle name="Обычный 7 5 5 2" xfId="12261"/>
    <cellStyle name="Обычный 7 5 5 3" xfId="12262"/>
    <cellStyle name="Обычный 7 5 5 4" xfId="12263"/>
    <cellStyle name="Обычный 7 5 5 5" xfId="12264"/>
    <cellStyle name="Обычный 7 5 5 6" xfId="12265"/>
    <cellStyle name="Обычный 7 5 6" xfId="12266"/>
    <cellStyle name="Обычный 7 5 7" xfId="12267"/>
    <cellStyle name="Обычный 7 5 8" xfId="12268"/>
    <cellStyle name="Обычный 7 5 9" xfId="12269"/>
    <cellStyle name="Обычный 7 6" xfId="3864"/>
    <cellStyle name="Обычный 7 6 2" xfId="3865"/>
    <cellStyle name="Обычный 7 6 2 2" xfId="12270"/>
    <cellStyle name="Обычный 7 6 2 3" xfId="12271"/>
    <cellStyle name="Обычный 7 6 2 4" xfId="12272"/>
    <cellStyle name="Обычный 7 6 2 5" xfId="12273"/>
    <cellStyle name="Обычный 7 6 2 6" xfId="12274"/>
    <cellStyle name="Обычный 7 6 3" xfId="3866"/>
    <cellStyle name="Обычный 7 6 3 2" xfId="12275"/>
    <cellStyle name="Обычный 7 6 3 3" xfId="12276"/>
    <cellStyle name="Обычный 7 6 3 4" xfId="12277"/>
    <cellStyle name="Обычный 7 6 3 5" xfId="12278"/>
    <cellStyle name="Обычный 7 6 3 6" xfId="12279"/>
    <cellStyle name="Обычный 7 6 4" xfId="3867"/>
    <cellStyle name="Обычный 7 6 4 2" xfId="12280"/>
    <cellStyle name="Обычный 7 6 4 3" xfId="12281"/>
    <cellStyle name="Обычный 7 6 4 4" xfId="12282"/>
    <cellStyle name="Обычный 7 6 4 5" xfId="12283"/>
    <cellStyle name="Обычный 7 6 4 6" xfId="12284"/>
    <cellStyle name="Обычный 7 6 5" xfId="12285"/>
    <cellStyle name="Обычный 7 6 6" xfId="12286"/>
    <cellStyle name="Обычный 7 6 7" xfId="12287"/>
    <cellStyle name="Обычный 7 6 8" xfId="12288"/>
    <cellStyle name="Обычный 7 6 9" xfId="12289"/>
    <cellStyle name="Обычный 7 7" xfId="3868"/>
    <cellStyle name="Обычный 7 7 2" xfId="12290"/>
    <cellStyle name="Обычный 7 7 3" xfId="12291"/>
    <cellStyle name="Обычный 7 7 4" xfId="12292"/>
    <cellStyle name="Обычный 7 7 5" xfId="12293"/>
    <cellStyle name="Обычный 7 7 6" xfId="12294"/>
    <cellStyle name="Обычный 7 8" xfId="3869"/>
    <cellStyle name="Обычный 7 8 2" xfId="12295"/>
    <cellStyle name="Обычный 7 8 3" xfId="12296"/>
    <cellStyle name="Обычный 7 8 4" xfId="12297"/>
    <cellStyle name="Обычный 7 8 5" xfId="12298"/>
    <cellStyle name="Обычный 7 8 6" xfId="12299"/>
    <cellStyle name="Обычный 7 9" xfId="3870"/>
    <cellStyle name="Обычный 7 9 2" xfId="12300"/>
    <cellStyle name="Обычный 7 9 3" xfId="12301"/>
    <cellStyle name="Обычный 7 9 4" xfId="12302"/>
    <cellStyle name="Обычный 7 9 5" xfId="12303"/>
    <cellStyle name="Обычный 7 9 6" xfId="12304"/>
    <cellStyle name="Обычный 70" xfId="3871"/>
    <cellStyle name="Обычный 71" xfId="3872"/>
    <cellStyle name="Обычный 72" xfId="3873"/>
    <cellStyle name="Обычный 73" xfId="3874"/>
    <cellStyle name="Обычный 74" xfId="3875"/>
    <cellStyle name="Обычный 74 2" xfId="12305"/>
    <cellStyle name="Обычный 74 3" xfId="12306"/>
    <cellStyle name="Обычный 74 4" xfId="12307"/>
    <cellStyle name="Обычный 74 5" xfId="12308"/>
    <cellStyle name="Обычный 74 6" xfId="12309"/>
    <cellStyle name="Обычный 75" xfId="3876"/>
    <cellStyle name="Обычный 75 2" xfId="3877"/>
    <cellStyle name="Обычный 75 2 2" xfId="12310"/>
    <cellStyle name="Обычный 75 2 3" xfId="12311"/>
    <cellStyle name="Обычный 75 2 4" xfId="12312"/>
    <cellStyle name="Обычный 75 2 5" xfId="12313"/>
    <cellStyle name="Обычный 75 3" xfId="12314"/>
    <cellStyle name="Обычный 75 4" xfId="12315"/>
    <cellStyle name="Обычный 75 5" xfId="12316"/>
    <cellStyle name="Обычный 75 6" xfId="12317"/>
    <cellStyle name="Обычный 75 7" xfId="12318"/>
    <cellStyle name="Обычный 76" xfId="3878"/>
    <cellStyle name="Обычный 76 2" xfId="12319"/>
    <cellStyle name="Обычный 76 3" xfId="12320"/>
    <cellStyle name="Обычный 76 4" xfId="12321"/>
    <cellStyle name="Обычный 76 5" xfId="12322"/>
    <cellStyle name="Обычный 76 6" xfId="12323"/>
    <cellStyle name="Обычный 77" xfId="3879"/>
    <cellStyle name="Обычный 77 2" xfId="12324"/>
    <cellStyle name="Обычный 77 3" xfId="12325"/>
    <cellStyle name="Обычный 77 4" xfId="12326"/>
    <cellStyle name="Обычный 77 5" xfId="12327"/>
    <cellStyle name="Обычный 77 6" xfId="12328"/>
    <cellStyle name="Обычный 78" xfId="5339"/>
    <cellStyle name="Обычный 78 2" xfId="5340"/>
    <cellStyle name="Обычный 79" xfId="5341"/>
    <cellStyle name="Обычный 8" xfId="3880"/>
    <cellStyle name="Обычный 8 2" xfId="3881"/>
    <cellStyle name="Обычный 8 2 10" xfId="12329"/>
    <cellStyle name="Обычный 8 2 11" xfId="12330"/>
    <cellStyle name="Обычный 8 2 12" xfId="12331"/>
    <cellStyle name="Обычный 8 2 13" xfId="12332"/>
    <cellStyle name="Обычный 8 2 2" xfId="3882"/>
    <cellStyle name="Обычный 8 2 2 10" xfId="12333"/>
    <cellStyle name="Обычный 8 2 2 11" xfId="12334"/>
    <cellStyle name="Обычный 8 2 2 2" xfId="3883"/>
    <cellStyle name="Обычный 8 2 2 2 10" xfId="12335"/>
    <cellStyle name="Обычный 8 2 2 2 2" xfId="3884"/>
    <cellStyle name="Обычный 8 2 2 2 2 10" xfId="12336"/>
    <cellStyle name="Обычный 8 2 2 2 2 2" xfId="3885"/>
    <cellStyle name="Обычный 8 2 2 2 2 2 2" xfId="12337"/>
    <cellStyle name="Обычный 8 2 2 2 2 2 3" xfId="12338"/>
    <cellStyle name="Обычный 8 2 2 2 2 2 4" xfId="12339"/>
    <cellStyle name="Обычный 8 2 2 2 2 2 5" xfId="12340"/>
    <cellStyle name="Обычный 8 2 2 2 2 2 6" xfId="12341"/>
    <cellStyle name="Обычный 8 2 2 2 2 3" xfId="3886"/>
    <cellStyle name="Обычный 8 2 2 2 2 3 2" xfId="12342"/>
    <cellStyle name="Обычный 8 2 2 2 2 3 3" xfId="12343"/>
    <cellStyle name="Обычный 8 2 2 2 2 3 4" xfId="12344"/>
    <cellStyle name="Обычный 8 2 2 2 2 3 5" xfId="12345"/>
    <cellStyle name="Обычный 8 2 2 2 2 3 6" xfId="12346"/>
    <cellStyle name="Обычный 8 2 2 2 2 4" xfId="3887"/>
    <cellStyle name="Обычный 8 2 2 2 2 4 2" xfId="12347"/>
    <cellStyle name="Обычный 8 2 2 2 2 4 3" xfId="12348"/>
    <cellStyle name="Обычный 8 2 2 2 2 4 4" xfId="12349"/>
    <cellStyle name="Обычный 8 2 2 2 2 4 5" xfId="12350"/>
    <cellStyle name="Обычный 8 2 2 2 2 4 6" xfId="12351"/>
    <cellStyle name="Обычный 8 2 2 2 2 5" xfId="3888"/>
    <cellStyle name="Обычный 8 2 2 2 2 5 2" xfId="12352"/>
    <cellStyle name="Обычный 8 2 2 2 2 5 3" xfId="12353"/>
    <cellStyle name="Обычный 8 2 2 2 2 5 4" xfId="12354"/>
    <cellStyle name="Обычный 8 2 2 2 2 5 5" xfId="12355"/>
    <cellStyle name="Обычный 8 2 2 2 2 5 6" xfId="12356"/>
    <cellStyle name="Обычный 8 2 2 2 2 6" xfId="12357"/>
    <cellStyle name="Обычный 8 2 2 2 2 7" xfId="12358"/>
    <cellStyle name="Обычный 8 2 2 2 2 8" xfId="12359"/>
    <cellStyle name="Обычный 8 2 2 2 2 9" xfId="12360"/>
    <cellStyle name="Обычный 8 2 2 2 3" xfId="3889"/>
    <cellStyle name="Обычный 8 2 2 2 3 2" xfId="12361"/>
    <cellStyle name="Обычный 8 2 2 2 3 3" xfId="12362"/>
    <cellStyle name="Обычный 8 2 2 2 3 4" xfId="12363"/>
    <cellStyle name="Обычный 8 2 2 2 3 5" xfId="12364"/>
    <cellStyle name="Обычный 8 2 2 2 3 6" xfId="12365"/>
    <cellStyle name="Обычный 8 2 2 2 4" xfId="3890"/>
    <cellStyle name="Обычный 8 2 2 2 4 2" xfId="12366"/>
    <cellStyle name="Обычный 8 2 2 2 4 3" xfId="12367"/>
    <cellStyle name="Обычный 8 2 2 2 4 4" xfId="12368"/>
    <cellStyle name="Обычный 8 2 2 2 4 5" xfId="12369"/>
    <cellStyle name="Обычный 8 2 2 2 4 6" xfId="12370"/>
    <cellStyle name="Обычный 8 2 2 2 5" xfId="3891"/>
    <cellStyle name="Обычный 8 2 2 2 5 2" xfId="12371"/>
    <cellStyle name="Обычный 8 2 2 2 5 3" xfId="12372"/>
    <cellStyle name="Обычный 8 2 2 2 5 4" xfId="12373"/>
    <cellStyle name="Обычный 8 2 2 2 5 5" xfId="12374"/>
    <cellStyle name="Обычный 8 2 2 2 5 6" xfId="12375"/>
    <cellStyle name="Обычный 8 2 2 2 6" xfId="12376"/>
    <cellStyle name="Обычный 8 2 2 2 7" xfId="12377"/>
    <cellStyle name="Обычный 8 2 2 2 8" xfId="12378"/>
    <cellStyle name="Обычный 8 2 2 2 9" xfId="12379"/>
    <cellStyle name="Обычный 8 2 2 3" xfId="3892"/>
    <cellStyle name="Обычный 8 2 2 3 2" xfId="3893"/>
    <cellStyle name="Обычный 8 2 2 3 2 2" xfId="12380"/>
    <cellStyle name="Обычный 8 2 2 3 2 3" xfId="12381"/>
    <cellStyle name="Обычный 8 2 2 3 2 4" xfId="12382"/>
    <cellStyle name="Обычный 8 2 2 3 2 5" xfId="12383"/>
    <cellStyle name="Обычный 8 2 2 3 2 6" xfId="12384"/>
    <cellStyle name="Обычный 8 2 2 3 3" xfId="3894"/>
    <cellStyle name="Обычный 8 2 2 3 3 2" xfId="12385"/>
    <cellStyle name="Обычный 8 2 2 3 3 3" xfId="12386"/>
    <cellStyle name="Обычный 8 2 2 3 3 4" xfId="12387"/>
    <cellStyle name="Обычный 8 2 2 3 3 5" xfId="12388"/>
    <cellStyle name="Обычный 8 2 2 3 3 6" xfId="12389"/>
    <cellStyle name="Обычный 8 2 2 3 4" xfId="3895"/>
    <cellStyle name="Обычный 8 2 2 3 4 2" xfId="12390"/>
    <cellStyle name="Обычный 8 2 2 3 4 3" xfId="12391"/>
    <cellStyle name="Обычный 8 2 2 3 4 4" xfId="12392"/>
    <cellStyle name="Обычный 8 2 2 3 4 5" xfId="12393"/>
    <cellStyle name="Обычный 8 2 2 3 4 6" xfId="12394"/>
    <cellStyle name="Обычный 8 2 2 3 5" xfId="12395"/>
    <cellStyle name="Обычный 8 2 2 3 6" xfId="12396"/>
    <cellStyle name="Обычный 8 2 2 3 7" xfId="12397"/>
    <cellStyle name="Обычный 8 2 2 3 8" xfId="12398"/>
    <cellStyle name="Обычный 8 2 2 3 9" xfId="12399"/>
    <cellStyle name="Обычный 8 2 2 4" xfId="3896"/>
    <cellStyle name="Обычный 8 2 2 4 2" xfId="12400"/>
    <cellStyle name="Обычный 8 2 2 4 3" xfId="12401"/>
    <cellStyle name="Обычный 8 2 2 4 4" xfId="12402"/>
    <cellStyle name="Обычный 8 2 2 4 5" xfId="12403"/>
    <cellStyle name="Обычный 8 2 2 4 6" xfId="12404"/>
    <cellStyle name="Обычный 8 2 2 5" xfId="3897"/>
    <cellStyle name="Обычный 8 2 2 5 2" xfId="12405"/>
    <cellStyle name="Обычный 8 2 2 5 3" xfId="12406"/>
    <cellStyle name="Обычный 8 2 2 5 4" xfId="12407"/>
    <cellStyle name="Обычный 8 2 2 5 5" xfId="12408"/>
    <cellStyle name="Обычный 8 2 2 5 6" xfId="12409"/>
    <cellStyle name="Обычный 8 2 2 6" xfId="3898"/>
    <cellStyle name="Обычный 8 2 2 6 2" xfId="12410"/>
    <cellStyle name="Обычный 8 2 2 6 3" xfId="12411"/>
    <cellStyle name="Обычный 8 2 2 6 4" xfId="12412"/>
    <cellStyle name="Обычный 8 2 2 6 5" xfId="12413"/>
    <cellStyle name="Обычный 8 2 2 6 6" xfId="12414"/>
    <cellStyle name="Обычный 8 2 2 7" xfId="12415"/>
    <cellStyle name="Обычный 8 2 2 8" xfId="12416"/>
    <cellStyle name="Обычный 8 2 2 9" xfId="12417"/>
    <cellStyle name="Обычный 8 2 3" xfId="3899"/>
    <cellStyle name="Обычный 8 2 3 10" xfId="12418"/>
    <cellStyle name="Обычный 8 2 3 2" xfId="3900"/>
    <cellStyle name="Обычный 8 2 3 2 2" xfId="3901"/>
    <cellStyle name="Обычный 8 2 3 2 2 2" xfId="12419"/>
    <cellStyle name="Обычный 8 2 3 2 2 3" xfId="12420"/>
    <cellStyle name="Обычный 8 2 3 2 2 4" xfId="12421"/>
    <cellStyle name="Обычный 8 2 3 2 2 5" xfId="12422"/>
    <cellStyle name="Обычный 8 2 3 2 2 6" xfId="12423"/>
    <cellStyle name="Обычный 8 2 3 2 3" xfId="3902"/>
    <cellStyle name="Обычный 8 2 3 2 3 2" xfId="12424"/>
    <cellStyle name="Обычный 8 2 3 2 3 3" xfId="12425"/>
    <cellStyle name="Обычный 8 2 3 2 3 4" xfId="12426"/>
    <cellStyle name="Обычный 8 2 3 2 3 5" xfId="12427"/>
    <cellStyle name="Обычный 8 2 3 2 3 6" xfId="12428"/>
    <cellStyle name="Обычный 8 2 3 2 4" xfId="3903"/>
    <cellStyle name="Обычный 8 2 3 2 4 2" xfId="12429"/>
    <cellStyle name="Обычный 8 2 3 2 4 3" xfId="12430"/>
    <cellStyle name="Обычный 8 2 3 2 4 4" xfId="12431"/>
    <cellStyle name="Обычный 8 2 3 2 4 5" xfId="12432"/>
    <cellStyle name="Обычный 8 2 3 2 4 6" xfId="12433"/>
    <cellStyle name="Обычный 8 2 3 2 5" xfId="12434"/>
    <cellStyle name="Обычный 8 2 3 2 6" xfId="12435"/>
    <cellStyle name="Обычный 8 2 3 2 7" xfId="12436"/>
    <cellStyle name="Обычный 8 2 3 2 8" xfId="12437"/>
    <cellStyle name="Обычный 8 2 3 2 9" xfId="12438"/>
    <cellStyle name="Обычный 8 2 3 3" xfId="3904"/>
    <cellStyle name="Обычный 8 2 3 3 2" xfId="12439"/>
    <cellStyle name="Обычный 8 2 3 3 3" xfId="12440"/>
    <cellStyle name="Обычный 8 2 3 3 4" xfId="12441"/>
    <cellStyle name="Обычный 8 2 3 3 5" xfId="12442"/>
    <cellStyle name="Обычный 8 2 3 3 6" xfId="12443"/>
    <cellStyle name="Обычный 8 2 3 4" xfId="3905"/>
    <cellStyle name="Обычный 8 2 3 4 2" xfId="12444"/>
    <cellStyle name="Обычный 8 2 3 4 3" xfId="12445"/>
    <cellStyle name="Обычный 8 2 3 4 4" xfId="12446"/>
    <cellStyle name="Обычный 8 2 3 4 5" xfId="12447"/>
    <cellStyle name="Обычный 8 2 3 4 6" xfId="12448"/>
    <cellStyle name="Обычный 8 2 3 5" xfId="3906"/>
    <cellStyle name="Обычный 8 2 3 5 2" xfId="12449"/>
    <cellStyle name="Обычный 8 2 3 5 3" xfId="12450"/>
    <cellStyle name="Обычный 8 2 3 5 4" xfId="12451"/>
    <cellStyle name="Обычный 8 2 3 5 5" xfId="12452"/>
    <cellStyle name="Обычный 8 2 3 5 6" xfId="12453"/>
    <cellStyle name="Обычный 8 2 3 6" xfId="12454"/>
    <cellStyle name="Обычный 8 2 3 7" xfId="12455"/>
    <cellStyle name="Обычный 8 2 3 8" xfId="12456"/>
    <cellStyle name="Обычный 8 2 3 9" xfId="12457"/>
    <cellStyle name="Обычный 8 2 4" xfId="3907"/>
    <cellStyle name="Обычный 8 2 4 2" xfId="3908"/>
    <cellStyle name="Обычный 8 2 4 2 2" xfId="3909"/>
    <cellStyle name="Обычный 8 2 4 3" xfId="3910"/>
    <cellStyle name="Обычный 8 2 5" xfId="3911"/>
    <cellStyle name="Обычный 8 2 5 2" xfId="3912"/>
    <cellStyle name="Обычный 8 2 5 2 2" xfId="12458"/>
    <cellStyle name="Обычный 8 2 5 2 3" xfId="12459"/>
    <cellStyle name="Обычный 8 2 5 2 4" xfId="12460"/>
    <cellStyle name="Обычный 8 2 5 2 5" xfId="12461"/>
    <cellStyle name="Обычный 8 2 5 2 6" xfId="12462"/>
    <cellStyle name="Обычный 8 2 5 3" xfId="3913"/>
    <cellStyle name="Обычный 8 2 5 3 2" xfId="12463"/>
    <cellStyle name="Обычный 8 2 5 3 3" xfId="12464"/>
    <cellStyle name="Обычный 8 2 5 3 4" xfId="12465"/>
    <cellStyle name="Обычный 8 2 5 3 5" xfId="12466"/>
    <cellStyle name="Обычный 8 2 5 3 6" xfId="12467"/>
    <cellStyle name="Обычный 8 2 5 4" xfId="3914"/>
    <cellStyle name="Обычный 8 2 5 4 2" xfId="12468"/>
    <cellStyle name="Обычный 8 2 5 4 3" xfId="12469"/>
    <cellStyle name="Обычный 8 2 5 4 4" xfId="12470"/>
    <cellStyle name="Обычный 8 2 5 4 5" xfId="12471"/>
    <cellStyle name="Обычный 8 2 5 4 6" xfId="12472"/>
    <cellStyle name="Обычный 8 2 5 5" xfId="12473"/>
    <cellStyle name="Обычный 8 2 5 6" xfId="12474"/>
    <cellStyle name="Обычный 8 2 5 7" xfId="12475"/>
    <cellStyle name="Обычный 8 2 5 8" xfId="12476"/>
    <cellStyle name="Обычный 8 2 5 9" xfId="12477"/>
    <cellStyle name="Обычный 8 2 6" xfId="3915"/>
    <cellStyle name="Обычный 8 2 6 2" xfId="12478"/>
    <cellStyle name="Обычный 8 2 6 3" xfId="12479"/>
    <cellStyle name="Обычный 8 2 6 4" xfId="12480"/>
    <cellStyle name="Обычный 8 2 6 5" xfId="12481"/>
    <cellStyle name="Обычный 8 2 6 6" xfId="12482"/>
    <cellStyle name="Обычный 8 2 7" xfId="3916"/>
    <cellStyle name="Обычный 8 2 7 2" xfId="12483"/>
    <cellStyle name="Обычный 8 2 7 3" xfId="12484"/>
    <cellStyle name="Обычный 8 2 7 4" xfId="12485"/>
    <cellStyle name="Обычный 8 2 7 5" xfId="12486"/>
    <cellStyle name="Обычный 8 2 7 6" xfId="12487"/>
    <cellStyle name="Обычный 8 2 8" xfId="3917"/>
    <cellStyle name="Обычный 8 2 8 2" xfId="12488"/>
    <cellStyle name="Обычный 8 2 8 3" xfId="12489"/>
    <cellStyle name="Обычный 8 2 8 4" xfId="12490"/>
    <cellStyle name="Обычный 8 2 8 5" xfId="12491"/>
    <cellStyle name="Обычный 8 2 8 6" xfId="12492"/>
    <cellStyle name="Обычный 8 2 9" xfId="5342"/>
    <cellStyle name="Обычный 8 3" xfId="3918"/>
    <cellStyle name="Обычный 8 3 2" xfId="3919"/>
    <cellStyle name="Обычный 8 3 3" xfId="3920"/>
    <cellStyle name="Обычный 8 3 3 2" xfId="3921"/>
    <cellStyle name="Обычный 8 3 3 2 2" xfId="12493"/>
    <cellStyle name="Обычный 8 3 3 2 3" xfId="12494"/>
    <cellStyle name="Обычный 8 3 3 2 4" xfId="12495"/>
    <cellStyle name="Обычный 8 3 3 2 5" xfId="12496"/>
    <cellStyle name="Обычный 8 3 3 2 6" xfId="12497"/>
    <cellStyle name="Обычный 8 3 3 3" xfId="3922"/>
    <cellStyle name="Обычный 8 3 3 3 2" xfId="12498"/>
    <cellStyle name="Обычный 8 3 3 3 3" xfId="12499"/>
    <cellStyle name="Обычный 8 3 3 3 4" xfId="12500"/>
    <cellStyle name="Обычный 8 3 3 3 5" xfId="12501"/>
    <cellStyle name="Обычный 8 3 3 3 6" xfId="12502"/>
    <cellStyle name="Обычный 8 3 3 4" xfId="3923"/>
    <cellStyle name="Обычный 8 3 3 4 2" xfId="12503"/>
    <cellStyle name="Обычный 8 3 3 4 3" xfId="12504"/>
    <cellStyle name="Обычный 8 3 3 4 4" xfId="12505"/>
    <cellStyle name="Обычный 8 3 3 4 5" xfId="12506"/>
    <cellStyle name="Обычный 8 3 3 4 6" xfId="12507"/>
    <cellStyle name="Обычный 8 3 3 5" xfId="12508"/>
    <cellStyle name="Обычный 8 3 3 6" xfId="12509"/>
    <cellStyle name="Обычный 8 3 3 7" xfId="12510"/>
    <cellStyle name="Обычный 8 3 3 8" xfId="12511"/>
    <cellStyle name="Обычный 8 3 3 9" xfId="12512"/>
    <cellStyle name="Обычный 8 3 4" xfId="5343"/>
    <cellStyle name="Обычный 8 4" xfId="3924"/>
    <cellStyle name="Обычный 8 4 10" xfId="12513"/>
    <cellStyle name="Обычный 8 4 11" xfId="12514"/>
    <cellStyle name="Обычный 8 4 2" xfId="3925"/>
    <cellStyle name="Обычный 8 4 2 10" xfId="12515"/>
    <cellStyle name="Обычный 8 4 2 2" xfId="3926"/>
    <cellStyle name="Обычный 8 4 2 2 2" xfId="3927"/>
    <cellStyle name="Обычный 8 4 2 2 2 2" xfId="12516"/>
    <cellStyle name="Обычный 8 4 2 2 2 3" xfId="12517"/>
    <cellStyle name="Обычный 8 4 2 2 2 4" xfId="12518"/>
    <cellStyle name="Обычный 8 4 2 2 2 5" xfId="12519"/>
    <cellStyle name="Обычный 8 4 2 2 2 6" xfId="12520"/>
    <cellStyle name="Обычный 8 4 2 2 3" xfId="3928"/>
    <cellStyle name="Обычный 8 4 2 2 3 2" xfId="12521"/>
    <cellStyle name="Обычный 8 4 2 2 3 3" xfId="12522"/>
    <cellStyle name="Обычный 8 4 2 2 3 4" xfId="12523"/>
    <cellStyle name="Обычный 8 4 2 2 3 5" xfId="12524"/>
    <cellStyle name="Обычный 8 4 2 2 3 6" xfId="12525"/>
    <cellStyle name="Обычный 8 4 2 2 4" xfId="3929"/>
    <cellStyle name="Обычный 8 4 2 2 4 2" xfId="12526"/>
    <cellStyle name="Обычный 8 4 2 2 4 3" xfId="12527"/>
    <cellStyle name="Обычный 8 4 2 2 4 4" xfId="12528"/>
    <cellStyle name="Обычный 8 4 2 2 4 5" xfId="12529"/>
    <cellStyle name="Обычный 8 4 2 2 4 6" xfId="12530"/>
    <cellStyle name="Обычный 8 4 2 2 5" xfId="12531"/>
    <cellStyle name="Обычный 8 4 2 2 6" xfId="12532"/>
    <cellStyle name="Обычный 8 4 2 2 7" xfId="12533"/>
    <cellStyle name="Обычный 8 4 2 2 8" xfId="12534"/>
    <cellStyle name="Обычный 8 4 2 2 9" xfId="12535"/>
    <cellStyle name="Обычный 8 4 2 3" xfId="3930"/>
    <cellStyle name="Обычный 8 4 2 3 2" xfId="12536"/>
    <cellStyle name="Обычный 8 4 2 3 3" xfId="12537"/>
    <cellStyle name="Обычный 8 4 2 3 4" xfId="12538"/>
    <cellStyle name="Обычный 8 4 2 3 5" xfId="12539"/>
    <cellStyle name="Обычный 8 4 2 3 6" xfId="12540"/>
    <cellStyle name="Обычный 8 4 2 4" xfId="3931"/>
    <cellStyle name="Обычный 8 4 2 4 2" xfId="12541"/>
    <cellStyle name="Обычный 8 4 2 4 3" xfId="12542"/>
    <cellStyle name="Обычный 8 4 2 4 4" xfId="12543"/>
    <cellStyle name="Обычный 8 4 2 4 5" xfId="12544"/>
    <cellStyle name="Обычный 8 4 2 4 6" xfId="12545"/>
    <cellStyle name="Обычный 8 4 2 5" xfId="3932"/>
    <cellStyle name="Обычный 8 4 2 5 2" xfId="12546"/>
    <cellStyle name="Обычный 8 4 2 5 3" xfId="12547"/>
    <cellStyle name="Обычный 8 4 2 5 4" xfId="12548"/>
    <cellStyle name="Обычный 8 4 2 5 5" xfId="12549"/>
    <cellStyle name="Обычный 8 4 2 5 6" xfId="12550"/>
    <cellStyle name="Обычный 8 4 2 6" xfId="12551"/>
    <cellStyle name="Обычный 8 4 2 7" xfId="12552"/>
    <cellStyle name="Обычный 8 4 2 8" xfId="12553"/>
    <cellStyle name="Обычный 8 4 2 9" xfId="12554"/>
    <cellStyle name="Обычный 8 4 3" xfId="3933"/>
    <cellStyle name="Обычный 8 4 3 2" xfId="3934"/>
    <cellStyle name="Обычный 8 4 3 2 2" xfId="12555"/>
    <cellStyle name="Обычный 8 4 3 2 3" xfId="12556"/>
    <cellStyle name="Обычный 8 4 3 2 4" xfId="12557"/>
    <cellStyle name="Обычный 8 4 3 2 5" xfId="12558"/>
    <cellStyle name="Обычный 8 4 3 2 6" xfId="12559"/>
    <cellStyle name="Обычный 8 4 3 3" xfId="3935"/>
    <cellStyle name="Обычный 8 4 3 3 2" xfId="12560"/>
    <cellStyle name="Обычный 8 4 3 3 3" xfId="12561"/>
    <cellStyle name="Обычный 8 4 3 3 4" xfId="12562"/>
    <cellStyle name="Обычный 8 4 3 3 5" xfId="12563"/>
    <cellStyle name="Обычный 8 4 3 3 6" xfId="12564"/>
    <cellStyle name="Обычный 8 4 3 4" xfId="3936"/>
    <cellStyle name="Обычный 8 4 3 4 2" xfId="12565"/>
    <cellStyle name="Обычный 8 4 3 4 3" xfId="12566"/>
    <cellStyle name="Обычный 8 4 3 4 4" xfId="12567"/>
    <cellStyle name="Обычный 8 4 3 4 5" xfId="12568"/>
    <cellStyle name="Обычный 8 4 3 4 6" xfId="12569"/>
    <cellStyle name="Обычный 8 4 3 5" xfId="12570"/>
    <cellStyle name="Обычный 8 4 3 6" xfId="12571"/>
    <cellStyle name="Обычный 8 4 3 7" xfId="12572"/>
    <cellStyle name="Обычный 8 4 3 8" xfId="12573"/>
    <cellStyle name="Обычный 8 4 3 9" xfId="12574"/>
    <cellStyle name="Обычный 8 4 4" xfId="3937"/>
    <cellStyle name="Обычный 8 4 4 2" xfId="12575"/>
    <cellStyle name="Обычный 8 4 4 3" xfId="12576"/>
    <cellStyle name="Обычный 8 4 4 4" xfId="12577"/>
    <cellStyle name="Обычный 8 4 4 5" xfId="12578"/>
    <cellStyle name="Обычный 8 4 4 6" xfId="12579"/>
    <cellStyle name="Обычный 8 4 5" xfId="3938"/>
    <cellStyle name="Обычный 8 4 5 2" xfId="12580"/>
    <cellStyle name="Обычный 8 4 5 3" xfId="12581"/>
    <cellStyle name="Обычный 8 4 5 4" xfId="12582"/>
    <cellStyle name="Обычный 8 4 5 5" xfId="12583"/>
    <cellStyle name="Обычный 8 4 5 6" xfId="12584"/>
    <cellStyle name="Обычный 8 4 6" xfId="3939"/>
    <cellStyle name="Обычный 8 4 6 2" xfId="12585"/>
    <cellStyle name="Обычный 8 4 6 3" xfId="12586"/>
    <cellStyle name="Обычный 8 4 6 4" xfId="12587"/>
    <cellStyle name="Обычный 8 4 6 5" xfId="12588"/>
    <cellStyle name="Обычный 8 4 6 6" xfId="12589"/>
    <cellStyle name="Обычный 8 4 7" xfId="12590"/>
    <cellStyle name="Обычный 8 4 8" xfId="12591"/>
    <cellStyle name="Обычный 8 4 9" xfId="12592"/>
    <cellStyle name="Обычный 8 5" xfId="3940"/>
    <cellStyle name="Обычный 8 5 2" xfId="3941"/>
    <cellStyle name="Обычный 8 6" xfId="3942"/>
    <cellStyle name="Обычный 8 6 2" xfId="12593"/>
    <cellStyle name="Обычный 8 6 3" xfId="12594"/>
    <cellStyle name="Обычный 8 6 4" xfId="12595"/>
    <cellStyle name="Обычный 8 6 5" xfId="12596"/>
    <cellStyle name="Обычный 8 6 6" xfId="12597"/>
    <cellStyle name="Обычный 8 7" xfId="5344"/>
    <cellStyle name="Обычный 80" xfId="5345"/>
    <cellStyle name="Обычный 80 2" xfId="3943"/>
    <cellStyle name="Обычный 80 2 2" xfId="12598"/>
    <cellStyle name="Обычный 80 2 3" xfId="12599"/>
    <cellStyle name="Обычный 80 2 4" xfId="12600"/>
    <cellStyle name="Обычный 80 2 5" xfId="12601"/>
    <cellStyle name="Обычный 81" xfId="5346"/>
    <cellStyle name="Обычный 82" xfId="5347"/>
    <cellStyle name="Обычный 83" xfId="5348"/>
    <cellStyle name="Обычный 83 2" xfId="5349"/>
    <cellStyle name="Обычный 84" xfId="5688"/>
    <cellStyle name="Обычный 9" xfId="3944"/>
    <cellStyle name="Обычный 9 10" xfId="3945"/>
    <cellStyle name="Обычный 9 10 2" xfId="12602"/>
    <cellStyle name="Обычный 9 10 3" xfId="12603"/>
    <cellStyle name="Обычный 9 10 4" xfId="12604"/>
    <cellStyle name="Обычный 9 10 5" xfId="12605"/>
    <cellStyle name="Обычный 9 10 6" xfId="12606"/>
    <cellStyle name="Обычный 9 11" xfId="12607"/>
    <cellStyle name="Обычный 9 12" xfId="12608"/>
    <cellStyle name="Обычный 9 13" xfId="12609"/>
    <cellStyle name="Обычный 9 14" xfId="12610"/>
    <cellStyle name="Обычный 9 15" xfId="12611"/>
    <cellStyle name="Обычный 9 2" xfId="3946"/>
    <cellStyle name="Обычный 9 2 2" xfId="3947"/>
    <cellStyle name="Обычный 9 2 2 10" xfId="12612"/>
    <cellStyle name="Обычный 9 2 2 11" xfId="12613"/>
    <cellStyle name="Обычный 9 2 2 12" xfId="12614"/>
    <cellStyle name="Обычный 9 2 2 2" xfId="3948"/>
    <cellStyle name="Обычный 9 2 2 2 10" xfId="12615"/>
    <cellStyle name="Обычный 9 2 2 2 2" xfId="3949"/>
    <cellStyle name="Обычный 9 2 2 2 2 2" xfId="3950"/>
    <cellStyle name="Обычный 9 2 2 2 2 2 2" xfId="12616"/>
    <cellStyle name="Обычный 9 2 2 2 2 2 3" xfId="12617"/>
    <cellStyle name="Обычный 9 2 2 2 2 2 4" xfId="12618"/>
    <cellStyle name="Обычный 9 2 2 2 2 2 5" xfId="12619"/>
    <cellStyle name="Обычный 9 2 2 2 2 2 6" xfId="12620"/>
    <cellStyle name="Обычный 9 2 2 2 2 3" xfId="3951"/>
    <cellStyle name="Обычный 9 2 2 2 2 3 2" xfId="12621"/>
    <cellStyle name="Обычный 9 2 2 2 2 3 3" xfId="12622"/>
    <cellStyle name="Обычный 9 2 2 2 2 3 4" xfId="12623"/>
    <cellStyle name="Обычный 9 2 2 2 2 3 5" xfId="12624"/>
    <cellStyle name="Обычный 9 2 2 2 2 3 6" xfId="12625"/>
    <cellStyle name="Обычный 9 2 2 2 2 4" xfId="3952"/>
    <cellStyle name="Обычный 9 2 2 2 2 4 2" xfId="12626"/>
    <cellStyle name="Обычный 9 2 2 2 2 4 3" xfId="12627"/>
    <cellStyle name="Обычный 9 2 2 2 2 4 4" xfId="12628"/>
    <cellStyle name="Обычный 9 2 2 2 2 4 5" xfId="12629"/>
    <cellStyle name="Обычный 9 2 2 2 2 4 6" xfId="12630"/>
    <cellStyle name="Обычный 9 2 2 2 2 5" xfId="12631"/>
    <cellStyle name="Обычный 9 2 2 2 2 6" xfId="12632"/>
    <cellStyle name="Обычный 9 2 2 2 2 7" xfId="12633"/>
    <cellStyle name="Обычный 9 2 2 2 2 8" xfId="12634"/>
    <cellStyle name="Обычный 9 2 2 2 2 9" xfId="12635"/>
    <cellStyle name="Обычный 9 2 2 2 3" xfId="3953"/>
    <cellStyle name="Обычный 9 2 2 2 3 2" xfId="12636"/>
    <cellStyle name="Обычный 9 2 2 2 3 3" xfId="12637"/>
    <cellStyle name="Обычный 9 2 2 2 3 4" xfId="12638"/>
    <cellStyle name="Обычный 9 2 2 2 3 5" xfId="12639"/>
    <cellStyle name="Обычный 9 2 2 2 3 6" xfId="12640"/>
    <cellStyle name="Обычный 9 2 2 2 4" xfId="3954"/>
    <cellStyle name="Обычный 9 2 2 2 4 2" xfId="12641"/>
    <cellStyle name="Обычный 9 2 2 2 4 3" xfId="12642"/>
    <cellStyle name="Обычный 9 2 2 2 4 4" xfId="12643"/>
    <cellStyle name="Обычный 9 2 2 2 4 5" xfId="12644"/>
    <cellStyle name="Обычный 9 2 2 2 4 6" xfId="12645"/>
    <cellStyle name="Обычный 9 2 2 2 5" xfId="3955"/>
    <cellStyle name="Обычный 9 2 2 2 5 2" xfId="12646"/>
    <cellStyle name="Обычный 9 2 2 2 5 3" xfId="12647"/>
    <cellStyle name="Обычный 9 2 2 2 5 4" xfId="12648"/>
    <cellStyle name="Обычный 9 2 2 2 5 5" xfId="12649"/>
    <cellStyle name="Обычный 9 2 2 2 5 6" xfId="12650"/>
    <cellStyle name="Обычный 9 2 2 2 6" xfId="12651"/>
    <cellStyle name="Обычный 9 2 2 2 7" xfId="12652"/>
    <cellStyle name="Обычный 9 2 2 2 8" xfId="12653"/>
    <cellStyle name="Обычный 9 2 2 2 9" xfId="12654"/>
    <cellStyle name="Обычный 9 2 2 3" xfId="3956"/>
    <cellStyle name="Обычный 9 2 2 3 2" xfId="3957"/>
    <cellStyle name="Обычный 9 2 2 3 2 2" xfId="3958"/>
    <cellStyle name="Обычный 9 2 2 3 3" xfId="3959"/>
    <cellStyle name="Обычный 9 2 2 4" xfId="3960"/>
    <cellStyle name="Обычный 9 2 2 4 2" xfId="3961"/>
    <cellStyle name="Обычный 9 2 2 4 2 2" xfId="12655"/>
    <cellStyle name="Обычный 9 2 2 4 2 3" xfId="12656"/>
    <cellStyle name="Обычный 9 2 2 4 2 4" xfId="12657"/>
    <cellStyle name="Обычный 9 2 2 4 2 5" xfId="12658"/>
    <cellStyle name="Обычный 9 2 2 4 2 6" xfId="12659"/>
    <cellStyle name="Обычный 9 2 2 4 3" xfId="3962"/>
    <cellStyle name="Обычный 9 2 2 4 3 2" xfId="12660"/>
    <cellStyle name="Обычный 9 2 2 4 3 3" xfId="12661"/>
    <cellStyle name="Обычный 9 2 2 4 3 4" xfId="12662"/>
    <cellStyle name="Обычный 9 2 2 4 3 5" xfId="12663"/>
    <cellStyle name="Обычный 9 2 2 4 3 6" xfId="12664"/>
    <cellStyle name="Обычный 9 2 2 4 4" xfId="3963"/>
    <cellStyle name="Обычный 9 2 2 4 4 2" xfId="12665"/>
    <cellStyle name="Обычный 9 2 2 4 4 3" xfId="12666"/>
    <cellStyle name="Обычный 9 2 2 4 4 4" xfId="12667"/>
    <cellStyle name="Обычный 9 2 2 4 4 5" xfId="12668"/>
    <cellStyle name="Обычный 9 2 2 4 4 6" xfId="12669"/>
    <cellStyle name="Обычный 9 2 2 4 5" xfId="12670"/>
    <cellStyle name="Обычный 9 2 2 4 6" xfId="12671"/>
    <cellStyle name="Обычный 9 2 2 4 7" xfId="12672"/>
    <cellStyle name="Обычный 9 2 2 4 8" xfId="12673"/>
    <cellStyle name="Обычный 9 2 2 4 9" xfId="12674"/>
    <cellStyle name="Обычный 9 2 2 5" xfId="3964"/>
    <cellStyle name="Обычный 9 2 2 5 2" xfId="12675"/>
    <cellStyle name="Обычный 9 2 2 5 3" xfId="12676"/>
    <cellStyle name="Обычный 9 2 2 5 4" xfId="12677"/>
    <cellStyle name="Обычный 9 2 2 5 5" xfId="12678"/>
    <cellStyle name="Обычный 9 2 2 5 6" xfId="12679"/>
    <cellStyle name="Обычный 9 2 2 6" xfId="3965"/>
    <cellStyle name="Обычный 9 2 2 6 2" xfId="12680"/>
    <cellStyle name="Обычный 9 2 2 6 3" xfId="12681"/>
    <cellStyle name="Обычный 9 2 2 6 4" xfId="12682"/>
    <cellStyle name="Обычный 9 2 2 6 5" xfId="12683"/>
    <cellStyle name="Обычный 9 2 2 6 6" xfId="12684"/>
    <cellStyle name="Обычный 9 2 2 7" xfId="3966"/>
    <cellStyle name="Обычный 9 2 2 7 2" xfId="12685"/>
    <cellStyle name="Обычный 9 2 2 7 3" xfId="12686"/>
    <cellStyle name="Обычный 9 2 2 7 4" xfId="12687"/>
    <cellStyle name="Обычный 9 2 2 7 5" xfId="12688"/>
    <cellStyle name="Обычный 9 2 2 7 6" xfId="12689"/>
    <cellStyle name="Обычный 9 2 2 8" xfId="12690"/>
    <cellStyle name="Обычный 9 2 2 9" xfId="12691"/>
    <cellStyle name="Обычный 9 2 3" xfId="3967"/>
    <cellStyle name="Обычный 9 2 4" xfId="3968"/>
    <cellStyle name="Обычный 9 2 4 2" xfId="3969"/>
    <cellStyle name="Обычный 9 2 4 2 2" xfId="12692"/>
    <cellStyle name="Обычный 9 2 4 2 3" xfId="12693"/>
    <cellStyle name="Обычный 9 2 4 2 4" xfId="12694"/>
    <cellStyle name="Обычный 9 2 4 2 5" xfId="12695"/>
    <cellStyle name="Обычный 9 2 4 2 6" xfId="12696"/>
    <cellStyle name="Обычный 9 2 4 3" xfId="3970"/>
    <cellStyle name="Обычный 9 2 4 3 2" xfId="12697"/>
    <cellStyle name="Обычный 9 2 4 3 3" xfId="12698"/>
    <cellStyle name="Обычный 9 2 4 3 4" xfId="12699"/>
    <cellStyle name="Обычный 9 2 4 3 5" xfId="12700"/>
    <cellStyle name="Обычный 9 2 4 3 6" xfId="12701"/>
    <cellStyle name="Обычный 9 2 4 4" xfId="3971"/>
    <cellStyle name="Обычный 9 2 4 4 2" xfId="12702"/>
    <cellStyle name="Обычный 9 2 4 4 3" xfId="12703"/>
    <cellStyle name="Обычный 9 2 4 4 4" xfId="12704"/>
    <cellStyle name="Обычный 9 2 4 4 5" xfId="12705"/>
    <cellStyle name="Обычный 9 2 4 4 6" xfId="12706"/>
    <cellStyle name="Обычный 9 2 4 5" xfId="12707"/>
    <cellStyle name="Обычный 9 2 4 6" xfId="12708"/>
    <cellStyle name="Обычный 9 2 4 7" xfId="12709"/>
    <cellStyle name="Обычный 9 2 4 8" xfId="12710"/>
    <cellStyle name="Обычный 9 2 4 9" xfId="12711"/>
    <cellStyle name="Обычный 9 2 5" xfId="3972"/>
    <cellStyle name="Обычный 9 2 5 2" xfId="3973"/>
    <cellStyle name="Обычный 9 2 6" xfId="3974"/>
    <cellStyle name="Обычный 9 2 7" xfId="5350"/>
    <cellStyle name="Обычный 9 3" xfId="3975"/>
    <cellStyle name="Обычный 9 3 2" xfId="3976"/>
    <cellStyle name="Обычный 9 3 2 2" xfId="3977"/>
    <cellStyle name="Обычный 9 3 2 2 2" xfId="3978"/>
    <cellStyle name="Обычный 9 3 2 3" xfId="3979"/>
    <cellStyle name="Обычный 9 4" xfId="3980"/>
    <cellStyle name="Обычный 9 4 10" xfId="12712"/>
    <cellStyle name="Обычный 9 4 11" xfId="12713"/>
    <cellStyle name="Обычный 9 4 2" xfId="3981"/>
    <cellStyle name="Обычный 9 4 2 10" xfId="12714"/>
    <cellStyle name="Обычный 9 4 2 2" xfId="3982"/>
    <cellStyle name="Обычный 9 4 2 2 2" xfId="3983"/>
    <cellStyle name="Обычный 9 4 2 2 2 2" xfId="12715"/>
    <cellStyle name="Обычный 9 4 2 2 2 3" xfId="12716"/>
    <cellStyle name="Обычный 9 4 2 2 2 4" xfId="12717"/>
    <cellStyle name="Обычный 9 4 2 2 2 5" xfId="12718"/>
    <cellStyle name="Обычный 9 4 2 2 2 6" xfId="12719"/>
    <cellStyle name="Обычный 9 4 2 2 3" xfId="3984"/>
    <cellStyle name="Обычный 9 4 2 2 3 2" xfId="12720"/>
    <cellStyle name="Обычный 9 4 2 2 3 3" xfId="12721"/>
    <cellStyle name="Обычный 9 4 2 2 3 4" xfId="12722"/>
    <cellStyle name="Обычный 9 4 2 2 3 5" xfId="12723"/>
    <cellStyle name="Обычный 9 4 2 2 3 6" xfId="12724"/>
    <cellStyle name="Обычный 9 4 2 2 4" xfId="3985"/>
    <cellStyle name="Обычный 9 4 2 2 4 2" xfId="12725"/>
    <cellStyle name="Обычный 9 4 2 2 4 3" xfId="12726"/>
    <cellStyle name="Обычный 9 4 2 2 4 4" xfId="12727"/>
    <cellStyle name="Обычный 9 4 2 2 4 5" xfId="12728"/>
    <cellStyle name="Обычный 9 4 2 2 4 6" xfId="12729"/>
    <cellStyle name="Обычный 9 4 2 2 5" xfId="12730"/>
    <cellStyle name="Обычный 9 4 2 2 6" xfId="12731"/>
    <cellStyle name="Обычный 9 4 2 2 7" xfId="12732"/>
    <cellStyle name="Обычный 9 4 2 2 8" xfId="12733"/>
    <cellStyle name="Обычный 9 4 2 2 9" xfId="12734"/>
    <cellStyle name="Обычный 9 4 2 3" xfId="3986"/>
    <cellStyle name="Обычный 9 4 2 3 2" xfId="12735"/>
    <cellStyle name="Обычный 9 4 2 3 3" xfId="12736"/>
    <cellStyle name="Обычный 9 4 2 3 4" xfId="12737"/>
    <cellStyle name="Обычный 9 4 2 3 5" xfId="12738"/>
    <cellStyle name="Обычный 9 4 2 3 6" xfId="12739"/>
    <cellStyle name="Обычный 9 4 2 4" xfId="3987"/>
    <cellStyle name="Обычный 9 4 2 4 2" xfId="12740"/>
    <cellStyle name="Обычный 9 4 2 4 3" xfId="12741"/>
    <cellStyle name="Обычный 9 4 2 4 4" xfId="12742"/>
    <cellStyle name="Обычный 9 4 2 4 5" xfId="12743"/>
    <cellStyle name="Обычный 9 4 2 4 6" xfId="12744"/>
    <cellStyle name="Обычный 9 4 2 5" xfId="3988"/>
    <cellStyle name="Обычный 9 4 2 5 2" xfId="12745"/>
    <cellStyle name="Обычный 9 4 2 5 3" xfId="12746"/>
    <cellStyle name="Обычный 9 4 2 5 4" xfId="12747"/>
    <cellStyle name="Обычный 9 4 2 5 5" xfId="12748"/>
    <cellStyle name="Обычный 9 4 2 5 6" xfId="12749"/>
    <cellStyle name="Обычный 9 4 2 6" xfId="12750"/>
    <cellStyle name="Обычный 9 4 2 7" xfId="12751"/>
    <cellStyle name="Обычный 9 4 2 8" xfId="12752"/>
    <cellStyle name="Обычный 9 4 2 9" xfId="12753"/>
    <cellStyle name="Обычный 9 4 3" xfId="3989"/>
    <cellStyle name="Обычный 9 4 3 2" xfId="3990"/>
    <cellStyle name="Обычный 9 4 3 2 2" xfId="12754"/>
    <cellStyle name="Обычный 9 4 3 2 3" xfId="12755"/>
    <cellStyle name="Обычный 9 4 3 2 4" xfId="12756"/>
    <cellStyle name="Обычный 9 4 3 2 5" xfId="12757"/>
    <cellStyle name="Обычный 9 4 3 2 6" xfId="12758"/>
    <cellStyle name="Обычный 9 4 3 3" xfId="3991"/>
    <cellStyle name="Обычный 9 4 3 3 2" xfId="12759"/>
    <cellStyle name="Обычный 9 4 3 3 3" xfId="12760"/>
    <cellStyle name="Обычный 9 4 3 3 4" xfId="12761"/>
    <cellStyle name="Обычный 9 4 3 3 5" xfId="12762"/>
    <cellStyle name="Обычный 9 4 3 3 6" xfId="12763"/>
    <cellStyle name="Обычный 9 4 3 4" xfId="3992"/>
    <cellStyle name="Обычный 9 4 3 4 2" xfId="12764"/>
    <cellStyle name="Обычный 9 4 3 4 3" xfId="12765"/>
    <cellStyle name="Обычный 9 4 3 4 4" xfId="12766"/>
    <cellStyle name="Обычный 9 4 3 4 5" xfId="12767"/>
    <cellStyle name="Обычный 9 4 3 4 6" xfId="12768"/>
    <cellStyle name="Обычный 9 4 3 5" xfId="12769"/>
    <cellStyle name="Обычный 9 4 3 6" xfId="12770"/>
    <cellStyle name="Обычный 9 4 3 7" xfId="12771"/>
    <cellStyle name="Обычный 9 4 3 8" xfId="12772"/>
    <cellStyle name="Обычный 9 4 3 9" xfId="12773"/>
    <cellStyle name="Обычный 9 4 4" xfId="3993"/>
    <cellStyle name="Обычный 9 4 4 2" xfId="12774"/>
    <cellStyle name="Обычный 9 4 4 3" xfId="12775"/>
    <cellStyle name="Обычный 9 4 4 4" xfId="12776"/>
    <cellStyle name="Обычный 9 4 4 5" xfId="12777"/>
    <cellStyle name="Обычный 9 4 4 6" xfId="12778"/>
    <cellStyle name="Обычный 9 4 5" xfId="3994"/>
    <cellStyle name="Обычный 9 4 5 2" xfId="12779"/>
    <cellStyle name="Обычный 9 4 5 3" xfId="12780"/>
    <cellStyle name="Обычный 9 4 5 4" xfId="12781"/>
    <cellStyle name="Обычный 9 4 5 5" xfId="12782"/>
    <cellStyle name="Обычный 9 4 5 6" xfId="12783"/>
    <cellStyle name="Обычный 9 4 6" xfId="3995"/>
    <cellStyle name="Обычный 9 4 6 2" xfId="12784"/>
    <cellStyle name="Обычный 9 4 6 3" xfId="12785"/>
    <cellStyle name="Обычный 9 4 6 4" xfId="12786"/>
    <cellStyle name="Обычный 9 4 6 5" xfId="12787"/>
    <cellStyle name="Обычный 9 4 6 6" xfId="12788"/>
    <cellStyle name="Обычный 9 4 7" xfId="12789"/>
    <cellStyle name="Обычный 9 4 8" xfId="12790"/>
    <cellStyle name="Обычный 9 4 9" xfId="12791"/>
    <cellStyle name="Обычный 9 5" xfId="3996"/>
    <cellStyle name="Обычный 9 5 10" xfId="12792"/>
    <cellStyle name="Обычный 9 5 2" xfId="3997"/>
    <cellStyle name="Обычный 9 5 2 2" xfId="3998"/>
    <cellStyle name="Обычный 9 5 2 2 2" xfId="12793"/>
    <cellStyle name="Обычный 9 5 2 2 3" xfId="12794"/>
    <cellStyle name="Обычный 9 5 2 2 4" xfId="12795"/>
    <cellStyle name="Обычный 9 5 2 2 5" xfId="12796"/>
    <cellStyle name="Обычный 9 5 2 2 6" xfId="12797"/>
    <cellStyle name="Обычный 9 5 2 3" xfId="3999"/>
    <cellStyle name="Обычный 9 5 2 3 2" xfId="12798"/>
    <cellStyle name="Обычный 9 5 2 3 3" xfId="12799"/>
    <cellStyle name="Обычный 9 5 2 3 4" xfId="12800"/>
    <cellStyle name="Обычный 9 5 2 3 5" xfId="12801"/>
    <cellStyle name="Обычный 9 5 2 3 6" xfId="12802"/>
    <cellStyle name="Обычный 9 5 2 4" xfId="4000"/>
    <cellStyle name="Обычный 9 5 2 4 2" xfId="12803"/>
    <cellStyle name="Обычный 9 5 2 4 3" xfId="12804"/>
    <cellStyle name="Обычный 9 5 2 4 4" xfId="12805"/>
    <cellStyle name="Обычный 9 5 2 4 5" xfId="12806"/>
    <cellStyle name="Обычный 9 5 2 4 6" xfId="12807"/>
    <cellStyle name="Обычный 9 5 2 5" xfId="12808"/>
    <cellStyle name="Обычный 9 5 2 6" xfId="12809"/>
    <cellStyle name="Обычный 9 5 2 7" xfId="12810"/>
    <cellStyle name="Обычный 9 5 2 8" xfId="12811"/>
    <cellStyle name="Обычный 9 5 2 9" xfId="12812"/>
    <cellStyle name="Обычный 9 5 3" xfId="4001"/>
    <cellStyle name="Обычный 9 5 3 2" xfId="12813"/>
    <cellStyle name="Обычный 9 5 3 3" xfId="12814"/>
    <cellStyle name="Обычный 9 5 3 4" xfId="12815"/>
    <cellStyle name="Обычный 9 5 3 5" xfId="12816"/>
    <cellStyle name="Обычный 9 5 3 6" xfId="12817"/>
    <cellStyle name="Обычный 9 5 4" xfId="4002"/>
    <cellStyle name="Обычный 9 5 4 2" xfId="12818"/>
    <cellStyle name="Обычный 9 5 4 3" xfId="12819"/>
    <cellStyle name="Обычный 9 5 4 4" xfId="12820"/>
    <cellStyle name="Обычный 9 5 4 5" xfId="12821"/>
    <cellStyle name="Обычный 9 5 4 6" xfId="12822"/>
    <cellStyle name="Обычный 9 5 5" xfId="4003"/>
    <cellStyle name="Обычный 9 5 5 2" xfId="12823"/>
    <cellStyle name="Обычный 9 5 5 3" xfId="12824"/>
    <cellStyle name="Обычный 9 5 5 4" xfId="12825"/>
    <cellStyle name="Обычный 9 5 5 5" xfId="12826"/>
    <cellStyle name="Обычный 9 5 5 6" xfId="12827"/>
    <cellStyle name="Обычный 9 5 6" xfId="12828"/>
    <cellStyle name="Обычный 9 5 7" xfId="12829"/>
    <cellStyle name="Обычный 9 5 8" xfId="12830"/>
    <cellStyle name="Обычный 9 5 9" xfId="12831"/>
    <cellStyle name="Обычный 9 6" xfId="4004"/>
    <cellStyle name="Обычный 9 7" xfId="4005"/>
    <cellStyle name="Обычный 9 7 2" xfId="4006"/>
    <cellStyle name="Обычный 9 7 2 2" xfId="12832"/>
    <cellStyle name="Обычный 9 7 2 3" xfId="12833"/>
    <cellStyle name="Обычный 9 7 2 4" xfId="12834"/>
    <cellStyle name="Обычный 9 7 2 5" xfId="12835"/>
    <cellStyle name="Обычный 9 7 2 6" xfId="12836"/>
    <cellStyle name="Обычный 9 7 3" xfId="4007"/>
    <cellStyle name="Обычный 9 7 3 2" xfId="12837"/>
    <cellStyle name="Обычный 9 7 3 3" xfId="12838"/>
    <cellStyle name="Обычный 9 7 3 4" xfId="12839"/>
    <cellStyle name="Обычный 9 7 3 5" xfId="12840"/>
    <cellStyle name="Обычный 9 7 3 6" xfId="12841"/>
    <cellStyle name="Обычный 9 7 4" xfId="4008"/>
    <cellStyle name="Обычный 9 7 4 2" xfId="12842"/>
    <cellStyle name="Обычный 9 7 4 3" xfId="12843"/>
    <cellStyle name="Обычный 9 7 4 4" xfId="12844"/>
    <cellStyle name="Обычный 9 7 4 5" xfId="12845"/>
    <cellStyle name="Обычный 9 7 4 6" xfId="12846"/>
    <cellStyle name="Обычный 9 7 5" xfId="12847"/>
    <cellStyle name="Обычный 9 7 6" xfId="12848"/>
    <cellStyle name="Обычный 9 7 7" xfId="12849"/>
    <cellStyle name="Обычный 9 7 8" xfId="12850"/>
    <cellStyle name="Обычный 9 7 9" xfId="12851"/>
    <cellStyle name="Обычный 9 8" xfId="4009"/>
    <cellStyle name="Обычный 9 8 2" xfId="12852"/>
    <cellStyle name="Обычный 9 8 3" xfId="12853"/>
    <cellStyle name="Обычный 9 8 4" xfId="12854"/>
    <cellStyle name="Обычный 9 8 5" xfId="12855"/>
    <cellStyle name="Обычный 9 8 6" xfId="12856"/>
    <cellStyle name="Обычный 9 9" xfId="4010"/>
    <cellStyle name="Обычный 9 9 2" xfId="12857"/>
    <cellStyle name="Обычный 9 9 3" xfId="12858"/>
    <cellStyle name="Обычный 9 9 4" xfId="12859"/>
    <cellStyle name="Обычный 9 9 5" xfId="12860"/>
    <cellStyle name="Обычный 9 9 6" xfId="12861"/>
    <cellStyle name="Обычный 9_БДР по видам деят-ти за 12 г." xfId="4011"/>
    <cellStyle name="Обычный_8.Бюджет на 2015" xfId="4666"/>
    <cellStyle name="Обычный_Лист1" xfId="4664"/>
    <cellStyle name="Обычный_Лист2" xfId="4665"/>
    <cellStyle name="Ошибка" xfId="4012"/>
    <cellStyle name="Ошибка 2" xfId="5351"/>
    <cellStyle name="Плохой 10" xfId="4013"/>
    <cellStyle name="Плохой 2" xfId="4014"/>
    <cellStyle name="Плохой 2 2" xfId="4015"/>
    <cellStyle name="Плохой 3" xfId="4016"/>
    <cellStyle name="Плохой 3 2" xfId="4017"/>
    <cellStyle name="Плохой 3 3" xfId="4018"/>
    <cellStyle name="Плохой 3 3 2" xfId="4019"/>
    <cellStyle name="Плохой 3 4" xfId="5352"/>
    <cellStyle name="Плохой 4" xfId="4020"/>
    <cellStyle name="Плохой 4 2" xfId="4021"/>
    <cellStyle name="Плохой 5" xfId="4022"/>
    <cellStyle name="Плохой 5 2" xfId="4023"/>
    <cellStyle name="Плохой 6" xfId="4024"/>
    <cellStyle name="Плохой 6 2" xfId="4025"/>
    <cellStyle name="Плохой 7" xfId="4026"/>
    <cellStyle name="Плохой 7 2" xfId="4027"/>
    <cellStyle name="Плохой 8" xfId="4028"/>
    <cellStyle name="Плохой 8 2" xfId="4029"/>
    <cellStyle name="Плохой 9" xfId="4030"/>
    <cellStyle name="Плохой 9 2" xfId="4031"/>
    <cellStyle name="По центру с переносом" xfId="4032"/>
    <cellStyle name="По ширине с переносом" xfId="4033"/>
    <cellStyle name="Подгруппа" xfId="4034"/>
    <cellStyle name="Подгруппа 2" xfId="5353"/>
    <cellStyle name="Поле ввода" xfId="4035"/>
    <cellStyle name="Пояснение 10" xfId="4036"/>
    <cellStyle name="Пояснение 2" xfId="4037"/>
    <cellStyle name="Пояснение 2 2" xfId="4038"/>
    <cellStyle name="Пояснение 3" xfId="4039"/>
    <cellStyle name="Пояснение 3 2" xfId="4040"/>
    <cellStyle name="Пояснение 3 3" xfId="4041"/>
    <cellStyle name="Пояснение 3 3 2" xfId="4042"/>
    <cellStyle name="Пояснение 3 4" xfId="5354"/>
    <cellStyle name="Пояснение 4" xfId="4043"/>
    <cellStyle name="Пояснение 4 2" xfId="4044"/>
    <cellStyle name="Пояснение 5" xfId="4045"/>
    <cellStyle name="Пояснение 5 2" xfId="4046"/>
    <cellStyle name="Пояснение 6" xfId="4047"/>
    <cellStyle name="Пояснение 6 2" xfId="4048"/>
    <cellStyle name="Пояснение 7" xfId="4049"/>
    <cellStyle name="Пояснение 7 2" xfId="4050"/>
    <cellStyle name="Пояснение 8" xfId="4051"/>
    <cellStyle name="Пояснение 8 2" xfId="4052"/>
    <cellStyle name="Пояснение 9" xfId="4053"/>
    <cellStyle name="Пояснение 9 2" xfId="4054"/>
    <cellStyle name="Примечание 10" xfId="4055"/>
    <cellStyle name="Примечание 10 2" xfId="4056"/>
    <cellStyle name="Примечание 10 2 2" xfId="4057"/>
    <cellStyle name="Примечание 10 2 2 2" xfId="5355"/>
    <cellStyle name="Примечание 10 2 3" xfId="5356"/>
    <cellStyle name="Примечание 10 2 3 2" xfId="5357"/>
    <cellStyle name="Примечание 10 2 4" xfId="5358"/>
    <cellStyle name="Примечание 10 3" xfId="4058"/>
    <cellStyle name="Примечание 10 3 2" xfId="5359"/>
    <cellStyle name="Примечание 10 4" xfId="5360"/>
    <cellStyle name="Примечание 10 4 2" xfId="5361"/>
    <cellStyle name="Примечание 10 5" xfId="5362"/>
    <cellStyle name="Примечание 10_46EE.2011(v1.0)" xfId="4059"/>
    <cellStyle name="Примечание 11" xfId="4060"/>
    <cellStyle name="Примечание 11 2" xfId="4061"/>
    <cellStyle name="Примечание 11 2 2" xfId="4062"/>
    <cellStyle name="Примечание 11 2 2 2" xfId="5363"/>
    <cellStyle name="Примечание 11 2 3" xfId="5364"/>
    <cellStyle name="Примечание 11 2 3 2" xfId="5365"/>
    <cellStyle name="Примечание 11 2 4" xfId="5366"/>
    <cellStyle name="Примечание 11 3" xfId="4063"/>
    <cellStyle name="Примечание 11 3 2" xfId="5367"/>
    <cellStyle name="Примечание 11 4" xfId="5368"/>
    <cellStyle name="Примечание 11 4 2" xfId="5369"/>
    <cellStyle name="Примечание 11 5" xfId="5370"/>
    <cellStyle name="Примечание 11_46EE.2011(v1.0)" xfId="4064"/>
    <cellStyle name="Примечание 12" xfId="4065"/>
    <cellStyle name="Примечание 12 2" xfId="4066"/>
    <cellStyle name="Примечание 12 2 2" xfId="4067"/>
    <cellStyle name="Примечание 12 2 2 2" xfId="5371"/>
    <cellStyle name="Примечание 12 2 3" xfId="5372"/>
    <cellStyle name="Примечание 12 2 3 2" xfId="5373"/>
    <cellStyle name="Примечание 12 2 4" xfId="5374"/>
    <cellStyle name="Примечание 12 3" xfId="4068"/>
    <cellStyle name="Примечание 12 3 2" xfId="5375"/>
    <cellStyle name="Примечание 12 4" xfId="5376"/>
    <cellStyle name="Примечание 12 4 2" xfId="5377"/>
    <cellStyle name="Примечание 12 5" xfId="5378"/>
    <cellStyle name="Примечание 12_46EE.2011(v1.0)" xfId="4069"/>
    <cellStyle name="Примечание 13" xfId="4070"/>
    <cellStyle name="Примечание 13 2" xfId="4071"/>
    <cellStyle name="Примечание 13 2 2" xfId="4072"/>
    <cellStyle name="Примечание 13 2 2 2" xfId="5379"/>
    <cellStyle name="Примечание 13 2 3" xfId="5380"/>
    <cellStyle name="Примечание 13 3" xfId="4073"/>
    <cellStyle name="Примечание 13 3 2" xfId="4074"/>
    <cellStyle name="Примечание 13 3 2 2" xfId="5381"/>
    <cellStyle name="Примечание 13 3 3" xfId="5382"/>
    <cellStyle name="Примечание 13 4" xfId="4075"/>
    <cellStyle name="Примечание 13 4 2" xfId="5383"/>
    <cellStyle name="Примечание 13 5" xfId="5384"/>
    <cellStyle name="Примечание 14" xfId="4076"/>
    <cellStyle name="Примечание 14 2" xfId="4077"/>
    <cellStyle name="Примечание 14 2 2" xfId="5385"/>
    <cellStyle name="Примечание 14 3" xfId="4078"/>
    <cellStyle name="Примечание 14 3 2" xfId="4079"/>
    <cellStyle name="Примечание 14 3 2 2" xfId="5386"/>
    <cellStyle name="Примечание 14 3 3" xfId="5387"/>
    <cellStyle name="Примечание 14 4" xfId="4080"/>
    <cellStyle name="Примечание 14 4 2" xfId="5388"/>
    <cellStyle name="Примечание 14 5" xfId="5389"/>
    <cellStyle name="Примечание 15" xfId="4081"/>
    <cellStyle name="Примечание 15 2" xfId="4082"/>
    <cellStyle name="Примечание 15 2 2" xfId="5390"/>
    <cellStyle name="Примечание 15 3" xfId="4083"/>
    <cellStyle name="Примечание 15 3 2" xfId="4084"/>
    <cellStyle name="Примечание 15 3 2 2" xfId="5391"/>
    <cellStyle name="Примечание 15 3 3" xfId="5392"/>
    <cellStyle name="Примечание 15 4" xfId="4085"/>
    <cellStyle name="Примечание 15 4 2" xfId="5393"/>
    <cellStyle name="Примечание 15 5" xfId="5394"/>
    <cellStyle name="Примечание 16" xfId="4086"/>
    <cellStyle name="Примечание 16 2" xfId="4087"/>
    <cellStyle name="Примечание 16 2 2" xfId="4088"/>
    <cellStyle name="Примечание 16 2 2 2" xfId="5395"/>
    <cellStyle name="Примечание 16 2 3" xfId="5396"/>
    <cellStyle name="Примечание 16 3" xfId="4089"/>
    <cellStyle name="Примечание 16 3 2" xfId="5397"/>
    <cellStyle name="Примечание 16 4" xfId="5398"/>
    <cellStyle name="Примечание 17" xfId="4090"/>
    <cellStyle name="Примечание 17 2" xfId="5399"/>
    <cellStyle name="Примечание 18" xfId="4091"/>
    <cellStyle name="Примечание 18 2" xfId="5400"/>
    <cellStyle name="Примечание 19" xfId="4092"/>
    <cellStyle name="Примечание 19 2" xfId="5401"/>
    <cellStyle name="Примечание 2" xfId="4093"/>
    <cellStyle name="Примечание 2 10" xfId="4094"/>
    <cellStyle name="Примечание 2 10 2" xfId="4095"/>
    <cellStyle name="Примечание 2 10 2 2" xfId="5402"/>
    <cellStyle name="Примечание 2 10 3" xfId="5403"/>
    <cellStyle name="Примечание 2 11" xfId="4096"/>
    <cellStyle name="Примечание 2 11 2" xfId="5404"/>
    <cellStyle name="Примечание 2 12" xfId="5405"/>
    <cellStyle name="Примечание 2 2" xfId="4097"/>
    <cellStyle name="Примечание 2 2 2" xfId="4098"/>
    <cellStyle name="Примечание 2 2 2 2" xfId="4099"/>
    <cellStyle name="Примечание 2 2 2 2 2" xfId="4100"/>
    <cellStyle name="Примечание 2 2 2 2 2 2" xfId="5406"/>
    <cellStyle name="Примечание 2 2 2 2 3" xfId="5407"/>
    <cellStyle name="Примечание 2 2 2 3" xfId="5408"/>
    <cellStyle name="Примечание 2 2 3" xfId="5409"/>
    <cellStyle name="Примечание 2 2 3 2" xfId="5410"/>
    <cellStyle name="Примечание 2 2 4" xfId="5411"/>
    <cellStyle name="Примечание 2 2 5" xfId="5412"/>
    <cellStyle name="Примечание 2 3" xfId="4101"/>
    <cellStyle name="Примечание 2 3 2" xfId="4102"/>
    <cellStyle name="Примечание 2 3 2 2" xfId="4103"/>
    <cellStyle name="Примечание 2 3 2 2 2" xfId="5413"/>
    <cellStyle name="Примечание 2 3 2 3" xfId="5414"/>
    <cellStyle name="Примечание 2 3 3" xfId="4104"/>
    <cellStyle name="Примечание 2 3 3 2" xfId="4105"/>
    <cellStyle name="Примечание 2 3 3 2 2" xfId="5415"/>
    <cellStyle name="Примечание 2 3 3 3" xfId="5416"/>
    <cellStyle name="Примечание 2 3 4" xfId="4106"/>
    <cellStyle name="Примечание 2 3 4 2" xfId="5417"/>
    <cellStyle name="Примечание 2 3 5" xfId="5418"/>
    <cellStyle name="Примечание 2 4" xfId="4107"/>
    <cellStyle name="Примечание 2 4 2" xfId="4108"/>
    <cellStyle name="Примечание 2 4 2 2" xfId="4109"/>
    <cellStyle name="Примечание 2 4 2 2 2" xfId="5419"/>
    <cellStyle name="Примечание 2 4 2 3" xfId="5420"/>
    <cellStyle name="Примечание 2 4 3" xfId="4110"/>
    <cellStyle name="Примечание 2 4 3 2" xfId="4111"/>
    <cellStyle name="Примечание 2 4 3 2 2" xfId="5421"/>
    <cellStyle name="Примечание 2 4 3 3" xfId="5422"/>
    <cellStyle name="Примечание 2 4 4" xfId="4112"/>
    <cellStyle name="Примечание 2 4 4 2" xfId="5423"/>
    <cellStyle name="Примечание 2 4 5" xfId="5424"/>
    <cellStyle name="Примечание 2 5" xfId="4113"/>
    <cellStyle name="Примечание 2 5 2" xfId="4114"/>
    <cellStyle name="Примечание 2 5 2 2" xfId="4115"/>
    <cellStyle name="Примечание 2 5 2 2 2" xfId="5425"/>
    <cellStyle name="Примечание 2 5 2 3" xfId="5426"/>
    <cellStyle name="Примечание 2 5 3" xfId="4116"/>
    <cellStyle name="Примечание 2 5 3 2" xfId="4117"/>
    <cellStyle name="Примечание 2 5 3 2 2" xfId="5427"/>
    <cellStyle name="Примечание 2 5 3 3" xfId="5428"/>
    <cellStyle name="Примечание 2 5 4" xfId="4118"/>
    <cellStyle name="Примечание 2 5 4 2" xfId="5429"/>
    <cellStyle name="Примечание 2 5 5" xfId="5430"/>
    <cellStyle name="Примечание 2 6" xfId="4119"/>
    <cellStyle name="Примечание 2 6 2" xfId="4120"/>
    <cellStyle name="Примечание 2 6 2 2" xfId="4121"/>
    <cellStyle name="Примечание 2 6 2 2 2" xfId="5431"/>
    <cellStyle name="Примечание 2 6 2 3" xfId="5432"/>
    <cellStyle name="Примечание 2 6 3" xfId="4122"/>
    <cellStyle name="Примечание 2 6 3 2" xfId="4123"/>
    <cellStyle name="Примечание 2 6 3 2 2" xfId="5433"/>
    <cellStyle name="Примечание 2 6 3 3" xfId="5434"/>
    <cellStyle name="Примечание 2 6 4" xfId="4124"/>
    <cellStyle name="Примечание 2 6 4 2" xfId="5435"/>
    <cellStyle name="Примечание 2 6 5" xfId="5436"/>
    <cellStyle name="Примечание 2 7" xfId="4125"/>
    <cellStyle name="Примечание 2 7 2" xfId="4126"/>
    <cellStyle name="Примечание 2 7 2 2" xfId="4127"/>
    <cellStyle name="Примечание 2 7 2 2 2" xfId="5437"/>
    <cellStyle name="Примечание 2 7 2 3" xfId="5438"/>
    <cellStyle name="Примечание 2 7 3" xfId="4128"/>
    <cellStyle name="Примечание 2 7 3 2" xfId="4129"/>
    <cellStyle name="Примечание 2 7 3 2 2" xfId="5439"/>
    <cellStyle name="Примечание 2 7 3 3" xfId="5440"/>
    <cellStyle name="Примечание 2 7 4" xfId="4130"/>
    <cellStyle name="Примечание 2 7 4 2" xfId="5441"/>
    <cellStyle name="Примечание 2 7 5" xfId="5442"/>
    <cellStyle name="Примечание 2 8" xfId="4131"/>
    <cellStyle name="Примечание 2 8 2" xfId="4132"/>
    <cellStyle name="Примечание 2 8 2 2" xfId="4133"/>
    <cellStyle name="Примечание 2 8 2 2 2" xfId="5443"/>
    <cellStyle name="Примечание 2 8 2 3" xfId="5444"/>
    <cellStyle name="Примечание 2 8 3" xfId="4134"/>
    <cellStyle name="Примечание 2 8 3 2" xfId="4135"/>
    <cellStyle name="Примечание 2 8 3 2 2" xfId="5445"/>
    <cellStyle name="Примечание 2 8 3 3" xfId="5446"/>
    <cellStyle name="Примечание 2 8 4" xfId="4136"/>
    <cellStyle name="Примечание 2 8 4 2" xfId="5447"/>
    <cellStyle name="Примечание 2 8 5" xfId="5448"/>
    <cellStyle name="Примечание 2 9" xfId="4137"/>
    <cellStyle name="Примечание 2 9 2" xfId="4138"/>
    <cellStyle name="Примечание 2 9 2 2" xfId="4139"/>
    <cellStyle name="Примечание 2 9 2 2 2" xfId="5449"/>
    <cellStyle name="Примечание 2 9 2 3" xfId="5450"/>
    <cellStyle name="Примечание 2 9 3" xfId="4140"/>
    <cellStyle name="Примечание 2 9 3 2" xfId="5451"/>
    <cellStyle name="Примечание 2 9 4" xfId="5452"/>
    <cellStyle name="Примечание 2_46EE.2011(v1.0)" xfId="4141"/>
    <cellStyle name="Примечание 20" xfId="4142"/>
    <cellStyle name="Примечание 20 2" xfId="5453"/>
    <cellStyle name="Примечание 21" xfId="4143"/>
    <cellStyle name="Примечание 21 2" xfId="5454"/>
    <cellStyle name="Примечание 3" xfId="4144"/>
    <cellStyle name="Примечание 3 10" xfId="4145"/>
    <cellStyle name="Примечание 3 10 2" xfId="4146"/>
    <cellStyle name="Примечание 3 10 2 2" xfId="5455"/>
    <cellStyle name="Примечание 3 10 3" xfId="5456"/>
    <cellStyle name="Примечание 3 11" xfId="4147"/>
    <cellStyle name="Примечание 3 11 2" xfId="5457"/>
    <cellStyle name="Примечание 3 12" xfId="5458"/>
    <cellStyle name="Примечание 3 13" xfId="5459"/>
    <cellStyle name="Примечание 3 2" xfId="4148"/>
    <cellStyle name="Примечание 3 2 2" xfId="4149"/>
    <cellStyle name="Примечание 3 2 2 2" xfId="4150"/>
    <cellStyle name="Примечание 3 2 2 2 2" xfId="4151"/>
    <cellStyle name="Примечание 3 2 2 2 2 2" xfId="5460"/>
    <cellStyle name="Примечание 3 2 2 2 3" xfId="5461"/>
    <cellStyle name="Примечание 3 2 2 3" xfId="4152"/>
    <cellStyle name="Примечание 3 2 2 3 2" xfId="5462"/>
    <cellStyle name="Примечание 3 2 2 4" xfId="5463"/>
    <cellStyle name="Примечание 3 2 3" xfId="5464"/>
    <cellStyle name="Примечание 3 2 3 2" xfId="5465"/>
    <cellStyle name="Примечание 3 2 4" xfId="5466"/>
    <cellStyle name="Примечание 3 3" xfId="4153"/>
    <cellStyle name="Примечание 3 3 2" xfId="4154"/>
    <cellStyle name="Примечание 3 3 2 2" xfId="4155"/>
    <cellStyle name="Примечание 3 3 2 2 2" xfId="5467"/>
    <cellStyle name="Примечание 3 3 2 3" xfId="5468"/>
    <cellStyle name="Примечание 3 3 3" xfId="4156"/>
    <cellStyle name="Примечание 3 3 3 2" xfId="4157"/>
    <cellStyle name="Примечание 3 3 3 2 2" xfId="5469"/>
    <cellStyle name="Примечание 3 3 3 3" xfId="5470"/>
    <cellStyle name="Примечание 3 3 4" xfId="4158"/>
    <cellStyle name="Примечание 3 3 4 2" xfId="5471"/>
    <cellStyle name="Примечание 3 3 5" xfId="5472"/>
    <cellStyle name="Примечание 3 4" xfId="4159"/>
    <cellStyle name="Примечание 3 4 2" xfId="4160"/>
    <cellStyle name="Примечание 3 4 2 2" xfId="4161"/>
    <cellStyle name="Примечание 3 4 2 2 2" xfId="5473"/>
    <cellStyle name="Примечание 3 4 2 3" xfId="5474"/>
    <cellStyle name="Примечание 3 4 3" xfId="4162"/>
    <cellStyle name="Примечание 3 4 3 2" xfId="4163"/>
    <cellStyle name="Примечание 3 4 3 2 2" xfId="5475"/>
    <cellStyle name="Примечание 3 4 3 3" xfId="5476"/>
    <cellStyle name="Примечание 3 4 4" xfId="4164"/>
    <cellStyle name="Примечание 3 4 4 2" xfId="5477"/>
    <cellStyle name="Примечание 3 4 5" xfId="5478"/>
    <cellStyle name="Примечание 3 5" xfId="4165"/>
    <cellStyle name="Примечание 3 5 2" xfId="4166"/>
    <cellStyle name="Примечание 3 5 2 2" xfId="4167"/>
    <cellStyle name="Примечание 3 5 2 2 2" xfId="5479"/>
    <cellStyle name="Примечание 3 5 2 3" xfId="5480"/>
    <cellStyle name="Примечание 3 5 3" xfId="4168"/>
    <cellStyle name="Примечание 3 5 3 2" xfId="4169"/>
    <cellStyle name="Примечание 3 5 3 2 2" xfId="5481"/>
    <cellStyle name="Примечание 3 5 3 3" xfId="5482"/>
    <cellStyle name="Примечание 3 5 4" xfId="4170"/>
    <cellStyle name="Примечание 3 5 4 2" xfId="5483"/>
    <cellStyle name="Примечание 3 5 5" xfId="5484"/>
    <cellStyle name="Примечание 3 6" xfId="4171"/>
    <cellStyle name="Примечание 3 6 2" xfId="4172"/>
    <cellStyle name="Примечание 3 6 2 2" xfId="4173"/>
    <cellStyle name="Примечание 3 6 2 2 2" xfId="5485"/>
    <cellStyle name="Примечание 3 6 2 3" xfId="5486"/>
    <cellStyle name="Примечание 3 6 3" xfId="4174"/>
    <cellStyle name="Примечание 3 6 3 2" xfId="4175"/>
    <cellStyle name="Примечание 3 6 3 2 2" xfId="5487"/>
    <cellStyle name="Примечание 3 6 3 3" xfId="5488"/>
    <cellStyle name="Примечание 3 6 4" xfId="4176"/>
    <cellStyle name="Примечание 3 6 4 2" xfId="5489"/>
    <cellStyle name="Примечание 3 6 5" xfId="5490"/>
    <cellStyle name="Примечание 3 7" xfId="4177"/>
    <cellStyle name="Примечание 3 7 2" xfId="4178"/>
    <cellStyle name="Примечание 3 7 2 2" xfId="4179"/>
    <cellStyle name="Примечание 3 7 2 2 2" xfId="5491"/>
    <cellStyle name="Примечание 3 7 2 3" xfId="5492"/>
    <cellStyle name="Примечание 3 7 3" xfId="4180"/>
    <cellStyle name="Примечание 3 7 3 2" xfId="4181"/>
    <cellStyle name="Примечание 3 7 3 2 2" xfId="5493"/>
    <cellStyle name="Примечание 3 7 3 3" xfId="5494"/>
    <cellStyle name="Примечание 3 7 4" xfId="4182"/>
    <cellStyle name="Примечание 3 7 4 2" xfId="5495"/>
    <cellStyle name="Примечание 3 7 5" xfId="5496"/>
    <cellStyle name="Примечание 3 8" xfId="4183"/>
    <cellStyle name="Примечание 3 8 2" xfId="4184"/>
    <cellStyle name="Примечание 3 8 2 2" xfId="4185"/>
    <cellStyle name="Примечание 3 8 2 2 2" xfId="5497"/>
    <cellStyle name="Примечание 3 8 2 3" xfId="5498"/>
    <cellStyle name="Примечание 3 8 3" xfId="4186"/>
    <cellStyle name="Примечание 3 8 3 2" xfId="4187"/>
    <cellStyle name="Примечание 3 8 3 2 2" xfId="5499"/>
    <cellStyle name="Примечание 3 8 3 3" xfId="5500"/>
    <cellStyle name="Примечание 3 8 4" xfId="4188"/>
    <cellStyle name="Примечание 3 8 4 2" xfId="5501"/>
    <cellStyle name="Примечание 3 8 5" xfId="5502"/>
    <cellStyle name="Примечание 3 9" xfId="4189"/>
    <cellStyle name="Примечание 3 9 2" xfId="4190"/>
    <cellStyle name="Примечание 3 9 2 2" xfId="4191"/>
    <cellStyle name="Примечание 3 9 2 2 2" xfId="5503"/>
    <cellStyle name="Примечание 3 9 2 3" xfId="5504"/>
    <cellStyle name="Примечание 3 9 3" xfId="4192"/>
    <cellStyle name="Примечание 3 9 3 2" xfId="5505"/>
    <cellStyle name="Примечание 3 9 4" xfId="5506"/>
    <cellStyle name="Примечание 3_46EE.2011(v1.0)" xfId="4193"/>
    <cellStyle name="Примечание 4" xfId="4194"/>
    <cellStyle name="Примечание 4 10" xfId="4195"/>
    <cellStyle name="Примечание 4 10 2" xfId="5507"/>
    <cellStyle name="Примечание 4 11" xfId="5508"/>
    <cellStyle name="Примечание 4 11 2" xfId="5509"/>
    <cellStyle name="Примечание 4 12" xfId="5510"/>
    <cellStyle name="Примечание 4 2" xfId="4196"/>
    <cellStyle name="Примечание 4 2 2" xfId="4197"/>
    <cellStyle name="Примечание 4 2 2 2" xfId="4198"/>
    <cellStyle name="Примечание 4 2 2 2 2" xfId="5511"/>
    <cellStyle name="Примечание 4 2 2 3" xfId="5512"/>
    <cellStyle name="Примечание 4 2 3" xfId="4199"/>
    <cellStyle name="Примечание 4 2 3 2" xfId="4200"/>
    <cellStyle name="Примечание 4 2 3 2 2" xfId="5513"/>
    <cellStyle name="Примечание 4 2 3 3" xfId="5514"/>
    <cellStyle name="Примечание 4 2 4" xfId="4201"/>
    <cellStyle name="Примечание 4 2 4 2" xfId="5515"/>
    <cellStyle name="Примечание 4 2 5" xfId="5516"/>
    <cellStyle name="Примечание 4 3" xfId="4202"/>
    <cellStyle name="Примечание 4 3 2" xfId="4203"/>
    <cellStyle name="Примечание 4 3 2 2" xfId="4204"/>
    <cellStyle name="Примечание 4 3 2 2 2" xfId="5517"/>
    <cellStyle name="Примечание 4 3 2 3" xfId="5518"/>
    <cellStyle name="Примечание 4 3 3" xfId="4205"/>
    <cellStyle name="Примечание 4 3 3 2" xfId="4206"/>
    <cellStyle name="Примечание 4 3 3 2 2" xfId="5519"/>
    <cellStyle name="Примечание 4 3 3 3" xfId="5520"/>
    <cellStyle name="Примечание 4 3 4" xfId="4207"/>
    <cellStyle name="Примечание 4 3 4 2" xfId="5521"/>
    <cellStyle name="Примечание 4 3 5" xfId="5522"/>
    <cellStyle name="Примечание 4 4" xfId="4208"/>
    <cellStyle name="Примечание 4 4 2" xfId="4209"/>
    <cellStyle name="Примечание 4 4 2 2" xfId="4210"/>
    <cellStyle name="Примечание 4 4 2 2 2" xfId="5523"/>
    <cellStyle name="Примечание 4 4 2 3" xfId="5524"/>
    <cellStyle name="Примечание 4 4 3" xfId="4211"/>
    <cellStyle name="Примечание 4 4 3 2" xfId="4212"/>
    <cellStyle name="Примечание 4 4 3 2 2" xfId="5525"/>
    <cellStyle name="Примечание 4 4 3 3" xfId="5526"/>
    <cellStyle name="Примечание 4 4 4" xfId="4213"/>
    <cellStyle name="Примечание 4 4 4 2" xfId="5527"/>
    <cellStyle name="Примечание 4 4 5" xfId="5528"/>
    <cellStyle name="Примечание 4 5" xfId="4214"/>
    <cellStyle name="Примечание 4 5 2" xfId="4215"/>
    <cellStyle name="Примечание 4 5 2 2" xfId="4216"/>
    <cellStyle name="Примечание 4 5 2 2 2" xfId="5529"/>
    <cellStyle name="Примечание 4 5 2 3" xfId="5530"/>
    <cellStyle name="Примечание 4 5 3" xfId="4217"/>
    <cellStyle name="Примечание 4 5 3 2" xfId="4218"/>
    <cellStyle name="Примечание 4 5 3 2 2" xfId="5531"/>
    <cellStyle name="Примечание 4 5 3 3" xfId="5532"/>
    <cellStyle name="Примечание 4 5 4" xfId="4219"/>
    <cellStyle name="Примечание 4 5 4 2" xfId="5533"/>
    <cellStyle name="Примечание 4 5 5" xfId="5534"/>
    <cellStyle name="Примечание 4 6" xfId="4220"/>
    <cellStyle name="Примечание 4 6 2" xfId="4221"/>
    <cellStyle name="Примечание 4 6 2 2" xfId="4222"/>
    <cellStyle name="Примечание 4 6 2 2 2" xfId="5535"/>
    <cellStyle name="Примечание 4 6 2 3" xfId="5536"/>
    <cellStyle name="Примечание 4 6 3" xfId="4223"/>
    <cellStyle name="Примечание 4 6 3 2" xfId="4224"/>
    <cellStyle name="Примечание 4 6 3 2 2" xfId="5537"/>
    <cellStyle name="Примечание 4 6 3 3" xfId="5538"/>
    <cellStyle name="Примечание 4 6 4" xfId="4225"/>
    <cellStyle name="Примечание 4 6 4 2" xfId="5539"/>
    <cellStyle name="Примечание 4 6 5" xfId="5540"/>
    <cellStyle name="Примечание 4 7" xfId="4226"/>
    <cellStyle name="Примечание 4 7 2" xfId="4227"/>
    <cellStyle name="Примечание 4 7 2 2" xfId="4228"/>
    <cellStyle name="Примечание 4 7 2 2 2" xfId="5541"/>
    <cellStyle name="Примечание 4 7 2 3" xfId="5542"/>
    <cellStyle name="Примечание 4 7 3" xfId="4229"/>
    <cellStyle name="Примечание 4 7 3 2" xfId="4230"/>
    <cellStyle name="Примечание 4 7 3 2 2" xfId="5543"/>
    <cellStyle name="Примечание 4 7 3 3" xfId="5544"/>
    <cellStyle name="Примечание 4 7 4" xfId="4231"/>
    <cellStyle name="Примечание 4 7 4 2" xfId="5545"/>
    <cellStyle name="Примечание 4 7 5" xfId="5546"/>
    <cellStyle name="Примечание 4 8" xfId="4232"/>
    <cellStyle name="Примечание 4 8 2" xfId="4233"/>
    <cellStyle name="Примечание 4 8 2 2" xfId="4234"/>
    <cellStyle name="Примечание 4 8 2 2 2" xfId="5547"/>
    <cellStyle name="Примечание 4 8 2 3" xfId="5548"/>
    <cellStyle name="Примечание 4 8 3" xfId="4235"/>
    <cellStyle name="Примечание 4 8 3 2" xfId="4236"/>
    <cellStyle name="Примечание 4 8 3 2 2" xfId="5549"/>
    <cellStyle name="Примечание 4 8 3 3" xfId="5550"/>
    <cellStyle name="Примечание 4 8 4" xfId="4237"/>
    <cellStyle name="Примечание 4 8 4 2" xfId="5551"/>
    <cellStyle name="Примечание 4 8 5" xfId="5552"/>
    <cellStyle name="Примечание 4 9" xfId="4238"/>
    <cellStyle name="Примечание 4 9 2" xfId="4239"/>
    <cellStyle name="Примечание 4 9 2 2" xfId="4240"/>
    <cellStyle name="Примечание 4 9 2 2 2" xfId="5553"/>
    <cellStyle name="Примечание 4 9 2 3" xfId="5554"/>
    <cellStyle name="Примечание 4 9 3" xfId="4241"/>
    <cellStyle name="Примечание 4 9 3 2" xfId="5555"/>
    <cellStyle name="Примечание 4 9 4" xfId="5556"/>
    <cellStyle name="Примечание 4_46EE.2011(v1.0)" xfId="4242"/>
    <cellStyle name="Примечание 5" xfId="4243"/>
    <cellStyle name="Примечание 5 10" xfId="4244"/>
    <cellStyle name="Примечание 5 10 2" xfId="4245"/>
    <cellStyle name="Примечание 5 10 2 2" xfId="5557"/>
    <cellStyle name="Примечание 5 10 3" xfId="5558"/>
    <cellStyle name="Примечание 5 11" xfId="4246"/>
    <cellStyle name="Примечание 5 11 2" xfId="5559"/>
    <cellStyle name="Примечание 5 12" xfId="5560"/>
    <cellStyle name="Примечание 5 2" xfId="4247"/>
    <cellStyle name="Примечание 5 2 2" xfId="4248"/>
    <cellStyle name="Примечание 5 2 2 2" xfId="4249"/>
    <cellStyle name="Примечание 5 2 2 2 2" xfId="5561"/>
    <cellStyle name="Примечание 5 2 2 3" xfId="5562"/>
    <cellStyle name="Примечание 5 2 3" xfId="4250"/>
    <cellStyle name="Примечание 5 2 3 2" xfId="4251"/>
    <cellStyle name="Примечание 5 2 3 2 2" xfId="5563"/>
    <cellStyle name="Примечание 5 2 3 3" xfId="5564"/>
    <cellStyle name="Примечание 5 2 4" xfId="4252"/>
    <cellStyle name="Примечание 5 2 4 2" xfId="5565"/>
    <cellStyle name="Примечание 5 2 5" xfId="5566"/>
    <cellStyle name="Примечание 5 3" xfId="4253"/>
    <cellStyle name="Примечание 5 3 2" xfId="4254"/>
    <cellStyle name="Примечание 5 3 2 2" xfId="4255"/>
    <cellStyle name="Примечание 5 3 2 2 2" xfId="5567"/>
    <cellStyle name="Примечание 5 3 2 3" xfId="5568"/>
    <cellStyle name="Примечание 5 3 3" xfId="4256"/>
    <cellStyle name="Примечание 5 3 3 2" xfId="4257"/>
    <cellStyle name="Примечание 5 3 3 2 2" xfId="5569"/>
    <cellStyle name="Примечание 5 3 3 3" xfId="5570"/>
    <cellStyle name="Примечание 5 3 4" xfId="4258"/>
    <cellStyle name="Примечание 5 3 4 2" xfId="5571"/>
    <cellStyle name="Примечание 5 3 5" xfId="5572"/>
    <cellStyle name="Примечание 5 4" xfId="4259"/>
    <cellStyle name="Примечание 5 4 2" xfId="4260"/>
    <cellStyle name="Примечание 5 4 2 2" xfId="4261"/>
    <cellStyle name="Примечание 5 4 2 2 2" xfId="5573"/>
    <cellStyle name="Примечание 5 4 2 3" xfId="5574"/>
    <cellStyle name="Примечание 5 4 3" xfId="4262"/>
    <cellStyle name="Примечание 5 4 3 2" xfId="4263"/>
    <cellStyle name="Примечание 5 4 3 2 2" xfId="5575"/>
    <cellStyle name="Примечание 5 4 3 3" xfId="5576"/>
    <cellStyle name="Примечание 5 4 4" xfId="4264"/>
    <cellStyle name="Примечание 5 4 4 2" xfId="5577"/>
    <cellStyle name="Примечание 5 4 5" xfId="5578"/>
    <cellStyle name="Примечание 5 5" xfId="4265"/>
    <cellStyle name="Примечание 5 5 2" xfId="4266"/>
    <cellStyle name="Примечание 5 5 2 2" xfId="4267"/>
    <cellStyle name="Примечание 5 5 2 2 2" xfId="5579"/>
    <cellStyle name="Примечание 5 5 2 3" xfId="5580"/>
    <cellStyle name="Примечание 5 5 3" xfId="4268"/>
    <cellStyle name="Примечание 5 5 3 2" xfId="4269"/>
    <cellStyle name="Примечание 5 5 3 2 2" xfId="5581"/>
    <cellStyle name="Примечание 5 5 3 3" xfId="5582"/>
    <cellStyle name="Примечание 5 5 4" xfId="4270"/>
    <cellStyle name="Примечание 5 5 4 2" xfId="5583"/>
    <cellStyle name="Примечание 5 5 5" xfId="5584"/>
    <cellStyle name="Примечание 5 6" xfId="4271"/>
    <cellStyle name="Примечание 5 6 2" xfId="4272"/>
    <cellStyle name="Примечание 5 6 2 2" xfId="4273"/>
    <cellStyle name="Примечание 5 6 2 2 2" xfId="5585"/>
    <cellStyle name="Примечание 5 6 2 3" xfId="5586"/>
    <cellStyle name="Примечание 5 6 3" xfId="4274"/>
    <cellStyle name="Примечание 5 6 3 2" xfId="4275"/>
    <cellStyle name="Примечание 5 6 3 2 2" xfId="5587"/>
    <cellStyle name="Примечание 5 6 3 3" xfId="5588"/>
    <cellStyle name="Примечание 5 6 4" xfId="4276"/>
    <cellStyle name="Примечание 5 6 4 2" xfId="5589"/>
    <cellStyle name="Примечание 5 6 5" xfId="5590"/>
    <cellStyle name="Примечание 5 7" xfId="4277"/>
    <cellStyle name="Примечание 5 7 2" xfId="4278"/>
    <cellStyle name="Примечание 5 7 2 2" xfId="4279"/>
    <cellStyle name="Примечание 5 7 2 2 2" xfId="5591"/>
    <cellStyle name="Примечание 5 7 2 3" xfId="5592"/>
    <cellStyle name="Примечание 5 7 3" xfId="4280"/>
    <cellStyle name="Примечание 5 7 3 2" xfId="4281"/>
    <cellStyle name="Примечание 5 7 3 2 2" xfId="5593"/>
    <cellStyle name="Примечание 5 7 3 3" xfId="5594"/>
    <cellStyle name="Примечание 5 7 4" xfId="4282"/>
    <cellStyle name="Примечание 5 7 4 2" xfId="5595"/>
    <cellStyle name="Примечание 5 7 5" xfId="5596"/>
    <cellStyle name="Примечание 5 8" xfId="4283"/>
    <cellStyle name="Примечание 5 8 2" xfId="4284"/>
    <cellStyle name="Примечание 5 8 2 2" xfId="4285"/>
    <cellStyle name="Примечание 5 8 2 2 2" xfId="5597"/>
    <cellStyle name="Примечание 5 8 2 3" xfId="5598"/>
    <cellStyle name="Примечание 5 8 3" xfId="4286"/>
    <cellStyle name="Примечание 5 8 3 2" xfId="4287"/>
    <cellStyle name="Примечание 5 8 3 2 2" xfId="5599"/>
    <cellStyle name="Примечание 5 8 3 3" xfId="5600"/>
    <cellStyle name="Примечание 5 8 4" xfId="4288"/>
    <cellStyle name="Примечание 5 8 4 2" xfId="5601"/>
    <cellStyle name="Примечание 5 8 5" xfId="5602"/>
    <cellStyle name="Примечание 5 9" xfId="4289"/>
    <cellStyle name="Примечание 5 9 2" xfId="4290"/>
    <cellStyle name="Примечание 5 9 2 2" xfId="4291"/>
    <cellStyle name="Примечание 5 9 2 2 2" xfId="5603"/>
    <cellStyle name="Примечание 5 9 2 3" xfId="5604"/>
    <cellStyle name="Примечание 5 9 3" xfId="4292"/>
    <cellStyle name="Примечание 5 9 3 2" xfId="5605"/>
    <cellStyle name="Примечание 5 9 4" xfId="5606"/>
    <cellStyle name="Примечание 5_46EE.2011(v1.0)" xfId="4293"/>
    <cellStyle name="Примечание 6" xfId="4294"/>
    <cellStyle name="Примечание 6 2" xfId="4295"/>
    <cellStyle name="Примечание 6 2 2" xfId="4296"/>
    <cellStyle name="Примечание 6 2 2 2" xfId="4297"/>
    <cellStyle name="Примечание 6 2 2 2 2" xfId="5607"/>
    <cellStyle name="Примечание 6 2 2 3" xfId="5608"/>
    <cellStyle name="Примечание 6 2 3" xfId="4298"/>
    <cellStyle name="Примечание 6 2 3 2" xfId="4299"/>
    <cellStyle name="Примечание 6 2 3 2 2" xfId="5609"/>
    <cellStyle name="Примечание 6 2 3 3" xfId="5610"/>
    <cellStyle name="Примечание 6 2 4" xfId="4300"/>
    <cellStyle name="Примечание 6 2 4 2" xfId="5611"/>
    <cellStyle name="Примечание 6 2 5" xfId="5612"/>
    <cellStyle name="Примечание 6 3" xfId="4301"/>
    <cellStyle name="Примечание 6 3 2" xfId="4302"/>
    <cellStyle name="Примечание 6 3 2 2" xfId="5613"/>
    <cellStyle name="Примечание 6 3 3" xfId="5614"/>
    <cellStyle name="Примечание 6 4" xfId="4303"/>
    <cellStyle name="Примечание 6 4 2" xfId="4304"/>
    <cellStyle name="Примечание 6 4 2 2" xfId="5615"/>
    <cellStyle name="Примечание 6 4 3" xfId="5616"/>
    <cellStyle name="Примечание 6 5" xfId="4305"/>
    <cellStyle name="Примечание 6 5 2" xfId="5617"/>
    <cellStyle name="Примечание 6 6" xfId="5618"/>
    <cellStyle name="Примечание 6_46EE.2011(v1.0)" xfId="4306"/>
    <cellStyle name="Примечание 7" xfId="4307"/>
    <cellStyle name="Примечание 7 2" xfId="4308"/>
    <cellStyle name="Примечание 7 2 2" xfId="4309"/>
    <cellStyle name="Примечание 7 2 2 2" xfId="4310"/>
    <cellStyle name="Примечание 7 2 2 2 2" xfId="5619"/>
    <cellStyle name="Примечание 7 2 2 3" xfId="5620"/>
    <cellStyle name="Примечание 7 2 3" xfId="4311"/>
    <cellStyle name="Примечание 7 2 3 2" xfId="4312"/>
    <cellStyle name="Примечание 7 2 3 2 2" xfId="5621"/>
    <cellStyle name="Примечание 7 2 3 3" xfId="5622"/>
    <cellStyle name="Примечание 7 2 4" xfId="4313"/>
    <cellStyle name="Примечание 7 2 4 2" xfId="5623"/>
    <cellStyle name="Примечание 7 2 5" xfId="5624"/>
    <cellStyle name="Примечание 7 3" xfId="4314"/>
    <cellStyle name="Примечание 7 3 2" xfId="4315"/>
    <cellStyle name="Примечание 7 3 2 2" xfId="5625"/>
    <cellStyle name="Примечание 7 3 3" xfId="5626"/>
    <cellStyle name="Примечание 7 4" xfId="4316"/>
    <cellStyle name="Примечание 7 4 2" xfId="4317"/>
    <cellStyle name="Примечание 7 4 2 2" xfId="5627"/>
    <cellStyle name="Примечание 7 4 3" xfId="5628"/>
    <cellStyle name="Примечание 7 5" xfId="4318"/>
    <cellStyle name="Примечание 7 5 2" xfId="5629"/>
    <cellStyle name="Примечание 7 6" xfId="5630"/>
    <cellStyle name="Примечание 7_46EE.2011(v1.0)" xfId="4319"/>
    <cellStyle name="Примечание 8" xfId="4320"/>
    <cellStyle name="Примечание 8 2" xfId="4321"/>
    <cellStyle name="Примечание 8 2 2" xfId="4322"/>
    <cellStyle name="Примечание 8 2 2 2" xfId="4323"/>
    <cellStyle name="Примечание 8 2 2 2 2" xfId="5631"/>
    <cellStyle name="Примечание 8 2 2 3" xfId="5632"/>
    <cellStyle name="Примечание 8 2 3" xfId="4324"/>
    <cellStyle name="Примечание 8 2 3 2" xfId="4325"/>
    <cellStyle name="Примечание 8 2 3 2 2" xfId="5633"/>
    <cellStyle name="Примечание 8 2 3 3" xfId="5634"/>
    <cellStyle name="Примечание 8 2 4" xfId="4326"/>
    <cellStyle name="Примечание 8 2 4 2" xfId="5635"/>
    <cellStyle name="Примечание 8 2 5" xfId="5636"/>
    <cellStyle name="Примечание 8 3" xfId="4327"/>
    <cellStyle name="Примечание 8 3 2" xfId="4328"/>
    <cellStyle name="Примечание 8 3 2 2" xfId="5637"/>
    <cellStyle name="Примечание 8 3 3" xfId="5638"/>
    <cellStyle name="Примечание 8 4" xfId="4329"/>
    <cellStyle name="Примечание 8 4 2" xfId="4330"/>
    <cellStyle name="Примечание 8 4 2 2" xfId="5639"/>
    <cellStyle name="Примечание 8 4 3" xfId="5640"/>
    <cellStyle name="Примечание 8 5" xfId="4331"/>
    <cellStyle name="Примечание 8 5 2" xfId="5641"/>
    <cellStyle name="Примечание 8 6" xfId="5642"/>
    <cellStyle name="Примечание 8_46EE.2011(v1.0)" xfId="4332"/>
    <cellStyle name="Примечание 9" xfId="4333"/>
    <cellStyle name="Примечание 9 2" xfId="4334"/>
    <cellStyle name="Примечание 9 2 2" xfId="4335"/>
    <cellStyle name="Примечание 9 2 2 2" xfId="4336"/>
    <cellStyle name="Примечание 9 2 2 2 2" xfId="5643"/>
    <cellStyle name="Примечание 9 2 2 3" xfId="5644"/>
    <cellStyle name="Примечание 9 2 3" xfId="4337"/>
    <cellStyle name="Примечание 9 2 3 2" xfId="4338"/>
    <cellStyle name="Примечание 9 2 3 2 2" xfId="5645"/>
    <cellStyle name="Примечание 9 2 3 3" xfId="5646"/>
    <cellStyle name="Примечание 9 2 4" xfId="4339"/>
    <cellStyle name="Примечание 9 2 4 2" xfId="5647"/>
    <cellStyle name="Примечание 9 2 5" xfId="5648"/>
    <cellStyle name="Примечание 9 3" xfId="4340"/>
    <cellStyle name="Примечание 9 3 2" xfId="4341"/>
    <cellStyle name="Примечание 9 3 2 2" xfId="5649"/>
    <cellStyle name="Примечание 9 3 3" xfId="5650"/>
    <cellStyle name="Примечание 9 4" xfId="4342"/>
    <cellStyle name="Примечание 9 4 2" xfId="4343"/>
    <cellStyle name="Примечание 9 4 2 2" xfId="5651"/>
    <cellStyle name="Примечание 9 4 3" xfId="5652"/>
    <cellStyle name="Примечание 9 5" xfId="4344"/>
    <cellStyle name="Примечание 9 5 2" xfId="5653"/>
    <cellStyle name="Примечание 9 6" xfId="5654"/>
    <cellStyle name="Примечание 9_46EE.2011(v1.0)" xfId="4345"/>
    <cellStyle name="Продукт" xfId="4346"/>
    <cellStyle name="Процентный 10" xfId="4347"/>
    <cellStyle name="Процентный 11" xfId="4348"/>
    <cellStyle name="Процентный 11 2" xfId="4349"/>
    <cellStyle name="Процентный 11 2 2" xfId="12862"/>
    <cellStyle name="Процентный 11 2 3" xfId="12863"/>
    <cellStyle name="Процентный 11 2 4" xfId="12864"/>
    <cellStyle name="Процентный 11 2 5" xfId="12865"/>
    <cellStyle name="Процентный 11 3" xfId="12866"/>
    <cellStyle name="Процентный 11 4" xfId="12867"/>
    <cellStyle name="Процентный 11 5" xfId="12868"/>
    <cellStyle name="Процентный 11 6" xfId="12869"/>
    <cellStyle name="Процентный 11 7" xfId="12870"/>
    <cellStyle name="Процентный 12" xfId="5655"/>
    <cellStyle name="Процентный 2" xfId="10"/>
    <cellStyle name="Процентный 2 2" xfId="4350"/>
    <cellStyle name="Процентный 2 2 2" xfId="4351"/>
    <cellStyle name="Процентный 2 2 3" xfId="4352"/>
    <cellStyle name="Процентный 2 2 3 2" xfId="4353"/>
    <cellStyle name="Процентный 2 2 4" xfId="4354"/>
    <cellStyle name="Процентный 2 2 5" xfId="5656"/>
    <cellStyle name="Процентный 2 3" xfId="4355"/>
    <cellStyle name="Процентный 2 3 2" xfId="4356"/>
    <cellStyle name="Процентный 2 3 2 2" xfId="4357"/>
    <cellStyle name="Процентный 2 3 3" xfId="5657"/>
    <cellStyle name="Процентный 2 4" xfId="4358"/>
    <cellStyle name="Процентный 2 4 2" xfId="4359"/>
    <cellStyle name="Процентный 2 5" xfId="4360"/>
    <cellStyle name="Процентный 2 5 2" xfId="4361"/>
    <cellStyle name="Процентный 2 6" xfId="4362"/>
    <cellStyle name="Процентный 3" xfId="4363"/>
    <cellStyle name="Процентный 3 2" xfId="4364"/>
    <cellStyle name="Процентный 3 3" xfId="4365"/>
    <cellStyle name="Процентный 3 4" xfId="4366"/>
    <cellStyle name="Процентный 3 4 2" xfId="4367"/>
    <cellStyle name="Процентный 3 5" xfId="4368"/>
    <cellStyle name="Процентный 3 6" xfId="5658"/>
    <cellStyle name="Процентный 4" xfId="8"/>
    <cellStyle name="Процентный 4 2" xfId="4369"/>
    <cellStyle name="Процентный 4 3" xfId="4370"/>
    <cellStyle name="Процентный 4 4" xfId="4371"/>
    <cellStyle name="Процентный 4 5" xfId="5659"/>
    <cellStyle name="Процентный 5" xfId="4372"/>
    <cellStyle name="Процентный 5 2" xfId="4373"/>
    <cellStyle name="Процентный 5 2 2" xfId="4374"/>
    <cellStyle name="Процентный 5 2 2 2" xfId="4375"/>
    <cellStyle name="Процентный 5 2 3" xfId="4376"/>
    <cellStyle name="Процентный 6" xfId="4377"/>
    <cellStyle name="Процентный 6 10" xfId="12871"/>
    <cellStyle name="Процентный 6 2" xfId="4378"/>
    <cellStyle name="Процентный 6 2 2" xfId="4379"/>
    <cellStyle name="Процентный 6 2 2 2" xfId="12872"/>
    <cellStyle name="Процентный 6 2 2 3" xfId="12873"/>
    <cellStyle name="Процентный 6 2 2 4" xfId="12874"/>
    <cellStyle name="Процентный 6 2 2 5" xfId="12875"/>
    <cellStyle name="Процентный 6 2 2 6" xfId="12876"/>
    <cellStyle name="Процентный 6 2 3" xfId="4380"/>
    <cellStyle name="Процентный 6 2 3 2" xfId="12877"/>
    <cellStyle name="Процентный 6 2 3 3" xfId="12878"/>
    <cellStyle name="Процентный 6 2 3 4" xfId="12879"/>
    <cellStyle name="Процентный 6 2 3 5" xfId="12880"/>
    <cellStyle name="Процентный 6 2 3 6" xfId="12881"/>
    <cellStyle name="Процентный 6 2 4" xfId="4381"/>
    <cellStyle name="Процентный 6 2 4 2" xfId="12882"/>
    <cellStyle name="Процентный 6 2 4 3" xfId="12883"/>
    <cellStyle name="Процентный 6 2 4 4" xfId="12884"/>
    <cellStyle name="Процентный 6 2 4 5" xfId="12885"/>
    <cellStyle name="Процентный 6 2 4 6" xfId="12886"/>
    <cellStyle name="Процентный 6 2 5" xfId="12887"/>
    <cellStyle name="Процентный 6 2 6" xfId="12888"/>
    <cellStyle name="Процентный 6 2 7" xfId="12889"/>
    <cellStyle name="Процентный 6 2 8" xfId="12890"/>
    <cellStyle name="Процентный 6 2 9" xfId="12891"/>
    <cellStyle name="Процентный 6 3" xfId="4382"/>
    <cellStyle name="Процентный 6 3 2" xfId="12892"/>
    <cellStyle name="Процентный 6 3 3" xfId="12893"/>
    <cellStyle name="Процентный 6 3 4" xfId="12894"/>
    <cellStyle name="Процентный 6 3 5" xfId="12895"/>
    <cellStyle name="Процентный 6 3 6" xfId="12896"/>
    <cellStyle name="Процентный 6 4" xfId="4383"/>
    <cellStyle name="Процентный 6 4 2" xfId="12897"/>
    <cellStyle name="Процентный 6 4 3" xfId="12898"/>
    <cellStyle name="Процентный 6 4 4" xfId="12899"/>
    <cellStyle name="Процентный 6 4 5" xfId="12900"/>
    <cellStyle name="Процентный 6 4 6" xfId="12901"/>
    <cellStyle name="Процентный 6 5" xfId="4384"/>
    <cellStyle name="Процентный 6 5 2" xfId="12902"/>
    <cellStyle name="Процентный 6 5 3" xfId="12903"/>
    <cellStyle name="Процентный 6 5 4" xfId="12904"/>
    <cellStyle name="Процентный 6 5 5" xfId="12905"/>
    <cellStyle name="Процентный 6 5 6" xfId="12906"/>
    <cellStyle name="Процентный 6 6" xfId="12907"/>
    <cellStyle name="Процентный 6 7" xfId="12908"/>
    <cellStyle name="Процентный 6 8" xfId="12909"/>
    <cellStyle name="Процентный 6 9" xfId="12910"/>
    <cellStyle name="Процентный 7" xfId="4385"/>
    <cellStyle name="Процентный 7 2" xfId="12911"/>
    <cellStyle name="Процентный 7 3" xfId="12912"/>
    <cellStyle name="Процентный 7 4" xfId="12913"/>
    <cellStyle name="Процентный 7 5" xfId="12914"/>
    <cellStyle name="Процентный 7 6" xfId="12915"/>
    <cellStyle name="Процентный 8" xfId="4386"/>
    <cellStyle name="Процентный 9" xfId="4387"/>
    <cellStyle name="Разница" xfId="4388"/>
    <cellStyle name="Рамки" xfId="4389"/>
    <cellStyle name="Сводная таблица" xfId="4390"/>
    <cellStyle name="Связанная ячейка 10" xfId="4391"/>
    <cellStyle name="Связанная ячейка 2" xfId="4392"/>
    <cellStyle name="Связанная ячейка 2 2" xfId="4393"/>
    <cellStyle name="Связанная ячейка 2_46EE.2011(v1.0)" xfId="4394"/>
    <cellStyle name="Связанная ячейка 3" xfId="4395"/>
    <cellStyle name="Связанная ячейка 3 2" xfId="4396"/>
    <cellStyle name="Связанная ячейка 3 3" xfId="4397"/>
    <cellStyle name="Связанная ячейка 3 3 2" xfId="4398"/>
    <cellStyle name="Связанная ячейка 3 4" xfId="5660"/>
    <cellStyle name="Связанная ячейка 3_46EE.2011(v1.0)" xfId="4399"/>
    <cellStyle name="Связанная ячейка 4" xfId="4400"/>
    <cellStyle name="Связанная ячейка 4 2" xfId="4401"/>
    <cellStyle name="Связанная ячейка 4_46EE.2011(v1.0)" xfId="4402"/>
    <cellStyle name="Связанная ячейка 5" xfId="4403"/>
    <cellStyle name="Связанная ячейка 5 2" xfId="4404"/>
    <cellStyle name="Связанная ячейка 5_46EE.2011(v1.0)" xfId="4405"/>
    <cellStyle name="Связанная ячейка 6" xfId="4406"/>
    <cellStyle name="Связанная ячейка 6 2" xfId="4407"/>
    <cellStyle name="Связанная ячейка 6_46EE.2011(v1.0)" xfId="4408"/>
    <cellStyle name="Связанная ячейка 7" xfId="4409"/>
    <cellStyle name="Связанная ячейка 7 2" xfId="4410"/>
    <cellStyle name="Связанная ячейка 7_46EE.2011(v1.0)" xfId="4411"/>
    <cellStyle name="Связанная ячейка 8" xfId="4412"/>
    <cellStyle name="Связанная ячейка 8 2" xfId="4413"/>
    <cellStyle name="Связанная ячейка 8_46EE.2011(v1.0)" xfId="4414"/>
    <cellStyle name="Связанная ячейка 9" xfId="4415"/>
    <cellStyle name="Связанная ячейка 9 2" xfId="4416"/>
    <cellStyle name="Связанная ячейка 9_46EE.2011(v1.0)" xfId="4417"/>
    <cellStyle name="Стиль 1" xfId="4418"/>
    <cellStyle name="Стиль 1 10" xfId="4419"/>
    <cellStyle name="Стиль 1 2" xfId="4420"/>
    <cellStyle name="Стиль 1 2 2" xfId="4421"/>
    <cellStyle name="Стиль 1 2_46EP.2011(v2.0)" xfId="4422"/>
    <cellStyle name="Стиль 1 3" xfId="4423"/>
    <cellStyle name="Стиль 1 3 2" xfId="4424"/>
    <cellStyle name="Стиль 1 4" xfId="4425"/>
    <cellStyle name="Стиль 1 5" xfId="4426"/>
    <cellStyle name="Стиль 1 6" xfId="4427"/>
    <cellStyle name="Стиль 1 7" xfId="4428"/>
    <cellStyle name="Стиль 1 8" xfId="4429"/>
    <cellStyle name="Стиль 1 9" xfId="4430"/>
    <cellStyle name="Стиль 1_Копия RAB_ВЭ 25 01 10 послед (3)" xfId="4431"/>
    <cellStyle name="Стиль 2" xfId="4432"/>
    <cellStyle name="Субсчет" xfId="4433"/>
    <cellStyle name="Счет" xfId="4434"/>
    <cellStyle name="ТЕКСТ" xfId="4435"/>
    <cellStyle name="ТЕКСТ 2" xfId="4436"/>
    <cellStyle name="ТЕКСТ 3" xfId="4437"/>
    <cellStyle name="ТЕКСТ 4" xfId="4438"/>
    <cellStyle name="ТЕКСТ 5" xfId="4439"/>
    <cellStyle name="ТЕКСТ 6" xfId="4440"/>
    <cellStyle name="ТЕКСТ 7" xfId="4441"/>
    <cellStyle name="ТЕКСТ 8" xfId="4442"/>
    <cellStyle name="ТЕКСТ 9" xfId="4443"/>
    <cellStyle name="Текст предупреждения 10" xfId="4444"/>
    <cellStyle name="Текст предупреждения 2" xfId="4445"/>
    <cellStyle name="Текст предупреждения 2 2" xfId="4446"/>
    <cellStyle name="Текст предупреждения 3" xfId="4447"/>
    <cellStyle name="Текст предупреждения 3 2" xfId="4448"/>
    <cellStyle name="Текст предупреждения 3 3" xfId="4449"/>
    <cellStyle name="Текст предупреждения 3 3 2" xfId="4450"/>
    <cellStyle name="Текст предупреждения 3 4" xfId="5661"/>
    <cellStyle name="Текст предупреждения 4" xfId="4451"/>
    <cellStyle name="Текст предупреждения 4 2" xfId="4452"/>
    <cellStyle name="Текст предупреждения 5" xfId="4453"/>
    <cellStyle name="Текст предупреждения 5 2" xfId="4454"/>
    <cellStyle name="Текст предупреждения 6" xfId="4455"/>
    <cellStyle name="Текст предупреждения 6 2" xfId="4456"/>
    <cellStyle name="Текст предупреждения 7" xfId="4457"/>
    <cellStyle name="Текст предупреждения 7 2" xfId="4458"/>
    <cellStyle name="Текст предупреждения 8" xfId="4459"/>
    <cellStyle name="Текст предупреждения 8 2" xfId="4460"/>
    <cellStyle name="Текст предупреждения 9" xfId="4461"/>
    <cellStyle name="Текст предупреждения 9 2" xfId="4462"/>
    <cellStyle name="Текстовый" xfId="4463"/>
    <cellStyle name="Текстовый 10" xfId="4464"/>
    <cellStyle name="Текстовый 11" xfId="4465"/>
    <cellStyle name="Текстовый 12" xfId="4466"/>
    <cellStyle name="Текстовый 13" xfId="4467"/>
    <cellStyle name="Текстовый 14" xfId="4468"/>
    <cellStyle name="Текстовый 2" xfId="4469"/>
    <cellStyle name="Текстовый 3" xfId="4470"/>
    <cellStyle name="Текстовый 4" xfId="4471"/>
    <cellStyle name="Текстовый 5" xfId="4472"/>
    <cellStyle name="Текстовый 6" xfId="4473"/>
    <cellStyle name="Текстовый 7" xfId="4474"/>
    <cellStyle name="Текстовый 8" xfId="4475"/>
    <cellStyle name="Текстовый 9" xfId="4476"/>
    <cellStyle name="Текстовый_1" xfId="4477"/>
    <cellStyle name="Тысячи [0]_22гк" xfId="4478"/>
    <cellStyle name="Тысячи_22гк" xfId="4479"/>
    <cellStyle name="ФИКСИРОВАННЫЙ" xfId="4480"/>
    <cellStyle name="ФИКСИРОВАННЫЙ 2" xfId="4481"/>
    <cellStyle name="ФИКСИРОВАННЫЙ 3" xfId="4482"/>
    <cellStyle name="ФИКСИРОВАННЫЙ 4" xfId="4483"/>
    <cellStyle name="ФИКСИРОВАННЫЙ 5" xfId="4484"/>
    <cellStyle name="ФИКСИРОВАННЫЙ 6" xfId="4485"/>
    <cellStyle name="ФИКСИРОВАННЫЙ 7" xfId="4486"/>
    <cellStyle name="ФИКСИРОВАННЫЙ 8" xfId="4487"/>
    <cellStyle name="ФИКСИРОВАННЫЙ 9" xfId="4488"/>
    <cellStyle name="ФИКСИРОВАННЫЙ_1" xfId="4489"/>
    <cellStyle name="Финансовый 10" xfId="4490"/>
    <cellStyle name="Финансовый 11" xfId="4491"/>
    <cellStyle name="Финансовый 11 2" xfId="4492"/>
    <cellStyle name="Финансовый 11 2 2" xfId="4493"/>
    <cellStyle name="Финансовый 11 2 2 2" xfId="12916"/>
    <cellStyle name="Финансовый 11 2 2 3" xfId="12917"/>
    <cellStyle name="Финансовый 11 2 2 4" xfId="12918"/>
    <cellStyle name="Финансовый 11 2 2 5" xfId="12919"/>
    <cellStyle name="Финансовый 11 2 2 6" xfId="12920"/>
    <cellStyle name="Финансовый 11 2 3" xfId="4494"/>
    <cellStyle name="Финансовый 11 2 3 2" xfId="12921"/>
    <cellStyle name="Финансовый 11 2 3 3" xfId="12922"/>
    <cellStyle name="Финансовый 11 2 3 4" xfId="12923"/>
    <cellStyle name="Финансовый 11 2 3 5" xfId="12924"/>
    <cellStyle name="Финансовый 11 2 3 6" xfId="12925"/>
    <cellStyle name="Финансовый 11 2 4" xfId="4495"/>
    <cellStyle name="Финансовый 11 2 4 2" xfId="12926"/>
    <cellStyle name="Финансовый 11 2 4 3" xfId="12927"/>
    <cellStyle name="Финансовый 11 2 4 4" xfId="12928"/>
    <cellStyle name="Финансовый 11 2 4 5" xfId="12929"/>
    <cellStyle name="Финансовый 11 2 4 6" xfId="12930"/>
    <cellStyle name="Финансовый 11 2 5" xfId="12931"/>
    <cellStyle name="Финансовый 11 2 6" xfId="12932"/>
    <cellStyle name="Финансовый 11 2 7" xfId="12933"/>
    <cellStyle name="Финансовый 11 2 8" xfId="12934"/>
    <cellStyle name="Финансовый 11 2 9" xfId="12935"/>
    <cellStyle name="Финансовый 12" xfId="4496"/>
    <cellStyle name="Финансовый 13" xfId="4497"/>
    <cellStyle name="Финансовый 14" xfId="4498"/>
    <cellStyle name="Финансовый 15" xfId="4663"/>
    <cellStyle name="Финансовый 2" xfId="4499"/>
    <cellStyle name="Финансовый 2 2" xfId="4500"/>
    <cellStyle name="Финансовый 2 2 2" xfId="4501"/>
    <cellStyle name="Финансовый 2 2 3" xfId="4502"/>
    <cellStyle name="Финансовый 2 2 3 10" xfId="12936"/>
    <cellStyle name="Финансовый 2 2 3 2" xfId="4503"/>
    <cellStyle name="Финансовый 2 2 3 3" xfId="4504"/>
    <cellStyle name="Финансовый 2 2 3 3 2" xfId="12937"/>
    <cellStyle name="Финансовый 2 2 3 3 3" xfId="12938"/>
    <cellStyle name="Финансовый 2 2 3 3 4" xfId="12939"/>
    <cellStyle name="Финансовый 2 2 3 3 5" xfId="12940"/>
    <cellStyle name="Финансовый 2 2 3 3 6" xfId="12941"/>
    <cellStyle name="Финансовый 2 2 3 4" xfId="4505"/>
    <cellStyle name="Финансовый 2 2 3 4 2" xfId="12942"/>
    <cellStyle name="Финансовый 2 2 3 4 3" xfId="12943"/>
    <cellStyle name="Финансовый 2 2 3 4 4" xfId="12944"/>
    <cellStyle name="Финансовый 2 2 3 4 5" xfId="12945"/>
    <cellStyle name="Финансовый 2 2 3 4 6" xfId="12946"/>
    <cellStyle name="Финансовый 2 2 3 5" xfId="4506"/>
    <cellStyle name="Финансовый 2 2 3 5 2" xfId="12947"/>
    <cellStyle name="Финансовый 2 2 3 5 3" xfId="12948"/>
    <cellStyle name="Финансовый 2 2 3 5 4" xfId="12949"/>
    <cellStyle name="Финансовый 2 2 3 5 5" xfId="12950"/>
    <cellStyle name="Финансовый 2 2 3 5 6" xfId="12951"/>
    <cellStyle name="Финансовый 2 2 3 6" xfId="12952"/>
    <cellStyle name="Финансовый 2 2 3 7" xfId="12953"/>
    <cellStyle name="Финансовый 2 2 3 8" xfId="12954"/>
    <cellStyle name="Финансовый 2 2 3 9" xfId="12955"/>
    <cellStyle name="Финансовый 2 2 4" xfId="4507"/>
    <cellStyle name="Финансовый 2 2 5" xfId="4508"/>
    <cellStyle name="Финансовый 2 2 6" xfId="4509"/>
    <cellStyle name="Финансовый 2 2 7" xfId="4510"/>
    <cellStyle name="Финансовый 2 2 7 10" xfId="12956"/>
    <cellStyle name="Финансовый 2 2 7 2" xfId="4511"/>
    <cellStyle name="Финансовый 2 2 7 2 2" xfId="4512"/>
    <cellStyle name="Финансовый 2 2 7 2 2 2" xfId="12957"/>
    <cellStyle name="Финансовый 2 2 7 2 2 3" xfId="12958"/>
    <cellStyle name="Финансовый 2 2 7 2 2 4" xfId="12959"/>
    <cellStyle name="Финансовый 2 2 7 2 2 5" xfId="12960"/>
    <cellStyle name="Финансовый 2 2 7 2 2 6" xfId="12961"/>
    <cellStyle name="Финансовый 2 2 7 2 3" xfId="4513"/>
    <cellStyle name="Финансовый 2 2 7 2 3 2" xfId="12962"/>
    <cellStyle name="Финансовый 2 2 7 2 3 3" xfId="12963"/>
    <cellStyle name="Финансовый 2 2 7 2 3 4" xfId="12964"/>
    <cellStyle name="Финансовый 2 2 7 2 3 5" xfId="12965"/>
    <cellStyle name="Финансовый 2 2 7 2 3 6" xfId="12966"/>
    <cellStyle name="Финансовый 2 2 7 2 4" xfId="4514"/>
    <cellStyle name="Финансовый 2 2 7 2 4 2" xfId="12967"/>
    <cellStyle name="Финансовый 2 2 7 2 4 3" xfId="12968"/>
    <cellStyle name="Финансовый 2 2 7 2 4 4" xfId="12969"/>
    <cellStyle name="Финансовый 2 2 7 2 4 5" xfId="12970"/>
    <cellStyle name="Финансовый 2 2 7 2 4 6" xfId="12971"/>
    <cellStyle name="Финансовый 2 2 7 2 5" xfId="12972"/>
    <cellStyle name="Финансовый 2 2 7 2 6" xfId="12973"/>
    <cellStyle name="Финансовый 2 2 7 2 7" xfId="12974"/>
    <cellStyle name="Финансовый 2 2 7 2 8" xfId="12975"/>
    <cellStyle name="Финансовый 2 2 7 2 9" xfId="12976"/>
    <cellStyle name="Финансовый 2 2 7 3" xfId="4515"/>
    <cellStyle name="Финансовый 2 2 7 3 2" xfId="12977"/>
    <cellStyle name="Финансовый 2 2 7 3 3" xfId="12978"/>
    <cellStyle name="Финансовый 2 2 7 3 4" xfId="12979"/>
    <cellStyle name="Финансовый 2 2 7 3 5" xfId="12980"/>
    <cellStyle name="Финансовый 2 2 7 3 6" xfId="12981"/>
    <cellStyle name="Финансовый 2 2 7 4" xfId="4516"/>
    <cellStyle name="Финансовый 2 2 7 4 2" xfId="12982"/>
    <cellStyle name="Финансовый 2 2 7 4 3" xfId="12983"/>
    <cellStyle name="Финансовый 2 2 7 4 4" xfId="12984"/>
    <cellStyle name="Финансовый 2 2 7 4 5" xfId="12985"/>
    <cellStyle name="Финансовый 2 2 7 4 6" xfId="12986"/>
    <cellStyle name="Финансовый 2 2 7 5" xfId="4517"/>
    <cellStyle name="Финансовый 2 2 7 5 2" xfId="12987"/>
    <cellStyle name="Финансовый 2 2 7 5 3" xfId="12988"/>
    <cellStyle name="Финансовый 2 2 7 5 4" xfId="12989"/>
    <cellStyle name="Финансовый 2 2 7 5 5" xfId="12990"/>
    <cellStyle name="Финансовый 2 2 7 5 6" xfId="12991"/>
    <cellStyle name="Финансовый 2 2 7 6" xfId="5662"/>
    <cellStyle name="Финансовый 2 2 7 7" xfId="12992"/>
    <cellStyle name="Финансовый 2 2 7 8" xfId="12993"/>
    <cellStyle name="Финансовый 2 2 7 9" xfId="12994"/>
    <cellStyle name="Финансовый 2 2 8" xfId="5663"/>
    <cellStyle name="Финансовый 2 2_INDEX.STATION.2012(v1.0)_" xfId="4518"/>
    <cellStyle name="Финансовый 2 3" xfId="4519"/>
    <cellStyle name="Финансовый 2 3 10" xfId="12995"/>
    <cellStyle name="Финансовый 2 3 11" xfId="12996"/>
    <cellStyle name="Финансовый 2 3 12" xfId="12997"/>
    <cellStyle name="Финансовый 2 3 2" xfId="4520"/>
    <cellStyle name="Финансовый 2 3 2 10" xfId="12998"/>
    <cellStyle name="Финансовый 2 3 2 2" xfId="4521"/>
    <cellStyle name="Финансовый 2 3 2 2 2" xfId="4522"/>
    <cellStyle name="Финансовый 2 3 2 2 2 2" xfId="12999"/>
    <cellStyle name="Финансовый 2 3 2 2 2 3" xfId="13000"/>
    <cellStyle name="Финансовый 2 3 2 2 2 4" xfId="13001"/>
    <cellStyle name="Финансовый 2 3 2 2 2 5" xfId="13002"/>
    <cellStyle name="Финансовый 2 3 2 2 2 6" xfId="13003"/>
    <cellStyle name="Финансовый 2 3 2 2 3" xfId="4523"/>
    <cellStyle name="Финансовый 2 3 2 2 3 2" xfId="13004"/>
    <cellStyle name="Финансовый 2 3 2 2 3 3" xfId="13005"/>
    <cellStyle name="Финансовый 2 3 2 2 3 4" xfId="13006"/>
    <cellStyle name="Финансовый 2 3 2 2 3 5" xfId="13007"/>
    <cellStyle name="Финансовый 2 3 2 2 3 6" xfId="13008"/>
    <cellStyle name="Финансовый 2 3 2 2 4" xfId="4524"/>
    <cellStyle name="Финансовый 2 3 2 2 4 2" xfId="13009"/>
    <cellStyle name="Финансовый 2 3 2 2 4 3" xfId="13010"/>
    <cellStyle name="Финансовый 2 3 2 2 4 4" xfId="13011"/>
    <cellStyle name="Финансовый 2 3 2 2 4 5" xfId="13012"/>
    <cellStyle name="Финансовый 2 3 2 2 4 6" xfId="13013"/>
    <cellStyle name="Финансовый 2 3 2 2 5" xfId="13014"/>
    <cellStyle name="Финансовый 2 3 2 2 6" xfId="13015"/>
    <cellStyle name="Финансовый 2 3 2 2 7" xfId="13016"/>
    <cellStyle name="Финансовый 2 3 2 2 8" xfId="13017"/>
    <cellStyle name="Финансовый 2 3 2 2 9" xfId="13018"/>
    <cellStyle name="Финансовый 2 3 2 3" xfId="4525"/>
    <cellStyle name="Финансовый 2 3 2 3 2" xfId="13019"/>
    <cellStyle name="Финансовый 2 3 2 3 3" xfId="13020"/>
    <cellStyle name="Финансовый 2 3 2 3 4" xfId="13021"/>
    <cellStyle name="Финансовый 2 3 2 3 5" xfId="13022"/>
    <cellStyle name="Финансовый 2 3 2 3 6" xfId="13023"/>
    <cellStyle name="Финансовый 2 3 2 4" xfId="4526"/>
    <cellStyle name="Финансовый 2 3 2 4 2" xfId="13024"/>
    <cellStyle name="Финансовый 2 3 2 4 3" xfId="13025"/>
    <cellStyle name="Финансовый 2 3 2 4 4" xfId="13026"/>
    <cellStyle name="Финансовый 2 3 2 4 5" xfId="13027"/>
    <cellStyle name="Финансовый 2 3 2 4 6" xfId="13028"/>
    <cellStyle name="Финансовый 2 3 2 5" xfId="4527"/>
    <cellStyle name="Финансовый 2 3 2 5 2" xfId="13029"/>
    <cellStyle name="Финансовый 2 3 2 5 3" xfId="13030"/>
    <cellStyle name="Финансовый 2 3 2 5 4" xfId="13031"/>
    <cellStyle name="Финансовый 2 3 2 5 5" xfId="13032"/>
    <cellStyle name="Финансовый 2 3 2 5 6" xfId="13033"/>
    <cellStyle name="Финансовый 2 3 2 6" xfId="13034"/>
    <cellStyle name="Финансовый 2 3 2 7" xfId="13035"/>
    <cellStyle name="Финансовый 2 3 2 8" xfId="13036"/>
    <cellStyle name="Финансовый 2 3 2 9" xfId="13037"/>
    <cellStyle name="Финансовый 2 3 3" xfId="4528"/>
    <cellStyle name="Финансовый 2 3 4" xfId="4529"/>
    <cellStyle name="Финансовый 2 3 4 2" xfId="4530"/>
    <cellStyle name="Финансовый 2 3 4 2 2" xfId="13038"/>
    <cellStyle name="Финансовый 2 3 4 2 3" xfId="13039"/>
    <cellStyle name="Финансовый 2 3 4 2 4" xfId="13040"/>
    <cellStyle name="Финансовый 2 3 4 2 5" xfId="13041"/>
    <cellStyle name="Финансовый 2 3 4 2 6" xfId="13042"/>
    <cellStyle name="Финансовый 2 3 4 3" xfId="4531"/>
    <cellStyle name="Финансовый 2 3 4 3 2" xfId="13043"/>
    <cellStyle name="Финансовый 2 3 4 3 3" xfId="13044"/>
    <cellStyle name="Финансовый 2 3 4 3 4" xfId="13045"/>
    <cellStyle name="Финансовый 2 3 4 3 5" xfId="13046"/>
    <cellStyle name="Финансовый 2 3 4 3 6" xfId="13047"/>
    <cellStyle name="Финансовый 2 3 4 4" xfId="4532"/>
    <cellStyle name="Финансовый 2 3 4 4 2" xfId="13048"/>
    <cellStyle name="Финансовый 2 3 4 4 3" xfId="13049"/>
    <cellStyle name="Финансовый 2 3 4 4 4" xfId="13050"/>
    <cellStyle name="Финансовый 2 3 4 4 5" xfId="13051"/>
    <cellStyle name="Финансовый 2 3 4 4 6" xfId="13052"/>
    <cellStyle name="Финансовый 2 3 4 5" xfId="13053"/>
    <cellStyle name="Финансовый 2 3 4 6" xfId="13054"/>
    <cellStyle name="Финансовый 2 3 4 7" xfId="13055"/>
    <cellStyle name="Финансовый 2 3 4 8" xfId="13056"/>
    <cellStyle name="Финансовый 2 3 4 9" xfId="13057"/>
    <cellStyle name="Финансовый 2 3 5" xfId="4533"/>
    <cellStyle name="Финансовый 2 3 5 2" xfId="13058"/>
    <cellStyle name="Финансовый 2 3 5 3" xfId="13059"/>
    <cellStyle name="Финансовый 2 3 5 4" xfId="13060"/>
    <cellStyle name="Финансовый 2 3 5 5" xfId="13061"/>
    <cellStyle name="Финансовый 2 3 5 6" xfId="13062"/>
    <cellStyle name="Финансовый 2 3 6" xfId="4534"/>
    <cellStyle name="Финансовый 2 3 6 2" xfId="13063"/>
    <cellStyle name="Финансовый 2 3 6 3" xfId="13064"/>
    <cellStyle name="Финансовый 2 3 6 4" xfId="13065"/>
    <cellStyle name="Финансовый 2 3 6 5" xfId="13066"/>
    <cellStyle name="Финансовый 2 3 6 6" xfId="13067"/>
    <cellStyle name="Финансовый 2 3 7" xfId="4535"/>
    <cellStyle name="Финансовый 2 3 7 2" xfId="13068"/>
    <cellStyle name="Финансовый 2 3 7 3" xfId="13069"/>
    <cellStyle name="Финансовый 2 3 7 4" xfId="13070"/>
    <cellStyle name="Финансовый 2 3 7 5" xfId="13071"/>
    <cellStyle name="Финансовый 2 3 7 6" xfId="13072"/>
    <cellStyle name="Финансовый 2 3 8" xfId="5664"/>
    <cellStyle name="Финансовый 2 3 9" xfId="13073"/>
    <cellStyle name="Финансовый 2 4" xfId="4536"/>
    <cellStyle name="Финансовый 2 4 2" xfId="4537"/>
    <cellStyle name="Финансовый 2 4 2 2" xfId="4538"/>
    <cellStyle name="Финансовый 2 4 2 3" xfId="4539"/>
    <cellStyle name="Финансовый 2 4 3" xfId="4540"/>
    <cellStyle name="Финансовый 2 4 3 2" xfId="4541"/>
    <cellStyle name="Финансовый 2 4 4" xfId="4542"/>
    <cellStyle name="Финансовый 2 5" xfId="4543"/>
    <cellStyle name="Финансовый 2 5 10" xfId="13074"/>
    <cellStyle name="Финансовый 2 5 2" xfId="4544"/>
    <cellStyle name="Финансовый 2 5 3" xfId="4545"/>
    <cellStyle name="Финансовый 2 5 3 2" xfId="13075"/>
    <cellStyle name="Финансовый 2 5 3 3" xfId="13076"/>
    <cellStyle name="Финансовый 2 5 3 4" xfId="13077"/>
    <cellStyle name="Финансовый 2 5 3 5" xfId="13078"/>
    <cellStyle name="Финансовый 2 5 3 6" xfId="13079"/>
    <cellStyle name="Финансовый 2 5 4" xfId="4546"/>
    <cellStyle name="Финансовый 2 5 4 2" xfId="13080"/>
    <cellStyle name="Финансовый 2 5 4 3" xfId="13081"/>
    <cellStyle name="Финансовый 2 5 4 4" xfId="13082"/>
    <cellStyle name="Финансовый 2 5 4 5" xfId="13083"/>
    <cellStyle name="Финансовый 2 5 4 6" xfId="13084"/>
    <cellStyle name="Финансовый 2 5 5" xfId="4547"/>
    <cellStyle name="Финансовый 2 5 5 2" xfId="13085"/>
    <cellStyle name="Финансовый 2 5 5 3" xfId="13086"/>
    <cellStyle name="Финансовый 2 5 5 4" xfId="13087"/>
    <cellStyle name="Финансовый 2 5 5 5" xfId="13088"/>
    <cellStyle name="Финансовый 2 5 5 6" xfId="13089"/>
    <cellStyle name="Финансовый 2 5 6" xfId="13090"/>
    <cellStyle name="Финансовый 2 5 7" xfId="13091"/>
    <cellStyle name="Финансовый 2 5 8" xfId="13092"/>
    <cellStyle name="Финансовый 2 5 9" xfId="13093"/>
    <cellStyle name="Финансовый 2 6" xfId="4548"/>
    <cellStyle name="Финансовый 2 7" xfId="4549"/>
    <cellStyle name="Финансовый 2 8" xfId="4550"/>
    <cellStyle name="Финансовый 2 8 2" xfId="4551"/>
    <cellStyle name="Финансовый 2 8 2 2" xfId="13094"/>
    <cellStyle name="Финансовый 2 8 2 3" xfId="13095"/>
    <cellStyle name="Финансовый 2 8 2 4" xfId="13096"/>
    <cellStyle name="Финансовый 2 8 2 5" xfId="13097"/>
    <cellStyle name="Финансовый 2 8 2 6" xfId="13098"/>
    <cellStyle name="Финансовый 2 8 3" xfId="4552"/>
    <cellStyle name="Финансовый 2 8 3 2" xfId="13099"/>
    <cellStyle name="Финансовый 2 8 3 3" xfId="13100"/>
    <cellStyle name="Финансовый 2 8 3 4" xfId="13101"/>
    <cellStyle name="Финансовый 2 8 3 5" xfId="13102"/>
    <cellStyle name="Финансовый 2 8 3 6" xfId="13103"/>
    <cellStyle name="Финансовый 2 8 4" xfId="4553"/>
    <cellStyle name="Финансовый 2 8 4 2" xfId="13104"/>
    <cellStyle name="Финансовый 2 8 4 3" xfId="13105"/>
    <cellStyle name="Финансовый 2 8 4 4" xfId="13106"/>
    <cellStyle name="Финансовый 2 8 4 5" xfId="13107"/>
    <cellStyle name="Финансовый 2 8 4 6" xfId="13108"/>
    <cellStyle name="Финансовый 2 8 5" xfId="13109"/>
    <cellStyle name="Финансовый 2 8 6" xfId="13110"/>
    <cellStyle name="Финансовый 2 8 7" xfId="13111"/>
    <cellStyle name="Финансовый 2 8 8" xfId="13112"/>
    <cellStyle name="Финансовый 2 8 9" xfId="13113"/>
    <cellStyle name="Финансовый 2 9" xfId="5665"/>
    <cellStyle name="Финансовый 2_46EE.2011(v1.0)" xfId="4554"/>
    <cellStyle name="Финансовый 3" xfId="4555"/>
    <cellStyle name="Финансовый 3 10" xfId="5666"/>
    <cellStyle name="Финансовый 3 2" xfId="4556"/>
    <cellStyle name="Финансовый 3 3" xfId="4557"/>
    <cellStyle name="Финансовый 3 3 2" xfId="4558"/>
    <cellStyle name="Финансовый 3 3 3" xfId="4559"/>
    <cellStyle name="Финансовый 3 3 3 2" xfId="4560"/>
    <cellStyle name="Финансовый 3 3 4" xfId="4561"/>
    <cellStyle name="Финансовый 3 4" xfId="4562"/>
    <cellStyle name="Финансовый 3 4 2" xfId="4563"/>
    <cellStyle name="Финансовый 3 4 3" xfId="4564"/>
    <cellStyle name="Финансовый 3 4 3 2" xfId="4565"/>
    <cellStyle name="Финансовый 3 4 4" xfId="4566"/>
    <cellStyle name="Финансовый 3 5" xfId="4567"/>
    <cellStyle name="Финансовый 3 6" xfId="4568"/>
    <cellStyle name="Финансовый 3 6 2" xfId="4569"/>
    <cellStyle name="Финансовый 3 7" xfId="4570"/>
    <cellStyle name="Финансовый 3 8" xfId="4571"/>
    <cellStyle name="Финансовый 3 8 2" xfId="4572"/>
    <cellStyle name="Финансовый 3 9" xfId="4573"/>
    <cellStyle name="Финансовый 3_INDEX.STATION.2012(v1.0)_" xfId="4574"/>
    <cellStyle name="Финансовый 4" xfId="4575"/>
    <cellStyle name="Финансовый 4 2" xfId="4576"/>
    <cellStyle name="Финансовый 4 2 2" xfId="4577"/>
    <cellStyle name="Финансовый 4 2 2 2" xfId="4578"/>
    <cellStyle name="Финансовый 4 2 3" xfId="4579"/>
    <cellStyle name="Финансовый 5" xfId="4580"/>
    <cellStyle name="Финансовый 5 2" xfId="4581"/>
    <cellStyle name="Финансовый 6" xfId="4582"/>
    <cellStyle name="Финансовый 6 2" xfId="4583"/>
    <cellStyle name="Финансовый 7" xfId="4584"/>
    <cellStyle name="Финансовый 7 2" xfId="4585"/>
    <cellStyle name="Финансовый 7 3" xfId="4586"/>
    <cellStyle name="Финансовый 7 3 2" xfId="4587"/>
    <cellStyle name="Финансовый 7 4" xfId="4588"/>
    <cellStyle name="Финансовый 8" xfId="4589"/>
    <cellStyle name="Финансовый 8 2" xfId="4590"/>
    <cellStyle name="Финансовый 9" xfId="4591"/>
    <cellStyle name="Финансовый 9 10" xfId="13114"/>
    <cellStyle name="Финансовый 9 2" xfId="4592"/>
    <cellStyle name="Финансовый 9 2 2" xfId="4593"/>
    <cellStyle name="Финансовый 9 2 2 2" xfId="13115"/>
    <cellStyle name="Финансовый 9 2 2 3" xfId="13116"/>
    <cellStyle name="Финансовый 9 2 2 4" xfId="13117"/>
    <cellStyle name="Финансовый 9 2 2 5" xfId="13118"/>
    <cellStyle name="Финансовый 9 2 2 6" xfId="13119"/>
    <cellStyle name="Финансовый 9 2 3" xfId="4594"/>
    <cellStyle name="Финансовый 9 2 3 2" xfId="13120"/>
    <cellStyle name="Финансовый 9 2 3 3" xfId="13121"/>
    <cellStyle name="Финансовый 9 2 3 4" xfId="13122"/>
    <cellStyle name="Финансовый 9 2 3 5" xfId="13123"/>
    <cellStyle name="Финансовый 9 2 3 6" xfId="13124"/>
    <cellStyle name="Финансовый 9 2 4" xfId="4595"/>
    <cellStyle name="Финансовый 9 2 4 2" xfId="13125"/>
    <cellStyle name="Финансовый 9 2 4 3" xfId="13126"/>
    <cellStyle name="Финансовый 9 2 4 4" xfId="13127"/>
    <cellStyle name="Финансовый 9 2 4 5" xfId="13128"/>
    <cellStyle name="Финансовый 9 2 4 6" xfId="13129"/>
    <cellStyle name="Финансовый 9 2 5" xfId="13130"/>
    <cellStyle name="Финансовый 9 2 6" xfId="13131"/>
    <cellStyle name="Финансовый 9 2 7" xfId="13132"/>
    <cellStyle name="Финансовый 9 2 8" xfId="13133"/>
    <cellStyle name="Финансовый 9 2 9" xfId="13134"/>
    <cellStyle name="Финансовый 9 3" xfId="4596"/>
    <cellStyle name="Финансовый 9 3 2" xfId="13135"/>
    <cellStyle name="Финансовый 9 3 3" xfId="13136"/>
    <cellStyle name="Финансовый 9 3 4" xfId="13137"/>
    <cellStyle name="Финансовый 9 3 5" xfId="13138"/>
    <cellStyle name="Финансовый 9 3 6" xfId="13139"/>
    <cellStyle name="Финансовый 9 4" xfId="4597"/>
    <cellStyle name="Финансовый 9 4 2" xfId="13140"/>
    <cellStyle name="Финансовый 9 4 3" xfId="13141"/>
    <cellStyle name="Финансовый 9 4 4" xfId="13142"/>
    <cellStyle name="Финансовый 9 4 5" xfId="13143"/>
    <cellStyle name="Финансовый 9 4 6" xfId="13144"/>
    <cellStyle name="Финансовый 9 5" xfId="4598"/>
    <cellStyle name="Финансовый 9 5 2" xfId="13145"/>
    <cellStyle name="Финансовый 9 5 3" xfId="13146"/>
    <cellStyle name="Финансовый 9 5 4" xfId="13147"/>
    <cellStyle name="Финансовый 9 5 5" xfId="13148"/>
    <cellStyle name="Финансовый 9 5 6" xfId="13149"/>
    <cellStyle name="Финансовый 9 6" xfId="13150"/>
    <cellStyle name="Финансовый 9 7" xfId="13151"/>
    <cellStyle name="Финансовый 9 8" xfId="13152"/>
    <cellStyle name="Финансовый 9 9" xfId="13153"/>
    <cellStyle name="Финансовый0[0]_FU_bal" xfId="4599"/>
    <cellStyle name="Формула" xfId="4600"/>
    <cellStyle name="Формула 2" xfId="4601"/>
    <cellStyle name="Формула 2 2" xfId="4602"/>
    <cellStyle name="Формула 2 3" xfId="5667"/>
    <cellStyle name="Формула 2 3 2" xfId="5668"/>
    <cellStyle name="Формула 3" xfId="4603"/>
    <cellStyle name="Формула_A РТ 2009 Рязаньэнерго" xfId="4604"/>
    <cellStyle name="ФормулаВБ" xfId="4605"/>
    <cellStyle name="ФормулаВБ 2" xfId="4606"/>
    <cellStyle name="ФормулаВБ 2 2" xfId="4607"/>
    <cellStyle name="ФормулаВБ 2 2 2" xfId="5669"/>
    <cellStyle name="ФормулаВБ 2 3" xfId="4608"/>
    <cellStyle name="ФормулаВБ 2 3 2" xfId="5670"/>
    <cellStyle name="ФормулаВБ 2 4" xfId="5671"/>
    <cellStyle name="ФормулаВБ 3" xfId="5672"/>
    <cellStyle name="ФормулаВБ 4" xfId="5673"/>
    <cellStyle name="ФормулаНаКонтроль" xfId="4609"/>
    <cellStyle name="ФормулаНаКонтроль 2" xfId="4610"/>
    <cellStyle name="ФормулаНаКонтроль 3" xfId="4611"/>
    <cellStyle name="ФормулаНаКонтроль 3 2" xfId="5674"/>
    <cellStyle name="ФормулаНаКонтроль 4" xfId="4612"/>
    <cellStyle name="ФормулаНаКонтроль 5" xfId="5675"/>
    <cellStyle name="ФормулаНаКонтроль_GRES.2007.5" xfId="4613"/>
    <cellStyle name="Хороший 10" xfId="4614"/>
    <cellStyle name="Хороший 2" xfId="4615"/>
    <cellStyle name="Хороший 2 2" xfId="4616"/>
    <cellStyle name="Хороший 3" xfId="4617"/>
    <cellStyle name="Хороший 3 2" xfId="4618"/>
    <cellStyle name="Хороший 3 3" xfId="4619"/>
    <cellStyle name="Хороший 3 3 2" xfId="4620"/>
    <cellStyle name="Хороший 3 4" xfId="5676"/>
    <cellStyle name="Хороший 4" xfId="4621"/>
    <cellStyle name="Хороший 4 2" xfId="4622"/>
    <cellStyle name="Хороший 5" xfId="4623"/>
    <cellStyle name="Хороший 5 2" xfId="4624"/>
    <cellStyle name="Хороший 6" xfId="4625"/>
    <cellStyle name="Хороший 6 2" xfId="4626"/>
    <cellStyle name="Хороший 7" xfId="4627"/>
    <cellStyle name="Хороший 7 2" xfId="4628"/>
    <cellStyle name="Хороший 8" xfId="4629"/>
    <cellStyle name="Хороший 8 2" xfId="4630"/>
    <cellStyle name="Хороший 9" xfId="4631"/>
    <cellStyle name="Хороший 9 2" xfId="4632"/>
    <cellStyle name="Цена_продукта" xfId="4633"/>
    <cellStyle name="Цифры по центру с десятыми" xfId="4634"/>
    <cellStyle name="Цифры по центру с десятыми 2" xfId="4635"/>
    <cellStyle name="Цифры по центру с десятыми 3" xfId="5677"/>
    <cellStyle name="число" xfId="4636"/>
    <cellStyle name="Џђћ–…ќ’ќ›‰" xfId="4637"/>
    <cellStyle name="Џђћ–…ќ’ќ›‰ 2" xfId="4638"/>
    <cellStyle name="Џђћ–…ќ’ќ›‰ 3" xfId="5678"/>
    <cellStyle name="Шапка" xfId="4639"/>
    <cellStyle name="Шапка таблицы" xfId="4640"/>
    <cellStyle name="Шапка таблицы 2" xfId="4641"/>
    <cellStyle name="Шапка таблицы 3" xfId="5679"/>
    <cellStyle name="Шапка_4DNS.UPDATE.EXAMPLE" xfId="4642"/>
    <cellStyle name="ШАУ" xfId="4643"/>
    <cellStyle name="標準_PL-CF sheet" xfId="4644"/>
    <cellStyle name="㼿" xfId="4645"/>
    <cellStyle name="㼿 2" xfId="4646"/>
    <cellStyle name="㼿 2 2" xfId="5680"/>
    <cellStyle name="㼿 3" xfId="5681"/>
    <cellStyle name="㼿 3 2" xfId="5682"/>
    <cellStyle name="㼿 4" xfId="5683"/>
    <cellStyle name="㼿?" xfId="4647"/>
    <cellStyle name="㼿㼿" xfId="4648"/>
    <cellStyle name="㼿㼿?" xfId="4649"/>
    <cellStyle name="㼿㼿? 2" xfId="4650"/>
    <cellStyle name="㼿㼿? 2 2" xfId="5684"/>
    <cellStyle name="㼿㼿? 3" xfId="5685"/>
    <cellStyle name="㼿㼿? 3 2" xfId="5686"/>
    <cellStyle name="㼿㼿? 4" xfId="5687"/>
    <cellStyle name="㼿㼿㼿" xfId="4651"/>
    <cellStyle name="㼿㼿㼿?" xfId="4652"/>
    <cellStyle name="㼿㼿㼿㼿" xfId="4653"/>
    <cellStyle name="㼿㼿㼿㼿?" xfId="4654"/>
    <cellStyle name="㼿㼿㼿㼿㼿" xfId="4655"/>
    <cellStyle name="㼿㼿㼿㼿㼿?" xfId="4656"/>
    <cellStyle name="䁺_x0001_" xfId="4657"/>
    <cellStyle name="䁺_x0001_ 2" xfId="4658"/>
    <cellStyle name="䁺_x0001_ 2 2" xfId="4659"/>
    <cellStyle name="䁺_x0001_ 3" xfId="466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9" Type="http://schemas.openxmlformats.org/officeDocument/2006/relationships/externalLink" Target="externalLinks/externalLink29.xml"/><Relationship Id="rId21" Type="http://schemas.openxmlformats.org/officeDocument/2006/relationships/externalLink" Target="externalLinks/externalLink11.xml"/><Relationship Id="rId34" Type="http://schemas.openxmlformats.org/officeDocument/2006/relationships/externalLink" Target="externalLinks/externalLink24.xml"/><Relationship Id="rId42" Type="http://schemas.openxmlformats.org/officeDocument/2006/relationships/externalLink" Target="externalLinks/externalLink32.xml"/><Relationship Id="rId47" Type="http://schemas.openxmlformats.org/officeDocument/2006/relationships/externalLink" Target="externalLinks/externalLink37.xml"/><Relationship Id="rId50" Type="http://schemas.openxmlformats.org/officeDocument/2006/relationships/externalLink" Target="externalLinks/externalLink40.xml"/><Relationship Id="rId55" Type="http://schemas.openxmlformats.org/officeDocument/2006/relationships/externalLink" Target="externalLinks/externalLink45.xml"/><Relationship Id="rId63" Type="http://schemas.openxmlformats.org/officeDocument/2006/relationships/externalLink" Target="externalLinks/externalLink53.xml"/><Relationship Id="rId68" Type="http://schemas.openxmlformats.org/officeDocument/2006/relationships/externalLink" Target="externalLinks/externalLink58.xml"/><Relationship Id="rId76" Type="http://schemas.openxmlformats.org/officeDocument/2006/relationships/externalLink" Target="externalLinks/externalLink66.xml"/><Relationship Id="rId84"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61.xml"/><Relationship Id="rId2" Type="http://schemas.openxmlformats.org/officeDocument/2006/relationships/worksheet" Target="worksheets/sheet2.xml"/><Relationship Id="rId16" Type="http://schemas.openxmlformats.org/officeDocument/2006/relationships/externalLink" Target="externalLinks/externalLink6.xml"/><Relationship Id="rId29" Type="http://schemas.openxmlformats.org/officeDocument/2006/relationships/externalLink" Target="externalLinks/externalLink19.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53" Type="http://schemas.openxmlformats.org/officeDocument/2006/relationships/externalLink" Target="externalLinks/externalLink43.xml"/><Relationship Id="rId58" Type="http://schemas.openxmlformats.org/officeDocument/2006/relationships/externalLink" Target="externalLinks/externalLink48.xml"/><Relationship Id="rId66" Type="http://schemas.openxmlformats.org/officeDocument/2006/relationships/externalLink" Target="externalLinks/externalLink56.xml"/><Relationship Id="rId74" Type="http://schemas.openxmlformats.org/officeDocument/2006/relationships/externalLink" Target="externalLinks/externalLink64.xml"/><Relationship Id="rId79" Type="http://schemas.openxmlformats.org/officeDocument/2006/relationships/externalLink" Target="externalLinks/externalLink69.xml"/><Relationship Id="rId5" Type="http://schemas.openxmlformats.org/officeDocument/2006/relationships/worksheet" Target="worksheets/sheet5.xml"/><Relationship Id="rId61" Type="http://schemas.openxmlformats.org/officeDocument/2006/relationships/externalLink" Target="externalLinks/externalLink51.xml"/><Relationship Id="rId82" Type="http://schemas.openxmlformats.org/officeDocument/2006/relationships/externalLink" Target="externalLinks/externalLink72.xml"/><Relationship Id="rId19"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43" Type="http://schemas.openxmlformats.org/officeDocument/2006/relationships/externalLink" Target="externalLinks/externalLink33.xml"/><Relationship Id="rId48" Type="http://schemas.openxmlformats.org/officeDocument/2006/relationships/externalLink" Target="externalLinks/externalLink38.xml"/><Relationship Id="rId56" Type="http://schemas.openxmlformats.org/officeDocument/2006/relationships/externalLink" Target="externalLinks/externalLink46.xml"/><Relationship Id="rId64" Type="http://schemas.openxmlformats.org/officeDocument/2006/relationships/externalLink" Target="externalLinks/externalLink54.xml"/><Relationship Id="rId69" Type="http://schemas.openxmlformats.org/officeDocument/2006/relationships/externalLink" Target="externalLinks/externalLink59.xml"/><Relationship Id="rId77" Type="http://schemas.openxmlformats.org/officeDocument/2006/relationships/externalLink" Target="externalLinks/externalLink67.xml"/><Relationship Id="rId8" Type="http://schemas.openxmlformats.org/officeDocument/2006/relationships/worksheet" Target="worksheets/sheet8.xml"/><Relationship Id="rId51" Type="http://schemas.openxmlformats.org/officeDocument/2006/relationships/externalLink" Target="externalLinks/externalLink41.xml"/><Relationship Id="rId72" Type="http://schemas.openxmlformats.org/officeDocument/2006/relationships/externalLink" Target="externalLinks/externalLink62.xml"/><Relationship Id="rId80" Type="http://schemas.openxmlformats.org/officeDocument/2006/relationships/externalLink" Target="externalLinks/externalLink70.xml"/><Relationship Id="rId85"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46" Type="http://schemas.openxmlformats.org/officeDocument/2006/relationships/externalLink" Target="externalLinks/externalLink36.xml"/><Relationship Id="rId59" Type="http://schemas.openxmlformats.org/officeDocument/2006/relationships/externalLink" Target="externalLinks/externalLink49.xml"/><Relationship Id="rId67" Type="http://schemas.openxmlformats.org/officeDocument/2006/relationships/externalLink" Target="externalLinks/externalLink57.xml"/><Relationship Id="rId20" Type="http://schemas.openxmlformats.org/officeDocument/2006/relationships/externalLink" Target="externalLinks/externalLink10.xml"/><Relationship Id="rId41" Type="http://schemas.openxmlformats.org/officeDocument/2006/relationships/externalLink" Target="externalLinks/externalLink31.xml"/><Relationship Id="rId54" Type="http://schemas.openxmlformats.org/officeDocument/2006/relationships/externalLink" Target="externalLinks/externalLink44.xml"/><Relationship Id="rId62" Type="http://schemas.openxmlformats.org/officeDocument/2006/relationships/externalLink" Target="externalLinks/externalLink52.xml"/><Relationship Id="rId70" Type="http://schemas.openxmlformats.org/officeDocument/2006/relationships/externalLink" Target="externalLinks/externalLink60.xml"/><Relationship Id="rId75" Type="http://schemas.openxmlformats.org/officeDocument/2006/relationships/externalLink" Target="externalLinks/externalLink65.xml"/><Relationship Id="rId83"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49" Type="http://schemas.openxmlformats.org/officeDocument/2006/relationships/externalLink" Target="externalLinks/externalLink39.xml"/><Relationship Id="rId57" Type="http://schemas.openxmlformats.org/officeDocument/2006/relationships/externalLink" Target="externalLinks/externalLink47.xml"/><Relationship Id="rId10" Type="http://schemas.openxmlformats.org/officeDocument/2006/relationships/worksheet" Target="worksheets/sheet10.xml"/><Relationship Id="rId31" Type="http://schemas.openxmlformats.org/officeDocument/2006/relationships/externalLink" Target="externalLinks/externalLink21.xml"/><Relationship Id="rId44" Type="http://schemas.openxmlformats.org/officeDocument/2006/relationships/externalLink" Target="externalLinks/externalLink34.xml"/><Relationship Id="rId52" Type="http://schemas.openxmlformats.org/officeDocument/2006/relationships/externalLink" Target="externalLinks/externalLink42.xml"/><Relationship Id="rId60" Type="http://schemas.openxmlformats.org/officeDocument/2006/relationships/externalLink" Target="externalLinks/externalLink50.xml"/><Relationship Id="rId65" Type="http://schemas.openxmlformats.org/officeDocument/2006/relationships/externalLink" Target="externalLinks/externalLink55.xml"/><Relationship Id="rId73" Type="http://schemas.openxmlformats.org/officeDocument/2006/relationships/externalLink" Target="externalLinks/externalLink63.xml"/><Relationship Id="rId78" Type="http://schemas.openxmlformats.org/officeDocument/2006/relationships/externalLink" Target="externalLinks/externalLink68.xml"/><Relationship Id="rId81" Type="http://schemas.openxmlformats.org/officeDocument/2006/relationships/externalLink" Target="externalLinks/externalLink71.xml"/><Relationship Id="rId86"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nergo\Resource\ECONOM\IZDERSKI\IZDPL200\UGO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1059;&#1087;&#1088;&#1072;&#1074;&#1083;&#1077;&#1085;&#1080;&#1077;%20&#1087;&#1086;%20&#1101;&#1082;&#1086;&#1085;&#1086;&#1084;&#1080;&#1082;&#1077;%20&#1057;&#1077;&#1090;&#1080;/&#1054;&#1058;&#1044;&#1045;&#1051;%20&#1058;&#1040;&#1056;&#1048;&#1060;&#1054;&#1042;%20&#1048;%20&#1062;&#1045;&#1053;&#1054;&#1054;&#1041;&#1056;&#1040;&#1047;&#1054;&#1042;&#1040;&#1053;&#1048;&#1071;/2014/&#1056;&#1069;&#1050;-%202012-2014/&#1048;&#1090;&#1086;&#1075;&#1086;&#1074;&#1099;&#1077;%20&#1092;&#1086;&#1088;&#1084;&#1072;&#1090;&#1099;%202012-2014%20&#1075;&#1086;&#1076;/&#1086;&#1073;&#1084;&#1077;&#1085;/&#1092;&#1083;&#1101;&#1096;/16%20&#1085;&#1086;&#1103;&#1073;&#1088;&#1103;%20&#1087;&#1086;&#1089;&#1083;&#1077;&#1076;&#1085;&#1080;&#1081;/RAB.2010%20&#1050;&#1069;&#108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pankrashova_en\Local%20Settings\Temporary%20Internet%20Files\Content.IE5\MFY38D0X\&#1054;&#1090;&#1076;%20&#1087;&#1083;&#1072;&#1090;&#1072;%20&#1079;&#1072;%20&#1087;&#1077;&#1088;&#1077;&#1076;&#1072;&#1095;&#1091;\&#1055;&#1077;&#1088;&#1077;&#1076;&#1072;&#1095;&#1072;%202007\&#1058;&#1072;&#1088;&#1080;&#1092;&#1099;\&#1057;&#1077;&#1088;&#1075;&#1077;&#1081;%20&#1055;&#1086;&#1076;&#1083;\&#1058;&#1086;&#1084;&#1089;&#1082;\&#1058;&#1086;&#1084;&#1089;&#1082;&#1072;&#1103;%20&#1086;&#1073;&#1083;&#1072;&#1089;&#1090;&#110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Michaelsrv\disk%20t\&#1089;%20&#1089;&#1072;&#1081;&#1090;&#1072;%20&#1045;&#1048;&#1040;&#1057;%20(11,11,2009)\TEPLO.PREDEL.2010_m.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portachev\&#1041;&#1072;&#1083;&#1072;&#1085;&#1089;\An(EsMon)\7.02.01\SC_W\&#1055;&#1088;&#1086;&#1075;&#1085;&#1086;&#1079;\&#1055;&#1088;&#1086;&#1075;05_00(27.0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pankrashova_en\Local%20Settings\Temporary%20Internet%20Files\Content.IE5\MFY38D0X\Documents%20and%20Settings\vgrishanov\&#1056;&#1072;&#1073;&#1086;&#1095;&#1080;&#1081;%20&#1089;&#1090;&#1086;&#1083;\proverk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1059;&#1087;&#1088;&#1072;&#1074;&#1083;&#1077;&#1085;&#1080;&#1077;%20&#1087;&#1086;%20&#1101;&#1082;&#1086;&#1085;&#1086;&#1084;&#1080;&#1082;&#1077;%20&#1057;&#1077;&#1090;&#1080;/&#1054;&#1058;&#1044;&#1045;&#1051;%20&#1058;&#1040;&#1056;&#1048;&#1060;&#1054;&#1042;%20&#1048;%20&#1062;&#1045;&#1053;&#1054;&#1054;&#1041;&#1056;&#1040;&#1047;&#1054;&#1042;&#1040;&#1053;&#1048;&#1071;/2014/&#1056;&#1069;&#1050;-%202012-2014/&#1048;&#1090;&#1086;&#1075;&#1086;&#1074;&#1099;&#1077;%20&#1092;&#1086;&#1088;&#1084;&#1072;&#1090;&#1099;%202012-2014%20&#1075;&#1086;&#1076;/&#1056;&#1072;&#1073;&#1086;&#1095;&#1080;&#1081;%20&#1089;&#1090;&#1086;&#1083;/&#1058;&#1072;&#1088;&#1080;&#1092;&#1099;%202012%20&#1075;&#1086;&#1076;/&#1040;&#1085;&#1072;&#1083;&#1080;&#1079;%20&#1053;&#1069;&#1057;&#1050;%20&#1092;&#1072;&#1082;&#1090;&#1072;%202010%20&#1075;&#1086;&#1076;/&#1054;&#1090;&#1087;&#1088;&#1072;&#1074;&#1083;&#1077;&#1085;&#1086;%20&#1074;%20&#1053;&#1069;&#1057;&#1050;%2029.12.2011%20&#1055;&#1083;&#1072;&#1085;-&#1092;&#1072;&#1082;&#1090;%20%20&#1045;&#1048;&#1040;&#1057;%20201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portachev\&#1041;&#1072;&#1083;&#1072;&#1085;&#1089;\An(EsMon)\7.02.01\&#1061;&#1072;&#1085;&#1086;&#1074;&#1072;\&#1043;&#1088;(27.07.00)5&#106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Peo-lida\&#1086;&#1073;&#1084;&#1077;&#1085;\&#1056;&#1045;&#1043;&#1059;&#1051;&#1048;&#1056;&#1054;&#1042;&#1040;&#1053;&#1048;&#1045;_&#1087;&#1077;&#1088;&#1077;&#1076;&#1072;&#1095;&#1072;_&#1087;&#1086;&#1089;&#1090;&#1072;&#1074;&#1082;&#1072;\2009&#1075;\&#1086;&#1090;&#1074;&#1077;&#1090;_&#1085;&#1072;_&#1079;&#1072;&#1087;&#1088;&#1086;&#1089;_&#1060;&#1057;&#1058;\OREP.SZPR.2009.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1059;&#1087;&#1088;&#1072;&#1074;&#1083;&#1077;&#1085;&#1080;&#1077;%20&#1087;&#1086;%20&#1101;&#1082;&#1086;&#1085;&#1086;&#1084;&#1080;&#1082;&#1077;%20&#1057;&#1077;&#1090;&#1080;/&#1054;&#1058;&#1044;&#1045;&#1051;%20&#1058;&#1040;&#1056;&#1048;&#1060;&#1054;&#1042;%20&#1048;%20&#1062;&#1045;&#1053;&#1054;&#1054;&#1041;&#1056;&#1040;&#1047;&#1054;&#1042;&#1040;&#1053;&#1048;&#1071;/2014/&#1056;&#1069;&#1050;-%202012-2014/&#1048;&#1090;&#1086;&#1075;&#1086;&#1074;&#1099;&#1077;%20&#1092;&#1086;&#1088;&#1084;&#1072;&#1090;&#1099;%202012-2014%20&#1075;&#1086;&#1076;/DOCUME~1/SINICI~1/LOCALS~1/Temp/7zO175.tmp/KOTEL.NET.FACT.3.23%202012%20&#1075;&#1086;&#107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nergo\Resource\Documents%20and%20Settings\rykov_ya\Local%20Settings\Temporary%20Internet%20Files\Content.IE5\Q7UJ6TYN\&#1052;&#1086;&#1085;&#1080;&#1090;&#1086;&#1088;&#1080;&#1085;&#1075;%20_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ortachev\&#1041;&#1072;&#1083;&#1072;&#1085;&#1089;\An(EsMon)\SC_W\&#1055;&#1088;&#1086;&#1075;&#1085;&#1086;&#1079;\&#1055;&#1088;&#1086;&#1075;05_00(27.06).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erver\Departments\&#1062;&#1077;&#1085;&#1086;&#1086;&#1073;&#1088;&#1072;&#1079;&#1086;&#1074;&#1072;&#1085;&#1080;&#1103;%20&#1074;%20&#1101;&#1085;&#1077;&#1088;&#1075;&#1077;&#1090;&#1080;&#1082;&#1077;\&#1056;&#1046;&#1040;&#1042;&#1048;&#1053;&#1040;%20&#1047;%20&#1043;\&#1052;&#1086;&#1085;&#1080;&#1090;&#1086;&#1088;&#1080;&#1085;&#1075;%202007\&#1052;&#1086;&#1085;&#1080;&#1090;&#1086;&#1088;&#1080;&#1085;&#1075;%20_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portachev\&#1041;&#1072;&#1083;&#1072;&#1085;&#1089;\An(EsMon)\&#1061;&#1072;&#1085;&#1086;&#1074;&#1072;\&#1043;&#1088;(27.07.00)5&#106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1059;&#1087;&#1088;&#1072;&#1074;&#1083;&#1077;&#1085;&#1080;&#1077;%20&#1090;&#1088;&#1072;&#1085;&#1089;&#1087;&#1086;&#1088;&#1090;&#1072;%20&#1101;&#1083;&#1077;&#1082;&#1090;&#1088;&#1086;&#1101;&#1085;&#1077;&#1088;&#1075;&#1080;&#1080;\&#1086;&#1090;&#1076;&#1077;&#1083;%20&#1073;&#1072;&#1083;&#1072;&#1085;&#1089;&#1086;&#1074;%20&#1080;%20&#1088;&#1072;&#1089;&#1095;&#1077;&#1090;&#1086;&#1074;\&#1056;&#1072;&#1073;&#1086;&#1095;&#1072;&#1103;\&#1057;&#1077;&#1082;&#1090;&#1086;&#1088;%20&#1073;&#1072;&#1083;&#1072;&#1085;&#1089;&#1086;&#1074;%20&#1101;&#1101;%20&#1080;%20&#1089;&#1090;&#1072;&#1090;&#1080;&#1089;&#1090;&#1080;&#1082;&#1080;\&#1058;&#1040;&#1056;&#1048;&#1060;&#1053;&#1054;&#1045;%20&#1044;&#1045;&#1051;&#1054;%202008,%202009,%202010%20&#1075;&#1075;\&#1060;&#1086;&#1088;&#1084;&#1072;%203.1\2012\FORM3.1.2012(v1.0)%2001.06.2011.xls"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PathMissing" Target="&#1101;&#1101;"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simakovans\Local%20Settings\Temporary%20Internet%20Files\OLK1CD\&#1057;&#1042;&#1054;&#1044;_6,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oks\&#1056;&#1072;&#1073;&#1086;&#1095;&#1080;&#1081;%20&#1089;&#1090;&#1086;&#1083;\&#1051;&#1080;&#1076;&#1080;&#1103;\&#1084;&#1077;&#1090;&#1086;&#1076;&#1080;&#1082;&#1072;%20&#1060;&#1057;&#1058;%20&#1085;&#1072;%20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Peo-lida\&#1086;&#1073;&#1084;&#1077;&#1085;\&#1052;&#1086;&#1080;%20&#1076;&#1086;&#1082;&#1091;&#1084;&#1077;&#1085;&#1090;&#1099;\&#1064;&#1072;&#1073;&#1083;&#1086;&#1085;%20%20&#1060;&#1057;&#1058;%20&#1087;&#1086;%20&#1090;&#1072;&#1088;&#1080;&#1092;&#1072;&#1084;%20(&#1075;&#1077;&#1085;&#1077;&#1088;&#1072;&#1094;&#1080;&#1103;)\GRE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af4.mail.ru/Documents%20and%20Settings/grebennikovrv/&#1052;&#1086;&#1080;%20&#1076;&#1086;&#1082;&#1091;&#1084;&#1077;&#1085;&#1090;&#1099;/&#1058;&#1072;&#1088;&#1080;&#1092;&#1085;&#1086;&#1077;%20&#1076;&#1077;&#1083;&#1086;%202008/OAO%20Kubanenergo_tarifnoe%20delo%20po%20peredache%20na%202008%20god.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Vzhidkov\3%20&#1054;&#1060;&#1048;&#1057;\3%20&#1086;&#1092;&#1080;&#1089;\&#1041;&#1102;&#1076;&#1078;&#1077;&#1090;\&#1054;&#1090;&#1095;&#1077;&#1090;&#1099;%20&#1087;&#1086;%20&#1082;&#1086;&#1084;&#1072;&#1085;&#1076;&#1080;&#1088;&#1086;&#1074;&#1082;&#1072;&#1084;\20020431%20&#1050;&#1086;&#1084;&#1072;&#1085;&#1076;&#1080;&#1088;&#1086;&#1074;&#1086;&#1095;&#1085;&#1099;&#1077;%20&#1087;&#1086;%20&#1057;&#1055;&#1073;%20&#1086;&#1092;&#1080;&#1089;&#1091;%20-%20&#1089;&#1074;&#1086;&#1076;&#1085;&#1099;&#1077;%20&#1076;&#1072;&#1085;&#1085;&#1099;&#107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Vzhidkov\3%20&#1054;&#1060;&#1048;&#1057;\3%20&#1086;&#1092;&#1080;&#1089;\&#1041;&#1102;&#1076;&#1078;&#1077;&#1090;\&#1054;&#1090;&#1095;&#1077;&#1090;&#1099;%20&#1087;&#1086;%20&#1082;&#1086;&#1084;&#1072;&#1085;&#1076;&#1080;&#1088;&#1086;&#1074;&#1082;&#1072;&#1084;\20020415%20&#1050;&#1086;&#1084;&#1072;&#1085;&#1076;&#1080;&#1088;&#1086;&#1074;&#1086;&#1095;&#1085;&#1099;&#1077;%20&#1087;&#1086;%20&#1057;&#1055;&#1073;%20&#1086;&#1092;&#1080;&#1089;&#1091;%20-%20&#1089;&#1074;&#1086;&#1076;&#1085;&#1099;&#1077;%20&#1076;&#1072;&#1085;&#1085;&#1099;&#107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059;&#1087;&#1088;&#1072;&#1074;&#1083;&#1077;&#1085;&#1080;&#1077;%20&#1087;&#1086;%20&#1101;&#1082;&#1086;&#1085;&#1086;&#1084;&#1080;&#1082;&#1077;%20&#1057;&#1077;&#1090;&#1080;/&#1054;&#1058;&#1044;&#1045;&#1051;%20&#1058;&#1040;&#1056;&#1048;&#1060;&#1054;&#1042;%20&#1048;%20&#1062;&#1045;&#1053;&#1054;&#1054;&#1041;&#1056;&#1040;&#1047;&#1054;&#1042;&#1040;&#1053;&#1048;&#1071;/2014/&#1056;&#1069;&#1050;%20-%20&#1044;&#1062;&#1058;%20&#1072;&#1085;&#1072;&#1083;&#1080;&#1079;%20&#1092;&#1072;&#1082;&#1090;&#1072;%20&#1053;&#1042;&#1042;%20%202013/5.&#1044;&#1086;&#1087;&#1086;&#1083;&#1085;&#1080;&#1090;&#1077;&#1083;&#1100;&#1085;&#1099;&#1077;%20&#1084;&#1072;&#1090;&#1077;&#1088;&#1080;&#1072;&#1083;&#1099;/&#1060;&#1086;&#1088;&#1084;&#1099;%20&#1052;&#1077;&#1090;&#1086;&#1076;&#1080;&#1082;&#1080;/KOTEL.POTERI.NET.FACT.3.23(v2.0)%202013%20&#1075;&#1086;&#1076;.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10.77.4.61\Shared\&#1041;&#1072;&#1083;&#1072;&#1085;&#1089;&#1099;%202009\&#1064;&#1072;&#1073;&#1083;&#1086;&#1085;&#1099;%202009\FORM3.1.200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grebennikovrv\&#1052;&#1086;&#1080;%20&#1076;&#1086;&#1082;&#1091;&#1084;&#1077;&#1085;&#1090;&#1099;\&#1041;&#1072;&#1083;&#1072;&#1085;&#1089;&#1099;\&#1041;&#1072;&#1083;&#1072;&#1085;&#1089;&#1099;%20&#1101;&#1083;.%20&#1101;&#1085;%20&#1080;%20&#1084;&#1086;&#1097;&#1085;&#1086;&#1089;&#1090;&#1080;%20&#1085;&#1072;%202007%20&#1075;&#1086;&#1076;\&#1041;&#1072;&#1083;&#1072;&#1085;&#1089;_&#1076;&#1077;&#1082;&#1072;&#1073;&#1088;&#1100;\&#1041;&#1072;&#1083;&#1072;&#1085;&#1089;%20&#1101;&#1085;&#1077;&#1088;&#1075;&#1080;&#1080;%202007%20&#1082;&#1086;&#1088;!!.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af4.mail.ru/Documents%20and%20Settings/grebennikovrv/&#1052;&#1086;&#1080;%20&#1076;&#1086;&#1082;&#1091;&#1084;&#1077;&#1085;&#1090;&#1099;/&#1041;&#1072;&#1083;&#1072;&#1085;&#1089;&#1099;/&#1041;&#1072;&#1083;&#1072;&#1085;&#1089;&#1099;%20&#1101;&#1083;.%20&#1101;&#1085;%20&#1080;%20&#1084;&#1086;&#1097;&#1085;&#1086;&#1089;&#1090;&#1080;%20&#1085;&#1072;%202007%20&#1075;&#1086;&#1076;/&#1041;&#1072;&#1083;&#1072;&#1085;&#1089;_&#1076;&#1077;&#1082;&#1072;&#1073;&#1088;&#1100;/&#1041;&#1072;&#1083;&#1072;&#1085;&#1089;%20&#1101;&#1085;&#1077;&#1088;&#1075;&#1080;&#1080;%202007%20&#1082;&#1086;&#1088;!!.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Michaelsrv\disk%20t\&#1089;%20&#1089;&#1072;&#1081;&#1090;&#1072;%20&#1045;&#1048;&#1040;&#1057;%20(11,11,2009)\&#1057;&#1090;&#1072;&#1085;&#1094;&#1080;&#1080;%202009\&#1040;&#1083;&#1090;&#1072;&#1081;-&#1050;&#1086;&#1082;&#1089;_09_&#1060;&#1057;&#1058;.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41;&#1072;&#1083;&#1072;&#1085;&#1089;&#1099;%20&#1057;&#1076;&#1077;&#1083;&#1072;&#1085;&#1086;2\1\FORM%201.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57;&#1044;&#1077;&#1083;&#1072;&#1085;&#1086;1\ias$FIL.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57;&#1044;&#1077;&#1083;&#1072;&#1085;&#1086;1\&#1053;&#1086;&#1074;&#1072;&#1103;%20&#1088;&#1072;&#1073;&#1086;&#1090;&#1072;\&#1047;&#1072;&#1087;&#1086;&#1083;&#1085;&#1077;&#1085;&#1085;&#1099;&#1077;\&#1042;&#1054;\VODOOTV.BALANCE.2007year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Peo-lida\&#1086;&#1073;&#1084;&#1077;&#1085;\RAG\&#1058;&#1072;&#1088;&#1080;&#1092;%202009\&#1090;&#1072;&#1073;&#1083;&#1080;&#1094;&#1099;%20&#1076;&#1083;&#1103;%20&#1088;&#1072;&#1089;&#1095;&#1077;&#1090;&#1086;&#1074;28-04-08_2006-2009&#1089;%20&#1048;&#1040;.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1059;&#1087;&#1088;&#1072;&#1074;&#1083;&#1077;&#1085;&#1080;&#1077;%20&#1087;&#1086;%20&#1101;&#1082;&#1086;&#1085;&#1086;&#1084;&#1080;&#1082;&#1077;%20&#1057;&#1077;&#1090;&#1080;/&#1054;&#1058;&#1044;&#1045;&#1051;%20&#1058;&#1040;&#1056;&#1048;&#1060;&#1054;&#1042;%20&#1048;%20&#1062;&#1045;&#1053;&#1054;&#1054;&#1041;&#1056;&#1040;&#1047;&#1054;&#1042;&#1040;&#1053;&#1048;&#1071;/2014/&#1056;&#1069;&#1050;-%202012-2014/&#1048;&#1090;&#1086;&#1075;&#1086;&#1074;&#1099;&#1077;%20&#1092;&#1086;&#1088;&#1084;&#1072;&#1090;&#1099;%202012-2014%20&#1075;&#1086;&#1076;/Documents%20and%20Settings/sindeevanv/Local%20Settings/Temporary%20Internet%20Files/OLK41/OREP.INV.NET.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portachev\&#1052;&#1086;&#1080;%20&#1076;&#1086;&#1082;&#1091;&#1084;&#1077;&#1085;&#1090;&#1099;\&#1052;&#1054;&#1041;\06-03-06\Var2.7%20(version%2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eo\&#1086;&#1082;&#1089;&#1072;&#1085;&#1072;\WINDOWS\&#1056;&#1072;&#1073;&#1086;&#1095;&#1080;&#1081;%20&#1089;&#1090;&#1086;&#1083;\&#1051;&#1077;&#1085;&#1072;\&#1090;&#1072;&#1088;&#1080;&#1092;&#1099;\B-PL\NBPL\_FE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poludnevaoa\Local%20Settings\Temporary%20Internet%20Files\OLKA8\&#1051;&#1080;&#1076;&#1080;&#1103;\&#1090;&#1072;&#1088;&#1080;&#1092;\2008\&#1084;&#1072;&#1090;&#1077;&#1088;&#1080;&#1072;&#1083;&#1099;%202008&#1075;\&#1055;&#1069;&#1054;\&#1051;&#1080;&#1076;&#1080;&#1103;\2008\&#1090;&#1072;&#1088;&#1080;&#1092;%202008%20-%20&#1087;&#1088;&#1077;&#1076;&#1077;&#1083;%20(&#1072;&#1087;&#1088;&#1077;&#1083;&#110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Peo-lida\&#1086;&#1073;&#1084;&#1077;&#1085;\&#1050;%20&#1089;&#1086;&#1075;&#1083;&#1072;&#1089;&#1080;&#1090;%20&#1089;&#1086;&#1074;&#1077;&#1097;\&#1090;&#1072;&#1088;&#1080;&#1092;%202009.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1059;&#1087;&#1088;&#1072;&#1074;&#1083;&#1077;&#1085;&#1080;&#1077;%20&#1087;&#1086;%20&#1101;&#1082;&#1086;&#1085;&#1086;&#1084;&#1080;&#1082;&#1077;%20&#1057;&#1077;&#1090;&#1080;/&#1054;&#1058;&#1044;&#1045;&#1051;%20&#1058;&#1040;&#1056;&#1048;&#1060;&#1054;&#1042;%20&#1048;%20&#1062;&#1045;&#1053;&#1054;&#1054;&#1041;&#1056;&#1040;&#1047;&#1054;&#1042;&#1040;&#1053;&#1048;&#1071;/2014/&#1056;&#1069;&#1050;%20-%20&#1044;&#1062;&#1058;%20&#1072;&#1085;&#1072;&#1083;&#1080;&#1079;%20&#1092;&#1072;&#1082;&#1090;&#1072;%20&#1053;&#1042;&#1042;%20%202013/5.&#1044;&#1086;&#1087;&#1086;&#1083;&#1085;&#1080;&#1090;&#1077;&#1083;&#1100;&#1085;&#1099;&#1077;%20&#1084;&#1072;&#1090;&#1077;&#1088;&#1080;&#1072;&#1083;&#1099;/&#1060;&#1086;&#1088;&#1084;&#1099;%20&#1052;&#1077;&#1090;&#1086;&#1076;&#1080;&#1082;&#1080;/FORM3.1.2015(v1.0.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Usr21-232\&#1055;&#1088;&#1086;&#1077;&#1082;&#1090;&#1099;\&#1040;&#1085;&#1072;&#1083;&#1080;&#1079;%20&#1060;&#1044;\&#1040;&#1085;&#1072;&#1083;&#1080;&#1079;%20&#1060;&#1057;%20&#1079;&#1072;%201%20&#1087;&#1086;&#1083;&#1091;&#1075;&#1086;&#1076;&#1080;&#1077;%202003\&#1056;&#1077;&#1081;&#1090;&#1080;&#1085;&#1075;.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energo\Resource\SHPZ.DBF"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1045;&#1088;&#1084;&#1086;&#1083;&#1077;&#1085;&#1082;&#1086;\&#1056;&#1072;&#1073;&#1086;&#1095;&#1080;&#1081;%20&#1089;&#1090;&#1086;&#1083;\Tarif_demo\Tarif2_demo.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ttp://af4.mail.ru/Documents%20and%20Settings/&#1045;&#1088;&#1084;&#1086;&#1083;&#1077;&#1085;&#1082;&#1086;/&#1056;&#1072;&#1073;&#1086;&#1095;&#1080;&#1081;%20&#1089;&#1090;&#1086;&#1083;/Tarif_demo/Tarif2_demo.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504795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GAVRILOV\common\Documents%20and%20Settings\nata\&#1052;&#1086;&#1080;%20&#1076;&#1086;&#1082;&#1091;&#1084;&#1077;&#1085;&#1090;&#1099;\&#1086;&#1090;&#1076;&#1077;&#1083;&#1099;\&#1046;&#1091;&#1088;&#1085;&#1072;&#1083;_&#1087;&#1077;&#1095;&#1072;&#1090;&#108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Balobanov\plan-99\P-99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af4.mail.ru/B-PL/NBPL/_FES.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GRES.2007.5.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Fin-nina\c\&#1052;&#1086;&#1080;%20&#1076;&#1086;&#1082;&#1091;&#1084;&#1077;&#1085;&#1090;&#1099;\fek%202002\FEK%202002.&#1053;.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W:\DOCUME~1\Ogaraeva.FST\LOCALS~1\Temp\Rar$DI00.860\Documents%20and%20Settings\Shumeev\Local%20Settings\Temporary%20Internet%20Files\OLKAB4\Form10.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Redko\&#1054;&#1073;&#1084;&#1077;&#1085;\&#1040;&#1085;&#1072;&#1090;_&#1088;\&#1058;&#1072;&#1088;&#1080;&#1092;_2006\&#1090;&#1072;&#1073;&#1083;_&#1084;&#1077;&#1090;_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portachev\&#1061;&#1072;&#1085;&#1086;&#1074;&#1072;\&#1043;&#1088;(27.07.00)5&#106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pankrashova_en\Local%20Settings\Temporary%20Internet%20Files\Content.IE5\KH2VWXUR\Model_RAB_MRSK_svod.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shlakina_ah.ENERGO\Local%20Settings\Temporary%20Internet%20Files\Content.IE5\S9MJGT6F\&#1056;&#1072;&#1089;&#1095;&#1077;&#1090;%20&#1040;&#1089;&#1090;&#1088;&#1072;&#1093;&#1072;&#1085;&#1100;&#1101;&#1085;&#1077;&#1088;&#1075;&#1086;.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af4.mail.ru/Documents%20and%20Settings/Rromashchenko.FST/&#1056;&#1072;&#1073;&#1086;&#1095;&#1080;&#1081;%20&#1089;&#1090;&#1086;&#1083;/&#1055;&#1056;&#1040;&#1042;&#1051;&#1045;&#1053;&#1048;&#1045;%202007/&#1055;&#1086;&#1089;&#1083;&#1077;%20&#1055;&#1088;&#1072;&#1074;&#1083;&#1077;&#1085;&#1080;&#1103;/&#1048;&#1090;&#1086;&#1075;/&#1087;&#1088;&#1080;&#1082;&#1072;&#1079;%2028%20&#1085;&#1086;&#1103;&#1073;&#1088;&#1103;%20314_&#1101;_12/&#1055;&#1056;&#1040;&#1042;&#1051;&#1045;&#1053;&#1048;&#1045;%202007/&#1041;&#1072;&#1083;&#1072;&#1085;&#1089;%20&#1101;&#1085;&#1077;&#1088;&#1075;&#1080;&#1103;%20%202007%20&#1055;&#1088;&#1072;&#1074;&#1083;&#1077;&#1085;&#1080;&#1077;031006/21%2008%2006%20&#1073;&#1072;&#1083;&#1072;&#1085;&#1089;&#1099;%20&#1086;&#1090;%20&#1052;&#1053;&#1042;/Form9-&#1057;&#1072;&#1093;&#1072;&#1083;&#1080;&#1085;.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portachev\SC_W\&#1055;&#1088;&#1086;&#1075;&#1085;&#1086;&#1079;\&#1055;&#1088;&#1086;&#1075;05_00(27.06).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Michaelsrv\disk%20t\Documents%20and%20Settings\chernova\&#1052;&#1086;&#1080;%20&#1076;&#1086;&#1082;&#1091;&#1084;&#1077;&#1085;&#1090;&#1099;\Chernova\&#1056;&#1057;&#1050;\Alex\My%20doc\&#1058;&#1040;&#1056;&#1048;&#1060;&#1067;_\&#1090;&#1072;&#1088;&#1080;&#1092;&#1099;%202006&#1075;\&#1087;&#1077;&#1088;&#1077;&#1076;&#1072;&#1095;&#1072;\&#1071;\&#1040;&#1085;&#1072;&#1083;&#1080;&#1079;%20&#1069;&#1082;&#1087;&#1077;&#1088;&#1090;&#1080;&#1079;&#1072;%20&#1076;&#1083;&#1103;%20&#1040;&#1050;%20&#1087;&#1086;&#1089;&#1083;&#1077;&#1076;&#1085;&#1103;&#110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eo-lida\&#1086;&#1073;&#1084;&#1077;&#1085;\&#1042;&#1099;&#1085;&#1077;&#1089;&#1077;&#1085;&#1086;%20&#1089;&#1089;&#1099;&#1083;&#1082;&#1086;&#1081;%20&#1085;&#1072;%20&#1088;&#1072;&#1073;&#1086;&#1095;&#1080;&#1081;%20&#1089;&#1090;&#1086;&#1083;\&#1061;&#1048;&#1053;\&#1042;&#1099;&#1087;&#1086;&#1083;&#1085;&#1077;&#1085;&#1085;&#1077;&#1086;\&#1056;&#1072;&#1089;&#1095;&#1077;&#1090;%20RAB\5\&#1056;&#1072;&#1089;&#1095;&#1077;&#1090;%20RAB_&#1051;&#1077;&#1085;%20&#1080;%20&#1052;&#1054;&#1069;&#1057;&#1050;_&#1089;%202010%20&#1075;&#1086;&#1076;&#1072;_14.04.2009_&#1089;&#1086;%20&#1089;&#1075;&#1083;&#1072;&#1078;_version%203.0_&#1073;&#1077;&#1079;%20&#1060;&#1057;&#1050;.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GAVRILOV\common\WIN\TEMP\Mikhaylov\1\Alexandrov\TMP\pred.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Documents%20and%20Settings/Rogacheva/Local%20Settings/Temporary%20Internet%20Files/Content.IE5/99BCKV55/&#1055;&#1086;%20&#1092;&#1086;&#1088;&#1084;&#1077;%20RAB%20&#1044;&#1086;&#1083;&#1075;&#1086;&#1089;&#1088;&#1086;&#1095;&#1085;&#1099;&#1077;%202012%20&#1074;&#1089;&#1077;%20&#1092;&#1086;&#1088;&#1084;&#1099;/&#1044;&#1086;&#1083;&#1075;&#1086;&#1089;&#1088;&#1086;&#1095;&#1085;&#1099;&#1077;%20%20&#1056;&#1086;&#1084;&#1072;&#1085;&#1094;&#1086;&#1074;&#1072;.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energo\Resource\COMMON\JDANOVA\&#1060;&#1054;\&#1050;&#1085;&#1080;&#1075;&#1072;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1059;&#1087;&#1088;&#1072;&#1074;&#1083;&#1077;&#1085;&#1080;&#1077;%20&#1087;&#1086;%20&#1101;&#1082;&#1086;&#1085;&#1086;&#1084;&#1080;&#1082;&#1077;%20&#1057;&#1077;&#1090;&#1080;/&#1054;&#1058;&#1044;&#1045;&#1051;%20&#1058;&#1040;&#1056;&#1048;&#1060;&#1054;&#1042;%20&#1048;%20&#1062;&#1045;&#1053;&#1054;&#1054;&#1041;&#1056;&#1040;&#1047;&#1054;&#1042;&#1040;&#1053;&#1048;&#1071;/2016/1.%20&#1055;&#1045;&#1056;&#1045;&#1044;&#1040;&#1063;&#1040;/&#1056;&#1072;&#1089;&#1095;&#1077;&#1090;&#1085;&#1072;&#1103;%20&#1074;&#1077;&#1083;&#1080;&#1095;&#1080;&#1085;&#1072;%20&#1074;&#1099;&#1088;&#1091;&#1095;&#1082;&#1080;%202015-2016&#1075;&#1075;..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1059;&#1087;&#1088;&#1072;&#1074;&#1083;&#1077;&#1085;&#1080;&#1077;%20&#1087;&#1086;%20&#1101;&#1082;&#1086;&#1085;&#1086;&#1084;&#1080;&#1082;&#1077;%20&#1057;&#1077;&#1090;&#1080;/&#1054;&#1058;&#1044;&#1045;&#1051;%20&#1058;&#1040;&#1056;&#1048;&#1060;&#1054;&#1042;%20&#1048;%20&#1062;&#1045;&#1053;&#1054;&#1054;&#1041;&#1056;&#1040;&#1047;&#1054;&#1042;&#1040;&#1053;&#1048;&#1071;/2016/1.%20&#1055;&#1045;&#1056;&#1045;&#1044;&#1040;&#1063;&#1040;/3.2%20&#1040;&#1085;&#1072;&#1083;&#1080;&#1079;%20&#1053;&#1042;&#1042;%20&#1079;&#1072;%202014%20&#1075;&#1086;&#1076;,%20&#1088;&#1072;&#1073;&#1086;&#1090;&#1072;%20&#1089;%20&#1056;&#1069;&#1050;/2.%20&#1056;&#1072;&#1073;&#1086;&#1090;&#1072;%20&#1089;%20&#1048;&#1088;&#1086;&#1081;/1.%20&#1040;&#1085;&#1072;&#1083;&#1080;&#1079;%20&#1053;&#1042;&#1042;%20&#1079;&#1072;%202014%20&#1075;&#1086;&#1076;%2029.12.2014%20&#1085;&#1077;&#1095;&#1077;&#1089;&#1086;&#1074;%20-4%20762%20004.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1059;&#1087;&#1088;&#1072;&#1074;&#1083;&#1077;&#1085;&#1080;&#1077;%20&#1087;&#1086;%20&#1101;&#1082;&#1086;&#1085;&#1086;&#1084;&#1080;&#1082;&#1077;%20&#1057;&#1077;&#1090;&#1080;/&#1054;&#1058;&#1044;&#1045;&#1051;%20&#1058;&#1040;&#1056;&#1048;&#1060;&#1054;&#1042;%20&#1048;%20&#1062;&#1045;&#1053;&#1054;&#1054;&#1041;&#1056;&#1040;&#1047;&#1054;&#1042;&#1040;&#1053;&#1048;&#1071;/2016/1.%20&#1055;&#1045;&#1056;&#1045;&#1044;&#1040;&#1063;&#1040;/3.2%20&#1040;&#1085;&#1072;&#1083;&#1080;&#1079;%20&#1053;&#1042;&#1042;%20&#1079;&#1072;%202014%20&#1075;&#1086;&#1076;,%20&#1088;&#1072;&#1073;&#1086;&#1090;&#1072;%20&#1089;%20&#1056;&#1069;&#1050;/2.%20&#1056;&#1072;&#1073;&#1086;&#1090;&#1072;%20&#1089;%20&#1048;&#1088;&#1086;&#1081;/3.1.%20&#1040;&#1085;&#1072;&#1083;&#1080;&#1079;%20&#1053;&#1042;&#1042;%20&#1079;&#1072;%202014%20&#1075;&#1086;&#1076;,%20&#1088;&#1072;&#1073;&#1086;&#1090;&#1072;%20&#1089;%20&#1048;&#1088;&#1086;&#1081;%20&#1087;&#1086;%20&#1087;&#1088;&#1080;&#1084;&#1077;&#1095;&#1072;&#1085;&#1080;&#1103;&#1084;_20.11.15.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1059;&#1087;&#1088;&#1072;&#1074;&#1083;&#1077;&#1085;&#1080;&#1077;%20&#1087;&#1086;%20&#1101;&#1082;&#1086;&#1085;&#1086;&#1084;&#1080;&#1082;&#1077;%20&#1057;&#1077;&#1090;&#1080;/&#1054;&#1058;&#1044;&#1045;&#1051;%20&#1058;&#1040;&#1056;&#1048;&#1060;&#1054;&#1042;%20&#1048;%20&#1062;&#1045;&#1053;&#1054;&#1054;&#1041;&#1056;&#1040;&#1047;&#1054;&#1042;&#1040;&#1053;&#1048;&#1071;/2016/1.%20&#1055;&#1045;&#1056;&#1045;&#1044;&#1040;&#1063;&#1040;/3.2%20&#1040;&#1085;&#1072;&#1083;&#1080;&#1079;%20&#1053;&#1042;&#1042;%20&#1079;&#1072;%202014%20&#1075;&#1086;&#1076;,%20&#1088;&#1072;&#1073;&#1086;&#1090;&#1072;%20&#1089;%20&#1056;&#1069;&#1050;/2.%20&#1056;&#1072;&#1073;&#1086;&#1090;&#1072;%20&#1089;%20&#1048;&#1088;&#1086;&#1081;/2.2.%20&#1040;&#1085;&#1072;&#1083;&#1080;&#1079;%20&#1053;&#1042;&#1042;%20&#1079;&#1072;%202014%20&#1075;&#1086;&#1076;,%20&#1087;&#1083;&#1072;&#1085;%20&#1085;&#1072;%202016%20&#1075;&#1086;&#1076;_&#1088;&#1072;&#1073;&#1086;&#1090;&#1072;_20.11.15.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1059;&#1087;&#1088;&#1072;&#1074;&#1083;&#1077;&#1085;&#1080;&#1077;%20&#1087;&#1086;%20&#1101;&#1082;&#1086;&#1085;&#1086;&#1084;&#1080;&#1082;&#1077;%20&#1057;&#1077;&#1090;&#1080;/&#1054;&#1058;&#1044;&#1045;&#1051;%20&#1058;&#1040;&#1056;&#1048;&#1060;&#1054;&#1042;%20&#1048;%20&#1062;&#1045;&#1053;&#1054;&#1054;&#1041;&#1056;&#1040;&#1047;&#1054;&#1042;&#1040;&#1053;&#1048;&#1071;/2017/&#1055;&#1045;&#1056;&#1045;&#1044;&#1040;&#1063;&#1040;/1.%20&#1058;&#1072;&#1088;&#1080;&#1092;&#1085;&#1086;&#1077;%20&#1076;&#1077;&#1083;&#1086;%202017/&#1050;&#1086;&#1087;&#1080;&#1103;%20&#1052;&#1072;&#1082;&#1077;&#1090;%204%20&#1082;&#1074;._%20&#1075;&#1086;&#1076;%202015.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1059;&#1087;&#1088;&#1072;&#1074;&#1083;&#1077;&#1085;&#1080;&#1077;%20&#1087;&#1086;%20&#1101;&#1082;&#1086;&#1085;&#1086;&#1084;&#1080;&#1082;&#1077;%20&#1057;&#1077;&#1090;&#1080;/&#1050;&#1086;&#1087;&#1080;&#1103;/&#1055;&#1051;&#1040;&#1053;&#1054;&#1042;&#1054;-&#1069;&#1050;&#1054;&#1053;&#1054;&#1052;&#1048;&#1063;&#1045;&#1057;&#1050;&#1048;&#1049;%20&#1054;&#1058;&#1044;&#1045;&#1051;/2015/&#1041;&#1055;%20&#1080;&#1089;&#1087;&#1086;&#1083;&#1085;&#1077;&#1085;&#1080;&#1077;%20&#1060;&#1040;&#1050;&#1058;&#1040;%202015/&#1060;&#1072;&#1082;&#1090;%20&#1079;&#1072;%2012%20&#1084;&#1077;&#1089;.%202015%20&#1075;&#1086;&#1076;&#1072;/&#1042;&#1089;&#1087;&#1086;&#1084;&#1086;&#1075;&#1072;&#1090;&#1077;&#1083;&#1100;&#1085;&#1099;&#1077;%20&#1084;&#1072;&#1090;&#1077;&#1088;&#1080;&#1072;&#1083;&#1099;/&#1076;&#1086;&#1093;&#1086;&#1076;&#1099;%20&#1087;&#1088;&#1086;&#1096;&#1083;&#1099;&#1093;%20&#1083;&#1077;&#1090;%202014%20&#1075;&#1086;&#1076;.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1059;&#1087;&#1088;&#1072;&#1074;&#1083;&#1077;&#1085;&#1080;&#1077;%20&#1087;&#1086;%20&#1101;&#1082;&#1086;&#1085;&#1086;&#1084;&#1080;&#1082;&#1077;%20&#1057;&#1077;&#1090;&#1080;/&#1050;&#1086;&#1087;&#1080;&#1103;/&#1055;&#1051;&#1040;&#1053;&#1054;&#1042;&#1054;-&#1069;&#1050;&#1054;&#1053;&#1054;&#1052;&#1048;&#1063;&#1045;&#1057;&#1050;&#1048;&#1049;%20&#1054;&#1058;&#1044;&#1045;&#1051;/2014/&#1041;&#1055;%202014/&#1050;&#1086;&#1088;&#1088;&#1077;&#1082;&#1090;&#1080;&#1088;&#1086;&#1074;&#1082;&#1072;%20&#1041;&#1055;%202014/&#1052;&#1072;&#1082;&#1077;&#1090;%20&#1041;&#1044;&#1056;%20&#1082;&#1086;&#1088;&#1088;&#1077;&#1082;&#1090;&#1080;&#1088;&#1086;&#1074;&#1082;&#1072;%20201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1059;&#1087;&#1088;&#1072;&#1074;&#1083;&#1077;&#1085;&#1080;&#1077;%20&#1087;&#1086;%20&#1101;&#1082;&#1086;&#1085;&#1086;&#1084;&#1080;&#1082;&#1077;%20&#1057;&#1077;&#1090;&#1080;/&#1054;&#1058;&#1044;&#1045;&#1051;%20&#1058;&#1040;&#1056;&#1048;&#1060;&#1054;&#1042;%20&#1048;%20&#1062;&#1045;&#1053;&#1054;&#1054;&#1041;&#1056;&#1040;&#1047;&#1054;&#1042;&#1040;&#1053;&#1048;&#1071;/2014/&#1056;&#1069;&#1050;-%202012-2014/&#1048;&#1090;&#1086;&#1075;&#1086;&#1074;&#1099;&#1077;%20&#1092;&#1086;&#1088;&#1084;&#1072;&#1090;&#1099;%202012-2014%20&#1075;&#1086;&#1076;/DOCUME~1/SINICI~1/LOCALS~1/Temp/7zO182.tmp/KOTEL.POTERI.NET.FACT.3.23(v2.0)%202012.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1059;&#1087;&#1088;&#1072;&#1074;&#1083;&#1077;&#1085;&#1080;&#1077;%20&#1087;&#1086;%20&#1101;&#1082;&#1086;&#1085;&#1086;&#1084;&#1080;&#1082;&#1077;%20&#1057;&#1077;&#1090;&#1080;/&#1054;&#1058;&#1044;&#1045;&#1051;%20&#1058;&#1040;&#1056;&#1048;&#1060;&#1054;&#1042;%20&#1048;%20&#1062;&#1045;&#1053;&#1054;&#1054;&#1041;&#1056;&#1040;&#1047;&#1054;&#1042;&#1040;&#1053;&#1048;&#1071;/2017/&#1055;&#1045;&#1056;&#1045;&#1044;&#1040;&#1063;&#1040;/1.%20&#1058;&#1072;&#1088;&#1080;&#1092;&#1085;&#1086;&#1077;%20&#1076;&#1077;&#1083;&#1086;%202017/1.%20&#1053;&#1042;&#1042;%20&#1085;&#1072;%202017%20&#1075;&#1086;&#1076;.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1059;&#1087;&#1088;&#1072;&#1074;&#1083;&#1077;&#1085;&#1080;&#1077;%20&#1087;&#1086;%20&#1101;&#1082;&#1086;&#1085;&#1086;&#1084;&#1080;&#1082;&#1077;%20&#1057;&#1077;&#1090;&#1080;/&#1054;&#1058;&#1044;&#1045;&#1051;%20&#1058;&#1040;&#1056;&#1048;&#1060;&#1054;&#1042;%20&#1048;%20&#1062;&#1045;&#1053;&#1054;&#1054;&#1041;&#1056;&#1040;&#1047;&#1054;&#1042;&#1040;&#1053;&#1048;&#1071;/2017/&#1055;&#1045;&#1056;&#1045;&#1044;&#1040;&#1063;&#1040;/1.%20&#1058;&#1072;&#1088;&#1080;&#1092;&#1085;&#1086;&#1077;%20&#1076;&#1077;&#1083;&#1086;%202017/3.1.%20&#1040;&#1085;&#1072;&#1083;&#1080;&#1079;%20&#1053;&#1042;&#1042;%20&#1079;&#1072;%202014%20&#1075;&#1086;&#1076;,%20&#1088;&#1072;&#1073;&#1086;&#1090;&#1072;%20&#1089;%20&#1048;&#1088;&#1086;&#1081;%20&#1087;&#1086;%20&#1087;&#1088;&#1080;&#1084;&#1077;&#1095;&#1072;&#1085;&#1080;&#1103;&#1084;_20.11.15.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1059;&#1087;&#1088;&#1072;&#1074;&#1083;&#1077;&#1085;&#1080;&#1077;%20&#1087;&#1086;%20&#1101;&#1082;&#1086;&#1085;&#1086;&#1084;&#1080;&#1082;&#1077;%20&#1057;&#1077;&#1090;&#1080;/&#1054;&#1058;&#1044;&#1045;&#1051;%20&#1058;&#1040;&#1056;&#1048;&#1060;&#1054;&#1042;%20&#1048;%20&#1062;&#1045;&#1053;&#1054;&#1054;&#1041;&#1056;&#1040;&#1047;&#1054;&#1042;&#1040;&#1053;&#1048;&#1071;/2017/&#1055;&#1045;&#1056;&#1045;&#1044;&#1040;&#1063;&#1040;/1.%20&#1058;&#1072;&#1088;&#1080;&#1092;&#1085;&#1086;&#1077;%20&#1076;&#1077;&#1083;&#1086;%202017/2.2.%20&#1040;&#1085;&#1072;&#1083;&#1080;&#1079;%20&#1053;&#1042;&#1042;%20&#1079;&#1072;%202014%20&#1075;&#1086;&#1076;,%20&#1087;&#1083;&#1072;&#1085;%20&#1085;&#1072;%202016%20&#1075;&#1086;&#1076;_&#1088;&#1072;&#1073;&#1086;&#1090;&#1072;_20.11.15.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pankrashova_en\Local%20Settings\Temporary%20Internet%20Files\Content.IE5\MFY38D0X\Documents%20and%20Settings\vgrishanov\&#1056;&#1072;&#1073;&#1086;&#1095;&#1080;&#1081;%20&#1089;&#1090;&#1086;&#1083;\&#1055;&#1083;&#1072;&#1085;%20&#1085;&#1072;%202008-2010(13.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nergo\Resource\&#1052;&#1086;&#1080;%20&#1076;&#1086;&#1082;&#1091;&#1084;&#1077;&#1085;&#1090;&#1099;\&#1073;&#1080;&#1079;&#1085;&#1077;&#1089;-&#1087;&#1083;&#1072;&#1085;\2003%20&#1075;&#1086;&#1076;\ARH.Biznes_pl.2003%20(&#1080;&#1089;&#1093;&#1086;&#1076;&#1085;&#1099;&#1081;%20&#1076;&#1083;&#1103;%20&#1101;&#1082;&#1086;&#1085;&#1086;&#1084;&#1080;&#1089;&#1090;&#1086;&#107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факт"/>
      <sheetName val="на 1 тут"/>
      <sheetName val="Воркута-99"/>
      <sheetName val="Воркута2000"/>
      <sheetName val="Воркута2002"/>
      <sheetName val="Лист1"/>
      <sheetName val="FES"/>
      <sheetName val="Позиция"/>
      <sheetName val="ВАРИАНТ 3 РАБОЧИЙ"/>
      <sheetName val="20"/>
      <sheetName val="23"/>
      <sheetName val="26"/>
      <sheetName val="27"/>
      <sheetName val="28"/>
      <sheetName val="21"/>
      <sheetName val="29"/>
      <sheetName val="Справочники"/>
      <sheetName val="25"/>
      <sheetName val="19"/>
      <sheetName val="22"/>
      <sheetName val="24"/>
      <sheetName val="UGOL"/>
      <sheetName val="Кедровский"/>
      <sheetName val="TEHSHEET"/>
      <sheetName val="план 2000"/>
      <sheetName val="Перегруппировка"/>
      <sheetName val="ПрЭС"/>
      <sheetName val="Главная для ТП"/>
      <sheetName val="1.15 (д.б.)"/>
      <sheetName val="Заголовок"/>
      <sheetName val="EKDEB90"/>
      <sheetName val="Смета_"/>
      <sheetName val="ФОТ по месяцам"/>
      <sheetName val="Смета ДУ и ПД"/>
      <sheetName val="Главная"/>
      <sheetName val="на_1_тут"/>
      <sheetName val="ВАРИАНТ_3_РАБОЧИЙ"/>
      <sheetName val="план_2000"/>
      <sheetName val="Главная_для_ТП"/>
      <sheetName val="1_15_(д_б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Инструкция"/>
      <sheetName val="Заголовок"/>
      <sheetName val="Расчет расходов RAB"/>
      <sheetName val="расчет НВВ и тарифа RAB"/>
    </sheetNames>
    <sheetDataSet>
      <sheetData sheetId="0"/>
      <sheetData sheetId="1"/>
      <sheetData sheetId="2"/>
      <sheetData sheetId="3"/>
      <sheetData sheetId="4"/>
      <sheetData sheetId="5"/>
      <sheetData sheetId="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3"/>
      <sheetName val="4"/>
      <sheetName val="5"/>
      <sheetName val="6"/>
      <sheetName val="Списки"/>
      <sheetName val="15"/>
      <sheetName val="16"/>
      <sheetName val="17"/>
      <sheetName val="17.1"/>
      <sheetName val="18.2"/>
      <sheetName val="20"/>
      <sheetName val="20.1"/>
      <sheetName val="21.3"/>
      <sheetName val="24"/>
      <sheetName val="25"/>
      <sheetName val="27"/>
      <sheetName val="P2.1"/>
      <sheetName val="P2.2"/>
      <sheetName val="свод"/>
      <sheetName val="2.3"/>
      <sheetName val="перекрестка"/>
      <sheetName val="Справочники"/>
      <sheetName val="TEHSHEET"/>
      <sheetName val="УФ-61"/>
    </sheetNames>
    <sheetDataSet>
      <sheetData sheetId="0" refreshError="1">
        <row r="21">
          <cell r="B21" t="str">
            <v>EXP</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Инструкция"/>
      <sheetName val="Заголовок"/>
      <sheetName val="Справочники"/>
      <sheetName val="2009"/>
      <sheetName val="Топливо2009"/>
      <sheetName val="Приложение"/>
      <sheetName val="FUELSHEET"/>
      <sheetName val="TEHSHEET"/>
    </sheetNames>
    <sheetDataSet>
      <sheetData sheetId="0"/>
      <sheetData sheetId="1"/>
      <sheetData sheetId="2"/>
      <sheetData sheetId="3"/>
      <sheetData sheetId="4"/>
      <sheetData sheetId="5"/>
      <sheetData sheetId="6"/>
      <sheetData sheetId="7"/>
      <sheetData sheetId="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s>
    <sheetDataSet>
      <sheetData sheetId="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 val="Данные"/>
      <sheetName val="TEHSHEET"/>
      <sheetName val="Топливо2009"/>
      <sheetName val="2009"/>
    </sheetNames>
    <sheetDataSet>
      <sheetData sheetId="0" refreshError="1"/>
      <sheetData sheetId="1" refreshError="1"/>
      <sheetData sheetId="2" refreshError="1">
        <row r="5">
          <cell r="G5">
            <v>4551113.38</v>
          </cell>
          <cell r="L5">
            <v>10075324.5272</v>
          </cell>
        </row>
        <row r="6">
          <cell r="G6">
            <v>4521433.4000000004</v>
          </cell>
          <cell r="L6">
            <v>3814916.7736999998</v>
          </cell>
        </row>
        <row r="7">
          <cell r="G7">
            <v>0</v>
          </cell>
          <cell r="L7">
            <v>4521433.4000000004</v>
          </cell>
        </row>
        <row r="8">
          <cell r="G8">
            <v>0</v>
          </cell>
          <cell r="L8">
            <v>56451.085700000003</v>
          </cell>
        </row>
        <row r="9">
          <cell r="G9">
            <v>0</v>
          </cell>
        </row>
        <row r="10">
          <cell r="G10">
            <v>4521433.4000000004</v>
          </cell>
        </row>
        <row r="11">
          <cell r="G11">
            <v>0</v>
          </cell>
        </row>
        <row r="12">
          <cell r="L12">
            <v>5501148.3165999996</v>
          </cell>
        </row>
        <row r="13">
          <cell r="L13">
            <v>0</v>
          </cell>
        </row>
        <row r="14">
          <cell r="L14">
            <v>0</v>
          </cell>
        </row>
        <row r="15">
          <cell r="L15">
            <v>10308344.719799999</v>
          </cell>
        </row>
        <row r="16">
          <cell r="G16">
            <v>29679.98</v>
          </cell>
          <cell r="L16">
            <v>-873048.69680000003</v>
          </cell>
        </row>
        <row r="17">
          <cell r="G17">
            <v>1117742.5658</v>
          </cell>
          <cell r="L17">
            <v>-7109.3</v>
          </cell>
        </row>
        <row r="18">
          <cell r="G18">
            <v>267845.42259999999</v>
          </cell>
          <cell r="L18">
            <v>1093729.4369000001</v>
          </cell>
        </row>
        <row r="19">
          <cell r="G19">
            <v>645315.34199999995</v>
          </cell>
          <cell r="L19">
            <v>913.10149999999999</v>
          </cell>
        </row>
        <row r="20">
          <cell r="L20">
            <v>4899.0182000000004</v>
          </cell>
        </row>
        <row r="21">
          <cell r="G21">
            <v>2074016.5419999999</v>
          </cell>
          <cell r="L21">
            <v>1197.818</v>
          </cell>
        </row>
        <row r="22">
          <cell r="L22">
            <v>0</v>
          </cell>
        </row>
        <row r="23">
          <cell r="G23">
            <v>27925.445400000001</v>
          </cell>
          <cell r="L23">
            <v>0</v>
          </cell>
        </row>
        <row r="24">
          <cell r="G24">
            <v>27925.445400000001</v>
          </cell>
        </row>
        <row r="25">
          <cell r="G25">
            <v>0</v>
          </cell>
        </row>
        <row r="26">
          <cell r="G26">
            <v>0</v>
          </cell>
        </row>
        <row r="27">
          <cell r="G27">
            <v>0</v>
          </cell>
        </row>
        <row r="28">
          <cell r="G28">
            <v>0</v>
          </cell>
        </row>
        <row r="29">
          <cell r="G29">
            <v>0</v>
          </cell>
        </row>
        <row r="30">
          <cell r="G30">
            <v>2046091.0966</v>
          </cell>
        </row>
        <row r="32">
          <cell r="G32">
            <v>8656033.2523999996</v>
          </cell>
        </row>
        <row r="33">
          <cell r="G33">
            <v>0</v>
          </cell>
        </row>
        <row r="34">
          <cell r="G34">
            <v>0</v>
          </cell>
        </row>
        <row r="35">
          <cell r="G35">
            <v>8656033.2523999996</v>
          </cell>
        </row>
        <row r="37">
          <cell r="G37">
            <v>67501</v>
          </cell>
        </row>
        <row r="39">
          <cell r="G39">
            <v>67501</v>
          </cell>
        </row>
        <row r="40">
          <cell r="G40">
            <v>187845.14480000001</v>
          </cell>
        </row>
        <row r="41">
          <cell r="G41">
            <v>273188.36800000002</v>
          </cell>
        </row>
        <row r="42">
          <cell r="G42">
            <v>528534.51280000003</v>
          </cell>
        </row>
        <row r="43">
          <cell r="G43">
            <v>-890756.76199999999</v>
          </cell>
        </row>
        <row r="45">
          <cell r="G45">
            <v>10075324.5272</v>
          </cell>
        </row>
        <row r="47">
          <cell r="G47">
            <v>4899.0182000000004</v>
          </cell>
        </row>
        <row r="49">
          <cell r="G49">
            <v>205.6601</v>
          </cell>
        </row>
        <row r="52">
          <cell r="G52">
            <v>0</v>
          </cell>
        </row>
        <row r="53">
          <cell r="G53">
            <v>0</v>
          </cell>
        </row>
        <row r="54">
          <cell r="G54">
            <v>0</v>
          </cell>
        </row>
        <row r="55">
          <cell r="G55">
            <v>0</v>
          </cell>
        </row>
        <row r="57">
          <cell r="G57">
            <v>0</v>
          </cell>
        </row>
        <row r="58">
          <cell r="G58">
            <v>0</v>
          </cell>
        </row>
        <row r="60">
          <cell r="G60">
            <v>0</v>
          </cell>
        </row>
        <row r="61">
          <cell r="G61">
            <v>0</v>
          </cell>
        </row>
        <row r="63">
          <cell r="G63">
            <v>0</v>
          </cell>
        </row>
        <row r="64">
          <cell r="G64">
            <v>0</v>
          </cell>
        </row>
        <row r="65">
          <cell r="G65">
            <v>0</v>
          </cell>
        </row>
        <row r="66">
          <cell r="G66">
            <v>0</v>
          </cell>
        </row>
        <row r="67">
          <cell r="G67">
            <v>0</v>
          </cell>
        </row>
        <row r="68">
          <cell r="G68">
            <v>0</v>
          </cell>
        </row>
        <row r="70">
          <cell r="G70">
            <v>0</v>
          </cell>
        </row>
        <row r="71">
          <cell r="G71">
            <v>0</v>
          </cell>
        </row>
        <row r="72">
          <cell r="G72">
            <v>0</v>
          </cell>
        </row>
        <row r="73">
          <cell r="G73">
            <v>0</v>
          </cell>
        </row>
        <row r="74">
          <cell r="G74">
            <v>0</v>
          </cell>
        </row>
        <row r="75">
          <cell r="G75">
            <v>0</v>
          </cell>
        </row>
        <row r="77">
          <cell r="G77">
            <v>0</v>
          </cell>
        </row>
        <row r="78">
          <cell r="G78">
            <v>0</v>
          </cell>
        </row>
        <row r="80">
          <cell r="G80">
            <v>0</v>
          </cell>
        </row>
        <row r="81">
          <cell r="G81">
            <v>0</v>
          </cell>
        </row>
        <row r="82">
          <cell r="G82">
            <v>0</v>
          </cell>
        </row>
        <row r="83">
          <cell r="G83">
            <v>0</v>
          </cell>
        </row>
        <row r="85">
          <cell r="G85">
            <v>0</v>
          </cell>
        </row>
        <row r="87">
          <cell r="G87">
            <v>0</v>
          </cell>
        </row>
        <row r="88">
          <cell r="G88">
            <v>0</v>
          </cell>
        </row>
        <row r="89">
          <cell r="G89">
            <v>0</v>
          </cell>
        </row>
        <row r="90">
          <cell r="G90">
            <v>0</v>
          </cell>
        </row>
        <row r="91">
          <cell r="G91">
            <v>0</v>
          </cell>
        </row>
        <row r="93">
          <cell r="G93">
            <v>4885.2489999999998</v>
          </cell>
        </row>
        <row r="95">
          <cell r="G95">
            <v>0</v>
          </cell>
        </row>
        <row r="96">
          <cell r="G96">
            <v>0</v>
          </cell>
        </row>
        <row r="100">
          <cell r="G100">
            <v>0</v>
          </cell>
        </row>
        <row r="101">
          <cell r="G101">
            <v>0</v>
          </cell>
        </row>
        <row r="102">
          <cell r="G102">
            <v>0</v>
          </cell>
        </row>
        <row r="103">
          <cell r="G103">
            <v>0</v>
          </cell>
        </row>
        <row r="105">
          <cell r="G105">
            <v>0</v>
          </cell>
        </row>
        <row r="106">
          <cell r="G106">
            <v>0</v>
          </cell>
        </row>
        <row r="108">
          <cell r="G108">
            <v>0</v>
          </cell>
        </row>
        <row r="109">
          <cell r="G109">
            <v>0</v>
          </cell>
        </row>
        <row r="111">
          <cell r="G111">
            <v>0</v>
          </cell>
        </row>
        <row r="112">
          <cell r="G112">
            <v>0</v>
          </cell>
        </row>
        <row r="113">
          <cell r="G113">
            <v>0</v>
          </cell>
        </row>
        <row r="114">
          <cell r="G114">
            <v>0</v>
          </cell>
        </row>
        <row r="115">
          <cell r="G115">
            <v>0</v>
          </cell>
        </row>
        <row r="116">
          <cell r="G116">
            <v>0</v>
          </cell>
        </row>
        <row r="118">
          <cell r="G118">
            <v>0</v>
          </cell>
        </row>
        <row r="119">
          <cell r="G119">
            <v>0</v>
          </cell>
        </row>
        <row r="120">
          <cell r="G120">
            <v>0</v>
          </cell>
        </row>
        <row r="121">
          <cell r="G121">
            <v>0</v>
          </cell>
        </row>
        <row r="122">
          <cell r="G122">
            <v>0</v>
          </cell>
        </row>
        <row r="123">
          <cell r="G123">
            <v>0</v>
          </cell>
        </row>
        <row r="125">
          <cell r="G125">
            <v>0</v>
          </cell>
        </row>
        <row r="126">
          <cell r="G126">
            <v>0</v>
          </cell>
        </row>
        <row r="128">
          <cell r="G128">
            <v>0</v>
          </cell>
        </row>
        <row r="129">
          <cell r="G129">
            <v>0</v>
          </cell>
        </row>
        <row r="130">
          <cell r="G130">
            <v>0</v>
          </cell>
        </row>
        <row r="131">
          <cell r="G131">
            <v>0</v>
          </cell>
        </row>
        <row r="133">
          <cell r="G133">
            <v>0</v>
          </cell>
        </row>
        <row r="135">
          <cell r="G135">
            <v>0</v>
          </cell>
        </row>
        <row r="136">
          <cell r="G136">
            <v>0</v>
          </cell>
        </row>
        <row r="137">
          <cell r="G137">
            <v>0</v>
          </cell>
        </row>
        <row r="138">
          <cell r="G138">
            <v>0</v>
          </cell>
        </row>
        <row r="139">
          <cell r="G139">
            <v>0</v>
          </cell>
        </row>
        <row r="141">
          <cell r="G141">
            <v>0</v>
          </cell>
        </row>
        <row r="143">
          <cell r="G143">
            <v>0</v>
          </cell>
        </row>
        <row r="144">
          <cell r="G144">
            <v>0</v>
          </cell>
        </row>
        <row r="149">
          <cell r="G149">
            <v>7246471.5</v>
          </cell>
        </row>
        <row r="150">
          <cell r="G150">
            <v>7164333.5</v>
          </cell>
        </row>
        <row r="151">
          <cell r="G151">
            <v>672196</v>
          </cell>
        </row>
        <row r="152">
          <cell r="G152">
            <v>1067.018</v>
          </cell>
        </row>
        <row r="153">
          <cell r="G153">
            <v>62.997599999999998</v>
          </cell>
        </row>
        <row r="154">
          <cell r="G154">
            <v>6492137.5</v>
          </cell>
        </row>
        <row r="155">
          <cell r="G155">
            <v>3514.51</v>
          </cell>
        </row>
        <row r="156">
          <cell r="G156">
            <v>184.72380000000001</v>
          </cell>
        </row>
        <row r="157">
          <cell r="G157">
            <v>0</v>
          </cell>
        </row>
        <row r="158">
          <cell r="G158">
            <v>0</v>
          </cell>
        </row>
        <row r="160">
          <cell r="G160">
            <v>82138</v>
          </cell>
        </row>
        <row r="161">
          <cell r="G161">
            <v>754472</v>
          </cell>
        </row>
        <row r="162">
          <cell r="G162">
            <v>181699</v>
          </cell>
        </row>
        <row r="163">
          <cell r="G163">
            <v>293126</v>
          </cell>
        </row>
        <row r="164">
          <cell r="G164">
            <v>0</v>
          </cell>
        </row>
        <row r="165">
          <cell r="G165">
            <v>1055372.8999999999</v>
          </cell>
        </row>
        <row r="167">
          <cell r="G167">
            <v>33455</v>
          </cell>
        </row>
        <row r="168">
          <cell r="G168">
            <v>33455</v>
          </cell>
        </row>
        <row r="169">
          <cell r="G169">
            <v>0</v>
          </cell>
        </row>
        <row r="170">
          <cell r="G170">
            <v>0</v>
          </cell>
        </row>
        <row r="171">
          <cell r="G171">
            <v>0</v>
          </cell>
        </row>
        <row r="172">
          <cell r="G172">
            <v>0</v>
          </cell>
        </row>
        <row r="174">
          <cell r="G174">
            <v>0</v>
          </cell>
        </row>
        <row r="175">
          <cell r="G175">
            <v>1021917.9</v>
          </cell>
        </row>
        <row r="177">
          <cell r="G177">
            <v>9531141.4000000004</v>
          </cell>
        </row>
        <row r="178">
          <cell r="G178">
            <v>0</v>
          </cell>
        </row>
        <row r="179">
          <cell r="G179">
            <v>-211795.6</v>
          </cell>
        </row>
        <row r="180">
          <cell r="G180">
            <v>9742937</v>
          </cell>
        </row>
        <row r="182">
          <cell r="G182">
            <v>70876</v>
          </cell>
        </row>
        <row r="184">
          <cell r="G184">
            <v>70876</v>
          </cell>
        </row>
        <row r="185">
          <cell r="G185">
            <v>93095</v>
          </cell>
        </row>
        <row r="186">
          <cell r="G186">
            <v>83302</v>
          </cell>
        </row>
        <row r="187">
          <cell r="G187">
            <v>247273</v>
          </cell>
        </row>
        <row r="188">
          <cell r="G188">
            <v>9990210</v>
          </cell>
        </row>
        <row r="190">
          <cell r="G190">
            <v>4885.2420000000002</v>
          </cell>
        </row>
        <row r="192">
          <cell r="G192">
            <v>204.49780000000001</v>
          </cell>
        </row>
        <row r="193">
          <cell r="G193">
            <v>3</v>
          </cell>
        </row>
        <row r="197">
          <cell r="G197">
            <v>30806</v>
          </cell>
        </row>
        <row r="198">
          <cell r="G198">
            <v>162856</v>
          </cell>
        </row>
        <row r="199">
          <cell r="G199">
            <v>246720</v>
          </cell>
        </row>
        <row r="200">
          <cell r="G200">
            <v>3162101</v>
          </cell>
        </row>
        <row r="201">
          <cell r="G201">
            <v>97739</v>
          </cell>
        </row>
        <row r="202">
          <cell r="G202">
            <v>0</v>
          </cell>
        </row>
        <row r="203">
          <cell r="G203">
            <v>97739</v>
          </cell>
        </row>
        <row r="204">
          <cell r="G204">
            <v>1050666</v>
          </cell>
        </row>
        <row r="205">
          <cell r="G205">
            <v>259805</v>
          </cell>
        </row>
        <row r="206">
          <cell r="G206">
            <v>518097</v>
          </cell>
        </row>
        <row r="207">
          <cell r="G207">
            <v>527232</v>
          </cell>
        </row>
        <row r="208">
          <cell r="G208">
            <v>6056022</v>
          </cell>
        </row>
        <row r="209">
          <cell r="G209">
            <v>0</v>
          </cell>
        </row>
        <row r="210">
          <cell r="G210">
            <v>0</v>
          </cell>
        </row>
        <row r="211">
          <cell r="G211">
            <v>6056022</v>
          </cell>
        </row>
        <row r="212">
          <cell r="G212">
            <v>12685</v>
          </cell>
        </row>
        <row r="214">
          <cell r="G214">
            <v>12685</v>
          </cell>
        </row>
        <row r="215">
          <cell r="G215">
            <v>25380</v>
          </cell>
        </row>
        <row r="216">
          <cell r="G216">
            <v>7796.5</v>
          </cell>
        </row>
        <row r="217">
          <cell r="G217">
            <v>200248.5</v>
          </cell>
        </row>
        <row r="219">
          <cell r="G219">
            <v>27394</v>
          </cell>
        </row>
        <row r="220">
          <cell r="G220">
            <v>169360</v>
          </cell>
        </row>
        <row r="221">
          <cell r="G221">
            <v>3424.5</v>
          </cell>
        </row>
        <row r="222">
          <cell r="G222">
            <v>70</v>
          </cell>
        </row>
        <row r="223">
          <cell r="G223">
            <v>190005.5</v>
          </cell>
        </row>
        <row r="224">
          <cell r="G224">
            <v>436115.5</v>
          </cell>
        </row>
        <row r="226">
          <cell r="G226">
            <v>0</v>
          </cell>
        </row>
        <row r="228">
          <cell r="G228">
            <v>6492137.5</v>
          </cell>
        </row>
        <row r="230">
          <cell r="G230">
            <v>3821.2640000000001</v>
          </cell>
        </row>
        <row r="232">
          <cell r="G232">
            <v>1698.9503</v>
          </cell>
        </row>
      </sheetData>
      <sheetData sheetId="3" refreshError="1"/>
      <sheetData sheetId="4" refreshError="1"/>
      <sheetData sheetId="5" refreshError="1"/>
      <sheetData sheetId="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Справочники"/>
      <sheetName val="Инструкция"/>
      <sheetName val="3"/>
      <sheetName val="4"/>
      <sheetName val="5"/>
      <sheetName val="свод"/>
      <sheetName val="К снятию в 2012 году в эксертно"/>
      <sheetName val="НЭСК сети расчет тарифа"/>
      <sheetName val="расчет 2012 (2)"/>
      <sheetName val="К снятию в 2012 году"/>
      <sheetName val="анализ 2010"/>
      <sheetName val="Инвестиции"/>
      <sheetName val="16"/>
      <sheetName val="17"/>
      <sheetName val="17.1"/>
      <sheetName val="24 "/>
      <sheetName val="24"/>
      <sheetName val="25"/>
      <sheetName val="P2.1"/>
      <sheetName val="P2.2"/>
      <sheetName val="перекрестка"/>
      <sheetName val="Ф-1 (для АО-энерго)"/>
      <sheetName val="Ф-2 (для АО-энерго)"/>
      <sheetName val="TEHSHEET"/>
    </sheetNames>
    <sheetDataSet>
      <sheetData sheetId="0"/>
      <sheetData sheetId="1">
        <row r="15">
          <cell r="B15">
            <v>2007</v>
          </cell>
        </row>
      </sheetData>
      <sheetData sheetId="2">
        <row r="13">
          <cell r="E13" t="str">
            <v>Краснодарский край</v>
          </cell>
        </row>
        <row r="21">
          <cell r="D21" t="str">
            <v>Краснодарский край</v>
          </cell>
        </row>
        <row r="27">
          <cell r="F27" t="str">
            <v>Сводный по региону</v>
          </cell>
        </row>
      </sheetData>
      <sheetData sheetId="3"/>
      <sheetData sheetId="4"/>
      <sheetData sheetId="5">
        <row r="15">
          <cell r="H15">
            <v>7.29</v>
          </cell>
          <cell r="M15">
            <v>32.42</v>
          </cell>
          <cell r="R15">
            <v>1.6557499362291563</v>
          </cell>
          <cell r="W15">
            <v>1.6557499362291563</v>
          </cell>
          <cell r="AB15">
            <v>9.9700000000000006</v>
          </cell>
        </row>
        <row r="16">
          <cell r="H16">
            <v>48.32</v>
          </cell>
          <cell r="I16">
            <v>0.48</v>
          </cell>
          <cell r="M16">
            <v>53.58</v>
          </cell>
          <cell r="N16">
            <v>0.55100000000000005</v>
          </cell>
          <cell r="R16">
            <v>57.751634432025533</v>
          </cell>
          <cell r="S16">
            <v>0.45711209261557595</v>
          </cell>
          <cell r="W16">
            <v>57.751634432025533</v>
          </cell>
          <cell r="X16">
            <v>0.45711209261557595</v>
          </cell>
          <cell r="AB16">
            <v>104.24</v>
          </cell>
          <cell r="AC16">
            <v>44.305999999999997</v>
          </cell>
        </row>
        <row r="17">
          <cell r="I17">
            <v>2780.56</v>
          </cell>
          <cell r="N17">
            <v>3035.23</v>
          </cell>
          <cell r="S17">
            <v>2925.16</v>
          </cell>
          <cell r="X17">
            <v>2925.16</v>
          </cell>
          <cell r="AC17">
            <v>3132.72</v>
          </cell>
        </row>
        <row r="19">
          <cell r="F19">
            <v>106.4</v>
          </cell>
          <cell r="G19">
            <v>107.23</v>
          </cell>
          <cell r="H19">
            <v>5111.28</v>
          </cell>
          <cell r="I19">
            <v>4.3099999999999996</v>
          </cell>
          <cell r="K19">
            <v>115.79</v>
          </cell>
          <cell r="L19">
            <v>99.51</v>
          </cell>
          <cell r="M19">
            <v>5442.23</v>
          </cell>
          <cell r="N19">
            <v>8.81</v>
          </cell>
          <cell r="P19">
            <v>100.71799139111307</v>
          </cell>
          <cell r="Q19">
            <v>118.09</v>
          </cell>
          <cell r="R19">
            <v>5390.36</v>
          </cell>
          <cell r="S19">
            <v>9.4427619706761288</v>
          </cell>
          <cell r="U19">
            <v>100.71799139111307</v>
          </cell>
          <cell r="V19">
            <v>118.09</v>
          </cell>
          <cell r="W19">
            <v>5390.36</v>
          </cell>
          <cell r="X19">
            <v>9.4427619706761288</v>
          </cell>
          <cell r="Z19">
            <v>109.85</v>
          </cell>
          <cell r="AA19">
            <v>216.38</v>
          </cell>
          <cell r="AB19">
            <v>5686.45</v>
          </cell>
          <cell r="AC19">
            <v>7.01</v>
          </cell>
        </row>
        <row r="20">
          <cell r="H20">
            <v>0</v>
          </cell>
          <cell r="I20">
            <v>0</v>
          </cell>
        </row>
        <row r="23">
          <cell r="H23">
            <v>0</v>
          </cell>
          <cell r="I23">
            <v>5.38</v>
          </cell>
          <cell r="N23">
            <v>5.0199999999999996</v>
          </cell>
          <cell r="R23">
            <v>0</v>
          </cell>
          <cell r="S23">
            <v>5.77</v>
          </cell>
          <cell r="W23">
            <v>0</v>
          </cell>
          <cell r="X23">
            <v>5.77</v>
          </cell>
          <cell r="AB23">
            <v>0</v>
          </cell>
          <cell r="AC23">
            <v>5.44</v>
          </cell>
        </row>
        <row r="25">
          <cell r="F25">
            <v>98.98</v>
          </cell>
          <cell r="G25">
            <v>57.06</v>
          </cell>
          <cell r="H25">
            <v>2013.18</v>
          </cell>
          <cell r="I25">
            <v>2273.6</v>
          </cell>
          <cell r="K25">
            <v>82.89</v>
          </cell>
          <cell r="L25">
            <v>43.64</v>
          </cell>
          <cell r="M25">
            <v>2022.51</v>
          </cell>
          <cell r="N25">
            <v>2388.2199999999998</v>
          </cell>
          <cell r="P25">
            <v>98.985249564225299</v>
          </cell>
          <cell r="Q25">
            <v>58.49</v>
          </cell>
          <cell r="R25">
            <v>2082</v>
          </cell>
          <cell r="S25">
            <v>2387.16</v>
          </cell>
          <cell r="U25">
            <v>98.985249564225299</v>
          </cell>
          <cell r="V25">
            <v>58.49</v>
          </cell>
          <cell r="W25">
            <v>2082</v>
          </cell>
          <cell r="X25">
            <v>2387.16</v>
          </cell>
          <cell r="Z25">
            <v>99.71</v>
          </cell>
          <cell r="AA25">
            <v>66.209999999999994</v>
          </cell>
          <cell r="AB25">
            <v>2182.19</v>
          </cell>
          <cell r="AC25">
            <v>2609.69</v>
          </cell>
        </row>
      </sheetData>
      <sheetData sheetId="6">
        <row r="15">
          <cell r="H15">
            <v>1.02</v>
          </cell>
          <cell r="M15">
            <v>4.78</v>
          </cell>
          <cell r="R15">
            <v>0.23180499107208519</v>
          </cell>
          <cell r="W15">
            <v>0.23180499107208519</v>
          </cell>
          <cell r="AB15">
            <v>1.46</v>
          </cell>
        </row>
        <row r="16">
          <cell r="H16">
            <v>6.73</v>
          </cell>
          <cell r="I16">
            <v>7.0000000000000007E-2</v>
          </cell>
          <cell r="M16">
            <v>7.9</v>
          </cell>
          <cell r="N16">
            <v>0.08</v>
          </cell>
          <cell r="R16">
            <v>8.0852288204835716</v>
          </cell>
          <cell r="S16">
            <v>6.3995692966180601E-2</v>
          </cell>
          <cell r="W16">
            <v>8.0852288204835716</v>
          </cell>
          <cell r="X16">
            <v>6.3995692966180601E-2</v>
          </cell>
          <cell r="AB16">
            <v>15.29</v>
          </cell>
          <cell r="AC16">
            <v>6.5</v>
          </cell>
        </row>
        <row r="17">
          <cell r="I17">
            <v>386.96</v>
          </cell>
          <cell r="N17">
            <v>447.7</v>
          </cell>
          <cell r="S17">
            <v>379.18836268525666</v>
          </cell>
          <cell r="X17">
            <v>379.18836268525666</v>
          </cell>
          <cell r="AC17">
            <v>459.47</v>
          </cell>
        </row>
        <row r="19">
          <cell r="F19">
            <v>14.81</v>
          </cell>
          <cell r="G19">
            <v>14.92</v>
          </cell>
          <cell r="H19">
            <v>711.32</v>
          </cell>
          <cell r="I19">
            <v>0.6</v>
          </cell>
          <cell r="K19">
            <v>17.079999999999998</v>
          </cell>
          <cell r="L19">
            <v>14.68</v>
          </cell>
          <cell r="M19">
            <v>802.73</v>
          </cell>
          <cell r="N19">
            <v>1.3</v>
          </cell>
          <cell r="P19">
            <v>14.100518794755825</v>
          </cell>
          <cell r="Q19">
            <v>15.58342785822399</v>
          </cell>
          <cell r="R19">
            <v>705.24979560131112</v>
          </cell>
          <cell r="S19">
            <v>1.3219866758946575</v>
          </cell>
          <cell r="U19">
            <v>14.100518794755825</v>
          </cell>
          <cell r="V19">
            <v>15.58342785822399</v>
          </cell>
          <cell r="W19">
            <v>705.24979560131112</v>
          </cell>
          <cell r="X19">
            <v>1.3219866758946575</v>
          </cell>
          <cell r="Z19">
            <v>16.11</v>
          </cell>
          <cell r="AA19">
            <v>31.74</v>
          </cell>
          <cell r="AB19">
            <v>834.01</v>
          </cell>
          <cell r="AC19">
            <v>1.03</v>
          </cell>
        </row>
        <row r="20">
          <cell r="K20">
            <v>0</v>
          </cell>
          <cell r="L20">
            <v>0</v>
          </cell>
          <cell r="M20">
            <v>0</v>
          </cell>
          <cell r="N20">
            <v>0</v>
          </cell>
        </row>
        <row r="21">
          <cell r="F21">
            <v>0.02</v>
          </cell>
          <cell r="G21">
            <v>0.19</v>
          </cell>
          <cell r="H21">
            <v>51.93</v>
          </cell>
          <cell r="I21">
            <v>70.47</v>
          </cell>
          <cell r="K21">
            <v>7.0000000000000007E-2</v>
          </cell>
          <cell r="L21">
            <v>0.26</v>
          </cell>
          <cell r="M21">
            <v>69.400000000000006</v>
          </cell>
          <cell r="N21">
            <v>96.07</v>
          </cell>
          <cell r="P21">
            <v>1.0778864692205731E-2</v>
          </cell>
          <cell r="Q21">
            <v>0.19494985464485756</v>
          </cell>
          <cell r="R21">
            <v>58.877352845298745</v>
          </cell>
          <cell r="S21">
            <v>68.966837629141367</v>
          </cell>
          <cell r="U21">
            <v>1.0778864692205731E-2</v>
          </cell>
          <cell r="V21">
            <v>0.19494985464485756</v>
          </cell>
          <cell r="W21">
            <v>58.877352845298745</v>
          </cell>
          <cell r="X21">
            <v>68.966837629141367</v>
          </cell>
          <cell r="Z21">
            <v>0.02</v>
          </cell>
          <cell r="AA21">
            <v>0.24</v>
          </cell>
          <cell r="AB21">
            <v>71.239999999999995</v>
          </cell>
          <cell r="AC21">
            <v>83.44</v>
          </cell>
        </row>
        <row r="23">
          <cell r="H23">
            <v>0</v>
          </cell>
          <cell r="I23">
            <v>0.75</v>
          </cell>
          <cell r="N23">
            <v>0.74</v>
          </cell>
          <cell r="S23">
            <v>0.81</v>
          </cell>
          <cell r="X23">
            <v>0.81</v>
          </cell>
          <cell r="AC23">
            <v>0.8</v>
          </cell>
        </row>
        <row r="25">
          <cell r="F25">
            <v>13.77</v>
          </cell>
          <cell r="G25">
            <v>7.94</v>
          </cell>
          <cell r="H25">
            <v>280.17</v>
          </cell>
          <cell r="I25">
            <v>316.41000000000003</v>
          </cell>
          <cell r="K25">
            <v>12.23</v>
          </cell>
          <cell r="L25">
            <v>6.44</v>
          </cell>
          <cell r="M25">
            <v>298.32</v>
          </cell>
          <cell r="N25">
            <v>352.26</v>
          </cell>
          <cell r="P25">
            <v>13.857934938991534</v>
          </cell>
          <cell r="Q25">
            <v>7.2392534901293795</v>
          </cell>
          <cell r="R25">
            <v>275.50111388231136</v>
          </cell>
          <cell r="S25">
            <v>310.79750742497617</v>
          </cell>
          <cell r="U25">
            <v>13.857934938991534</v>
          </cell>
          <cell r="V25">
            <v>7.2392534901293795</v>
          </cell>
          <cell r="W25">
            <v>275.50111388231136</v>
          </cell>
          <cell r="X25">
            <v>310.79750742497617</v>
          </cell>
          <cell r="Z25">
            <v>14.62</v>
          </cell>
          <cell r="AA25">
            <v>9.7100000000000009</v>
          </cell>
          <cell r="AB25">
            <v>320.05</v>
          </cell>
          <cell r="AC25">
            <v>382.75</v>
          </cell>
        </row>
      </sheetData>
      <sheetData sheetId="7">
        <row r="10">
          <cell r="E10">
            <v>741.65000000000009</v>
          </cell>
          <cell r="F10">
            <v>835.79</v>
          </cell>
          <cell r="G10">
            <v>736.25572893018557</v>
          </cell>
          <cell r="H10">
            <v>736.25572893018557</v>
          </cell>
          <cell r="I10">
            <v>882.89</v>
          </cell>
          <cell r="J10">
            <v>119.91621461239845</v>
          </cell>
          <cell r="K10">
            <v>119.91621461239845</v>
          </cell>
          <cell r="L10">
            <v>119.04402346120135</v>
          </cell>
          <cell r="M10">
            <v>105.63538687947928</v>
          </cell>
        </row>
        <row r="11">
          <cell r="E11">
            <v>1013.07</v>
          </cell>
          <cell r="F11">
            <v>1129.71</v>
          </cell>
          <cell r="G11">
            <v>994.96520192618686</v>
          </cell>
          <cell r="H11">
            <v>994.96520192618686</v>
          </cell>
          <cell r="I11">
            <v>1209.8699999999999</v>
          </cell>
          <cell r="J11">
            <v>121.59922755667954</v>
          </cell>
          <cell r="K11">
            <v>121.59922755667954</v>
          </cell>
          <cell r="L11">
            <v>119.42610086173708</v>
          </cell>
          <cell r="M11">
            <v>107.0956263111772</v>
          </cell>
        </row>
        <row r="12">
          <cell r="E12">
            <v>618.29</v>
          </cell>
          <cell r="F12">
            <v>669.25</v>
          </cell>
          <cell r="G12">
            <v>607.39580973640841</v>
          </cell>
          <cell r="H12">
            <v>607.39580973640841</v>
          </cell>
          <cell r="I12">
            <v>727.13</v>
          </cell>
          <cell r="J12">
            <v>119.7127125910784</v>
          </cell>
          <cell r="K12">
            <v>119.7127125910784</v>
          </cell>
          <cell r="L12">
            <v>117.60338999498619</v>
          </cell>
          <cell r="M12">
            <v>108.64848711243931</v>
          </cell>
        </row>
        <row r="13">
          <cell r="E13">
            <v>1977854.402538883</v>
          </cell>
          <cell r="F13">
            <v>2704595.0730996472</v>
          </cell>
          <cell r="G13">
            <v>2865673.0175072737</v>
          </cell>
          <cell r="H13">
            <v>4179421.0605011219</v>
          </cell>
          <cell r="I13" t="e">
            <v>#VALUE!</v>
          </cell>
          <cell r="J13" t="e">
            <v>#VALUE!</v>
          </cell>
          <cell r="K13" t="e">
            <v>#VALUE!</v>
          </cell>
          <cell r="L13" t="e">
            <v>#VALUE!</v>
          </cell>
          <cell r="M13" t="e">
            <v>#VALUE!</v>
          </cell>
        </row>
        <row r="14">
          <cell r="E14">
            <v>304986.74</v>
          </cell>
          <cell r="F14">
            <v>179234.64959000002</v>
          </cell>
          <cell r="G14">
            <v>274488.06599999999</v>
          </cell>
          <cell r="H14">
            <v>400743.53</v>
          </cell>
          <cell r="I14" t="e">
            <v>#VALUE!</v>
          </cell>
          <cell r="J14" t="e">
            <v>#VALUE!</v>
          </cell>
          <cell r="K14" t="e">
            <v>#VALUE!</v>
          </cell>
          <cell r="L14" t="e">
            <v>#VALUE!</v>
          </cell>
          <cell r="M14" t="e">
            <v>#VALUE!</v>
          </cell>
        </row>
        <row r="15">
          <cell r="E15">
            <v>63245.49</v>
          </cell>
          <cell r="F15">
            <v>35188.559999999998</v>
          </cell>
          <cell r="G15">
            <v>56920.940999999999</v>
          </cell>
          <cell r="H15">
            <v>81176.899999999994</v>
          </cell>
          <cell r="I15" t="e">
            <v>#VALUE!</v>
          </cell>
          <cell r="J15" t="e">
            <v>#VALUE!</v>
          </cell>
          <cell r="K15" t="e">
            <v>#VALUE!</v>
          </cell>
          <cell r="L15" t="e">
            <v>#VALUE!</v>
          </cell>
          <cell r="M15" t="e">
            <v>#VALUE!</v>
          </cell>
        </row>
        <row r="16">
          <cell r="E16">
            <v>241741.25</v>
          </cell>
          <cell r="F16">
            <v>144046.08959000002</v>
          </cell>
          <cell r="G16">
            <v>217567.125</v>
          </cell>
          <cell r="H16">
            <v>319566.63</v>
          </cell>
          <cell r="I16" t="e">
            <v>#VALUE!</v>
          </cell>
          <cell r="J16" t="e">
            <v>#VALUE!</v>
          </cell>
          <cell r="K16" t="e">
            <v>#VALUE!</v>
          </cell>
          <cell r="L16" t="e">
            <v>#VALUE!</v>
          </cell>
          <cell r="M16" t="e">
            <v>#VALUE!</v>
          </cell>
        </row>
        <row r="17">
          <cell r="E17">
            <v>11570</v>
          </cell>
          <cell r="F17">
            <v>15878.543000000001</v>
          </cell>
          <cell r="G17">
            <v>17585.349999999999</v>
          </cell>
          <cell r="H17">
            <v>22266.300000000003</v>
          </cell>
          <cell r="I17">
            <v>28064.5</v>
          </cell>
          <cell r="J17">
            <v>159.59022709243774</v>
          </cell>
          <cell r="K17">
            <v>126.04024916577966</v>
          </cell>
          <cell r="L17">
            <v>242.56266205704407</v>
          </cell>
          <cell r="M17">
            <v>176.74480586789355</v>
          </cell>
        </row>
        <row r="18">
          <cell r="E18">
            <v>11570</v>
          </cell>
          <cell r="F18">
            <v>13140.503000000001</v>
          </cell>
          <cell r="G18">
            <v>13131.95</v>
          </cell>
          <cell r="H18">
            <v>17812.900000000001</v>
          </cell>
          <cell r="I18">
            <v>20558.7</v>
          </cell>
          <cell r="J18">
            <v>156.55481478379068</v>
          </cell>
          <cell r="K18">
            <v>115.41467138983546</v>
          </cell>
          <cell r="L18">
            <v>177.68971477960241</v>
          </cell>
          <cell r="M18">
            <v>156.45291508247439</v>
          </cell>
        </row>
        <row r="19">
          <cell r="F19">
            <v>2738.04</v>
          </cell>
          <cell r="G19">
            <v>4453.3999999999996</v>
          </cell>
          <cell r="H19">
            <v>4453.3999999999996</v>
          </cell>
          <cell r="I19">
            <v>7505.8</v>
          </cell>
          <cell r="J19">
            <v>168.54089010643557</v>
          </cell>
          <cell r="K19">
            <v>168.54089010643557</v>
          </cell>
          <cell r="L19">
            <v>0</v>
          </cell>
          <cell r="M19">
            <v>274.13039984806653</v>
          </cell>
        </row>
        <row r="20">
          <cell r="E20">
            <v>34166.997958782798</v>
          </cell>
          <cell r="F20">
            <v>52689.306408079174</v>
          </cell>
          <cell r="G20">
            <v>34166.997958782798</v>
          </cell>
          <cell r="H20">
            <v>242583.65428416143</v>
          </cell>
          <cell r="I20">
            <v>509065.93623089395</v>
          </cell>
          <cell r="J20">
            <v>1489.9346347168203</v>
          </cell>
          <cell r="K20">
            <v>209.85170568606259</v>
          </cell>
          <cell r="L20">
            <v>1489.9346347168203</v>
          </cell>
          <cell r="M20">
            <v>966.16556742685782</v>
          </cell>
        </row>
        <row r="21">
          <cell r="E21">
            <v>12756.667558782799</v>
          </cell>
          <cell r="F21">
            <v>31470.754814311178</v>
          </cell>
          <cell r="G21">
            <v>9566.7579587828004</v>
          </cell>
          <cell r="H21">
            <v>205393.50554073573</v>
          </cell>
          <cell r="I21" t="e">
            <v>#REF!</v>
          </cell>
          <cell r="J21" t="e">
            <v>#REF!</v>
          </cell>
          <cell r="K21" t="e">
            <v>#REF!</v>
          </cell>
          <cell r="L21" t="e">
            <v>#REF!</v>
          </cell>
          <cell r="M21" t="e">
            <v>#REF!</v>
          </cell>
        </row>
        <row r="22">
          <cell r="E22">
            <v>21410.330399999999</v>
          </cell>
          <cell r="F22">
            <v>21218.551593767996</v>
          </cell>
          <cell r="G22">
            <v>24600.239999999998</v>
          </cell>
          <cell r="H22">
            <v>37190.148743425692</v>
          </cell>
          <cell r="I22" t="e">
            <v>#REF!</v>
          </cell>
          <cell r="J22" t="e">
            <v>#REF!</v>
          </cell>
          <cell r="K22" t="e">
            <v>#REF!</v>
          </cell>
          <cell r="L22" t="e">
            <v>#REF!</v>
          </cell>
          <cell r="M22" t="e">
            <v>#REF!</v>
          </cell>
        </row>
        <row r="23">
          <cell r="E23">
            <v>134.76035663631777</v>
          </cell>
          <cell r="F23">
            <v>133.55326735556983</v>
          </cell>
          <cell r="G23">
            <v>43.275438786557253</v>
          </cell>
          <cell r="H23">
            <v>65.422939183076167</v>
          </cell>
          <cell r="I23" t="e">
            <v>#REF!</v>
          </cell>
          <cell r="J23" t="e">
            <v>#REF!</v>
          </cell>
          <cell r="K23" t="e">
            <v>#REF!</v>
          </cell>
          <cell r="L23" t="e">
            <v>#REF!</v>
          </cell>
          <cell r="M23" t="e">
            <v>#REF!</v>
          </cell>
        </row>
        <row r="24">
          <cell r="E24">
            <v>184.13461017091996</v>
          </cell>
          <cell r="F24">
            <v>182.48526076505678</v>
          </cell>
          <cell r="G24">
            <v>232.53996931539342</v>
          </cell>
          <cell r="H24">
            <v>351.54925511422357</v>
          </cell>
          <cell r="I24" t="e">
            <v>#REF!</v>
          </cell>
          <cell r="J24" t="e">
            <v>#REF!</v>
          </cell>
          <cell r="K24" t="e">
            <v>#REF!</v>
          </cell>
          <cell r="L24" t="e">
            <v>#REF!</v>
          </cell>
          <cell r="M24" t="e">
            <v>#REF!</v>
          </cell>
        </row>
        <row r="25">
          <cell r="E25">
            <v>15087.344506587791</v>
          </cell>
          <cell r="F25">
            <v>14952.20259776959</v>
          </cell>
          <cell r="G25">
            <v>17669.786282475456</v>
          </cell>
          <cell r="H25">
            <v>26712.828009393612</v>
          </cell>
          <cell r="I25" t="e">
            <v>#REF!</v>
          </cell>
          <cell r="J25" t="e">
            <v>#REF!</v>
          </cell>
          <cell r="K25" t="e">
            <v>#REF!</v>
          </cell>
          <cell r="L25" t="e">
            <v>#REF!</v>
          </cell>
          <cell r="M25" t="e">
            <v>#REF!</v>
          </cell>
        </row>
        <row r="26">
          <cell r="E26">
            <v>6004.0909266049675</v>
          </cell>
          <cell r="F26">
            <v>5950.3104678777781</v>
          </cell>
          <cell r="G26">
            <v>6654.6383094225939</v>
          </cell>
          <cell r="H26">
            <v>10060.348539734781</v>
          </cell>
          <cell r="I26" t="e">
            <v>#REF!</v>
          </cell>
          <cell r="J26" t="e">
            <v>#REF!</v>
          </cell>
          <cell r="K26" t="e">
            <v>#REF!</v>
          </cell>
          <cell r="L26" t="e">
            <v>#REF!</v>
          </cell>
          <cell r="M26" t="e">
            <v>#REF!</v>
          </cell>
        </row>
        <row r="27">
          <cell r="E27">
            <v>0</v>
          </cell>
          <cell r="F27">
            <v>632211.44306156808</v>
          </cell>
          <cell r="G27">
            <v>670805.81062849076</v>
          </cell>
          <cell r="H27">
            <v>1259744.1062169601</v>
          </cell>
          <cell r="I27">
            <v>1259408.6114400001</v>
          </cell>
          <cell r="J27">
            <v>187.74563241484688</v>
          </cell>
          <cell r="K27">
            <v>99.973368021703436</v>
          </cell>
          <cell r="L27">
            <v>0</v>
          </cell>
          <cell r="M27">
            <v>199.20686745895429</v>
          </cell>
        </row>
        <row r="28">
          <cell r="E28">
            <v>145880.31</v>
          </cell>
          <cell r="F28">
            <v>141971.21299999999</v>
          </cell>
          <cell r="G28">
            <v>145880.20392</v>
          </cell>
          <cell r="H28">
            <v>255777.65</v>
          </cell>
          <cell r="I28">
            <v>359153.99636687996</v>
          </cell>
          <cell r="J28">
            <v>246.19789849199708</v>
          </cell>
          <cell r="K28">
            <v>140.41648923073612</v>
          </cell>
          <cell r="L28">
            <v>246.19771946390844</v>
          </cell>
          <cell r="M28">
            <v>252.97663433141193</v>
          </cell>
        </row>
        <row r="29">
          <cell r="E29">
            <v>93130.674580100371</v>
          </cell>
          <cell r="F29">
            <v>65238.282910000002</v>
          </cell>
          <cell r="G29">
            <v>83817.603000000003</v>
          </cell>
          <cell r="H29">
            <v>199180.68</v>
          </cell>
          <cell r="I29">
            <v>144942.33000000002</v>
          </cell>
          <cell r="J29">
            <v>172.92588288405241</v>
          </cell>
          <cell r="K29">
            <v>72.769271598028496</v>
          </cell>
          <cell r="L29">
            <v>155.63328694171238</v>
          </cell>
          <cell r="M29">
            <v>222.17373532034307</v>
          </cell>
        </row>
        <row r="30">
          <cell r="E30">
            <v>1388119.68</v>
          </cell>
          <cell r="F30">
            <v>1617371.6351299998</v>
          </cell>
          <cell r="G30">
            <v>1638928.9859999998</v>
          </cell>
          <cell r="H30">
            <v>1799125.1400000001</v>
          </cell>
          <cell r="I30">
            <v>229794.15400000001</v>
          </cell>
          <cell r="J30">
            <v>14.020995172026327</v>
          </cell>
          <cell r="K30">
            <v>12.77254977383063</v>
          </cell>
          <cell r="L30">
            <v>16.554347388836099</v>
          </cell>
          <cell r="M30">
            <v>14.207875852943952</v>
          </cell>
        </row>
        <row r="31">
          <cell r="E31">
            <v>0</v>
          </cell>
          <cell r="F31">
            <v>0</v>
          </cell>
          <cell r="G31">
            <v>0</v>
          </cell>
          <cell r="H31">
            <v>0</v>
          </cell>
          <cell r="I31">
            <v>0</v>
          </cell>
          <cell r="J31">
            <v>0</v>
          </cell>
          <cell r="K31">
            <v>0</v>
          </cell>
          <cell r="L31">
            <v>0</v>
          </cell>
          <cell r="M31">
            <v>0</v>
          </cell>
        </row>
        <row r="32">
          <cell r="J32">
            <v>0</v>
          </cell>
          <cell r="K32">
            <v>0</v>
          </cell>
          <cell r="L32">
            <v>0</v>
          </cell>
          <cell r="M32">
            <v>0</v>
          </cell>
        </row>
        <row r="33">
          <cell r="J33">
            <v>0</v>
          </cell>
          <cell r="K33">
            <v>0</v>
          </cell>
          <cell r="L33">
            <v>0</v>
          </cell>
          <cell r="M33">
            <v>0</v>
          </cell>
        </row>
        <row r="34">
          <cell r="J34">
            <v>0</v>
          </cell>
          <cell r="K34">
            <v>0</v>
          </cell>
          <cell r="L34">
            <v>0</v>
          </cell>
          <cell r="M34">
            <v>0</v>
          </cell>
        </row>
        <row r="35">
          <cell r="J35">
            <v>0</v>
          </cell>
          <cell r="K35">
            <v>0</v>
          </cell>
          <cell r="L35">
            <v>0</v>
          </cell>
          <cell r="M35">
            <v>0</v>
          </cell>
        </row>
        <row r="36">
          <cell r="J36">
            <v>0</v>
          </cell>
          <cell r="K36">
            <v>0</v>
          </cell>
          <cell r="L36">
            <v>0</v>
          </cell>
          <cell r="M36">
            <v>0</v>
          </cell>
        </row>
        <row r="37">
          <cell r="E37">
            <v>1423.68</v>
          </cell>
          <cell r="F37">
            <v>1601.34449</v>
          </cell>
          <cell r="G37">
            <v>1423.67</v>
          </cell>
          <cell r="H37">
            <v>1908.6</v>
          </cell>
          <cell r="I37">
            <v>2396.3599999999997</v>
          </cell>
          <cell r="J37">
            <v>168.32271523597458</v>
          </cell>
          <cell r="K37">
            <v>125.55590485172377</v>
          </cell>
          <cell r="L37">
            <v>168.32153292874801</v>
          </cell>
          <cell r="M37">
            <v>149.64675089992659</v>
          </cell>
        </row>
        <row r="38">
          <cell r="E38">
            <v>0.24</v>
          </cell>
          <cell r="F38">
            <v>7.5999999999999998E-2</v>
          </cell>
          <cell r="G38">
            <v>0.23</v>
          </cell>
          <cell r="H38">
            <v>0.23</v>
          </cell>
          <cell r="I38">
            <v>0.12</v>
          </cell>
          <cell r="J38">
            <v>52.173913043478258</v>
          </cell>
          <cell r="K38">
            <v>52.173913043478258</v>
          </cell>
          <cell r="L38">
            <v>50</v>
          </cell>
          <cell r="M38">
            <v>157.89473684210526</v>
          </cell>
        </row>
        <row r="39">
          <cell r="J39">
            <v>0</v>
          </cell>
          <cell r="K39">
            <v>0</v>
          </cell>
          <cell r="L39">
            <v>0</v>
          </cell>
          <cell r="M39">
            <v>0</v>
          </cell>
        </row>
        <row r="40">
          <cell r="E40">
            <v>1423.44</v>
          </cell>
          <cell r="F40">
            <v>1601.2684899999999</v>
          </cell>
          <cell r="G40">
            <v>1423.44</v>
          </cell>
          <cell r="H40">
            <v>1908.37</v>
          </cell>
          <cell r="I40">
            <v>2396.2399999999998</v>
          </cell>
          <cell r="J40">
            <v>168.34148260551899</v>
          </cell>
          <cell r="K40">
            <v>125.56474897425551</v>
          </cell>
          <cell r="L40">
            <v>168.34148260551899</v>
          </cell>
          <cell r="M40">
            <v>149.6463594309534</v>
          </cell>
        </row>
        <row r="41">
          <cell r="E41">
            <v>1386696</v>
          </cell>
          <cell r="F41">
            <v>1615770.2906399998</v>
          </cell>
          <cell r="G41">
            <v>1637505.3159999999</v>
          </cell>
          <cell r="H41">
            <v>1797216.54</v>
          </cell>
          <cell r="I41">
            <v>227397.79400000002</v>
          </cell>
          <cell r="J41">
            <v>13.886843100789056</v>
          </cell>
          <cell r="K41">
            <v>12.652776609767905</v>
          </cell>
          <cell r="L41">
            <v>16.398532482966708</v>
          </cell>
          <cell r="M41">
            <v>14.073646193230147</v>
          </cell>
        </row>
        <row r="42">
          <cell r="E42">
            <v>10687.75</v>
          </cell>
          <cell r="F42">
            <v>17349.64241</v>
          </cell>
          <cell r="G42">
            <v>9618.98</v>
          </cell>
          <cell r="H42">
            <v>19817.7</v>
          </cell>
          <cell r="I42">
            <v>17880.7</v>
          </cell>
          <cell r="J42">
            <v>185.88977209641772</v>
          </cell>
          <cell r="K42">
            <v>90.225909162011746</v>
          </cell>
          <cell r="L42">
            <v>167.30088185071693</v>
          </cell>
          <cell r="M42">
            <v>103.06091374940331</v>
          </cell>
        </row>
        <row r="43">
          <cell r="E43">
            <v>556.77</v>
          </cell>
          <cell r="F43">
            <v>16618.031879999999</v>
          </cell>
          <cell r="G43">
            <v>15768.99</v>
          </cell>
          <cell r="H43">
            <v>25350.69</v>
          </cell>
          <cell r="I43">
            <v>24403.014000000003</v>
          </cell>
          <cell r="J43">
            <v>154.7531833047012</v>
          </cell>
          <cell r="K43">
            <v>96.261734887689471</v>
          </cell>
          <cell r="L43">
            <v>4382.9613664529352</v>
          </cell>
          <cell r="M43">
            <v>146.8465951697284</v>
          </cell>
        </row>
        <row r="44">
          <cell r="E44">
            <v>3225.52</v>
          </cell>
          <cell r="F44">
            <v>54426.992140000002</v>
          </cell>
          <cell r="G44">
            <v>36581</v>
          </cell>
          <cell r="H44">
            <v>58080.4</v>
          </cell>
          <cell r="I44">
            <v>102537.8</v>
          </cell>
          <cell r="J44">
            <v>280.30343621005443</v>
          </cell>
          <cell r="K44">
            <v>176.54458302628771</v>
          </cell>
          <cell r="L44">
            <v>3178.9540911232921</v>
          </cell>
          <cell r="M44">
            <v>188.3951252280244</v>
          </cell>
        </row>
        <row r="45">
          <cell r="E45">
            <v>56727.58</v>
          </cell>
          <cell r="F45">
            <v>60220.340900000003</v>
          </cell>
          <cell r="G45">
            <v>51054.822</v>
          </cell>
          <cell r="H45">
            <v>62400.34</v>
          </cell>
          <cell r="I45">
            <v>80813.279999999999</v>
          </cell>
          <cell r="J45">
            <v>158.28726226878237</v>
          </cell>
          <cell r="K45">
            <v>129.50775588722755</v>
          </cell>
          <cell r="L45">
            <v>142.45853604190413</v>
          </cell>
          <cell r="M45">
            <v>134.19598559595664</v>
          </cell>
        </row>
        <row r="46">
          <cell r="E46">
            <v>3026.52</v>
          </cell>
          <cell r="F46">
            <v>2089.7798600000001</v>
          </cell>
          <cell r="G46">
            <v>2723.8679999999999</v>
          </cell>
          <cell r="H46">
            <v>4086.43</v>
          </cell>
          <cell r="I46">
            <v>1553</v>
          </cell>
          <cell r="J46">
            <v>57.014510247926843</v>
          </cell>
          <cell r="K46">
            <v>38.003832195828636</v>
          </cell>
          <cell r="L46">
            <v>51.313059223134161</v>
          </cell>
          <cell r="M46">
            <v>74.31404760499511</v>
          </cell>
        </row>
        <row r="47">
          <cell r="E47">
            <v>1187496</v>
          </cell>
          <cell r="F47">
            <v>849355.15457999997</v>
          </cell>
          <cell r="G47">
            <v>1406172.47</v>
          </cell>
          <cell r="H47">
            <v>1426172.47</v>
          </cell>
          <cell r="I47">
            <v>0</v>
          </cell>
          <cell r="J47">
            <v>0</v>
          </cell>
          <cell r="K47">
            <v>0</v>
          </cell>
          <cell r="L47">
            <v>0</v>
          </cell>
          <cell r="M47">
            <v>0</v>
          </cell>
        </row>
        <row r="48">
          <cell r="E48">
            <v>10695.06</v>
          </cell>
          <cell r="F48">
            <v>8845.0030000000006</v>
          </cell>
          <cell r="G48">
            <v>9625.5499999999993</v>
          </cell>
          <cell r="H48">
            <v>14053.7</v>
          </cell>
          <cell r="J48">
            <v>0</v>
          </cell>
          <cell r="K48">
            <v>0</v>
          </cell>
          <cell r="L48">
            <v>0</v>
          </cell>
          <cell r="M48">
            <v>0</v>
          </cell>
        </row>
        <row r="49">
          <cell r="E49">
            <v>5668.41</v>
          </cell>
          <cell r="F49">
            <v>3693.098</v>
          </cell>
          <cell r="G49">
            <v>5101.57</v>
          </cell>
          <cell r="H49">
            <v>12153.34</v>
          </cell>
          <cell r="J49">
            <v>0</v>
          </cell>
          <cell r="K49">
            <v>0</v>
          </cell>
          <cell r="L49">
            <v>0</v>
          </cell>
          <cell r="M49">
            <v>0</v>
          </cell>
        </row>
        <row r="50">
          <cell r="E50">
            <v>16419.349999999999</v>
          </cell>
          <cell r="F50">
            <v>3895.9878699999999</v>
          </cell>
          <cell r="G50">
            <v>14777.42</v>
          </cell>
          <cell r="H50">
            <v>14777.42</v>
          </cell>
          <cell r="I50">
            <v>210</v>
          </cell>
          <cell r="J50">
            <v>1.4210870368440498</v>
          </cell>
          <cell r="K50">
            <v>1.4210870368440498</v>
          </cell>
          <cell r="L50">
            <v>1.2789787659072986</v>
          </cell>
          <cell r="M50">
            <v>5.3901605191599327</v>
          </cell>
        </row>
        <row r="51">
          <cell r="J51">
            <v>0</v>
          </cell>
          <cell r="K51">
            <v>0</v>
          </cell>
          <cell r="L51">
            <v>0</v>
          </cell>
          <cell r="M51">
            <v>0</v>
          </cell>
        </row>
        <row r="52">
          <cell r="J52">
            <v>0</v>
          </cell>
          <cell r="K52">
            <v>0</v>
          </cell>
          <cell r="L52">
            <v>0</v>
          </cell>
          <cell r="M52">
            <v>0</v>
          </cell>
        </row>
        <row r="53">
          <cell r="E53">
            <v>92193.04</v>
          </cell>
          <cell r="F53">
            <v>599276.26</v>
          </cell>
          <cell r="G53">
            <v>86080.645999999993</v>
          </cell>
          <cell r="H53">
            <v>160324.04999999999</v>
          </cell>
          <cell r="J53">
            <v>0</v>
          </cell>
          <cell r="K53">
            <v>0</v>
          </cell>
          <cell r="L53">
            <v>0</v>
          </cell>
          <cell r="M53">
            <v>0</v>
          </cell>
        </row>
        <row r="54">
          <cell r="E54">
            <v>73764.920000000013</v>
          </cell>
          <cell r="F54">
            <v>232187.81130999999</v>
          </cell>
          <cell r="G54">
            <v>109464.1</v>
          </cell>
          <cell r="H54">
            <v>172225.28</v>
          </cell>
          <cell r="I54">
            <v>0</v>
          </cell>
          <cell r="J54">
            <v>0</v>
          </cell>
          <cell r="K54">
            <v>0</v>
          </cell>
          <cell r="L54">
            <v>0</v>
          </cell>
          <cell r="M54">
            <v>0</v>
          </cell>
        </row>
        <row r="55">
          <cell r="E55">
            <v>2688.1</v>
          </cell>
          <cell r="F55">
            <v>6137.4722700000002</v>
          </cell>
          <cell r="G55">
            <v>2688.1</v>
          </cell>
          <cell r="H55">
            <v>4978.09</v>
          </cell>
          <cell r="J55">
            <v>0</v>
          </cell>
          <cell r="K55">
            <v>0</v>
          </cell>
          <cell r="L55">
            <v>0</v>
          </cell>
          <cell r="M55">
            <v>0</v>
          </cell>
        </row>
        <row r="56">
          <cell r="E56">
            <v>68339.91</v>
          </cell>
          <cell r="F56">
            <v>224600.33903999999</v>
          </cell>
          <cell r="G56">
            <v>104259.91</v>
          </cell>
          <cell r="H56">
            <v>155931.1</v>
          </cell>
          <cell r="J56">
            <v>0</v>
          </cell>
          <cell r="K56">
            <v>0</v>
          </cell>
          <cell r="L56">
            <v>0</v>
          </cell>
          <cell r="M56">
            <v>0</v>
          </cell>
        </row>
        <row r="57">
          <cell r="E57">
            <v>2736.9099999999994</v>
          </cell>
          <cell r="F57">
            <v>1243.76</v>
          </cell>
          <cell r="G57">
            <v>2516.0900000000006</v>
          </cell>
          <cell r="H57">
            <v>2516.0900000000006</v>
          </cell>
          <cell r="I57">
            <v>0</v>
          </cell>
          <cell r="J57">
            <v>0</v>
          </cell>
          <cell r="K57">
            <v>0</v>
          </cell>
          <cell r="L57">
            <v>0</v>
          </cell>
          <cell r="M57">
            <v>0</v>
          </cell>
        </row>
        <row r="58">
          <cell r="E58">
            <v>17.226589258123006</v>
          </cell>
          <cell r="F58">
            <v>3.1401755884047118</v>
          </cell>
          <cell r="G58">
            <v>4.4261722152494798</v>
          </cell>
          <cell r="H58">
            <v>4.4261722152494798</v>
          </cell>
          <cell r="J58">
            <v>0</v>
          </cell>
          <cell r="K58">
            <v>0</v>
          </cell>
          <cell r="L58">
            <v>0</v>
          </cell>
          <cell r="M58">
            <v>0</v>
          </cell>
        </row>
        <row r="59">
          <cell r="E59">
            <v>23.538163424273566</v>
          </cell>
          <cell r="F59">
            <v>7.5171092369338526</v>
          </cell>
          <cell r="G59">
            <v>23.783974928487218</v>
          </cell>
          <cell r="H59">
            <v>23.783974928487218</v>
          </cell>
          <cell r="J59">
            <v>0</v>
          </cell>
          <cell r="K59">
            <v>0</v>
          </cell>
          <cell r="L59">
            <v>0</v>
          </cell>
          <cell r="M59">
            <v>0</v>
          </cell>
        </row>
        <row r="60">
          <cell r="E60">
            <v>1928.6346021790112</v>
          </cell>
          <cell r="F60">
            <v>873.11491534798938</v>
          </cell>
          <cell r="G60">
            <v>1807.2495458366943</v>
          </cell>
          <cell r="H60">
            <v>1807.2495458366943</v>
          </cell>
          <cell r="J60">
            <v>0</v>
          </cell>
          <cell r="K60">
            <v>0</v>
          </cell>
          <cell r="L60">
            <v>0</v>
          </cell>
          <cell r="M60">
            <v>0</v>
          </cell>
        </row>
        <row r="61">
          <cell r="E61">
            <v>767.51064513859171</v>
          </cell>
          <cell r="F61">
            <v>359.98779982667202</v>
          </cell>
          <cell r="G61">
            <v>680.63030701956961</v>
          </cell>
          <cell r="H61">
            <v>680.63030701956961</v>
          </cell>
          <cell r="J61">
            <v>0</v>
          </cell>
          <cell r="K61">
            <v>0</v>
          </cell>
          <cell r="L61">
            <v>0</v>
          </cell>
          <cell r="M61">
            <v>0</v>
          </cell>
        </row>
        <row r="62">
          <cell r="F62">
            <v>206.24</v>
          </cell>
          <cell r="J62">
            <v>0</v>
          </cell>
          <cell r="K62">
            <v>0</v>
          </cell>
          <cell r="L62">
            <v>0</v>
          </cell>
          <cell r="M62">
            <v>0</v>
          </cell>
        </row>
        <row r="63">
          <cell r="H63">
            <v>8800</v>
          </cell>
          <cell r="J63">
            <v>0</v>
          </cell>
          <cell r="K63">
            <v>0</v>
          </cell>
          <cell r="L63">
            <v>0</v>
          </cell>
          <cell r="M63">
            <v>0</v>
          </cell>
        </row>
        <row r="64">
          <cell r="E64">
            <v>2051619.322538883</v>
          </cell>
          <cell r="F64">
            <v>2936782.884409647</v>
          </cell>
          <cell r="G64">
            <v>2975137.1175072738</v>
          </cell>
          <cell r="H64">
            <v>4351646.3405011222</v>
          </cell>
          <cell r="I64" t="e">
            <v>#VALUE!</v>
          </cell>
          <cell r="J64" t="e">
            <v>#VALUE!</v>
          </cell>
          <cell r="K64" t="e">
            <v>#VALUE!</v>
          </cell>
          <cell r="L64" t="e">
            <v>#VALUE!</v>
          </cell>
          <cell r="M64" t="e">
            <v>#VALUE!</v>
          </cell>
        </row>
        <row r="65">
          <cell r="E65">
            <v>12913.250119078057</v>
          </cell>
          <cell r="F65">
            <v>18479.935812768672</v>
          </cell>
          <cell r="G65">
            <v>5233.7035821723875</v>
          </cell>
          <cell r="H65">
            <v>7655.1856741683087</v>
          </cell>
          <cell r="I65" t="e">
            <v>#REF!</v>
          </cell>
          <cell r="J65" t="e">
            <v>#REF!</v>
          </cell>
          <cell r="K65" t="e">
            <v>#REF!</v>
          </cell>
          <cell r="L65" t="e">
            <v>#REF!</v>
          </cell>
          <cell r="M65" t="e">
            <v>#REF!</v>
          </cell>
        </row>
        <row r="66">
          <cell r="E66">
            <v>17644.478955580438</v>
          </cell>
          <cell r="F66">
            <v>25253.944521429232</v>
          </cell>
          <cell r="G66">
            <v>28123.233513747415</v>
          </cell>
          <cell r="H66">
            <v>41135.033905830802</v>
          </cell>
          <cell r="I66" t="e">
            <v>#REF!</v>
          </cell>
          <cell r="J66" t="e">
            <v>#REF!</v>
          </cell>
          <cell r="K66" t="e">
            <v>#REF!</v>
          </cell>
          <cell r="L66" t="e">
            <v>#REF!</v>
          </cell>
          <cell r="M66" t="e">
            <v>#REF!</v>
          </cell>
        </row>
        <row r="67">
          <cell r="E67">
            <v>1445726.7560670797</v>
          </cell>
          <cell r="F67">
            <v>2069476.8802517031</v>
          </cell>
          <cell r="G67">
            <v>2136972.526585659</v>
          </cell>
          <cell r="H67">
            <v>3125687.4247394032</v>
          </cell>
          <cell r="I67" t="e">
            <v>#REF!</v>
          </cell>
          <cell r="J67" t="e">
            <v>#REF!</v>
          </cell>
          <cell r="K67" t="e">
            <v>#REF!</v>
          </cell>
          <cell r="L67" t="e">
            <v>#REF!</v>
          </cell>
          <cell r="M67" t="e">
            <v>#REF!</v>
          </cell>
        </row>
        <row r="68">
          <cell r="E68">
            <v>575334.83739714453</v>
          </cell>
          <cell r="F68">
            <v>823572.12382374587</v>
          </cell>
          <cell r="G68">
            <v>804807.65382569516</v>
          </cell>
          <cell r="H68">
            <v>1177168.6961817208</v>
          </cell>
          <cell r="I68" t="e">
            <v>#REF!</v>
          </cell>
          <cell r="J68" t="e">
            <v>#REF!</v>
          </cell>
          <cell r="K68" t="e">
            <v>#REF!</v>
          </cell>
          <cell r="L68" t="e">
            <v>#REF!</v>
          </cell>
          <cell r="M68" t="e">
            <v>#REF!</v>
          </cell>
        </row>
        <row r="70">
          <cell r="E70">
            <v>413314.06000000006</v>
          </cell>
          <cell r="F70">
            <v>832051.6</v>
          </cell>
          <cell r="G70">
            <v>1580389.8900000001</v>
          </cell>
          <cell r="H70">
            <v>1936256.5700000003</v>
          </cell>
          <cell r="I70">
            <v>2163184.4032540005</v>
          </cell>
          <cell r="J70">
            <v>136.87662879531584</v>
          </cell>
          <cell r="K70">
            <v>111.71992579754036</v>
          </cell>
          <cell r="L70">
            <v>523.37546979505123</v>
          </cell>
          <cell r="M70">
            <v>259.98200150735846</v>
          </cell>
        </row>
        <row r="71">
          <cell r="E71">
            <v>318411.83</v>
          </cell>
          <cell r="F71">
            <v>82571</v>
          </cell>
          <cell r="G71">
            <v>1533116.2000000002</v>
          </cell>
          <cell r="H71">
            <v>1758091.0000000002</v>
          </cell>
          <cell r="I71">
            <v>2163184.4032540005</v>
          </cell>
          <cell r="J71">
            <v>141.09722428436933</v>
          </cell>
          <cell r="K71">
            <v>123.04166298866215</v>
          </cell>
          <cell r="L71">
            <v>679.36684489831941</v>
          </cell>
          <cell r="M71">
            <v>2619.7870962613997</v>
          </cell>
        </row>
        <row r="72">
          <cell r="E72">
            <v>2004.1396356976627</v>
          </cell>
          <cell r="F72">
            <v>519.7162864809128</v>
          </cell>
          <cell r="G72">
            <v>2696.9767882662641</v>
          </cell>
          <cell r="H72">
            <v>3092.7405363401836</v>
          </cell>
          <cell r="I72">
            <v>3531.4573775661438</v>
          </cell>
          <cell r="J72">
            <v>130.94133375305466</v>
          </cell>
          <cell r="K72">
            <v>114.18537494726664</v>
          </cell>
          <cell r="L72">
            <v>176.20815010411215</v>
          </cell>
          <cell r="M72">
            <v>679.49715439518764</v>
          </cell>
        </row>
        <row r="73">
          <cell r="E73">
            <v>2738.4275298647067</v>
          </cell>
          <cell r="F73">
            <v>710.13284766605148</v>
          </cell>
          <cell r="G73">
            <v>14492.167316454337</v>
          </cell>
          <cell r="H73">
            <v>16618.798320409453</v>
          </cell>
          <cell r="I73">
            <v>18551.647674680549</v>
          </cell>
          <cell r="J73">
            <v>128.01154768353453</v>
          </cell>
          <cell r="K73">
            <v>111.63050009396514</v>
          </cell>
          <cell r="L73">
            <v>677.45622158557183</v>
          </cell>
          <cell r="M73">
            <v>2612.4193150131096</v>
          </cell>
        </row>
        <row r="74">
          <cell r="E74">
            <v>224377.15273105112</v>
          </cell>
          <cell r="F74">
            <v>58185.79629455231</v>
          </cell>
          <cell r="G74">
            <v>1101202.0858414755</v>
          </cell>
          <cell r="H74">
            <v>1262796.3074808847</v>
          </cell>
          <cell r="I74">
            <v>1552660.2208030336</v>
          </cell>
          <cell r="J74">
            <v>140.99684706068999</v>
          </cell>
          <cell r="K74">
            <v>122.95413057553122</v>
          </cell>
          <cell r="L74">
            <v>691.98677401175701</v>
          </cell>
          <cell r="M74">
            <v>2668.4523022475205</v>
          </cell>
        </row>
        <row r="75">
          <cell r="E75">
            <v>89292.110103386527</v>
          </cell>
          <cell r="F75">
            <v>23155.354571300722</v>
          </cell>
          <cell r="G75">
            <v>414724.97005380405</v>
          </cell>
          <cell r="H75">
            <v>475583.15366236586</v>
          </cell>
          <cell r="I75">
            <v>588441.07739872008</v>
          </cell>
          <cell r="J75">
            <v>141.88706248441687</v>
          </cell>
          <cell r="K75">
            <v>123.73042923561508</v>
          </cell>
          <cell r="L75">
            <v>659.00679994838947</v>
          </cell>
          <cell r="M75">
            <v>2541.2743112474186</v>
          </cell>
        </row>
        <row r="76">
          <cell r="E76">
            <v>1770.59</v>
          </cell>
          <cell r="J76">
            <v>0</v>
          </cell>
          <cell r="K76">
            <v>0</v>
          </cell>
          <cell r="L76">
            <v>0</v>
          </cell>
          <cell r="M76">
            <v>0</v>
          </cell>
        </row>
        <row r="77">
          <cell r="E77">
            <v>33379.910000000003</v>
          </cell>
          <cell r="F77">
            <v>63351</v>
          </cell>
          <cell r="G77">
            <v>33379.910000000003</v>
          </cell>
          <cell r="H77">
            <v>112121</v>
          </cell>
          <cell r="J77">
            <v>0</v>
          </cell>
          <cell r="K77">
            <v>0</v>
          </cell>
          <cell r="L77">
            <v>0</v>
          </cell>
          <cell r="M77">
            <v>0</v>
          </cell>
        </row>
        <row r="78">
          <cell r="J78">
            <v>0</v>
          </cell>
          <cell r="K78">
            <v>0</v>
          </cell>
          <cell r="L78">
            <v>0</v>
          </cell>
          <cell r="M78">
            <v>0</v>
          </cell>
        </row>
        <row r="79">
          <cell r="E79">
            <v>59751.73</v>
          </cell>
          <cell r="F79">
            <v>686129.6</v>
          </cell>
          <cell r="G79">
            <v>13893.78</v>
          </cell>
          <cell r="H79">
            <v>66044.570000000007</v>
          </cell>
          <cell r="J79">
            <v>0</v>
          </cell>
          <cell r="K79">
            <v>0</v>
          </cell>
          <cell r="L79">
            <v>0</v>
          </cell>
          <cell r="M79">
            <v>0</v>
          </cell>
        </row>
        <row r="81">
          <cell r="E81">
            <v>34166.997958782798</v>
          </cell>
          <cell r="F81">
            <v>52689.306408079174</v>
          </cell>
          <cell r="G81">
            <v>34166.997958782798</v>
          </cell>
          <cell r="H81">
            <v>242583.65428416143</v>
          </cell>
          <cell r="I81">
            <v>509065.93623089395</v>
          </cell>
          <cell r="J81">
            <v>1489.9346347168203</v>
          </cell>
          <cell r="K81">
            <v>209.85170568606259</v>
          </cell>
          <cell r="L81">
            <v>1489.9346347168203</v>
          </cell>
          <cell r="M81">
            <v>966.16556742685782</v>
          </cell>
        </row>
        <row r="83">
          <cell r="E83">
            <v>601096.65503199538</v>
          </cell>
          <cell r="F83">
            <v>842229.09640090854</v>
          </cell>
          <cell r="G83">
            <v>1975487.3625</v>
          </cell>
          <cell r="H83">
            <v>2547706.0131578948</v>
          </cell>
          <cell r="I83">
            <v>2703980.5040675006</v>
          </cell>
          <cell r="J83">
            <v>136.87662879531584</v>
          </cell>
          <cell r="K83">
            <v>106.13392950766337</v>
          </cell>
          <cell r="L83">
            <v>449.84121628884662</v>
          </cell>
          <cell r="M83">
            <v>321.05047375142948</v>
          </cell>
        </row>
        <row r="84">
          <cell r="E84">
            <v>187782.59503199536</v>
          </cell>
          <cell r="F84">
            <v>10177.496400908578</v>
          </cell>
          <cell r="G84">
            <v>395097.47249999997</v>
          </cell>
          <cell r="H84">
            <v>611449.44315789477</v>
          </cell>
          <cell r="I84">
            <v>540796.10081350012</v>
          </cell>
          <cell r="J84">
            <v>136.87662879531587</v>
          </cell>
          <cell r="K84">
            <v>88.444941256386116</v>
          </cell>
          <cell r="L84">
            <v>287.99053539618865</v>
          </cell>
          <cell r="M84">
            <v>5313.6457092259107</v>
          </cell>
        </row>
        <row r="85">
          <cell r="E85">
            <v>1181.9364299303354</v>
          </cell>
          <cell r="F85">
            <v>64.058938793923545</v>
          </cell>
          <cell r="G85">
            <v>695.03453974015042</v>
          </cell>
          <cell r="H85">
            <v>1075.6294633082439</v>
          </cell>
          <cell r="I85">
            <v>882.86434439153584</v>
          </cell>
          <cell r="J85">
            <v>127.02452812224389</v>
          </cell>
          <cell r="K85">
            <v>82.07885470858777</v>
          </cell>
          <cell r="L85">
            <v>74.696432230587291</v>
          </cell>
          <cell r="M85">
            <v>1378.2063221991461</v>
          </cell>
        </row>
        <row r="86">
          <cell r="E86">
            <v>1614.9809128167492</v>
          </cell>
          <cell r="F86">
            <v>87.529211239880823</v>
          </cell>
          <cell r="G86">
            <v>3734.7584467362722</v>
          </cell>
          <cell r="H86">
            <v>5779.8799828721703</v>
          </cell>
          <cell r="I86">
            <v>4637.9119186701373</v>
          </cell>
          <cell r="J86">
            <v>124.18237979281128</v>
          </cell>
          <cell r="K86">
            <v>80.242356803496122</v>
          </cell>
          <cell r="L86">
            <v>287.18060268470794</v>
          </cell>
          <cell r="M86">
            <v>5298.7018310488002</v>
          </cell>
        </row>
        <row r="87">
          <cell r="E87">
            <v>132325.87497055979</v>
          </cell>
          <cell r="F87">
            <v>7171.8367510603694</v>
          </cell>
          <cell r="G87">
            <v>283789.42237235181</v>
          </cell>
          <cell r="H87">
            <v>439190.06412696082</v>
          </cell>
          <cell r="I87">
            <v>388165.05520075845</v>
          </cell>
          <cell r="J87">
            <v>136.77925412295968</v>
          </cell>
          <cell r="K87">
            <v>88.382021112514948</v>
          </cell>
          <cell r="L87">
            <v>293.34025207626132</v>
          </cell>
          <cell r="M87">
            <v>5412.3520748484343</v>
          </cell>
        </row>
        <row r="88">
          <cell r="E88">
            <v>52659.802718688472</v>
          </cell>
          <cell r="F88">
            <v>2854.0714998144031</v>
          </cell>
          <cell r="G88">
            <v>106878.25714117177</v>
          </cell>
          <cell r="H88">
            <v>165403.86958475364</v>
          </cell>
          <cell r="I88">
            <v>147110.26934967999</v>
          </cell>
          <cell r="J88">
            <v>137.64284082155939</v>
          </cell>
          <cell r="K88">
            <v>88.940040954906479</v>
          </cell>
          <cell r="L88">
            <v>279.35970466040493</v>
          </cell>
          <cell r="M88">
            <v>5154.4002790135564</v>
          </cell>
        </row>
        <row r="90">
          <cell r="E90">
            <v>-51451</v>
          </cell>
          <cell r="G90">
            <v>-64582.3</v>
          </cell>
          <cell r="J90">
            <v>0</v>
          </cell>
          <cell r="K90">
            <v>0</v>
          </cell>
          <cell r="L90">
            <v>0</v>
          </cell>
          <cell r="M90">
            <v>0</v>
          </cell>
        </row>
        <row r="92">
          <cell r="E92">
            <v>549645.65503199538</v>
          </cell>
          <cell r="F92">
            <v>842229.09640090854</v>
          </cell>
          <cell r="G92">
            <v>1910905.0625</v>
          </cell>
          <cell r="H92">
            <v>2547706.0131578948</v>
          </cell>
          <cell r="I92">
            <v>2703980.5040675006</v>
          </cell>
          <cell r="J92">
            <v>141.50260822115021</v>
          </cell>
          <cell r="K92">
            <v>106.13392950766337</v>
          </cell>
          <cell r="L92">
            <v>491.94976423676076</v>
          </cell>
          <cell r="M92">
            <v>321.05047375142948</v>
          </cell>
        </row>
        <row r="93">
          <cell r="E93">
            <v>3459.5656915090949</v>
          </cell>
          <cell r="F93">
            <v>5301.1369409072768</v>
          </cell>
          <cell r="G93">
            <v>3361.5629383754431</v>
          </cell>
          <cell r="H93">
            <v>4481.7894304510155</v>
          </cell>
          <cell r="I93">
            <v>4414.32172195768</v>
          </cell>
          <cell r="J93">
            <v>131.31753898057337</v>
          </cell>
          <cell r="K93">
            <v>98.494625650305352</v>
          </cell>
          <cell r="L93">
            <v>127.59756904723238</v>
          </cell>
          <cell r="M93">
            <v>83.271225987272445</v>
          </cell>
        </row>
        <row r="94">
          <cell r="E94">
            <v>4727.1007280418435</v>
          </cell>
          <cell r="F94">
            <v>7243.397156560809</v>
          </cell>
          <cell r="G94">
            <v>18063.311764372218</v>
          </cell>
          <cell r="H94">
            <v>24082.833261967375</v>
          </cell>
          <cell r="I94">
            <v>23189.559593350685</v>
          </cell>
          <cell r="J94">
            <v>128.37933539457251</v>
          </cell>
          <cell r="K94">
            <v>96.290828164195347</v>
          </cell>
          <cell r="L94">
            <v>490.56622499679082</v>
          </cell>
          <cell r="M94">
            <v>320.14756463196852</v>
          </cell>
        </row>
        <row r="95">
          <cell r="E95">
            <v>387322.06365282554</v>
          </cell>
          <cell r="F95">
            <v>593498.57258030202</v>
          </cell>
          <cell r="G95">
            <v>1372559.1319627534</v>
          </cell>
          <cell r="H95">
            <v>1829958.600529003</v>
          </cell>
          <cell r="I95">
            <v>1940825.276003792</v>
          </cell>
          <cell r="J95">
            <v>141.40194260544686</v>
          </cell>
          <cell r="K95">
            <v>106.05842533501794</v>
          </cell>
          <cell r="L95">
            <v>501.08823073488588</v>
          </cell>
          <cell r="M95">
            <v>327.01431236234237</v>
          </cell>
        </row>
        <row r="96">
          <cell r="E96">
            <v>154136.92495961892</v>
          </cell>
          <cell r="F96">
            <v>236185.98972313834</v>
          </cell>
          <cell r="G96">
            <v>516921.05583449901</v>
          </cell>
          <cell r="H96">
            <v>689182.78993647336</v>
          </cell>
          <cell r="I96">
            <v>735551.34674840001</v>
          </cell>
          <cell r="J96">
            <v>142.29471569134517</v>
          </cell>
          <cell r="K96">
            <v>106.72804914588781</v>
          </cell>
          <cell r="L96">
            <v>477.2064493573497</v>
          </cell>
          <cell r="M96">
            <v>311.42886485799903</v>
          </cell>
        </row>
        <row r="98">
          <cell r="E98">
            <v>2601264.9775708783</v>
          </cell>
          <cell r="F98">
            <v>3779011.9808105556</v>
          </cell>
          <cell r="G98">
            <v>4886042.1800072733</v>
          </cell>
          <cell r="H98">
            <v>6899352.353659017</v>
          </cell>
          <cell r="I98" t="e">
            <v>#VALUE!</v>
          </cell>
          <cell r="J98" t="e">
            <v>#VALUE!</v>
          </cell>
          <cell r="K98" t="e">
            <v>#VALUE!</v>
          </cell>
          <cell r="L98" t="e">
            <v>#VALUE!</v>
          </cell>
          <cell r="M98" t="e">
            <v>#VALUE!</v>
          </cell>
        </row>
        <row r="101">
          <cell r="E101">
            <v>26.790820743090283</v>
          </cell>
          <cell r="F101">
            <v>28.678629968596187</v>
          </cell>
          <cell r="G101">
            <v>64.229142625233237</v>
          </cell>
          <cell r="H101">
            <v>58.545796551668047</v>
          </cell>
          <cell r="I101" t="e">
            <v>#VALUE!</v>
          </cell>
          <cell r="J101" t="e">
            <v>#VALUE!</v>
          </cell>
          <cell r="K101" t="e">
            <v>#VALUE!</v>
          </cell>
          <cell r="L101" t="e">
            <v>#VALUE!</v>
          </cell>
          <cell r="M101" t="e">
            <v>#VALUE!</v>
          </cell>
        </row>
        <row r="102">
          <cell r="E102">
            <v>34.600933685384625</v>
          </cell>
          <cell r="F102">
            <v>50.266829435578792</v>
          </cell>
          <cell r="G102">
            <v>62.334226706416928</v>
          </cell>
          <cell r="H102">
            <v>88.019255236923101</v>
          </cell>
          <cell r="I102" t="e">
            <v>#VALUE!</v>
          </cell>
          <cell r="J102" t="e">
            <v>#VALUE!</v>
          </cell>
          <cell r="K102" t="e">
            <v>#VALUE!</v>
          </cell>
          <cell r="L102" t="e">
            <v>#VALUE!</v>
          </cell>
          <cell r="M102" t="e">
            <v>#VALUE!</v>
          </cell>
        </row>
        <row r="104">
          <cell r="E104">
            <v>348148.83</v>
          </cell>
          <cell r="F104">
            <v>307941.65754689998</v>
          </cell>
          <cell r="G104">
            <v>1567283.2</v>
          </cell>
          <cell r="H104">
            <v>1799087.42</v>
          </cell>
          <cell r="I104">
            <v>2345846.1500732005</v>
          </cell>
          <cell r="J104">
            <v>149.67595837645683</v>
          </cell>
          <cell r="K104">
            <v>130.39089284906458</v>
          </cell>
          <cell r="L104">
            <v>673.80555323802196</v>
          </cell>
          <cell r="M104">
            <v>761.78265998841835</v>
          </cell>
        </row>
        <row r="106">
          <cell r="E106">
            <v>242800.04</v>
          </cell>
          <cell r="F106">
            <v>118295.35754689999</v>
          </cell>
          <cell r="G106">
            <v>1567283.2</v>
          </cell>
          <cell r="H106">
            <v>1799087.42</v>
          </cell>
          <cell r="I106">
            <v>2345846.1500732005</v>
          </cell>
          <cell r="J106">
            <v>149.67595837645683</v>
          </cell>
          <cell r="K106">
            <v>130.39089284906458</v>
          </cell>
          <cell r="L106">
            <v>966.16382356164365</v>
          </cell>
          <cell r="M106">
            <v>1983.0415991964471</v>
          </cell>
        </row>
        <row r="107">
          <cell r="E107">
            <v>29736.57</v>
          </cell>
          <cell r="F107">
            <v>29470.210546899994</v>
          </cell>
          <cell r="G107">
            <v>34167</v>
          </cell>
          <cell r="H107">
            <v>40996.42</v>
          </cell>
          <cell r="I107">
            <v>182661.74681919997</v>
          </cell>
          <cell r="J107">
            <v>534.61453103638007</v>
          </cell>
          <cell r="K107">
            <v>445.55536024657761</v>
          </cell>
          <cell r="L107">
            <v>614.26636232490819</v>
          </cell>
          <cell r="M107">
            <v>619.81826199885893</v>
          </cell>
        </row>
        <row r="108">
          <cell r="J108">
            <v>0</v>
          </cell>
          <cell r="K108">
            <v>0</v>
          </cell>
          <cell r="L108">
            <v>0</v>
          </cell>
          <cell r="M108">
            <v>0</v>
          </cell>
        </row>
        <row r="109">
          <cell r="E109">
            <v>213063.47</v>
          </cell>
          <cell r="F109">
            <v>82571</v>
          </cell>
          <cell r="G109">
            <v>1533116.2</v>
          </cell>
          <cell r="H109">
            <v>1758091</v>
          </cell>
          <cell r="I109">
            <v>2163184.4032540005</v>
          </cell>
          <cell r="J109">
            <v>141.09722428436936</v>
          </cell>
          <cell r="K109">
            <v>123.04166298866217</v>
          </cell>
          <cell r="L109">
            <v>1015.2769985647941</v>
          </cell>
          <cell r="M109">
            <v>2619.7870962613997</v>
          </cell>
        </row>
        <row r="110">
          <cell r="E110">
            <v>0</v>
          </cell>
          <cell r="F110">
            <v>6254.1469999999999</v>
          </cell>
          <cell r="J110">
            <v>0</v>
          </cell>
          <cell r="K110">
            <v>0</v>
          </cell>
          <cell r="L110">
            <v>0</v>
          </cell>
          <cell r="M110">
            <v>0</v>
          </cell>
        </row>
        <row r="111">
          <cell r="J111">
            <v>0</v>
          </cell>
          <cell r="K111">
            <v>0</v>
          </cell>
          <cell r="L111">
            <v>0</v>
          </cell>
          <cell r="M111">
            <v>0</v>
          </cell>
        </row>
        <row r="112">
          <cell r="J112">
            <v>0</v>
          </cell>
          <cell r="K112">
            <v>0</v>
          </cell>
          <cell r="L112">
            <v>0</v>
          </cell>
          <cell r="M112">
            <v>0</v>
          </cell>
        </row>
        <row r="113">
          <cell r="E113">
            <v>105348.79</v>
          </cell>
          <cell r="F113">
            <v>189646.3</v>
          </cell>
          <cell r="G113">
            <v>0</v>
          </cell>
          <cell r="H113">
            <v>0</v>
          </cell>
          <cell r="I113">
            <v>0</v>
          </cell>
          <cell r="J113">
            <v>0</v>
          </cell>
          <cell r="K113">
            <v>0</v>
          </cell>
          <cell r="L113">
            <v>0</v>
          </cell>
          <cell r="M113">
            <v>0</v>
          </cell>
        </row>
        <row r="114">
          <cell r="E114">
            <v>105348.79</v>
          </cell>
          <cell r="F114">
            <v>65045</v>
          </cell>
          <cell r="J114">
            <v>0</v>
          </cell>
          <cell r="K114">
            <v>0</v>
          </cell>
          <cell r="L114">
            <v>0</v>
          </cell>
          <cell r="M114">
            <v>0</v>
          </cell>
        </row>
        <row r="115">
          <cell r="J115">
            <v>0</v>
          </cell>
          <cell r="K115">
            <v>0</v>
          </cell>
          <cell r="L115">
            <v>0</v>
          </cell>
          <cell r="M115">
            <v>0</v>
          </cell>
        </row>
        <row r="116">
          <cell r="J116">
            <v>0</v>
          </cell>
          <cell r="K116">
            <v>0</v>
          </cell>
          <cell r="L116">
            <v>0</v>
          </cell>
          <cell r="M116">
            <v>0</v>
          </cell>
        </row>
        <row r="117">
          <cell r="E117">
            <v>0</v>
          </cell>
          <cell r="F117">
            <v>124601.3</v>
          </cell>
          <cell r="J117">
            <v>0</v>
          </cell>
          <cell r="K117">
            <v>0</v>
          </cell>
          <cell r="L117">
            <v>0</v>
          </cell>
          <cell r="M117">
            <v>0</v>
          </cell>
        </row>
        <row r="120">
          <cell r="E120">
            <v>31.24</v>
          </cell>
          <cell r="F120">
            <v>1.2083999999999999</v>
          </cell>
          <cell r="G120">
            <v>20</v>
          </cell>
          <cell r="H120">
            <v>24</v>
          </cell>
          <cell r="I120">
            <v>20</v>
          </cell>
          <cell r="J120">
            <v>100</v>
          </cell>
          <cell r="K120">
            <v>83.333333333333343</v>
          </cell>
          <cell r="L120">
            <v>64.020486555697829</v>
          </cell>
          <cell r="M120">
            <v>1655.0810989738497</v>
          </cell>
        </row>
        <row r="121">
          <cell r="E121">
            <v>26.4</v>
          </cell>
          <cell r="F121">
            <v>26.4</v>
          </cell>
          <cell r="G121">
            <v>26.4</v>
          </cell>
          <cell r="I121">
            <v>26.4</v>
          </cell>
          <cell r="J121">
            <v>100</v>
          </cell>
          <cell r="K121">
            <v>0</v>
          </cell>
          <cell r="L121">
            <v>100</v>
          </cell>
          <cell r="M121">
            <v>100</v>
          </cell>
        </row>
        <row r="123">
          <cell r="E123">
            <v>75179.040000000008</v>
          </cell>
          <cell r="F123">
            <v>75179.040000000008</v>
          </cell>
          <cell r="G123">
            <v>78384.579999999987</v>
          </cell>
          <cell r="H123">
            <v>78384.579999999987</v>
          </cell>
          <cell r="I123">
            <v>88178.861000000004</v>
          </cell>
          <cell r="J123">
            <v>112.49516295169282</v>
          </cell>
          <cell r="K123">
            <v>112.49516295169282</v>
          </cell>
          <cell r="L123">
            <v>117.29181564436044</v>
          </cell>
          <cell r="M123">
            <v>117.29181564436044</v>
          </cell>
        </row>
        <row r="124">
          <cell r="E124">
            <v>473.19</v>
          </cell>
          <cell r="F124">
            <v>473.19</v>
          </cell>
          <cell r="G124">
            <v>137.88999999999999</v>
          </cell>
          <cell r="H124">
            <v>137.88999999999999</v>
          </cell>
          <cell r="I124">
            <v>130.09</v>
          </cell>
          <cell r="J124">
            <v>94.343317136848228</v>
          </cell>
          <cell r="K124">
            <v>94.343317136848228</v>
          </cell>
          <cell r="L124">
            <v>27.492127897884572</v>
          </cell>
          <cell r="M124">
            <v>27.492127897884572</v>
          </cell>
        </row>
        <row r="125">
          <cell r="E125">
            <v>646.55999999999995</v>
          </cell>
          <cell r="F125">
            <v>646.55999999999995</v>
          </cell>
          <cell r="G125">
            <v>740.95</v>
          </cell>
          <cell r="H125">
            <v>740.95</v>
          </cell>
          <cell r="I125">
            <v>833.73599999999999</v>
          </cell>
          <cell r="J125">
            <v>112.52257237330454</v>
          </cell>
          <cell r="K125">
            <v>112.52257237330454</v>
          </cell>
          <cell r="L125">
            <v>128.94951744617671</v>
          </cell>
          <cell r="M125">
            <v>128.94951744617671</v>
          </cell>
        </row>
        <row r="126">
          <cell r="E126">
            <v>52976.86</v>
          </cell>
          <cell r="F126">
            <v>52976.86</v>
          </cell>
          <cell r="G126">
            <v>56301.84</v>
          </cell>
          <cell r="H126">
            <v>56301.84</v>
          </cell>
          <cell r="I126">
            <v>63439.089</v>
          </cell>
          <cell r="J126">
            <v>112.67675976486737</v>
          </cell>
          <cell r="K126">
            <v>112.67675976486737</v>
          </cell>
          <cell r="L126">
            <v>119.74867706391055</v>
          </cell>
          <cell r="M126">
            <v>119.74867706391055</v>
          </cell>
        </row>
        <row r="127">
          <cell r="E127">
            <v>21082.43</v>
          </cell>
          <cell r="F127">
            <v>21082.43</v>
          </cell>
          <cell r="G127">
            <v>21203.9</v>
          </cell>
          <cell r="H127">
            <v>21203.9</v>
          </cell>
          <cell r="I127">
            <v>23775.946000000004</v>
          </cell>
          <cell r="J127">
            <v>112.13006097934814</v>
          </cell>
          <cell r="K127">
            <v>112.13006097934814</v>
          </cell>
          <cell r="L127">
            <v>112.77611736407995</v>
          </cell>
          <cell r="M127">
            <v>112.77611736407995</v>
          </cell>
        </row>
      </sheetData>
      <sheetData sheetId="8"/>
      <sheetData sheetId="9"/>
      <sheetData sheetId="10"/>
      <sheetData sheetId="11"/>
      <sheetData sheetId="12"/>
      <sheetData sheetId="13"/>
      <sheetData sheetId="14">
        <row r="9">
          <cell r="E9">
            <v>0</v>
          </cell>
          <cell r="F9">
            <v>3359.5</v>
          </cell>
          <cell r="G9">
            <v>3359.5</v>
          </cell>
          <cell r="H9">
            <v>3359.5</v>
          </cell>
          <cell r="I9">
            <v>4123</v>
          </cell>
        </row>
        <row r="10">
          <cell r="E10">
            <v>0</v>
          </cell>
          <cell r="G10">
            <v>3359.5</v>
          </cell>
          <cell r="H10">
            <v>0</v>
          </cell>
          <cell r="I10">
            <v>0</v>
          </cell>
        </row>
        <row r="11">
          <cell r="E11">
            <v>0</v>
          </cell>
          <cell r="F11">
            <v>3359.5</v>
          </cell>
          <cell r="G11">
            <v>3359.5</v>
          </cell>
          <cell r="H11">
            <v>3359.5</v>
          </cell>
          <cell r="I11">
            <v>4123</v>
          </cell>
        </row>
        <row r="13">
          <cell r="F13">
            <v>3132</v>
          </cell>
          <cell r="G13">
            <v>3359.5</v>
          </cell>
        </row>
        <row r="16">
          <cell r="E16">
            <v>0</v>
          </cell>
          <cell r="F16">
            <v>3132</v>
          </cell>
          <cell r="G16">
            <v>3359.5</v>
          </cell>
          <cell r="H16">
            <v>4123</v>
          </cell>
          <cell r="I16">
            <v>4123</v>
          </cell>
        </row>
        <row r="18">
          <cell r="E18">
            <v>0</v>
          </cell>
          <cell r="F18">
            <v>4091.7</v>
          </cell>
          <cell r="G18">
            <v>4091.7</v>
          </cell>
          <cell r="H18">
            <v>4500</v>
          </cell>
          <cell r="I18">
            <v>4500</v>
          </cell>
        </row>
        <row r="19">
          <cell r="E19">
            <v>0</v>
          </cell>
          <cell r="F19">
            <v>6.4</v>
          </cell>
          <cell r="G19">
            <v>5.8</v>
          </cell>
          <cell r="H19">
            <v>7.14</v>
          </cell>
          <cell r="I19">
            <v>7.14</v>
          </cell>
        </row>
        <row r="20">
          <cell r="E20">
            <v>0</v>
          </cell>
          <cell r="F20">
            <v>2.4716447645969657</v>
          </cell>
          <cell r="G20">
            <v>1.7999389007014202</v>
          </cell>
          <cell r="H20">
            <v>2.257506666666667</v>
          </cell>
          <cell r="I20">
            <v>2.257506666666667</v>
          </cell>
        </row>
        <row r="23">
          <cell r="E23">
            <v>0</v>
          </cell>
          <cell r="F23">
            <v>6.55</v>
          </cell>
          <cell r="G23">
            <v>1.9128430000000001</v>
          </cell>
          <cell r="H23">
            <v>10.621551013015342</v>
          </cell>
          <cell r="I23">
            <v>10.621551013015342</v>
          </cell>
        </row>
        <row r="26">
          <cell r="E26">
            <v>0</v>
          </cell>
          <cell r="F26">
            <v>50.011459899999998</v>
          </cell>
          <cell r="G26">
            <v>73.592299999999994</v>
          </cell>
          <cell r="H26">
            <v>78.480218548114394</v>
          </cell>
          <cell r="I26">
            <v>78.480218548114394</v>
          </cell>
        </row>
        <row r="29">
          <cell r="E29">
            <v>0</v>
          </cell>
          <cell r="F29">
            <v>0</v>
          </cell>
          <cell r="G29">
            <v>15</v>
          </cell>
          <cell r="H29">
            <v>15</v>
          </cell>
          <cell r="I29">
            <v>15.000029531105112</v>
          </cell>
        </row>
        <row r="32">
          <cell r="E32">
            <v>0</v>
          </cell>
          <cell r="F32">
            <v>0</v>
          </cell>
          <cell r="G32">
            <v>33</v>
          </cell>
          <cell r="H32">
            <v>33</v>
          </cell>
          <cell r="I32">
            <v>33.000025593624436</v>
          </cell>
        </row>
        <row r="34">
          <cell r="B34" t="str">
            <v>Выплаты &lt;______________&gt;:</v>
          </cell>
        </row>
        <row r="35">
          <cell r="E35">
            <v>0</v>
          </cell>
          <cell r="F35">
            <v>6.4923793111047399</v>
          </cell>
          <cell r="G35">
            <v>1.02</v>
          </cell>
          <cell r="H35">
            <v>5.2</v>
          </cell>
          <cell r="I35">
            <v>5.1331951277614047</v>
          </cell>
        </row>
        <row r="37">
          <cell r="B37" t="str">
            <v>Выплаты &lt;______________&gt;:</v>
          </cell>
        </row>
        <row r="38">
          <cell r="H38">
            <v>0</v>
          </cell>
          <cell r="I38">
            <v>0</v>
          </cell>
        </row>
        <row r="49">
          <cell r="E49">
            <v>12</v>
          </cell>
          <cell r="F49">
            <v>12</v>
          </cell>
          <cell r="G49">
            <v>12</v>
          </cell>
          <cell r="H49">
            <v>12</v>
          </cell>
          <cell r="I49">
            <v>12</v>
          </cell>
        </row>
      </sheetData>
      <sheetData sheetId="15">
        <row r="9">
          <cell r="F9">
            <v>15683</v>
          </cell>
          <cell r="H9">
            <v>78001</v>
          </cell>
          <cell r="J9">
            <v>184014.84</v>
          </cell>
        </row>
        <row r="10">
          <cell r="E10">
            <v>464430</v>
          </cell>
          <cell r="F10">
            <v>146534</v>
          </cell>
          <cell r="G10">
            <v>464430</v>
          </cell>
          <cell r="H10">
            <v>648734</v>
          </cell>
          <cell r="J10">
            <v>2879638</v>
          </cell>
        </row>
        <row r="11">
          <cell r="F11">
            <v>0</v>
          </cell>
          <cell r="J11">
            <v>0</v>
          </cell>
        </row>
        <row r="13">
          <cell r="F13">
            <v>49349</v>
          </cell>
          <cell r="J13">
            <v>0</v>
          </cell>
        </row>
        <row r="14">
          <cell r="F14">
            <v>67941</v>
          </cell>
          <cell r="J14">
            <v>0</v>
          </cell>
        </row>
        <row r="15">
          <cell r="J15">
            <v>0</v>
          </cell>
        </row>
        <row r="16">
          <cell r="F16">
            <v>48501</v>
          </cell>
          <cell r="J16">
            <v>0</v>
          </cell>
        </row>
        <row r="17">
          <cell r="H17">
            <v>287964</v>
          </cell>
          <cell r="J17">
            <v>801438.14</v>
          </cell>
        </row>
        <row r="18">
          <cell r="F18">
            <v>56986</v>
          </cell>
          <cell r="H18">
            <v>66433</v>
          </cell>
          <cell r="J18">
            <v>206095.3</v>
          </cell>
        </row>
        <row r="19">
          <cell r="F19">
            <v>0</v>
          </cell>
          <cell r="J19">
            <v>0</v>
          </cell>
        </row>
        <row r="20">
          <cell r="F20">
            <v>11376</v>
          </cell>
          <cell r="H20">
            <v>12403</v>
          </cell>
          <cell r="J20">
            <v>39311.58</v>
          </cell>
        </row>
        <row r="21">
          <cell r="F21">
            <v>234</v>
          </cell>
          <cell r="H21">
            <v>3540</v>
          </cell>
          <cell r="J21">
            <v>7810.7</v>
          </cell>
        </row>
        <row r="24">
          <cell r="F24">
            <v>62340</v>
          </cell>
          <cell r="H24">
            <v>106013.84</v>
          </cell>
          <cell r="J24">
            <v>40459.69</v>
          </cell>
          <cell r="K24">
            <v>40459.69</v>
          </cell>
          <cell r="L24">
            <v>40459.69</v>
          </cell>
          <cell r="M24">
            <v>40459.69</v>
          </cell>
        </row>
        <row r="25">
          <cell r="F25">
            <v>503187</v>
          </cell>
          <cell r="H25">
            <v>2230904</v>
          </cell>
          <cell r="J25">
            <v>343455.66</v>
          </cell>
          <cell r="K25">
            <v>343455.66</v>
          </cell>
          <cell r="L25">
            <v>343455.66</v>
          </cell>
          <cell r="M25">
            <v>343455.66</v>
          </cell>
        </row>
        <row r="26">
          <cell r="J26">
            <v>0</v>
          </cell>
          <cell r="K26">
            <v>0</v>
          </cell>
          <cell r="L26">
            <v>0</v>
          </cell>
          <cell r="M26">
            <v>0</v>
          </cell>
        </row>
        <row r="28">
          <cell r="J28">
            <v>0</v>
          </cell>
          <cell r="K28">
            <v>0</v>
          </cell>
          <cell r="L28">
            <v>0</v>
          </cell>
          <cell r="M28">
            <v>0</v>
          </cell>
        </row>
        <row r="30">
          <cell r="J30">
            <v>0</v>
          </cell>
          <cell r="K30">
            <v>0</v>
          </cell>
          <cell r="L30">
            <v>0</v>
          </cell>
          <cell r="M30">
            <v>0</v>
          </cell>
        </row>
        <row r="31">
          <cell r="F31">
            <v>6291</v>
          </cell>
          <cell r="J31">
            <v>0</v>
          </cell>
          <cell r="K31">
            <v>0</v>
          </cell>
          <cell r="L31">
            <v>0</v>
          </cell>
          <cell r="M31">
            <v>0</v>
          </cell>
        </row>
        <row r="32">
          <cell r="F32">
            <v>118530</v>
          </cell>
          <cell r="H32">
            <v>513474.14</v>
          </cell>
          <cell r="J32">
            <v>195966.25</v>
          </cell>
          <cell r="K32">
            <v>195966.25</v>
          </cell>
          <cell r="L32">
            <v>195966.25</v>
          </cell>
          <cell r="M32">
            <v>195966.25</v>
          </cell>
        </row>
        <row r="33">
          <cell r="F33">
            <v>9488</v>
          </cell>
          <cell r="H33">
            <v>139662.29999999999</v>
          </cell>
          <cell r="J33">
            <v>53301.47</v>
          </cell>
          <cell r="K33">
            <v>53301.47</v>
          </cell>
          <cell r="L33">
            <v>53301.47</v>
          </cell>
          <cell r="M33">
            <v>53301.47</v>
          </cell>
        </row>
        <row r="35">
          <cell r="F35">
            <v>1481</v>
          </cell>
          <cell r="H35">
            <v>26908.58</v>
          </cell>
          <cell r="J35">
            <v>10269.530000000001</v>
          </cell>
          <cell r="K35">
            <v>10269.530000000001</v>
          </cell>
          <cell r="L35">
            <v>10269.530000000001</v>
          </cell>
          <cell r="M35">
            <v>10269.530000000001</v>
          </cell>
        </row>
        <row r="36">
          <cell r="F36">
            <v>3306</v>
          </cell>
          <cell r="H36">
            <v>4270.7</v>
          </cell>
          <cell r="J36">
            <v>1629.89</v>
          </cell>
          <cell r="K36">
            <v>1629.89</v>
          </cell>
          <cell r="L36">
            <v>1629.89</v>
          </cell>
          <cell r="M36">
            <v>1629.89</v>
          </cell>
        </row>
        <row r="39">
          <cell r="F39">
            <v>22</v>
          </cell>
        </row>
        <row r="40">
          <cell r="E40">
            <v>48940</v>
          </cell>
          <cell r="F40">
            <v>987</v>
          </cell>
          <cell r="G40">
            <v>0</v>
          </cell>
          <cell r="H40">
            <v>0</v>
          </cell>
          <cell r="J40">
            <v>0</v>
          </cell>
          <cell r="K40">
            <v>0</v>
          </cell>
          <cell r="L40">
            <v>0</v>
          </cell>
          <cell r="M40">
            <v>0</v>
          </cell>
        </row>
        <row r="41">
          <cell r="F41">
            <v>0</v>
          </cell>
          <cell r="H41">
            <v>0</v>
          </cell>
          <cell r="J41">
            <v>0</v>
          </cell>
          <cell r="K41">
            <v>0</v>
          </cell>
          <cell r="L41">
            <v>0</v>
          </cell>
          <cell r="M41">
            <v>0</v>
          </cell>
        </row>
        <row r="43">
          <cell r="H43">
            <v>0</v>
          </cell>
          <cell r="J43">
            <v>0</v>
          </cell>
          <cell r="K43">
            <v>0</v>
          </cell>
          <cell r="L43">
            <v>0</v>
          </cell>
          <cell r="M43">
            <v>0</v>
          </cell>
        </row>
        <row r="44">
          <cell r="H44">
            <v>0</v>
          </cell>
          <cell r="J44">
            <v>0</v>
          </cell>
          <cell r="K44">
            <v>0</v>
          </cell>
          <cell r="L44">
            <v>0</v>
          </cell>
          <cell r="M44">
            <v>0</v>
          </cell>
        </row>
        <row r="46">
          <cell r="F46">
            <v>1002</v>
          </cell>
          <cell r="H46">
            <v>0</v>
          </cell>
          <cell r="J46">
            <v>0</v>
          </cell>
          <cell r="K46">
            <v>0</v>
          </cell>
          <cell r="L46">
            <v>0</v>
          </cell>
          <cell r="M46">
            <v>0</v>
          </cell>
        </row>
        <row r="47">
          <cell r="F47">
            <v>1646</v>
          </cell>
        </row>
        <row r="48">
          <cell r="F48">
            <v>41</v>
          </cell>
        </row>
        <row r="50">
          <cell r="F50">
            <v>454</v>
          </cell>
          <cell r="H50">
            <v>0</v>
          </cell>
          <cell r="J50">
            <v>0</v>
          </cell>
          <cell r="K50">
            <v>0</v>
          </cell>
          <cell r="L50">
            <v>0</v>
          </cell>
          <cell r="M50">
            <v>0</v>
          </cell>
        </row>
        <row r="51">
          <cell r="F51">
            <v>0</v>
          </cell>
          <cell r="H51">
            <v>0</v>
          </cell>
        </row>
        <row r="54">
          <cell r="F54">
            <v>46842</v>
          </cell>
          <cell r="H54">
            <v>131007.92</v>
          </cell>
        </row>
        <row r="55">
          <cell r="E55">
            <v>281510.23</v>
          </cell>
          <cell r="F55">
            <v>397634</v>
          </cell>
          <cell r="G55">
            <v>281510.23</v>
          </cell>
          <cell r="H55">
            <v>1764186</v>
          </cell>
        </row>
        <row r="61">
          <cell r="F61">
            <v>51146</v>
          </cell>
        </row>
        <row r="62">
          <cell r="F62">
            <v>175732</v>
          </cell>
          <cell r="H62">
            <v>544701.06999999995</v>
          </cell>
        </row>
        <row r="63">
          <cell r="F63">
            <v>61709.5</v>
          </cell>
          <cell r="H63">
            <v>136264.15</v>
          </cell>
        </row>
        <row r="65">
          <cell r="F65">
            <v>11890</v>
          </cell>
          <cell r="H65">
            <v>25857.29</v>
          </cell>
        </row>
        <row r="66">
          <cell r="F66">
            <v>1887</v>
          </cell>
          <cell r="H66">
            <v>5675.35</v>
          </cell>
        </row>
        <row r="69">
          <cell r="F69">
            <v>6.3</v>
          </cell>
          <cell r="H69">
            <v>8.9</v>
          </cell>
          <cell r="I69">
            <v>8.9</v>
          </cell>
          <cell r="J69">
            <v>2.2250000000000001</v>
          </cell>
          <cell r="K69">
            <v>2.2250000000000001</v>
          </cell>
          <cell r="L69">
            <v>2.2254999999999998</v>
          </cell>
          <cell r="M69">
            <v>2.2587000000000002</v>
          </cell>
        </row>
        <row r="70">
          <cell r="E70">
            <v>12.137036</v>
          </cell>
          <cell r="F70">
            <v>5.8918736967477185</v>
          </cell>
          <cell r="G70">
            <v>12.137036</v>
          </cell>
          <cell r="H70">
            <v>8</v>
          </cell>
          <cell r="I70">
            <v>8.0009999999999994</v>
          </cell>
          <cell r="J70">
            <v>2.0002499999999999</v>
          </cell>
          <cell r="K70">
            <v>2.0002499999999999</v>
          </cell>
          <cell r="L70">
            <v>2.0002399999999998</v>
          </cell>
          <cell r="M70">
            <v>2.0002499999999999</v>
          </cell>
        </row>
        <row r="71">
          <cell r="F71">
            <v>2.58792</v>
          </cell>
        </row>
        <row r="72">
          <cell r="F72">
            <v>9.83</v>
          </cell>
          <cell r="H72">
            <v>10.28</v>
          </cell>
          <cell r="I72">
            <v>10.29</v>
          </cell>
          <cell r="J72">
            <v>2.57</v>
          </cell>
          <cell r="K72">
            <v>2.5724999999999998</v>
          </cell>
          <cell r="L72">
            <v>2.5724999999999998</v>
          </cell>
          <cell r="M72">
            <v>2.5724999999999998</v>
          </cell>
        </row>
        <row r="73">
          <cell r="F73">
            <v>11.046760292267264</v>
          </cell>
        </row>
        <row r="74">
          <cell r="F74">
            <v>10.421012652805116</v>
          </cell>
        </row>
        <row r="75">
          <cell r="F75">
            <v>5.5218449999999999</v>
          </cell>
        </row>
        <row r="76">
          <cell r="F76">
            <v>6.4438726388801975</v>
          </cell>
        </row>
        <row r="77">
          <cell r="F77">
            <v>0</v>
          </cell>
          <cell r="H77">
            <v>10.28</v>
          </cell>
          <cell r="I77">
            <v>10.29</v>
          </cell>
          <cell r="J77">
            <v>2.5724999999999998</v>
          </cell>
          <cell r="K77">
            <v>2.5724999999999998</v>
          </cell>
          <cell r="L77">
            <v>2.5996000000000001</v>
          </cell>
          <cell r="M77">
            <v>2.7925</v>
          </cell>
        </row>
        <row r="78">
          <cell r="F78">
            <v>4.4647116777049831</v>
          </cell>
          <cell r="H78">
            <v>21.98</v>
          </cell>
          <cell r="I78">
            <v>21.98</v>
          </cell>
          <cell r="J78">
            <v>5.5</v>
          </cell>
          <cell r="K78">
            <v>5.4950000000000001</v>
          </cell>
          <cell r="L78">
            <v>5.4954000000000001</v>
          </cell>
          <cell r="M78">
            <v>5.4969999999999999</v>
          </cell>
        </row>
        <row r="79">
          <cell r="F79">
            <v>0</v>
          </cell>
        </row>
        <row r="80">
          <cell r="F80">
            <v>9.7899999999999991</v>
          </cell>
          <cell r="H80">
            <v>11.569799999000001</v>
          </cell>
          <cell r="I80">
            <v>11.578899999900001</v>
          </cell>
          <cell r="J80">
            <v>2.84849</v>
          </cell>
          <cell r="K80">
            <v>2.8255852899999998</v>
          </cell>
          <cell r="L80">
            <v>2.7991914250000001</v>
          </cell>
          <cell r="M80">
            <v>2.8969292699999998</v>
          </cell>
        </row>
        <row r="81">
          <cell r="F81">
            <v>4.71</v>
          </cell>
          <cell r="H81">
            <v>15</v>
          </cell>
          <cell r="I81">
            <v>15.069100841099999</v>
          </cell>
          <cell r="J81">
            <v>3.7672752102749998</v>
          </cell>
          <cell r="K81">
            <v>3.7500000277500001</v>
          </cell>
          <cell r="L81">
            <v>3.8900000217500001</v>
          </cell>
          <cell r="M81">
            <v>3.7517005277500002</v>
          </cell>
        </row>
      </sheetData>
      <sheetData sheetId="16"/>
      <sheetData sheetId="17"/>
      <sheetData sheetId="18">
        <row r="8">
          <cell r="E8">
            <v>2051619.3225388825</v>
          </cell>
          <cell r="F8">
            <v>2936782.8844096465</v>
          </cell>
          <cell r="G8">
            <v>2975137.1175072738</v>
          </cell>
          <cell r="H8">
            <v>4351646.3405011231</v>
          </cell>
          <cell r="I8" t="e">
            <v>#REF!</v>
          </cell>
          <cell r="J8">
            <v>0</v>
          </cell>
        </row>
        <row r="9">
          <cell r="E9">
            <v>12913.250119078057</v>
          </cell>
          <cell r="F9">
            <v>18479.935812768672</v>
          </cell>
          <cell r="G9">
            <v>5233.7035821723875</v>
          </cell>
          <cell r="H9">
            <v>7655.1856741683087</v>
          </cell>
          <cell r="I9" t="e">
            <v>#REF!</v>
          </cell>
          <cell r="J9">
            <v>0</v>
          </cell>
        </row>
        <row r="10">
          <cell r="E10">
            <v>1463371.2350226601</v>
          </cell>
          <cell r="F10">
            <v>2094730.8247731323</v>
          </cell>
          <cell r="G10">
            <v>2165095.7600994064</v>
          </cell>
          <cell r="H10">
            <v>3166822.4586452339</v>
          </cell>
          <cell r="I10" t="e">
            <v>#REF!</v>
          </cell>
          <cell r="J10">
            <v>0</v>
          </cell>
        </row>
        <row r="12">
          <cell r="E12">
            <v>17644.478955580438</v>
          </cell>
          <cell r="F12">
            <v>25253.944521429232</v>
          </cell>
          <cell r="G12">
            <v>28123.233513747415</v>
          </cell>
          <cell r="H12">
            <v>41135.033905830802</v>
          </cell>
          <cell r="I12" t="e">
            <v>#REF!</v>
          </cell>
          <cell r="J12">
            <v>0</v>
          </cell>
        </row>
        <row r="13">
          <cell r="E13">
            <v>1445726.7560670797</v>
          </cell>
          <cell r="F13">
            <v>2069476.8802517031</v>
          </cell>
          <cell r="G13">
            <v>2136972.526585659</v>
          </cell>
          <cell r="H13">
            <v>3125687.4247394032</v>
          </cell>
          <cell r="I13" t="e">
            <v>#REF!</v>
          </cell>
          <cell r="J13">
            <v>0</v>
          </cell>
        </row>
        <row r="14">
          <cell r="E14">
            <v>575334.83739714453</v>
          </cell>
          <cell r="F14">
            <v>823572.12382374587</v>
          </cell>
          <cell r="G14">
            <v>804807.65382569516</v>
          </cell>
          <cell r="H14">
            <v>1177168.6961817208</v>
          </cell>
          <cell r="I14" t="e">
            <v>#REF!</v>
          </cell>
          <cell r="J14">
            <v>0</v>
          </cell>
        </row>
        <row r="15">
          <cell r="E15">
            <v>549645.65503199538</v>
          </cell>
          <cell r="F15">
            <v>842229.09640090843</v>
          </cell>
          <cell r="G15">
            <v>1910905.0625</v>
          </cell>
          <cell r="H15">
            <v>2547706.0131578948</v>
          </cell>
          <cell r="I15">
            <v>2703980.5040675001</v>
          </cell>
          <cell r="J15">
            <v>1.4150260822115019</v>
          </cell>
        </row>
        <row r="16">
          <cell r="E16">
            <v>3459.5656915090949</v>
          </cell>
          <cell r="F16">
            <v>5301.1369409072768</v>
          </cell>
          <cell r="G16">
            <v>3361.5629383754431</v>
          </cell>
          <cell r="H16">
            <v>4481.7894304510155</v>
          </cell>
          <cell r="I16">
            <v>4414.32172195768</v>
          </cell>
          <cell r="J16">
            <v>1.3131753898057337</v>
          </cell>
        </row>
        <row r="17">
          <cell r="E17">
            <v>392049.16438086738</v>
          </cell>
          <cell r="F17">
            <v>600741.96973686281</v>
          </cell>
          <cell r="G17">
            <v>1390622.4437271256</v>
          </cell>
          <cell r="H17">
            <v>1854041.4337909704</v>
          </cell>
          <cell r="I17">
            <v>1964014.8355971426</v>
          </cell>
          <cell r="J17">
            <v>1.4123278712036453</v>
          </cell>
        </row>
        <row r="19">
          <cell r="E19">
            <v>4727.1007280418435</v>
          </cell>
          <cell r="F19">
            <v>7243.397156560809</v>
          </cell>
          <cell r="G19">
            <v>18063.311764372218</v>
          </cell>
          <cell r="H19">
            <v>24082.833261967375</v>
          </cell>
          <cell r="I19">
            <v>23189.559593350685</v>
          </cell>
          <cell r="J19">
            <v>1.2837933539457251</v>
          </cell>
        </row>
        <row r="20">
          <cell r="E20">
            <v>387322.06365282554</v>
          </cell>
          <cell r="F20">
            <v>593498.57258030202</v>
          </cell>
          <cell r="G20">
            <v>1372559.1319627534</v>
          </cell>
          <cell r="H20">
            <v>1829958.600529003</v>
          </cell>
          <cell r="I20">
            <v>1940825.276003792</v>
          </cell>
          <cell r="J20">
            <v>1.4140194260544685</v>
          </cell>
        </row>
        <row r="21">
          <cell r="E21">
            <v>154136.92495961892</v>
          </cell>
          <cell r="F21">
            <v>236185.98972313834</v>
          </cell>
          <cell r="G21">
            <v>516921.05583449901</v>
          </cell>
          <cell r="H21">
            <v>689182.78993647336</v>
          </cell>
          <cell r="I21">
            <v>735551.34674840001</v>
          </cell>
          <cell r="J21">
            <v>1.4229471569134517</v>
          </cell>
        </row>
        <row r="22">
          <cell r="E22">
            <v>26.790820743090286</v>
          </cell>
          <cell r="F22">
            <v>28.678629968596187</v>
          </cell>
          <cell r="G22">
            <v>64.229142625233237</v>
          </cell>
          <cell r="H22">
            <v>58.54579655166804</v>
          </cell>
          <cell r="I22" t="e">
            <v>#REF!</v>
          </cell>
          <cell r="J22">
            <v>0</v>
          </cell>
        </row>
        <row r="23">
          <cell r="E23">
            <v>2601264.9775708779</v>
          </cell>
          <cell r="F23">
            <v>3779011.9808105547</v>
          </cell>
          <cell r="G23">
            <v>4886042.1800072733</v>
          </cell>
          <cell r="H23">
            <v>6899352.3536590179</v>
          </cell>
          <cell r="I23" t="e">
            <v>#REF!</v>
          </cell>
          <cell r="J23">
            <v>0</v>
          </cell>
        </row>
        <row r="24">
          <cell r="E24">
            <v>16372.815810587152</v>
          </cell>
          <cell r="F24">
            <v>23781.072753675948</v>
          </cell>
          <cell r="G24">
            <v>8595.2665205478297</v>
          </cell>
          <cell r="H24">
            <v>12136.975104619323</v>
          </cell>
          <cell r="I24" t="e">
            <v>#REF!</v>
          </cell>
          <cell r="J24">
            <v>0</v>
          </cell>
        </row>
        <row r="25">
          <cell r="E25">
            <v>1855420.3994035274</v>
          </cell>
          <cell r="F25">
            <v>2695472.7945099953</v>
          </cell>
          <cell r="G25">
            <v>3555718.2038265318</v>
          </cell>
          <cell r="H25">
            <v>5020863.8924362045</v>
          </cell>
          <cell r="I25" t="e">
            <v>#REF!</v>
          </cell>
          <cell r="J25">
            <v>0</v>
          </cell>
        </row>
        <row r="27">
          <cell r="E27">
            <v>22371.57968362228</v>
          </cell>
          <cell r="F27">
            <v>32497.34167799004</v>
          </cell>
          <cell r="G27">
            <v>46186.545278119636</v>
          </cell>
          <cell r="H27">
            <v>65217.867167798177</v>
          </cell>
          <cell r="I27" t="e">
            <v>#REF!</v>
          </cell>
          <cell r="J27">
            <v>0</v>
          </cell>
        </row>
        <row r="28">
          <cell r="E28">
            <v>1833048.8197199053</v>
          </cell>
          <cell r="F28">
            <v>2662975.452832005</v>
          </cell>
          <cell r="G28">
            <v>3509531.6585484124</v>
          </cell>
          <cell r="H28">
            <v>4955646.0252684057</v>
          </cell>
          <cell r="I28" t="e">
            <v>#REF!</v>
          </cell>
          <cell r="J28">
            <v>0</v>
          </cell>
        </row>
        <row r="29">
          <cell r="E29">
            <v>729471.76235676347</v>
          </cell>
          <cell r="F29">
            <v>1059758.1135468842</v>
          </cell>
          <cell r="G29">
            <v>1321728.7096601941</v>
          </cell>
          <cell r="H29">
            <v>1866351.4861181942</v>
          </cell>
          <cell r="I29" t="e">
            <v>#REF!</v>
          </cell>
          <cell r="J29">
            <v>0</v>
          </cell>
        </row>
        <row r="30">
          <cell r="E30">
            <v>1013.07</v>
          </cell>
          <cell r="F30">
            <v>1129.71</v>
          </cell>
          <cell r="G30">
            <v>994.96520192618686</v>
          </cell>
          <cell r="H30">
            <v>994.96520192618686</v>
          </cell>
          <cell r="I30">
            <v>1209.8699999999999</v>
          </cell>
          <cell r="J30">
            <v>1.2159922755667953</v>
          </cell>
        </row>
        <row r="31">
          <cell r="E31">
            <v>998.28000000000009</v>
          </cell>
          <cell r="F31">
            <v>1112.6999999999998</v>
          </cell>
          <cell r="G31">
            <v>980.87546199612325</v>
          </cell>
          <cell r="H31">
            <v>980.87546199612325</v>
          </cell>
          <cell r="I31">
            <v>1193.78</v>
          </cell>
          <cell r="J31">
            <v>1.2170556265834267</v>
          </cell>
        </row>
        <row r="32">
          <cell r="E32">
            <v>983.55000000000007</v>
          </cell>
          <cell r="F32">
            <v>1098.28</v>
          </cell>
          <cell r="G32">
            <v>965.48698399254408</v>
          </cell>
          <cell r="H32">
            <v>965.48698399254408</v>
          </cell>
          <cell r="I32">
            <v>1162.28</v>
          </cell>
          <cell r="J32">
            <v>1.2038277255625598</v>
          </cell>
        </row>
        <row r="33">
          <cell r="E33">
            <v>316.40999999999997</v>
          </cell>
          <cell r="F33">
            <v>352.27</v>
          </cell>
          <cell r="G33">
            <v>310.79750742497612</v>
          </cell>
          <cell r="H33">
            <v>310.79750742497612</v>
          </cell>
          <cell r="I33">
            <v>382.76</v>
          </cell>
          <cell r="J33">
            <v>1.231541408331259</v>
          </cell>
        </row>
        <row r="34">
          <cell r="J34">
            <v>0</v>
          </cell>
        </row>
        <row r="35">
          <cell r="E35">
            <v>92251.610381942475</v>
          </cell>
          <cell r="F35">
            <v>116505.35348655669</v>
          </cell>
          <cell r="G35">
            <v>50836.439394975991</v>
          </cell>
          <cell r="H35">
            <v>71783.765851740842</v>
          </cell>
          <cell r="I35" t="e">
            <v>#REF!</v>
          </cell>
          <cell r="J35">
            <v>0</v>
          </cell>
        </row>
        <row r="38">
          <cell r="E38">
            <v>126564.71873513398</v>
          </cell>
          <cell r="F38">
            <v>187802.4831136734</v>
          </cell>
          <cell r="G38">
            <v>250114.32399496844</v>
          </cell>
          <cell r="H38">
            <v>353174.7754858617</v>
          </cell>
          <cell r="I38" t="e">
            <v>#REF!</v>
          </cell>
          <cell r="J38">
            <v>0</v>
          </cell>
        </row>
        <row r="39">
          <cell r="E39">
            <v>230397.72670323055</v>
          </cell>
          <cell r="F39">
            <v>300224.09950838011</v>
          </cell>
          <cell r="G39">
            <v>449848.3693527804</v>
          </cell>
          <cell r="H39">
            <v>635209.90845788317</v>
          </cell>
          <cell r="I39" t="e">
            <v>#REF!</v>
          </cell>
          <cell r="J39">
            <v>0</v>
          </cell>
        </row>
        <row r="40">
          <cell r="E40">
            <v>473898.80797724286</v>
          </cell>
          <cell r="F40">
            <v>632243.74269115634</v>
          </cell>
          <cell r="G40">
            <v>903229.01266390202</v>
          </cell>
          <cell r="H40">
            <v>1275407.5762822265</v>
          </cell>
          <cell r="I40" t="e">
            <v>#REF!</v>
          </cell>
          <cell r="J40">
            <v>0</v>
          </cell>
        </row>
        <row r="41">
          <cell r="J41">
            <v>0</v>
          </cell>
        </row>
        <row r="42">
          <cell r="E42">
            <v>154.00743685100196</v>
          </cell>
          <cell r="F42">
            <v>206.27730338625963</v>
          </cell>
          <cell r="G42">
            <v>85.405218183559626</v>
          </cell>
          <cell r="H42">
            <v>120.59672663092455</v>
          </cell>
          <cell r="I42" t="e">
            <v>#REF!</v>
          </cell>
          <cell r="J42">
            <v>0</v>
          </cell>
        </row>
        <row r="43">
          <cell r="J43">
            <v>0</v>
          </cell>
        </row>
        <row r="45">
          <cell r="E45">
            <v>211.34045567969795</v>
          </cell>
          <cell r="F45">
            <v>332.57048338736666</v>
          </cell>
          <cell r="G45">
            <v>371.47703735584042</v>
          </cell>
          <cell r="H45">
            <v>524.54540456044128</v>
          </cell>
          <cell r="I45" t="e">
            <v>#REF!</v>
          </cell>
          <cell r="J45">
            <v>0</v>
          </cell>
        </row>
        <row r="46">
          <cell r="E46">
            <v>384.76756826778001</v>
          </cell>
          <cell r="F46">
            <v>531.39625533820822</v>
          </cell>
          <cell r="G46">
            <v>714.3154284428382</v>
          </cell>
          <cell r="H46">
            <v>1008.6515119840221</v>
          </cell>
          <cell r="I46" t="e">
            <v>#REF!</v>
          </cell>
          <cell r="J46">
            <v>0</v>
          </cell>
        </row>
        <row r="47">
          <cell r="E47">
            <v>791.41267680548606</v>
          </cell>
          <cell r="F47">
            <v>1119.063641375016</v>
          </cell>
          <cell r="G47">
            <v>1411.1563151352889</v>
          </cell>
          <cell r="H47">
            <v>1992.6280383021474</v>
          </cell>
          <cell r="I47" t="e">
            <v>#REF!</v>
          </cell>
          <cell r="J47">
            <v>0</v>
          </cell>
        </row>
        <row r="49">
          <cell r="E49">
            <v>1129.1597110749772</v>
          </cell>
          <cell r="F49">
            <v>6682.7470759888893</v>
          </cell>
          <cell r="G49">
            <v>141.40968456106748</v>
          </cell>
          <cell r="H49">
            <v>199.67802242860125</v>
          </cell>
          <cell r="I49" t="e">
            <v>#REF!</v>
          </cell>
          <cell r="J49">
            <v>0</v>
          </cell>
        </row>
        <row r="52">
          <cell r="E52">
            <v>0</v>
          </cell>
          <cell r="F52">
            <v>0</v>
          </cell>
          <cell r="G52">
            <v>0</v>
          </cell>
          <cell r="H52">
            <v>0</v>
          </cell>
          <cell r="I52" t="e">
            <v>#REF!</v>
          </cell>
          <cell r="J52">
            <v>0</v>
          </cell>
        </row>
        <row r="53">
          <cell r="E53">
            <v>1129.1597110749772</v>
          </cell>
          <cell r="F53">
            <v>6682.7470759888893</v>
          </cell>
          <cell r="G53">
            <v>141.40968456106748</v>
          </cell>
          <cell r="H53">
            <v>199.67802242860125</v>
          </cell>
          <cell r="I53" t="e">
            <v>#REF!</v>
          </cell>
          <cell r="J53">
            <v>0</v>
          </cell>
        </row>
        <row r="59">
          <cell r="E59">
            <v>10312.493282538713</v>
          </cell>
          <cell r="F59">
            <v>17983.965782965359</v>
          </cell>
          <cell r="G59">
            <v>24458.853363176531</v>
          </cell>
          <cell r="H59">
            <v>34537.206455057967</v>
          </cell>
          <cell r="I59" t="e">
            <v>#REF!</v>
          </cell>
          <cell r="J59">
            <v>0</v>
          </cell>
        </row>
        <row r="66">
          <cell r="E66">
            <v>1069884.0996281896</v>
          </cell>
          <cell r="F66">
            <v>1612887.9253068799</v>
          </cell>
          <cell r="G66">
            <v>2046927.1995781609</v>
          </cell>
          <cell r="H66">
            <v>2890370.4617951582</v>
          </cell>
          <cell r="I66" t="e">
            <v>#REF!</v>
          </cell>
          <cell r="J66">
            <v>0</v>
          </cell>
        </row>
      </sheetData>
      <sheetData sheetId="19">
        <row r="8">
          <cell r="E8">
            <v>2563.6622339074652</v>
          </cell>
          <cell r="F8">
            <v>0</v>
          </cell>
          <cell r="G8">
            <v>0</v>
          </cell>
          <cell r="H8">
            <v>0</v>
          </cell>
          <cell r="I8">
            <v>0</v>
          </cell>
        </row>
        <row r="20">
          <cell r="E20">
            <v>8.4904412113199967</v>
          </cell>
          <cell r="F20">
            <v>10.259429506606709</v>
          </cell>
          <cell r="G20">
            <v>9.3004010406344673</v>
          </cell>
          <cell r="H20">
            <v>9.3004010406344673</v>
          </cell>
          <cell r="I20">
            <v>9.127523857307164</v>
          </cell>
        </row>
        <row r="34">
          <cell r="E34" t="e">
            <v>#REF!</v>
          </cell>
          <cell r="F34">
            <v>1213479.8933906753</v>
          </cell>
          <cell r="G34">
            <v>0</v>
          </cell>
          <cell r="H34">
            <v>0</v>
          </cell>
          <cell r="I34">
            <v>0</v>
          </cell>
        </row>
        <row r="41">
          <cell r="E41" t="e">
            <v>#REF!</v>
          </cell>
          <cell r="F41">
            <v>284.66898825402944</v>
          </cell>
          <cell r="G41">
            <v>0</v>
          </cell>
          <cell r="H41">
            <v>0</v>
          </cell>
          <cell r="I41">
            <v>0</v>
          </cell>
        </row>
      </sheetData>
      <sheetData sheetId="20"/>
      <sheetData sheetId="21"/>
      <sheetData sheetId="22"/>
      <sheetData sheetId="23"/>
      <sheetData sheetId="24"/>
      <sheetData sheetId="25">
        <row r="6">
          <cell r="C6" t="str">
            <v>Алтайский край</v>
          </cell>
        </row>
        <row r="7">
          <cell r="C7" t="str">
            <v>Амурская область</v>
          </cell>
        </row>
        <row r="8">
          <cell r="C8" t="str">
            <v>Архангельская область</v>
          </cell>
        </row>
        <row r="9">
          <cell r="C9" t="str">
            <v>Астраханская область</v>
          </cell>
        </row>
        <row r="10">
          <cell r="C10" t="str">
            <v>Белгородская область</v>
          </cell>
        </row>
        <row r="11">
          <cell r="C11" t="str">
            <v>Брянская область</v>
          </cell>
        </row>
        <row r="12">
          <cell r="C12" t="str">
            <v>Владимирская область</v>
          </cell>
        </row>
        <row r="13">
          <cell r="C13" t="str">
            <v>Волгоградская область</v>
          </cell>
        </row>
        <row r="14">
          <cell r="C14" t="str">
            <v>Вологодская область</v>
          </cell>
        </row>
        <row r="15">
          <cell r="C15" t="str">
            <v>Воронежская область</v>
          </cell>
        </row>
        <row r="16">
          <cell r="C16" t="str">
            <v>г. Москва</v>
          </cell>
        </row>
        <row r="17">
          <cell r="C17" t="str">
            <v>г.Байконур</v>
          </cell>
        </row>
        <row r="18">
          <cell r="C18" t="str">
            <v>г.Санкт-Петербург</v>
          </cell>
        </row>
        <row r="19">
          <cell r="C19" t="str">
            <v>Еврейская автономная область</v>
          </cell>
        </row>
        <row r="20">
          <cell r="C20" t="str">
            <v>Забайкальский край</v>
          </cell>
        </row>
        <row r="21">
          <cell r="C21" t="str">
            <v>Ивановская область</v>
          </cell>
        </row>
        <row r="22">
          <cell r="C22" t="str">
            <v>Иркутская область</v>
          </cell>
        </row>
        <row r="23">
          <cell r="C23" t="str">
            <v>Кабардино-Балкарская республика</v>
          </cell>
        </row>
        <row r="24">
          <cell r="C24" t="str">
            <v>Калининградская область</v>
          </cell>
        </row>
        <row r="25">
          <cell r="C25" t="str">
            <v>Калужская область</v>
          </cell>
        </row>
        <row r="26">
          <cell r="C26" t="str">
            <v>Камчатский край</v>
          </cell>
        </row>
        <row r="27">
          <cell r="C27" t="str">
            <v>Карачаево-Черкесская республика</v>
          </cell>
        </row>
        <row r="28">
          <cell r="C28" t="str">
            <v>Кемеровская область</v>
          </cell>
        </row>
        <row r="29">
          <cell r="C29" t="str">
            <v>Кировская область</v>
          </cell>
        </row>
        <row r="30">
          <cell r="C30" t="str">
            <v>Костромская область</v>
          </cell>
        </row>
        <row r="31">
          <cell r="C31" t="str">
            <v>Краснодарский край</v>
          </cell>
        </row>
        <row r="32">
          <cell r="C32" t="str">
            <v>Красноярский край</v>
          </cell>
        </row>
        <row r="33">
          <cell r="C33" t="str">
            <v>Курганская область</v>
          </cell>
        </row>
        <row r="34">
          <cell r="C34" t="str">
            <v>Курская область</v>
          </cell>
        </row>
        <row r="35">
          <cell r="C35" t="str">
            <v>Ленинградская область</v>
          </cell>
        </row>
        <row r="36">
          <cell r="C36" t="str">
            <v>Липецкая область</v>
          </cell>
        </row>
        <row r="37">
          <cell r="C37" t="str">
            <v>Магаданская область</v>
          </cell>
        </row>
        <row r="38">
          <cell r="C38" t="str">
            <v>Московская область</v>
          </cell>
        </row>
        <row r="39">
          <cell r="C39" t="str">
            <v>Мурманская область</v>
          </cell>
        </row>
        <row r="40">
          <cell r="C40" t="str">
            <v>Ненецкий автономный округ</v>
          </cell>
        </row>
        <row r="41">
          <cell r="C41" t="str">
            <v>Нижегородская область</v>
          </cell>
        </row>
        <row r="42">
          <cell r="C42" t="str">
            <v>Новгородская область</v>
          </cell>
        </row>
        <row r="43">
          <cell r="C43" t="str">
            <v>Новосибирская область</v>
          </cell>
        </row>
        <row r="44">
          <cell r="C44" t="str">
            <v>Омская область</v>
          </cell>
        </row>
        <row r="45">
          <cell r="C45" t="str">
            <v>Оренбургская область</v>
          </cell>
        </row>
        <row r="46">
          <cell r="C46" t="str">
            <v>Орловская область</v>
          </cell>
        </row>
        <row r="47">
          <cell r="C47" t="str">
            <v>Пензенская область</v>
          </cell>
        </row>
        <row r="48">
          <cell r="C48" t="str">
            <v>Пермский край</v>
          </cell>
        </row>
        <row r="49">
          <cell r="C49" t="str">
            <v>Приморский край</v>
          </cell>
        </row>
        <row r="50">
          <cell r="C50" t="str">
            <v>Псковская область</v>
          </cell>
        </row>
        <row r="51">
          <cell r="C51" t="str">
            <v>Республика Адыгея</v>
          </cell>
        </row>
        <row r="52">
          <cell r="C52" t="str">
            <v>Республика Алтай</v>
          </cell>
        </row>
        <row r="53">
          <cell r="C53" t="str">
            <v>Республика Башкортостан</v>
          </cell>
        </row>
        <row r="54">
          <cell r="C54" t="str">
            <v>Республика Бурятия</v>
          </cell>
        </row>
        <row r="55">
          <cell r="C55" t="str">
            <v>Республика Дагестан</v>
          </cell>
        </row>
        <row r="56">
          <cell r="C56" t="str">
            <v>Республика Ингушетия</v>
          </cell>
        </row>
        <row r="57">
          <cell r="C57" t="str">
            <v>Республика Калмыкия</v>
          </cell>
        </row>
        <row r="58">
          <cell r="C58" t="str">
            <v>Республика Карелия</v>
          </cell>
        </row>
        <row r="59">
          <cell r="C59" t="str">
            <v>Республика Коми</v>
          </cell>
        </row>
        <row r="60">
          <cell r="C60" t="str">
            <v>Республика Марий Эл</v>
          </cell>
        </row>
        <row r="61">
          <cell r="C61" t="str">
            <v>Республика Мордовия</v>
          </cell>
        </row>
        <row r="62">
          <cell r="C62" t="str">
            <v>Республика Саха (Якутия)</v>
          </cell>
        </row>
        <row r="63">
          <cell r="C63" t="str">
            <v>Республика Северная Осетия-Алания</v>
          </cell>
        </row>
        <row r="64">
          <cell r="C64" t="str">
            <v>Республика Татарстан</v>
          </cell>
        </row>
        <row r="65">
          <cell r="C65" t="str">
            <v>Республика Тыва</v>
          </cell>
        </row>
        <row r="66">
          <cell r="C66" t="str">
            <v>Республика Хакасия</v>
          </cell>
        </row>
        <row r="67">
          <cell r="C67" t="str">
            <v>Ростовская область</v>
          </cell>
        </row>
        <row r="68">
          <cell r="C68" t="str">
            <v>Рязанская область</v>
          </cell>
        </row>
        <row r="69">
          <cell r="C69" t="str">
            <v>Самарская область</v>
          </cell>
        </row>
        <row r="70">
          <cell r="C70" t="str">
            <v>Саратовская область</v>
          </cell>
        </row>
        <row r="71">
          <cell r="C71" t="str">
            <v>Сахалинская область</v>
          </cell>
        </row>
        <row r="72">
          <cell r="C72" t="str">
            <v>Свердловская область</v>
          </cell>
        </row>
        <row r="73">
          <cell r="C73" t="str">
            <v>Смоленская область</v>
          </cell>
        </row>
        <row r="74">
          <cell r="C74" t="str">
            <v>Ставропольский край</v>
          </cell>
        </row>
        <row r="75">
          <cell r="C75" t="str">
            <v>Тамбовская область</v>
          </cell>
        </row>
        <row r="76">
          <cell r="C76" t="str">
            <v>Тверская область</v>
          </cell>
        </row>
        <row r="77">
          <cell r="C77" t="str">
            <v>Томская область</v>
          </cell>
        </row>
        <row r="78">
          <cell r="C78" t="str">
            <v>Тульская область</v>
          </cell>
        </row>
        <row r="79">
          <cell r="C79" t="str">
            <v>Тюменская область</v>
          </cell>
        </row>
        <row r="80">
          <cell r="C80" t="str">
            <v>Удмуртская республика</v>
          </cell>
        </row>
        <row r="81">
          <cell r="C81" t="str">
            <v>Ульяновская область</v>
          </cell>
        </row>
        <row r="82">
          <cell r="C82" t="str">
            <v>Хабаровский край</v>
          </cell>
        </row>
        <row r="83">
          <cell r="C83" t="str">
            <v>Ханты-Мансийский автономный округ</v>
          </cell>
        </row>
        <row r="84">
          <cell r="C84" t="str">
            <v>Челябинская область</v>
          </cell>
        </row>
        <row r="85">
          <cell r="C85" t="str">
            <v>Чеченская республика</v>
          </cell>
        </row>
        <row r="86">
          <cell r="C86" t="str">
            <v>Чувашская республика</v>
          </cell>
        </row>
        <row r="87">
          <cell r="C87" t="str">
            <v>Чукотский автономный округ</v>
          </cell>
        </row>
        <row r="88">
          <cell r="C88" t="str">
            <v>Ямало-Ненецкий автономный округ</v>
          </cell>
        </row>
        <row r="89">
          <cell r="C89" t="str">
            <v>Ярославская область</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Справочники"/>
      <sheetName val="Приложение 1"/>
      <sheetName val="Приложение 2"/>
      <sheetName val="Приложение 3"/>
      <sheetName val="Приложение 4"/>
      <sheetName val="Регионы"/>
      <sheetName val="Параметры"/>
      <sheetName val="14б ДПН отчет"/>
      <sheetName val="16а Сводный анализ"/>
      <sheetName val="FS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Титульный"/>
      <sheetName val="Инструкция по заполнению"/>
      <sheetName val="46 - передача"/>
      <sheetName val="Проверка"/>
      <sheetName val="modProv"/>
      <sheetName val="TEHSHEET"/>
      <sheetName val="REESTR_ORG"/>
      <sheetName val="REESTR"/>
      <sheetName val="tech"/>
      <sheetName val="modExportData"/>
    </sheetNames>
    <sheetDataSet>
      <sheetData sheetId="0">
        <row r="2">
          <cell r="N2" t="e">
            <v>#VALUE!</v>
          </cell>
        </row>
      </sheetData>
      <sheetData sheetId="1">
        <row r="6">
          <cell r="F6" t="str">
            <v>Краснодарский край</v>
          </cell>
        </row>
        <row r="8">
          <cell r="F8">
            <v>2012</v>
          </cell>
          <cell r="G8" t="str">
            <v>Год</v>
          </cell>
        </row>
      </sheetData>
      <sheetData sheetId="2"/>
      <sheetData sheetId="3"/>
      <sheetData sheetId="4"/>
      <sheetData sheetId="5"/>
      <sheetData sheetId="6"/>
      <sheetData sheetId="7">
        <row r="156">
          <cell r="A156" t="str">
            <v>Гирейское ЗАО "Железобетон"</v>
          </cell>
          <cell r="H156" t="str">
            <v>ЗАО "МАРЭМ+"</v>
          </cell>
          <cell r="X156" t="str">
            <v>Другие поставщики</v>
          </cell>
        </row>
        <row r="157">
          <cell r="A157" t="str">
            <v>ГНУ СКС ВИМ Россельхозакадемии</v>
          </cell>
          <cell r="H157" t="str">
            <v>ЗАО "Успенский сахарник"</v>
          </cell>
          <cell r="X157" t="str">
            <v>ЗАО "Картонтара"</v>
          </cell>
        </row>
        <row r="158">
          <cell r="A158" t="str">
            <v>ГУ Краснодарский НИИ хранения и переработки с/х продукции РАСН</v>
          </cell>
          <cell r="H158" t="str">
            <v>ОАО "Компания Импульс "</v>
          </cell>
          <cell r="X158" t="str">
            <v>ЗАО "Кристалл"</v>
          </cell>
        </row>
        <row r="159">
          <cell r="A159" t="str">
            <v>ЗАО "Анапа Инвест"</v>
          </cell>
          <cell r="H159" t="str">
            <v>ОАО "Кристалл-2"</v>
          </cell>
          <cell r="X159" t="str">
            <v>ЗАО "Кубаньжелдормаш"</v>
          </cell>
        </row>
        <row r="160">
          <cell r="A160" t="str">
            <v>ЗАО "КНПЗ-КЭН"</v>
          </cell>
          <cell r="H160" t="str">
            <v>ОАО "Кубаньэнергосбыт"</v>
          </cell>
          <cell r="X160" t="str">
            <v>ЗАО "Сахарный завод "Свобода"</v>
          </cell>
        </row>
        <row r="161">
          <cell r="A161" t="str">
            <v>ЗАО "Краснодарлекраспром"</v>
          </cell>
          <cell r="H161" t="str">
            <v>ОАО "Курский завод медстекла"</v>
          </cell>
          <cell r="X161" t="str">
            <v>ЗАО "Сахарный комбинат "Тихорецкий"</v>
          </cell>
        </row>
        <row r="162">
          <cell r="A162" t="str">
            <v>ЗАО "Пансионат "Шепси"</v>
          </cell>
          <cell r="H162" t="str">
            <v>ОАО "Мосэнергосбыт"</v>
          </cell>
          <cell r="X162" t="str">
            <v>ЗАО "ССК "Ленинградский"</v>
          </cell>
        </row>
        <row r="163">
          <cell r="A163" t="str">
            <v>ЗАО "Пластформ"</v>
          </cell>
          <cell r="H163" t="str">
            <v>ОАО "НЭСК"</v>
          </cell>
          <cell r="X163" t="str">
            <v>ЗАО "Тбилисский сахарный завод"</v>
          </cell>
        </row>
        <row r="164">
          <cell r="A164" t="str">
            <v>ЗАО "Сахарный комбинат "Курганинский"</v>
          </cell>
          <cell r="H164" t="str">
            <v>ОАО «Нижноватомэнергосбыт»</v>
          </cell>
          <cell r="X164" t="str">
            <v>ОАО "Адыгэнергострой"</v>
          </cell>
        </row>
        <row r="165">
          <cell r="A165" t="str">
            <v>ЗАО "Седин-Энерго"</v>
          </cell>
          <cell r="H165" t="str">
            <v>Общество с ограниченной ответственностью "РН-Энерго"</v>
          </cell>
          <cell r="X165" t="str">
            <v>ОАО "Викор"</v>
          </cell>
        </row>
        <row r="166">
          <cell r="A166" t="str">
            <v>ЗАО "СК "Главкраснодарпромстрой"</v>
          </cell>
          <cell r="H166" t="str">
            <v>ООО "ГРИНН Энергосбыт"</v>
          </cell>
          <cell r="X166" t="str">
            <v>ОАО "Гиркубс"</v>
          </cell>
        </row>
        <row r="167">
          <cell r="A167" t="str">
            <v>ЗАО "Успенский сахарник"</v>
          </cell>
          <cell r="H167" t="str">
            <v>ООО "Дизаж М"</v>
          </cell>
          <cell r="X167" t="str">
            <v>ОАО "Динсксахар"</v>
          </cell>
        </row>
        <row r="168">
          <cell r="A168" t="str">
            <v>ЗАО "Энергосервис"</v>
          </cell>
          <cell r="H168" t="str">
            <v>ООО "КНАУФ ЭНЕРГИЯ"</v>
          </cell>
          <cell r="X168" t="str">
            <v>ОАО "Изумруд"</v>
          </cell>
        </row>
        <row r="169">
          <cell r="A169" t="str">
            <v>ЗАО КПП "Геленджикский"</v>
          </cell>
          <cell r="H169" t="str">
            <v>ООО "КубаньРесурс"</v>
          </cell>
          <cell r="X169" t="str">
            <v>ОАО "Каневсксахар"</v>
          </cell>
        </row>
        <row r="170">
          <cell r="A170" t="str">
            <v>Муниципальное унитарное предприятие "МАЙКОПСКИЕ ГОРОДСКИЕ ЭЛЕКТРИЧЕСКИЕ СЕТИ" МО "Город Майкоп"</v>
          </cell>
          <cell r="H170" t="str">
            <v>ООО "Кубаньэнергосервис"</v>
          </cell>
          <cell r="X170" t="str">
            <v>ОАО "Новороссийский судоремонтный завод"</v>
          </cell>
        </row>
        <row r="171">
          <cell r="A171" t="str">
            <v>ОАО "28 электрическая сеть"</v>
          </cell>
          <cell r="H171" t="str">
            <v>ООО "Региональная энергосбытовая компания" (ОПП)</v>
          </cell>
          <cell r="X171" t="str">
            <v>ОАО "ОАО Мобильные ГТЭС"</v>
          </cell>
        </row>
        <row r="172">
          <cell r="A172" t="str">
            <v>ОАО "Агентство развития Краснодарского края"</v>
          </cell>
          <cell r="H172" t="str">
            <v>ООО "Русэнергоресурс"</v>
          </cell>
          <cell r="X172" t="str">
            <v>ОАО "Павловский сахарный завод"</v>
          </cell>
        </row>
        <row r="173">
          <cell r="A173" t="str">
            <v>ОАО "Армавирский завод резиновых изделий"</v>
          </cell>
          <cell r="H173" t="str">
            <v>ООО "РУСЭНЕРГОСБЫТ"</v>
          </cell>
          <cell r="X173" t="str">
            <v>ОАО "Сахарный завод "Лабинский"</v>
          </cell>
        </row>
        <row r="174">
          <cell r="A174" t="str">
            <v>ОАО "Армавирский Электротехнический завод"</v>
          </cell>
          <cell r="H174" t="str">
            <v>ООО "Сбытэнерго"</v>
          </cell>
          <cell r="X174" t="str">
            <v>ООО "ИнвестГрупп-Энерджи"</v>
          </cell>
        </row>
        <row r="175">
          <cell r="A175" t="str">
            <v>ОАО "Армавирэнергоинвест"</v>
          </cell>
          <cell r="H175" t="str">
            <v>ООО "ТД "Энергосервис"</v>
          </cell>
          <cell r="X175" t="str">
            <v>ООО "Лукойл - Экоэнерго"</v>
          </cell>
        </row>
        <row r="176">
          <cell r="A176" t="str">
            <v>ОАО "Аэропорт Анапа"</v>
          </cell>
          <cell r="H176" t="str">
            <v>ООО "Транснефтьсервис С"</v>
          </cell>
          <cell r="X176" t="str">
            <v>ООО "Межрегиональная генерирующая компания"</v>
          </cell>
        </row>
        <row r="177">
          <cell r="A177" t="str">
            <v>ОАО "Компрессорный завод "Борец"</v>
          </cell>
          <cell r="H177" t="str">
            <v>ООО "Транснефтьэнерго"</v>
          </cell>
          <cell r="X177" t="str">
            <v>ООО "РЭУ Идеал Хаус"</v>
          </cell>
        </row>
        <row r="178">
          <cell r="A178" t="str">
            <v>ОАО "Кореновсксахар"</v>
          </cell>
          <cell r="H178" t="str">
            <v>ООО "Электроснабжение"</v>
          </cell>
          <cell r="X178" t="str">
            <v>ООО "Саратовская ТЭЦ-1"</v>
          </cell>
        </row>
        <row r="179">
          <cell r="A179" t="str">
            <v>ОАО "Краснодарский приборный завод "Каскад"</v>
          </cell>
          <cell r="H179" t="str">
            <v>ООО "Энерголинк"</v>
          </cell>
          <cell r="X179" t="str">
            <v>ООО "Свод Интернешнл"</v>
          </cell>
        </row>
        <row r="180">
          <cell r="A180" t="str">
            <v>ОАО "Кристалл-2"</v>
          </cell>
          <cell r="H180" t="str">
            <v>ООО "ЭНЕРГОСБЫТХОЛДИНГ"</v>
          </cell>
          <cell r="X180" t="str">
            <v>ООО "ТЕАМ"</v>
          </cell>
        </row>
        <row r="181">
          <cell r="A181" t="str">
            <v>ОАО "Кропоткинское объединенное предприятие Стройиндустрии"</v>
          </cell>
          <cell r="H181" t="str">
            <v>Открытое акционерное общество "ГТ-ТЭЦ Энерго", г.Москва</v>
          </cell>
          <cell r="X181" t="str">
            <v>ООО "Теплоэнергодар"</v>
          </cell>
        </row>
        <row r="182">
          <cell r="A182" t="str">
            <v>ОАО "Кубаньэнерго"</v>
          </cell>
          <cell r="H182" t="str">
            <v>Открытое акционерное общество «Московское городское энергосбытовое предприятие»</v>
          </cell>
          <cell r="X182" t="str">
            <v>ООО "Хоста" Сочи</v>
          </cell>
        </row>
        <row r="183">
          <cell r="A183" t="str">
            <v>ОАО "Майкопнормаль"</v>
          </cell>
          <cell r="H183" t="str">
            <v>филиал "Южный" ОАО "Оборонэнергосбыт"</v>
          </cell>
          <cell r="X183" t="str">
            <v>ООО "Энерго-Сотекс"</v>
          </cell>
        </row>
        <row r="184">
          <cell r="A184" t="str">
            <v>ОАО "Международный аэропорт "Краснодар"</v>
          </cell>
          <cell r="H184" t="str">
            <v>Филиал ОАО "РЖД" Трансэнерго Юго-Восточная дирекция по энергообеспечению</v>
          </cell>
          <cell r="X184" t="str">
            <v>ООО ЛУКОЙЛ-Кубаньэнерго</v>
          </cell>
        </row>
        <row r="185">
          <cell r="A185" t="str">
            <v>ОАО "Нефтегазтехнология-Энергия"</v>
          </cell>
          <cell r="H185" t="str">
            <v>Южно-Уральская дирекция по энергообеспечению – структурное подразделение Трансэнерго – филиала ОАО «РЖД»</v>
          </cell>
          <cell r="X185" t="str">
            <v>Филиал "МЖК Краснодарский" ООО "МЭЗ Юг Руси"</v>
          </cell>
        </row>
        <row r="186">
          <cell r="A186" t="str">
            <v>ОАО "Новорослесэкспорт"</v>
          </cell>
          <cell r="X186" t="str">
            <v>Филиал КВЭП ЗАО "РАМО-М"</v>
          </cell>
        </row>
        <row r="187">
          <cell r="A187" t="str">
            <v>ОАО "Новороссийский морской торговый порт"</v>
          </cell>
          <cell r="X187" t="str">
            <v>филиал ОАО "ОГК-2" - Адлерская ТЭС</v>
          </cell>
        </row>
        <row r="188">
          <cell r="A188" t="str">
            <v>ОАО "НЭСК-электросети"</v>
          </cell>
          <cell r="X188" t="str">
            <v>Филиал ОАО "ОГК-3" "Джубгинская ТЭС"</v>
          </cell>
        </row>
        <row r="189">
          <cell r="A189" t="str">
            <v>ОАО "Прибой"</v>
          </cell>
          <cell r="X189" t="str">
            <v>филиала Сочинская ТЭС ОАО "ИНТЕР РАО ЕЭС"</v>
          </cell>
        </row>
        <row r="190">
          <cell r="A190" t="str">
            <v>ОАО "Российские Железные Дороги"</v>
          </cell>
        </row>
        <row r="191">
          <cell r="A191" t="str">
            <v>ОАО "Сатурн"</v>
          </cell>
        </row>
        <row r="192">
          <cell r="A192" t="str">
            <v>ОАО "Стройкомплект"</v>
          </cell>
        </row>
        <row r="193">
          <cell r="A193" t="str">
            <v>ОАО "Сургутнефтегаз" Оздоровительный трест " Сургут"</v>
          </cell>
        </row>
        <row r="194">
          <cell r="A194" t="str">
            <v>ОАО "Туапсинский морской торговый порт"</v>
          </cell>
        </row>
        <row r="195">
          <cell r="A195" t="str">
            <v>ОАО "ФСК ЕЭС"</v>
          </cell>
        </row>
        <row r="196">
          <cell r="A196" t="str">
            <v>ООО  МРСК  "Промэкспертиза"</v>
          </cell>
        </row>
        <row r="197">
          <cell r="A197" t="str">
            <v>ООО "Армавирский мясоперерабатывающий завод"</v>
          </cell>
        </row>
        <row r="198">
          <cell r="A198" t="str">
            <v>ООО "Афипский НПЗ"</v>
          </cell>
        </row>
        <row r="199">
          <cell r="A199" t="str">
            <v>ООО "Брис-Босфор"</v>
          </cell>
        </row>
        <row r="200">
          <cell r="A200" t="str">
            <v>ООО "Вегома"</v>
          </cell>
        </row>
        <row r="201">
          <cell r="A201" t="str">
            <v>ООО "ВТ-Ресурс"</v>
          </cell>
        </row>
        <row r="202">
          <cell r="A202" t="str">
            <v>ООО "Директория – Новый Морской Порт"</v>
          </cell>
        </row>
        <row r="203">
          <cell r="A203" t="str">
            <v>ООО "Дунай"</v>
          </cell>
        </row>
        <row r="204">
          <cell r="A204" t="str">
            <v>ООО "ИнвестСпецСтрой"</v>
          </cell>
        </row>
        <row r="205">
          <cell r="A205" t="str">
            <v>ООО "КВЭП"</v>
          </cell>
        </row>
        <row r="206">
          <cell r="A206" t="str">
            <v>ООО "Коммунальная энергосервисная компания"</v>
          </cell>
        </row>
        <row r="207">
          <cell r="A207" t="str">
            <v>ООО "Краснодар Водоканал"</v>
          </cell>
        </row>
        <row r="208">
          <cell r="A208" t="str">
            <v>ООО "Кропоткинский энергетический комплекс"</v>
          </cell>
        </row>
        <row r="209">
          <cell r="A209" t="str">
            <v>ООО "КС-Энерго"</v>
          </cell>
        </row>
        <row r="210">
          <cell r="A210" t="str">
            <v>ООО "Кубанские Фармацевтические склады"</v>
          </cell>
        </row>
        <row r="211">
          <cell r="A211" t="str">
            <v>ООО "Кубаньтрансэнерго"</v>
          </cell>
        </row>
        <row r="212">
          <cell r="A212" t="str">
            <v>ООО "ЛЭС"</v>
          </cell>
        </row>
        <row r="213">
          <cell r="A213" t="str">
            <v>ООО "МК-сеть"</v>
          </cell>
        </row>
        <row r="214">
          <cell r="A214" t="str">
            <v>ООО "НПК "Энергия"</v>
          </cell>
        </row>
        <row r="215">
          <cell r="A215" t="str">
            <v>ООО "НСК"</v>
          </cell>
        </row>
        <row r="216">
          <cell r="A216" t="str">
            <v>ООО "Первая строительная компания"</v>
          </cell>
        </row>
        <row r="217">
          <cell r="A217" t="str">
            <v>ООО "Промышленная компания "Крымский консервный комбинат"</v>
          </cell>
        </row>
        <row r="218">
          <cell r="A218" t="str">
            <v>ООО "ПХЦ-Алдан"</v>
          </cell>
        </row>
        <row r="219">
          <cell r="A219" t="str">
            <v>ООО "РН-Туапсинский НПЗ"</v>
          </cell>
        </row>
        <row r="220">
          <cell r="A220" t="str">
            <v>ООО "РОСТЭК"</v>
          </cell>
        </row>
        <row r="221">
          <cell r="A221" t="str">
            <v>ООО "Самаратранснефтьсервис"</v>
          </cell>
        </row>
        <row r="222">
          <cell r="A222" t="str">
            <v>ООО "Сервис-Плюс"</v>
          </cell>
        </row>
        <row r="223">
          <cell r="A223" t="str">
            <v>ООО "СК-Электро"</v>
          </cell>
        </row>
        <row r="224">
          <cell r="A224" t="str">
            <v>ООО "Славяне"</v>
          </cell>
        </row>
        <row r="225">
          <cell r="A225" t="str">
            <v>ООО "СоюзЭнергоСеть"</v>
          </cell>
        </row>
        <row r="226">
          <cell r="A226" t="str">
            <v>ООО "Тбилисские электрические сети"</v>
          </cell>
        </row>
        <row r="227">
          <cell r="A227" t="str">
            <v>ООО "Теплосервис-2000"</v>
          </cell>
        </row>
        <row r="228">
          <cell r="A228" t="str">
            <v>ООО "Транснефтьэнерго"</v>
          </cell>
        </row>
        <row r="229">
          <cell r="A229" t="str">
            <v>ООО "Универсал-Плюс-Сервис"</v>
          </cell>
        </row>
        <row r="230">
          <cell r="A230" t="str">
            <v>ООО "Фирма "Нефтестройиндустрия-Юг"</v>
          </cell>
        </row>
        <row r="231">
          <cell r="A231" t="str">
            <v>ООО "Фирма "СДМТ"</v>
          </cell>
        </row>
        <row r="232">
          <cell r="A232" t="str">
            <v>ООО "Электросбыт"</v>
          </cell>
        </row>
        <row r="233">
          <cell r="A233" t="str">
            <v>ООО "Электротранзит"</v>
          </cell>
        </row>
        <row r="234">
          <cell r="A234" t="str">
            <v>ООО "Энергоальянс"</v>
          </cell>
        </row>
        <row r="235">
          <cell r="A235" t="str">
            <v>ООО "ЭнергоСервис"</v>
          </cell>
        </row>
        <row r="236">
          <cell r="A236" t="str">
            <v>ООО "ЮгЭнергоРесурс"</v>
          </cell>
        </row>
        <row r="237">
          <cell r="A237" t="str">
            <v>ООО "Югэнергоэксперт"</v>
          </cell>
        </row>
        <row r="238">
          <cell r="A238" t="str">
            <v>ООО "Янтарь"</v>
          </cell>
        </row>
        <row r="239">
          <cell r="A239" t="str">
            <v>ООО «Кропоткинский Агрохим»</v>
          </cell>
        </row>
        <row r="240">
          <cell r="A240" t="str">
            <v>ООО ПФ "Поллет"</v>
          </cell>
        </row>
        <row r="241">
          <cell r="A241" t="str">
            <v>Открытое акционерное общество "ГТ-ТЭЦ Энерго", г.Москва</v>
          </cell>
        </row>
        <row r="242">
          <cell r="A242" t="str">
            <v>Северо-Кавказский филиал ООО "Газпром энерго"</v>
          </cell>
        </row>
        <row r="243">
          <cell r="A243" t="str">
            <v>ФГУ "Краснодарское водохранилище"</v>
          </cell>
        </row>
        <row r="244">
          <cell r="A244" t="str">
            <v>Филиал "Южный" открытого акционерного общества "28 Электрическая сеть"</v>
          </cell>
        </row>
        <row r="245">
          <cell r="A245" t="str">
            <v>Южно-Уральская дирекция по энергообеспечению – структурное подразделение Трансэнерго – филиала ОАО «РЖД»</v>
          </cell>
        </row>
      </sheetData>
      <sheetData sheetId="8"/>
      <sheetData sheetId="9"/>
      <sheetData sheetId="1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исок форм"/>
      <sheetName val="Справочники"/>
      <sheetName val="2"/>
      <sheetName val="3"/>
      <sheetName val="4"/>
      <sheetName val="5"/>
      <sheetName val="6"/>
      <sheetName val="7"/>
      <sheetName val="8"/>
      <sheetName val="9"/>
      <sheetName val="10"/>
      <sheetName val="11"/>
      <sheetName val="12"/>
      <sheetName val="13"/>
      <sheetName val="14"/>
      <sheetName val="15"/>
      <sheetName val="16"/>
      <sheetName val="17"/>
      <sheetName val="999"/>
      <sheetName val="29"/>
      <sheetName val="20"/>
      <sheetName val="21"/>
      <sheetName val="23"/>
      <sheetName val="25"/>
      <sheetName val="26"/>
      <sheetName val="27"/>
      <sheetName val="28"/>
      <sheetName val="19"/>
      <sheetName val="22"/>
      <sheetName val="24"/>
      <sheetName val="расчет тарифов"/>
      <sheetName val="УФ-61"/>
      <sheetName val="Регионы"/>
      <sheetName val="Приложение (ТЭЦ) "/>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Передача ЭЭ"/>
      <sheetName val="FES"/>
      <sheetName val="TEHSHEET"/>
      <sheetName val="Топливо2009"/>
      <sheetName val="2009"/>
      <sheetName val="Титульный"/>
      <sheetName val="Лист1"/>
      <sheetName val="14б ДПН отчет"/>
      <sheetName val="16а Сводный анализ"/>
      <sheetName val="FST5"/>
      <sheetName val="REESTR_MO"/>
      <sheetName val="2.2"/>
      <sheetName val="ИП"/>
      <sheetName val="Ист-ики финанс-я"/>
      <sheetName val="Расчет прибыли"/>
      <sheetName val="2.1"/>
      <sheetName val="2.3"/>
      <sheetName val="0.1"/>
      <sheetName val="Индексы"/>
      <sheetName val="Инструкция"/>
    </sheetNames>
    <sheetDataSet>
      <sheetData sheetId="0" refreshError="1"/>
      <sheetData sheetId="1" refreshError="1"/>
      <sheetData sheetId="2" refreshError="1">
        <row r="2">
          <cell r="A2" t="str">
            <v>ТЭС-1</v>
          </cell>
        </row>
        <row r="3">
          <cell r="A3" t="str">
            <v>ТЭС-2</v>
          </cell>
        </row>
        <row r="5">
          <cell r="A5" t="str">
            <v>Добавить строки</v>
          </cell>
        </row>
        <row r="9">
          <cell r="A9" t="str">
            <v>Котельная - 1</v>
          </cell>
        </row>
        <row r="10">
          <cell r="A10" t="str">
            <v>Котельная - 2</v>
          </cell>
        </row>
        <row r="12">
          <cell r="A12" t="str">
            <v>Добавить строки</v>
          </cell>
        </row>
        <row r="30">
          <cell r="A30" t="str">
            <v>Абонплата РАО "ЕЭС России"</v>
          </cell>
        </row>
        <row r="31">
          <cell r="A31" t="str">
            <v>Плата ФСК "ЕЭС России"</v>
          </cell>
        </row>
        <row r="32">
          <cell r="A32" t="str">
            <v>Плата НП "АТС"</v>
          </cell>
        </row>
        <row r="33">
          <cell r="A33" t="str">
            <v>Плата ОАО "СО-ЦДУ ЕЭС"</v>
          </cell>
        </row>
        <row r="35">
          <cell r="A35" t="str">
            <v>Добавить строки</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s>
    <sheetDataSet>
      <sheetData sheetId="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19"/>
      <sheetName val="20"/>
      <sheetName val="21"/>
      <sheetName val="22"/>
      <sheetName val="23"/>
      <sheetName val="24"/>
      <sheetName val="25"/>
      <sheetName val="26"/>
      <sheetName val="27"/>
      <sheetName val="28"/>
      <sheetName val="29"/>
      <sheetName val="реализация СВОД"/>
      <sheetName val="реализация нерег"/>
      <sheetName val="реализация рег"/>
      <sheetName val="расчет смешанного тарифа"/>
      <sheetName val="товарка население"/>
      <sheetName val="товарка исх"/>
      <sheetName val="смешанный тариф рег"/>
      <sheetName val="товарка рег"/>
      <sheetName val="смешанный тариф нерег"/>
      <sheetName val="товарка нерег"/>
      <sheetName val="смешанный тариф итого"/>
      <sheetName val="товарка итого"/>
      <sheetName val="1.1.1.1.(товарка исх.)"/>
      <sheetName val="1.1.1.1.(товарка рег)"/>
      <sheetName val="1.1.1.1.(товарка нерег)"/>
      <sheetName val="1.1.1.1.(товарка итого)"/>
      <sheetName val="1.1.1.1.(товарка горсети исх.)"/>
      <sheetName val="1.1.1.1.(товарка горсети рег)"/>
      <sheetName val="1.1.1.1.(товарка горсети нерег)"/>
      <sheetName val="1.1.1.1.(товарка горсети итого)"/>
      <sheetName val="товарка отрасли"/>
      <sheetName val="товарка группы"/>
      <sheetName val="товарка горсети"/>
      <sheetName val="Анализ по товарке"/>
      <sheetName val="Анализ по товарке (ОПП)"/>
      <sheetName val="Анализ по реализации"/>
      <sheetName val="товарка факт по рег. тарифу"/>
      <sheetName val="Анализ товарки по рег. тарифу"/>
      <sheetName val="Анализ товарки ОПП рег. тарифу"/>
      <sheetName val="P2.1"/>
      <sheetName val="Мониторинг _2"/>
      <sheetName val="Регионы"/>
      <sheetName val="реализация"/>
      <sheetName val="группы итого 1с"/>
      <sheetName val="группы рег."/>
      <sheetName val="группы нерег."/>
      <sheetName val="группы перерасчет рег."/>
      <sheetName val="группы перерасчет нерег."/>
      <sheetName val="группы итого проверка"/>
      <sheetName val="ПД_ПФ_2009"/>
      <sheetName val="Бюджет_2010_ожид."/>
      <sheetName val="ЭСО"/>
      <sheetName val="сбыт"/>
      <sheetName val="Ген. не уч. ОРЭМ"/>
      <sheetName val="сети"/>
      <sheetName val="шаблон для R3"/>
      <sheetName val="перекрестка"/>
      <sheetName val="16"/>
      <sheetName val="18.2"/>
      <sheetName val="4"/>
      <sheetName val="6"/>
      <sheetName val="15"/>
      <sheetName val="17.1"/>
      <sheetName val="2.3"/>
      <sheetName val="21.3"/>
      <sheetName val="Форма 20 (1)"/>
      <sheetName val="Форма 20 (2)"/>
      <sheetName val="Форма 20 (3)"/>
      <sheetName val="Форма 20 (4)"/>
      <sheetName val="Форма 20 (5)"/>
      <sheetName val="ПД_дек"/>
      <sheetName val="ПФ_дек"/>
      <sheetName val="анализ 50"/>
      <sheetName val="анализ 51"/>
      <sheetName val="анализ 57"/>
      <sheetName val="анализ 62"/>
      <sheetName val="расшифровка 62"/>
      <sheetName val="ОСВ"/>
      <sheetName val="60,51"/>
      <sheetName val="71,50"/>
      <sheetName val="76.5,51"/>
      <sheetName val="91.2,51"/>
      <sheetName val="66,51"/>
      <sheetName val="бюджет_2010_фев"/>
      <sheetName val="расх. из приб. фев 2010"/>
      <sheetName val="инвест.прогр"/>
      <sheetName val="сч.60 услуги СЭ"/>
      <sheetName val="ДЗ_РСВ"/>
      <sheetName val="РСВ_продажа"/>
      <sheetName val="ДЗ_БР"/>
      <sheetName val="БР продажа "/>
      <sheetName val="ДЗ_мощность"/>
      <sheetName val="ДЗ_ТДЭн_компенсация"/>
      <sheetName val="КЗ_60.1"/>
      <sheetName val="КЗ_РСВ"/>
      <sheetName val="КЗ_КОМ"/>
      <sheetName val="КЗ_БР"/>
      <sheetName val="КЗ_76.5"/>
      <sheetName val="КЗ_71"/>
      <sheetName val="авансы выданные_60.2"/>
      <sheetName val="КЗ_ЦФР"/>
      <sheetName val=" анализ  70"/>
      <sheetName val="68.1_ПОДОХОДНЫЙ"/>
      <sheetName val="68.2_НДС"/>
      <sheetName val="68.4 налог на ПРИБЫЛЬ"/>
      <sheetName val="68.4.1._платежи в бюджет"/>
      <sheetName val="68.4.2_начисление _налога_ПРИБ."/>
      <sheetName val="68.8_ИМУЩЕСТВО"/>
      <sheetName val="68.10_ОКР.СРЕДА"/>
      <sheetName val="68.11_ТРАНСПОРТ"/>
      <sheetName val="68.12_ЗЕМЛЯ"/>
      <sheetName val="68.14_ГОСПОШЛИНА"/>
      <sheetName val="Анализ 97"/>
      <sheetName val="69.1_СОЦ_СТРАХ"/>
      <sheetName val="69.2_ПФ"/>
      <sheetName val="69.3_МЕД.СТРАХ."/>
      <sheetName val="69.11_ТРАВМАТИЗМ"/>
      <sheetName val="58.1 АКЦИИ СГЭС"/>
      <sheetName val="58.2_ВЕКСЕЛЯ"/>
      <sheetName val="58.3_ЗАЙМЫ"/>
      <sheetName val="58.2_91.1_ВЕКСЕЛЯ"/>
      <sheetName val="91.2_58.2_ВЕКСЕЛЯ"/>
      <sheetName val="анализ сч.75"/>
      <sheetName val="план счетов"/>
      <sheetName val="выручка_02"/>
      <sheetName val="Лист1"/>
      <sheetName val="Лист1 (2)"/>
      <sheetName val="Лист2"/>
      <sheetName val="Лист3"/>
      <sheetName val="FES"/>
      <sheetName val="_x0018_O_x0000__x0000__x0000_"/>
      <sheetName val=""/>
      <sheetName val="Электроэн 4кв"/>
      <sheetName val="Вода 4кв"/>
      <sheetName val="Тепло 4кв"/>
      <sheetName val="ДПН внутр"/>
      <sheetName val="ДПН АРМ"/>
      <sheetName val="Control"/>
      <sheetName val="Приток"/>
      <sheetName val="Отток"/>
      <sheetName val="Списки"/>
      <sheetName val="FST5"/>
      <sheetName val="TSheet"/>
      <sheetName val="Титульный"/>
      <sheetName val="35998"/>
      <sheetName val="44"/>
      <sheetName val="92"/>
      <sheetName val="94"/>
      <sheetName val="97"/>
      <sheetName val="Отчет"/>
      <sheetName val="реализация_СВОД"/>
      <sheetName val="реализация_нерег"/>
      <sheetName val="реализация_рег"/>
      <sheetName val="расчет_смешанного_тарифа"/>
      <sheetName val="товарка_население"/>
      <sheetName val="товарка_исх"/>
      <sheetName val="смешанный_тариф_рег"/>
      <sheetName val="товарка_рег"/>
      <sheetName val="смешанный_тариф_нерег"/>
      <sheetName val="товарка_нерег"/>
      <sheetName val="смешанный_тариф_итого"/>
      <sheetName val="товарка_итого"/>
      <sheetName val="1_1_1_1_(товарка_исх_)"/>
      <sheetName val="1_1_1_1_(товарка_рег)"/>
      <sheetName val="1_1_1_1_(товарка_нерег)"/>
      <sheetName val="1_1_1_1_(товарка_итого)"/>
      <sheetName val="1_1_1_1_(товарка_горсети_исх_)"/>
      <sheetName val="1_1_1_1_(товарка_горсети_рег)"/>
      <sheetName val="1_1_1_1_(товарка_горсети_нерег)"/>
      <sheetName val="1_1_1_1_(товарка_горсети_итого)"/>
      <sheetName val="товарка_отрасли"/>
      <sheetName val="товарка_группы"/>
      <sheetName val="товарка_горсети"/>
      <sheetName val="Анализ_по_товарке"/>
      <sheetName val="Анализ_по_товарке_(ОПП)"/>
      <sheetName val="Анализ_по_реализации"/>
      <sheetName val="товарка_факт_по_рег__тарифу"/>
      <sheetName val="Анализ_товарки_по_рег__тарифу"/>
      <sheetName val="Анализ_товарки_ОПП_рег__тарифу"/>
      <sheetName val="P2_1"/>
      <sheetName val="Мониторинг__2"/>
      <sheetName val="шаблон_для_R3"/>
      <sheetName val="группы_итого_1с"/>
      <sheetName val="группы_рег_"/>
      <sheetName val="группы_нерег_"/>
      <sheetName val="группы_перерасчет_рег_"/>
      <sheetName val="группы_перерасчет_нерег_"/>
      <sheetName val="группы_итого_проверка"/>
      <sheetName val="Бюджет_2010_ожид_"/>
      <sheetName val="Форма_20_(1)"/>
      <sheetName val="Форма_20_(2)"/>
      <sheetName val="Форма_20_(3)"/>
      <sheetName val="Форма_20_(4)"/>
      <sheetName val="Форма_20_(5)"/>
      <sheetName val="18_2"/>
      <sheetName val="17_1"/>
      <sheetName val="2_3"/>
      <sheetName val="Ген__не_уч__ОРЭМ"/>
      <sheetName val="21_3"/>
      <sheetName val="анализ_50"/>
      <sheetName val="анализ_51"/>
      <sheetName val="анализ_57"/>
      <sheetName val="анализ_62"/>
      <sheetName val="расшифровка_62"/>
      <sheetName val="76_5,51"/>
      <sheetName val="91_2,51"/>
      <sheetName val="расх__из_приб__фев_2010"/>
      <sheetName val="инвест_прогр"/>
      <sheetName val="сч_60_услуги_СЭ"/>
      <sheetName val="БР_продажа_"/>
      <sheetName val="КЗ_60_1"/>
      <sheetName val="КЗ_76_5"/>
      <sheetName val="авансы_выданные_60_2"/>
      <sheetName val="_анализ__70"/>
      <sheetName val="68_1_ПОДОХОДНЫЙ"/>
      <sheetName val="68_2_НДС"/>
      <sheetName val="68_4_налог_на_ПРИБЫЛЬ"/>
      <sheetName val="68_4_1__платежи_в_бюджет"/>
      <sheetName val="68_4_2_начисление__налога_ПРИБ_"/>
      <sheetName val="68_8_ИМУЩЕСТВО"/>
      <sheetName val="68_10_ОКР_СРЕДА"/>
      <sheetName val="68_11_ТРАНСПОРТ"/>
      <sheetName val="68_12_ЗЕМЛЯ"/>
      <sheetName val="68_14_ГОСПОШЛИНА"/>
      <sheetName val="Анализ_97"/>
      <sheetName val="69_1_СОЦ_СТРАХ"/>
      <sheetName val="69_2_ПФ"/>
      <sheetName val="69_3_МЕД_СТРАХ_"/>
      <sheetName val="69_11_ТРАВМАТИЗМ"/>
      <sheetName val="58_1_АКЦИИ_СГЭС"/>
      <sheetName val="58_2_ВЕКСЕЛЯ"/>
      <sheetName val="58_3_ЗАЙМЫ"/>
      <sheetName val="58_2_91_1_ВЕКСЕЛЯ"/>
      <sheetName val="91_2_58_2_ВЕКСЕЛЯ"/>
      <sheetName val="анализ_сч_75"/>
      <sheetName val="план_счетов"/>
      <sheetName val="Лист1_(2)"/>
      <sheetName val="Электроэн_4кв"/>
      <sheetName val="Вода_4кв"/>
      <sheetName val="Тепло_4кв"/>
      <sheetName val="ДПН_внутр"/>
      <sheetName val="ДПН_АРМ"/>
      <sheetName val="O"/>
      <sheetName val="_x0018_O???"/>
      <sheetName val="3"/>
      <sheetName val="5"/>
      <sheetName val="P2.2"/>
      <sheetName val="Расчёт"/>
      <sheetName val="14б ДПН отчет"/>
      <sheetName val="16а Сводный анализ"/>
      <sheetName val="НЕДЕЛИ"/>
      <sheetName val="реализация⼘6㮧疽М"/>
      <sheetName val="TEHSHEET"/>
      <sheetName val="_x0018_O"/>
      <sheetName val="_x0018_O_x0000_"/>
      <sheetName val="Топливо2009"/>
      <sheetName val="2009"/>
    </sheetNames>
    <sheetDataSet>
      <sheetData sheetId="0" refreshError="1"/>
      <sheetData sheetId="1" refreshError="1"/>
      <sheetData sheetId="2" refreshError="1">
        <row r="2">
          <cell r="A2" t="str">
            <v>ТЭС-1</v>
          </cell>
        </row>
        <row r="3">
          <cell r="A3" t="str">
            <v>ТЭС-2</v>
          </cell>
        </row>
        <row r="16">
          <cell r="A16" t="str">
            <v>Котельная - 1</v>
          </cell>
        </row>
        <row r="17">
          <cell r="A17" t="str">
            <v>Котельная - 2</v>
          </cell>
        </row>
      </sheetData>
      <sheetData sheetId="3" refreshError="1">
        <row r="2">
          <cell r="A2" t="str">
            <v>ТЭС-1</v>
          </cell>
        </row>
        <row r="4">
          <cell r="E4" t="str">
            <v>ТЭС-1</v>
          </cell>
          <cell r="G4" t="str">
            <v>ТЭС-2</v>
          </cell>
          <cell r="J4" t="str">
            <v>ГЭС-1</v>
          </cell>
          <cell r="L4" t="str">
            <v>ГЭС-2</v>
          </cell>
        </row>
        <row r="8">
          <cell r="C8">
            <v>0</v>
          </cell>
          <cell r="D8">
            <v>0</v>
          </cell>
        </row>
        <row r="9">
          <cell r="C9">
            <v>0</v>
          </cell>
          <cell r="D9">
            <v>0</v>
          </cell>
        </row>
        <row r="10">
          <cell r="C10">
            <v>0</v>
          </cell>
          <cell r="D10">
            <v>0</v>
          </cell>
        </row>
        <row r="11">
          <cell r="C11">
            <v>0</v>
          </cell>
          <cell r="D11">
            <v>0</v>
          </cell>
          <cell r="E11">
            <v>0</v>
          </cell>
          <cell r="F11">
            <v>0</v>
          </cell>
          <cell r="G11">
            <v>0</v>
          </cell>
          <cell r="H11">
            <v>0</v>
          </cell>
          <cell r="J11">
            <v>0</v>
          </cell>
          <cell r="K11" t="e">
            <v>#NAME?</v>
          </cell>
          <cell r="L11">
            <v>0</v>
          </cell>
          <cell r="M11" t="e">
            <v>#NAME?</v>
          </cell>
        </row>
        <row r="12">
          <cell r="C12">
            <v>0</v>
          </cell>
          <cell r="D12">
            <v>0</v>
          </cell>
          <cell r="E12">
            <v>0</v>
          </cell>
          <cell r="F12">
            <v>0</v>
          </cell>
          <cell r="G12">
            <v>0</v>
          </cell>
          <cell r="H12">
            <v>0</v>
          </cell>
          <cell r="J12">
            <v>0</v>
          </cell>
          <cell r="K12">
            <v>0</v>
          </cell>
          <cell r="L12">
            <v>0</v>
          </cell>
          <cell r="M12">
            <v>0</v>
          </cell>
        </row>
        <row r="13">
          <cell r="C13">
            <v>0</v>
          </cell>
          <cell r="D13">
            <v>0</v>
          </cell>
        </row>
        <row r="14">
          <cell r="C14">
            <v>0</v>
          </cell>
          <cell r="D14">
            <v>0</v>
          </cell>
          <cell r="E14">
            <v>0</v>
          </cell>
          <cell r="F14">
            <v>0</v>
          </cell>
          <cell r="G14">
            <v>0</v>
          </cell>
          <cell r="H14">
            <v>0</v>
          </cell>
          <cell r="J14">
            <v>0</v>
          </cell>
          <cell r="K14">
            <v>0</v>
          </cell>
          <cell r="L14">
            <v>0</v>
          </cell>
          <cell r="M14">
            <v>0</v>
          </cell>
        </row>
        <row r="15">
          <cell r="C15">
            <v>0</v>
          </cell>
          <cell r="D15">
            <v>0</v>
          </cell>
          <cell r="E15">
            <v>0</v>
          </cell>
          <cell r="F15">
            <v>0</v>
          </cell>
          <cell r="G15">
            <v>0</v>
          </cell>
          <cell r="H15">
            <v>0</v>
          </cell>
          <cell r="J15">
            <v>0</v>
          </cell>
          <cell r="K15" t="e">
            <v>#NAME?</v>
          </cell>
          <cell r="L15">
            <v>0</v>
          </cell>
          <cell r="M15" t="e">
            <v>#NAME?</v>
          </cell>
        </row>
        <row r="16">
          <cell r="C16">
            <v>0</v>
          </cell>
          <cell r="D16">
            <v>0</v>
          </cell>
          <cell r="E16">
            <v>0</v>
          </cell>
          <cell r="F16">
            <v>0</v>
          </cell>
          <cell r="G16">
            <v>0</v>
          </cell>
          <cell r="H16">
            <v>0</v>
          </cell>
          <cell r="J16">
            <v>0</v>
          </cell>
          <cell r="K16">
            <v>0</v>
          </cell>
          <cell r="L16">
            <v>0</v>
          </cell>
          <cell r="M16">
            <v>0</v>
          </cell>
        </row>
      </sheetData>
      <sheetData sheetId="4" refreshError="1">
        <row r="2">
          <cell r="A2" t="str">
            <v>ТЭС-1</v>
          </cell>
        </row>
        <row r="4">
          <cell r="E4" t="str">
            <v>ТЭС-1</v>
          </cell>
          <cell r="G4" t="str">
            <v>ТЭС-2</v>
          </cell>
          <cell r="J4" t="str">
            <v>ГЭС-1</v>
          </cell>
          <cell r="L4" t="str">
            <v>ГЭС-2</v>
          </cell>
        </row>
        <row r="8">
          <cell r="C8">
            <v>0</v>
          </cell>
          <cell r="D8">
            <v>0</v>
          </cell>
          <cell r="E8">
            <v>0</v>
          </cell>
          <cell r="F8">
            <v>0</v>
          </cell>
          <cell r="G8">
            <v>0</v>
          </cell>
          <cell r="H8">
            <v>0</v>
          </cell>
          <cell r="I8" t="str">
            <v>Добавить столбцы</v>
          </cell>
          <cell r="J8">
            <v>0</v>
          </cell>
          <cell r="K8">
            <v>0</v>
          </cell>
          <cell r="L8">
            <v>0</v>
          </cell>
        </row>
        <row r="9">
          <cell r="C9">
            <v>0</v>
          </cell>
          <cell r="D9">
            <v>0</v>
          </cell>
          <cell r="E9">
            <v>0</v>
          </cell>
          <cell r="F9">
            <v>0</v>
          </cell>
          <cell r="G9">
            <v>0</v>
          </cell>
          <cell r="H9">
            <v>0</v>
          </cell>
          <cell r="I9">
            <v>0</v>
          </cell>
          <cell r="J9">
            <v>0</v>
          </cell>
          <cell r="K9">
            <v>0</v>
          </cell>
          <cell r="L9">
            <v>0</v>
          </cell>
        </row>
        <row r="10">
          <cell r="C10">
            <v>0</v>
          </cell>
          <cell r="D10">
            <v>0</v>
          </cell>
          <cell r="E10">
            <v>0</v>
          </cell>
          <cell r="F10">
            <v>0</v>
          </cell>
          <cell r="G10">
            <v>0</v>
          </cell>
          <cell r="H10">
            <v>0</v>
          </cell>
          <cell r="I10">
            <v>0</v>
          </cell>
          <cell r="J10">
            <v>0</v>
          </cell>
          <cell r="K10">
            <v>0</v>
          </cell>
          <cell r="L10">
            <v>0</v>
          </cell>
        </row>
        <row r="11">
          <cell r="C11">
            <v>0</v>
          </cell>
          <cell r="D11">
            <v>0</v>
          </cell>
          <cell r="E11">
            <v>0</v>
          </cell>
          <cell r="F11">
            <v>0</v>
          </cell>
          <cell r="G11">
            <v>0</v>
          </cell>
          <cell r="H11">
            <v>0</v>
          </cell>
          <cell r="I11">
            <v>0</v>
          </cell>
          <cell r="J11">
            <v>0</v>
          </cell>
          <cell r="K11">
            <v>0</v>
          </cell>
          <cell r="L11">
            <v>0</v>
          </cell>
        </row>
        <row r="13">
          <cell r="C13">
            <v>0</v>
          </cell>
          <cell r="D13">
            <v>0</v>
          </cell>
          <cell r="E13">
            <v>0</v>
          </cell>
          <cell r="F13">
            <v>0</v>
          </cell>
          <cell r="G13">
            <v>0</v>
          </cell>
          <cell r="H13">
            <v>0</v>
          </cell>
          <cell r="I13">
            <v>0</v>
          </cell>
          <cell r="J13">
            <v>0</v>
          </cell>
          <cell r="K13">
            <v>0</v>
          </cell>
          <cell r="L13">
            <v>0</v>
          </cell>
        </row>
        <row r="15">
          <cell r="C15">
            <v>0</v>
          </cell>
          <cell r="D15">
            <v>0</v>
          </cell>
          <cell r="E15">
            <v>0</v>
          </cell>
          <cell r="F15">
            <v>0</v>
          </cell>
          <cell r="G15">
            <v>0</v>
          </cell>
          <cell r="H15">
            <v>0</v>
          </cell>
          <cell r="I15">
            <v>0</v>
          </cell>
          <cell r="J15">
            <v>0</v>
          </cell>
          <cell r="K15">
            <v>0</v>
          </cell>
          <cell r="L15">
            <v>0</v>
          </cell>
          <cell r="M15">
            <v>0</v>
          </cell>
        </row>
        <row r="16">
          <cell r="C16">
            <v>0</v>
          </cell>
          <cell r="D16">
            <v>0</v>
          </cell>
          <cell r="E16">
            <v>0</v>
          </cell>
          <cell r="F16">
            <v>0</v>
          </cell>
          <cell r="G16">
            <v>0</v>
          </cell>
          <cell r="H16">
            <v>0</v>
          </cell>
          <cell r="I16">
            <v>0</v>
          </cell>
          <cell r="J16">
            <v>0</v>
          </cell>
          <cell r="K16">
            <v>0</v>
          </cell>
          <cell r="L16">
            <v>0</v>
          </cell>
        </row>
        <row r="17">
          <cell r="C17">
            <v>0</v>
          </cell>
          <cell r="D17">
            <v>0</v>
          </cell>
        </row>
        <row r="18">
          <cell r="C18">
            <v>0</v>
          </cell>
          <cell r="D18">
            <v>0</v>
          </cell>
          <cell r="E18">
            <v>0</v>
          </cell>
          <cell r="F18">
            <v>0</v>
          </cell>
          <cell r="G18">
            <v>0</v>
          </cell>
          <cell r="H18">
            <v>0</v>
          </cell>
          <cell r="I18">
            <v>0</v>
          </cell>
          <cell r="J18">
            <v>0</v>
          </cell>
          <cell r="K18">
            <v>0</v>
          </cell>
          <cell r="L18">
            <v>0</v>
          </cell>
          <cell r="M18">
            <v>0</v>
          </cell>
        </row>
        <row r="19">
          <cell r="C19">
            <v>0</v>
          </cell>
          <cell r="D19">
            <v>0</v>
          </cell>
          <cell r="K19" t="e">
            <v>#NAME?</v>
          </cell>
          <cell r="L19" t="e">
            <v>#NAME?</v>
          </cell>
        </row>
      </sheetData>
      <sheetData sheetId="5" refreshError="1">
        <row r="2">
          <cell r="A2" t="str">
            <v>ТЭС-1</v>
          </cell>
        </row>
        <row r="11">
          <cell r="D11">
            <v>0</v>
          </cell>
          <cell r="E11">
            <v>0</v>
          </cell>
          <cell r="F11">
            <v>0</v>
          </cell>
          <cell r="G11">
            <v>0</v>
          </cell>
          <cell r="H11">
            <v>0</v>
          </cell>
          <cell r="I11" t="str">
            <v>-</v>
          </cell>
          <cell r="J11">
            <v>0</v>
          </cell>
          <cell r="K11" t="e">
            <v>#NAME?</v>
          </cell>
          <cell r="L11">
            <v>0</v>
          </cell>
          <cell r="M11" t="e">
            <v>#NAME?</v>
          </cell>
          <cell r="N11">
            <v>0</v>
          </cell>
        </row>
        <row r="12">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row>
        <row r="14">
          <cell r="B14" t="str">
            <v>ТЭС-1</v>
          </cell>
          <cell r="D14">
            <v>0</v>
          </cell>
          <cell r="E14">
            <v>0</v>
          </cell>
          <cell r="F14">
            <v>0</v>
          </cell>
          <cell r="G14">
            <v>0</v>
          </cell>
          <cell r="H14">
            <v>0</v>
          </cell>
          <cell r="I14">
            <v>0</v>
          </cell>
          <cell r="J14">
            <v>0</v>
          </cell>
          <cell r="K14" t="e">
            <v>#NAME?</v>
          </cell>
          <cell r="L14">
            <v>0</v>
          </cell>
          <cell r="M14" t="e">
            <v>#NAME?</v>
          </cell>
          <cell r="N14">
            <v>0</v>
          </cell>
        </row>
        <row r="15">
          <cell r="B15" t="str">
            <v>ТЭС-2</v>
          </cell>
          <cell r="D15">
            <v>0</v>
          </cell>
          <cell r="E15">
            <v>0</v>
          </cell>
          <cell r="F15">
            <v>0</v>
          </cell>
          <cell r="G15">
            <v>0</v>
          </cell>
          <cell r="H15">
            <v>0</v>
          </cell>
          <cell r="I15">
            <v>0</v>
          </cell>
          <cell r="J15">
            <v>0</v>
          </cell>
          <cell r="K15" t="e">
            <v>#NAME?</v>
          </cell>
          <cell r="L15">
            <v>0</v>
          </cell>
          <cell r="M15" t="e">
            <v>#NAME?</v>
          </cell>
          <cell r="N15">
            <v>0</v>
          </cell>
        </row>
        <row r="16">
          <cell r="D16">
            <v>0</v>
          </cell>
          <cell r="E16">
            <v>0</v>
          </cell>
          <cell r="F16">
            <v>0</v>
          </cell>
          <cell r="G16">
            <v>0</v>
          </cell>
          <cell r="H16">
            <v>0</v>
          </cell>
          <cell r="I16">
            <v>0</v>
          </cell>
          <cell r="J16">
            <v>0</v>
          </cell>
          <cell r="K16">
            <v>0</v>
          </cell>
          <cell r="L16">
            <v>0</v>
          </cell>
          <cell r="M16">
            <v>0</v>
          </cell>
          <cell r="N16">
            <v>0</v>
          </cell>
        </row>
        <row r="18">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row>
        <row r="20">
          <cell r="B20" t="str">
            <v>Котельная - 1</v>
          </cell>
          <cell r="D20">
            <v>0</v>
          </cell>
          <cell r="E20">
            <v>0</v>
          </cell>
          <cell r="F20">
            <v>0</v>
          </cell>
          <cell r="G20">
            <v>0</v>
          </cell>
          <cell r="H20">
            <v>0</v>
          </cell>
          <cell r="I20">
            <v>0</v>
          </cell>
          <cell r="J20">
            <v>0</v>
          </cell>
          <cell r="K20" t="e">
            <v>#NAME?</v>
          </cell>
          <cell r="L20">
            <v>0</v>
          </cell>
          <cell r="M20" t="e">
            <v>#NAME?</v>
          </cell>
          <cell r="N20">
            <v>0</v>
          </cell>
          <cell r="O20" t="str">
            <v>-</v>
          </cell>
        </row>
        <row r="21">
          <cell r="B21" t="str">
            <v>Котельная - 2</v>
          </cell>
          <cell r="D21">
            <v>0</v>
          </cell>
          <cell r="F21">
            <v>0</v>
          </cell>
          <cell r="L21">
            <v>0</v>
          </cell>
          <cell r="N21">
            <v>0</v>
          </cell>
        </row>
        <row r="22">
          <cell r="B22" t="str">
            <v>Котельная - 2</v>
          </cell>
          <cell r="D22">
            <v>0</v>
          </cell>
          <cell r="E22">
            <v>0</v>
          </cell>
          <cell r="F22">
            <v>0</v>
          </cell>
          <cell r="K22" t="e">
            <v>#NAME?</v>
          </cell>
          <cell r="L22">
            <v>0</v>
          </cell>
          <cell r="M22" t="e">
            <v>#NAME?</v>
          </cell>
          <cell r="N22">
            <v>0</v>
          </cell>
        </row>
        <row r="24">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row>
        <row r="26">
          <cell r="B26" t="str">
            <v>Электробойлерная - 1</v>
          </cell>
          <cell r="D26">
            <v>0</v>
          </cell>
          <cell r="F26">
            <v>0</v>
          </cell>
          <cell r="G26">
            <v>0</v>
          </cell>
          <cell r="H26">
            <v>0</v>
          </cell>
          <cell r="I26" t="str">
            <v>-</v>
          </cell>
          <cell r="J26">
            <v>0</v>
          </cell>
          <cell r="L26">
            <v>0</v>
          </cell>
          <cell r="M26">
            <v>0</v>
          </cell>
          <cell r="N26">
            <v>0</v>
          </cell>
        </row>
        <row r="27">
          <cell r="B27" t="str">
            <v>Всего</v>
          </cell>
          <cell r="D27">
            <v>0</v>
          </cell>
          <cell r="E27">
            <v>0</v>
          </cell>
          <cell r="F27">
            <v>0</v>
          </cell>
          <cell r="G27">
            <v>0</v>
          </cell>
          <cell r="H27">
            <v>0</v>
          </cell>
          <cell r="I27">
            <v>0</v>
          </cell>
          <cell r="J27">
            <v>0</v>
          </cell>
          <cell r="K27" t="e">
            <v>#NAME?</v>
          </cell>
          <cell r="L27">
            <v>0</v>
          </cell>
          <cell r="M27" t="e">
            <v>#NAME?</v>
          </cell>
          <cell r="N27">
            <v>0</v>
          </cell>
          <cell r="O27">
            <v>0</v>
          </cell>
          <cell r="P27">
            <v>0</v>
          </cell>
        </row>
        <row r="28">
          <cell r="B28" t="str">
            <v>Всего</v>
          </cell>
          <cell r="D28">
            <v>0</v>
          </cell>
          <cell r="E28">
            <v>0</v>
          </cell>
          <cell r="F28">
            <v>0</v>
          </cell>
          <cell r="G28">
            <v>0</v>
          </cell>
          <cell r="H28">
            <v>0</v>
          </cell>
          <cell r="I28">
            <v>0</v>
          </cell>
          <cell r="J28">
            <v>0</v>
          </cell>
          <cell r="K28" t="e">
            <v>#NAME?</v>
          </cell>
          <cell r="L28">
            <v>0</v>
          </cell>
          <cell r="M28" t="e">
            <v>#NAME?</v>
          </cell>
          <cell r="N28">
            <v>0</v>
          </cell>
          <cell r="O28">
            <v>0</v>
          </cell>
          <cell r="P28">
            <v>0</v>
          </cell>
        </row>
        <row r="31">
          <cell r="B31" t="str">
            <v>СЦТ - 1</v>
          </cell>
          <cell r="D31">
            <v>0</v>
          </cell>
          <cell r="E31">
            <v>0</v>
          </cell>
          <cell r="F31">
            <v>0</v>
          </cell>
          <cell r="G31">
            <v>0</v>
          </cell>
          <cell r="L31">
            <v>0</v>
          </cell>
          <cell r="M31" t="e">
            <v>#NAME?</v>
          </cell>
          <cell r="N31">
            <v>0</v>
          </cell>
          <cell r="O31">
            <v>0</v>
          </cell>
          <cell r="P31">
            <v>0</v>
          </cell>
        </row>
        <row r="32">
          <cell r="B32" t="str">
            <v>СЦТ - 2</v>
          </cell>
          <cell r="D32">
            <v>0</v>
          </cell>
          <cell r="E32">
            <v>0</v>
          </cell>
          <cell r="F32">
            <v>0</v>
          </cell>
          <cell r="K32" t="e">
            <v>#NAME?</v>
          </cell>
          <cell r="L32">
            <v>0</v>
          </cell>
          <cell r="M32" t="e">
            <v>#NAME?</v>
          </cell>
          <cell r="N32">
            <v>0</v>
          </cell>
        </row>
        <row r="33">
          <cell r="D33">
            <v>0</v>
          </cell>
          <cell r="E33">
            <v>0</v>
          </cell>
          <cell r="F33">
            <v>0</v>
          </cell>
          <cell r="K33" t="e">
            <v>#NAME?</v>
          </cell>
          <cell r="L33">
            <v>0</v>
          </cell>
          <cell r="M33" t="e">
            <v>#NAME?</v>
          </cell>
          <cell r="N33">
            <v>0</v>
          </cell>
        </row>
      </sheetData>
      <sheetData sheetId="6" refreshError="1">
        <row r="2">
          <cell r="A2" t="str">
            <v>ТЭС-1</v>
          </cell>
        </row>
        <row r="8">
          <cell r="E8">
            <v>0</v>
          </cell>
          <cell r="F8">
            <v>0</v>
          </cell>
          <cell r="G8">
            <v>0</v>
          </cell>
          <cell r="H8">
            <v>0</v>
          </cell>
          <cell r="I8">
            <v>0</v>
          </cell>
          <cell r="J8">
            <v>0</v>
          </cell>
          <cell r="K8">
            <v>0</v>
          </cell>
          <cell r="L8">
            <v>0</v>
          </cell>
        </row>
        <row r="9">
          <cell r="E9">
            <v>0</v>
          </cell>
          <cell r="F9">
            <v>0</v>
          </cell>
          <cell r="G9">
            <v>0</v>
          </cell>
          <cell r="H9">
            <v>0</v>
          </cell>
          <cell r="I9">
            <v>0</v>
          </cell>
          <cell r="J9">
            <v>0</v>
          </cell>
          <cell r="K9">
            <v>0</v>
          </cell>
          <cell r="L9">
            <v>0</v>
          </cell>
        </row>
        <row r="10">
          <cell r="E10">
            <v>0</v>
          </cell>
          <cell r="F10">
            <v>0</v>
          </cell>
          <cell r="G10">
            <v>0</v>
          </cell>
          <cell r="H10">
            <v>0</v>
          </cell>
          <cell r="I10">
            <v>0</v>
          </cell>
          <cell r="J10">
            <v>0</v>
          </cell>
          <cell r="K10">
            <v>0</v>
          </cell>
          <cell r="L10">
            <v>0</v>
          </cell>
        </row>
        <row r="11">
          <cell r="E11">
            <v>0</v>
          </cell>
          <cell r="F11">
            <v>0</v>
          </cell>
          <cell r="G11">
            <v>0</v>
          </cell>
          <cell r="H11">
            <v>0</v>
          </cell>
          <cell r="I11">
            <v>0</v>
          </cell>
          <cell r="J11">
            <v>0</v>
          </cell>
          <cell r="K11">
            <v>0</v>
          </cell>
          <cell r="L11">
            <v>0</v>
          </cell>
        </row>
        <row r="12">
          <cell r="E12">
            <v>0</v>
          </cell>
          <cell r="F12">
            <v>0</v>
          </cell>
          <cell r="G12">
            <v>0</v>
          </cell>
          <cell r="H12">
            <v>0</v>
          </cell>
          <cell r="I12">
            <v>0</v>
          </cell>
          <cell r="J12">
            <v>0</v>
          </cell>
          <cell r="K12">
            <v>0</v>
          </cell>
          <cell r="L12">
            <v>0</v>
          </cell>
        </row>
        <row r="13">
          <cell r="E13">
            <v>0</v>
          </cell>
          <cell r="F13">
            <v>0</v>
          </cell>
          <cell r="G13">
            <v>0</v>
          </cell>
          <cell r="H13">
            <v>0</v>
          </cell>
          <cell r="I13">
            <v>0</v>
          </cell>
          <cell r="J13">
            <v>0</v>
          </cell>
          <cell r="K13">
            <v>0</v>
          </cell>
          <cell r="L13">
            <v>0</v>
          </cell>
        </row>
        <row r="14">
          <cell r="E14">
            <v>0</v>
          </cell>
          <cell r="F14">
            <v>0</v>
          </cell>
          <cell r="G14">
            <v>0</v>
          </cell>
          <cell r="H14">
            <v>0</v>
          </cell>
          <cell r="I14">
            <v>0</v>
          </cell>
          <cell r="J14">
            <v>0</v>
          </cell>
          <cell r="K14">
            <v>0</v>
          </cell>
          <cell r="L14">
            <v>0</v>
          </cell>
        </row>
        <row r="15">
          <cell r="E15">
            <v>0</v>
          </cell>
          <cell r="F15">
            <v>0</v>
          </cell>
          <cell r="G15">
            <v>0</v>
          </cell>
          <cell r="H15">
            <v>0</v>
          </cell>
          <cell r="I15">
            <v>0</v>
          </cell>
          <cell r="J15">
            <v>0</v>
          </cell>
          <cell r="K15">
            <v>0</v>
          </cell>
          <cell r="L15">
            <v>0</v>
          </cell>
        </row>
        <row r="16">
          <cell r="E16">
            <v>0</v>
          </cell>
          <cell r="F16">
            <v>0</v>
          </cell>
          <cell r="G16">
            <v>0</v>
          </cell>
          <cell r="H16">
            <v>0</v>
          </cell>
          <cell r="I16">
            <v>0</v>
          </cell>
          <cell r="J16">
            <v>0</v>
          </cell>
          <cell r="K16">
            <v>0</v>
          </cell>
          <cell r="L16">
            <v>0</v>
          </cell>
        </row>
        <row r="18">
          <cell r="E18">
            <v>0</v>
          </cell>
          <cell r="F18">
            <v>0</v>
          </cell>
          <cell r="G18">
            <v>0</v>
          </cell>
          <cell r="H18">
            <v>0</v>
          </cell>
          <cell r="I18">
            <v>0</v>
          </cell>
          <cell r="J18">
            <v>0</v>
          </cell>
          <cell r="K18">
            <v>0</v>
          </cell>
          <cell r="L18">
            <v>0</v>
          </cell>
        </row>
        <row r="19">
          <cell r="K19" t="e">
            <v>#NAME?</v>
          </cell>
          <cell r="L19" t="e">
            <v>#NAME?</v>
          </cell>
        </row>
        <row r="20">
          <cell r="E20">
            <v>0</v>
          </cell>
          <cell r="F20">
            <v>0</v>
          </cell>
          <cell r="G20">
            <v>0</v>
          </cell>
          <cell r="H20">
            <v>0</v>
          </cell>
          <cell r="J20">
            <v>0</v>
          </cell>
          <cell r="K20">
            <v>0</v>
          </cell>
          <cell r="L20">
            <v>0</v>
          </cell>
        </row>
        <row r="21">
          <cell r="F21">
            <v>0</v>
          </cell>
          <cell r="L21">
            <v>0</v>
          </cell>
        </row>
        <row r="24">
          <cell r="E24">
            <v>0</v>
          </cell>
          <cell r="F24">
            <v>0</v>
          </cell>
          <cell r="G24">
            <v>0</v>
          </cell>
          <cell r="H24">
            <v>0</v>
          </cell>
          <cell r="I24">
            <v>0</v>
          </cell>
          <cell r="J24">
            <v>0</v>
          </cell>
          <cell r="K24">
            <v>0</v>
          </cell>
          <cell r="L24">
            <v>0</v>
          </cell>
        </row>
        <row r="26">
          <cell r="E26">
            <v>0</v>
          </cell>
          <cell r="F26">
            <v>0</v>
          </cell>
          <cell r="G26">
            <v>0</v>
          </cell>
          <cell r="H26">
            <v>0</v>
          </cell>
          <cell r="I26">
            <v>0</v>
          </cell>
          <cell r="J26">
            <v>0</v>
          </cell>
          <cell r="K26">
            <v>0</v>
          </cell>
          <cell r="L26">
            <v>0</v>
          </cell>
        </row>
        <row r="27">
          <cell r="E27">
            <v>0</v>
          </cell>
          <cell r="F27">
            <v>0</v>
          </cell>
          <cell r="G27">
            <v>0</v>
          </cell>
          <cell r="H27">
            <v>0</v>
          </cell>
          <cell r="J27">
            <v>0</v>
          </cell>
          <cell r="K27">
            <v>0</v>
          </cell>
          <cell r="L27">
            <v>0</v>
          </cell>
        </row>
        <row r="28">
          <cell r="E28">
            <v>0</v>
          </cell>
          <cell r="F28">
            <v>0</v>
          </cell>
          <cell r="G28">
            <v>0</v>
          </cell>
          <cell r="H28">
            <v>0</v>
          </cell>
          <cell r="J28">
            <v>0</v>
          </cell>
          <cell r="K28" t="e">
            <v>#NAME?</v>
          </cell>
          <cell r="L28">
            <v>0</v>
          </cell>
        </row>
        <row r="29">
          <cell r="F29">
            <v>0</v>
          </cell>
          <cell r="G29">
            <v>0</v>
          </cell>
          <cell r="H29">
            <v>0</v>
          </cell>
          <cell r="J29">
            <v>0</v>
          </cell>
          <cell r="K29" t="e">
            <v>#NAME?</v>
          </cell>
          <cell r="L29" t="e">
            <v>#NAME?</v>
          </cell>
        </row>
        <row r="30">
          <cell r="F30">
            <v>0</v>
          </cell>
        </row>
        <row r="31">
          <cell r="E31">
            <v>0</v>
          </cell>
          <cell r="F31">
            <v>0</v>
          </cell>
          <cell r="G31">
            <v>0</v>
          </cell>
          <cell r="L31">
            <v>0</v>
          </cell>
        </row>
      </sheetData>
      <sheetData sheetId="7" refreshError="1">
        <row r="2">
          <cell r="A2" t="str">
            <v>ТЭС-1</v>
          </cell>
        </row>
        <row r="8">
          <cell r="C8">
            <v>0</v>
          </cell>
          <cell r="E8">
            <v>0</v>
          </cell>
          <cell r="F8">
            <v>0</v>
          </cell>
          <cell r="G8">
            <v>0</v>
          </cell>
          <cell r="H8">
            <v>0</v>
          </cell>
          <cell r="I8" t="str">
            <v>Добавить столбцы</v>
          </cell>
          <cell r="J8">
            <v>0</v>
          </cell>
          <cell r="K8">
            <v>0</v>
          </cell>
          <cell r="L8">
            <v>0</v>
          </cell>
        </row>
        <row r="9">
          <cell r="A9" t="str">
            <v>ТЭС-1</v>
          </cell>
          <cell r="B9" t="str">
            <v>ТЭС-1</v>
          </cell>
          <cell r="C9" t="str">
            <v>Мазут</v>
          </cell>
          <cell r="E9">
            <v>0</v>
          </cell>
          <cell r="F9">
            <v>0</v>
          </cell>
          <cell r="G9">
            <v>0</v>
          </cell>
          <cell r="H9">
            <v>0</v>
          </cell>
          <cell r="I9">
            <v>0</v>
          </cell>
          <cell r="J9">
            <v>0</v>
          </cell>
          <cell r="K9" t="e">
            <v>#NAME?</v>
          </cell>
          <cell r="L9" t="e">
            <v>#NAME?</v>
          </cell>
          <cell r="M9" t="e">
            <v>#NAME?</v>
          </cell>
          <cell r="N9">
            <v>0</v>
          </cell>
        </row>
        <row r="10">
          <cell r="B10" t="str">
            <v>ТЭС-1</v>
          </cell>
          <cell r="C10" t="str">
            <v>Газ</v>
          </cell>
          <cell r="E10">
            <v>0</v>
          </cell>
          <cell r="F10">
            <v>0</v>
          </cell>
          <cell r="G10">
            <v>0</v>
          </cell>
          <cell r="H10">
            <v>0</v>
          </cell>
          <cell r="I10">
            <v>0</v>
          </cell>
          <cell r="J10">
            <v>0</v>
          </cell>
          <cell r="K10" t="e">
            <v>#NAME?</v>
          </cell>
          <cell r="L10" t="e">
            <v>#NAME?</v>
          </cell>
          <cell r="M10" t="e">
            <v>#NAME?</v>
          </cell>
          <cell r="N10">
            <v>0</v>
          </cell>
        </row>
        <row r="11">
          <cell r="B11" t="str">
            <v>ТЭС-1</v>
          </cell>
          <cell r="C11">
            <v>0</v>
          </cell>
          <cell r="E11">
            <v>0</v>
          </cell>
          <cell r="F11">
            <v>0</v>
          </cell>
          <cell r="G11">
            <v>0</v>
          </cell>
          <cell r="H11">
            <v>0</v>
          </cell>
          <cell r="I11" t="str">
            <v>-</v>
          </cell>
          <cell r="J11">
            <v>0</v>
          </cell>
          <cell r="K11" t="e">
            <v>#NAME?</v>
          </cell>
          <cell r="L11" t="e">
            <v>#NAME?</v>
          </cell>
          <cell r="M11" t="e">
            <v>#NAME?</v>
          </cell>
          <cell r="N11">
            <v>0</v>
          </cell>
        </row>
        <row r="12">
          <cell r="C12" t="str">
            <v>Добавить строки</v>
          </cell>
          <cell r="E12">
            <v>0</v>
          </cell>
          <cell r="F12">
            <v>0</v>
          </cell>
          <cell r="G12">
            <v>0</v>
          </cell>
          <cell r="H12">
            <v>0</v>
          </cell>
          <cell r="I12">
            <v>0</v>
          </cell>
          <cell r="J12">
            <v>0</v>
          </cell>
          <cell r="K12">
            <v>0</v>
          </cell>
          <cell r="L12">
            <v>0</v>
          </cell>
          <cell r="M12">
            <v>0</v>
          </cell>
          <cell r="N12">
            <v>0</v>
          </cell>
          <cell r="O12">
            <v>0</v>
          </cell>
          <cell r="P12">
            <v>0</v>
          </cell>
        </row>
        <row r="13">
          <cell r="A13" t="str">
            <v>ТЭС-2</v>
          </cell>
          <cell r="B13" t="str">
            <v>ТЭС-2</v>
          </cell>
          <cell r="C13" t="str">
            <v>Мазут</v>
          </cell>
          <cell r="E13">
            <v>0</v>
          </cell>
          <cell r="F13">
            <v>0</v>
          </cell>
          <cell r="G13">
            <v>0</v>
          </cell>
          <cell r="H13">
            <v>0</v>
          </cell>
          <cell r="I13">
            <v>0</v>
          </cell>
          <cell r="J13">
            <v>0</v>
          </cell>
          <cell r="K13" t="e">
            <v>#NAME?</v>
          </cell>
          <cell r="L13" t="e">
            <v>#NAME?</v>
          </cell>
          <cell r="M13" t="e">
            <v>#NAME?</v>
          </cell>
          <cell r="N13">
            <v>0</v>
          </cell>
        </row>
        <row r="14">
          <cell r="B14" t="str">
            <v>ТЭС-2</v>
          </cell>
          <cell r="C14" t="str">
            <v>Газ</v>
          </cell>
          <cell r="E14">
            <v>0</v>
          </cell>
          <cell r="F14">
            <v>0</v>
          </cell>
          <cell r="G14">
            <v>0</v>
          </cell>
          <cell r="H14">
            <v>0</v>
          </cell>
          <cell r="I14">
            <v>0</v>
          </cell>
          <cell r="J14">
            <v>0</v>
          </cell>
          <cell r="K14" t="e">
            <v>#NAME?</v>
          </cell>
          <cell r="L14" t="e">
            <v>#NAME?</v>
          </cell>
          <cell r="M14" t="e">
            <v>#NAME?</v>
          </cell>
          <cell r="N14">
            <v>0</v>
          </cell>
        </row>
        <row r="15">
          <cell r="B15" t="str">
            <v>ТЭС-2</v>
          </cell>
          <cell r="C15">
            <v>0</v>
          </cell>
          <cell r="E15">
            <v>0</v>
          </cell>
          <cell r="F15">
            <v>0</v>
          </cell>
          <cell r="G15">
            <v>0</v>
          </cell>
          <cell r="H15">
            <v>0</v>
          </cell>
          <cell r="I15">
            <v>0</v>
          </cell>
          <cell r="J15">
            <v>0</v>
          </cell>
          <cell r="K15" t="e">
            <v>#NAME?</v>
          </cell>
          <cell r="L15" t="e">
            <v>#NAME?</v>
          </cell>
          <cell r="M15" t="e">
            <v>#NAME?</v>
          </cell>
          <cell r="N15">
            <v>0</v>
          </cell>
        </row>
        <row r="16">
          <cell r="C16" t="str">
            <v>Добавить строки</v>
          </cell>
          <cell r="E16">
            <v>0</v>
          </cell>
          <cell r="F16">
            <v>0</v>
          </cell>
          <cell r="G16">
            <v>0</v>
          </cell>
          <cell r="H16">
            <v>0</v>
          </cell>
          <cell r="I16">
            <v>0</v>
          </cell>
          <cell r="J16">
            <v>0</v>
          </cell>
          <cell r="K16">
            <v>0</v>
          </cell>
          <cell r="L16">
            <v>0</v>
          </cell>
          <cell r="M16">
            <v>0</v>
          </cell>
          <cell r="N16">
            <v>0</v>
          </cell>
        </row>
        <row r="17">
          <cell r="A17" t="str">
            <v>Добавить строки</v>
          </cell>
          <cell r="C17">
            <v>0</v>
          </cell>
        </row>
        <row r="18">
          <cell r="A18" t="str">
            <v>Котельная - 1</v>
          </cell>
          <cell r="B18" t="str">
            <v>Котельная - 1</v>
          </cell>
          <cell r="C18" t="str">
            <v>Мазут</v>
          </cell>
          <cell r="E18">
            <v>0</v>
          </cell>
          <cell r="F18">
            <v>0</v>
          </cell>
          <cell r="G18">
            <v>0</v>
          </cell>
          <cell r="H18">
            <v>0</v>
          </cell>
          <cell r="I18">
            <v>0</v>
          </cell>
          <cell r="J18">
            <v>0</v>
          </cell>
          <cell r="K18" t="e">
            <v>#NAME?</v>
          </cell>
          <cell r="L18" t="e">
            <v>#NAME?</v>
          </cell>
          <cell r="M18" t="e">
            <v>#NAME?</v>
          </cell>
          <cell r="N18">
            <v>0</v>
          </cell>
          <cell r="O18">
            <v>0</v>
          </cell>
          <cell r="P18">
            <v>0</v>
          </cell>
        </row>
        <row r="19">
          <cell r="B19" t="str">
            <v>Котельная - 1</v>
          </cell>
          <cell r="C19" t="str">
            <v>Газ</v>
          </cell>
          <cell r="E19">
            <v>0</v>
          </cell>
          <cell r="K19" t="e">
            <v>#NAME?</v>
          </cell>
          <cell r="L19" t="e">
            <v>#NAME?</v>
          </cell>
          <cell r="M19" t="e">
            <v>#NAME?</v>
          </cell>
          <cell r="N19">
            <v>0</v>
          </cell>
        </row>
        <row r="20">
          <cell r="B20" t="str">
            <v>Котельная - 1</v>
          </cell>
          <cell r="E20">
            <v>0</v>
          </cell>
          <cell r="F20">
            <v>0</v>
          </cell>
          <cell r="G20">
            <v>0</v>
          </cell>
          <cell r="H20">
            <v>0</v>
          </cell>
          <cell r="I20">
            <v>0</v>
          </cell>
          <cell r="J20">
            <v>0</v>
          </cell>
          <cell r="K20" t="e">
            <v>#NAME?</v>
          </cell>
          <cell r="L20" t="e">
            <v>#NAME?</v>
          </cell>
          <cell r="M20" t="e">
            <v>#NAME?</v>
          </cell>
          <cell r="N20">
            <v>0</v>
          </cell>
          <cell r="O20" t="str">
            <v>-</v>
          </cell>
        </row>
        <row r="21">
          <cell r="B21" t="str">
            <v>Котельная - 2</v>
          </cell>
          <cell r="C21" t="str">
            <v>Добавить строки</v>
          </cell>
          <cell r="F21">
            <v>0</v>
          </cell>
          <cell r="L21">
            <v>0</v>
          </cell>
          <cell r="N21">
            <v>0</v>
          </cell>
        </row>
        <row r="22">
          <cell r="A22" t="str">
            <v>Котельная - 2</v>
          </cell>
          <cell r="B22" t="str">
            <v>Котельная - 2</v>
          </cell>
          <cell r="C22" t="str">
            <v>Мазут</v>
          </cell>
          <cell r="E22">
            <v>0</v>
          </cell>
          <cell r="F22">
            <v>0</v>
          </cell>
          <cell r="K22" t="e">
            <v>#NAME?</v>
          </cell>
          <cell r="L22" t="e">
            <v>#NAME?</v>
          </cell>
          <cell r="M22" t="e">
            <v>#NAME?</v>
          </cell>
          <cell r="N22">
            <v>0</v>
          </cell>
        </row>
        <row r="23">
          <cell r="B23" t="str">
            <v>Котельная - 2</v>
          </cell>
          <cell r="C23" t="str">
            <v>Газ</v>
          </cell>
          <cell r="E23">
            <v>0</v>
          </cell>
          <cell r="K23" t="e">
            <v>#NAME?</v>
          </cell>
          <cell r="L23" t="e">
            <v>#NAME?</v>
          </cell>
          <cell r="M23" t="e">
            <v>#NAME?</v>
          </cell>
          <cell r="N23">
            <v>0</v>
          </cell>
        </row>
        <row r="24">
          <cell r="B24" t="str">
            <v>Котельная - 2</v>
          </cell>
          <cell r="E24">
            <v>0</v>
          </cell>
          <cell r="F24">
            <v>0</v>
          </cell>
          <cell r="G24">
            <v>0</v>
          </cell>
          <cell r="H24">
            <v>0</v>
          </cell>
          <cell r="I24">
            <v>0</v>
          </cell>
          <cell r="J24">
            <v>0</v>
          </cell>
          <cell r="K24" t="e">
            <v>#NAME?</v>
          </cell>
          <cell r="L24" t="e">
            <v>#NAME?</v>
          </cell>
          <cell r="M24" t="e">
            <v>#NAME?</v>
          </cell>
          <cell r="N24">
            <v>0</v>
          </cell>
          <cell r="O24">
            <v>0</v>
          </cell>
          <cell r="P24">
            <v>0</v>
          </cell>
        </row>
        <row r="25">
          <cell r="C25" t="str">
            <v>Добавить строки</v>
          </cell>
        </row>
        <row r="26">
          <cell r="B26" t="str">
            <v>Электробойлерная - 1</v>
          </cell>
          <cell r="F26">
            <v>0</v>
          </cell>
          <cell r="G26">
            <v>0</v>
          </cell>
          <cell r="H26">
            <v>0</v>
          </cell>
          <cell r="I26" t="str">
            <v>-</v>
          </cell>
          <cell r="J26">
            <v>0</v>
          </cell>
          <cell r="L26">
            <v>0</v>
          </cell>
          <cell r="M26">
            <v>0</v>
          </cell>
          <cell r="N26">
            <v>0</v>
          </cell>
        </row>
        <row r="27">
          <cell r="A27" t="str">
            <v>Всего</v>
          </cell>
          <cell r="B27" t="str">
            <v>Всего</v>
          </cell>
          <cell r="C27" t="str">
            <v>Мазут</v>
          </cell>
          <cell r="D27">
            <v>0</v>
          </cell>
          <cell r="E27">
            <v>0</v>
          </cell>
          <cell r="F27">
            <v>0</v>
          </cell>
          <cell r="G27">
            <v>0</v>
          </cell>
          <cell r="H27">
            <v>0</v>
          </cell>
          <cell r="I27">
            <v>0</v>
          </cell>
          <cell r="J27">
            <v>0</v>
          </cell>
          <cell r="K27" t="e">
            <v>#NAME?</v>
          </cell>
          <cell r="L27" t="e">
            <v>#NAME?</v>
          </cell>
          <cell r="M27" t="e">
            <v>#NAME?</v>
          </cell>
          <cell r="N27">
            <v>0</v>
          </cell>
          <cell r="O27">
            <v>0</v>
          </cell>
          <cell r="P27">
            <v>0</v>
          </cell>
        </row>
        <row r="28">
          <cell r="B28" t="str">
            <v>Всего</v>
          </cell>
          <cell r="C28" t="str">
            <v>Газ</v>
          </cell>
          <cell r="D28">
            <v>0</v>
          </cell>
          <cell r="E28">
            <v>0</v>
          </cell>
          <cell r="F28">
            <v>0</v>
          </cell>
          <cell r="G28">
            <v>0</v>
          </cell>
          <cell r="H28">
            <v>0</v>
          </cell>
          <cell r="I28">
            <v>0</v>
          </cell>
          <cell r="J28">
            <v>0</v>
          </cell>
          <cell r="K28" t="e">
            <v>#NAME?</v>
          </cell>
          <cell r="L28" t="e">
            <v>#NAME?</v>
          </cell>
          <cell r="M28" t="e">
            <v>#NAME?</v>
          </cell>
          <cell r="N28">
            <v>0</v>
          </cell>
          <cell r="O28">
            <v>0</v>
          </cell>
          <cell r="P28">
            <v>0</v>
          </cell>
        </row>
        <row r="29">
          <cell r="B29" t="str">
            <v>Всего</v>
          </cell>
          <cell r="E29">
            <v>0</v>
          </cell>
          <cell r="F29">
            <v>0</v>
          </cell>
          <cell r="G29">
            <v>0</v>
          </cell>
          <cell r="H29">
            <v>0</v>
          </cell>
          <cell r="I29">
            <v>0</v>
          </cell>
          <cell r="J29">
            <v>0</v>
          </cell>
          <cell r="K29" t="e">
            <v>#NAME?</v>
          </cell>
          <cell r="L29" t="e">
            <v>#NAME?</v>
          </cell>
          <cell r="M29" t="e">
            <v>#NAME?</v>
          </cell>
          <cell r="N29">
            <v>0</v>
          </cell>
          <cell r="O29">
            <v>0</v>
          </cell>
          <cell r="P29">
            <v>0</v>
          </cell>
        </row>
        <row r="30">
          <cell r="C30" t="str">
            <v>Добавить строки</v>
          </cell>
          <cell r="I30">
            <v>0</v>
          </cell>
        </row>
        <row r="31">
          <cell r="B31" t="str">
            <v>СЦТ - 1</v>
          </cell>
          <cell r="C31" t="str">
            <v>Итого</v>
          </cell>
          <cell r="D31">
            <v>0</v>
          </cell>
          <cell r="E31">
            <v>0</v>
          </cell>
          <cell r="F31">
            <v>0</v>
          </cell>
          <cell r="G31">
            <v>0</v>
          </cell>
          <cell r="L31">
            <v>0</v>
          </cell>
          <cell r="M31" t="e">
            <v>#NAME?</v>
          </cell>
          <cell r="N31">
            <v>0</v>
          </cell>
          <cell r="O31">
            <v>0</v>
          </cell>
          <cell r="P31">
            <v>0</v>
          </cell>
        </row>
        <row r="32">
          <cell r="A32" t="str">
            <v>СЦТ - 1</v>
          </cell>
          <cell r="B32" t="str">
            <v>СЦТ - 2</v>
          </cell>
          <cell r="D32">
            <v>0</v>
          </cell>
          <cell r="E32">
            <v>0</v>
          </cell>
          <cell r="F32">
            <v>0</v>
          </cell>
          <cell r="K32" t="e">
            <v>#NAME?</v>
          </cell>
          <cell r="L32" t="e">
            <v>#NAME?</v>
          </cell>
          <cell r="M32" t="e">
            <v>#NAME?</v>
          </cell>
          <cell r="N32">
            <v>0</v>
          </cell>
        </row>
        <row r="33">
          <cell r="A33" t="str">
            <v>СЦТ - 2</v>
          </cell>
          <cell r="D33">
            <v>0</v>
          </cell>
          <cell r="E33">
            <v>0</v>
          </cell>
          <cell r="F33">
            <v>0</v>
          </cell>
          <cell r="K33" t="e">
            <v>#NAME?</v>
          </cell>
          <cell r="L33" t="e">
            <v>#NAME?</v>
          </cell>
          <cell r="M33" t="e">
            <v>#NAME?</v>
          </cell>
          <cell r="N33">
            <v>0</v>
          </cell>
        </row>
        <row r="34">
          <cell r="E34">
            <v>0</v>
          </cell>
          <cell r="K34" t="e">
            <v>#NAME?</v>
          </cell>
          <cell r="L34" t="e">
            <v>#NAME?</v>
          </cell>
          <cell r="M34" t="e">
            <v>#NAME?</v>
          </cell>
          <cell r="N34">
            <v>0</v>
          </cell>
        </row>
        <row r="35">
          <cell r="G35">
            <v>0</v>
          </cell>
          <cell r="H35">
            <v>0</v>
          </cell>
          <cell r="I35" t="str">
            <v>-</v>
          </cell>
          <cell r="J35">
            <v>0</v>
          </cell>
          <cell r="L35" t="str">
            <v>-</v>
          </cell>
          <cell r="M35">
            <v>0</v>
          </cell>
          <cell r="O35" t="str">
            <v>-</v>
          </cell>
        </row>
        <row r="37">
          <cell r="A37" t="str">
            <v>ТЭС-1</v>
          </cell>
          <cell r="B37" t="str">
            <v>ТЭС-1</v>
          </cell>
          <cell r="C37" t="str">
            <v>Мазут</v>
          </cell>
          <cell r="E37">
            <v>0</v>
          </cell>
          <cell r="K37" t="e">
            <v>#NAME?</v>
          </cell>
          <cell r="L37" t="e">
            <v>#NAME?</v>
          </cell>
          <cell r="M37" t="e">
            <v>#NAME?</v>
          </cell>
          <cell r="N37">
            <v>0</v>
          </cell>
        </row>
        <row r="38">
          <cell r="B38" t="str">
            <v>ТЭС-1</v>
          </cell>
          <cell r="C38" t="str">
            <v>Газ</v>
          </cell>
          <cell r="E38">
            <v>0</v>
          </cell>
          <cell r="K38" t="e">
            <v>#NAME?</v>
          </cell>
          <cell r="L38" t="e">
            <v>#NAME?</v>
          </cell>
          <cell r="M38" t="e">
            <v>#NAME?</v>
          </cell>
          <cell r="N38">
            <v>0</v>
          </cell>
        </row>
        <row r="39">
          <cell r="B39" t="str">
            <v>ТЭС-1</v>
          </cell>
          <cell r="E39">
            <v>0</v>
          </cell>
          <cell r="K39" t="e">
            <v>#NAME?</v>
          </cell>
          <cell r="L39" t="e">
            <v>#NAME?</v>
          </cell>
          <cell r="M39" t="e">
            <v>#NAME?</v>
          </cell>
          <cell r="N39">
            <v>0</v>
          </cell>
        </row>
        <row r="40">
          <cell r="C40" t="str">
            <v>Добавить строки</v>
          </cell>
        </row>
        <row r="41">
          <cell r="A41" t="str">
            <v>ТЭС-2</v>
          </cell>
          <cell r="B41" t="str">
            <v>ТЭС-2</v>
          </cell>
          <cell r="C41" t="str">
            <v>Мазут</v>
          </cell>
          <cell r="E41">
            <v>0</v>
          </cell>
          <cell r="K41" t="e">
            <v>#NAME?</v>
          </cell>
          <cell r="L41" t="e">
            <v>#NAME?</v>
          </cell>
          <cell r="M41" t="e">
            <v>#NAME?</v>
          </cell>
          <cell r="N41">
            <v>0</v>
          </cell>
        </row>
        <row r="42">
          <cell r="B42" t="str">
            <v>ТЭС-2</v>
          </cell>
          <cell r="C42" t="str">
            <v>Газ</v>
          </cell>
          <cell r="E42">
            <v>0</v>
          </cell>
          <cell r="K42" t="e">
            <v>#NAME?</v>
          </cell>
          <cell r="L42" t="e">
            <v>#NAME?</v>
          </cell>
          <cell r="M42" t="e">
            <v>#NAME?</v>
          </cell>
          <cell r="N42">
            <v>0</v>
          </cell>
        </row>
        <row r="43">
          <cell r="B43" t="str">
            <v>ТЭС-2</v>
          </cell>
          <cell r="E43">
            <v>0</v>
          </cell>
          <cell r="K43" t="e">
            <v>#NAME?</v>
          </cell>
          <cell r="L43" t="e">
            <v>#NAME?</v>
          </cell>
          <cell r="M43" t="e">
            <v>#NAME?</v>
          </cell>
          <cell r="N43">
            <v>0</v>
          </cell>
        </row>
        <row r="44">
          <cell r="C44" t="str">
            <v>Добавить строки</v>
          </cell>
        </row>
        <row r="45">
          <cell r="A45" t="str">
            <v>Добавить строки</v>
          </cell>
        </row>
        <row r="46">
          <cell r="A46" t="str">
            <v>Котельная - 1</v>
          </cell>
          <cell r="B46" t="str">
            <v>Котельная - 1</v>
          </cell>
          <cell r="C46" t="str">
            <v>Мазут</v>
          </cell>
          <cell r="E46">
            <v>0</v>
          </cell>
          <cell r="K46" t="e">
            <v>#NAME?</v>
          </cell>
          <cell r="L46" t="e">
            <v>#NAME?</v>
          </cell>
          <cell r="M46" t="e">
            <v>#NAME?</v>
          </cell>
          <cell r="N46">
            <v>0</v>
          </cell>
        </row>
        <row r="47">
          <cell r="B47" t="str">
            <v>Котельная - 1</v>
          </cell>
          <cell r="C47" t="str">
            <v>Газ</v>
          </cell>
          <cell r="E47">
            <v>0</v>
          </cell>
          <cell r="K47" t="e">
            <v>#NAME?</v>
          </cell>
          <cell r="L47" t="e">
            <v>#NAME?</v>
          </cell>
          <cell r="M47" t="e">
            <v>#NAME?</v>
          </cell>
          <cell r="N47">
            <v>0</v>
          </cell>
        </row>
        <row r="48">
          <cell r="B48" t="str">
            <v>Котельная - 1</v>
          </cell>
          <cell r="E48">
            <v>0</v>
          </cell>
          <cell r="K48" t="e">
            <v>#NAME?</v>
          </cell>
          <cell r="L48" t="e">
            <v>#NAME?</v>
          </cell>
          <cell r="M48" t="e">
            <v>#NAME?</v>
          </cell>
          <cell r="N48">
            <v>0</v>
          </cell>
        </row>
        <row r="49">
          <cell r="C49" t="str">
            <v>Добавить строки</v>
          </cell>
        </row>
        <row r="50">
          <cell r="A50" t="str">
            <v>Котельная - 2</v>
          </cell>
          <cell r="B50" t="str">
            <v>Котельная - 2</v>
          </cell>
          <cell r="C50" t="str">
            <v>Мазут</v>
          </cell>
          <cell r="E50">
            <v>0</v>
          </cell>
          <cell r="K50" t="e">
            <v>#NAME?</v>
          </cell>
          <cell r="L50" t="e">
            <v>#NAME?</v>
          </cell>
          <cell r="M50" t="e">
            <v>#NAME?</v>
          </cell>
          <cell r="N50">
            <v>0</v>
          </cell>
        </row>
        <row r="51">
          <cell r="B51" t="str">
            <v>Котельная - 2</v>
          </cell>
          <cell r="C51" t="str">
            <v>Газ</v>
          </cell>
          <cell r="E51">
            <v>0</v>
          </cell>
          <cell r="K51" t="e">
            <v>#NAME?</v>
          </cell>
          <cell r="L51" t="e">
            <v>#NAME?</v>
          </cell>
          <cell r="M51" t="e">
            <v>#NAME?</v>
          </cell>
          <cell r="N51">
            <v>0</v>
          </cell>
        </row>
        <row r="52">
          <cell r="B52" t="str">
            <v>Котельная - 2</v>
          </cell>
          <cell r="E52">
            <v>0</v>
          </cell>
          <cell r="K52" t="e">
            <v>#NAME?</v>
          </cell>
          <cell r="L52" t="e">
            <v>#NAME?</v>
          </cell>
          <cell r="M52" t="e">
            <v>#NAME?</v>
          </cell>
          <cell r="N52">
            <v>0</v>
          </cell>
        </row>
        <row r="53">
          <cell r="C53" t="str">
            <v>Добавить строки</v>
          </cell>
        </row>
        <row r="55">
          <cell r="A55" t="str">
            <v>Всего</v>
          </cell>
          <cell r="B55" t="str">
            <v>Всего</v>
          </cell>
          <cell r="C55" t="str">
            <v>Мазут</v>
          </cell>
          <cell r="E55">
            <v>0</v>
          </cell>
          <cell r="F55">
            <v>0</v>
          </cell>
          <cell r="G55">
            <v>0</v>
          </cell>
          <cell r="H55">
            <v>0</v>
          </cell>
          <cell r="I55">
            <v>0</v>
          </cell>
          <cell r="J55">
            <v>0</v>
          </cell>
          <cell r="K55" t="e">
            <v>#NAME?</v>
          </cell>
          <cell r="L55" t="e">
            <v>#NAME?</v>
          </cell>
          <cell r="M55" t="e">
            <v>#NAME?</v>
          </cell>
          <cell r="N55">
            <v>0</v>
          </cell>
          <cell r="O55">
            <v>0</v>
          </cell>
          <cell r="P55">
            <v>0</v>
          </cell>
        </row>
        <row r="56">
          <cell r="B56" t="str">
            <v>Всего</v>
          </cell>
          <cell r="C56" t="str">
            <v>Газ</v>
          </cell>
          <cell r="E56">
            <v>0</v>
          </cell>
          <cell r="F56">
            <v>0</v>
          </cell>
          <cell r="G56">
            <v>0</v>
          </cell>
          <cell r="H56">
            <v>0</v>
          </cell>
          <cell r="I56">
            <v>0</v>
          </cell>
          <cell r="J56">
            <v>0</v>
          </cell>
          <cell r="K56" t="e">
            <v>#NAME?</v>
          </cell>
          <cell r="L56" t="e">
            <v>#NAME?</v>
          </cell>
          <cell r="M56" t="e">
            <v>#NAME?</v>
          </cell>
          <cell r="N56">
            <v>0</v>
          </cell>
          <cell r="O56">
            <v>0</v>
          </cell>
          <cell r="P56">
            <v>0</v>
          </cell>
        </row>
        <row r="57">
          <cell r="B57" t="str">
            <v>Всего</v>
          </cell>
          <cell r="E57">
            <v>0</v>
          </cell>
          <cell r="F57">
            <v>0</v>
          </cell>
          <cell r="G57">
            <v>0</v>
          </cell>
          <cell r="H57">
            <v>0</v>
          </cell>
          <cell r="I57">
            <v>0</v>
          </cell>
          <cell r="J57">
            <v>0</v>
          </cell>
          <cell r="K57" t="e">
            <v>#NAME?</v>
          </cell>
          <cell r="L57" t="e">
            <v>#NAME?</v>
          </cell>
          <cell r="M57" t="e">
            <v>#NAME?</v>
          </cell>
          <cell r="N57">
            <v>0</v>
          </cell>
          <cell r="O57">
            <v>0</v>
          </cell>
          <cell r="P57">
            <v>0</v>
          </cell>
        </row>
        <row r="58">
          <cell r="C58" t="str">
            <v>Добавить строки</v>
          </cell>
        </row>
        <row r="59">
          <cell r="C59" t="str">
            <v>Итого</v>
          </cell>
          <cell r="E59">
            <v>0</v>
          </cell>
          <cell r="F59">
            <v>0</v>
          </cell>
          <cell r="G59">
            <v>0</v>
          </cell>
          <cell r="M59" t="e">
            <v>#NAME?</v>
          </cell>
          <cell r="N59">
            <v>0</v>
          </cell>
          <cell r="O59">
            <v>0</v>
          </cell>
          <cell r="P59">
            <v>0</v>
          </cell>
        </row>
        <row r="60">
          <cell r="A60" t="str">
            <v>СЦТ - 1</v>
          </cell>
          <cell r="E60">
            <v>0</v>
          </cell>
          <cell r="K60" t="e">
            <v>#NAME?</v>
          </cell>
          <cell r="L60" t="e">
            <v>#NAME?</v>
          </cell>
          <cell r="M60" t="e">
            <v>#NAME?</v>
          </cell>
          <cell r="N60">
            <v>0</v>
          </cell>
        </row>
        <row r="61">
          <cell r="A61" t="str">
            <v>СЦТ - 2</v>
          </cell>
          <cell r="E61">
            <v>0</v>
          </cell>
          <cell r="K61" t="e">
            <v>#NAME?</v>
          </cell>
          <cell r="L61" t="e">
            <v>#NAME?</v>
          </cell>
          <cell r="M61" t="e">
            <v>#NAME?</v>
          </cell>
          <cell r="N61">
            <v>0</v>
          </cell>
        </row>
        <row r="62">
          <cell r="E62">
            <v>0</v>
          </cell>
          <cell r="K62" t="e">
            <v>#NAME?</v>
          </cell>
          <cell r="L62" t="e">
            <v>#NAME?</v>
          </cell>
          <cell r="M62" t="e">
            <v>#NAME?</v>
          </cell>
          <cell r="N62">
            <v>0</v>
          </cell>
        </row>
      </sheetData>
      <sheetData sheetId="8" refreshError="1">
        <row r="2">
          <cell r="A2" t="str">
            <v>ТЭС-1</v>
          </cell>
        </row>
        <row r="8">
          <cell r="E8">
            <v>0</v>
          </cell>
          <cell r="F8">
            <v>0</v>
          </cell>
          <cell r="G8">
            <v>0</v>
          </cell>
          <cell r="H8">
            <v>0</v>
          </cell>
          <cell r="J8" t="str">
            <v>Добавить столбцы</v>
          </cell>
          <cell r="K8">
            <v>0</v>
          </cell>
          <cell r="L8">
            <v>0</v>
          </cell>
        </row>
        <row r="9">
          <cell r="E9">
            <v>0</v>
          </cell>
          <cell r="F9">
            <v>0</v>
          </cell>
          <cell r="G9">
            <v>0</v>
          </cell>
          <cell r="H9">
            <v>0</v>
          </cell>
          <cell r="J9">
            <v>0</v>
          </cell>
          <cell r="K9">
            <v>0</v>
          </cell>
          <cell r="L9">
            <v>0</v>
          </cell>
        </row>
        <row r="10">
          <cell r="E10">
            <v>0</v>
          </cell>
          <cell r="F10">
            <v>0</v>
          </cell>
          <cell r="G10">
            <v>0</v>
          </cell>
          <cell r="H10">
            <v>0</v>
          </cell>
          <cell r="J10">
            <v>0</v>
          </cell>
          <cell r="K10">
            <v>0</v>
          </cell>
          <cell r="L10">
            <v>0</v>
          </cell>
          <cell r="M10" t="e">
            <v>#NAME?</v>
          </cell>
        </row>
        <row r="11">
          <cell r="E11">
            <v>0</v>
          </cell>
          <cell r="F11">
            <v>0</v>
          </cell>
          <cell r="G11">
            <v>0</v>
          </cell>
          <cell r="H11">
            <v>0</v>
          </cell>
          <cell r="J11">
            <v>0</v>
          </cell>
          <cell r="K11">
            <v>0</v>
          </cell>
          <cell r="L11">
            <v>0</v>
          </cell>
          <cell r="M11" t="e">
            <v>#NAME?</v>
          </cell>
        </row>
        <row r="12">
          <cell r="E12">
            <v>0</v>
          </cell>
          <cell r="F12">
            <v>0</v>
          </cell>
          <cell r="G12">
            <v>0</v>
          </cell>
          <cell r="H12">
            <v>0</v>
          </cell>
          <cell r="J12">
            <v>0</v>
          </cell>
          <cell r="K12">
            <v>0</v>
          </cell>
          <cell r="L12">
            <v>0</v>
          </cell>
          <cell r="M12">
            <v>0</v>
          </cell>
        </row>
        <row r="13">
          <cell r="E13">
            <v>0</v>
          </cell>
          <cell r="F13">
            <v>0</v>
          </cell>
          <cell r="G13">
            <v>0</v>
          </cell>
          <cell r="H13">
            <v>0</v>
          </cell>
          <cell r="J13">
            <v>0</v>
          </cell>
          <cell r="K13">
            <v>0</v>
          </cell>
          <cell r="L13">
            <v>0</v>
          </cell>
          <cell r="M13" t="e">
            <v>#NAME?</v>
          </cell>
        </row>
        <row r="14">
          <cell r="E14">
            <v>0</v>
          </cell>
          <cell r="F14">
            <v>0</v>
          </cell>
          <cell r="G14">
            <v>0</v>
          </cell>
          <cell r="H14">
            <v>0</v>
          </cell>
          <cell r="J14">
            <v>0</v>
          </cell>
          <cell r="K14">
            <v>0</v>
          </cell>
          <cell r="L14">
            <v>0</v>
          </cell>
          <cell r="M14" t="e">
            <v>#NAME?</v>
          </cell>
        </row>
        <row r="15">
          <cell r="E15">
            <v>0</v>
          </cell>
          <cell r="F15">
            <v>0</v>
          </cell>
          <cell r="G15">
            <v>0</v>
          </cell>
          <cell r="H15">
            <v>0</v>
          </cell>
          <cell r="J15">
            <v>0</v>
          </cell>
          <cell r="K15">
            <v>0</v>
          </cell>
          <cell r="L15">
            <v>0</v>
          </cell>
          <cell r="M15" t="e">
            <v>#NAME?</v>
          </cell>
        </row>
        <row r="16">
          <cell r="E16">
            <v>0</v>
          </cell>
          <cell r="F16">
            <v>0</v>
          </cell>
          <cell r="G16">
            <v>0</v>
          </cell>
          <cell r="H16">
            <v>0</v>
          </cell>
          <cell r="J16">
            <v>0</v>
          </cell>
          <cell r="K16">
            <v>0</v>
          </cell>
          <cell r="L16">
            <v>0</v>
          </cell>
          <cell r="M16">
            <v>0</v>
          </cell>
        </row>
        <row r="18">
          <cell r="E18">
            <v>0</v>
          </cell>
          <cell r="F18">
            <v>0</v>
          </cell>
          <cell r="G18">
            <v>0</v>
          </cell>
          <cell r="H18">
            <v>0</v>
          </cell>
          <cell r="J18">
            <v>0</v>
          </cell>
          <cell r="K18">
            <v>0</v>
          </cell>
          <cell r="L18">
            <v>0</v>
          </cell>
          <cell r="M18">
            <v>0</v>
          </cell>
        </row>
        <row r="19">
          <cell r="K19" t="e">
            <v>#NAME?</v>
          </cell>
          <cell r="L19" t="e">
            <v>#NAME?</v>
          </cell>
          <cell r="M19" t="e">
            <v>#NAME?</v>
          </cell>
        </row>
        <row r="20">
          <cell r="E20">
            <v>0</v>
          </cell>
          <cell r="F20">
            <v>0</v>
          </cell>
          <cell r="G20">
            <v>0</v>
          </cell>
          <cell r="H20">
            <v>0</v>
          </cell>
          <cell r="J20">
            <v>0</v>
          </cell>
          <cell r="K20">
            <v>0</v>
          </cell>
          <cell r="L20">
            <v>0</v>
          </cell>
          <cell r="M20">
            <v>0</v>
          </cell>
        </row>
        <row r="21">
          <cell r="F21">
            <v>0</v>
          </cell>
          <cell r="L21">
            <v>0</v>
          </cell>
        </row>
        <row r="24">
          <cell r="E24">
            <v>0</v>
          </cell>
          <cell r="F24">
            <v>0</v>
          </cell>
          <cell r="G24">
            <v>0</v>
          </cell>
          <cell r="H24">
            <v>0</v>
          </cell>
          <cell r="J24">
            <v>0</v>
          </cell>
          <cell r="K24">
            <v>0</v>
          </cell>
          <cell r="L24">
            <v>0</v>
          </cell>
          <cell r="M24">
            <v>0</v>
          </cell>
        </row>
        <row r="26">
          <cell r="E26">
            <v>0</v>
          </cell>
          <cell r="F26">
            <v>0</v>
          </cell>
          <cell r="G26">
            <v>0</v>
          </cell>
          <cell r="H26">
            <v>0</v>
          </cell>
          <cell r="J26">
            <v>0</v>
          </cell>
          <cell r="K26">
            <v>0</v>
          </cell>
          <cell r="L26">
            <v>0</v>
          </cell>
          <cell r="M26">
            <v>0</v>
          </cell>
        </row>
        <row r="27">
          <cell r="E27">
            <v>0</v>
          </cell>
          <cell r="F27">
            <v>0</v>
          </cell>
          <cell r="G27">
            <v>0</v>
          </cell>
          <cell r="H27">
            <v>0</v>
          </cell>
          <cell r="J27">
            <v>0</v>
          </cell>
          <cell r="K27">
            <v>0</v>
          </cell>
          <cell r="L27">
            <v>0</v>
          </cell>
          <cell r="M27">
            <v>0</v>
          </cell>
        </row>
        <row r="28">
          <cell r="E28">
            <v>0</v>
          </cell>
          <cell r="F28">
            <v>0</v>
          </cell>
          <cell r="G28">
            <v>0</v>
          </cell>
          <cell r="H28">
            <v>0</v>
          </cell>
          <cell r="J28">
            <v>0</v>
          </cell>
          <cell r="K28" t="e">
            <v>#NAME?</v>
          </cell>
          <cell r="L28">
            <v>0</v>
          </cell>
          <cell r="M28" t="e">
            <v>#NAME?</v>
          </cell>
        </row>
        <row r="29">
          <cell r="F29">
            <v>0</v>
          </cell>
          <cell r="G29">
            <v>0</v>
          </cell>
          <cell r="H29">
            <v>0</v>
          </cell>
          <cell r="J29">
            <v>0</v>
          </cell>
          <cell r="K29" t="e">
            <v>#NAME?</v>
          </cell>
          <cell r="L29" t="e">
            <v>#NAME?</v>
          </cell>
          <cell r="M29" t="e">
            <v>#NAME?</v>
          </cell>
        </row>
        <row r="30">
          <cell r="F30">
            <v>0</v>
          </cell>
        </row>
        <row r="31">
          <cell r="E31">
            <v>0</v>
          </cell>
          <cell r="F31">
            <v>0</v>
          </cell>
          <cell r="G31">
            <v>0</v>
          </cell>
          <cell r="L31">
            <v>0</v>
          </cell>
          <cell r="M31" t="e">
            <v>#NAME?</v>
          </cell>
        </row>
        <row r="32">
          <cell r="E32">
            <v>0</v>
          </cell>
          <cell r="F32">
            <v>0</v>
          </cell>
          <cell r="K32" t="e">
            <v>#NAME?</v>
          </cell>
          <cell r="L32">
            <v>0</v>
          </cell>
          <cell r="M32" t="e">
            <v>#NAME?</v>
          </cell>
        </row>
        <row r="33">
          <cell r="E33">
            <v>0</v>
          </cell>
          <cell r="F33">
            <v>0</v>
          </cell>
          <cell r="K33" t="e">
            <v>#NAME?</v>
          </cell>
          <cell r="L33">
            <v>0</v>
          </cell>
          <cell r="M33" t="e">
            <v>#NAME?</v>
          </cell>
        </row>
        <row r="34">
          <cell r="E34">
            <v>0</v>
          </cell>
          <cell r="F34">
            <v>0</v>
          </cell>
          <cell r="G34">
            <v>0</v>
          </cell>
          <cell r="H34">
            <v>0</v>
          </cell>
          <cell r="K34" t="e">
            <v>#NAME?</v>
          </cell>
          <cell r="L34" t="e">
            <v>#NAME?</v>
          </cell>
          <cell r="M34" t="e">
            <v>#NAME?</v>
          </cell>
        </row>
        <row r="35">
          <cell r="B35" t="str">
            <v>Арендная плата</v>
          </cell>
          <cell r="E35">
            <v>0</v>
          </cell>
          <cell r="F35">
            <v>0</v>
          </cell>
          <cell r="G35">
            <v>0</v>
          </cell>
          <cell r="H35">
            <v>0</v>
          </cell>
          <cell r="J35">
            <v>0</v>
          </cell>
          <cell r="L35" t="str">
            <v>-</v>
          </cell>
          <cell r="M35">
            <v>0</v>
          </cell>
        </row>
      </sheetData>
      <sheetData sheetId="9" refreshError="1">
        <row r="2">
          <cell r="A2" t="str">
            <v>ТЭС-1</v>
          </cell>
        </row>
        <row r="8">
          <cell r="G8">
            <v>0</v>
          </cell>
          <cell r="H8">
            <v>0</v>
          </cell>
          <cell r="I8">
            <v>0</v>
          </cell>
          <cell r="J8">
            <v>0</v>
          </cell>
          <cell r="L8">
            <v>0</v>
          </cell>
        </row>
        <row r="9">
          <cell r="G9">
            <v>0</v>
          </cell>
          <cell r="H9">
            <v>0</v>
          </cell>
          <cell r="I9">
            <v>0</v>
          </cell>
          <cell r="J9">
            <v>0</v>
          </cell>
          <cell r="L9" t="e">
            <v>#NAME?</v>
          </cell>
          <cell r="M9" t="e">
            <v>#NAME?</v>
          </cell>
          <cell r="N9">
            <v>0</v>
          </cell>
        </row>
        <row r="10">
          <cell r="G10">
            <v>0</v>
          </cell>
          <cell r="H10">
            <v>0</v>
          </cell>
          <cell r="I10">
            <v>0</v>
          </cell>
          <cell r="J10">
            <v>0</v>
          </cell>
          <cell r="L10" t="e">
            <v>#NAME?</v>
          </cell>
          <cell r="M10" t="e">
            <v>#NAME?</v>
          </cell>
          <cell r="N10">
            <v>0</v>
          </cell>
        </row>
        <row r="11">
          <cell r="G11">
            <v>0</v>
          </cell>
          <cell r="H11">
            <v>0</v>
          </cell>
          <cell r="I11" t="str">
            <v>-</v>
          </cell>
          <cell r="J11">
            <v>0</v>
          </cell>
          <cell r="L11" t="str">
            <v>-</v>
          </cell>
          <cell r="M11">
            <v>0</v>
          </cell>
          <cell r="N11">
            <v>0</v>
          </cell>
        </row>
        <row r="12">
          <cell r="G12">
            <v>0</v>
          </cell>
          <cell r="H12">
            <v>0</v>
          </cell>
          <cell r="I12">
            <v>0</v>
          </cell>
          <cell r="J12">
            <v>0</v>
          </cell>
          <cell r="L12">
            <v>0</v>
          </cell>
          <cell r="M12">
            <v>0</v>
          </cell>
          <cell r="N12">
            <v>0</v>
          </cell>
          <cell r="O12">
            <v>0</v>
          </cell>
        </row>
        <row r="13">
          <cell r="G13">
            <v>0</v>
          </cell>
          <cell r="H13">
            <v>0</v>
          </cell>
          <cell r="I13">
            <v>0</v>
          </cell>
          <cell r="J13">
            <v>0</v>
          </cell>
          <cell r="L13" t="e">
            <v>#NAME?</v>
          </cell>
          <cell r="M13" t="e">
            <v>#NAME?</v>
          </cell>
          <cell r="N13">
            <v>0</v>
          </cell>
        </row>
        <row r="14">
          <cell r="G14">
            <v>0</v>
          </cell>
          <cell r="H14">
            <v>0</v>
          </cell>
          <cell r="I14">
            <v>0</v>
          </cell>
          <cell r="J14">
            <v>0</v>
          </cell>
          <cell r="L14" t="e">
            <v>#NAME?</v>
          </cell>
          <cell r="M14" t="e">
            <v>#NAME?</v>
          </cell>
          <cell r="N14">
            <v>0</v>
          </cell>
        </row>
        <row r="15">
          <cell r="G15">
            <v>0</v>
          </cell>
          <cell r="H15">
            <v>0</v>
          </cell>
          <cell r="I15">
            <v>0</v>
          </cell>
          <cell r="J15">
            <v>0</v>
          </cell>
          <cell r="L15" t="e">
            <v>#NAME?</v>
          </cell>
          <cell r="M15" t="e">
            <v>#NAME?</v>
          </cell>
          <cell r="N15">
            <v>0</v>
          </cell>
        </row>
        <row r="16">
          <cell r="G16">
            <v>0</v>
          </cell>
          <cell r="H16">
            <v>0</v>
          </cell>
          <cell r="I16">
            <v>0</v>
          </cell>
          <cell r="J16">
            <v>0</v>
          </cell>
          <cell r="L16">
            <v>0</v>
          </cell>
          <cell r="M16">
            <v>0</v>
          </cell>
          <cell r="N16">
            <v>0</v>
          </cell>
        </row>
        <row r="18">
          <cell r="G18">
            <v>0</v>
          </cell>
          <cell r="H18">
            <v>0</v>
          </cell>
          <cell r="I18" t="str">
            <v>-</v>
          </cell>
          <cell r="J18">
            <v>0</v>
          </cell>
          <cell r="L18" t="str">
            <v>-</v>
          </cell>
          <cell r="M18">
            <v>0</v>
          </cell>
          <cell r="N18">
            <v>0</v>
          </cell>
          <cell r="O18">
            <v>0</v>
          </cell>
        </row>
        <row r="19">
          <cell r="L19" t="e">
            <v>#NAME?</v>
          </cell>
          <cell r="M19" t="e">
            <v>#NAME?</v>
          </cell>
          <cell r="N19">
            <v>0</v>
          </cell>
        </row>
        <row r="20">
          <cell r="G20">
            <v>0</v>
          </cell>
          <cell r="H20">
            <v>0</v>
          </cell>
          <cell r="I20" t="str">
            <v>-</v>
          </cell>
          <cell r="J20">
            <v>0</v>
          </cell>
          <cell r="L20" t="e">
            <v>#NAME?</v>
          </cell>
          <cell r="M20" t="e">
            <v>#NAME?</v>
          </cell>
          <cell r="N20">
            <v>0</v>
          </cell>
          <cell r="O20" t="str">
            <v>-</v>
          </cell>
          <cell r="Q20">
            <v>0</v>
          </cell>
          <cell r="R20">
            <v>0</v>
          </cell>
          <cell r="S20">
            <v>0</v>
          </cell>
        </row>
        <row r="21">
          <cell r="L21">
            <v>0</v>
          </cell>
          <cell r="N21">
            <v>0</v>
          </cell>
        </row>
        <row r="24">
          <cell r="G24">
            <v>0</v>
          </cell>
          <cell r="H24">
            <v>0</v>
          </cell>
          <cell r="I24">
            <v>0</v>
          </cell>
          <cell r="J24">
            <v>0</v>
          </cell>
          <cell r="L24" t="e">
            <v>#NAME?</v>
          </cell>
          <cell r="M24" t="e">
            <v>#NAME?</v>
          </cell>
          <cell r="N24">
            <v>0</v>
          </cell>
          <cell r="O24">
            <v>0</v>
          </cell>
        </row>
        <row r="26">
          <cell r="G26">
            <v>0</v>
          </cell>
          <cell r="H26">
            <v>0</v>
          </cell>
          <cell r="I26" t="str">
            <v>-</v>
          </cell>
          <cell r="J26">
            <v>0</v>
          </cell>
          <cell r="L26" t="str">
            <v>-</v>
          </cell>
          <cell r="M26">
            <v>0</v>
          </cell>
          <cell r="N26">
            <v>0</v>
          </cell>
        </row>
        <row r="27">
          <cell r="G27">
            <v>0</v>
          </cell>
          <cell r="H27">
            <v>0</v>
          </cell>
          <cell r="I27">
            <v>0</v>
          </cell>
          <cell r="J27">
            <v>0</v>
          </cell>
          <cell r="L27" t="e">
            <v>#NAME?</v>
          </cell>
          <cell r="M27" t="e">
            <v>#NAME?</v>
          </cell>
          <cell r="N27">
            <v>0</v>
          </cell>
          <cell r="O27">
            <v>0</v>
          </cell>
          <cell r="Q27">
            <v>0</v>
          </cell>
          <cell r="R27">
            <v>0</v>
          </cell>
          <cell r="S27">
            <v>0</v>
          </cell>
        </row>
        <row r="28">
          <cell r="G28">
            <v>0</v>
          </cell>
          <cell r="H28">
            <v>0</v>
          </cell>
          <cell r="I28">
            <v>0</v>
          </cell>
          <cell r="J28">
            <v>0</v>
          </cell>
          <cell r="L28" t="e">
            <v>#NAME?</v>
          </cell>
          <cell r="M28" t="e">
            <v>#NAME?</v>
          </cell>
          <cell r="N28">
            <v>0</v>
          </cell>
          <cell r="O28">
            <v>0</v>
          </cell>
        </row>
        <row r="30">
          <cell r="I30">
            <v>0</v>
          </cell>
        </row>
        <row r="31">
          <cell r="G31">
            <v>0</v>
          </cell>
          <cell r="L31">
            <v>0</v>
          </cell>
          <cell r="M31" t="e">
            <v>#NAME?</v>
          </cell>
          <cell r="N31">
            <v>0</v>
          </cell>
          <cell r="O31">
            <v>0</v>
          </cell>
        </row>
        <row r="32">
          <cell r="L32" t="e">
            <v>#NAME?</v>
          </cell>
          <cell r="M32" t="e">
            <v>#NAME?</v>
          </cell>
          <cell r="N32">
            <v>0</v>
          </cell>
        </row>
        <row r="33">
          <cell r="L33" t="e">
            <v>#NAME?</v>
          </cell>
          <cell r="M33" t="e">
            <v>#NAME?</v>
          </cell>
          <cell r="N33">
            <v>0</v>
          </cell>
        </row>
        <row r="35">
          <cell r="B35" t="str">
            <v>Арендная плата</v>
          </cell>
          <cell r="G35">
            <v>0</v>
          </cell>
          <cell r="H35">
            <v>0</v>
          </cell>
          <cell r="I35" t="str">
            <v>-</v>
          </cell>
          <cell r="J35">
            <v>0</v>
          </cell>
          <cell r="L35" t="str">
            <v>-</v>
          </cell>
          <cell r="M35">
            <v>0</v>
          </cell>
          <cell r="O35" t="str">
            <v>-</v>
          </cell>
        </row>
        <row r="37">
          <cell r="B37" t="str">
            <v>ТЭС-1</v>
          </cell>
          <cell r="L37" t="e">
            <v>#NAME?</v>
          </cell>
          <cell r="M37" t="e">
            <v>#NAME?</v>
          </cell>
          <cell r="N37">
            <v>0</v>
          </cell>
        </row>
        <row r="41">
          <cell r="L41" t="e">
            <v>#NAME?</v>
          </cell>
          <cell r="M41" t="e">
            <v>#NAME?</v>
          </cell>
          <cell r="N41">
            <v>0</v>
          </cell>
        </row>
        <row r="42">
          <cell r="L42" t="e">
            <v>#NAME?</v>
          </cell>
          <cell r="M42" t="e">
            <v>#NAME?</v>
          </cell>
          <cell r="N42">
            <v>0</v>
          </cell>
        </row>
      </sheetData>
      <sheetData sheetId="10" refreshError="1">
        <row r="2">
          <cell r="A2" t="str">
            <v>ТЭС-1</v>
          </cell>
        </row>
        <row r="8">
          <cell r="C8">
            <v>0</v>
          </cell>
          <cell r="D8">
            <v>0</v>
          </cell>
          <cell r="F8">
            <v>0</v>
          </cell>
          <cell r="G8">
            <v>0</v>
          </cell>
          <cell r="H8">
            <v>0</v>
          </cell>
          <cell r="I8">
            <v>0</v>
          </cell>
          <cell r="J8" t="str">
            <v>Добавить столбцы</v>
          </cell>
          <cell r="K8">
            <v>0</v>
          </cell>
          <cell r="L8">
            <v>0</v>
          </cell>
        </row>
        <row r="10">
          <cell r="C10">
            <v>0</v>
          </cell>
          <cell r="D10">
            <v>0</v>
          </cell>
          <cell r="F10">
            <v>0</v>
          </cell>
          <cell r="G10">
            <v>0</v>
          </cell>
          <cell r="H10">
            <v>0</v>
          </cell>
          <cell r="J10">
            <v>0</v>
          </cell>
          <cell r="K10">
            <v>0</v>
          </cell>
          <cell r="L10">
            <v>0</v>
          </cell>
          <cell r="M10" t="e">
            <v>#NAME?</v>
          </cell>
          <cell r="N10">
            <v>0</v>
          </cell>
        </row>
        <row r="11">
          <cell r="C11">
            <v>0</v>
          </cell>
          <cell r="D11">
            <v>0</v>
          </cell>
          <cell r="F11">
            <v>0</v>
          </cell>
          <cell r="G11">
            <v>0</v>
          </cell>
          <cell r="H11">
            <v>0</v>
          </cell>
          <cell r="I11">
            <v>0</v>
          </cell>
          <cell r="J11">
            <v>0</v>
          </cell>
          <cell r="K11">
            <v>0</v>
          </cell>
          <cell r="L11">
            <v>0</v>
          </cell>
          <cell r="M11" t="e">
            <v>#NAME?</v>
          </cell>
          <cell r="N11">
            <v>0</v>
          </cell>
        </row>
        <row r="13">
          <cell r="C13">
            <v>0</v>
          </cell>
          <cell r="D13">
            <v>0</v>
          </cell>
          <cell r="F13">
            <v>0</v>
          </cell>
          <cell r="G13">
            <v>0</v>
          </cell>
          <cell r="H13">
            <v>0</v>
          </cell>
          <cell r="I13">
            <v>0</v>
          </cell>
          <cell r="J13">
            <v>0</v>
          </cell>
          <cell r="K13">
            <v>0</v>
          </cell>
          <cell r="L13">
            <v>0</v>
          </cell>
          <cell r="M13" t="e">
            <v>#NAME?</v>
          </cell>
          <cell r="N13">
            <v>0</v>
          </cell>
        </row>
        <row r="14">
          <cell r="C14">
            <v>0</v>
          </cell>
          <cell r="D14">
            <v>0</v>
          </cell>
          <cell r="F14">
            <v>0</v>
          </cell>
          <cell r="G14">
            <v>0</v>
          </cell>
          <cell r="H14">
            <v>0</v>
          </cell>
          <cell r="J14">
            <v>0</v>
          </cell>
          <cell r="K14">
            <v>0</v>
          </cell>
          <cell r="L14">
            <v>0</v>
          </cell>
          <cell r="M14" t="e">
            <v>#NAME?</v>
          </cell>
          <cell r="N14">
            <v>0</v>
          </cell>
        </row>
        <row r="15">
          <cell r="C15">
            <v>0</v>
          </cell>
          <cell r="D15">
            <v>0</v>
          </cell>
          <cell r="F15">
            <v>0</v>
          </cell>
          <cell r="G15">
            <v>0</v>
          </cell>
          <cell r="H15">
            <v>0</v>
          </cell>
          <cell r="J15">
            <v>0</v>
          </cell>
          <cell r="K15">
            <v>0</v>
          </cell>
          <cell r="L15">
            <v>0</v>
          </cell>
          <cell r="M15" t="e">
            <v>#NAME?</v>
          </cell>
          <cell r="N15">
            <v>0</v>
          </cell>
        </row>
        <row r="16">
          <cell r="C16">
            <v>0</v>
          </cell>
          <cell r="D16">
            <v>0</v>
          </cell>
          <cell r="F16">
            <v>0</v>
          </cell>
          <cell r="G16">
            <v>0</v>
          </cell>
          <cell r="H16">
            <v>0</v>
          </cell>
          <cell r="I16">
            <v>0</v>
          </cell>
          <cell r="J16">
            <v>0</v>
          </cell>
          <cell r="K16">
            <v>0</v>
          </cell>
          <cell r="L16">
            <v>0</v>
          </cell>
          <cell r="M16">
            <v>0</v>
          </cell>
          <cell r="N16">
            <v>0</v>
          </cell>
        </row>
        <row r="18">
          <cell r="C18">
            <v>0</v>
          </cell>
          <cell r="D18">
            <v>0</v>
          </cell>
          <cell r="F18">
            <v>0</v>
          </cell>
          <cell r="G18">
            <v>0</v>
          </cell>
          <cell r="H18">
            <v>0</v>
          </cell>
          <cell r="I18">
            <v>0</v>
          </cell>
          <cell r="J18">
            <v>0</v>
          </cell>
          <cell r="K18">
            <v>0</v>
          </cell>
          <cell r="L18">
            <v>0</v>
          </cell>
          <cell r="M18" t="e">
            <v>#NAME?</v>
          </cell>
          <cell r="N18">
            <v>0</v>
          </cell>
        </row>
        <row r="19">
          <cell r="C19">
            <v>0</v>
          </cell>
          <cell r="D19">
            <v>0</v>
          </cell>
          <cell r="K19" t="e">
            <v>#NAME?</v>
          </cell>
          <cell r="L19" t="e">
            <v>#NAME?</v>
          </cell>
          <cell r="M19" t="e">
            <v>#NAME?</v>
          </cell>
          <cell r="N19">
            <v>0</v>
          </cell>
        </row>
        <row r="20">
          <cell r="C20">
            <v>0</v>
          </cell>
          <cell r="D20">
            <v>0</v>
          </cell>
          <cell r="F20">
            <v>0</v>
          </cell>
          <cell r="G20">
            <v>0</v>
          </cell>
          <cell r="H20">
            <v>0</v>
          </cell>
          <cell r="I20">
            <v>0</v>
          </cell>
          <cell r="J20">
            <v>0</v>
          </cell>
          <cell r="K20">
            <v>0</v>
          </cell>
          <cell r="L20">
            <v>0</v>
          </cell>
          <cell r="M20">
            <v>0</v>
          </cell>
          <cell r="N20">
            <v>0</v>
          </cell>
        </row>
        <row r="22">
          <cell r="B22" t="str">
            <v>Другие прочие платежи из прибыли</v>
          </cell>
          <cell r="C22">
            <v>0</v>
          </cell>
          <cell r="D22">
            <v>0</v>
          </cell>
          <cell r="E22">
            <v>0</v>
          </cell>
          <cell r="F22">
            <v>0</v>
          </cell>
          <cell r="I22">
            <v>0</v>
          </cell>
          <cell r="K22" t="e">
            <v>#NAME?</v>
          </cell>
          <cell r="L22" t="e">
            <v>#NAME?</v>
          </cell>
          <cell r="M22" t="e">
            <v>#NAME?</v>
          </cell>
          <cell r="N22">
            <v>0</v>
          </cell>
        </row>
        <row r="23">
          <cell r="B23" t="str">
            <v>Резерв по сомнительным долгам</v>
          </cell>
          <cell r="C23">
            <v>0</v>
          </cell>
          <cell r="D23">
            <v>0</v>
          </cell>
          <cell r="E23">
            <v>0</v>
          </cell>
          <cell r="F23">
            <v>0</v>
          </cell>
          <cell r="I23">
            <v>0</v>
          </cell>
          <cell r="K23" t="e">
            <v>#NAME?</v>
          </cell>
          <cell r="L23" t="e">
            <v>#NAME?</v>
          </cell>
          <cell r="M23" t="e">
            <v>#NAME?</v>
          </cell>
          <cell r="N23">
            <v>0</v>
          </cell>
        </row>
        <row r="24">
          <cell r="B24" t="str">
            <v>Котельная - 2</v>
          </cell>
          <cell r="C24">
            <v>0</v>
          </cell>
          <cell r="D24">
            <v>0</v>
          </cell>
          <cell r="E24">
            <v>0</v>
          </cell>
          <cell r="F24">
            <v>0</v>
          </cell>
          <cell r="G24">
            <v>0</v>
          </cell>
          <cell r="H24">
            <v>0</v>
          </cell>
          <cell r="I24">
            <v>0</v>
          </cell>
          <cell r="J24">
            <v>0</v>
          </cell>
          <cell r="K24">
            <v>0</v>
          </cell>
          <cell r="L24">
            <v>0</v>
          </cell>
          <cell r="M24" t="e">
            <v>#NAME?</v>
          </cell>
          <cell r="N24">
            <v>0</v>
          </cell>
        </row>
        <row r="26">
          <cell r="C26">
            <v>0</v>
          </cell>
          <cell r="D26">
            <v>0</v>
          </cell>
          <cell r="F26">
            <v>0</v>
          </cell>
          <cell r="G26">
            <v>0</v>
          </cell>
          <cell r="H26">
            <v>0</v>
          </cell>
          <cell r="I26">
            <v>0</v>
          </cell>
          <cell r="J26">
            <v>0</v>
          </cell>
          <cell r="K26">
            <v>0</v>
          </cell>
          <cell r="L26">
            <v>0</v>
          </cell>
          <cell r="M26">
            <v>0</v>
          </cell>
          <cell r="N26">
            <v>0</v>
          </cell>
        </row>
        <row r="27">
          <cell r="C27">
            <v>0</v>
          </cell>
          <cell r="D27">
            <v>0</v>
          </cell>
          <cell r="F27">
            <v>0</v>
          </cell>
          <cell r="G27">
            <v>0</v>
          </cell>
          <cell r="H27">
            <v>0</v>
          </cell>
          <cell r="I27">
            <v>0</v>
          </cell>
          <cell r="J27">
            <v>0</v>
          </cell>
          <cell r="K27">
            <v>0</v>
          </cell>
          <cell r="L27">
            <v>0</v>
          </cell>
          <cell r="M27">
            <v>0</v>
          </cell>
          <cell r="N27">
            <v>0</v>
          </cell>
        </row>
        <row r="29">
          <cell r="C29">
            <v>0</v>
          </cell>
          <cell r="D29">
            <v>0</v>
          </cell>
          <cell r="F29">
            <v>0</v>
          </cell>
          <cell r="G29">
            <v>0</v>
          </cell>
          <cell r="H29">
            <v>0</v>
          </cell>
          <cell r="I29">
            <v>0</v>
          </cell>
          <cell r="J29">
            <v>0</v>
          </cell>
          <cell r="K29" t="e">
            <v>#NAME?</v>
          </cell>
          <cell r="L29" t="e">
            <v>#NAME?</v>
          </cell>
          <cell r="M29" t="e">
            <v>#NAME?</v>
          </cell>
          <cell r="N29">
            <v>0</v>
          </cell>
        </row>
        <row r="30">
          <cell r="C30">
            <v>0</v>
          </cell>
          <cell r="D30">
            <v>0</v>
          </cell>
          <cell r="F30">
            <v>0</v>
          </cell>
          <cell r="I30">
            <v>0</v>
          </cell>
        </row>
        <row r="31">
          <cell r="C31">
            <v>0</v>
          </cell>
          <cell r="D31">
            <v>0</v>
          </cell>
          <cell r="F31">
            <v>0</v>
          </cell>
          <cell r="G31">
            <v>0</v>
          </cell>
          <cell r="L31">
            <v>0</v>
          </cell>
          <cell r="M31" t="e">
            <v>#NAME?</v>
          </cell>
          <cell r="N31">
            <v>0</v>
          </cell>
        </row>
        <row r="32">
          <cell r="C32">
            <v>0</v>
          </cell>
          <cell r="D32">
            <v>0</v>
          </cell>
          <cell r="F32">
            <v>0</v>
          </cell>
          <cell r="K32" t="e">
            <v>#NAME?</v>
          </cell>
          <cell r="L32" t="e">
            <v>#NAME?</v>
          </cell>
          <cell r="M32" t="e">
            <v>#NAME?</v>
          </cell>
          <cell r="N32">
            <v>0</v>
          </cell>
        </row>
        <row r="34">
          <cell r="B34" t="str">
            <v>Сбор на содержание милиции</v>
          </cell>
          <cell r="C34">
            <v>0</v>
          </cell>
          <cell r="D34">
            <v>0</v>
          </cell>
          <cell r="E34">
            <v>0</v>
          </cell>
          <cell r="F34">
            <v>0</v>
          </cell>
          <cell r="G34">
            <v>0</v>
          </cell>
          <cell r="H34">
            <v>0</v>
          </cell>
          <cell r="I34">
            <v>0</v>
          </cell>
          <cell r="K34" t="e">
            <v>#NAME?</v>
          </cell>
          <cell r="L34" t="e">
            <v>#NAME?</v>
          </cell>
          <cell r="M34" t="e">
            <v>#NAME?</v>
          </cell>
          <cell r="N34">
            <v>0</v>
          </cell>
        </row>
        <row r="35">
          <cell r="B35" t="str">
            <v>Арендная плата</v>
          </cell>
          <cell r="C35">
            <v>0</v>
          </cell>
          <cell r="D35">
            <v>0</v>
          </cell>
          <cell r="E35">
            <v>0</v>
          </cell>
          <cell r="F35">
            <v>0</v>
          </cell>
          <cell r="G35">
            <v>0</v>
          </cell>
          <cell r="H35">
            <v>0</v>
          </cell>
          <cell r="I35">
            <v>0</v>
          </cell>
          <cell r="J35">
            <v>0</v>
          </cell>
          <cell r="L35" t="str">
            <v>-</v>
          </cell>
          <cell r="M35">
            <v>0</v>
          </cell>
        </row>
        <row r="36">
          <cell r="C36">
            <v>0</v>
          </cell>
          <cell r="D36">
            <v>0</v>
          </cell>
        </row>
        <row r="38">
          <cell r="C38">
            <v>0</v>
          </cell>
          <cell r="D38">
            <v>0</v>
          </cell>
          <cell r="F38">
            <v>0</v>
          </cell>
          <cell r="G38">
            <v>0</v>
          </cell>
          <cell r="H38">
            <v>0</v>
          </cell>
          <cell r="I38">
            <v>0</v>
          </cell>
          <cell r="K38">
            <v>0</v>
          </cell>
          <cell r="L38">
            <v>0</v>
          </cell>
          <cell r="M38">
            <v>0</v>
          </cell>
          <cell r="N38">
            <v>0</v>
          </cell>
        </row>
      </sheetData>
      <sheetData sheetId="11" refreshError="1">
        <row r="2">
          <cell r="A2" t="str">
            <v>ТЭС-1</v>
          </cell>
        </row>
        <row r="8">
          <cell r="F8">
            <v>0</v>
          </cell>
          <cell r="G8">
            <v>0</v>
          </cell>
          <cell r="H8">
            <v>0</v>
          </cell>
          <cell r="I8">
            <v>0</v>
          </cell>
          <cell r="K8">
            <v>0</v>
          </cell>
          <cell r="L8">
            <v>0</v>
          </cell>
        </row>
        <row r="10">
          <cell r="C10">
            <v>0</v>
          </cell>
          <cell r="D10">
            <v>0</v>
          </cell>
          <cell r="F10">
            <v>0</v>
          </cell>
          <cell r="G10">
            <v>0</v>
          </cell>
          <cell r="H10">
            <v>0</v>
          </cell>
          <cell r="I10">
            <v>0</v>
          </cell>
          <cell r="J10">
            <v>0</v>
          </cell>
          <cell r="K10">
            <v>0</v>
          </cell>
          <cell r="L10" t="e">
            <v>#NAME?</v>
          </cell>
          <cell r="M10" t="e">
            <v>#NAME?</v>
          </cell>
          <cell r="N10">
            <v>0</v>
          </cell>
        </row>
        <row r="11">
          <cell r="F11" t="str">
            <v>-</v>
          </cell>
          <cell r="G11">
            <v>0</v>
          </cell>
          <cell r="H11">
            <v>0</v>
          </cell>
          <cell r="I11" t="str">
            <v>-</v>
          </cell>
          <cell r="K11">
            <v>0</v>
          </cell>
          <cell r="L11" t="str">
            <v>-</v>
          </cell>
          <cell r="M11">
            <v>0</v>
          </cell>
          <cell r="N11">
            <v>0</v>
          </cell>
          <cell r="P11">
            <v>0</v>
          </cell>
        </row>
        <row r="13">
          <cell r="C13">
            <v>0</v>
          </cell>
          <cell r="D13">
            <v>0</v>
          </cell>
          <cell r="F13">
            <v>0</v>
          </cell>
          <cell r="G13">
            <v>0</v>
          </cell>
          <cell r="H13">
            <v>0</v>
          </cell>
          <cell r="I13">
            <v>0</v>
          </cell>
          <cell r="J13">
            <v>0</v>
          </cell>
          <cell r="K13">
            <v>0</v>
          </cell>
          <cell r="L13" t="e">
            <v>#NAME?</v>
          </cell>
          <cell r="M13" t="e">
            <v>#NAME?</v>
          </cell>
          <cell r="N13">
            <v>0</v>
          </cell>
        </row>
        <row r="14">
          <cell r="F14">
            <v>0</v>
          </cell>
          <cell r="G14">
            <v>0</v>
          </cell>
          <cell r="H14">
            <v>0</v>
          </cell>
          <cell r="I14">
            <v>0</v>
          </cell>
          <cell r="K14">
            <v>0</v>
          </cell>
          <cell r="L14" t="e">
            <v>#NAME?</v>
          </cell>
          <cell r="M14" t="e">
            <v>#NAME?</v>
          </cell>
          <cell r="N14">
            <v>0</v>
          </cell>
        </row>
        <row r="15">
          <cell r="F15">
            <v>0</v>
          </cell>
          <cell r="G15">
            <v>0</v>
          </cell>
          <cell r="H15">
            <v>0</v>
          </cell>
          <cell r="I15">
            <v>0</v>
          </cell>
          <cell r="K15">
            <v>0</v>
          </cell>
          <cell r="L15" t="e">
            <v>#NAME?</v>
          </cell>
          <cell r="M15" t="e">
            <v>#NAME?</v>
          </cell>
          <cell r="N15">
            <v>0</v>
          </cell>
        </row>
        <row r="18">
          <cell r="F18" t="str">
            <v>-</v>
          </cell>
          <cell r="G18">
            <v>0</v>
          </cell>
          <cell r="H18">
            <v>0</v>
          </cell>
          <cell r="I18" t="str">
            <v>-</v>
          </cell>
          <cell r="K18">
            <v>0</v>
          </cell>
          <cell r="L18" t="str">
            <v>-</v>
          </cell>
          <cell r="M18">
            <v>0</v>
          </cell>
          <cell r="N18">
            <v>0</v>
          </cell>
          <cell r="P18">
            <v>0</v>
          </cell>
        </row>
        <row r="19">
          <cell r="L19" t="e">
            <v>#NAME?</v>
          </cell>
          <cell r="M19" t="e">
            <v>#NAME?</v>
          </cell>
          <cell r="N19">
            <v>0</v>
          </cell>
        </row>
        <row r="20">
          <cell r="C20">
            <v>0</v>
          </cell>
          <cell r="D20">
            <v>0</v>
          </cell>
          <cell r="F20">
            <v>0</v>
          </cell>
          <cell r="G20">
            <v>0</v>
          </cell>
          <cell r="H20">
            <v>0</v>
          </cell>
          <cell r="I20">
            <v>0</v>
          </cell>
          <cell r="J20">
            <v>0</v>
          </cell>
          <cell r="K20">
            <v>0</v>
          </cell>
          <cell r="L20">
            <v>0</v>
          </cell>
          <cell r="M20">
            <v>0</v>
          </cell>
          <cell r="N20">
            <v>0</v>
          </cell>
          <cell r="O20" t="str">
            <v>-</v>
          </cell>
          <cell r="P20">
            <v>0</v>
          </cell>
          <cell r="Q20">
            <v>0</v>
          </cell>
          <cell r="R20">
            <v>0</v>
          </cell>
          <cell r="S20">
            <v>0</v>
          </cell>
        </row>
        <row r="22">
          <cell r="B22" t="str">
            <v>Другие прочие платежи из прибыли</v>
          </cell>
          <cell r="C22">
            <v>0</v>
          </cell>
          <cell r="D22">
            <v>0</v>
          </cell>
          <cell r="F22">
            <v>0</v>
          </cell>
          <cell r="I22">
            <v>0</v>
          </cell>
        </row>
        <row r="23">
          <cell r="B23" t="str">
            <v>Резерв по сомнительным долгам</v>
          </cell>
          <cell r="C23">
            <v>0</v>
          </cell>
          <cell r="D23">
            <v>0</v>
          </cell>
          <cell r="F23">
            <v>0</v>
          </cell>
          <cell r="I23">
            <v>0</v>
          </cell>
        </row>
        <row r="24">
          <cell r="C24">
            <v>0</v>
          </cell>
          <cell r="D24">
            <v>0</v>
          </cell>
          <cell r="E24">
            <v>0</v>
          </cell>
          <cell r="F24">
            <v>0</v>
          </cell>
          <cell r="G24">
            <v>0</v>
          </cell>
          <cell r="H24">
            <v>0</v>
          </cell>
          <cell r="I24">
            <v>0</v>
          </cell>
          <cell r="J24">
            <v>0</v>
          </cell>
          <cell r="K24">
            <v>0</v>
          </cell>
          <cell r="L24" t="e">
            <v>#NAME?</v>
          </cell>
          <cell r="M24" t="e">
            <v>#NAME?</v>
          </cell>
          <cell r="N24">
            <v>0</v>
          </cell>
          <cell r="O24">
            <v>0</v>
          </cell>
        </row>
        <row r="26">
          <cell r="F26" t="str">
            <v>-</v>
          </cell>
          <cell r="G26">
            <v>0</v>
          </cell>
          <cell r="H26">
            <v>0</v>
          </cell>
          <cell r="I26" t="str">
            <v>-</v>
          </cell>
          <cell r="K26">
            <v>0</v>
          </cell>
          <cell r="L26" t="str">
            <v>-</v>
          </cell>
          <cell r="M26">
            <v>0</v>
          </cell>
          <cell r="N26">
            <v>0</v>
          </cell>
          <cell r="P26">
            <v>0</v>
          </cell>
        </row>
        <row r="27">
          <cell r="C27">
            <v>0</v>
          </cell>
          <cell r="D27">
            <v>0</v>
          </cell>
          <cell r="F27">
            <v>0</v>
          </cell>
          <cell r="G27">
            <v>0</v>
          </cell>
          <cell r="H27">
            <v>0</v>
          </cell>
          <cell r="I27">
            <v>0</v>
          </cell>
          <cell r="J27">
            <v>0</v>
          </cell>
          <cell r="K27">
            <v>0</v>
          </cell>
          <cell r="L27">
            <v>0</v>
          </cell>
          <cell r="M27">
            <v>0</v>
          </cell>
          <cell r="N27">
            <v>0</v>
          </cell>
          <cell r="O27">
            <v>0</v>
          </cell>
          <cell r="P27">
            <v>0</v>
          </cell>
          <cell r="Q27">
            <v>0</v>
          </cell>
          <cell r="R27">
            <v>0</v>
          </cell>
          <cell r="S27">
            <v>0</v>
          </cell>
        </row>
        <row r="29">
          <cell r="C29">
            <v>0</v>
          </cell>
          <cell r="D29">
            <v>0</v>
          </cell>
          <cell r="F29">
            <v>0</v>
          </cell>
          <cell r="I29">
            <v>0</v>
          </cell>
        </row>
        <row r="30">
          <cell r="C30">
            <v>0</v>
          </cell>
          <cell r="D30">
            <v>0</v>
          </cell>
          <cell r="F30">
            <v>0</v>
          </cell>
          <cell r="I30">
            <v>0</v>
          </cell>
        </row>
        <row r="31">
          <cell r="C31">
            <v>0</v>
          </cell>
          <cell r="D31">
            <v>0</v>
          </cell>
          <cell r="G31">
            <v>0</v>
          </cell>
          <cell r="L31">
            <v>0</v>
          </cell>
          <cell r="M31" t="e">
            <v>#NAME?</v>
          </cell>
          <cell r="N31">
            <v>0</v>
          </cell>
          <cell r="O31">
            <v>0</v>
          </cell>
        </row>
        <row r="32">
          <cell r="C32">
            <v>0</v>
          </cell>
          <cell r="D32">
            <v>0</v>
          </cell>
          <cell r="L32" t="e">
            <v>#NAME?</v>
          </cell>
          <cell r="M32" t="e">
            <v>#NAME?</v>
          </cell>
          <cell r="N32">
            <v>0</v>
          </cell>
        </row>
        <row r="34">
          <cell r="B34" t="str">
            <v>Сбор на содержание милиции</v>
          </cell>
          <cell r="C34">
            <v>0</v>
          </cell>
          <cell r="D34">
            <v>0</v>
          </cell>
          <cell r="E34">
            <v>0</v>
          </cell>
          <cell r="F34">
            <v>0</v>
          </cell>
          <cell r="G34">
            <v>0</v>
          </cell>
          <cell r="H34">
            <v>0</v>
          </cell>
        </row>
        <row r="35">
          <cell r="B35" t="str">
            <v>Арендная плата</v>
          </cell>
          <cell r="C35">
            <v>0</v>
          </cell>
          <cell r="D35">
            <v>0</v>
          </cell>
          <cell r="E35">
            <v>0</v>
          </cell>
          <cell r="F35" t="str">
            <v>-</v>
          </cell>
          <cell r="G35">
            <v>0</v>
          </cell>
          <cell r="H35">
            <v>0</v>
          </cell>
          <cell r="I35" t="str">
            <v>-</v>
          </cell>
          <cell r="J35">
            <v>0</v>
          </cell>
          <cell r="L35" t="str">
            <v>-</v>
          </cell>
          <cell r="M35">
            <v>0</v>
          </cell>
          <cell r="O35" t="str">
            <v>-</v>
          </cell>
          <cell r="P35">
            <v>0</v>
          </cell>
        </row>
        <row r="36">
          <cell r="C36">
            <v>0</v>
          </cell>
          <cell r="D36">
            <v>0</v>
          </cell>
        </row>
        <row r="38">
          <cell r="C38">
            <v>0</v>
          </cell>
          <cell r="D38">
            <v>0</v>
          </cell>
          <cell r="F38">
            <v>0</v>
          </cell>
          <cell r="G38">
            <v>0</v>
          </cell>
          <cell r="H38">
            <v>0</v>
          </cell>
          <cell r="I38">
            <v>0</v>
          </cell>
          <cell r="K38">
            <v>0</v>
          </cell>
          <cell r="L38">
            <v>0</v>
          </cell>
          <cell r="M38">
            <v>0</v>
          </cell>
          <cell r="N38">
            <v>0</v>
          </cell>
          <cell r="P38">
            <v>0</v>
          </cell>
          <cell r="Q38">
            <v>0</v>
          </cell>
          <cell r="R38">
            <v>0</v>
          </cell>
          <cell r="S38">
            <v>0</v>
          </cell>
        </row>
      </sheetData>
      <sheetData sheetId="12" refreshError="1">
        <row r="2">
          <cell r="A2" t="str">
            <v>ТЭС-1</v>
          </cell>
        </row>
        <row r="8">
          <cell r="D8">
            <v>0</v>
          </cell>
          <cell r="E8">
            <v>0</v>
          </cell>
          <cell r="F8">
            <v>0</v>
          </cell>
          <cell r="G8">
            <v>0</v>
          </cell>
          <cell r="H8">
            <v>0</v>
          </cell>
          <cell r="I8">
            <v>0</v>
          </cell>
        </row>
        <row r="9">
          <cell r="D9">
            <v>0</v>
          </cell>
          <cell r="E9">
            <v>0</v>
          </cell>
          <cell r="F9">
            <v>0</v>
          </cell>
          <cell r="G9">
            <v>0</v>
          </cell>
          <cell r="H9">
            <v>0</v>
          </cell>
          <cell r="I9">
            <v>0</v>
          </cell>
        </row>
        <row r="10">
          <cell r="D10">
            <v>0</v>
          </cell>
          <cell r="F10">
            <v>0</v>
          </cell>
          <cell r="G10">
            <v>0</v>
          </cell>
          <cell r="H10">
            <v>0</v>
          </cell>
        </row>
        <row r="11">
          <cell r="B11" t="str">
            <v>ТЭС-1</v>
          </cell>
          <cell r="D11">
            <v>0</v>
          </cell>
          <cell r="F11">
            <v>0</v>
          </cell>
          <cell r="G11">
            <v>0</v>
          </cell>
          <cell r="H11">
            <v>0</v>
          </cell>
          <cell r="I11">
            <v>0</v>
          </cell>
        </row>
        <row r="12">
          <cell r="B12" t="str">
            <v>ТЭС-2</v>
          </cell>
          <cell r="F12">
            <v>0</v>
          </cell>
          <cell r="G12">
            <v>0</v>
          </cell>
          <cell r="H12">
            <v>0</v>
          </cell>
          <cell r="I12">
            <v>0</v>
          </cell>
        </row>
        <row r="13">
          <cell r="D13">
            <v>0</v>
          </cell>
          <cell r="F13">
            <v>0</v>
          </cell>
          <cell r="G13">
            <v>0</v>
          </cell>
          <cell r="H13">
            <v>0</v>
          </cell>
          <cell r="I13">
            <v>0</v>
          </cell>
        </row>
        <row r="14">
          <cell r="D14">
            <v>0</v>
          </cell>
          <cell r="F14">
            <v>0</v>
          </cell>
          <cell r="G14">
            <v>0</v>
          </cell>
          <cell r="H14">
            <v>0</v>
          </cell>
        </row>
        <row r="15">
          <cell r="D15">
            <v>0</v>
          </cell>
          <cell r="F15">
            <v>0</v>
          </cell>
          <cell r="G15">
            <v>0</v>
          </cell>
          <cell r="H15">
            <v>0</v>
          </cell>
        </row>
        <row r="16">
          <cell r="B16" t="str">
            <v>ГЭС-1</v>
          </cell>
          <cell r="D16">
            <v>0</v>
          </cell>
          <cell r="F16">
            <v>0</v>
          </cell>
          <cell r="G16">
            <v>0</v>
          </cell>
          <cell r="H16">
            <v>0</v>
          </cell>
          <cell r="I16">
            <v>0</v>
          </cell>
        </row>
        <row r="17">
          <cell r="B17" t="str">
            <v>ГЭС-2</v>
          </cell>
          <cell r="F17">
            <v>0</v>
          </cell>
          <cell r="I17">
            <v>0</v>
          </cell>
        </row>
        <row r="18">
          <cell r="D18">
            <v>0</v>
          </cell>
          <cell r="F18">
            <v>0</v>
          </cell>
          <cell r="G18">
            <v>0</v>
          </cell>
          <cell r="H18">
            <v>0</v>
          </cell>
          <cell r="I18">
            <v>0</v>
          </cell>
        </row>
        <row r="19">
          <cell r="D19">
            <v>0</v>
          </cell>
        </row>
        <row r="20">
          <cell r="D20">
            <v>0</v>
          </cell>
          <cell r="E20">
            <v>0</v>
          </cell>
          <cell r="F20">
            <v>0</v>
          </cell>
          <cell r="G20">
            <v>0</v>
          </cell>
          <cell r="H20">
            <v>0</v>
          </cell>
          <cell r="I20">
            <v>0</v>
          </cell>
        </row>
        <row r="22">
          <cell r="B22" t="str">
            <v>Котельная - 1</v>
          </cell>
          <cell r="D22">
            <v>0</v>
          </cell>
          <cell r="E22">
            <v>0</v>
          </cell>
          <cell r="F22">
            <v>0</v>
          </cell>
          <cell r="I22">
            <v>0</v>
          </cell>
        </row>
        <row r="23">
          <cell r="B23" t="str">
            <v>Котельная - 2</v>
          </cell>
          <cell r="D23">
            <v>0</v>
          </cell>
          <cell r="E23">
            <v>0</v>
          </cell>
          <cell r="F23">
            <v>0</v>
          </cell>
          <cell r="I23">
            <v>0</v>
          </cell>
        </row>
        <row r="24">
          <cell r="B24" t="str">
            <v>Котельная - 2</v>
          </cell>
          <cell r="D24">
            <v>0</v>
          </cell>
          <cell r="E24">
            <v>0</v>
          </cell>
          <cell r="F24">
            <v>0</v>
          </cell>
          <cell r="G24">
            <v>0</v>
          </cell>
          <cell r="H24">
            <v>0</v>
          </cell>
          <cell r="I24">
            <v>0</v>
          </cell>
        </row>
        <row r="26">
          <cell r="D26">
            <v>0</v>
          </cell>
          <cell r="E26">
            <v>0</v>
          </cell>
          <cell r="F26">
            <v>0</v>
          </cell>
          <cell r="G26">
            <v>0</v>
          </cell>
          <cell r="H26">
            <v>0</v>
          </cell>
          <cell r="I26">
            <v>0</v>
          </cell>
        </row>
        <row r="27">
          <cell r="D27">
            <v>0</v>
          </cell>
          <cell r="F27">
            <v>0</v>
          </cell>
          <cell r="G27">
            <v>0</v>
          </cell>
          <cell r="H27">
            <v>0</v>
          </cell>
          <cell r="I27">
            <v>0</v>
          </cell>
        </row>
        <row r="28">
          <cell r="B28" t="str">
            <v>Электробойлерная - 1</v>
          </cell>
          <cell r="F28">
            <v>0</v>
          </cell>
          <cell r="G28">
            <v>0</v>
          </cell>
          <cell r="H28">
            <v>0</v>
          </cell>
          <cell r="I28">
            <v>0</v>
          </cell>
        </row>
        <row r="29">
          <cell r="B29" t="str">
            <v>Электробойлерная - 2</v>
          </cell>
          <cell r="D29">
            <v>0</v>
          </cell>
          <cell r="F29">
            <v>0</v>
          </cell>
          <cell r="G29">
            <v>0</v>
          </cell>
          <cell r="H29">
            <v>0</v>
          </cell>
          <cell r="I29">
            <v>0</v>
          </cell>
        </row>
        <row r="30">
          <cell r="D30">
            <v>0</v>
          </cell>
          <cell r="F30">
            <v>0</v>
          </cell>
          <cell r="I30">
            <v>0</v>
          </cell>
        </row>
        <row r="31">
          <cell r="D31">
            <v>0</v>
          </cell>
          <cell r="F31">
            <v>0</v>
          </cell>
          <cell r="G31">
            <v>0</v>
          </cell>
        </row>
        <row r="32">
          <cell r="D32">
            <v>0</v>
          </cell>
          <cell r="F32">
            <v>0</v>
          </cell>
        </row>
        <row r="34">
          <cell r="D34">
            <v>0</v>
          </cell>
          <cell r="E34">
            <v>0</v>
          </cell>
          <cell r="F34">
            <v>0</v>
          </cell>
          <cell r="G34">
            <v>0</v>
          </cell>
          <cell r="H34">
            <v>0</v>
          </cell>
          <cell r="I34">
            <v>0</v>
          </cell>
        </row>
        <row r="35">
          <cell r="D35">
            <v>0</v>
          </cell>
          <cell r="E35">
            <v>0</v>
          </cell>
          <cell r="F35">
            <v>0</v>
          </cell>
          <cell r="G35">
            <v>0</v>
          </cell>
          <cell r="H35">
            <v>0</v>
          </cell>
          <cell r="I35">
            <v>0</v>
          </cell>
        </row>
        <row r="36">
          <cell r="D36">
            <v>0</v>
          </cell>
        </row>
        <row r="37">
          <cell r="B37" t="str">
            <v>ТЭС-1</v>
          </cell>
          <cell r="F37">
            <v>0</v>
          </cell>
          <cell r="I37">
            <v>0</v>
          </cell>
        </row>
        <row r="38">
          <cell r="B38" t="str">
            <v>ТЭС-2</v>
          </cell>
          <cell r="D38">
            <v>0</v>
          </cell>
          <cell r="F38">
            <v>0</v>
          </cell>
          <cell r="G38">
            <v>0</v>
          </cell>
          <cell r="H38">
            <v>0</v>
          </cell>
          <cell r="I38">
            <v>0</v>
          </cell>
        </row>
        <row r="39">
          <cell r="F39">
            <v>0</v>
          </cell>
          <cell r="I39">
            <v>0</v>
          </cell>
        </row>
        <row r="42">
          <cell r="B42" t="str">
            <v>ГЭС-1</v>
          </cell>
          <cell r="F42">
            <v>0</v>
          </cell>
          <cell r="I42">
            <v>0</v>
          </cell>
        </row>
        <row r="43">
          <cell r="B43" t="str">
            <v>ГЭС-2</v>
          </cell>
          <cell r="F43">
            <v>0</v>
          </cell>
          <cell r="I43">
            <v>0</v>
          </cell>
        </row>
        <row r="44">
          <cell r="F44">
            <v>0</v>
          </cell>
          <cell r="I44">
            <v>0</v>
          </cell>
        </row>
        <row r="46">
          <cell r="D46">
            <v>0</v>
          </cell>
          <cell r="E46">
            <v>0</v>
          </cell>
          <cell r="F46">
            <v>0</v>
          </cell>
          <cell r="G46">
            <v>0</v>
          </cell>
          <cell r="H46">
            <v>0</v>
          </cell>
          <cell r="I46">
            <v>0</v>
          </cell>
        </row>
        <row r="48">
          <cell r="B48" t="str">
            <v>Котельная - 1</v>
          </cell>
          <cell r="F48">
            <v>0</v>
          </cell>
          <cell r="I48">
            <v>0</v>
          </cell>
        </row>
        <row r="49">
          <cell r="B49" t="str">
            <v>Котельная - 2</v>
          </cell>
          <cell r="F49">
            <v>0</v>
          </cell>
          <cell r="I49">
            <v>0</v>
          </cell>
        </row>
        <row r="50">
          <cell r="F50">
            <v>0</v>
          </cell>
          <cell r="I50">
            <v>0</v>
          </cell>
        </row>
        <row r="52">
          <cell r="D52">
            <v>0</v>
          </cell>
          <cell r="E52">
            <v>0</v>
          </cell>
          <cell r="F52">
            <v>0</v>
          </cell>
          <cell r="G52">
            <v>0</v>
          </cell>
          <cell r="H52">
            <v>0</v>
          </cell>
          <cell r="I52">
            <v>0</v>
          </cell>
        </row>
        <row r="54">
          <cell r="B54" t="str">
            <v>Электробойлерная - 1</v>
          </cell>
          <cell r="F54">
            <v>0</v>
          </cell>
          <cell r="I54">
            <v>0</v>
          </cell>
        </row>
        <row r="55">
          <cell r="B55" t="str">
            <v>Электробойлерная - 2</v>
          </cell>
          <cell r="F55">
            <v>0</v>
          </cell>
          <cell r="I55">
            <v>0</v>
          </cell>
        </row>
        <row r="56">
          <cell r="F56">
            <v>0</v>
          </cell>
          <cell r="I56">
            <v>0</v>
          </cell>
        </row>
        <row r="60">
          <cell r="D60">
            <v>0</v>
          </cell>
          <cell r="E60">
            <v>0</v>
          </cell>
          <cell r="F60">
            <v>0</v>
          </cell>
          <cell r="G60">
            <v>0</v>
          </cell>
          <cell r="H60">
            <v>0</v>
          </cell>
          <cell r="I60">
            <v>0</v>
          </cell>
        </row>
        <row r="61">
          <cell r="D61">
            <v>0</v>
          </cell>
          <cell r="E61">
            <v>0</v>
          </cell>
          <cell r="F61">
            <v>0</v>
          </cell>
          <cell r="G61">
            <v>0</v>
          </cell>
          <cell r="H61">
            <v>0</v>
          </cell>
          <cell r="I61">
            <v>0</v>
          </cell>
        </row>
        <row r="63">
          <cell r="B63" t="str">
            <v>ТЭС-1</v>
          </cell>
          <cell r="D63">
            <v>0</v>
          </cell>
          <cell r="E63">
            <v>0</v>
          </cell>
          <cell r="F63">
            <v>0</v>
          </cell>
          <cell r="G63">
            <v>0</v>
          </cell>
          <cell r="H63">
            <v>0</v>
          </cell>
          <cell r="I63">
            <v>0</v>
          </cell>
        </row>
        <row r="64">
          <cell r="B64" t="str">
            <v>ТЭС-2</v>
          </cell>
          <cell r="D64">
            <v>0</v>
          </cell>
          <cell r="E64">
            <v>0</v>
          </cell>
          <cell r="F64">
            <v>0</v>
          </cell>
          <cell r="G64">
            <v>0</v>
          </cell>
          <cell r="H64">
            <v>0</v>
          </cell>
          <cell r="I64">
            <v>0</v>
          </cell>
        </row>
        <row r="65">
          <cell r="D65">
            <v>0</v>
          </cell>
          <cell r="E65">
            <v>0</v>
          </cell>
          <cell r="F65">
            <v>0</v>
          </cell>
          <cell r="G65">
            <v>0</v>
          </cell>
          <cell r="H65">
            <v>0</v>
          </cell>
          <cell r="I65">
            <v>0</v>
          </cell>
        </row>
        <row r="68">
          <cell r="B68" t="str">
            <v>ГЭС-1</v>
          </cell>
          <cell r="D68">
            <v>0</v>
          </cell>
          <cell r="E68">
            <v>0</v>
          </cell>
          <cell r="F68">
            <v>0</v>
          </cell>
          <cell r="G68">
            <v>0</v>
          </cell>
          <cell r="H68">
            <v>0</v>
          </cell>
          <cell r="I68">
            <v>0</v>
          </cell>
        </row>
        <row r="69">
          <cell r="B69" t="str">
            <v>ГЭС-2</v>
          </cell>
          <cell r="D69">
            <v>0</v>
          </cell>
          <cell r="E69">
            <v>0</v>
          </cell>
          <cell r="F69">
            <v>0</v>
          </cell>
          <cell r="G69">
            <v>0</v>
          </cell>
          <cell r="H69">
            <v>0</v>
          </cell>
          <cell r="I69">
            <v>0</v>
          </cell>
        </row>
        <row r="70">
          <cell r="D70">
            <v>0</v>
          </cell>
          <cell r="E70">
            <v>0</v>
          </cell>
          <cell r="F70">
            <v>0</v>
          </cell>
          <cell r="G70">
            <v>0</v>
          </cell>
          <cell r="H70">
            <v>0</v>
          </cell>
          <cell r="I70">
            <v>0</v>
          </cell>
        </row>
        <row r="72">
          <cell r="D72">
            <v>0</v>
          </cell>
          <cell r="E72">
            <v>0</v>
          </cell>
          <cell r="F72">
            <v>0</v>
          </cell>
          <cell r="G72">
            <v>0</v>
          </cell>
          <cell r="H72">
            <v>0</v>
          </cell>
          <cell r="I72">
            <v>0</v>
          </cell>
        </row>
        <row r="74">
          <cell r="B74" t="str">
            <v>Котельная - 1</v>
          </cell>
          <cell r="D74">
            <v>0</v>
          </cell>
          <cell r="E74">
            <v>0</v>
          </cell>
          <cell r="F74">
            <v>0</v>
          </cell>
          <cell r="G74">
            <v>0</v>
          </cell>
          <cell r="H74">
            <v>0</v>
          </cell>
          <cell r="I74">
            <v>0</v>
          </cell>
        </row>
        <row r="75">
          <cell r="B75" t="str">
            <v>Котельная - 2</v>
          </cell>
          <cell r="D75">
            <v>0</v>
          </cell>
          <cell r="E75">
            <v>0</v>
          </cell>
          <cell r="F75">
            <v>0</v>
          </cell>
          <cell r="G75">
            <v>0</v>
          </cell>
          <cell r="H75">
            <v>0</v>
          </cell>
          <cell r="I75">
            <v>0</v>
          </cell>
        </row>
        <row r="76">
          <cell r="D76">
            <v>0</v>
          </cell>
          <cell r="E76">
            <v>0</v>
          </cell>
          <cell r="F76">
            <v>0</v>
          </cell>
          <cell r="G76">
            <v>0</v>
          </cell>
          <cell r="H76">
            <v>0</v>
          </cell>
          <cell r="I76">
            <v>0</v>
          </cell>
        </row>
        <row r="78">
          <cell r="D78">
            <v>0</v>
          </cell>
          <cell r="E78">
            <v>0</v>
          </cell>
          <cell r="F78">
            <v>0</v>
          </cell>
          <cell r="G78">
            <v>0</v>
          </cell>
          <cell r="H78">
            <v>0</v>
          </cell>
          <cell r="I78">
            <v>0</v>
          </cell>
        </row>
        <row r="80">
          <cell r="B80" t="str">
            <v>Электробойлерная - 1</v>
          </cell>
          <cell r="D80">
            <v>0</v>
          </cell>
          <cell r="E80">
            <v>0</v>
          </cell>
          <cell r="F80">
            <v>0</v>
          </cell>
          <cell r="G80">
            <v>0</v>
          </cell>
          <cell r="H80">
            <v>0</v>
          </cell>
          <cell r="I80">
            <v>0</v>
          </cell>
        </row>
        <row r="81">
          <cell r="B81" t="str">
            <v>Электробойлерная - 2</v>
          </cell>
          <cell r="D81">
            <v>0</v>
          </cell>
          <cell r="E81">
            <v>0</v>
          </cell>
          <cell r="F81">
            <v>0</v>
          </cell>
          <cell r="G81">
            <v>0</v>
          </cell>
          <cell r="H81">
            <v>0</v>
          </cell>
          <cell r="I81">
            <v>0</v>
          </cell>
        </row>
        <row r="82">
          <cell r="D82">
            <v>0</v>
          </cell>
          <cell r="E82">
            <v>0</v>
          </cell>
          <cell r="F82">
            <v>0</v>
          </cell>
          <cell r="G82">
            <v>0</v>
          </cell>
          <cell r="H82">
            <v>0</v>
          </cell>
          <cell r="I82">
            <v>0</v>
          </cell>
        </row>
        <row r="86">
          <cell r="D86">
            <v>0</v>
          </cell>
          <cell r="E86">
            <v>0</v>
          </cell>
          <cell r="F86">
            <v>0</v>
          </cell>
          <cell r="G86">
            <v>0</v>
          </cell>
          <cell r="H86">
            <v>0</v>
          </cell>
          <cell r="I86">
            <v>0</v>
          </cell>
        </row>
        <row r="87">
          <cell r="D87">
            <v>0</v>
          </cell>
          <cell r="E87">
            <v>0</v>
          </cell>
          <cell r="F87">
            <v>0</v>
          </cell>
          <cell r="G87">
            <v>0</v>
          </cell>
          <cell r="H87">
            <v>0</v>
          </cell>
          <cell r="I87">
            <v>0</v>
          </cell>
        </row>
        <row r="89">
          <cell r="B89" t="str">
            <v>ТЭС-1</v>
          </cell>
          <cell r="F89">
            <v>0</v>
          </cell>
          <cell r="I89">
            <v>0</v>
          </cell>
        </row>
        <row r="90">
          <cell r="B90" t="str">
            <v>ТЭС-2</v>
          </cell>
          <cell r="F90">
            <v>0</v>
          </cell>
          <cell r="I90">
            <v>0</v>
          </cell>
        </row>
        <row r="91">
          <cell r="F91">
            <v>0</v>
          </cell>
          <cell r="I91">
            <v>0</v>
          </cell>
        </row>
        <row r="94">
          <cell r="B94" t="str">
            <v>ГЭС-1</v>
          </cell>
          <cell r="F94">
            <v>0</v>
          </cell>
          <cell r="I94">
            <v>0</v>
          </cell>
        </row>
        <row r="95">
          <cell r="B95" t="str">
            <v>ГЭС-2</v>
          </cell>
          <cell r="F95">
            <v>0</v>
          </cell>
          <cell r="I95">
            <v>0</v>
          </cell>
        </row>
        <row r="96">
          <cell r="F96">
            <v>0</v>
          </cell>
          <cell r="I96">
            <v>0</v>
          </cell>
        </row>
        <row r="98">
          <cell r="D98">
            <v>0</v>
          </cell>
          <cell r="E98">
            <v>0</v>
          </cell>
          <cell r="F98">
            <v>0</v>
          </cell>
          <cell r="G98">
            <v>0</v>
          </cell>
          <cell r="H98">
            <v>0</v>
          </cell>
          <cell r="I98">
            <v>0</v>
          </cell>
        </row>
        <row r="100">
          <cell r="B100" t="str">
            <v>Котельная - 1</v>
          </cell>
          <cell r="F100">
            <v>0</v>
          </cell>
          <cell r="I100">
            <v>0</v>
          </cell>
        </row>
        <row r="101">
          <cell r="B101" t="str">
            <v>Котельная - 2</v>
          </cell>
          <cell r="F101">
            <v>0</v>
          </cell>
          <cell r="I101">
            <v>0</v>
          </cell>
        </row>
        <row r="102">
          <cell r="F102">
            <v>0</v>
          </cell>
          <cell r="I102">
            <v>0</v>
          </cell>
        </row>
        <row r="104">
          <cell r="D104">
            <v>0</v>
          </cell>
          <cell r="E104">
            <v>0</v>
          </cell>
          <cell r="F104">
            <v>0</v>
          </cell>
          <cell r="G104">
            <v>0</v>
          </cell>
          <cell r="H104">
            <v>0</v>
          </cell>
          <cell r="I104">
            <v>0</v>
          </cell>
        </row>
        <row r="106">
          <cell r="B106" t="str">
            <v>Электробойлерная - 1</v>
          </cell>
          <cell r="F106">
            <v>0</v>
          </cell>
          <cell r="I106">
            <v>0</v>
          </cell>
        </row>
        <row r="107">
          <cell r="B107" t="str">
            <v>Электробойлерная - 2</v>
          </cell>
          <cell r="F107">
            <v>0</v>
          </cell>
          <cell r="I107">
            <v>0</v>
          </cell>
        </row>
        <row r="108">
          <cell r="F108">
            <v>0</v>
          </cell>
          <cell r="I108">
            <v>0</v>
          </cell>
        </row>
        <row r="112">
          <cell r="D112" t="e">
            <v>#NAME?</v>
          </cell>
          <cell r="E112" t="e">
            <v>#NAME?</v>
          </cell>
          <cell r="F112" t="e">
            <v>#NAME?</v>
          </cell>
          <cell r="G112" t="e">
            <v>#NAME?</v>
          </cell>
          <cell r="H112" t="e">
            <v>#NAME?</v>
          </cell>
          <cell r="I112" t="e">
            <v>#NAME?</v>
          </cell>
        </row>
        <row r="113">
          <cell r="D113" t="e">
            <v>#NAME?</v>
          </cell>
          <cell r="E113" t="e">
            <v>#NAME?</v>
          </cell>
          <cell r="F113" t="e">
            <v>#NAME?</v>
          </cell>
          <cell r="G113" t="e">
            <v>#NAME?</v>
          </cell>
          <cell r="H113" t="e">
            <v>#NAME?</v>
          </cell>
          <cell r="I113" t="e">
            <v>#NAME?</v>
          </cell>
        </row>
        <row r="115">
          <cell r="B115" t="str">
            <v>ТЭС-1</v>
          </cell>
          <cell r="D115" t="e">
            <v>#NAME?</v>
          </cell>
          <cell r="E115" t="e">
            <v>#NAME?</v>
          </cell>
          <cell r="F115" t="e">
            <v>#NAME?</v>
          </cell>
          <cell r="G115" t="e">
            <v>#NAME?</v>
          </cell>
          <cell r="H115" t="e">
            <v>#NAME?</v>
          </cell>
          <cell r="I115" t="e">
            <v>#NAME?</v>
          </cell>
        </row>
        <row r="116">
          <cell r="B116" t="str">
            <v>ТЭС-2</v>
          </cell>
          <cell r="D116" t="e">
            <v>#NAME?</v>
          </cell>
          <cell r="E116" t="e">
            <v>#NAME?</v>
          </cell>
          <cell r="F116" t="e">
            <v>#NAME?</v>
          </cell>
          <cell r="G116" t="e">
            <v>#NAME?</v>
          </cell>
          <cell r="H116" t="e">
            <v>#NAME?</v>
          </cell>
          <cell r="I116" t="e">
            <v>#NAME?</v>
          </cell>
        </row>
        <row r="117">
          <cell r="D117" t="e">
            <v>#NAME?</v>
          </cell>
          <cell r="E117" t="e">
            <v>#NAME?</v>
          </cell>
          <cell r="F117" t="e">
            <v>#NAME?</v>
          </cell>
          <cell r="G117" t="e">
            <v>#NAME?</v>
          </cell>
          <cell r="H117" t="e">
            <v>#NAME?</v>
          </cell>
          <cell r="I117" t="e">
            <v>#NAME?</v>
          </cell>
        </row>
        <row r="120">
          <cell r="B120" t="str">
            <v>ГЭС-1</v>
          </cell>
          <cell r="D120" t="e">
            <v>#NAME?</v>
          </cell>
          <cell r="E120" t="e">
            <v>#NAME?</v>
          </cell>
          <cell r="F120" t="e">
            <v>#NAME?</v>
          </cell>
          <cell r="G120" t="e">
            <v>#NAME?</v>
          </cell>
          <cell r="H120" t="e">
            <v>#NAME?</v>
          </cell>
          <cell r="I120" t="e">
            <v>#NAME?</v>
          </cell>
        </row>
        <row r="121">
          <cell r="B121" t="str">
            <v>ГЭС-2</v>
          </cell>
          <cell r="D121" t="e">
            <v>#NAME?</v>
          </cell>
          <cell r="E121" t="e">
            <v>#NAME?</v>
          </cell>
          <cell r="F121" t="e">
            <v>#NAME?</v>
          </cell>
          <cell r="G121" t="e">
            <v>#NAME?</v>
          </cell>
          <cell r="H121" t="e">
            <v>#NAME?</v>
          </cell>
          <cell r="I121" t="e">
            <v>#NAME?</v>
          </cell>
        </row>
        <row r="122">
          <cell r="D122" t="e">
            <v>#NAME?</v>
          </cell>
          <cell r="E122" t="e">
            <v>#NAME?</v>
          </cell>
          <cell r="F122" t="e">
            <v>#NAME?</v>
          </cell>
          <cell r="G122" t="e">
            <v>#NAME?</v>
          </cell>
          <cell r="H122" t="e">
            <v>#NAME?</v>
          </cell>
          <cell r="I122" t="e">
            <v>#NAME?</v>
          </cell>
        </row>
        <row r="124">
          <cell r="D124" t="e">
            <v>#NAME?</v>
          </cell>
          <cell r="E124" t="e">
            <v>#NAME?</v>
          </cell>
          <cell r="F124" t="e">
            <v>#NAME?</v>
          </cell>
          <cell r="G124" t="e">
            <v>#NAME?</v>
          </cell>
          <cell r="H124" t="e">
            <v>#NAME?</v>
          </cell>
          <cell r="I124" t="e">
            <v>#NAME?</v>
          </cell>
        </row>
        <row r="126">
          <cell r="B126" t="str">
            <v>Котельная - 1</v>
          </cell>
          <cell r="D126" t="e">
            <v>#NAME?</v>
          </cell>
          <cell r="E126" t="e">
            <v>#NAME?</v>
          </cell>
          <cell r="F126" t="e">
            <v>#NAME?</v>
          </cell>
          <cell r="G126" t="e">
            <v>#NAME?</v>
          </cell>
          <cell r="H126" t="e">
            <v>#NAME?</v>
          </cell>
          <cell r="I126" t="e">
            <v>#NAME?</v>
          </cell>
        </row>
        <row r="127">
          <cell r="B127" t="str">
            <v>Котельная - 2</v>
          </cell>
          <cell r="D127" t="e">
            <v>#NAME?</v>
          </cell>
          <cell r="E127" t="e">
            <v>#NAME?</v>
          </cell>
          <cell r="F127" t="e">
            <v>#NAME?</v>
          </cell>
          <cell r="G127" t="e">
            <v>#NAME?</v>
          </cell>
          <cell r="H127" t="e">
            <v>#NAME?</v>
          </cell>
          <cell r="I127" t="e">
            <v>#NAME?</v>
          </cell>
        </row>
        <row r="128">
          <cell r="D128" t="e">
            <v>#NAME?</v>
          </cell>
          <cell r="E128" t="e">
            <v>#NAME?</v>
          </cell>
          <cell r="F128" t="e">
            <v>#NAME?</v>
          </cell>
          <cell r="G128" t="e">
            <v>#NAME?</v>
          </cell>
          <cell r="H128" t="e">
            <v>#NAME?</v>
          </cell>
          <cell r="I128" t="e">
            <v>#NAME?</v>
          </cell>
        </row>
        <row r="130">
          <cell r="D130" t="e">
            <v>#NAME?</v>
          </cell>
          <cell r="E130" t="e">
            <v>#NAME?</v>
          </cell>
          <cell r="F130" t="e">
            <v>#NAME?</v>
          </cell>
          <cell r="G130" t="e">
            <v>#NAME?</v>
          </cell>
          <cell r="H130" t="e">
            <v>#NAME?</v>
          </cell>
          <cell r="I130" t="e">
            <v>#NAME?</v>
          </cell>
        </row>
        <row r="132">
          <cell r="B132" t="str">
            <v>Электробойлерная - 1</v>
          </cell>
          <cell r="D132" t="e">
            <v>#NAME?</v>
          </cell>
          <cell r="E132" t="e">
            <v>#NAME?</v>
          </cell>
          <cell r="F132" t="e">
            <v>#NAME?</v>
          </cell>
          <cell r="G132" t="e">
            <v>#NAME?</v>
          </cell>
          <cell r="H132" t="e">
            <v>#NAME?</v>
          </cell>
          <cell r="I132" t="e">
            <v>#NAME?</v>
          </cell>
        </row>
        <row r="133">
          <cell r="B133" t="str">
            <v>Электробойлерная - 2</v>
          </cell>
          <cell r="D133" t="e">
            <v>#NAME?</v>
          </cell>
          <cell r="E133" t="e">
            <v>#NAME?</v>
          </cell>
          <cell r="F133" t="e">
            <v>#NAME?</v>
          </cell>
          <cell r="G133" t="e">
            <v>#NAME?</v>
          </cell>
          <cell r="H133" t="e">
            <v>#NAME?</v>
          </cell>
          <cell r="I133" t="e">
            <v>#NAME?</v>
          </cell>
        </row>
        <row r="134">
          <cell r="D134" t="e">
            <v>#NAME?</v>
          </cell>
          <cell r="E134" t="e">
            <v>#NAME?</v>
          </cell>
          <cell r="F134" t="e">
            <v>#NAME?</v>
          </cell>
          <cell r="G134" t="e">
            <v>#NAME?</v>
          </cell>
          <cell r="H134" t="e">
            <v>#NAME?</v>
          </cell>
          <cell r="I134" t="e">
            <v>#NAME?</v>
          </cell>
        </row>
        <row r="138">
          <cell r="D138">
            <v>0</v>
          </cell>
          <cell r="E138">
            <v>0</v>
          </cell>
          <cell r="F138">
            <v>0</v>
          </cell>
          <cell r="G138">
            <v>0</v>
          </cell>
          <cell r="H138">
            <v>0</v>
          </cell>
          <cell r="I138">
            <v>0</v>
          </cell>
        </row>
        <row r="139">
          <cell r="D139">
            <v>0</v>
          </cell>
          <cell r="E139">
            <v>0</v>
          </cell>
          <cell r="F139">
            <v>0</v>
          </cell>
          <cell r="G139">
            <v>0</v>
          </cell>
          <cell r="H139">
            <v>0</v>
          </cell>
          <cell r="I139">
            <v>0</v>
          </cell>
        </row>
        <row r="141">
          <cell r="B141" t="str">
            <v>ТЭС-1</v>
          </cell>
          <cell r="D141">
            <v>0</v>
          </cell>
          <cell r="E141">
            <v>0</v>
          </cell>
          <cell r="F141">
            <v>0</v>
          </cell>
          <cell r="G141">
            <v>0</v>
          </cell>
          <cell r="H141">
            <v>0</v>
          </cell>
          <cell r="I141">
            <v>0</v>
          </cell>
        </row>
        <row r="142">
          <cell r="B142" t="str">
            <v>ТЭС-2</v>
          </cell>
          <cell r="D142">
            <v>0</v>
          </cell>
          <cell r="E142">
            <v>0</v>
          </cell>
          <cell r="F142">
            <v>0</v>
          </cell>
          <cell r="G142">
            <v>0</v>
          </cell>
          <cell r="H142">
            <v>0</v>
          </cell>
          <cell r="I142">
            <v>0</v>
          </cell>
        </row>
        <row r="143">
          <cell r="D143">
            <v>0</v>
          </cell>
          <cell r="E143">
            <v>0</v>
          </cell>
          <cell r="F143">
            <v>0</v>
          </cell>
          <cell r="G143">
            <v>0</v>
          </cell>
          <cell r="H143">
            <v>0</v>
          </cell>
          <cell r="I143">
            <v>0</v>
          </cell>
        </row>
        <row r="146">
          <cell r="B146" t="str">
            <v>ГЭС-1</v>
          </cell>
          <cell r="D146">
            <v>0</v>
          </cell>
          <cell r="E146">
            <v>0</v>
          </cell>
          <cell r="F146">
            <v>0</v>
          </cell>
          <cell r="G146">
            <v>0</v>
          </cell>
          <cell r="H146">
            <v>0</v>
          </cell>
          <cell r="I146">
            <v>0</v>
          </cell>
        </row>
        <row r="147">
          <cell r="B147" t="str">
            <v>ГЭС-2</v>
          </cell>
          <cell r="D147">
            <v>0</v>
          </cell>
          <cell r="E147">
            <v>0</v>
          </cell>
          <cell r="F147">
            <v>0</v>
          </cell>
          <cell r="G147">
            <v>0</v>
          </cell>
          <cell r="H147">
            <v>0</v>
          </cell>
          <cell r="I147">
            <v>0</v>
          </cell>
        </row>
        <row r="148">
          <cell r="D148">
            <v>0</v>
          </cell>
          <cell r="E148">
            <v>0</v>
          </cell>
          <cell r="F148">
            <v>0</v>
          </cell>
          <cell r="G148">
            <v>0</v>
          </cell>
          <cell r="H148">
            <v>0</v>
          </cell>
          <cell r="I148">
            <v>0</v>
          </cell>
        </row>
        <row r="150">
          <cell r="D150">
            <v>0</v>
          </cell>
          <cell r="E150">
            <v>0</v>
          </cell>
          <cell r="F150">
            <v>0</v>
          </cell>
          <cell r="G150">
            <v>0</v>
          </cell>
          <cell r="H150">
            <v>0</v>
          </cell>
          <cell r="I150">
            <v>0</v>
          </cell>
        </row>
        <row r="152">
          <cell r="B152" t="str">
            <v>Котельная - 1</v>
          </cell>
          <cell r="D152">
            <v>0</v>
          </cell>
          <cell r="E152">
            <v>0</v>
          </cell>
          <cell r="F152">
            <v>0</v>
          </cell>
          <cell r="G152">
            <v>0</v>
          </cell>
          <cell r="H152">
            <v>0</v>
          </cell>
          <cell r="I152">
            <v>0</v>
          </cell>
        </row>
        <row r="153">
          <cell r="B153" t="str">
            <v>Котельная - 2</v>
          </cell>
          <cell r="D153">
            <v>0</v>
          </cell>
          <cell r="E153">
            <v>0</v>
          </cell>
          <cell r="F153">
            <v>0</v>
          </cell>
          <cell r="G153">
            <v>0</v>
          </cell>
          <cell r="H153">
            <v>0</v>
          </cell>
          <cell r="I153">
            <v>0</v>
          </cell>
        </row>
        <row r="154">
          <cell r="D154">
            <v>0</v>
          </cell>
          <cell r="E154">
            <v>0</v>
          </cell>
          <cell r="F154">
            <v>0</v>
          </cell>
          <cell r="G154">
            <v>0</v>
          </cell>
          <cell r="H154">
            <v>0</v>
          </cell>
          <cell r="I154">
            <v>0</v>
          </cell>
        </row>
        <row r="156">
          <cell r="D156">
            <v>0</v>
          </cell>
          <cell r="E156">
            <v>0</v>
          </cell>
          <cell r="F156">
            <v>0</v>
          </cell>
          <cell r="G156">
            <v>0</v>
          </cell>
          <cell r="H156">
            <v>0</v>
          </cell>
          <cell r="I156">
            <v>0</v>
          </cell>
        </row>
        <row r="158">
          <cell r="B158" t="str">
            <v>Электробойлерная - 1</v>
          </cell>
          <cell r="D158">
            <v>0</v>
          </cell>
          <cell r="E158">
            <v>0</v>
          </cell>
          <cell r="F158">
            <v>0</v>
          </cell>
          <cell r="G158">
            <v>0</v>
          </cell>
          <cell r="H158">
            <v>0</v>
          </cell>
          <cell r="I158">
            <v>0</v>
          </cell>
        </row>
        <row r="159">
          <cell r="B159" t="str">
            <v>Электробойлерная - 2</v>
          </cell>
          <cell r="D159">
            <v>0</v>
          </cell>
          <cell r="E159">
            <v>0</v>
          </cell>
          <cell r="F159">
            <v>0</v>
          </cell>
          <cell r="G159">
            <v>0</v>
          </cell>
          <cell r="H159">
            <v>0</v>
          </cell>
          <cell r="I159">
            <v>0</v>
          </cell>
        </row>
        <row r="160">
          <cell r="D160">
            <v>0</v>
          </cell>
          <cell r="E160">
            <v>0</v>
          </cell>
          <cell r="F160">
            <v>0</v>
          </cell>
          <cell r="G160">
            <v>0</v>
          </cell>
          <cell r="H160">
            <v>0</v>
          </cell>
          <cell r="I160">
            <v>0</v>
          </cell>
        </row>
        <row r="164">
          <cell r="D164">
            <v>0</v>
          </cell>
          <cell r="E164">
            <v>0</v>
          </cell>
          <cell r="G164">
            <v>0</v>
          </cell>
          <cell r="H164">
            <v>0</v>
          </cell>
        </row>
        <row r="165">
          <cell r="D165">
            <v>0</v>
          </cell>
          <cell r="E165">
            <v>0</v>
          </cell>
          <cell r="G165">
            <v>0</v>
          </cell>
          <cell r="H165">
            <v>0</v>
          </cell>
        </row>
        <row r="167">
          <cell r="B167" t="str">
            <v>ТЭС-1</v>
          </cell>
        </row>
        <row r="168">
          <cell r="B168" t="str">
            <v>ТЭС-2</v>
          </cell>
        </row>
        <row r="172">
          <cell r="B172" t="str">
            <v>ГЭС-1</v>
          </cell>
        </row>
        <row r="173">
          <cell r="B173" t="str">
            <v>ГЭС-2</v>
          </cell>
        </row>
        <row r="176">
          <cell r="D176">
            <v>0</v>
          </cell>
          <cell r="E176">
            <v>0</v>
          </cell>
          <cell r="G176">
            <v>0</v>
          </cell>
          <cell r="H176">
            <v>0</v>
          </cell>
        </row>
        <row r="178">
          <cell r="B178" t="str">
            <v>Котельная - 1</v>
          </cell>
        </row>
        <row r="179">
          <cell r="B179" t="str">
            <v>Котельная - 2</v>
          </cell>
        </row>
        <row r="182">
          <cell r="D182">
            <v>0</v>
          </cell>
          <cell r="E182">
            <v>0</v>
          </cell>
          <cell r="G182">
            <v>0</v>
          </cell>
          <cell r="H182">
            <v>0</v>
          </cell>
        </row>
        <row r="184">
          <cell r="B184" t="str">
            <v>Электробойлерная - 1</v>
          </cell>
        </row>
        <row r="185">
          <cell r="B185" t="str">
            <v>Электробойлерная - 2</v>
          </cell>
        </row>
        <row r="190">
          <cell r="D190">
            <v>0</v>
          </cell>
          <cell r="E190">
            <v>0</v>
          </cell>
          <cell r="G190">
            <v>0</v>
          </cell>
          <cell r="H190">
            <v>0</v>
          </cell>
        </row>
        <row r="191">
          <cell r="D191">
            <v>0</v>
          </cell>
          <cell r="E191">
            <v>0</v>
          </cell>
          <cell r="G191">
            <v>0</v>
          </cell>
          <cell r="H191">
            <v>0</v>
          </cell>
        </row>
        <row r="193">
          <cell r="B193" t="str">
            <v>ТЭС-1</v>
          </cell>
        </row>
        <row r="194">
          <cell r="B194" t="str">
            <v>ТЭС-2</v>
          </cell>
        </row>
        <row r="198">
          <cell r="B198" t="str">
            <v>ГЭС-1</v>
          </cell>
        </row>
        <row r="199">
          <cell r="B199" t="str">
            <v>ГЭС-2</v>
          </cell>
        </row>
        <row r="202">
          <cell r="D202">
            <v>0</v>
          </cell>
          <cell r="E202">
            <v>0</v>
          </cell>
          <cell r="G202">
            <v>0</v>
          </cell>
          <cell r="H202">
            <v>0</v>
          </cell>
        </row>
        <row r="204">
          <cell r="B204" t="str">
            <v>Котельная - 1</v>
          </cell>
        </row>
        <row r="205">
          <cell r="B205" t="str">
            <v>Котельная - 2</v>
          </cell>
        </row>
        <row r="208">
          <cell r="D208">
            <v>0</v>
          </cell>
          <cell r="E208">
            <v>0</v>
          </cell>
          <cell r="G208">
            <v>0</v>
          </cell>
          <cell r="H208">
            <v>0</v>
          </cell>
        </row>
        <row r="210">
          <cell r="B210" t="str">
            <v>Электробойлерная - 1</v>
          </cell>
        </row>
        <row r="211">
          <cell r="B211" t="str">
            <v>Электробойлерная - 2</v>
          </cell>
        </row>
        <row r="216">
          <cell r="D216" t="e">
            <v>#NAME?</v>
          </cell>
          <cell r="E216" t="e">
            <v>#NAME?</v>
          </cell>
          <cell r="G216" t="e">
            <v>#NAME?</v>
          </cell>
          <cell r="H216" t="e">
            <v>#NAME?</v>
          </cell>
        </row>
        <row r="217">
          <cell r="D217" t="e">
            <v>#NAME?</v>
          </cell>
          <cell r="E217" t="e">
            <v>#NAME?</v>
          </cell>
          <cell r="G217" t="e">
            <v>#NAME?</v>
          </cell>
          <cell r="H217" t="e">
            <v>#NAME?</v>
          </cell>
        </row>
        <row r="219">
          <cell r="B219" t="str">
            <v>ТЭС-1</v>
          </cell>
          <cell r="D219" t="e">
            <v>#NAME?</v>
          </cell>
          <cell r="E219" t="e">
            <v>#NAME?</v>
          </cell>
          <cell r="G219" t="e">
            <v>#NAME?</v>
          </cell>
          <cell r="H219" t="e">
            <v>#NAME?</v>
          </cell>
        </row>
        <row r="220">
          <cell r="B220" t="str">
            <v>ТЭС-2</v>
          </cell>
          <cell r="D220" t="e">
            <v>#NAME?</v>
          </cell>
          <cell r="E220" t="e">
            <v>#NAME?</v>
          </cell>
          <cell r="G220" t="e">
            <v>#NAME?</v>
          </cell>
          <cell r="H220" t="e">
            <v>#NAME?</v>
          </cell>
        </row>
        <row r="221">
          <cell r="D221" t="e">
            <v>#NAME?</v>
          </cell>
          <cell r="E221" t="e">
            <v>#NAME?</v>
          </cell>
          <cell r="G221" t="e">
            <v>#NAME?</v>
          </cell>
          <cell r="H221" t="e">
            <v>#NAME?</v>
          </cell>
        </row>
        <row r="224">
          <cell r="B224" t="str">
            <v>ГЭС-1</v>
          </cell>
          <cell r="D224" t="e">
            <v>#NAME?</v>
          </cell>
          <cell r="E224" t="e">
            <v>#NAME?</v>
          </cell>
          <cell r="G224" t="e">
            <v>#NAME?</v>
          </cell>
          <cell r="H224" t="e">
            <v>#NAME?</v>
          </cell>
        </row>
        <row r="225">
          <cell r="B225" t="str">
            <v>ГЭС-2</v>
          </cell>
          <cell r="D225" t="e">
            <v>#NAME?</v>
          </cell>
          <cell r="E225" t="e">
            <v>#NAME?</v>
          </cell>
          <cell r="G225" t="e">
            <v>#NAME?</v>
          </cell>
          <cell r="H225" t="e">
            <v>#NAME?</v>
          </cell>
        </row>
        <row r="226">
          <cell r="D226" t="e">
            <v>#NAME?</v>
          </cell>
          <cell r="E226" t="e">
            <v>#NAME?</v>
          </cell>
          <cell r="G226" t="e">
            <v>#NAME?</v>
          </cell>
          <cell r="H226" t="e">
            <v>#NAME?</v>
          </cell>
        </row>
        <row r="228">
          <cell r="D228" t="e">
            <v>#NAME?</v>
          </cell>
          <cell r="E228" t="e">
            <v>#NAME?</v>
          </cell>
          <cell r="G228" t="e">
            <v>#NAME?</v>
          </cell>
          <cell r="H228" t="e">
            <v>#NAME?</v>
          </cell>
        </row>
        <row r="230">
          <cell r="B230" t="str">
            <v>Котельная - 1</v>
          </cell>
          <cell r="D230" t="e">
            <v>#NAME?</v>
          </cell>
          <cell r="E230" t="e">
            <v>#NAME?</v>
          </cell>
          <cell r="G230" t="e">
            <v>#NAME?</v>
          </cell>
          <cell r="H230" t="e">
            <v>#NAME?</v>
          </cell>
        </row>
        <row r="231">
          <cell r="B231" t="str">
            <v>Котельная - 2</v>
          </cell>
          <cell r="D231" t="e">
            <v>#NAME?</v>
          </cell>
          <cell r="E231" t="e">
            <v>#NAME?</v>
          </cell>
          <cell r="G231" t="e">
            <v>#NAME?</v>
          </cell>
          <cell r="H231" t="e">
            <v>#NAME?</v>
          </cell>
        </row>
        <row r="232">
          <cell r="D232" t="e">
            <v>#NAME?</v>
          </cell>
          <cell r="E232" t="e">
            <v>#NAME?</v>
          </cell>
          <cell r="G232" t="e">
            <v>#NAME?</v>
          </cell>
          <cell r="H232" t="e">
            <v>#NAME?</v>
          </cell>
        </row>
        <row r="234">
          <cell r="D234" t="e">
            <v>#NAME?</v>
          </cell>
          <cell r="E234" t="e">
            <v>#NAME?</v>
          </cell>
          <cell r="G234" t="e">
            <v>#NAME?</v>
          </cell>
          <cell r="H234" t="e">
            <v>#NAME?</v>
          </cell>
        </row>
        <row r="236">
          <cell r="B236" t="str">
            <v>Электробойлерная - 1</v>
          </cell>
          <cell r="D236" t="e">
            <v>#NAME?</v>
          </cell>
          <cell r="E236" t="e">
            <v>#NAME?</v>
          </cell>
          <cell r="G236" t="e">
            <v>#NAME?</v>
          </cell>
          <cell r="H236" t="e">
            <v>#NAME?</v>
          </cell>
        </row>
        <row r="237">
          <cell r="B237" t="str">
            <v>Электробойлерная - 2</v>
          </cell>
          <cell r="D237" t="e">
            <v>#NAME?</v>
          </cell>
          <cell r="E237" t="e">
            <v>#NAME?</v>
          </cell>
          <cell r="G237" t="e">
            <v>#NAME?</v>
          </cell>
          <cell r="H237" t="e">
            <v>#NAME?</v>
          </cell>
        </row>
        <row r="238">
          <cell r="D238" t="e">
            <v>#NAME?</v>
          </cell>
          <cell r="E238" t="e">
            <v>#NAME?</v>
          </cell>
          <cell r="G238" t="e">
            <v>#NAME?</v>
          </cell>
          <cell r="H238" t="e">
            <v>#NAME?</v>
          </cell>
        </row>
        <row r="242">
          <cell r="D242" t="e">
            <v>#NAME?</v>
          </cell>
          <cell r="G242" t="e">
            <v>#NAME?</v>
          </cell>
        </row>
        <row r="243">
          <cell r="D243" t="e">
            <v>#NAME?</v>
          </cell>
          <cell r="G243" t="e">
            <v>#NAME?</v>
          </cell>
        </row>
        <row r="245">
          <cell r="B245" t="str">
            <v>ТЭС-1</v>
          </cell>
          <cell r="D245" t="e">
            <v>#NAME?</v>
          </cell>
          <cell r="G245" t="e">
            <v>#NAME?</v>
          </cell>
        </row>
        <row r="246">
          <cell r="B246" t="str">
            <v>ТЭС-2</v>
          </cell>
          <cell r="D246" t="e">
            <v>#NAME?</v>
          </cell>
          <cell r="G246" t="e">
            <v>#NAME?</v>
          </cell>
        </row>
        <row r="247">
          <cell r="D247" t="e">
            <v>#NAME?</v>
          </cell>
          <cell r="G247" t="e">
            <v>#NAME?</v>
          </cell>
        </row>
        <row r="250">
          <cell r="B250" t="str">
            <v>ГЭС-1</v>
          </cell>
          <cell r="D250" t="e">
            <v>#NAME?</v>
          </cell>
          <cell r="G250" t="e">
            <v>#NAME?</v>
          </cell>
        </row>
        <row r="251">
          <cell r="B251" t="str">
            <v>ГЭС-2</v>
          </cell>
          <cell r="D251" t="e">
            <v>#NAME?</v>
          </cell>
          <cell r="G251" t="e">
            <v>#NAME?</v>
          </cell>
        </row>
        <row r="252">
          <cell r="D252" t="e">
            <v>#NAME?</v>
          </cell>
          <cell r="G252" t="e">
            <v>#NAME?</v>
          </cell>
        </row>
        <row r="254">
          <cell r="D254" t="e">
            <v>#NAME?</v>
          </cell>
          <cell r="G254" t="e">
            <v>#NAME?</v>
          </cell>
        </row>
        <row r="256">
          <cell r="B256" t="str">
            <v>Котельная - 1</v>
          </cell>
          <cell r="D256" t="e">
            <v>#NAME?</v>
          </cell>
          <cell r="G256" t="e">
            <v>#NAME?</v>
          </cell>
        </row>
        <row r="257">
          <cell r="B257" t="str">
            <v>Котельная - 2</v>
          </cell>
          <cell r="D257" t="e">
            <v>#NAME?</v>
          </cell>
          <cell r="G257" t="e">
            <v>#NAME?</v>
          </cell>
        </row>
        <row r="258">
          <cell r="D258" t="e">
            <v>#NAME?</v>
          </cell>
          <cell r="G258" t="e">
            <v>#NAME?</v>
          </cell>
        </row>
        <row r="260">
          <cell r="D260" t="e">
            <v>#NAME?</v>
          </cell>
          <cell r="G260" t="e">
            <v>#NAME?</v>
          </cell>
        </row>
        <row r="262">
          <cell r="B262" t="str">
            <v>Электробойлерная - 1</v>
          </cell>
          <cell r="D262" t="e">
            <v>#NAME?</v>
          </cell>
          <cell r="G262" t="e">
            <v>#NAME?</v>
          </cell>
        </row>
        <row r="263">
          <cell r="B263" t="str">
            <v>Электробойлерная - 2</v>
          </cell>
          <cell r="D263" t="e">
            <v>#NAME?</v>
          </cell>
          <cell r="G263" t="e">
            <v>#NAME?</v>
          </cell>
        </row>
        <row r="264">
          <cell r="D264" t="e">
            <v>#NAME?</v>
          </cell>
          <cell r="G264" t="e">
            <v>#NAME?</v>
          </cell>
        </row>
        <row r="268">
          <cell r="D268" t="e">
            <v>#NAME?</v>
          </cell>
          <cell r="G268" t="e">
            <v>#NAME?</v>
          </cell>
        </row>
        <row r="269">
          <cell r="D269" t="e">
            <v>#NAME?</v>
          </cell>
          <cell r="G269" t="e">
            <v>#NAME?</v>
          </cell>
        </row>
        <row r="271">
          <cell r="B271" t="str">
            <v>ТЭС-1</v>
          </cell>
          <cell r="D271" t="e">
            <v>#NAME?</v>
          </cell>
          <cell r="G271" t="e">
            <v>#NAME?</v>
          </cell>
        </row>
        <row r="272">
          <cell r="B272" t="str">
            <v>ТЭС-2</v>
          </cell>
          <cell r="D272" t="e">
            <v>#NAME?</v>
          </cell>
          <cell r="G272" t="e">
            <v>#NAME?</v>
          </cell>
        </row>
        <row r="273">
          <cell r="D273" t="e">
            <v>#NAME?</v>
          </cell>
          <cell r="G273" t="e">
            <v>#NAME?</v>
          </cell>
        </row>
        <row r="276">
          <cell r="B276" t="str">
            <v>ГЭС-1</v>
          </cell>
          <cell r="D276" t="e">
            <v>#NAME?</v>
          </cell>
          <cell r="G276" t="e">
            <v>#NAME?</v>
          </cell>
        </row>
        <row r="277">
          <cell r="B277" t="str">
            <v>ГЭС-2</v>
          </cell>
          <cell r="D277" t="e">
            <v>#NAME?</v>
          </cell>
          <cell r="G277" t="e">
            <v>#NAME?</v>
          </cell>
        </row>
        <row r="278">
          <cell r="D278" t="e">
            <v>#NAME?</v>
          </cell>
          <cell r="G278" t="e">
            <v>#NAME?</v>
          </cell>
        </row>
        <row r="280">
          <cell r="D280" t="e">
            <v>#NAME?</v>
          </cell>
          <cell r="G280" t="e">
            <v>#NAME?</v>
          </cell>
        </row>
        <row r="282">
          <cell r="B282" t="str">
            <v>Котельная - 1</v>
          </cell>
          <cell r="D282" t="e">
            <v>#NAME?</v>
          </cell>
          <cell r="G282" t="e">
            <v>#NAME?</v>
          </cell>
        </row>
        <row r="283">
          <cell r="B283" t="str">
            <v>Котельная - 2</v>
          </cell>
          <cell r="D283" t="e">
            <v>#NAME?</v>
          </cell>
          <cell r="G283" t="e">
            <v>#NAME?</v>
          </cell>
        </row>
        <row r="284">
          <cell r="D284" t="e">
            <v>#NAME?</v>
          </cell>
          <cell r="G284" t="e">
            <v>#NAME?</v>
          </cell>
        </row>
        <row r="286">
          <cell r="D286" t="e">
            <v>#NAME?</v>
          </cell>
          <cell r="G286" t="e">
            <v>#NAME?</v>
          </cell>
        </row>
        <row r="288">
          <cell r="B288" t="str">
            <v>Электробойлерная - 1</v>
          </cell>
          <cell r="D288" t="e">
            <v>#NAME?</v>
          </cell>
          <cell r="G288" t="e">
            <v>#NAME?</v>
          </cell>
        </row>
        <row r="289">
          <cell r="B289" t="str">
            <v>Электробойлерная - 2</v>
          </cell>
          <cell r="D289" t="e">
            <v>#NAME?</v>
          </cell>
          <cell r="G289" t="e">
            <v>#NAME?</v>
          </cell>
        </row>
        <row r="290">
          <cell r="D290" t="e">
            <v>#NAME?</v>
          </cell>
          <cell r="G290" t="e">
            <v>#NAME?</v>
          </cell>
        </row>
        <row r="291">
          <cell r="D291" t="e">
            <v>#NAME?</v>
          </cell>
          <cell r="G291" t="e">
            <v>#NAME?</v>
          </cell>
        </row>
      </sheetData>
      <sheetData sheetId="13" refreshError="1">
        <row r="2">
          <cell r="A2" t="str">
            <v>ТЭС-1</v>
          </cell>
        </row>
        <row r="9">
          <cell r="F9" t="str">
            <v>-</v>
          </cell>
          <cell r="G9">
            <v>0</v>
          </cell>
          <cell r="I9" t="str">
            <v>-</v>
          </cell>
          <cell r="J9">
            <v>0</v>
          </cell>
          <cell r="L9" t="str">
            <v>-</v>
          </cell>
          <cell r="M9">
            <v>0</v>
          </cell>
          <cell r="O9" t="str">
            <v>-</v>
          </cell>
          <cell r="P9">
            <v>0</v>
          </cell>
        </row>
        <row r="10">
          <cell r="F10">
            <v>0</v>
          </cell>
          <cell r="G10">
            <v>0</v>
          </cell>
          <cell r="I10">
            <v>0</v>
          </cell>
          <cell r="J10">
            <v>0</v>
          </cell>
          <cell r="L10" t="e">
            <v>#NAME?</v>
          </cell>
          <cell r="M10" t="e">
            <v>#NAME?</v>
          </cell>
        </row>
        <row r="11">
          <cell r="F11" t="str">
            <v>-</v>
          </cell>
          <cell r="G11">
            <v>0</v>
          </cell>
          <cell r="I11" t="str">
            <v>-</v>
          </cell>
          <cell r="J11">
            <v>0</v>
          </cell>
          <cell r="L11" t="str">
            <v>-</v>
          </cell>
          <cell r="M11">
            <v>0</v>
          </cell>
          <cell r="O11" t="str">
            <v>-</v>
          </cell>
          <cell r="P11">
            <v>0</v>
          </cell>
        </row>
        <row r="13">
          <cell r="F13">
            <v>0</v>
          </cell>
          <cell r="G13">
            <v>0</v>
          </cell>
          <cell r="I13">
            <v>0</v>
          </cell>
          <cell r="J13">
            <v>0</v>
          </cell>
          <cell r="L13" t="e">
            <v>#NAME?</v>
          </cell>
          <cell r="M13" t="e">
            <v>#NAME?</v>
          </cell>
        </row>
        <row r="14">
          <cell r="F14">
            <v>0</v>
          </cell>
          <cell r="G14">
            <v>0</v>
          </cell>
          <cell r="I14">
            <v>0</v>
          </cell>
          <cell r="J14">
            <v>0</v>
          </cell>
          <cell r="L14" t="e">
            <v>#NAME?</v>
          </cell>
          <cell r="M14" t="e">
            <v>#NAME?</v>
          </cell>
        </row>
        <row r="15">
          <cell r="F15">
            <v>0</v>
          </cell>
          <cell r="G15">
            <v>0</v>
          </cell>
          <cell r="I15">
            <v>0</v>
          </cell>
          <cell r="J15">
            <v>0</v>
          </cell>
          <cell r="L15" t="e">
            <v>#NAME?</v>
          </cell>
          <cell r="M15" t="e">
            <v>#NAME?</v>
          </cell>
        </row>
        <row r="16">
          <cell r="F16">
            <v>0</v>
          </cell>
          <cell r="G16">
            <v>0</v>
          </cell>
          <cell r="I16">
            <v>0</v>
          </cell>
          <cell r="J16">
            <v>0</v>
          </cell>
          <cell r="L16">
            <v>0</v>
          </cell>
          <cell r="M16">
            <v>0</v>
          </cell>
        </row>
        <row r="18">
          <cell r="F18" t="str">
            <v>-</v>
          </cell>
          <cell r="G18">
            <v>0</v>
          </cell>
          <cell r="I18" t="str">
            <v>-</v>
          </cell>
          <cell r="J18">
            <v>0</v>
          </cell>
          <cell r="L18" t="str">
            <v>-</v>
          </cell>
          <cell r="M18">
            <v>0</v>
          </cell>
          <cell r="O18" t="str">
            <v>-</v>
          </cell>
          <cell r="P18">
            <v>0</v>
          </cell>
        </row>
        <row r="19">
          <cell r="L19" t="e">
            <v>#NAME?</v>
          </cell>
          <cell r="M19" t="e">
            <v>#NAME?</v>
          </cell>
        </row>
        <row r="20">
          <cell r="F20" t="str">
            <v>-</v>
          </cell>
          <cell r="G20">
            <v>0</v>
          </cell>
          <cell r="I20" t="str">
            <v>-</v>
          </cell>
          <cell r="J20">
            <v>0</v>
          </cell>
          <cell r="L20" t="str">
            <v>-</v>
          </cell>
          <cell r="M20">
            <v>0</v>
          </cell>
          <cell r="O20" t="str">
            <v>-</v>
          </cell>
          <cell r="P20">
            <v>0</v>
          </cell>
        </row>
        <row r="22">
          <cell r="F22">
            <v>0</v>
          </cell>
          <cell r="I22">
            <v>0</v>
          </cell>
        </row>
        <row r="23">
          <cell r="F23">
            <v>0</v>
          </cell>
          <cell r="I23">
            <v>0</v>
          </cell>
        </row>
        <row r="24">
          <cell r="F24">
            <v>0</v>
          </cell>
          <cell r="G24">
            <v>0</v>
          </cell>
          <cell r="I24">
            <v>0</v>
          </cell>
          <cell r="J24">
            <v>0</v>
          </cell>
          <cell r="L24" t="e">
            <v>#NAME?</v>
          </cell>
          <cell r="M24" t="e">
            <v>#NAME?</v>
          </cell>
          <cell r="O24">
            <v>0</v>
          </cell>
        </row>
        <row r="26">
          <cell r="F26" t="str">
            <v>-</v>
          </cell>
          <cell r="G26">
            <v>0</v>
          </cell>
          <cell r="I26" t="str">
            <v>-</v>
          </cell>
          <cell r="J26">
            <v>0</v>
          </cell>
          <cell r="L26" t="str">
            <v>-</v>
          </cell>
          <cell r="M26">
            <v>0</v>
          </cell>
          <cell r="O26" t="str">
            <v>-</v>
          </cell>
          <cell r="P26">
            <v>0</v>
          </cell>
        </row>
        <row r="27">
          <cell r="F27">
            <v>0</v>
          </cell>
          <cell r="G27">
            <v>0</v>
          </cell>
          <cell r="I27">
            <v>0</v>
          </cell>
          <cell r="J27">
            <v>0</v>
          </cell>
          <cell r="L27">
            <v>0</v>
          </cell>
          <cell r="M27">
            <v>0</v>
          </cell>
          <cell r="O27">
            <v>0</v>
          </cell>
          <cell r="P27">
            <v>0</v>
          </cell>
        </row>
        <row r="28">
          <cell r="F28" t="str">
            <v>-</v>
          </cell>
          <cell r="G28">
            <v>0</v>
          </cell>
          <cell r="I28" t="str">
            <v>-</v>
          </cell>
          <cell r="J28">
            <v>0</v>
          </cell>
          <cell r="L28" t="str">
            <v>-</v>
          </cell>
          <cell r="M28">
            <v>0</v>
          </cell>
          <cell r="O28" t="str">
            <v>-</v>
          </cell>
          <cell r="P28">
            <v>0</v>
          </cell>
        </row>
        <row r="29">
          <cell r="F29">
            <v>0</v>
          </cell>
          <cell r="I29">
            <v>0</v>
          </cell>
        </row>
        <row r="30">
          <cell r="F30">
            <v>0</v>
          </cell>
          <cell r="I30">
            <v>0</v>
          </cell>
        </row>
        <row r="31">
          <cell r="G31">
            <v>0</v>
          </cell>
          <cell r="L31">
            <v>0</v>
          </cell>
          <cell r="M31" t="e">
            <v>#NAME?</v>
          </cell>
          <cell r="O31">
            <v>0</v>
          </cell>
        </row>
        <row r="32">
          <cell r="L32" t="e">
            <v>#NAME?</v>
          </cell>
          <cell r="M32" t="e">
            <v>#NAME?</v>
          </cell>
        </row>
        <row r="35">
          <cell r="F35" t="str">
            <v>-</v>
          </cell>
          <cell r="G35">
            <v>0</v>
          </cell>
          <cell r="I35" t="str">
            <v>-</v>
          </cell>
          <cell r="J35">
            <v>0</v>
          </cell>
          <cell r="L35" t="str">
            <v>-</v>
          </cell>
          <cell r="M35">
            <v>0</v>
          </cell>
          <cell r="O35" t="str">
            <v>-</v>
          </cell>
          <cell r="P35">
            <v>0</v>
          </cell>
        </row>
        <row r="37">
          <cell r="F37" t="str">
            <v>-</v>
          </cell>
          <cell r="G37">
            <v>0</v>
          </cell>
          <cell r="I37" t="str">
            <v>-</v>
          </cell>
          <cell r="J37">
            <v>0</v>
          </cell>
          <cell r="L37" t="str">
            <v>-</v>
          </cell>
          <cell r="M37">
            <v>0</v>
          </cell>
          <cell r="O37" t="str">
            <v>-</v>
          </cell>
          <cell r="P37">
            <v>0</v>
          </cell>
        </row>
        <row r="38">
          <cell r="F38">
            <v>0</v>
          </cell>
          <cell r="G38">
            <v>0</v>
          </cell>
          <cell r="I38">
            <v>0</v>
          </cell>
          <cell r="L38">
            <v>0</v>
          </cell>
          <cell r="M38">
            <v>0</v>
          </cell>
          <cell r="P38">
            <v>0</v>
          </cell>
        </row>
        <row r="44">
          <cell r="F44" t="str">
            <v>-</v>
          </cell>
          <cell r="G44">
            <v>0</v>
          </cell>
          <cell r="I44" t="str">
            <v>-</v>
          </cell>
          <cell r="J44">
            <v>0</v>
          </cell>
          <cell r="L44" t="str">
            <v>-</v>
          </cell>
          <cell r="M44">
            <v>0</v>
          </cell>
          <cell r="O44" t="str">
            <v>-</v>
          </cell>
          <cell r="P44">
            <v>0</v>
          </cell>
        </row>
        <row r="46">
          <cell r="F46" t="str">
            <v>-</v>
          </cell>
          <cell r="G46">
            <v>0</v>
          </cell>
          <cell r="I46" t="str">
            <v>-</v>
          </cell>
          <cell r="J46">
            <v>0</v>
          </cell>
          <cell r="L46" t="str">
            <v>-</v>
          </cell>
          <cell r="M46">
            <v>0</v>
          </cell>
          <cell r="O46" t="str">
            <v>-</v>
          </cell>
          <cell r="P46">
            <v>0</v>
          </cell>
        </row>
        <row r="52">
          <cell r="F52" t="str">
            <v>-</v>
          </cell>
          <cell r="G52">
            <v>0</v>
          </cell>
          <cell r="I52" t="str">
            <v>-</v>
          </cell>
          <cell r="J52">
            <v>0</v>
          </cell>
          <cell r="L52" t="str">
            <v>-</v>
          </cell>
          <cell r="M52">
            <v>0</v>
          </cell>
          <cell r="O52" t="str">
            <v>-</v>
          </cell>
          <cell r="P52">
            <v>0</v>
          </cell>
        </row>
        <row r="54">
          <cell r="F54" t="str">
            <v>-</v>
          </cell>
          <cell r="G54">
            <v>0</v>
          </cell>
          <cell r="I54" t="str">
            <v>-</v>
          </cell>
          <cell r="J54">
            <v>0</v>
          </cell>
          <cell r="L54" t="str">
            <v>-</v>
          </cell>
          <cell r="M54">
            <v>0</v>
          </cell>
          <cell r="O54" t="str">
            <v>-</v>
          </cell>
          <cell r="P54">
            <v>0</v>
          </cell>
        </row>
        <row r="60">
          <cell r="F60" t="str">
            <v>-</v>
          </cell>
          <cell r="G60">
            <v>0</v>
          </cell>
          <cell r="I60" t="str">
            <v>-</v>
          </cell>
          <cell r="J60">
            <v>0</v>
          </cell>
          <cell r="L60" t="str">
            <v>-</v>
          </cell>
          <cell r="M60">
            <v>0</v>
          </cell>
          <cell r="O60" t="str">
            <v>-</v>
          </cell>
          <cell r="P60">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ow r="8">
          <cell r="D8">
            <v>15739</v>
          </cell>
        </row>
      </sheetData>
      <sheetData sheetId="75">
        <row r="8">
          <cell r="D8">
            <v>15739</v>
          </cell>
        </row>
      </sheetData>
      <sheetData sheetId="76">
        <row r="8">
          <cell r="D8">
            <v>15739</v>
          </cell>
        </row>
      </sheetData>
      <sheetData sheetId="77">
        <row r="8">
          <cell r="D8">
            <v>15739</v>
          </cell>
        </row>
      </sheetData>
      <sheetData sheetId="78">
        <row r="8">
          <cell r="D8">
            <v>15739</v>
          </cell>
        </row>
      </sheetData>
      <sheetData sheetId="79">
        <row r="8">
          <cell r="D8">
            <v>15739</v>
          </cell>
        </row>
      </sheetData>
      <sheetData sheetId="80">
        <row r="8">
          <cell r="D8">
            <v>15739</v>
          </cell>
        </row>
      </sheetData>
      <sheetData sheetId="81">
        <row r="8">
          <cell r="D8">
            <v>15739</v>
          </cell>
        </row>
      </sheetData>
      <sheetData sheetId="82">
        <row r="8">
          <cell r="D8">
            <v>15739</v>
          </cell>
        </row>
      </sheetData>
      <sheetData sheetId="83">
        <row r="8">
          <cell r="D8">
            <v>15739</v>
          </cell>
        </row>
      </sheetData>
      <sheetData sheetId="84">
        <row r="8">
          <cell r="D8">
            <v>15739</v>
          </cell>
        </row>
      </sheetData>
      <sheetData sheetId="85">
        <row r="8">
          <cell r="D8">
            <v>15739</v>
          </cell>
        </row>
      </sheetData>
      <sheetData sheetId="86">
        <row r="8">
          <cell r="D8">
            <v>15739</v>
          </cell>
        </row>
      </sheetData>
      <sheetData sheetId="87">
        <row r="8">
          <cell r="D8">
            <v>15739</v>
          </cell>
        </row>
      </sheetData>
      <sheetData sheetId="88">
        <row r="8">
          <cell r="D8">
            <v>15739</v>
          </cell>
        </row>
      </sheetData>
      <sheetData sheetId="89">
        <row r="8">
          <cell r="D8">
            <v>15739</v>
          </cell>
        </row>
      </sheetData>
      <sheetData sheetId="90">
        <row r="8">
          <cell r="D8">
            <v>15739</v>
          </cell>
        </row>
      </sheetData>
      <sheetData sheetId="91">
        <row r="8">
          <cell r="D8">
            <v>15739</v>
          </cell>
        </row>
      </sheetData>
      <sheetData sheetId="92">
        <row r="8">
          <cell r="D8">
            <v>15739</v>
          </cell>
        </row>
      </sheetData>
      <sheetData sheetId="93">
        <row r="8">
          <cell r="D8">
            <v>15739</v>
          </cell>
        </row>
      </sheetData>
      <sheetData sheetId="94">
        <row r="8">
          <cell r="D8">
            <v>15739</v>
          </cell>
        </row>
      </sheetData>
      <sheetData sheetId="95">
        <row r="8">
          <cell r="D8">
            <v>15739</v>
          </cell>
        </row>
      </sheetData>
      <sheetData sheetId="96">
        <row r="8">
          <cell r="D8">
            <v>15739</v>
          </cell>
        </row>
      </sheetData>
      <sheetData sheetId="97">
        <row r="8">
          <cell r="D8">
            <v>15739</v>
          </cell>
        </row>
      </sheetData>
      <sheetData sheetId="98">
        <row r="8">
          <cell r="D8">
            <v>15739</v>
          </cell>
        </row>
      </sheetData>
      <sheetData sheetId="99">
        <row r="8">
          <cell r="D8">
            <v>15739</v>
          </cell>
        </row>
      </sheetData>
      <sheetData sheetId="100">
        <row r="8">
          <cell r="D8">
            <v>15739</v>
          </cell>
        </row>
      </sheetData>
      <sheetData sheetId="101">
        <row r="8">
          <cell r="D8">
            <v>15739</v>
          </cell>
        </row>
      </sheetData>
      <sheetData sheetId="102">
        <row r="8">
          <cell r="D8">
            <v>15739</v>
          </cell>
        </row>
      </sheetData>
      <sheetData sheetId="103">
        <row r="8">
          <cell r="D8">
            <v>15739</v>
          </cell>
        </row>
      </sheetData>
      <sheetData sheetId="104">
        <row r="8">
          <cell r="D8">
            <v>15739</v>
          </cell>
        </row>
      </sheetData>
      <sheetData sheetId="105">
        <row r="8">
          <cell r="D8">
            <v>15739</v>
          </cell>
        </row>
      </sheetData>
      <sheetData sheetId="106">
        <row r="8">
          <cell r="D8">
            <v>15739</v>
          </cell>
        </row>
      </sheetData>
      <sheetData sheetId="107">
        <row r="8">
          <cell r="D8">
            <v>15739</v>
          </cell>
        </row>
      </sheetData>
      <sheetData sheetId="108">
        <row r="8">
          <cell r="D8">
            <v>15739</v>
          </cell>
        </row>
      </sheetData>
      <sheetData sheetId="109">
        <row r="8">
          <cell r="D8">
            <v>15739</v>
          </cell>
        </row>
      </sheetData>
      <sheetData sheetId="110">
        <row r="8">
          <cell r="D8">
            <v>15739</v>
          </cell>
        </row>
      </sheetData>
      <sheetData sheetId="111">
        <row r="8">
          <cell r="D8">
            <v>15739</v>
          </cell>
        </row>
      </sheetData>
      <sheetData sheetId="112">
        <row r="8">
          <cell r="D8">
            <v>15739</v>
          </cell>
        </row>
      </sheetData>
      <sheetData sheetId="113">
        <row r="8">
          <cell r="D8">
            <v>15739</v>
          </cell>
        </row>
      </sheetData>
      <sheetData sheetId="114">
        <row r="8">
          <cell r="D8">
            <v>15739</v>
          </cell>
        </row>
      </sheetData>
      <sheetData sheetId="115">
        <row r="8">
          <cell r="D8">
            <v>15739</v>
          </cell>
        </row>
      </sheetData>
      <sheetData sheetId="116">
        <row r="8">
          <cell r="D8">
            <v>15739</v>
          </cell>
        </row>
      </sheetData>
      <sheetData sheetId="117">
        <row r="8">
          <cell r="D8">
            <v>15739</v>
          </cell>
        </row>
      </sheetData>
      <sheetData sheetId="118">
        <row r="8">
          <cell r="D8">
            <v>15739</v>
          </cell>
        </row>
      </sheetData>
      <sheetData sheetId="119">
        <row r="8">
          <cell r="D8">
            <v>15739</v>
          </cell>
        </row>
      </sheetData>
      <sheetData sheetId="120">
        <row r="8">
          <cell r="D8">
            <v>15739</v>
          </cell>
        </row>
      </sheetData>
      <sheetData sheetId="121">
        <row r="8">
          <cell r="D8">
            <v>15739</v>
          </cell>
        </row>
      </sheetData>
      <sheetData sheetId="122">
        <row r="8">
          <cell r="D8">
            <v>15739</v>
          </cell>
        </row>
      </sheetData>
      <sheetData sheetId="123">
        <row r="8">
          <cell r="D8">
            <v>15739</v>
          </cell>
        </row>
      </sheetData>
      <sheetData sheetId="124">
        <row r="8">
          <cell r="D8">
            <v>15739</v>
          </cell>
        </row>
      </sheetData>
      <sheetData sheetId="125">
        <row r="8">
          <cell r="D8">
            <v>15739</v>
          </cell>
        </row>
      </sheetData>
      <sheetData sheetId="126">
        <row r="8">
          <cell r="D8">
            <v>15739</v>
          </cell>
        </row>
      </sheetData>
      <sheetData sheetId="127">
        <row r="8">
          <cell r="D8">
            <v>15739</v>
          </cell>
        </row>
      </sheetData>
      <sheetData sheetId="128">
        <row r="8">
          <cell r="D8">
            <v>15739</v>
          </cell>
        </row>
      </sheetData>
      <sheetData sheetId="129">
        <row r="8">
          <cell r="D8">
            <v>15739</v>
          </cell>
        </row>
      </sheetData>
      <sheetData sheetId="130">
        <row r="8">
          <cell r="D8">
            <v>15739</v>
          </cell>
        </row>
      </sheetData>
      <sheetData sheetId="131">
        <row r="8">
          <cell r="D8">
            <v>15739</v>
          </cell>
        </row>
      </sheetData>
      <sheetData sheetId="132">
        <row r="8">
          <cell r="D8">
            <v>15739</v>
          </cell>
        </row>
      </sheetData>
      <sheetData sheetId="133" refreshError="1"/>
      <sheetData sheetId="134" refreshError="1"/>
      <sheetData sheetId="135" refreshError="1"/>
      <sheetData sheetId="136">
        <row r="15">
          <cell r="F15" t="str">
            <v>План движения потоков наличности ОАО "Ленэнерго" на 4 квартал 2012 года</v>
          </cell>
        </row>
      </sheetData>
      <sheetData sheetId="137">
        <row r="15">
          <cell r="F15" t="str">
            <v>План движения потоков наличности ОАО "Ленэнерго" на 4 квартал 2012 года</v>
          </cell>
        </row>
      </sheetData>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sheetData sheetId="257"/>
      <sheetData sheetId="258"/>
      <sheetData sheetId="259" refreshError="1"/>
      <sheetData sheetId="26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Титульный"/>
      <sheetName val="Форма 3.1"/>
      <sheetName val="Субабоненты"/>
      <sheetName val="Комментарии"/>
      <sheetName val="Проверка"/>
      <sheetName val="AllSheetsInThisWorkbook"/>
      <sheetName val="REESTR_ORG"/>
      <sheetName val="REESTR_FILTERED"/>
      <sheetName val="REESTR_MO"/>
      <sheetName val="TEHSHEET"/>
      <sheetName val="modfrmReestr"/>
      <sheetName val="modCommandButton"/>
      <sheetName val="modReestr"/>
      <sheetName val="modProv"/>
      <sheetName val="modChange"/>
    </sheetNames>
    <sheetDataSet>
      <sheetData sheetId="0">
        <row r="3">
          <cell r="G3" t="str">
            <v>Версия 1.0</v>
          </cell>
        </row>
      </sheetData>
      <sheetData sheetId="1" refreshError="1"/>
      <sheetData sheetId="2">
        <row r="8">
          <cell r="F8" t="str">
            <v>Краснодарский край</v>
          </cell>
        </row>
        <row r="16">
          <cell r="F16" t="str">
            <v>230801001</v>
          </cell>
        </row>
      </sheetData>
      <sheetData sheetId="3"/>
      <sheetData sheetId="4">
        <row r="13">
          <cell r="G13">
            <v>617.79041572078461</v>
          </cell>
        </row>
      </sheetData>
      <sheetData sheetId="5" refreshError="1"/>
      <sheetData sheetId="6" refreshError="1"/>
      <sheetData sheetId="7" refreshError="1"/>
      <sheetData sheetId="8" refreshError="1"/>
      <sheetData sheetId="9" refreshError="1"/>
      <sheetData sheetId="10">
        <row r="2">
          <cell r="D2" t="str">
            <v>Абинский муниципальный район</v>
          </cell>
        </row>
        <row r="3">
          <cell r="D3" t="str">
            <v>Апшеронский муниципальный район</v>
          </cell>
        </row>
        <row r="4">
          <cell r="D4" t="str">
            <v>Белоглинский муниципальный район</v>
          </cell>
        </row>
        <row r="5">
          <cell r="D5" t="str">
            <v>Белореченский муниципальный район</v>
          </cell>
        </row>
        <row r="6">
          <cell r="D6" t="str">
            <v>Брюховецкий муниципальный район</v>
          </cell>
        </row>
        <row r="7">
          <cell r="D7" t="str">
            <v>Выселковский муниципальный район</v>
          </cell>
        </row>
        <row r="8">
          <cell r="D8" t="str">
            <v>Город Анапа</v>
          </cell>
        </row>
        <row r="9">
          <cell r="D9" t="str">
            <v>Город Армавир</v>
          </cell>
        </row>
        <row r="10">
          <cell r="D10" t="str">
            <v>Город Горячий Ключ</v>
          </cell>
        </row>
        <row r="11">
          <cell r="D11" t="str">
            <v>Город Новороссийск</v>
          </cell>
        </row>
        <row r="12">
          <cell r="D12" t="str">
            <v>Город Сочи</v>
          </cell>
        </row>
        <row r="13">
          <cell r="D13" t="str">
            <v>Гулькевичский муниципальный район</v>
          </cell>
        </row>
        <row r="14">
          <cell r="D14" t="str">
            <v>Динской муниципальный район</v>
          </cell>
        </row>
        <row r="15">
          <cell r="D15" t="str">
            <v>Ейский муниципальный район</v>
          </cell>
        </row>
        <row r="16">
          <cell r="D16" t="str">
            <v>Кавказский муниципальный район</v>
          </cell>
        </row>
        <row r="17">
          <cell r="D17" t="str">
            <v>Калининский муниципальный район</v>
          </cell>
        </row>
        <row r="18">
          <cell r="D18" t="str">
            <v>Каневский муниципальный район</v>
          </cell>
        </row>
        <row r="19">
          <cell r="D19" t="str">
            <v>Кореновский муниципальный район</v>
          </cell>
        </row>
        <row r="20">
          <cell r="D20" t="str">
            <v>Красноармейский муниципальный район</v>
          </cell>
        </row>
        <row r="21">
          <cell r="D21" t="str">
            <v>Крыловский муниципальный район</v>
          </cell>
        </row>
        <row r="22">
          <cell r="D22" t="str">
            <v>Крымский муниципальный район</v>
          </cell>
        </row>
        <row r="23">
          <cell r="D23" t="str">
            <v>Курганинский муниципальный район</v>
          </cell>
        </row>
        <row r="24">
          <cell r="D24" t="str">
            <v>Кущевский муниципальный район</v>
          </cell>
        </row>
        <row r="25">
          <cell r="D25" t="str">
            <v>Лабинский муниципальный район</v>
          </cell>
        </row>
        <row r="26">
          <cell r="D26" t="str">
            <v>Ленинградский муниципальный район</v>
          </cell>
        </row>
        <row r="27">
          <cell r="D27" t="str">
            <v>Мостовский муниципальный район</v>
          </cell>
        </row>
        <row r="28">
          <cell r="D28" t="str">
            <v>Новокубанский муниципальный район</v>
          </cell>
        </row>
        <row r="29">
          <cell r="D29" t="str">
            <v>Новопокровский муниципальный район</v>
          </cell>
        </row>
        <row r="30">
          <cell r="D30" t="str">
            <v>Отрадненский муниципальный район</v>
          </cell>
        </row>
        <row r="31">
          <cell r="D31" t="str">
            <v>Павловский муниципальный район</v>
          </cell>
        </row>
        <row r="32">
          <cell r="D32" t="str">
            <v>Приморско-Ахтарский муниципальный район</v>
          </cell>
        </row>
        <row r="33">
          <cell r="D33" t="str">
            <v>Северский муниципальный район</v>
          </cell>
        </row>
        <row r="34">
          <cell r="D34" t="str">
            <v>Славянский муниципальный район</v>
          </cell>
        </row>
        <row r="35">
          <cell r="D35" t="str">
            <v>Староминский муниципальный район</v>
          </cell>
        </row>
        <row r="36">
          <cell r="D36" t="str">
            <v>Тбилисский муниципальный район</v>
          </cell>
        </row>
        <row r="37">
          <cell r="D37" t="str">
            <v>Темрюкский муниципальный район</v>
          </cell>
        </row>
        <row r="38">
          <cell r="D38" t="str">
            <v>Тимашевский муниципальный район</v>
          </cell>
        </row>
        <row r="39">
          <cell r="D39" t="str">
            <v>Тихорецкий муниципальный район</v>
          </cell>
        </row>
        <row r="40">
          <cell r="D40" t="str">
            <v>Туапсинский муниципальный район</v>
          </cell>
        </row>
        <row r="41">
          <cell r="D41" t="str">
            <v>Успенский муниципальный район</v>
          </cell>
        </row>
        <row r="42">
          <cell r="D42" t="str">
            <v>Усть-Лабинский муниципальный район</v>
          </cell>
        </row>
        <row r="43">
          <cell r="D43" t="str">
            <v>Щербиновский муниципальный район</v>
          </cell>
        </row>
        <row r="44">
          <cell r="D44" t="str">
            <v>город Геленджик</v>
          </cell>
        </row>
        <row r="45">
          <cell r="D45" t="str">
            <v>город Краснодар</v>
          </cell>
        </row>
      </sheetData>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э"/>
      <sheetName val="Регионы"/>
      <sheetName val="TEHSHEET"/>
      <sheetName val="Справочники"/>
      <sheetName val="29"/>
      <sheetName val="20"/>
      <sheetName val="21"/>
      <sheetName val="23"/>
      <sheetName val="25"/>
      <sheetName val="26"/>
      <sheetName val="27"/>
      <sheetName val="28"/>
      <sheetName val="19"/>
      <sheetName val="22"/>
      <sheetName val="24"/>
      <sheetName val="ЭСО"/>
      <sheetName val="сбыт"/>
      <sheetName val="Ген. не уч. ОРЭМ"/>
      <sheetName val="Свод"/>
      <sheetName val="Вводные данные систем"/>
      <sheetName val="1.6"/>
      <sheetName val="drivers"/>
      <sheetName val="УрРас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водные данные систем"/>
      <sheetName val="Индивидуально"/>
      <sheetName val="Все"/>
      <sheetName val="Параметры"/>
      <sheetName val="TEHSHEET"/>
      <sheetName val="ээ"/>
      <sheetName val="Регионы"/>
      <sheetName val="Справочники"/>
      <sheetName val="29"/>
      <sheetName val="20"/>
      <sheetName val="21"/>
      <sheetName val="23"/>
      <sheetName val="25"/>
      <sheetName val="26"/>
      <sheetName val="27"/>
      <sheetName val="28"/>
      <sheetName val="19"/>
      <sheetName val="22"/>
      <sheetName val="2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правления 30.05.2006"/>
      <sheetName val="Заголовок"/>
      <sheetName val="Содержание"/>
      <sheetName val="3"/>
      <sheetName val="4"/>
      <sheetName val="5"/>
      <sheetName val="6"/>
      <sheetName val="15"/>
      <sheetName val="16"/>
      <sheetName val="17"/>
      <sheetName val="17.1"/>
      <sheetName val="18.2"/>
      <sheetName val="20"/>
      <sheetName val="20.1"/>
      <sheetName val="21.3"/>
      <sheetName val="24"/>
      <sheetName val="25"/>
      <sheetName val="27"/>
      <sheetName val="P2.1"/>
      <sheetName val="P2.2"/>
      <sheetName val="2.3"/>
      <sheetName val="перекрестка"/>
      <sheetName val="Регионы"/>
      <sheetName val="RAB_МСК_от 16.11.2010"/>
      <sheetName val="TDSheet"/>
      <sheetName val="Свод"/>
      <sheetName val="Ф-1 (для АО-энерго)"/>
      <sheetName val="Ф-2 (для АО-энерго)"/>
      <sheetName val="Справочники"/>
      <sheetName val="ИПР 2012"/>
      <sheetName val="ИПР 2012-2017"/>
      <sheetName val="прил. 1.1"/>
      <sheetName val="прил. 1.2 "/>
      <sheetName val="прил. 1.3"/>
      <sheetName val="прил. 1.4"/>
      <sheetName val="прил. 2.2"/>
      <sheetName val="прил. 4.2"/>
      <sheetName val="1.2"/>
      <sheetName val="стадия реализации"/>
      <sheetName val="ввод-вывод"/>
      <sheetName val="2.2_прил."/>
      <sheetName val="2008 -2010"/>
      <sheetName val="ээ"/>
      <sheetName val="СарРС"/>
      <sheetName val="0"/>
      <sheetName val="1"/>
      <sheetName val="10"/>
      <sheetName val="11"/>
      <sheetName val="12"/>
      <sheetName val="13"/>
      <sheetName val="14"/>
      <sheetName val="18"/>
      <sheetName val="19"/>
      <sheetName val="2"/>
      <sheetName val="21"/>
      <sheetName val="22"/>
      <sheetName val="23"/>
      <sheetName val="24.1"/>
      <sheetName val="26"/>
      <sheetName val="28"/>
      <sheetName val="29"/>
      <sheetName val="4.1"/>
      <sheetName val="8"/>
      <sheetName val="9"/>
      <sheetName val="ЭТЛ"/>
      <sheetName val="Добло"/>
      <sheetName val="TEHSHEET"/>
    </sheetNames>
    <sheetDataSet>
      <sheetData sheetId="0">
        <row r="10">
          <cell r="D10" t="str">
            <v>Действующая ИПР</v>
          </cell>
        </row>
      </sheetData>
      <sheetData sheetId="1"/>
      <sheetData sheetId="2"/>
      <sheetData sheetId="3"/>
      <sheetData sheetId="4" refreshError="1">
        <row r="12">
          <cell r="H12">
            <v>124.88</v>
          </cell>
          <cell r="I12">
            <v>173.376</v>
          </cell>
          <cell r="M12">
            <v>107.86400000000003</v>
          </cell>
          <cell r="N12">
            <v>148.36000000000001</v>
          </cell>
          <cell r="R12">
            <v>180.5</v>
          </cell>
          <cell r="S12">
            <v>60.048000000000002</v>
          </cell>
          <cell r="W12">
            <v>106.791</v>
          </cell>
          <cell r="X12">
            <v>148.36000000000001</v>
          </cell>
          <cell r="AB12">
            <v>107.19300000000004</v>
          </cell>
          <cell r="AC12">
            <v>131.66399999999999</v>
          </cell>
        </row>
        <row r="13">
          <cell r="I13">
            <v>128.26</v>
          </cell>
          <cell r="N13">
            <v>97.002000000000038</v>
          </cell>
          <cell r="S13">
            <v>145.89400000000001</v>
          </cell>
          <cell r="X13">
            <v>75.506999999999991</v>
          </cell>
          <cell r="AC13">
            <v>88.697000000000031</v>
          </cell>
        </row>
        <row r="14">
          <cell r="J14">
            <v>246.93</v>
          </cell>
          <cell r="O14">
            <v>190.74400000000006</v>
          </cell>
          <cell r="T14">
            <v>117.008</v>
          </cell>
          <cell r="Y14">
            <v>140.79300000000003</v>
          </cell>
          <cell r="AD14">
            <v>138.96000000000004</v>
          </cell>
        </row>
        <row r="16">
          <cell r="G16">
            <v>533.79999999999995</v>
          </cell>
          <cell r="H16">
            <v>15.2</v>
          </cell>
          <cell r="L16">
            <v>498.05200000000002</v>
          </cell>
          <cell r="M16">
            <v>15.558999999999999</v>
          </cell>
          <cell r="Q16">
            <v>494.99</v>
          </cell>
          <cell r="R16">
            <v>15.5</v>
          </cell>
          <cell r="V16">
            <v>490.4</v>
          </cell>
          <cell r="W16">
            <v>15.558999999999999</v>
          </cell>
          <cell r="AA16">
            <v>486.22300000000001</v>
          </cell>
          <cell r="AB16">
            <v>15.08</v>
          </cell>
        </row>
        <row r="22">
          <cell r="G22">
            <v>199.18299999999999</v>
          </cell>
          <cell r="H22">
            <v>3.0459999999999998</v>
          </cell>
          <cell r="I22">
            <v>37.648000000000003</v>
          </cell>
          <cell r="J22">
            <v>217.88</v>
          </cell>
          <cell r="L22">
            <v>199.6</v>
          </cell>
          <cell r="M22">
            <v>17.5</v>
          </cell>
          <cell r="N22">
            <v>31</v>
          </cell>
          <cell r="O22">
            <v>120.37900000000006</v>
          </cell>
          <cell r="Q22">
            <v>230.893</v>
          </cell>
          <cell r="R22">
            <v>41.06</v>
          </cell>
          <cell r="S22">
            <v>70.461999999999989</v>
          </cell>
          <cell r="T22">
            <v>101.79300000000001</v>
          </cell>
          <cell r="V22">
            <v>211.7</v>
          </cell>
          <cell r="W22">
            <v>37.799999999999997</v>
          </cell>
          <cell r="X22">
            <v>64.599999999999994</v>
          </cell>
          <cell r="Y22">
            <v>68.299000000000035</v>
          </cell>
          <cell r="AA22">
            <v>220.67099999999999</v>
          </cell>
          <cell r="AB22">
            <v>24.190999999999999</v>
          </cell>
          <cell r="AC22">
            <v>60.997999999999998</v>
          </cell>
          <cell r="AD22">
            <v>126.642</v>
          </cell>
        </row>
      </sheetData>
      <sheetData sheetId="5">
        <row r="12">
          <cell r="H12">
            <v>124.88</v>
          </cell>
        </row>
      </sheetData>
      <sheetData sheetId="6" refreshError="1">
        <row r="10">
          <cell r="B10" t="str">
            <v>БП №1</v>
          </cell>
        </row>
        <row r="11">
          <cell r="B11" t="str">
            <v>БП №2</v>
          </cell>
        </row>
        <row r="12">
          <cell r="B12" t="str">
            <v>БП №3</v>
          </cell>
        </row>
        <row r="13">
          <cell r="B13" t="str">
            <v>БП №4</v>
          </cell>
        </row>
        <row r="14">
          <cell r="B14" t="str">
            <v>БП №5</v>
          </cell>
        </row>
        <row r="15">
          <cell r="B15" t="str">
            <v>БП №6</v>
          </cell>
        </row>
        <row r="16">
          <cell r="B16" t="str">
            <v>БП №7</v>
          </cell>
        </row>
        <row r="17">
          <cell r="B17" t="str">
            <v>БП №8</v>
          </cell>
        </row>
        <row r="18">
          <cell r="B18" t="str">
            <v>БП №9</v>
          </cell>
        </row>
        <row r="19">
          <cell r="B19" t="str">
            <v>БП №10</v>
          </cell>
        </row>
        <row r="21">
          <cell r="G21">
            <v>0.16</v>
          </cell>
          <cell r="H21">
            <v>182.4</v>
          </cell>
          <cell r="M21">
            <v>0.02</v>
          </cell>
          <cell r="N21">
            <v>22.817</v>
          </cell>
        </row>
        <row r="22">
          <cell r="E22">
            <v>199.18299999999999</v>
          </cell>
          <cell r="F22">
            <v>3.0459999999999998</v>
          </cell>
          <cell r="G22">
            <v>37.488</v>
          </cell>
          <cell r="H22">
            <v>35.479999999999997</v>
          </cell>
          <cell r="K22">
            <v>24.54</v>
          </cell>
          <cell r="L22">
            <v>0.45</v>
          </cell>
          <cell r="M22">
            <v>5.77</v>
          </cell>
          <cell r="N22">
            <v>6.4710000000000001</v>
          </cell>
        </row>
        <row r="23">
          <cell r="E23">
            <v>8.9429999999999996</v>
          </cell>
          <cell r="F23">
            <v>1.6990000000000001</v>
          </cell>
          <cell r="G23">
            <v>7.7919999999999998</v>
          </cell>
          <cell r="H23">
            <v>12.705</v>
          </cell>
          <cell r="K23">
            <v>1.71</v>
          </cell>
          <cell r="L23">
            <v>0.25</v>
          </cell>
          <cell r="M23">
            <v>1.24</v>
          </cell>
          <cell r="N23">
            <v>3.05</v>
          </cell>
        </row>
        <row r="28">
          <cell r="B28" t="str">
            <v>БП №1</v>
          </cell>
        </row>
        <row r="29">
          <cell r="B29" t="str">
            <v>БП №2</v>
          </cell>
        </row>
        <row r="30">
          <cell r="B30" t="str">
            <v>БП №3</v>
          </cell>
        </row>
        <row r="31">
          <cell r="B31" t="str">
            <v>БП №4</v>
          </cell>
        </row>
        <row r="32">
          <cell r="B32" t="str">
            <v>БП №5</v>
          </cell>
        </row>
        <row r="33">
          <cell r="B33" t="str">
            <v>БП №6</v>
          </cell>
        </row>
        <row r="34">
          <cell r="B34" t="str">
            <v>БП №7</v>
          </cell>
        </row>
        <row r="35">
          <cell r="B35" t="str">
            <v>БП №8</v>
          </cell>
        </row>
        <row r="36">
          <cell r="B36" t="str">
            <v>БП №9</v>
          </cell>
        </row>
        <row r="37">
          <cell r="B37" t="str">
            <v>БП №10</v>
          </cell>
        </row>
        <row r="39">
          <cell r="G39">
            <v>1.0660000000000001</v>
          </cell>
          <cell r="H39">
            <v>79.350999999999999</v>
          </cell>
          <cell r="M39">
            <v>0.13500000000000001</v>
          </cell>
          <cell r="N39">
            <v>10.816000000000001</v>
          </cell>
        </row>
        <row r="40">
          <cell r="E40">
            <v>230.893</v>
          </cell>
          <cell r="F40">
            <v>41.06</v>
          </cell>
          <cell r="G40">
            <v>69.396000000000001</v>
          </cell>
          <cell r="H40">
            <v>22.442</v>
          </cell>
          <cell r="K40">
            <v>28.344999999999999</v>
          </cell>
          <cell r="L40">
            <v>4.7030000000000003</v>
          </cell>
          <cell r="M40">
            <v>9.2460000000000004</v>
          </cell>
          <cell r="N40">
            <v>3.13</v>
          </cell>
        </row>
        <row r="41">
          <cell r="E41">
            <v>8.6590000000000007</v>
          </cell>
          <cell r="F41">
            <v>0.9</v>
          </cell>
          <cell r="G41">
            <v>2.2799999999999998</v>
          </cell>
          <cell r="H41">
            <v>3.2029999999999998</v>
          </cell>
          <cell r="K41">
            <v>0.99199999999999999</v>
          </cell>
          <cell r="L41">
            <v>1.6020000000000001</v>
          </cell>
          <cell r="M41">
            <v>3.81</v>
          </cell>
          <cell r="N41">
            <v>2.6850000000000001</v>
          </cell>
        </row>
        <row r="46">
          <cell r="B46" t="str">
            <v>БП №1</v>
          </cell>
        </row>
        <row r="47">
          <cell r="B47" t="str">
            <v>БП №2</v>
          </cell>
        </row>
        <row r="48">
          <cell r="B48" t="str">
            <v>БП №3</v>
          </cell>
        </row>
        <row r="49">
          <cell r="B49" t="str">
            <v>БП №4</v>
          </cell>
        </row>
        <row r="50">
          <cell r="B50" t="str">
            <v>БП №5</v>
          </cell>
        </row>
        <row r="51">
          <cell r="B51" t="str">
            <v>БП №6</v>
          </cell>
        </row>
        <row r="52">
          <cell r="B52" t="str">
            <v>БП №7</v>
          </cell>
        </row>
        <row r="53">
          <cell r="B53" t="str">
            <v>БП №8</v>
          </cell>
        </row>
        <row r="54">
          <cell r="B54" t="str">
            <v>БП №9</v>
          </cell>
        </row>
        <row r="55">
          <cell r="B55" t="str">
            <v>БП №10</v>
          </cell>
        </row>
        <row r="57">
          <cell r="G57">
            <v>1.0660000000000001</v>
          </cell>
          <cell r="H57">
            <v>90.832999999999998</v>
          </cell>
          <cell r="M57">
            <v>0.122</v>
          </cell>
          <cell r="N57">
            <v>10.4</v>
          </cell>
        </row>
        <row r="58">
          <cell r="E58">
            <v>220.67099999999999</v>
          </cell>
          <cell r="F58">
            <v>24.190999999999999</v>
          </cell>
          <cell r="G58">
            <v>59.931999999999995</v>
          </cell>
          <cell r="H58">
            <v>35.808999999999997</v>
          </cell>
          <cell r="K58">
            <v>31.178000000000001</v>
          </cell>
          <cell r="L58">
            <v>2.766</v>
          </cell>
          <cell r="M58">
            <v>6.8609999999999998</v>
          </cell>
          <cell r="N58">
            <v>4.1009999999999991</v>
          </cell>
        </row>
        <row r="59">
          <cell r="E59">
            <v>8.6590000000000007</v>
          </cell>
          <cell r="F59">
            <v>0.9</v>
          </cell>
          <cell r="G59">
            <v>2.6389999999999998</v>
          </cell>
          <cell r="H59">
            <v>3.9020000000000001</v>
          </cell>
          <cell r="K59">
            <v>0.98799999999999999</v>
          </cell>
          <cell r="L59">
            <v>0.10299999999999999</v>
          </cell>
          <cell r="M59">
            <v>0.30099999999999999</v>
          </cell>
          <cell r="N59">
            <v>0.44500000000000001</v>
          </cell>
        </row>
      </sheetData>
      <sheetData sheetId="7" refreshError="1">
        <row r="10">
          <cell r="B10" t="str">
            <v>БП №1</v>
          </cell>
          <cell r="E10">
            <v>19670</v>
          </cell>
          <cell r="F10">
            <v>14881</v>
          </cell>
          <cell r="G10">
            <v>16229</v>
          </cell>
          <cell r="H10">
            <v>16868</v>
          </cell>
          <cell r="I10">
            <v>22609</v>
          </cell>
        </row>
        <row r="11">
          <cell r="E11">
            <v>9538.7800000000007</v>
          </cell>
          <cell r="F11">
            <v>8269</v>
          </cell>
          <cell r="G11">
            <v>9722.32</v>
          </cell>
          <cell r="H11">
            <v>8795</v>
          </cell>
          <cell r="I11">
            <v>8714</v>
          </cell>
        </row>
        <row r="12">
          <cell r="E12">
            <v>0</v>
          </cell>
          <cell r="F12">
            <v>334</v>
          </cell>
          <cell r="G12">
            <v>7000</v>
          </cell>
          <cell r="H12">
            <v>302</v>
          </cell>
          <cell r="I12">
            <v>4000</v>
          </cell>
        </row>
        <row r="14">
          <cell r="G14">
            <v>1.6240000000000001</v>
          </cell>
          <cell r="H14">
            <v>1.77</v>
          </cell>
          <cell r="I14">
            <v>1.92056</v>
          </cell>
        </row>
        <row r="15">
          <cell r="E15">
            <v>4587</v>
          </cell>
          <cell r="F15">
            <v>4939</v>
          </cell>
          <cell r="G15">
            <v>41599</v>
          </cell>
          <cell r="H15">
            <v>34768</v>
          </cell>
          <cell r="I15">
            <v>42610.5</v>
          </cell>
        </row>
        <row r="16">
          <cell r="G16">
            <v>36320</v>
          </cell>
          <cell r="H16">
            <v>30033</v>
          </cell>
          <cell r="I16">
            <v>37685.5</v>
          </cell>
        </row>
        <row r="17">
          <cell r="E17">
            <v>4587</v>
          </cell>
          <cell r="F17">
            <v>4939</v>
          </cell>
          <cell r="G17">
            <v>5279</v>
          </cell>
          <cell r="H17">
            <v>4735</v>
          </cell>
          <cell r="I17">
            <v>4925</v>
          </cell>
        </row>
        <row r="19">
          <cell r="E19">
            <v>5620</v>
          </cell>
          <cell r="F19">
            <v>5349</v>
          </cell>
          <cell r="G19">
            <v>8609.4</v>
          </cell>
          <cell r="H19">
            <v>5100</v>
          </cell>
          <cell r="I19">
            <v>7572.5</v>
          </cell>
        </row>
        <row r="20">
          <cell r="E20">
            <v>13665</v>
          </cell>
          <cell r="F20">
            <v>15256</v>
          </cell>
          <cell r="G20">
            <v>20684.432201960764</v>
          </cell>
          <cell r="H20">
            <v>21114</v>
          </cell>
          <cell r="I20">
            <v>24278.33840306686</v>
          </cell>
        </row>
        <row r="21">
          <cell r="E21">
            <v>1484</v>
          </cell>
          <cell r="F21">
            <v>1413</v>
          </cell>
          <cell r="G21">
            <v>2272.8816000000002</v>
          </cell>
          <cell r="H21">
            <v>1343</v>
          </cell>
          <cell r="I21">
            <v>1999.14</v>
          </cell>
        </row>
        <row r="26">
          <cell r="G26">
            <v>621</v>
          </cell>
          <cell r="I26">
            <v>621</v>
          </cell>
        </row>
        <row r="27">
          <cell r="E27">
            <v>35</v>
          </cell>
          <cell r="F27">
            <v>14</v>
          </cell>
          <cell r="G27">
            <v>34</v>
          </cell>
          <cell r="I27">
            <v>34</v>
          </cell>
        </row>
        <row r="28">
          <cell r="E28">
            <v>10718</v>
          </cell>
          <cell r="F28">
            <v>12824</v>
          </cell>
          <cell r="G28">
            <v>58564</v>
          </cell>
          <cell r="H28">
            <v>47594</v>
          </cell>
          <cell r="I28">
            <v>57759</v>
          </cell>
        </row>
        <row r="29">
          <cell r="G29">
            <v>9.61</v>
          </cell>
          <cell r="H29">
            <v>8</v>
          </cell>
          <cell r="I29">
            <v>10</v>
          </cell>
        </row>
        <row r="31">
          <cell r="E31">
            <v>4585</v>
          </cell>
          <cell r="F31">
            <v>1627</v>
          </cell>
          <cell r="G31">
            <v>2546</v>
          </cell>
          <cell r="H31">
            <v>444</v>
          </cell>
          <cell r="I31">
            <v>654</v>
          </cell>
        </row>
        <row r="32">
          <cell r="E32">
            <v>3776</v>
          </cell>
          <cell r="F32">
            <v>1372</v>
          </cell>
          <cell r="G32">
            <v>1610</v>
          </cell>
          <cell r="H32">
            <v>189</v>
          </cell>
          <cell r="I32">
            <v>396</v>
          </cell>
        </row>
        <row r="33">
          <cell r="E33">
            <v>289</v>
          </cell>
          <cell r="F33">
            <v>263</v>
          </cell>
          <cell r="G33">
            <v>316</v>
          </cell>
          <cell r="H33">
            <v>255</v>
          </cell>
          <cell r="I33">
            <v>258</v>
          </cell>
        </row>
        <row r="34">
          <cell r="E34">
            <v>7981</v>
          </cell>
          <cell r="F34">
            <v>10469.630000000001</v>
          </cell>
          <cell r="G34">
            <v>10256.450000000001</v>
          </cell>
          <cell r="H34">
            <v>49314</v>
          </cell>
          <cell r="I34">
            <v>15611.26</v>
          </cell>
        </row>
        <row r="36">
          <cell r="B36" t="str">
            <v>Арендная плата (земли)</v>
          </cell>
          <cell r="F36">
            <v>2387</v>
          </cell>
          <cell r="G36">
            <v>2434</v>
          </cell>
          <cell r="H36">
            <v>2121</v>
          </cell>
          <cell r="I36">
            <v>3235</v>
          </cell>
        </row>
        <row r="37">
          <cell r="B37" t="str">
            <v>Прочие другие затраты</v>
          </cell>
          <cell r="E37">
            <v>7981</v>
          </cell>
          <cell r="F37">
            <v>8082.63</v>
          </cell>
          <cell r="G37">
            <v>7822.45</v>
          </cell>
          <cell r="H37">
            <v>47193</v>
          </cell>
          <cell r="I37">
            <v>12376.26</v>
          </cell>
        </row>
        <row r="38">
          <cell r="B38" t="str">
            <v>Содержание РЭК</v>
          </cell>
          <cell r="E38">
            <v>2484</v>
          </cell>
          <cell r="F38">
            <v>2484</v>
          </cell>
        </row>
        <row r="39">
          <cell r="B39" t="str">
            <v>Командиров.,услуги связи</v>
          </cell>
          <cell r="E39">
            <v>2380</v>
          </cell>
          <cell r="F39">
            <v>2615</v>
          </cell>
          <cell r="G39">
            <v>3462</v>
          </cell>
          <cell r="H39">
            <v>3140</v>
          </cell>
          <cell r="I39">
            <v>4568</v>
          </cell>
        </row>
        <row r="40">
          <cell r="B40" t="str">
            <v>прочие</v>
          </cell>
          <cell r="E40">
            <v>3117</v>
          </cell>
          <cell r="F40">
            <v>2983.63</v>
          </cell>
          <cell r="G40">
            <v>4360.45</v>
          </cell>
          <cell r="H40">
            <v>44053</v>
          </cell>
          <cell r="I40">
            <v>7808.26</v>
          </cell>
        </row>
        <row r="44">
          <cell r="E44">
            <v>610</v>
          </cell>
          <cell r="G44">
            <v>297</v>
          </cell>
          <cell r="I44">
            <v>2090</v>
          </cell>
        </row>
        <row r="45">
          <cell r="E45">
            <v>4633</v>
          </cell>
          <cell r="I45">
            <v>4128</v>
          </cell>
        </row>
      </sheetData>
      <sheetData sheetId="8" refreshError="1">
        <row r="7">
          <cell r="G7">
            <v>884</v>
          </cell>
          <cell r="H7">
            <v>971</v>
          </cell>
          <cell r="I7">
            <v>1070</v>
          </cell>
          <cell r="J7">
            <v>1070</v>
          </cell>
          <cell r="K7">
            <v>1072</v>
          </cell>
        </row>
        <row r="8">
          <cell r="G8">
            <v>884</v>
          </cell>
          <cell r="H8">
            <v>971</v>
          </cell>
          <cell r="I8">
            <v>1070</v>
          </cell>
          <cell r="J8">
            <v>1070</v>
          </cell>
          <cell r="K8">
            <v>1072</v>
          </cell>
        </row>
        <row r="10">
          <cell r="G10">
            <v>1760</v>
          </cell>
          <cell r="H10">
            <v>2010</v>
          </cell>
          <cell r="I10">
            <v>1910</v>
          </cell>
          <cell r="J10">
            <v>2242</v>
          </cell>
          <cell r="K10">
            <v>2220</v>
          </cell>
        </row>
        <row r="11">
          <cell r="G11">
            <v>1</v>
          </cell>
          <cell r="H11">
            <v>1</v>
          </cell>
          <cell r="I11">
            <v>1</v>
          </cell>
          <cell r="J11">
            <v>1</v>
          </cell>
          <cell r="K11">
            <v>1</v>
          </cell>
        </row>
        <row r="12">
          <cell r="G12">
            <v>1760</v>
          </cell>
          <cell r="H12">
            <v>2010</v>
          </cell>
          <cell r="I12">
            <v>1910</v>
          </cell>
          <cell r="J12">
            <v>2242</v>
          </cell>
          <cell r="K12">
            <v>2220</v>
          </cell>
        </row>
        <row r="14">
          <cell r="G14">
            <v>1.6240000000000001</v>
          </cell>
          <cell r="H14">
            <v>1.77</v>
          </cell>
          <cell r="I14">
            <v>1.92056</v>
          </cell>
          <cell r="J14">
            <v>1.9211</v>
          </cell>
          <cell r="K14">
            <v>1.8364916044776123</v>
          </cell>
        </row>
        <row r="17">
          <cell r="G17">
            <v>3</v>
          </cell>
          <cell r="H17">
            <v>2.7</v>
          </cell>
          <cell r="I17">
            <v>1.6</v>
          </cell>
          <cell r="J17">
            <v>1.627</v>
          </cell>
          <cell r="K17">
            <v>1.6686937999730731</v>
          </cell>
        </row>
        <row r="20">
          <cell r="G20">
            <v>41.5</v>
          </cell>
          <cell r="H20">
            <v>19.457999999999998</v>
          </cell>
          <cell r="I20">
            <v>39</v>
          </cell>
          <cell r="J20">
            <v>25.7</v>
          </cell>
          <cell r="K20">
            <v>47</v>
          </cell>
        </row>
        <row r="23">
          <cell r="G23">
            <v>10</v>
          </cell>
          <cell r="H23">
            <v>9.5</v>
          </cell>
          <cell r="I23">
            <v>10</v>
          </cell>
          <cell r="J23">
            <v>10</v>
          </cell>
          <cell r="K23">
            <v>9.8062416394793939</v>
          </cell>
        </row>
        <row r="29">
          <cell r="G29">
            <v>9.61</v>
          </cell>
          <cell r="H29">
            <v>8</v>
          </cell>
          <cell r="I29">
            <v>10</v>
          </cell>
          <cell r="J29">
            <v>10.000999999999999</v>
          </cell>
          <cell r="K29">
            <v>10.101311439854733</v>
          </cell>
        </row>
        <row r="44">
          <cell r="G44">
            <v>144.70211161387633</v>
          </cell>
          <cell r="H44">
            <v>177.28286989358048</v>
          </cell>
          <cell r="I44">
            <v>143.45794392523365</v>
          </cell>
          <cell r="J44">
            <v>202.49221183800623</v>
          </cell>
          <cell r="K44">
            <v>164.11069651741334</v>
          </cell>
        </row>
      </sheetData>
      <sheetData sheetId="9">
        <row r="7">
          <cell r="G7">
            <v>884</v>
          </cell>
        </row>
      </sheetData>
      <sheetData sheetId="10" refreshError="1">
        <row r="9">
          <cell r="D9">
            <v>398753</v>
          </cell>
          <cell r="I9">
            <v>7588</v>
          </cell>
        </row>
        <row r="10">
          <cell r="D10">
            <v>309108</v>
          </cell>
          <cell r="I10">
            <v>6398</v>
          </cell>
        </row>
        <row r="11">
          <cell r="D11">
            <v>614010</v>
          </cell>
          <cell r="I11">
            <v>17096</v>
          </cell>
        </row>
        <row r="12">
          <cell r="D12">
            <v>149617</v>
          </cell>
          <cell r="F12">
            <v>25985</v>
          </cell>
          <cell r="I12">
            <v>4227</v>
          </cell>
        </row>
        <row r="14">
          <cell r="F14">
            <v>23686</v>
          </cell>
        </row>
        <row r="15">
          <cell r="F15">
            <v>2539</v>
          </cell>
          <cell r="I15">
            <v>53447</v>
          </cell>
        </row>
        <row r="17">
          <cell r="F17">
            <v>35548</v>
          </cell>
          <cell r="I17">
            <v>46028</v>
          </cell>
        </row>
        <row r="19">
          <cell r="D19">
            <v>305708</v>
          </cell>
          <cell r="F19">
            <v>13902</v>
          </cell>
          <cell r="I19">
            <v>11315</v>
          </cell>
        </row>
        <row r="20">
          <cell r="D20">
            <v>94292</v>
          </cell>
          <cell r="I20">
            <v>4768</v>
          </cell>
        </row>
        <row r="21">
          <cell r="D21">
            <v>128094</v>
          </cell>
          <cell r="I21">
            <v>5592</v>
          </cell>
        </row>
        <row r="22">
          <cell r="D22">
            <v>7513</v>
          </cell>
          <cell r="F22">
            <v>0</v>
          </cell>
          <cell r="I22">
            <v>602</v>
          </cell>
        </row>
      </sheetData>
      <sheetData sheetId="11" refreshError="1">
        <row r="6">
          <cell r="F6">
            <v>17217</v>
          </cell>
          <cell r="G6">
            <v>19007</v>
          </cell>
          <cell r="H6">
            <v>28342</v>
          </cell>
          <cell r="I6">
            <v>31261</v>
          </cell>
          <cell r="J6">
            <v>36785</v>
          </cell>
        </row>
        <row r="7">
          <cell r="F7">
            <v>6497</v>
          </cell>
          <cell r="G7">
            <v>6606</v>
          </cell>
          <cell r="H7">
            <v>9672</v>
          </cell>
          <cell r="I7">
            <v>8713</v>
          </cell>
          <cell r="J7">
            <v>11036</v>
          </cell>
        </row>
        <row r="8">
          <cell r="F8">
            <v>5577</v>
          </cell>
          <cell r="G8">
            <v>6582</v>
          </cell>
          <cell r="H8">
            <v>10035</v>
          </cell>
          <cell r="I8">
            <v>10193</v>
          </cell>
          <cell r="J8">
            <v>12626</v>
          </cell>
        </row>
        <row r="12">
          <cell r="F12">
            <v>25985</v>
          </cell>
          <cell r="J12">
            <v>18903</v>
          </cell>
        </row>
        <row r="13">
          <cell r="F13">
            <v>11964</v>
          </cell>
          <cell r="J13">
            <v>11166</v>
          </cell>
        </row>
        <row r="14">
          <cell r="F14">
            <v>23686</v>
          </cell>
          <cell r="J14">
            <v>22688</v>
          </cell>
        </row>
        <row r="15">
          <cell r="F15">
            <v>2539</v>
          </cell>
          <cell r="G15">
            <v>58468</v>
          </cell>
          <cell r="H15">
            <v>54192</v>
          </cell>
          <cell r="I15">
            <v>53447</v>
          </cell>
          <cell r="J15">
            <v>4957</v>
          </cell>
        </row>
        <row r="17">
          <cell r="F17">
            <v>35548</v>
          </cell>
          <cell r="G17">
            <v>35840</v>
          </cell>
          <cell r="H17">
            <v>43900</v>
          </cell>
          <cell r="I17">
            <v>46028</v>
          </cell>
          <cell r="J17">
            <v>46646</v>
          </cell>
        </row>
        <row r="19">
          <cell r="F19">
            <v>13902</v>
          </cell>
          <cell r="G19">
            <v>17411</v>
          </cell>
          <cell r="H19">
            <v>18800</v>
          </cell>
          <cell r="I19">
            <v>21403</v>
          </cell>
          <cell r="J19">
            <v>21987</v>
          </cell>
        </row>
        <row r="22">
          <cell r="F22">
            <v>0</v>
          </cell>
          <cell r="G22">
            <v>0</v>
          </cell>
        </row>
        <row r="24">
          <cell r="F24">
            <v>35</v>
          </cell>
          <cell r="G24">
            <v>14</v>
          </cell>
          <cell r="H24">
            <v>34</v>
          </cell>
          <cell r="I24">
            <v>0</v>
          </cell>
          <cell r="J24">
            <v>34</v>
          </cell>
        </row>
        <row r="28">
          <cell r="B28" t="str">
            <v>Налог на землю</v>
          </cell>
          <cell r="F28">
            <v>3776</v>
          </cell>
          <cell r="G28">
            <v>1372</v>
          </cell>
          <cell r="H28">
            <v>1610</v>
          </cell>
          <cell r="I28">
            <v>189</v>
          </cell>
          <cell r="J28">
            <v>396</v>
          </cell>
        </row>
        <row r="29">
          <cell r="B29" t="str">
            <v>Налог с владенльцев транспортных средств</v>
          </cell>
          <cell r="F29">
            <v>289</v>
          </cell>
          <cell r="G29">
            <v>263</v>
          </cell>
          <cell r="H29">
            <v>316</v>
          </cell>
          <cell r="I29">
            <v>255</v>
          </cell>
          <cell r="J29">
            <v>258</v>
          </cell>
        </row>
        <row r="30">
          <cell r="B30" t="str">
            <v>средства по обязат.страхов.гражд.ответст.влад.странс.ср-в</v>
          </cell>
          <cell r="F30">
            <v>520</v>
          </cell>
          <cell r="G30">
            <v>220</v>
          </cell>
          <cell r="H30">
            <v>621</v>
          </cell>
          <cell r="I30">
            <v>0</v>
          </cell>
          <cell r="J30">
            <v>621</v>
          </cell>
        </row>
        <row r="32">
          <cell r="F32">
            <v>29639.27</v>
          </cell>
          <cell r="G32">
            <v>32209</v>
          </cell>
          <cell r="H32">
            <v>63990</v>
          </cell>
          <cell r="I32">
            <v>88564.044532580825</v>
          </cell>
          <cell r="J32">
            <v>71992.501444986789</v>
          </cell>
        </row>
        <row r="34">
          <cell r="B34" t="str">
            <v>Арнедная плата</v>
          </cell>
          <cell r="J34">
            <v>3235</v>
          </cell>
        </row>
        <row r="35">
          <cell r="B35" t="str">
            <v>услуги сторонних организаций</v>
          </cell>
          <cell r="C35" t="str">
            <v>L14</v>
          </cell>
          <cell r="E35" t="str">
            <v>Услуги ФСК</v>
          </cell>
          <cell r="F35">
            <v>15689</v>
          </cell>
          <cell r="G35">
            <v>4284</v>
          </cell>
          <cell r="H35">
            <v>4156</v>
          </cell>
          <cell r="I35">
            <v>6853</v>
          </cell>
          <cell r="J35">
            <v>3832</v>
          </cell>
        </row>
        <row r="36">
          <cell r="B36" t="str">
            <v>налог на имущество</v>
          </cell>
          <cell r="I36">
            <v>1206</v>
          </cell>
          <cell r="J36">
            <v>1538</v>
          </cell>
        </row>
        <row r="37">
          <cell r="B37" t="str">
            <v>прочие расходы</v>
          </cell>
          <cell r="F37">
            <v>13950.27</v>
          </cell>
          <cell r="G37">
            <v>27925</v>
          </cell>
          <cell r="H37">
            <v>59834</v>
          </cell>
          <cell r="I37">
            <v>80505.044532580825</v>
          </cell>
          <cell r="J37">
            <v>63387.501444986789</v>
          </cell>
        </row>
        <row r="42">
          <cell r="H42">
            <v>13310.153918560907</v>
          </cell>
          <cell r="I42">
            <v>10816.943268902191</v>
          </cell>
          <cell r="J42">
            <v>10288.562129765371</v>
          </cell>
        </row>
        <row r="43">
          <cell r="H43">
            <v>11848.926791537806</v>
          </cell>
          <cell r="I43">
            <v>9629.4280055400977</v>
          </cell>
          <cell r="J43">
            <v>10468.669280984604</v>
          </cell>
        </row>
        <row r="44">
          <cell r="H44">
            <v>26022.106076710166</v>
          </cell>
          <cell r="I44">
            <v>21147.737801634856</v>
          </cell>
          <cell r="J44">
            <v>29420.866092930712</v>
          </cell>
        </row>
        <row r="45">
          <cell r="H45">
            <v>7382.8132131911252</v>
          </cell>
          <cell r="I45">
            <v>5999.8909239228606</v>
          </cell>
          <cell r="J45">
            <v>7580.9024963193133</v>
          </cell>
        </row>
        <row r="46">
          <cell r="F46">
            <v>610</v>
          </cell>
          <cell r="G46">
            <v>0</v>
          </cell>
          <cell r="H46">
            <v>297</v>
          </cell>
          <cell r="I46">
            <v>0</v>
          </cell>
          <cell r="J46">
            <v>2090</v>
          </cell>
        </row>
        <row r="47">
          <cell r="F47">
            <v>4633</v>
          </cell>
          <cell r="G47">
            <v>0</v>
          </cell>
          <cell r="H47">
            <v>0</v>
          </cell>
          <cell r="I47">
            <v>0</v>
          </cell>
          <cell r="J47">
            <v>4128</v>
          </cell>
        </row>
        <row r="54">
          <cell r="F54">
            <v>457.75699999999995</v>
          </cell>
          <cell r="G54">
            <v>368.47900000000004</v>
          </cell>
          <cell r="H54">
            <v>444.20799999999997</v>
          </cell>
          <cell r="I54">
            <v>382.39900000000006</v>
          </cell>
          <cell r="J54">
            <v>432.50200000000001</v>
          </cell>
        </row>
        <row r="58">
          <cell r="F58">
            <v>34259.270000000004</v>
          </cell>
          <cell r="G58">
            <v>34078</v>
          </cell>
          <cell r="H58">
            <v>125135</v>
          </cell>
          <cell r="I58">
            <v>136602.04453258083</v>
          </cell>
          <cell r="J58">
            <v>131060.50144498679</v>
          </cell>
        </row>
        <row r="59">
          <cell r="F59">
            <v>10718</v>
          </cell>
          <cell r="G59">
            <v>12824</v>
          </cell>
          <cell r="H59">
            <v>58564</v>
          </cell>
          <cell r="I59">
            <v>47594</v>
          </cell>
          <cell r="J59">
            <v>57759</v>
          </cell>
        </row>
        <row r="62">
          <cell r="F62">
            <v>56573.9395</v>
          </cell>
          <cell r="G62">
            <v>56573.9395</v>
          </cell>
          <cell r="H62">
            <v>52965.509499999993</v>
          </cell>
          <cell r="I62">
            <v>52965.509499999993</v>
          </cell>
          <cell r="J62">
            <v>52968.640399999997</v>
          </cell>
        </row>
        <row r="64">
          <cell r="F64">
            <v>13475.633</v>
          </cell>
          <cell r="G64">
            <v>13475.633</v>
          </cell>
          <cell r="H64">
            <v>12037.754999999997</v>
          </cell>
          <cell r="I64">
            <v>12037.754999999997</v>
          </cell>
          <cell r="J64">
            <v>9435.2594000000008</v>
          </cell>
        </row>
        <row r="65">
          <cell r="F65">
            <v>10847.985500000001</v>
          </cell>
          <cell r="G65">
            <v>10847.985500000001</v>
          </cell>
          <cell r="H65">
            <v>10716.2155</v>
          </cell>
          <cell r="I65">
            <v>10716.2155</v>
          </cell>
          <cell r="J65">
            <v>9600.4290000000001</v>
          </cell>
        </row>
        <row r="66">
          <cell r="F66">
            <v>25066.625999999997</v>
          </cell>
          <cell r="G66">
            <v>25066.625999999997</v>
          </cell>
          <cell r="H66">
            <v>23534.493999999999</v>
          </cell>
          <cell r="I66">
            <v>23534.493999999999</v>
          </cell>
          <cell r="J66">
            <v>26980.786999999997</v>
          </cell>
        </row>
        <row r="67">
          <cell r="F67">
            <v>7183.6949999999997</v>
          </cell>
          <cell r="G67">
            <v>7183.6949999999997</v>
          </cell>
          <cell r="H67">
            <v>6677.0450000000001</v>
          </cell>
          <cell r="I67">
            <v>6677.0450000000001</v>
          </cell>
          <cell r="J67">
            <v>6952.165</v>
          </cell>
        </row>
      </sheetData>
      <sheetData sheetId="12" refreshError="1">
        <row r="6">
          <cell r="F6">
            <v>17217</v>
          </cell>
        </row>
        <row r="9">
          <cell r="E9">
            <v>32296</v>
          </cell>
          <cell r="F9">
            <v>11290</v>
          </cell>
          <cell r="G9">
            <v>52239</v>
          </cell>
          <cell r="H9">
            <v>52109</v>
          </cell>
          <cell r="I9">
            <v>95510</v>
          </cell>
        </row>
        <row r="13">
          <cell r="E13">
            <v>32296</v>
          </cell>
          <cell r="F13">
            <v>11290</v>
          </cell>
          <cell r="G13">
            <v>51869</v>
          </cell>
          <cell r="H13">
            <v>51739</v>
          </cell>
          <cell r="I13">
            <v>95510</v>
          </cell>
        </row>
        <row r="14">
          <cell r="F14">
            <v>23686</v>
          </cell>
        </row>
        <row r="15">
          <cell r="F15">
            <v>2539</v>
          </cell>
          <cell r="G15">
            <v>58468</v>
          </cell>
          <cell r="H15">
            <v>54192</v>
          </cell>
          <cell r="I15">
            <v>53447</v>
          </cell>
        </row>
        <row r="17">
          <cell r="F17">
            <v>35548</v>
          </cell>
          <cell r="G17">
            <v>35840</v>
          </cell>
          <cell r="H17">
            <v>43900</v>
          </cell>
          <cell r="I17">
            <v>46028</v>
          </cell>
        </row>
        <row r="18">
          <cell r="G18">
            <v>370</v>
          </cell>
          <cell r="H18">
            <v>370</v>
          </cell>
        </row>
        <row r="19">
          <cell r="F19">
            <v>13902</v>
          </cell>
          <cell r="G19">
            <v>17411</v>
          </cell>
          <cell r="H19">
            <v>18800</v>
          </cell>
          <cell r="I19">
            <v>21403</v>
          </cell>
        </row>
      </sheetData>
      <sheetData sheetId="13"/>
      <sheetData sheetId="14" refreshError="1">
        <row r="10">
          <cell r="E10">
            <v>0</v>
          </cell>
        </row>
        <row r="13">
          <cell r="E13">
            <v>0</v>
          </cell>
        </row>
        <row r="14">
          <cell r="E14">
            <v>0</v>
          </cell>
        </row>
        <row r="15">
          <cell r="E15">
            <v>0</v>
          </cell>
        </row>
        <row r="17">
          <cell r="E17">
            <v>142</v>
          </cell>
          <cell r="G17">
            <v>154.66</v>
          </cell>
          <cell r="H17">
            <v>-185</v>
          </cell>
          <cell r="I17">
            <v>167</v>
          </cell>
        </row>
        <row r="20">
          <cell r="E20">
            <v>2094</v>
          </cell>
          <cell r="F20">
            <v>-2621</v>
          </cell>
          <cell r="G20">
            <v>2402</v>
          </cell>
          <cell r="H20">
            <v>-2505</v>
          </cell>
          <cell r="I20">
            <v>2820</v>
          </cell>
        </row>
        <row r="21">
          <cell r="E21">
            <v>0</v>
          </cell>
          <cell r="I21">
            <v>0</v>
          </cell>
        </row>
        <row r="22">
          <cell r="E22">
            <v>5940</v>
          </cell>
          <cell r="F22">
            <v>-29988</v>
          </cell>
          <cell r="G22">
            <v>2375</v>
          </cell>
          <cell r="H22">
            <v>-71986</v>
          </cell>
          <cell r="I22">
            <v>2167</v>
          </cell>
        </row>
        <row r="24">
          <cell r="E24">
            <v>0</v>
          </cell>
          <cell r="F24">
            <v>-1860</v>
          </cell>
          <cell r="G24">
            <v>0</v>
          </cell>
          <cell r="H24">
            <v>-239</v>
          </cell>
          <cell r="I24">
            <v>0</v>
          </cell>
        </row>
        <row r="25">
          <cell r="E25">
            <v>236</v>
          </cell>
          <cell r="F25">
            <v>-1068</v>
          </cell>
          <cell r="G25">
            <v>500</v>
          </cell>
          <cell r="H25">
            <v>-967</v>
          </cell>
          <cell r="I25">
            <v>555</v>
          </cell>
        </row>
        <row r="29">
          <cell r="B29" t="str">
            <v>-отчисления профсоюзу</v>
          </cell>
          <cell r="E29">
            <v>143</v>
          </cell>
          <cell r="F29">
            <v>-42</v>
          </cell>
          <cell r="G29">
            <v>168</v>
          </cell>
          <cell r="H29">
            <v>-137</v>
          </cell>
          <cell r="I29">
            <v>250</v>
          </cell>
        </row>
        <row r="30">
          <cell r="B30" t="str">
            <v>-представительские расходы</v>
          </cell>
          <cell r="E30">
            <v>210</v>
          </cell>
          <cell r="F30">
            <v>-90</v>
          </cell>
          <cell r="G30">
            <v>230</v>
          </cell>
          <cell r="H30">
            <v>-205</v>
          </cell>
          <cell r="I30">
            <v>255</v>
          </cell>
        </row>
        <row r="31">
          <cell r="B31" t="str">
            <v>-расходы Сов.директоров,Ревизионной комиссии</v>
          </cell>
          <cell r="E31">
            <v>720</v>
          </cell>
          <cell r="F31">
            <v>-740</v>
          </cell>
          <cell r="G31">
            <v>357</v>
          </cell>
          <cell r="H31">
            <v>-760</v>
          </cell>
          <cell r="I31">
            <v>410</v>
          </cell>
        </row>
        <row r="32">
          <cell r="B32" t="str">
            <v>-выходные пособия</v>
          </cell>
          <cell r="E32">
            <v>41</v>
          </cell>
        </row>
        <row r="33">
          <cell r="B33" t="str">
            <v>-лицензии,уплата госпошлины при регистрации,услуги нотариусов</v>
          </cell>
          <cell r="E33">
            <v>45</v>
          </cell>
          <cell r="F33">
            <v>-243</v>
          </cell>
          <cell r="G33">
            <v>20</v>
          </cell>
          <cell r="H33">
            <v>-60</v>
          </cell>
          <cell r="I33">
            <v>22</v>
          </cell>
        </row>
        <row r="34">
          <cell r="B34" t="str">
            <v>-расходы на реструктуризацию ОАО "Калмэнерго"</v>
          </cell>
          <cell r="E34">
            <v>3400</v>
          </cell>
          <cell r="F34">
            <v>-362</v>
          </cell>
          <cell r="H34">
            <v>-250</v>
          </cell>
        </row>
        <row r="35">
          <cell r="B35" t="str">
            <v>-материалы за счет прибыли</v>
          </cell>
          <cell r="E35">
            <v>320</v>
          </cell>
        </row>
        <row r="37">
          <cell r="B37" t="str">
            <v>Членские взносы в Объединение РаЭл</v>
          </cell>
          <cell r="E37">
            <v>0</v>
          </cell>
          <cell r="F37">
            <v>-300</v>
          </cell>
          <cell r="G37">
            <v>930</v>
          </cell>
          <cell r="H37">
            <v>-630</v>
          </cell>
          <cell r="I37">
            <v>320</v>
          </cell>
        </row>
        <row r="38">
          <cell r="B38" t="str">
            <v>Резерв по сомнительным долгам</v>
          </cell>
          <cell r="E38">
            <v>0</v>
          </cell>
        </row>
        <row r="39">
          <cell r="B39" t="str">
            <v>прибыль на поощрение</v>
          </cell>
          <cell r="E39">
            <v>457</v>
          </cell>
          <cell r="F39">
            <v>-401</v>
          </cell>
          <cell r="G39">
            <v>391</v>
          </cell>
          <cell r="H39">
            <v>-320</v>
          </cell>
          <cell r="I39">
            <v>355</v>
          </cell>
        </row>
        <row r="40">
          <cell r="B40" t="str">
            <v>судебные издержки по исп произв-ву</v>
          </cell>
          <cell r="F40">
            <v>-950</v>
          </cell>
          <cell r="H40">
            <v>-1541</v>
          </cell>
        </row>
        <row r="41">
          <cell r="B41" t="str">
            <v>дебит задолженность более 3 лет</v>
          </cell>
          <cell r="F41">
            <v>-23549</v>
          </cell>
          <cell r="H41">
            <v>-40369</v>
          </cell>
        </row>
        <row r="42">
          <cell r="B42" t="str">
            <v>прочие</v>
          </cell>
          <cell r="E42">
            <v>368</v>
          </cell>
          <cell r="F42">
            <v>-383</v>
          </cell>
          <cell r="G42">
            <v>-221</v>
          </cell>
          <cell r="H42">
            <v>-26508</v>
          </cell>
        </row>
        <row r="44">
          <cell r="E44">
            <v>6199</v>
          </cell>
          <cell r="G44">
            <v>3395</v>
          </cell>
          <cell r="I44">
            <v>6051.3</v>
          </cell>
        </row>
        <row r="47">
          <cell r="E47">
            <v>1488</v>
          </cell>
          <cell r="G47">
            <v>815</v>
          </cell>
          <cell r="I47">
            <v>695</v>
          </cell>
        </row>
        <row r="52">
          <cell r="E52">
            <v>1467</v>
          </cell>
          <cell r="F52">
            <v>-1195</v>
          </cell>
          <cell r="G52">
            <v>1467</v>
          </cell>
        </row>
        <row r="60">
          <cell r="B60" t="str">
            <v>Сбор на содержание милиции</v>
          </cell>
          <cell r="E60">
            <v>45</v>
          </cell>
          <cell r="G60">
            <v>32</v>
          </cell>
          <cell r="I60">
            <v>34.6</v>
          </cell>
        </row>
        <row r="66">
          <cell r="E66">
            <v>2663</v>
          </cell>
          <cell r="F66">
            <v>-8054.7648532569801</v>
          </cell>
          <cell r="G66">
            <v>1579.4</v>
          </cell>
          <cell r="H66">
            <v>-16277.782065401912</v>
          </cell>
          <cell r="I66">
            <v>1048.0407234662571</v>
          </cell>
        </row>
        <row r="67">
          <cell r="E67">
            <v>2143</v>
          </cell>
          <cell r="F67">
            <v>-6481.9230493915538</v>
          </cell>
          <cell r="G67">
            <v>1427.65</v>
          </cell>
          <cell r="H67">
            <v>-14713.799902286335</v>
          </cell>
          <cell r="I67">
            <v>1066.3872743918873</v>
          </cell>
        </row>
        <row r="68">
          <cell r="E68">
            <v>4952</v>
          </cell>
          <cell r="F68">
            <v>-14978.293486041517</v>
          </cell>
          <cell r="G68">
            <v>3150.43</v>
          </cell>
          <cell r="H68">
            <v>-32469.300337029337</v>
          </cell>
          <cell r="I68">
            <v>2996.9460645850368</v>
          </cell>
        </row>
        <row r="69">
          <cell r="E69">
            <v>1418</v>
          </cell>
          <cell r="F69">
            <v>-4289.0186113099498</v>
          </cell>
          <cell r="G69">
            <v>1088.1800000000007</v>
          </cell>
          <cell r="H69">
            <v>-11215.117695282426</v>
          </cell>
          <cell r="I69">
            <v>772.22593755681908</v>
          </cell>
        </row>
      </sheetData>
      <sheetData sheetId="15"/>
      <sheetData sheetId="16"/>
      <sheetData sheetId="17" refreshError="1">
        <row r="4">
          <cell r="K4" t="str">
            <v>БП №1</v>
          </cell>
          <cell r="Q4" t="str">
            <v>БП №2</v>
          </cell>
          <cell r="W4" t="str">
            <v>БП №3</v>
          </cell>
          <cell r="AC4" t="str">
            <v>БП №4</v>
          </cell>
        </row>
        <row r="13">
          <cell r="E13">
            <v>547.77</v>
          </cell>
        </row>
      </sheetData>
      <sheetData sheetId="18">
        <row r="11">
          <cell r="F11">
            <v>230</v>
          </cell>
        </row>
      </sheetData>
      <sheetData sheetId="19"/>
      <sheetData sheetId="20" refreshError="1">
        <row r="24">
          <cell r="K24">
            <v>1538</v>
          </cell>
        </row>
        <row r="25">
          <cell r="K25">
            <v>274</v>
          </cell>
        </row>
        <row r="26">
          <cell r="K26">
            <v>278</v>
          </cell>
        </row>
        <row r="27">
          <cell r="H27">
            <v>78.694000000000003</v>
          </cell>
          <cell r="K27">
            <v>784</v>
          </cell>
        </row>
        <row r="28">
          <cell r="K28">
            <v>202</v>
          </cell>
        </row>
      </sheetData>
      <sheetData sheetId="21" refreshError="1">
        <row r="15">
          <cell r="F15">
            <v>160.33249999999998</v>
          </cell>
          <cell r="H15">
            <v>0.65700000000000003</v>
          </cell>
        </row>
        <row r="27">
          <cell r="F27">
            <v>160.33249999999998</v>
          </cell>
          <cell r="H27">
            <v>78.694000000000003</v>
          </cell>
        </row>
        <row r="45">
          <cell r="F45">
            <v>128.09136000000001</v>
          </cell>
          <cell r="H45">
            <v>1.0660000000000001</v>
          </cell>
        </row>
        <row r="93">
          <cell r="F93">
            <v>167.03239611517782</v>
          </cell>
          <cell r="G93">
            <v>90.501999999999995</v>
          </cell>
          <cell r="H93">
            <v>3.157</v>
          </cell>
        </row>
        <row r="105">
          <cell r="F105">
            <v>167.03239611517782</v>
          </cell>
          <cell r="G105">
            <v>38.502000000000002</v>
          </cell>
          <cell r="H105">
            <v>87.676000000000002</v>
          </cell>
        </row>
        <row r="122">
          <cell r="F122">
            <v>113.3886840778824</v>
          </cell>
          <cell r="G122">
            <v>38.502000000000002</v>
          </cell>
          <cell r="H122">
            <v>1.0660000000000001</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ow r="10">
          <cell r="D10" t="str">
            <v>Действующая ИПР</v>
          </cell>
        </row>
      </sheetData>
      <sheetData sheetId="30"/>
      <sheetData sheetId="31"/>
      <sheetData sheetId="32">
        <row r="10">
          <cell r="D10" t="str">
            <v>Действующая ИПР</v>
          </cell>
        </row>
      </sheetData>
      <sheetData sheetId="33"/>
      <sheetData sheetId="34"/>
      <sheetData sheetId="35">
        <row r="10">
          <cell r="D10" t="str">
            <v>Действующая ИПР</v>
          </cell>
        </row>
      </sheetData>
      <sheetData sheetId="36"/>
      <sheetData sheetId="37"/>
      <sheetData sheetId="38" refreshError="1"/>
      <sheetData sheetId="39" refreshError="1"/>
      <sheetData sheetId="40" refreshError="1"/>
      <sheetData sheetId="41" refreshError="1"/>
      <sheetData sheetId="42" refreshError="1"/>
      <sheetData sheetId="43">
        <row r="10">
          <cell r="B10" t="str">
            <v>Наименование статей</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10">
          <cell r="B10">
            <v>0</v>
          </cell>
        </row>
      </sheetData>
      <sheetData sheetId="65">
        <row r="11">
          <cell r="L11">
            <v>14851</v>
          </cell>
        </row>
      </sheetData>
      <sheetData sheetId="6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0"/>
      <sheetName val="1"/>
      <sheetName val="2"/>
      <sheetName val="3"/>
      <sheetName val="4"/>
      <sheetName val="4.1"/>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Регионы"/>
      <sheetName val="перекрестка"/>
      <sheetName val="18.2"/>
      <sheetName val="21.3"/>
      <sheetName val="2.3"/>
      <sheetName val="P2.1"/>
    </sheetNames>
    <sheetDataSet>
      <sheetData sheetId="0" refreshError="1"/>
      <sheetData sheetId="1" refreshError="1"/>
      <sheetData sheetId="2" refreshError="1">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D10">
            <v>0</v>
          </cell>
          <cell r="E10">
            <v>0</v>
          </cell>
          <cell r="F10">
            <v>0</v>
          </cell>
          <cell r="G10">
            <v>0</v>
          </cell>
          <cell r="H10">
            <v>0</v>
          </cell>
          <cell r="I10">
            <v>0</v>
          </cell>
          <cell r="J10">
            <v>0</v>
          </cell>
          <cell r="K10">
            <v>0</v>
          </cell>
          <cell r="L10">
            <v>0</v>
          </cell>
        </row>
        <row r="11">
          <cell r="D11">
            <v>0</v>
          </cell>
          <cell r="E11">
            <v>0</v>
          </cell>
          <cell r="F11">
            <v>0</v>
          </cell>
          <cell r="G11">
            <v>0</v>
          </cell>
          <cell r="H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D13">
            <v>0</v>
          </cell>
          <cell r="E13">
            <v>0</v>
          </cell>
          <cell r="F13">
            <v>0</v>
          </cell>
          <cell r="G13">
            <v>0</v>
          </cell>
          <cell r="H13">
            <v>0</v>
          </cell>
          <cell r="I13">
            <v>0</v>
          </cell>
          <cell r="J13">
            <v>0</v>
          </cell>
          <cell r="K13">
            <v>0</v>
          </cell>
          <cell r="L13">
            <v>0</v>
          </cell>
        </row>
        <row r="14">
          <cell r="D14">
            <v>0</v>
          </cell>
          <cell r="E14">
            <v>0</v>
          </cell>
          <cell r="F14">
            <v>0</v>
          </cell>
          <cell r="G14">
            <v>0</v>
          </cell>
          <cell r="H14">
            <v>0</v>
          </cell>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row r="17">
          <cell r="D17">
            <v>0</v>
          </cell>
          <cell r="E17">
            <v>0</v>
          </cell>
          <cell r="F17">
            <v>0</v>
          </cell>
          <cell r="G17">
            <v>0</v>
          </cell>
          <cell r="H17">
            <v>0</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row r="20">
          <cell r="D20">
            <v>0</v>
          </cell>
          <cell r="E20">
            <v>0</v>
          </cell>
          <cell r="F20">
            <v>0</v>
          </cell>
          <cell r="G20">
            <v>0</v>
          </cell>
          <cell r="H20">
            <v>0</v>
          </cell>
          <cell r="I20">
            <v>0</v>
          </cell>
          <cell r="J20">
            <v>0</v>
          </cell>
          <cell r="K20">
            <v>0</v>
          </cell>
          <cell r="L20">
            <v>0</v>
          </cell>
        </row>
        <row r="21">
          <cell r="D21">
            <v>0</v>
          </cell>
          <cell r="E21">
            <v>0</v>
          </cell>
          <cell r="F21">
            <v>0</v>
          </cell>
          <cell r="G21">
            <v>0</v>
          </cell>
          <cell r="H21">
            <v>0</v>
          </cell>
          <cell r="I21">
            <v>0</v>
          </cell>
          <cell r="J21">
            <v>0</v>
          </cell>
          <cell r="K21">
            <v>0</v>
          </cell>
          <cell r="L21">
            <v>0</v>
          </cell>
        </row>
        <row r="22">
          <cell r="D22">
            <v>0</v>
          </cell>
          <cell r="E22">
            <v>0</v>
          </cell>
          <cell r="F22">
            <v>0</v>
          </cell>
          <cell r="G22">
            <v>0</v>
          </cell>
          <cell r="H22">
            <v>0</v>
          </cell>
          <cell r="I22">
            <v>0</v>
          </cell>
          <cell r="J22">
            <v>0</v>
          </cell>
          <cell r="K22">
            <v>0</v>
          </cell>
          <cell r="L22">
            <v>0</v>
          </cell>
        </row>
        <row r="23">
          <cell r="D23">
            <v>0</v>
          </cell>
          <cell r="E23">
            <v>0</v>
          </cell>
          <cell r="F23">
            <v>0</v>
          </cell>
          <cell r="G23">
            <v>0</v>
          </cell>
          <cell r="H23">
            <v>0</v>
          </cell>
          <cell r="I23">
            <v>0</v>
          </cell>
          <cell r="J23">
            <v>0</v>
          </cell>
          <cell r="K23">
            <v>0</v>
          </cell>
          <cell r="L23">
            <v>0</v>
          </cell>
        </row>
        <row r="24">
          <cell r="D24">
            <v>0</v>
          </cell>
          <cell r="E24">
            <v>0</v>
          </cell>
          <cell r="F24">
            <v>0</v>
          </cell>
          <cell r="G24">
            <v>0</v>
          </cell>
          <cell r="H24">
            <v>0</v>
          </cell>
          <cell r="I24">
            <v>0</v>
          </cell>
          <cell r="J24">
            <v>0</v>
          </cell>
          <cell r="K24">
            <v>0</v>
          </cell>
          <cell r="L24">
            <v>0</v>
          </cell>
        </row>
        <row r="25">
          <cell r="D25">
            <v>0</v>
          </cell>
          <cell r="E25">
            <v>0</v>
          </cell>
          <cell r="F25">
            <v>0</v>
          </cell>
          <cell r="G25">
            <v>0</v>
          </cell>
          <cell r="H25">
            <v>0</v>
          </cell>
          <cell r="I25">
            <v>0</v>
          </cell>
          <cell r="J25">
            <v>0</v>
          </cell>
          <cell r="K25">
            <v>0</v>
          </cell>
          <cell r="L25">
            <v>0</v>
          </cell>
        </row>
        <row r="26">
          <cell r="D26">
            <v>0</v>
          </cell>
          <cell r="E26">
            <v>0</v>
          </cell>
          <cell r="F26">
            <v>0</v>
          </cell>
          <cell r="G26">
            <v>0</v>
          </cell>
          <cell r="H26">
            <v>0</v>
          </cell>
          <cell r="I26">
            <v>0</v>
          </cell>
          <cell r="J26">
            <v>0</v>
          </cell>
          <cell r="K26">
            <v>0</v>
          </cell>
          <cell r="L26">
            <v>0</v>
          </cell>
        </row>
        <row r="27">
          <cell r="D27">
            <v>0</v>
          </cell>
          <cell r="E27">
            <v>0</v>
          </cell>
          <cell r="F27">
            <v>0</v>
          </cell>
          <cell r="G27">
            <v>0</v>
          </cell>
          <cell r="H27">
            <v>0</v>
          </cell>
          <cell r="I27">
            <v>0</v>
          </cell>
          <cell r="J27">
            <v>0</v>
          </cell>
          <cell r="K27">
            <v>0</v>
          </cell>
          <cell r="L27">
            <v>0</v>
          </cell>
        </row>
        <row r="28">
          <cell r="D28">
            <v>0</v>
          </cell>
          <cell r="E28">
            <v>0</v>
          </cell>
          <cell r="F28">
            <v>0</v>
          </cell>
          <cell r="G28">
            <v>0</v>
          </cell>
          <cell r="H28">
            <v>0</v>
          </cell>
          <cell r="I28">
            <v>0</v>
          </cell>
          <cell r="J28">
            <v>0</v>
          </cell>
          <cell r="K28">
            <v>0</v>
          </cell>
          <cell r="L28">
            <v>0</v>
          </cell>
        </row>
        <row r="29">
          <cell r="I29">
            <v>0</v>
          </cell>
          <cell r="J29">
            <v>0</v>
          </cell>
          <cell r="K29">
            <v>0</v>
          </cell>
          <cell r="L29">
            <v>0</v>
          </cell>
        </row>
        <row r="30">
          <cell r="D30">
            <v>0</v>
          </cell>
          <cell r="E30">
            <v>0</v>
          </cell>
          <cell r="F30">
            <v>0</v>
          </cell>
          <cell r="G30">
            <v>0</v>
          </cell>
          <cell r="H30">
            <v>0</v>
          </cell>
          <cell r="I30">
            <v>0</v>
          </cell>
          <cell r="J30">
            <v>0</v>
          </cell>
          <cell r="K30">
            <v>0</v>
          </cell>
          <cell r="L30">
            <v>0</v>
          </cell>
        </row>
        <row r="31">
          <cell r="D31">
            <v>0</v>
          </cell>
          <cell r="E31">
            <v>0</v>
          </cell>
          <cell r="F31">
            <v>0</v>
          </cell>
          <cell r="G31">
            <v>0</v>
          </cell>
          <cell r="H31">
            <v>0</v>
          </cell>
          <cell r="I31">
            <v>0</v>
          </cell>
          <cell r="J31">
            <v>0</v>
          </cell>
          <cell r="K31">
            <v>0</v>
          </cell>
          <cell r="L31">
            <v>0</v>
          </cell>
        </row>
        <row r="32">
          <cell r="D32">
            <v>0</v>
          </cell>
          <cell r="E32">
            <v>0</v>
          </cell>
          <cell r="F32">
            <v>0</v>
          </cell>
          <cell r="G32">
            <v>0</v>
          </cell>
          <cell r="H32">
            <v>0</v>
          </cell>
          <cell r="I32">
            <v>0</v>
          </cell>
          <cell r="J32">
            <v>0</v>
          </cell>
          <cell r="K32">
            <v>0</v>
          </cell>
          <cell r="L32">
            <v>0</v>
          </cell>
        </row>
        <row r="33">
          <cell r="D33">
            <v>0</v>
          </cell>
          <cell r="E33">
            <v>0</v>
          </cell>
          <cell r="F33">
            <v>0</v>
          </cell>
          <cell r="G33">
            <v>0</v>
          </cell>
          <cell r="H33">
            <v>0</v>
          </cell>
          <cell r="I33">
            <v>0</v>
          </cell>
          <cell r="J33">
            <v>0</v>
          </cell>
          <cell r="K33">
            <v>0</v>
          </cell>
          <cell r="L33">
            <v>0</v>
          </cell>
        </row>
        <row r="34">
          <cell r="D34">
            <v>0</v>
          </cell>
          <cell r="E34">
            <v>0</v>
          </cell>
          <cell r="F34">
            <v>0</v>
          </cell>
          <cell r="G34">
            <v>0</v>
          </cell>
          <cell r="H34">
            <v>0</v>
          </cell>
          <cell r="I34">
            <v>0</v>
          </cell>
          <cell r="J34">
            <v>0</v>
          </cell>
          <cell r="K34">
            <v>0</v>
          </cell>
          <cell r="L34">
            <v>0</v>
          </cell>
        </row>
        <row r="35">
          <cell r="D35">
            <v>0</v>
          </cell>
          <cell r="E35">
            <v>0</v>
          </cell>
          <cell r="F35">
            <v>0</v>
          </cell>
          <cell r="G35">
            <v>0</v>
          </cell>
          <cell r="H35">
            <v>0</v>
          </cell>
          <cell r="I35">
            <v>0</v>
          </cell>
          <cell r="J35">
            <v>0</v>
          </cell>
          <cell r="K35">
            <v>0</v>
          </cell>
          <cell r="L35">
            <v>0</v>
          </cell>
        </row>
        <row r="36">
          <cell r="D36">
            <v>0</v>
          </cell>
          <cell r="E36">
            <v>0</v>
          </cell>
          <cell r="F36">
            <v>0</v>
          </cell>
          <cell r="G36">
            <v>0</v>
          </cell>
          <cell r="H36">
            <v>0</v>
          </cell>
          <cell r="I36">
            <v>0</v>
          </cell>
          <cell r="J36">
            <v>0</v>
          </cell>
          <cell r="K36">
            <v>0</v>
          </cell>
          <cell r="L36">
            <v>0</v>
          </cell>
        </row>
        <row r="37">
          <cell r="D37">
            <v>0</v>
          </cell>
          <cell r="E37">
            <v>0</v>
          </cell>
          <cell r="F37">
            <v>0</v>
          </cell>
          <cell r="G37">
            <v>0</v>
          </cell>
          <cell r="H37">
            <v>0</v>
          </cell>
          <cell r="I37">
            <v>0</v>
          </cell>
          <cell r="J37">
            <v>0</v>
          </cell>
          <cell r="K37">
            <v>0</v>
          </cell>
          <cell r="L37">
            <v>0</v>
          </cell>
        </row>
        <row r="38">
          <cell r="D38">
            <v>0</v>
          </cell>
          <cell r="E38">
            <v>0</v>
          </cell>
          <cell r="F38">
            <v>0</v>
          </cell>
          <cell r="G38">
            <v>0</v>
          </cell>
          <cell r="H38">
            <v>0</v>
          </cell>
          <cell r="I38">
            <v>0</v>
          </cell>
          <cell r="J38">
            <v>0</v>
          </cell>
          <cell r="K38">
            <v>0</v>
          </cell>
          <cell r="L38">
            <v>0</v>
          </cell>
        </row>
        <row r="39">
          <cell r="D39">
            <v>0</v>
          </cell>
          <cell r="E39">
            <v>0</v>
          </cell>
          <cell r="F39">
            <v>0</v>
          </cell>
          <cell r="G39">
            <v>0</v>
          </cell>
          <cell r="H39">
            <v>0</v>
          </cell>
          <cell r="I39">
            <v>0</v>
          </cell>
          <cell r="J39">
            <v>0</v>
          </cell>
          <cell r="K39">
            <v>0</v>
          </cell>
          <cell r="L39">
            <v>0</v>
          </cell>
        </row>
        <row r="40">
          <cell r="D40">
            <v>0</v>
          </cell>
          <cell r="E40">
            <v>0</v>
          </cell>
          <cell r="F40">
            <v>0</v>
          </cell>
          <cell r="G40">
            <v>0</v>
          </cell>
          <cell r="H40">
            <v>0</v>
          </cell>
          <cell r="I40">
            <v>0</v>
          </cell>
          <cell r="J40">
            <v>0</v>
          </cell>
          <cell r="K40">
            <v>0</v>
          </cell>
          <cell r="L40">
            <v>0</v>
          </cell>
        </row>
        <row r="41">
          <cell r="D41">
            <v>0</v>
          </cell>
          <cell r="E41">
            <v>0</v>
          </cell>
          <cell r="F41">
            <v>0</v>
          </cell>
          <cell r="G41">
            <v>0</v>
          </cell>
          <cell r="H41">
            <v>0</v>
          </cell>
          <cell r="I41">
            <v>0</v>
          </cell>
          <cell r="J41">
            <v>0</v>
          </cell>
          <cell r="K41">
            <v>0</v>
          </cell>
          <cell r="L41">
            <v>0</v>
          </cell>
        </row>
        <row r="42">
          <cell r="D42">
            <v>0</v>
          </cell>
          <cell r="E42">
            <v>0</v>
          </cell>
          <cell r="F42">
            <v>0</v>
          </cell>
          <cell r="G42">
            <v>0</v>
          </cell>
          <cell r="H42">
            <v>0</v>
          </cell>
          <cell r="I42">
            <v>0</v>
          </cell>
          <cell r="J42">
            <v>0</v>
          </cell>
          <cell r="K42">
            <v>0</v>
          </cell>
          <cell r="L42">
            <v>0</v>
          </cell>
        </row>
        <row r="43">
          <cell r="D43">
            <v>0</v>
          </cell>
          <cell r="E43">
            <v>0</v>
          </cell>
          <cell r="F43">
            <v>0</v>
          </cell>
          <cell r="G43">
            <v>0</v>
          </cell>
          <cell r="H43">
            <v>0</v>
          </cell>
          <cell r="I43">
            <v>0</v>
          </cell>
          <cell r="J43">
            <v>0</v>
          </cell>
          <cell r="K43">
            <v>0</v>
          </cell>
          <cell r="L43">
            <v>0</v>
          </cell>
        </row>
        <row r="44">
          <cell r="D44">
            <v>0</v>
          </cell>
          <cell r="E44">
            <v>0</v>
          </cell>
          <cell r="F44">
            <v>0</v>
          </cell>
          <cell r="G44">
            <v>0</v>
          </cell>
          <cell r="H44">
            <v>0</v>
          </cell>
          <cell r="I44">
            <v>0</v>
          </cell>
          <cell r="J44">
            <v>0</v>
          </cell>
          <cell r="K44">
            <v>0</v>
          </cell>
          <cell r="L44">
            <v>0</v>
          </cell>
        </row>
        <row r="45">
          <cell r="D45">
            <v>0</v>
          </cell>
          <cell r="E45">
            <v>0</v>
          </cell>
          <cell r="F45">
            <v>0</v>
          </cell>
          <cell r="G45">
            <v>0</v>
          </cell>
          <cell r="H45">
            <v>0</v>
          </cell>
          <cell r="I45">
            <v>0</v>
          </cell>
          <cell r="J45">
            <v>0</v>
          </cell>
          <cell r="K45">
            <v>0</v>
          </cell>
          <cell r="L45">
            <v>0</v>
          </cell>
        </row>
        <row r="46">
          <cell r="D46">
            <v>0</v>
          </cell>
          <cell r="E46">
            <v>0</v>
          </cell>
          <cell r="F46">
            <v>0</v>
          </cell>
          <cell r="G46">
            <v>0</v>
          </cell>
          <cell r="H46">
            <v>0</v>
          </cell>
          <cell r="I46">
            <v>0</v>
          </cell>
          <cell r="J46">
            <v>0</v>
          </cell>
          <cell r="K46">
            <v>0</v>
          </cell>
          <cell r="L46">
            <v>0</v>
          </cell>
        </row>
        <row r="47">
          <cell r="D47">
            <v>0</v>
          </cell>
          <cell r="E47">
            <v>0</v>
          </cell>
          <cell r="F47">
            <v>0</v>
          </cell>
          <cell r="G47">
            <v>0</v>
          </cell>
          <cell r="H47">
            <v>0</v>
          </cell>
          <cell r="I47">
            <v>0</v>
          </cell>
          <cell r="J47">
            <v>0</v>
          </cell>
          <cell r="K47">
            <v>0</v>
          </cell>
          <cell r="L47">
            <v>0</v>
          </cell>
        </row>
        <row r="48">
          <cell r="D48">
            <v>0</v>
          </cell>
          <cell r="E48">
            <v>0</v>
          </cell>
          <cell r="F48">
            <v>0</v>
          </cell>
          <cell r="G48">
            <v>0</v>
          </cell>
          <cell r="H48">
            <v>0</v>
          </cell>
          <cell r="I48">
            <v>0</v>
          </cell>
          <cell r="J48">
            <v>0</v>
          </cell>
          <cell r="K48">
            <v>0</v>
          </cell>
          <cell r="L48">
            <v>0</v>
          </cell>
        </row>
        <row r="49">
          <cell r="D49">
            <v>0</v>
          </cell>
          <cell r="E49">
            <v>0</v>
          </cell>
          <cell r="F49">
            <v>0</v>
          </cell>
          <cell r="G49">
            <v>0</v>
          </cell>
          <cell r="H49">
            <v>0</v>
          </cell>
          <cell r="I49">
            <v>0</v>
          </cell>
          <cell r="J49">
            <v>0</v>
          </cell>
          <cell r="K49">
            <v>0</v>
          </cell>
          <cell r="L49">
            <v>0</v>
          </cell>
        </row>
        <row r="50">
          <cell r="D50">
            <v>0</v>
          </cell>
          <cell r="E50">
            <v>0</v>
          </cell>
          <cell r="F50">
            <v>0</v>
          </cell>
          <cell r="G50">
            <v>0</v>
          </cell>
          <cell r="H50">
            <v>0</v>
          </cell>
          <cell r="I50">
            <v>0</v>
          </cell>
          <cell r="J50">
            <v>0</v>
          </cell>
          <cell r="K50">
            <v>0</v>
          </cell>
          <cell r="L50">
            <v>0</v>
          </cell>
        </row>
        <row r="51">
          <cell r="D51">
            <v>0</v>
          </cell>
          <cell r="E51">
            <v>0</v>
          </cell>
          <cell r="F51">
            <v>0</v>
          </cell>
          <cell r="G51">
            <v>0</v>
          </cell>
          <cell r="H51">
            <v>0</v>
          </cell>
          <cell r="I51">
            <v>0</v>
          </cell>
          <cell r="J51">
            <v>0</v>
          </cell>
          <cell r="K51">
            <v>0</v>
          </cell>
          <cell r="L51">
            <v>0</v>
          </cell>
        </row>
        <row r="52">
          <cell r="D52">
            <v>0</v>
          </cell>
          <cell r="E52">
            <v>0</v>
          </cell>
          <cell r="F52">
            <v>0</v>
          </cell>
          <cell r="G52">
            <v>0</v>
          </cell>
          <cell r="H52">
            <v>0</v>
          </cell>
          <cell r="I52">
            <v>0</v>
          </cell>
          <cell r="J52">
            <v>0</v>
          </cell>
          <cell r="K52">
            <v>0</v>
          </cell>
          <cell r="L52">
            <v>0</v>
          </cell>
        </row>
        <row r="54">
          <cell r="D54">
            <v>0</v>
          </cell>
          <cell r="E54">
            <v>0</v>
          </cell>
          <cell r="F54">
            <v>0</v>
          </cell>
          <cell r="G54">
            <v>0</v>
          </cell>
          <cell r="H54">
            <v>0</v>
          </cell>
          <cell r="I54">
            <v>0</v>
          </cell>
          <cell r="J54">
            <v>0</v>
          </cell>
          <cell r="K54">
            <v>0</v>
          </cell>
          <cell r="L54">
            <v>0</v>
          </cell>
        </row>
        <row r="55">
          <cell r="D55">
            <v>0</v>
          </cell>
          <cell r="E55">
            <v>0</v>
          </cell>
          <cell r="F55">
            <v>0</v>
          </cell>
          <cell r="G55">
            <v>0</v>
          </cell>
          <cell r="H55">
            <v>0</v>
          </cell>
          <cell r="I55">
            <v>0</v>
          </cell>
          <cell r="J55">
            <v>0</v>
          </cell>
          <cell r="K55">
            <v>0</v>
          </cell>
          <cell r="L55">
            <v>0</v>
          </cell>
        </row>
        <row r="56">
          <cell r="D56">
            <v>0</v>
          </cell>
          <cell r="E56">
            <v>0</v>
          </cell>
          <cell r="F56">
            <v>0</v>
          </cell>
          <cell r="G56">
            <v>0</v>
          </cell>
          <cell r="H56">
            <v>0</v>
          </cell>
          <cell r="I56">
            <v>0</v>
          </cell>
          <cell r="J56">
            <v>0</v>
          </cell>
          <cell r="K56">
            <v>0</v>
          </cell>
          <cell r="L56">
            <v>0</v>
          </cell>
        </row>
        <row r="57">
          <cell r="D57">
            <v>0</v>
          </cell>
          <cell r="E57">
            <v>0</v>
          </cell>
          <cell r="F57">
            <v>0</v>
          </cell>
          <cell r="G57">
            <v>0</v>
          </cell>
          <cell r="H57">
            <v>0</v>
          </cell>
          <cell r="I57">
            <v>0</v>
          </cell>
          <cell r="J57">
            <v>0</v>
          </cell>
          <cell r="K57">
            <v>0</v>
          </cell>
          <cell r="L57">
            <v>0</v>
          </cell>
        </row>
        <row r="58">
          <cell r="D58">
            <v>0</v>
          </cell>
          <cell r="E58">
            <v>0</v>
          </cell>
          <cell r="F58">
            <v>0</v>
          </cell>
          <cell r="G58">
            <v>0</v>
          </cell>
          <cell r="H58">
            <v>0</v>
          </cell>
          <cell r="I58">
            <v>0</v>
          </cell>
          <cell r="J58">
            <v>0</v>
          </cell>
          <cell r="K58">
            <v>0</v>
          </cell>
          <cell r="L58">
            <v>0</v>
          </cell>
        </row>
        <row r="59">
          <cell r="D59">
            <v>0</v>
          </cell>
          <cell r="E59">
            <v>0</v>
          </cell>
          <cell r="F59">
            <v>0</v>
          </cell>
          <cell r="G59">
            <v>0</v>
          </cell>
          <cell r="H59">
            <v>0</v>
          </cell>
          <cell r="I59">
            <v>0</v>
          </cell>
          <cell r="J59">
            <v>0</v>
          </cell>
          <cell r="K59">
            <v>0</v>
          </cell>
          <cell r="L59">
            <v>0</v>
          </cell>
        </row>
        <row r="61">
          <cell r="I61">
            <v>0</v>
          </cell>
          <cell r="J61">
            <v>0</v>
          </cell>
          <cell r="K61">
            <v>0</v>
          </cell>
          <cell r="L61">
            <v>0</v>
          </cell>
        </row>
        <row r="63">
          <cell r="D63">
            <v>0</v>
          </cell>
          <cell r="E63">
            <v>0</v>
          </cell>
          <cell r="F63">
            <v>0</v>
          </cell>
          <cell r="G63">
            <v>0</v>
          </cell>
          <cell r="H63">
            <v>0</v>
          </cell>
          <cell r="I63">
            <v>0</v>
          </cell>
          <cell r="J63">
            <v>0</v>
          </cell>
          <cell r="K63">
            <v>0</v>
          </cell>
          <cell r="L63">
            <v>0</v>
          </cell>
        </row>
        <row r="64">
          <cell r="D64">
            <v>0</v>
          </cell>
          <cell r="E64">
            <v>0</v>
          </cell>
          <cell r="F64">
            <v>0</v>
          </cell>
          <cell r="G64">
            <v>0</v>
          </cell>
          <cell r="H64">
            <v>0</v>
          </cell>
          <cell r="I64">
            <v>0</v>
          </cell>
          <cell r="J64">
            <v>0</v>
          </cell>
          <cell r="K64">
            <v>0</v>
          </cell>
          <cell r="L64">
            <v>0</v>
          </cell>
        </row>
        <row r="66">
          <cell r="D66">
            <v>0</v>
          </cell>
          <cell r="E66">
            <v>0</v>
          </cell>
          <cell r="F66">
            <v>0</v>
          </cell>
          <cell r="G66">
            <v>0</v>
          </cell>
          <cell r="I66">
            <v>0</v>
          </cell>
          <cell r="J66">
            <v>0</v>
          </cell>
          <cell r="K66">
            <v>0</v>
          </cell>
          <cell r="L66">
            <v>0</v>
          </cell>
        </row>
        <row r="68">
          <cell r="D68">
            <v>0</v>
          </cell>
          <cell r="E68">
            <v>0</v>
          </cell>
          <cell r="F68">
            <v>0</v>
          </cell>
          <cell r="G68">
            <v>0</v>
          </cell>
          <cell r="H68">
            <v>0</v>
          </cell>
          <cell r="I68">
            <v>0</v>
          </cell>
          <cell r="J68">
            <v>0</v>
          </cell>
          <cell r="K68">
            <v>0</v>
          </cell>
          <cell r="L68">
            <v>0</v>
          </cell>
        </row>
        <row r="69">
          <cell r="D69">
            <v>0</v>
          </cell>
          <cell r="E69">
            <v>0</v>
          </cell>
          <cell r="F69">
            <v>0</v>
          </cell>
          <cell r="G69">
            <v>0</v>
          </cell>
          <cell r="H69">
            <v>0</v>
          </cell>
          <cell r="I69">
            <v>0</v>
          </cell>
          <cell r="J69">
            <v>0</v>
          </cell>
          <cell r="K69">
            <v>0</v>
          </cell>
          <cell r="L69">
            <v>0</v>
          </cell>
        </row>
        <row r="70">
          <cell r="D70">
            <v>0</v>
          </cell>
          <cell r="E70">
            <v>0</v>
          </cell>
          <cell r="F70">
            <v>0</v>
          </cell>
          <cell r="G70">
            <v>0</v>
          </cell>
          <cell r="H70">
            <v>0</v>
          </cell>
          <cell r="I70">
            <v>0</v>
          </cell>
          <cell r="J70">
            <v>0</v>
          </cell>
          <cell r="K70">
            <v>0</v>
          </cell>
          <cell r="L70">
            <v>0</v>
          </cell>
        </row>
        <row r="72">
          <cell r="D72">
            <v>0</v>
          </cell>
          <cell r="E72">
            <v>0</v>
          </cell>
          <cell r="F72">
            <v>0</v>
          </cell>
          <cell r="G72">
            <v>0</v>
          </cell>
          <cell r="H72">
            <v>0</v>
          </cell>
          <cell r="I72">
            <v>0</v>
          </cell>
          <cell r="J72">
            <v>0</v>
          </cell>
          <cell r="K72">
            <v>0</v>
          </cell>
          <cell r="L72">
            <v>0</v>
          </cell>
        </row>
        <row r="73">
          <cell r="D73">
            <v>0</v>
          </cell>
          <cell r="E73">
            <v>0</v>
          </cell>
          <cell r="F73">
            <v>0</v>
          </cell>
          <cell r="G73">
            <v>0</v>
          </cell>
          <cell r="H73">
            <v>0</v>
          </cell>
          <cell r="I73">
            <v>0</v>
          </cell>
          <cell r="J73">
            <v>0</v>
          </cell>
          <cell r="K73">
            <v>0</v>
          </cell>
          <cell r="L73">
            <v>0</v>
          </cell>
        </row>
        <row r="74">
          <cell r="D74">
            <v>0</v>
          </cell>
          <cell r="E74">
            <v>0</v>
          </cell>
          <cell r="F74">
            <v>0</v>
          </cell>
          <cell r="G74">
            <v>0</v>
          </cell>
          <cell r="H74">
            <v>0</v>
          </cell>
          <cell r="I74">
            <v>0</v>
          </cell>
          <cell r="J74">
            <v>0</v>
          </cell>
          <cell r="K74">
            <v>0</v>
          </cell>
          <cell r="L74">
            <v>0</v>
          </cell>
        </row>
        <row r="77">
          <cell r="D77">
            <v>0</v>
          </cell>
          <cell r="E77">
            <v>0</v>
          </cell>
          <cell r="F77">
            <v>0</v>
          </cell>
          <cell r="G77">
            <v>0</v>
          </cell>
          <cell r="H77">
            <v>0</v>
          </cell>
          <cell r="I77">
            <v>0</v>
          </cell>
          <cell r="J77">
            <v>0</v>
          </cell>
          <cell r="K77">
            <v>0</v>
          </cell>
          <cell r="L77">
            <v>0</v>
          </cell>
        </row>
        <row r="78">
          <cell r="D78">
            <v>0</v>
          </cell>
          <cell r="E78">
            <v>0</v>
          </cell>
          <cell r="F78">
            <v>0</v>
          </cell>
          <cell r="G78">
            <v>0</v>
          </cell>
          <cell r="H78">
            <v>0</v>
          </cell>
          <cell r="I78">
            <v>0</v>
          </cell>
          <cell r="J78">
            <v>0</v>
          </cell>
          <cell r="K78">
            <v>0</v>
          </cell>
          <cell r="L78">
            <v>0</v>
          </cell>
        </row>
        <row r="79">
          <cell r="D79">
            <v>0</v>
          </cell>
          <cell r="E79">
            <v>0</v>
          </cell>
          <cell r="F79">
            <v>0</v>
          </cell>
          <cell r="G79">
            <v>0</v>
          </cell>
          <cell r="H79">
            <v>0</v>
          </cell>
          <cell r="I79">
            <v>0</v>
          </cell>
          <cell r="J79">
            <v>0</v>
          </cell>
          <cell r="K79">
            <v>0</v>
          </cell>
          <cell r="L79">
            <v>0</v>
          </cell>
        </row>
        <row r="80">
          <cell r="D80">
            <v>0</v>
          </cell>
          <cell r="E80">
            <v>0</v>
          </cell>
          <cell r="F80">
            <v>0</v>
          </cell>
          <cell r="G80">
            <v>0</v>
          </cell>
          <cell r="H80">
            <v>0</v>
          </cell>
          <cell r="I80">
            <v>0</v>
          </cell>
          <cell r="J80">
            <v>0</v>
          </cell>
          <cell r="K80">
            <v>0</v>
          </cell>
          <cell r="L80">
            <v>0</v>
          </cell>
        </row>
        <row r="81">
          <cell r="D81">
            <v>0</v>
          </cell>
          <cell r="E81">
            <v>0</v>
          </cell>
          <cell r="F81">
            <v>0</v>
          </cell>
          <cell r="G81">
            <v>0</v>
          </cell>
          <cell r="H81">
            <v>0</v>
          </cell>
          <cell r="I81">
            <v>0</v>
          </cell>
          <cell r="J81">
            <v>0</v>
          </cell>
          <cell r="K81">
            <v>0</v>
          </cell>
          <cell r="L81">
            <v>0</v>
          </cell>
        </row>
        <row r="82">
          <cell r="D82">
            <v>0</v>
          </cell>
          <cell r="E82">
            <v>0</v>
          </cell>
          <cell r="F82">
            <v>0</v>
          </cell>
          <cell r="G82">
            <v>0</v>
          </cell>
          <cell r="H82">
            <v>0</v>
          </cell>
          <cell r="I82">
            <v>0</v>
          </cell>
          <cell r="J82">
            <v>0</v>
          </cell>
          <cell r="K82">
            <v>0</v>
          </cell>
          <cell r="L82">
            <v>0</v>
          </cell>
        </row>
        <row r="83">
          <cell r="D83">
            <v>0</v>
          </cell>
          <cell r="E83">
            <v>0</v>
          </cell>
          <cell r="F83">
            <v>0</v>
          </cell>
          <cell r="G83">
            <v>0</v>
          </cell>
          <cell r="H83">
            <v>0</v>
          </cell>
          <cell r="I83">
            <v>0</v>
          </cell>
          <cell r="J83">
            <v>0</v>
          </cell>
          <cell r="K83">
            <v>0</v>
          </cell>
          <cell r="L83">
            <v>0</v>
          </cell>
        </row>
        <row r="84">
          <cell r="D84">
            <v>0</v>
          </cell>
          <cell r="E84">
            <v>0</v>
          </cell>
          <cell r="F84">
            <v>0</v>
          </cell>
          <cell r="G84">
            <v>0</v>
          </cell>
          <cell r="H84">
            <v>0</v>
          </cell>
          <cell r="I84">
            <v>0</v>
          </cell>
          <cell r="J84">
            <v>0</v>
          </cell>
          <cell r="K84">
            <v>0</v>
          </cell>
          <cell r="L84">
            <v>0</v>
          </cell>
        </row>
        <row r="85">
          <cell r="D85">
            <v>0</v>
          </cell>
          <cell r="E85">
            <v>0</v>
          </cell>
          <cell r="F85">
            <v>0</v>
          </cell>
          <cell r="G85">
            <v>0</v>
          </cell>
          <cell r="H85">
            <v>0</v>
          </cell>
          <cell r="I85">
            <v>0</v>
          </cell>
          <cell r="J85">
            <v>0</v>
          </cell>
          <cell r="K85">
            <v>0</v>
          </cell>
          <cell r="L85">
            <v>0</v>
          </cell>
        </row>
        <row r="86">
          <cell r="D86">
            <v>0</v>
          </cell>
          <cell r="E86">
            <v>0</v>
          </cell>
          <cell r="F86">
            <v>0</v>
          </cell>
          <cell r="G86">
            <v>0</v>
          </cell>
          <cell r="H86">
            <v>0</v>
          </cell>
          <cell r="I86">
            <v>0</v>
          </cell>
          <cell r="J86">
            <v>0</v>
          </cell>
          <cell r="K86">
            <v>0</v>
          </cell>
          <cell r="L86">
            <v>0</v>
          </cell>
        </row>
        <row r="87">
          <cell r="D87">
            <v>0</v>
          </cell>
          <cell r="E87">
            <v>0</v>
          </cell>
          <cell r="F87">
            <v>0</v>
          </cell>
          <cell r="G87">
            <v>0</v>
          </cell>
          <cell r="H87">
            <v>0</v>
          </cell>
          <cell r="I87">
            <v>0</v>
          </cell>
          <cell r="J87">
            <v>0</v>
          </cell>
          <cell r="K87">
            <v>0</v>
          </cell>
          <cell r="L87">
            <v>0</v>
          </cell>
        </row>
        <row r="88">
          <cell r="I88">
            <v>0</v>
          </cell>
          <cell r="J88">
            <v>0</v>
          </cell>
          <cell r="K88">
            <v>0</v>
          </cell>
          <cell r="L88">
            <v>0</v>
          </cell>
        </row>
        <row r="89">
          <cell r="D89">
            <v>0</v>
          </cell>
          <cell r="E89">
            <v>0</v>
          </cell>
          <cell r="F89">
            <v>0</v>
          </cell>
          <cell r="G89">
            <v>0</v>
          </cell>
          <cell r="H89">
            <v>0</v>
          </cell>
          <cell r="I89">
            <v>0</v>
          </cell>
          <cell r="J89">
            <v>0</v>
          </cell>
          <cell r="K89">
            <v>0</v>
          </cell>
          <cell r="L89">
            <v>0</v>
          </cell>
        </row>
        <row r="90">
          <cell r="D90">
            <v>0</v>
          </cell>
          <cell r="E90">
            <v>0</v>
          </cell>
          <cell r="F90">
            <v>0</v>
          </cell>
          <cell r="G90">
            <v>0</v>
          </cell>
          <cell r="H90">
            <v>0</v>
          </cell>
          <cell r="I90">
            <v>0</v>
          </cell>
          <cell r="J90">
            <v>0</v>
          </cell>
          <cell r="K90">
            <v>0</v>
          </cell>
          <cell r="L90">
            <v>0</v>
          </cell>
        </row>
        <row r="91">
          <cell r="D91">
            <v>0</v>
          </cell>
          <cell r="E91">
            <v>0</v>
          </cell>
          <cell r="F91">
            <v>0</v>
          </cell>
          <cell r="G91">
            <v>0</v>
          </cell>
          <cell r="H91">
            <v>0</v>
          </cell>
          <cell r="I91">
            <v>0</v>
          </cell>
          <cell r="J91">
            <v>0</v>
          </cell>
          <cell r="K91">
            <v>0</v>
          </cell>
          <cell r="L91">
            <v>0</v>
          </cell>
        </row>
        <row r="92">
          <cell r="D92">
            <v>0</v>
          </cell>
          <cell r="E92">
            <v>0</v>
          </cell>
          <cell r="F92">
            <v>0</v>
          </cell>
          <cell r="G92">
            <v>0</v>
          </cell>
          <cell r="H92">
            <v>0</v>
          </cell>
          <cell r="I92">
            <v>0</v>
          </cell>
          <cell r="J92">
            <v>0</v>
          </cell>
          <cell r="K92">
            <v>0</v>
          </cell>
          <cell r="L92">
            <v>0</v>
          </cell>
        </row>
        <row r="95">
          <cell r="D95">
            <v>0</v>
          </cell>
          <cell r="E95">
            <v>0</v>
          </cell>
          <cell r="F95">
            <v>0</v>
          </cell>
          <cell r="G95">
            <v>0</v>
          </cell>
          <cell r="H95">
            <v>0</v>
          </cell>
          <cell r="I95">
            <v>0</v>
          </cell>
          <cell r="J95">
            <v>0</v>
          </cell>
          <cell r="K95">
            <v>0</v>
          </cell>
          <cell r="L95">
            <v>0</v>
          </cell>
        </row>
        <row r="96">
          <cell r="D96">
            <v>0</v>
          </cell>
          <cell r="E96">
            <v>0</v>
          </cell>
          <cell r="F96">
            <v>0</v>
          </cell>
          <cell r="G96">
            <v>0</v>
          </cell>
          <cell r="H96">
            <v>0</v>
          </cell>
          <cell r="I96">
            <v>0</v>
          </cell>
          <cell r="J96">
            <v>0</v>
          </cell>
          <cell r="K96">
            <v>0</v>
          </cell>
          <cell r="L96">
            <v>0</v>
          </cell>
        </row>
        <row r="97">
          <cell r="D97">
            <v>0</v>
          </cell>
          <cell r="E97">
            <v>0</v>
          </cell>
          <cell r="F97">
            <v>0</v>
          </cell>
          <cell r="G97">
            <v>0</v>
          </cell>
          <cell r="H97">
            <v>0</v>
          </cell>
          <cell r="I97">
            <v>0</v>
          </cell>
          <cell r="J97">
            <v>0</v>
          </cell>
          <cell r="K97">
            <v>0</v>
          </cell>
          <cell r="L97">
            <v>0</v>
          </cell>
        </row>
        <row r="99">
          <cell r="D99">
            <v>0</v>
          </cell>
          <cell r="E99">
            <v>0</v>
          </cell>
          <cell r="F99">
            <v>0</v>
          </cell>
          <cell r="G99">
            <v>0</v>
          </cell>
          <cell r="H99">
            <v>0</v>
          </cell>
          <cell r="I99">
            <v>0</v>
          </cell>
          <cell r="J99">
            <v>0</v>
          </cell>
          <cell r="K99">
            <v>0</v>
          </cell>
          <cell r="L99">
            <v>0</v>
          </cell>
        </row>
        <row r="100">
          <cell r="D100">
            <v>0</v>
          </cell>
          <cell r="E100">
            <v>0</v>
          </cell>
          <cell r="F100">
            <v>0</v>
          </cell>
          <cell r="G100">
            <v>0</v>
          </cell>
          <cell r="H100">
            <v>0</v>
          </cell>
          <cell r="I100">
            <v>0</v>
          </cell>
          <cell r="J100">
            <v>0</v>
          </cell>
          <cell r="K100">
            <v>0</v>
          </cell>
          <cell r="L100">
            <v>0</v>
          </cell>
        </row>
        <row r="101">
          <cell r="I101">
            <v>0</v>
          </cell>
          <cell r="J101">
            <v>0</v>
          </cell>
          <cell r="K101">
            <v>0</v>
          </cell>
          <cell r="L101">
            <v>0</v>
          </cell>
        </row>
        <row r="102">
          <cell r="I102">
            <v>0</v>
          </cell>
          <cell r="J102">
            <v>0</v>
          </cell>
          <cell r="K102">
            <v>0</v>
          </cell>
          <cell r="L102">
            <v>0</v>
          </cell>
        </row>
        <row r="103">
          <cell r="I103">
            <v>0</v>
          </cell>
          <cell r="J103">
            <v>0</v>
          </cell>
          <cell r="K103">
            <v>0</v>
          </cell>
          <cell r="L103">
            <v>0</v>
          </cell>
        </row>
        <row r="104">
          <cell r="I104">
            <v>0</v>
          </cell>
          <cell r="J104">
            <v>0</v>
          </cell>
          <cell r="K104">
            <v>0</v>
          </cell>
          <cell r="L104">
            <v>0</v>
          </cell>
        </row>
        <row r="107">
          <cell r="I107">
            <v>0</v>
          </cell>
          <cell r="J107">
            <v>0</v>
          </cell>
          <cell r="K107">
            <v>0</v>
          </cell>
          <cell r="L107">
            <v>0</v>
          </cell>
        </row>
        <row r="108">
          <cell r="I108">
            <v>0</v>
          </cell>
          <cell r="J108">
            <v>0</v>
          </cell>
          <cell r="K108">
            <v>0</v>
          </cell>
          <cell r="L108">
            <v>0</v>
          </cell>
        </row>
        <row r="111">
          <cell r="I111">
            <v>0</v>
          </cell>
          <cell r="J111">
            <v>0</v>
          </cell>
          <cell r="K111">
            <v>0</v>
          </cell>
          <cell r="L111">
            <v>0</v>
          </cell>
        </row>
        <row r="112">
          <cell r="I112">
            <v>0</v>
          </cell>
          <cell r="J112">
            <v>0</v>
          </cell>
          <cell r="K112">
            <v>0</v>
          </cell>
          <cell r="L112">
            <v>0</v>
          </cell>
        </row>
      </sheetData>
      <sheetData sheetId="3"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I12">
            <v>0</v>
          </cell>
          <cell r="J12">
            <v>0</v>
          </cell>
          <cell r="K12">
            <v>0</v>
          </cell>
          <cell r="L12">
            <v>0</v>
          </cell>
        </row>
        <row r="14">
          <cell r="I14">
            <v>0</v>
          </cell>
          <cell r="J14">
            <v>0</v>
          </cell>
          <cell r="K14">
            <v>0</v>
          </cell>
          <cell r="L14">
            <v>0</v>
          </cell>
        </row>
        <row r="15">
          <cell r="I15">
            <v>0</v>
          </cell>
          <cell r="J15">
            <v>0</v>
          </cell>
          <cell r="K15">
            <v>0</v>
          </cell>
          <cell r="L15">
            <v>0</v>
          </cell>
        </row>
        <row r="16">
          <cell r="I16">
            <v>0</v>
          </cell>
          <cell r="J16">
            <v>0</v>
          </cell>
          <cell r="K16">
            <v>0</v>
          </cell>
          <cell r="L16">
            <v>0</v>
          </cell>
        </row>
        <row r="17">
          <cell r="I17">
            <v>0</v>
          </cell>
          <cell r="J17">
            <v>0</v>
          </cell>
          <cell r="K17">
            <v>0</v>
          </cell>
          <cell r="L17">
            <v>0</v>
          </cell>
        </row>
        <row r="18">
          <cell r="I18">
            <v>0</v>
          </cell>
          <cell r="J18">
            <v>0</v>
          </cell>
          <cell r="K18">
            <v>0</v>
          </cell>
          <cell r="L18">
            <v>0</v>
          </cell>
        </row>
        <row r="20">
          <cell r="I20">
            <v>0</v>
          </cell>
          <cell r="J20">
            <v>0</v>
          </cell>
          <cell r="K20">
            <v>0</v>
          </cell>
          <cell r="L20">
            <v>0</v>
          </cell>
        </row>
        <row r="21">
          <cell r="I21">
            <v>0</v>
          </cell>
          <cell r="J21">
            <v>0</v>
          </cell>
          <cell r="K21">
            <v>0</v>
          </cell>
          <cell r="L21">
            <v>0</v>
          </cell>
        </row>
        <row r="22">
          <cell r="I22">
            <v>0</v>
          </cell>
          <cell r="J22">
            <v>0</v>
          </cell>
          <cell r="K22">
            <v>0</v>
          </cell>
          <cell r="L22">
            <v>0</v>
          </cell>
        </row>
        <row r="23">
          <cell r="D23">
            <v>0</v>
          </cell>
          <cell r="E23">
            <v>0</v>
          </cell>
          <cell r="F23">
            <v>0</v>
          </cell>
          <cell r="G23">
            <v>0</v>
          </cell>
          <cell r="H23">
            <v>0</v>
          </cell>
          <cell r="I23">
            <v>0</v>
          </cell>
          <cell r="J23">
            <v>0</v>
          </cell>
          <cell r="K23">
            <v>0</v>
          </cell>
          <cell r="L23">
            <v>0</v>
          </cell>
        </row>
      </sheetData>
      <sheetData sheetId="4" refreshError="1">
        <row r="6">
          <cell r="I6">
            <v>0</v>
          </cell>
          <cell r="J6">
            <v>0</v>
          </cell>
          <cell r="K6">
            <v>0</v>
          </cell>
          <cell r="L6">
            <v>0</v>
          </cell>
        </row>
        <row r="7">
          <cell r="D7">
            <v>0</v>
          </cell>
          <cell r="E7">
            <v>0</v>
          </cell>
          <cell r="F7">
            <v>0</v>
          </cell>
          <cell r="G7">
            <v>0</v>
          </cell>
          <cell r="H7">
            <v>0</v>
          </cell>
          <cell r="I7">
            <v>0</v>
          </cell>
          <cell r="J7">
            <v>0</v>
          </cell>
          <cell r="K7">
            <v>0</v>
          </cell>
          <cell r="L7">
            <v>0</v>
          </cell>
        </row>
        <row r="8">
          <cell r="I8">
            <v>0</v>
          </cell>
          <cell r="J8">
            <v>0</v>
          </cell>
          <cell r="K8">
            <v>0</v>
          </cell>
          <cell r="L8">
            <v>0</v>
          </cell>
        </row>
        <row r="9">
          <cell r="D9">
            <v>0</v>
          </cell>
          <cell r="E9">
            <v>0</v>
          </cell>
          <cell r="F9">
            <v>0</v>
          </cell>
          <cell r="G9">
            <v>0</v>
          </cell>
          <cell r="H9">
            <v>0</v>
          </cell>
          <cell r="I9">
            <v>0</v>
          </cell>
          <cell r="J9">
            <v>0</v>
          </cell>
          <cell r="K9">
            <v>0</v>
          </cell>
          <cell r="L9">
            <v>0</v>
          </cell>
        </row>
        <row r="10">
          <cell r="I10">
            <v>0</v>
          </cell>
          <cell r="J10">
            <v>0</v>
          </cell>
          <cell r="K10">
            <v>0</v>
          </cell>
          <cell r="L10">
            <v>0</v>
          </cell>
        </row>
        <row r="11">
          <cell r="D11">
            <v>0</v>
          </cell>
          <cell r="E11">
            <v>0</v>
          </cell>
          <cell r="F11">
            <v>0</v>
          </cell>
          <cell r="G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D14">
            <v>0</v>
          </cell>
          <cell r="E14">
            <v>0</v>
          </cell>
          <cell r="F14">
            <v>0</v>
          </cell>
          <cell r="G14">
            <v>0</v>
          </cell>
          <cell r="H14">
            <v>0</v>
          </cell>
          <cell r="I14">
            <v>0</v>
          </cell>
          <cell r="J14">
            <v>0</v>
          </cell>
          <cell r="K14">
            <v>0</v>
          </cell>
          <cell r="L14">
            <v>0</v>
          </cell>
        </row>
        <row r="15">
          <cell r="D15">
            <v>0</v>
          </cell>
          <cell r="E15">
            <v>0</v>
          </cell>
          <cell r="F15">
            <v>0</v>
          </cell>
          <cell r="G15">
            <v>0</v>
          </cell>
          <cell r="H15">
            <v>0</v>
          </cell>
          <cell r="I15">
            <v>0</v>
          </cell>
          <cell r="J15">
            <v>0</v>
          </cell>
          <cell r="K15">
            <v>0</v>
          </cell>
          <cell r="L15">
            <v>0</v>
          </cell>
        </row>
        <row r="16">
          <cell r="I16">
            <v>0</v>
          </cell>
          <cell r="J16">
            <v>0</v>
          </cell>
          <cell r="K16">
            <v>0</v>
          </cell>
          <cell r="L16">
            <v>0</v>
          </cell>
        </row>
        <row r="17">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sheetData>
      <sheetData sheetId="5" refreshError="1">
        <row r="6">
          <cell r="D6">
            <v>0</v>
          </cell>
          <cell r="E6">
            <v>0</v>
          </cell>
          <cell r="F6">
            <v>0</v>
          </cell>
          <cell r="G6">
            <v>0</v>
          </cell>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D14">
            <v>0</v>
          </cell>
          <cell r="E14">
            <v>0</v>
          </cell>
          <cell r="F14">
            <v>0</v>
          </cell>
          <cell r="G14">
            <v>0</v>
          </cell>
          <cell r="H14">
            <v>0</v>
          </cell>
          <cell r="I14">
            <v>0</v>
          </cell>
          <cell r="J14">
            <v>0</v>
          </cell>
          <cell r="K14">
            <v>0</v>
          </cell>
          <cell r="L14">
            <v>0</v>
          </cell>
        </row>
        <row r="15">
          <cell r="I15">
            <v>0</v>
          </cell>
          <cell r="J15">
            <v>0</v>
          </cell>
          <cell r="K15">
            <v>0</v>
          </cell>
          <cell r="L15">
            <v>0</v>
          </cell>
        </row>
        <row r="16">
          <cell r="I16">
            <v>0</v>
          </cell>
          <cell r="J16">
            <v>0</v>
          </cell>
          <cell r="K16">
            <v>0</v>
          </cell>
          <cell r="L16">
            <v>0</v>
          </cell>
        </row>
        <row r="17">
          <cell r="D17">
            <v>0</v>
          </cell>
          <cell r="E17">
            <v>0</v>
          </cell>
          <cell r="F17">
            <v>0</v>
          </cell>
          <cell r="G17">
            <v>0</v>
          </cell>
          <cell r="H17">
            <v>0</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row r="20">
          <cell r="D20">
            <v>0</v>
          </cell>
          <cell r="E20">
            <v>0</v>
          </cell>
          <cell r="F20">
            <v>0</v>
          </cell>
          <cell r="G20">
            <v>0</v>
          </cell>
          <cell r="H20">
            <v>0</v>
          </cell>
          <cell r="I20">
            <v>0</v>
          </cell>
          <cell r="J20">
            <v>0</v>
          </cell>
          <cell r="K20">
            <v>0</v>
          </cell>
          <cell r="L20">
            <v>0</v>
          </cell>
        </row>
      </sheetData>
      <sheetData sheetId="6" refreshError="1">
        <row r="6">
          <cell r="E6">
            <v>0</v>
          </cell>
          <cell r="F6">
            <v>0</v>
          </cell>
          <cell r="G6">
            <v>0</v>
          </cell>
          <cell r="H6">
            <v>0</v>
          </cell>
          <cell r="I6">
            <v>0</v>
          </cell>
          <cell r="J6">
            <v>0</v>
          </cell>
          <cell r="K6">
            <v>0</v>
          </cell>
          <cell r="L6">
            <v>0</v>
          </cell>
          <cell r="M6">
            <v>0</v>
          </cell>
        </row>
        <row r="7">
          <cell r="C7" t="str">
            <v>Уголь</v>
          </cell>
          <cell r="E7">
            <v>0</v>
          </cell>
          <cell r="F7">
            <v>0</v>
          </cell>
          <cell r="G7">
            <v>0</v>
          </cell>
          <cell r="H7">
            <v>0</v>
          </cell>
          <cell r="I7">
            <v>0</v>
          </cell>
          <cell r="J7">
            <v>0</v>
          </cell>
          <cell r="K7">
            <v>0</v>
          </cell>
          <cell r="L7">
            <v>0</v>
          </cell>
          <cell r="M7">
            <v>0</v>
          </cell>
        </row>
        <row r="8">
          <cell r="C8" t="str">
            <v>Мазут</v>
          </cell>
          <cell r="E8">
            <v>0</v>
          </cell>
          <cell r="F8">
            <v>0</v>
          </cell>
          <cell r="G8">
            <v>0</v>
          </cell>
          <cell r="H8">
            <v>0</v>
          </cell>
          <cell r="I8">
            <v>0</v>
          </cell>
          <cell r="J8">
            <v>0</v>
          </cell>
          <cell r="K8">
            <v>0</v>
          </cell>
          <cell r="L8">
            <v>0</v>
          </cell>
          <cell r="M8">
            <v>0</v>
          </cell>
        </row>
        <row r="9">
          <cell r="C9" t="str">
            <v>Газ</v>
          </cell>
          <cell r="E9">
            <v>0</v>
          </cell>
          <cell r="F9">
            <v>0</v>
          </cell>
          <cell r="G9">
            <v>0</v>
          </cell>
          <cell r="H9">
            <v>0</v>
          </cell>
          <cell r="I9">
            <v>0</v>
          </cell>
          <cell r="J9">
            <v>0</v>
          </cell>
          <cell r="K9">
            <v>0</v>
          </cell>
          <cell r="L9">
            <v>0</v>
          </cell>
          <cell r="M9">
            <v>0</v>
          </cell>
        </row>
        <row r="10">
          <cell r="C10" t="str">
            <v>Другие виды топлива</v>
          </cell>
          <cell r="E10">
            <v>0</v>
          </cell>
          <cell r="F10">
            <v>0</v>
          </cell>
          <cell r="G10">
            <v>0</v>
          </cell>
          <cell r="H10">
            <v>0</v>
          </cell>
          <cell r="I10">
            <v>0</v>
          </cell>
          <cell r="J10">
            <v>0</v>
          </cell>
          <cell r="K10">
            <v>0</v>
          </cell>
          <cell r="L10">
            <v>0</v>
          </cell>
          <cell r="M10">
            <v>0</v>
          </cell>
        </row>
        <row r="11">
          <cell r="E11">
            <v>0</v>
          </cell>
          <cell r="F11">
            <v>0</v>
          </cell>
          <cell r="G11">
            <v>0</v>
          </cell>
          <cell r="H11">
            <v>0</v>
          </cell>
          <cell r="I11">
            <v>0</v>
          </cell>
          <cell r="J11">
            <v>0</v>
          </cell>
          <cell r="K11">
            <v>0</v>
          </cell>
          <cell r="L11">
            <v>0</v>
          </cell>
          <cell r="M11">
            <v>0</v>
          </cell>
        </row>
        <row r="13">
          <cell r="E13">
            <v>0</v>
          </cell>
          <cell r="F13">
            <v>0</v>
          </cell>
          <cell r="G13">
            <v>0</v>
          </cell>
          <cell r="H13">
            <v>0</v>
          </cell>
          <cell r="I13">
            <v>0</v>
          </cell>
          <cell r="J13">
            <v>0</v>
          </cell>
          <cell r="K13">
            <v>0</v>
          </cell>
          <cell r="L13">
            <v>0</v>
          </cell>
          <cell r="M13">
            <v>0</v>
          </cell>
        </row>
        <row r="14">
          <cell r="C14" t="str">
            <v>Уголь</v>
          </cell>
          <cell r="J14">
            <v>0</v>
          </cell>
          <cell r="K14">
            <v>0</v>
          </cell>
          <cell r="L14">
            <v>0</v>
          </cell>
          <cell r="M14">
            <v>0</v>
          </cell>
        </row>
        <row r="15">
          <cell r="C15" t="str">
            <v>Мазут</v>
          </cell>
          <cell r="J15">
            <v>0</v>
          </cell>
          <cell r="K15">
            <v>0</v>
          </cell>
          <cell r="L15">
            <v>0</v>
          </cell>
          <cell r="M15">
            <v>0</v>
          </cell>
        </row>
        <row r="16">
          <cell r="C16" t="str">
            <v>Газ</v>
          </cell>
          <cell r="J16">
            <v>0</v>
          </cell>
          <cell r="K16">
            <v>0</v>
          </cell>
          <cell r="L16">
            <v>0</v>
          </cell>
          <cell r="M16">
            <v>0</v>
          </cell>
        </row>
        <row r="17">
          <cell r="C17" t="str">
            <v>Другие виды топлива</v>
          </cell>
          <cell r="J17">
            <v>0</v>
          </cell>
          <cell r="K17">
            <v>0</v>
          </cell>
          <cell r="L17">
            <v>0</v>
          </cell>
          <cell r="M17">
            <v>0</v>
          </cell>
        </row>
        <row r="20">
          <cell r="C20" t="str">
            <v>Уголь</v>
          </cell>
          <cell r="E20">
            <v>0</v>
          </cell>
          <cell r="F20">
            <v>0</v>
          </cell>
          <cell r="G20">
            <v>0</v>
          </cell>
          <cell r="H20">
            <v>0</v>
          </cell>
          <cell r="I20">
            <v>0</v>
          </cell>
          <cell r="J20">
            <v>0</v>
          </cell>
          <cell r="K20">
            <v>0</v>
          </cell>
          <cell r="L20">
            <v>0</v>
          </cell>
          <cell r="M20">
            <v>0</v>
          </cell>
        </row>
        <row r="21">
          <cell r="C21" t="str">
            <v>Мазут</v>
          </cell>
          <cell r="E21">
            <v>0</v>
          </cell>
          <cell r="F21">
            <v>0</v>
          </cell>
          <cell r="G21">
            <v>0</v>
          </cell>
          <cell r="H21">
            <v>0</v>
          </cell>
          <cell r="I21">
            <v>0</v>
          </cell>
          <cell r="J21">
            <v>0</v>
          </cell>
          <cell r="K21">
            <v>0</v>
          </cell>
          <cell r="L21">
            <v>0</v>
          </cell>
          <cell r="M21">
            <v>0</v>
          </cell>
        </row>
        <row r="22">
          <cell r="C22" t="str">
            <v>Газ</v>
          </cell>
          <cell r="E22">
            <v>0</v>
          </cell>
          <cell r="F22">
            <v>0</v>
          </cell>
          <cell r="G22">
            <v>0</v>
          </cell>
          <cell r="H22">
            <v>0</v>
          </cell>
          <cell r="I22">
            <v>0</v>
          </cell>
          <cell r="J22">
            <v>0</v>
          </cell>
          <cell r="K22">
            <v>0</v>
          </cell>
          <cell r="L22">
            <v>0</v>
          </cell>
          <cell r="M22">
            <v>0</v>
          </cell>
        </row>
        <row r="23">
          <cell r="C23" t="str">
            <v>Другие виды топлива</v>
          </cell>
          <cell r="E23">
            <v>0</v>
          </cell>
          <cell r="F23">
            <v>0</v>
          </cell>
          <cell r="G23">
            <v>0</v>
          </cell>
          <cell r="H23">
            <v>0</v>
          </cell>
          <cell r="I23">
            <v>0</v>
          </cell>
          <cell r="J23">
            <v>0</v>
          </cell>
          <cell r="K23">
            <v>0</v>
          </cell>
          <cell r="L23">
            <v>0</v>
          </cell>
          <cell r="M23">
            <v>0</v>
          </cell>
        </row>
        <row r="26">
          <cell r="C26" t="str">
            <v>Уголь</v>
          </cell>
          <cell r="E26">
            <v>0</v>
          </cell>
          <cell r="F26">
            <v>0</v>
          </cell>
          <cell r="G26">
            <v>0</v>
          </cell>
          <cell r="H26">
            <v>0</v>
          </cell>
          <cell r="I26">
            <v>0</v>
          </cell>
          <cell r="J26">
            <v>0</v>
          </cell>
          <cell r="K26">
            <v>0</v>
          </cell>
          <cell r="L26">
            <v>0</v>
          </cell>
          <cell r="M26">
            <v>0</v>
          </cell>
        </row>
        <row r="27">
          <cell r="C27" t="str">
            <v>Мазут</v>
          </cell>
          <cell r="E27">
            <v>0</v>
          </cell>
          <cell r="F27">
            <v>0</v>
          </cell>
          <cell r="G27">
            <v>0</v>
          </cell>
          <cell r="H27">
            <v>0</v>
          </cell>
          <cell r="I27">
            <v>0</v>
          </cell>
          <cell r="J27">
            <v>0</v>
          </cell>
          <cell r="K27">
            <v>0</v>
          </cell>
          <cell r="L27">
            <v>0</v>
          </cell>
          <cell r="M27">
            <v>0</v>
          </cell>
        </row>
        <row r="28">
          <cell r="C28" t="str">
            <v>Газ</v>
          </cell>
          <cell r="E28">
            <v>0</v>
          </cell>
          <cell r="F28">
            <v>0</v>
          </cell>
          <cell r="G28">
            <v>0</v>
          </cell>
          <cell r="H28">
            <v>0</v>
          </cell>
          <cell r="I28">
            <v>0</v>
          </cell>
          <cell r="J28">
            <v>0</v>
          </cell>
          <cell r="K28">
            <v>0</v>
          </cell>
          <cell r="L28">
            <v>0</v>
          </cell>
          <cell r="M28">
            <v>0</v>
          </cell>
        </row>
        <row r="29">
          <cell r="C29" t="str">
            <v>Другие виды топлива</v>
          </cell>
          <cell r="E29">
            <v>0</v>
          </cell>
          <cell r="F29">
            <v>0</v>
          </cell>
          <cell r="G29">
            <v>0</v>
          </cell>
          <cell r="H29">
            <v>0</v>
          </cell>
          <cell r="I29">
            <v>0</v>
          </cell>
          <cell r="J29">
            <v>0</v>
          </cell>
          <cell r="K29">
            <v>0</v>
          </cell>
          <cell r="L29">
            <v>0</v>
          </cell>
          <cell r="M29">
            <v>0</v>
          </cell>
        </row>
        <row r="32">
          <cell r="C32" t="str">
            <v>Уголь</v>
          </cell>
          <cell r="J32">
            <v>0</v>
          </cell>
          <cell r="K32">
            <v>0</v>
          </cell>
          <cell r="L32">
            <v>0</v>
          </cell>
          <cell r="M32">
            <v>0</v>
          </cell>
        </row>
        <row r="33">
          <cell r="C33" t="str">
            <v>Мазут</v>
          </cell>
          <cell r="J33">
            <v>0</v>
          </cell>
          <cell r="K33">
            <v>0</v>
          </cell>
          <cell r="L33">
            <v>0</v>
          </cell>
          <cell r="M33">
            <v>0</v>
          </cell>
        </row>
        <row r="34">
          <cell r="C34" t="str">
            <v>Газ</v>
          </cell>
          <cell r="J34">
            <v>0</v>
          </cell>
          <cell r="K34">
            <v>0</v>
          </cell>
          <cell r="L34">
            <v>0</v>
          </cell>
          <cell r="M34">
            <v>0</v>
          </cell>
        </row>
        <row r="35">
          <cell r="C35" t="str">
            <v>Другие виды топлива</v>
          </cell>
          <cell r="J35">
            <v>0</v>
          </cell>
          <cell r="K35">
            <v>0</v>
          </cell>
          <cell r="L35">
            <v>0</v>
          </cell>
          <cell r="M35">
            <v>0</v>
          </cell>
        </row>
        <row r="37">
          <cell r="E37">
            <v>0</v>
          </cell>
          <cell r="F37">
            <v>0</v>
          </cell>
          <cell r="G37">
            <v>0</v>
          </cell>
          <cell r="H37">
            <v>0</v>
          </cell>
          <cell r="I37">
            <v>0</v>
          </cell>
          <cell r="J37">
            <v>0</v>
          </cell>
          <cell r="K37">
            <v>0</v>
          </cell>
          <cell r="L37">
            <v>0</v>
          </cell>
          <cell r="M37">
            <v>0</v>
          </cell>
        </row>
        <row r="38">
          <cell r="C38" t="str">
            <v>Уголь</v>
          </cell>
          <cell r="E38">
            <v>0</v>
          </cell>
          <cell r="F38">
            <v>0</v>
          </cell>
          <cell r="G38">
            <v>0</v>
          </cell>
          <cell r="H38">
            <v>0</v>
          </cell>
          <cell r="I38">
            <v>0</v>
          </cell>
          <cell r="J38">
            <v>0</v>
          </cell>
          <cell r="K38">
            <v>0</v>
          </cell>
          <cell r="L38">
            <v>0</v>
          </cell>
          <cell r="M38">
            <v>0</v>
          </cell>
        </row>
        <row r="39">
          <cell r="C39" t="str">
            <v>Мазут</v>
          </cell>
          <cell r="E39">
            <v>0</v>
          </cell>
          <cell r="F39">
            <v>0</v>
          </cell>
          <cell r="G39">
            <v>0</v>
          </cell>
          <cell r="H39">
            <v>0</v>
          </cell>
          <cell r="I39">
            <v>0</v>
          </cell>
          <cell r="J39">
            <v>0</v>
          </cell>
          <cell r="K39">
            <v>0</v>
          </cell>
          <cell r="L39">
            <v>0</v>
          </cell>
          <cell r="M39">
            <v>0</v>
          </cell>
        </row>
        <row r="40">
          <cell r="C40" t="str">
            <v>Газ</v>
          </cell>
          <cell r="E40">
            <v>0</v>
          </cell>
          <cell r="F40">
            <v>0</v>
          </cell>
          <cell r="G40">
            <v>0</v>
          </cell>
          <cell r="H40">
            <v>0</v>
          </cell>
          <cell r="I40">
            <v>0</v>
          </cell>
          <cell r="J40">
            <v>0</v>
          </cell>
          <cell r="K40">
            <v>0</v>
          </cell>
          <cell r="L40">
            <v>0</v>
          </cell>
          <cell r="M40">
            <v>0</v>
          </cell>
        </row>
        <row r="41">
          <cell r="C41" t="str">
            <v>Другие виды топлива</v>
          </cell>
          <cell r="E41">
            <v>0</v>
          </cell>
          <cell r="F41">
            <v>0</v>
          </cell>
          <cell r="G41">
            <v>0</v>
          </cell>
          <cell r="H41">
            <v>0</v>
          </cell>
          <cell r="I41">
            <v>0</v>
          </cell>
          <cell r="J41">
            <v>0</v>
          </cell>
          <cell r="K41">
            <v>0</v>
          </cell>
          <cell r="L41">
            <v>0</v>
          </cell>
          <cell r="M41">
            <v>0</v>
          </cell>
        </row>
        <row r="42">
          <cell r="E42" t="e">
            <v>#DIV/0!</v>
          </cell>
          <cell r="F42" t="e">
            <v>#DIV/0!</v>
          </cell>
          <cell r="G42" t="e">
            <v>#DIV/0!</v>
          </cell>
          <cell r="H42" t="e">
            <v>#DIV/0!</v>
          </cell>
          <cell r="I42" t="e">
            <v>#DIV/0!</v>
          </cell>
          <cell r="J42">
            <v>0</v>
          </cell>
          <cell r="K42">
            <v>0</v>
          </cell>
          <cell r="L42">
            <v>0</v>
          </cell>
          <cell r="M42">
            <v>0</v>
          </cell>
        </row>
        <row r="45">
          <cell r="C45" t="str">
            <v>Уголь</v>
          </cell>
          <cell r="J45">
            <v>0</v>
          </cell>
          <cell r="K45">
            <v>0</v>
          </cell>
          <cell r="L45">
            <v>0</v>
          </cell>
          <cell r="M45">
            <v>0</v>
          </cell>
        </row>
        <row r="46">
          <cell r="C46" t="str">
            <v>Мазут</v>
          </cell>
          <cell r="J46">
            <v>0</v>
          </cell>
          <cell r="K46">
            <v>0</v>
          </cell>
          <cell r="L46">
            <v>0</v>
          </cell>
          <cell r="M46">
            <v>0</v>
          </cell>
        </row>
        <row r="47">
          <cell r="C47" t="str">
            <v>Газ</v>
          </cell>
          <cell r="J47">
            <v>0</v>
          </cell>
          <cell r="K47">
            <v>0</v>
          </cell>
          <cell r="L47">
            <v>0</v>
          </cell>
          <cell r="M47">
            <v>0</v>
          </cell>
        </row>
        <row r="48">
          <cell r="C48" t="str">
            <v>Другие виды топлива</v>
          </cell>
          <cell r="J48">
            <v>0</v>
          </cell>
          <cell r="K48">
            <v>0</v>
          </cell>
          <cell r="L48">
            <v>0</v>
          </cell>
          <cell r="M48">
            <v>0</v>
          </cell>
        </row>
        <row r="50">
          <cell r="E50">
            <v>0</v>
          </cell>
          <cell r="F50">
            <v>0</v>
          </cell>
          <cell r="G50">
            <v>0</v>
          </cell>
          <cell r="H50">
            <v>0</v>
          </cell>
          <cell r="I50">
            <v>0</v>
          </cell>
          <cell r="J50">
            <v>0</v>
          </cell>
          <cell r="K50">
            <v>0</v>
          </cell>
          <cell r="L50">
            <v>0</v>
          </cell>
          <cell r="M50">
            <v>0</v>
          </cell>
        </row>
        <row r="51">
          <cell r="C51" t="str">
            <v>Уголь</v>
          </cell>
          <cell r="E51">
            <v>0</v>
          </cell>
          <cell r="F51">
            <v>0</v>
          </cell>
          <cell r="G51">
            <v>0</v>
          </cell>
          <cell r="H51">
            <v>0</v>
          </cell>
          <cell r="I51">
            <v>0</v>
          </cell>
          <cell r="J51">
            <v>0</v>
          </cell>
          <cell r="K51">
            <v>0</v>
          </cell>
          <cell r="L51">
            <v>0</v>
          </cell>
          <cell r="M51">
            <v>0</v>
          </cell>
        </row>
        <row r="52">
          <cell r="C52" t="str">
            <v>Мазут</v>
          </cell>
          <cell r="E52">
            <v>0</v>
          </cell>
          <cell r="F52">
            <v>0</v>
          </cell>
          <cell r="G52">
            <v>0</v>
          </cell>
          <cell r="H52">
            <v>0</v>
          </cell>
          <cell r="I52">
            <v>0</v>
          </cell>
          <cell r="J52">
            <v>0</v>
          </cell>
          <cell r="K52">
            <v>0</v>
          </cell>
          <cell r="L52">
            <v>0</v>
          </cell>
          <cell r="M52">
            <v>0</v>
          </cell>
        </row>
        <row r="53">
          <cell r="C53" t="str">
            <v>Газ</v>
          </cell>
          <cell r="E53">
            <v>0</v>
          </cell>
          <cell r="F53">
            <v>0</v>
          </cell>
          <cell r="G53">
            <v>0</v>
          </cell>
          <cell r="H53">
            <v>0</v>
          </cell>
          <cell r="I53">
            <v>0</v>
          </cell>
          <cell r="J53">
            <v>0</v>
          </cell>
          <cell r="K53">
            <v>0</v>
          </cell>
          <cell r="L53">
            <v>0</v>
          </cell>
          <cell r="M53">
            <v>0</v>
          </cell>
        </row>
        <row r="54">
          <cell r="C54" t="str">
            <v>Другие виды топлива</v>
          </cell>
          <cell r="E54">
            <v>0</v>
          </cell>
          <cell r="F54">
            <v>0</v>
          </cell>
          <cell r="G54">
            <v>0</v>
          </cell>
          <cell r="H54">
            <v>0</v>
          </cell>
          <cell r="I54">
            <v>0</v>
          </cell>
          <cell r="J54">
            <v>0</v>
          </cell>
          <cell r="K54">
            <v>0</v>
          </cell>
          <cell r="L54">
            <v>0</v>
          </cell>
          <cell r="M54">
            <v>0</v>
          </cell>
        </row>
        <row r="55">
          <cell r="E55" t="e">
            <v>#DIV/0!</v>
          </cell>
          <cell r="F55" t="e">
            <v>#DIV/0!</v>
          </cell>
          <cell r="G55" t="e">
            <v>#DIV/0!</v>
          </cell>
          <cell r="H55" t="e">
            <v>#DIV/0!</v>
          </cell>
          <cell r="I55" t="e">
            <v>#DIV/0!</v>
          </cell>
          <cell r="J55">
            <v>0</v>
          </cell>
          <cell r="K55">
            <v>0</v>
          </cell>
          <cell r="L55">
            <v>0</v>
          </cell>
          <cell r="M55">
            <v>0</v>
          </cell>
        </row>
        <row r="57">
          <cell r="E57">
            <v>0</v>
          </cell>
          <cell r="F57">
            <v>0</v>
          </cell>
          <cell r="G57">
            <v>0</v>
          </cell>
          <cell r="H57">
            <v>0</v>
          </cell>
          <cell r="I57">
            <v>0</v>
          </cell>
          <cell r="J57">
            <v>0</v>
          </cell>
          <cell r="K57">
            <v>0</v>
          </cell>
          <cell r="L57">
            <v>0</v>
          </cell>
          <cell r="M57">
            <v>0</v>
          </cell>
        </row>
        <row r="58">
          <cell r="C58" t="str">
            <v>Уголь</v>
          </cell>
          <cell r="E58">
            <v>0</v>
          </cell>
          <cell r="F58">
            <v>0</v>
          </cell>
          <cell r="G58">
            <v>0</v>
          </cell>
          <cell r="H58">
            <v>0</v>
          </cell>
          <cell r="I58">
            <v>0</v>
          </cell>
          <cell r="J58">
            <v>0</v>
          </cell>
          <cell r="K58">
            <v>0</v>
          </cell>
          <cell r="L58">
            <v>0</v>
          </cell>
          <cell r="M58">
            <v>0</v>
          </cell>
        </row>
        <row r="59">
          <cell r="C59" t="str">
            <v>Мазут</v>
          </cell>
          <cell r="E59">
            <v>0</v>
          </cell>
          <cell r="F59">
            <v>0</v>
          </cell>
          <cell r="G59">
            <v>0</v>
          </cell>
          <cell r="H59">
            <v>0</v>
          </cell>
          <cell r="I59">
            <v>0</v>
          </cell>
          <cell r="J59">
            <v>0</v>
          </cell>
          <cell r="K59">
            <v>0</v>
          </cell>
          <cell r="L59">
            <v>0</v>
          </cell>
          <cell r="M59">
            <v>0</v>
          </cell>
        </row>
        <row r="60">
          <cell r="C60" t="str">
            <v>Газ</v>
          </cell>
          <cell r="E60">
            <v>0</v>
          </cell>
          <cell r="F60">
            <v>0</v>
          </cell>
          <cell r="G60">
            <v>0</v>
          </cell>
          <cell r="H60">
            <v>0</v>
          </cell>
          <cell r="I60">
            <v>0</v>
          </cell>
          <cell r="J60">
            <v>0</v>
          </cell>
          <cell r="K60">
            <v>0</v>
          </cell>
          <cell r="L60">
            <v>0</v>
          </cell>
          <cell r="M60">
            <v>0</v>
          </cell>
        </row>
        <row r="61">
          <cell r="C61" t="str">
            <v>Другие виды топлива</v>
          </cell>
          <cell r="E61">
            <v>0</v>
          </cell>
          <cell r="F61">
            <v>0</v>
          </cell>
          <cell r="G61">
            <v>0</v>
          </cell>
          <cell r="H61">
            <v>0</v>
          </cell>
          <cell r="I61">
            <v>0</v>
          </cell>
          <cell r="J61">
            <v>0</v>
          </cell>
          <cell r="K61">
            <v>0</v>
          </cell>
          <cell r="L61">
            <v>0</v>
          </cell>
          <cell r="M61">
            <v>0</v>
          </cell>
        </row>
        <row r="62">
          <cell r="E62" t="e">
            <v>#DIV/0!</v>
          </cell>
          <cell r="F62" t="e">
            <v>#DIV/0!</v>
          </cell>
          <cell r="G62" t="e">
            <v>#DIV/0!</v>
          </cell>
          <cell r="H62" t="e">
            <v>#DIV/0!</v>
          </cell>
          <cell r="I62" t="e">
            <v>#DIV/0!</v>
          </cell>
          <cell r="J62">
            <v>0</v>
          </cell>
          <cell r="K62">
            <v>0</v>
          </cell>
          <cell r="L62">
            <v>0</v>
          </cell>
          <cell r="M62">
            <v>0</v>
          </cell>
        </row>
        <row r="64">
          <cell r="E64">
            <v>0</v>
          </cell>
          <cell r="F64">
            <v>0</v>
          </cell>
          <cell r="G64">
            <v>0</v>
          </cell>
          <cell r="H64">
            <v>0</v>
          </cell>
          <cell r="I64">
            <v>0</v>
          </cell>
          <cell r="J64">
            <v>0</v>
          </cell>
          <cell r="K64">
            <v>0</v>
          </cell>
          <cell r="L64">
            <v>0</v>
          </cell>
          <cell r="M64">
            <v>0</v>
          </cell>
        </row>
        <row r="65">
          <cell r="C65" t="str">
            <v>Уголь</v>
          </cell>
          <cell r="E65">
            <v>0</v>
          </cell>
          <cell r="F65">
            <v>0</v>
          </cell>
          <cell r="G65">
            <v>0</v>
          </cell>
          <cell r="H65">
            <v>0</v>
          </cell>
          <cell r="I65">
            <v>0</v>
          </cell>
          <cell r="J65">
            <v>0</v>
          </cell>
          <cell r="K65">
            <v>0</v>
          </cell>
          <cell r="L65">
            <v>0</v>
          </cell>
          <cell r="M65">
            <v>0</v>
          </cell>
        </row>
        <row r="66">
          <cell r="C66" t="str">
            <v>Мазут</v>
          </cell>
          <cell r="E66">
            <v>0</v>
          </cell>
          <cell r="F66">
            <v>0</v>
          </cell>
          <cell r="G66">
            <v>0</v>
          </cell>
          <cell r="H66">
            <v>0</v>
          </cell>
          <cell r="I66">
            <v>0</v>
          </cell>
          <cell r="J66">
            <v>0</v>
          </cell>
          <cell r="K66">
            <v>0</v>
          </cell>
          <cell r="L66">
            <v>0</v>
          </cell>
          <cell r="M66">
            <v>0</v>
          </cell>
        </row>
        <row r="67">
          <cell r="C67" t="str">
            <v>Газ</v>
          </cell>
          <cell r="E67">
            <v>0</v>
          </cell>
          <cell r="F67">
            <v>0</v>
          </cell>
          <cell r="G67">
            <v>0</v>
          </cell>
          <cell r="H67">
            <v>0</v>
          </cell>
          <cell r="I67">
            <v>0</v>
          </cell>
          <cell r="J67">
            <v>0</v>
          </cell>
          <cell r="K67">
            <v>0</v>
          </cell>
          <cell r="L67">
            <v>0</v>
          </cell>
          <cell r="M67">
            <v>0</v>
          </cell>
        </row>
        <row r="68">
          <cell r="C68" t="str">
            <v>Другие виды топлива</v>
          </cell>
          <cell r="E68">
            <v>0</v>
          </cell>
          <cell r="F68">
            <v>0</v>
          </cell>
          <cell r="G68">
            <v>0</v>
          </cell>
          <cell r="H68">
            <v>0</v>
          </cell>
          <cell r="I68">
            <v>0</v>
          </cell>
          <cell r="J68">
            <v>0</v>
          </cell>
          <cell r="K68">
            <v>0</v>
          </cell>
          <cell r="L68">
            <v>0</v>
          </cell>
          <cell r="M68">
            <v>0</v>
          </cell>
        </row>
        <row r="69">
          <cell r="E69">
            <v>0</v>
          </cell>
          <cell r="F69">
            <v>0</v>
          </cell>
          <cell r="G69">
            <v>0</v>
          </cell>
          <cell r="H69">
            <v>0</v>
          </cell>
          <cell r="I69">
            <v>0</v>
          </cell>
          <cell r="J69">
            <v>0</v>
          </cell>
          <cell r="K69">
            <v>0</v>
          </cell>
          <cell r="L69">
            <v>0</v>
          </cell>
          <cell r="M69">
            <v>0</v>
          </cell>
        </row>
        <row r="72">
          <cell r="C72" t="str">
            <v>Уголь</v>
          </cell>
          <cell r="E72">
            <v>0</v>
          </cell>
          <cell r="F72">
            <v>0</v>
          </cell>
          <cell r="G72">
            <v>0</v>
          </cell>
          <cell r="H72">
            <v>0</v>
          </cell>
          <cell r="I72">
            <v>0</v>
          </cell>
          <cell r="J72">
            <v>0</v>
          </cell>
          <cell r="K72">
            <v>0</v>
          </cell>
          <cell r="L72">
            <v>0</v>
          </cell>
          <cell r="M72">
            <v>0</v>
          </cell>
        </row>
        <row r="73">
          <cell r="C73" t="str">
            <v>Мазут</v>
          </cell>
          <cell r="E73">
            <v>0</v>
          </cell>
          <cell r="F73">
            <v>0</v>
          </cell>
          <cell r="G73">
            <v>0</v>
          </cell>
          <cell r="H73">
            <v>0</v>
          </cell>
          <cell r="I73">
            <v>0</v>
          </cell>
          <cell r="J73">
            <v>0</v>
          </cell>
          <cell r="K73">
            <v>0</v>
          </cell>
          <cell r="L73">
            <v>0</v>
          </cell>
          <cell r="M73">
            <v>0</v>
          </cell>
        </row>
        <row r="74">
          <cell r="C74" t="str">
            <v>Газ</v>
          </cell>
          <cell r="E74">
            <v>0</v>
          </cell>
          <cell r="F74">
            <v>0</v>
          </cell>
          <cell r="G74">
            <v>0</v>
          </cell>
          <cell r="H74">
            <v>0</v>
          </cell>
          <cell r="I74">
            <v>0</v>
          </cell>
          <cell r="J74">
            <v>0</v>
          </cell>
          <cell r="K74">
            <v>0</v>
          </cell>
          <cell r="L74">
            <v>0</v>
          </cell>
          <cell r="M74">
            <v>0</v>
          </cell>
        </row>
        <row r="75">
          <cell r="C75" t="str">
            <v>Другие виды топлива</v>
          </cell>
          <cell r="E75">
            <v>0</v>
          </cell>
          <cell r="F75">
            <v>0</v>
          </cell>
          <cell r="G75">
            <v>0</v>
          </cell>
          <cell r="H75">
            <v>0</v>
          </cell>
          <cell r="I75">
            <v>0</v>
          </cell>
          <cell r="J75">
            <v>0</v>
          </cell>
          <cell r="K75">
            <v>0</v>
          </cell>
          <cell r="L75">
            <v>0</v>
          </cell>
          <cell r="M75">
            <v>0</v>
          </cell>
        </row>
        <row r="77">
          <cell r="E77">
            <v>0</v>
          </cell>
          <cell r="F77">
            <v>0</v>
          </cell>
          <cell r="G77">
            <v>0</v>
          </cell>
          <cell r="H77">
            <v>0</v>
          </cell>
          <cell r="I77">
            <v>0</v>
          </cell>
          <cell r="J77">
            <v>0</v>
          </cell>
          <cell r="K77">
            <v>0</v>
          </cell>
          <cell r="L77">
            <v>0</v>
          </cell>
          <cell r="M77">
            <v>0</v>
          </cell>
        </row>
        <row r="78">
          <cell r="E78">
            <v>0</v>
          </cell>
          <cell r="F78">
            <v>0</v>
          </cell>
          <cell r="G78">
            <v>0</v>
          </cell>
          <cell r="H78">
            <v>0</v>
          </cell>
          <cell r="I78">
            <v>0</v>
          </cell>
          <cell r="J78">
            <v>0</v>
          </cell>
          <cell r="K78">
            <v>0</v>
          </cell>
          <cell r="L78">
            <v>0</v>
          </cell>
          <cell r="M78">
            <v>0</v>
          </cell>
        </row>
        <row r="80">
          <cell r="E80">
            <v>0</v>
          </cell>
          <cell r="F80">
            <v>0</v>
          </cell>
          <cell r="G80">
            <v>0</v>
          </cell>
          <cell r="H80">
            <v>0</v>
          </cell>
          <cell r="I80">
            <v>0</v>
          </cell>
          <cell r="J80">
            <v>0</v>
          </cell>
          <cell r="K80">
            <v>0</v>
          </cell>
          <cell r="L80">
            <v>0</v>
          </cell>
          <cell r="M80">
            <v>0</v>
          </cell>
        </row>
      </sheetData>
      <sheetData sheetId="7" refreshError="1">
        <row r="4">
          <cell r="E4">
            <v>0</v>
          </cell>
          <cell r="F4">
            <v>0</v>
          </cell>
          <cell r="G4">
            <v>0</v>
          </cell>
          <cell r="H4">
            <v>0</v>
          </cell>
          <cell r="I4">
            <v>0</v>
          </cell>
        </row>
        <row r="5">
          <cell r="C5" t="str">
            <v>Уголь</v>
          </cell>
          <cell r="H5">
            <v>0</v>
          </cell>
        </row>
        <row r="6">
          <cell r="C6" t="str">
            <v>Мазут</v>
          </cell>
          <cell r="H6">
            <v>0</v>
          </cell>
        </row>
        <row r="7">
          <cell r="C7" t="str">
            <v>Газ</v>
          </cell>
          <cell r="H7">
            <v>0</v>
          </cell>
        </row>
        <row r="8">
          <cell r="C8" t="str">
            <v>Другие виды топлива</v>
          </cell>
          <cell r="H8">
            <v>0</v>
          </cell>
        </row>
        <row r="9">
          <cell r="H9">
            <v>0</v>
          </cell>
        </row>
        <row r="11">
          <cell r="E11">
            <v>0</v>
          </cell>
          <cell r="F11">
            <v>0</v>
          </cell>
          <cell r="G11">
            <v>0</v>
          </cell>
          <cell r="H11">
            <v>0</v>
          </cell>
          <cell r="I11">
            <v>0</v>
          </cell>
        </row>
        <row r="12">
          <cell r="C12" t="str">
            <v>Уголь</v>
          </cell>
          <cell r="E12">
            <v>0</v>
          </cell>
          <cell r="F12">
            <v>0</v>
          </cell>
          <cell r="G12">
            <v>0</v>
          </cell>
          <cell r="H12">
            <v>0</v>
          </cell>
          <cell r="I12">
            <v>0</v>
          </cell>
        </row>
        <row r="13">
          <cell r="C13" t="str">
            <v>Мазут</v>
          </cell>
          <cell r="E13">
            <v>0</v>
          </cell>
          <cell r="F13">
            <v>0</v>
          </cell>
          <cell r="G13">
            <v>0</v>
          </cell>
          <cell r="H13">
            <v>0</v>
          </cell>
          <cell r="I13">
            <v>0</v>
          </cell>
        </row>
        <row r="14">
          <cell r="C14" t="str">
            <v>Газ</v>
          </cell>
          <cell r="E14">
            <v>0</v>
          </cell>
          <cell r="F14">
            <v>0</v>
          </cell>
          <cell r="G14">
            <v>0</v>
          </cell>
          <cell r="H14">
            <v>0</v>
          </cell>
          <cell r="I14">
            <v>0</v>
          </cell>
        </row>
        <row r="15">
          <cell r="C15" t="str">
            <v>Другие виды топлива</v>
          </cell>
          <cell r="E15">
            <v>0</v>
          </cell>
          <cell r="F15">
            <v>0</v>
          </cell>
          <cell r="G15">
            <v>0</v>
          </cell>
          <cell r="H15">
            <v>0</v>
          </cell>
          <cell r="I15">
            <v>0</v>
          </cell>
        </row>
        <row r="18">
          <cell r="C18" t="str">
            <v>Уголь</v>
          </cell>
          <cell r="H18">
            <v>0</v>
          </cell>
        </row>
        <row r="19">
          <cell r="C19" t="str">
            <v>Мазут</v>
          </cell>
          <cell r="H19">
            <v>0</v>
          </cell>
        </row>
        <row r="20">
          <cell r="C20" t="str">
            <v>Газ</v>
          </cell>
          <cell r="H20">
            <v>0</v>
          </cell>
        </row>
        <row r="21">
          <cell r="C21" t="str">
            <v>Другие виды топлива</v>
          </cell>
          <cell r="H21">
            <v>0</v>
          </cell>
        </row>
      </sheetData>
      <sheetData sheetId="8" refreshError="1">
        <row r="6">
          <cell r="E6">
            <v>0</v>
          </cell>
          <cell r="F6">
            <v>0</v>
          </cell>
          <cell r="G6">
            <v>0</v>
          </cell>
          <cell r="H6">
            <v>0</v>
          </cell>
          <cell r="I6">
            <v>0</v>
          </cell>
          <cell r="J6">
            <v>0</v>
          </cell>
          <cell r="K6">
            <v>0</v>
          </cell>
          <cell r="L6">
            <v>0</v>
          </cell>
          <cell r="M6">
            <v>0</v>
          </cell>
          <cell r="N6">
            <v>0</v>
          </cell>
          <cell r="O6">
            <v>0</v>
          </cell>
          <cell r="P6">
            <v>0</v>
          </cell>
          <cell r="Q6">
            <v>0</v>
          </cell>
        </row>
        <row r="7">
          <cell r="C7" t="str">
            <v>Здания</v>
          </cell>
          <cell r="I7">
            <v>0</v>
          </cell>
          <cell r="K7">
            <v>0</v>
          </cell>
          <cell r="L7">
            <v>0</v>
          </cell>
          <cell r="M7">
            <v>0</v>
          </cell>
          <cell r="N7">
            <v>0</v>
          </cell>
          <cell r="O7">
            <v>0</v>
          </cell>
          <cell r="P7">
            <v>0</v>
          </cell>
          <cell r="Q7">
            <v>0</v>
          </cell>
        </row>
        <row r="8">
          <cell r="C8" t="str">
            <v>Сооружения</v>
          </cell>
          <cell r="I8">
            <v>0</v>
          </cell>
          <cell r="K8">
            <v>0</v>
          </cell>
          <cell r="L8">
            <v>0</v>
          </cell>
          <cell r="M8">
            <v>0</v>
          </cell>
          <cell r="N8">
            <v>0</v>
          </cell>
          <cell r="O8">
            <v>0</v>
          </cell>
          <cell r="P8">
            <v>0</v>
          </cell>
          <cell r="Q8">
            <v>0</v>
          </cell>
        </row>
        <row r="9">
          <cell r="C9" t="str">
            <v>Передаточные устройства</v>
          </cell>
          <cell r="I9">
            <v>0</v>
          </cell>
          <cell r="K9">
            <v>0</v>
          </cell>
          <cell r="L9">
            <v>0</v>
          </cell>
          <cell r="M9">
            <v>0</v>
          </cell>
          <cell r="N9">
            <v>0</v>
          </cell>
          <cell r="O9">
            <v>0</v>
          </cell>
          <cell r="P9">
            <v>0</v>
          </cell>
          <cell r="Q9">
            <v>0</v>
          </cell>
        </row>
        <row r="10">
          <cell r="C10" t="str">
            <v>Машины и оборудование</v>
          </cell>
          <cell r="E10">
            <v>0</v>
          </cell>
          <cell r="F10">
            <v>0</v>
          </cell>
          <cell r="G10">
            <v>0</v>
          </cell>
          <cell r="H10">
            <v>0</v>
          </cell>
          <cell r="I10">
            <v>0</v>
          </cell>
          <cell r="J10">
            <v>0</v>
          </cell>
          <cell r="K10">
            <v>0</v>
          </cell>
          <cell r="L10">
            <v>0</v>
          </cell>
          <cell r="M10">
            <v>0</v>
          </cell>
          <cell r="N10">
            <v>0</v>
          </cell>
          <cell r="O10">
            <v>0</v>
          </cell>
          <cell r="P10">
            <v>0</v>
          </cell>
          <cell r="Q10">
            <v>0</v>
          </cell>
        </row>
        <row r="11">
          <cell r="C11" t="str">
            <v>Силовые машины</v>
          </cell>
          <cell r="I11">
            <v>0</v>
          </cell>
          <cell r="K11">
            <v>0</v>
          </cell>
          <cell r="L11">
            <v>0</v>
          </cell>
          <cell r="M11">
            <v>0</v>
          </cell>
          <cell r="N11">
            <v>0</v>
          </cell>
          <cell r="O11">
            <v>0</v>
          </cell>
          <cell r="P11">
            <v>0</v>
          </cell>
          <cell r="Q11">
            <v>0</v>
          </cell>
        </row>
        <row r="12">
          <cell r="C12" t="str">
            <v>Рабочие машины</v>
          </cell>
          <cell r="I12">
            <v>0</v>
          </cell>
          <cell r="K12">
            <v>0</v>
          </cell>
          <cell r="L12">
            <v>0</v>
          </cell>
          <cell r="M12">
            <v>0</v>
          </cell>
          <cell r="N12">
            <v>0</v>
          </cell>
          <cell r="O12">
            <v>0</v>
          </cell>
          <cell r="P12">
            <v>0</v>
          </cell>
          <cell r="Q12">
            <v>0</v>
          </cell>
        </row>
        <row r="13">
          <cell r="C13" t="str">
            <v>Приборы и лабораторное оборудование</v>
          </cell>
          <cell r="I13">
            <v>0</v>
          </cell>
          <cell r="K13">
            <v>0</v>
          </cell>
          <cell r="L13">
            <v>0</v>
          </cell>
          <cell r="M13">
            <v>0</v>
          </cell>
          <cell r="N13">
            <v>0</v>
          </cell>
          <cell r="O13">
            <v>0</v>
          </cell>
          <cell r="P13">
            <v>0</v>
          </cell>
          <cell r="Q13">
            <v>0</v>
          </cell>
        </row>
        <row r="14">
          <cell r="C14" t="str">
            <v>Вычислительная техника</v>
          </cell>
          <cell r="I14">
            <v>0</v>
          </cell>
          <cell r="K14">
            <v>0</v>
          </cell>
          <cell r="L14">
            <v>0</v>
          </cell>
          <cell r="M14">
            <v>0</v>
          </cell>
          <cell r="N14">
            <v>0</v>
          </cell>
          <cell r="O14">
            <v>0</v>
          </cell>
          <cell r="P14">
            <v>0</v>
          </cell>
          <cell r="Q14">
            <v>0</v>
          </cell>
        </row>
        <row r="15">
          <cell r="C15" t="str">
            <v>Прочие машины</v>
          </cell>
          <cell r="I15">
            <v>0</v>
          </cell>
          <cell r="K15">
            <v>0</v>
          </cell>
          <cell r="L15">
            <v>0</v>
          </cell>
          <cell r="M15">
            <v>0</v>
          </cell>
          <cell r="N15">
            <v>0</v>
          </cell>
          <cell r="O15">
            <v>0</v>
          </cell>
          <cell r="P15">
            <v>0</v>
          </cell>
          <cell r="Q15">
            <v>0</v>
          </cell>
        </row>
        <row r="16">
          <cell r="C16" t="str">
            <v>Транспортные средства</v>
          </cell>
          <cell r="I16">
            <v>0</v>
          </cell>
          <cell r="K16">
            <v>0</v>
          </cell>
          <cell r="L16">
            <v>0</v>
          </cell>
          <cell r="M16">
            <v>0</v>
          </cell>
          <cell r="N16">
            <v>0</v>
          </cell>
          <cell r="O16">
            <v>0</v>
          </cell>
          <cell r="P16">
            <v>0</v>
          </cell>
          <cell r="Q16">
            <v>0</v>
          </cell>
        </row>
        <row r="17">
          <cell r="C17" t="str">
            <v>Инструмент</v>
          </cell>
          <cell r="I17">
            <v>0</v>
          </cell>
          <cell r="K17">
            <v>0</v>
          </cell>
          <cell r="L17">
            <v>0</v>
          </cell>
          <cell r="M17">
            <v>0</v>
          </cell>
          <cell r="N17">
            <v>0</v>
          </cell>
          <cell r="O17">
            <v>0</v>
          </cell>
          <cell r="P17">
            <v>0</v>
          </cell>
          <cell r="Q17">
            <v>0</v>
          </cell>
        </row>
        <row r="18">
          <cell r="C18" t="str">
            <v>Производственный инвентарь</v>
          </cell>
          <cell r="I18">
            <v>0</v>
          </cell>
          <cell r="K18">
            <v>0</v>
          </cell>
          <cell r="L18">
            <v>0</v>
          </cell>
          <cell r="M18">
            <v>0</v>
          </cell>
          <cell r="N18">
            <v>0</v>
          </cell>
          <cell r="O18">
            <v>0</v>
          </cell>
          <cell r="P18">
            <v>0</v>
          </cell>
          <cell r="Q18">
            <v>0</v>
          </cell>
        </row>
        <row r="20">
          <cell r="E20">
            <v>0</v>
          </cell>
          <cell r="F20">
            <v>0</v>
          </cell>
          <cell r="G20">
            <v>0</v>
          </cell>
          <cell r="H20">
            <v>0</v>
          </cell>
          <cell r="I20">
            <v>0</v>
          </cell>
          <cell r="J20">
            <v>0</v>
          </cell>
          <cell r="K20">
            <v>0</v>
          </cell>
          <cell r="L20">
            <v>0</v>
          </cell>
          <cell r="M20">
            <v>0</v>
          </cell>
          <cell r="N20">
            <v>0</v>
          </cell>
          <cell r="O20">
            <v>0</v>
          </cell>
          <cell r="P20">
            <v>0</v>
          </cell>
          <cell r="Q20">
            <v>0</v>
          </cell>
        </row>
        <row r="21">
          <cell r="C21" t="str">
            <v>Здания</v>
          </cell>
          <cell r="I21">
            <v>0</v>
          </cell>
          <cell r="N21">
            <v>0</v>
          </cell>
          <cell r="O21">
            <v>0</v>
          </cell>
          <cell r="P21">
            <v>0</v>
          </cell>
          <cell r="Q21">
            <v>0</v>
          </cell>
        </row>
        <row r="22">
          <cell r="C22" t="str">
            <v>Сооружения</v>
          </cell>
          <cell r="I22">
            <v>0</v>
          </cell>
          <cell r="N22">
            <v>0</v>
          </cell>
          <cell r="O22">
            <v>0</v>
          </cell>
          <cell r="P22">
            <v>0</v>
          </cell>
          <cell r="Q22">
            <v>0</v>
          </cell>
        </row>
        <row r="23">
          <cell r="C23" t="str">
            <v>Передаточные устройства</v>
          </cell>
          <cell r="I23">
            <v>0</v>
          </cell>
          <cell r="N23">
            <v>0</v>
          </cell>
          <cell r="O23">
            <v>0</v>
          </cell>
          <cell r="P23">
            <v>0</v>
          </cell>
          <cell r="Q23">
            <v>0</v>
          </cell>
        </row>
        <row r="24">
          <cell r="C24" t="str">
            <v>Машины и оборудование</v>
          </cell>
          <cell r="E24">
            <v>0</v>
          </cell>
          <cell r="F24">
            <v>0</v>
          </cell>
          <cell r="G24">
            <v>0</v>
          </cell>
          <cell r="H24">
            <v>0</v>
          </cell>
          <cell r="I24">
            <v>0</v>
          </cell>
          <cell r="J24">
            <v>0</v>
          </cell>
          <cell r="K24">
            <v>0</v>
          </cell>
          <cell r="L24">
            <v>0</v>
          </cell>
          <cell r="M24">
            <v>0</v>
          </cell>
          <cell r="N24">
            <v>0</v>
          </cell>
          <cell r="O24">
            <v>0</v>
          </cell>
          <cell r="P24">
            <v>0</v>
          </cell>
          <cell r="Q24">
            <v>0</v>
          </cell>
        </row>
        <row r="25">
          <cell r="C25" t="str">
            <v>Силовые машины</v>
          </cell>
          <cell r="I25">
            <v>0</v>
          </cell>
          <cell r="N25">
            <v>0</v>
          </cell>
          <cell r="O25">
            <v>0</v>
          </cell>
          <cell r="P25">
            <v>0</v>
          </cell>
          <cell r="Q25">
            <v>0</v>
          </cell>
        </row>
        <row r="26">
          <cell r="C26" t="str">
            <v>Рабочие машины</v>
          </cell>
          <cell r="I26">
            <v>0</v>
          </cell>
          <cell r="N26">
            <v>0</v>
          </cell>
          <cell r="O26">
            <v>0</v>
          </cell>
          <cell r="P26">
            <v>0</v>
          </cell>
          <cell r="Q26">
            <v>0</v>
          </cell>
        </row>
        <row r="27">
          <cell r="C27" t="str">
            <v>Приборы и лабораторное оборудование</v>
          </cell>
          <cell r="I27">
            <v>0</v>
          </cell>
          <cell r="N27">
            <v>0</v>
          </cell>
          <cell r="O27">
            <v>0</v>
          </cell>
          <cell r="P27">
            <v>0</v>
          </cell>
          <cell r="Q27">
            <v>0</v>
          </cell>
        </row>
        <row r="28">
          <cell r="C28" t="str">
            <v>Вычислительная техника</v>
          </cell>
          <cell r="I28">
            <v>0</v>
          </cell>
          <cell r="N28">
            <v>0</v>
          </cell>
          <cell r="O28">
            <v>0</v>
          </cell>
          <cell r="P28">
            <v>0</v>
          </cell>
          <cell r="Q28">
            <v>0</v>
          </cell>
        </row>
        <row r="29">
          <cell r="C29" t="str">
            <v>Прочие машины</v>
          </cell>
          <cell r="I29">
            <v>0</v>
          </cell>
          <cell r="N29">
            <v>0</v>
          </cell>
          <cell r="O29">
            <v>0</v>
          </cell>
          <cell r="P29">
            <v>0</v>
          </cell>
          <cell r="Q29">
            <v>0</v>
          </cell>
        </row>
        <row r="30">
          <cell r="C30" t="str">
            <v>Транспортные средства</v>
          </cell>
          <cell r="I30">
            <v>0</v>
          </cell>
          <cell r="N30">
            <v>0</v>
          </cell>
          <cell r="O30">
            <v>0</v>
          </cell>
          <cell r="P30">
            <v>0</v>
          </cell>
          <cell r="Q30">
            <v>0</v>
          </cell>
        </row>
        <row r="31">
          <cell r="C31" t="str">
            <v>Инструмент</v>
          </cell>
          <cell r="I31">
            <v>0</v>
          </cell>
          <cell r="N31">
            <v>0</v>
          </cell>
          <cell r="O31">
            <v>0</v>
          </cell>
          <cell r="P31">
            <v>0</v>
          </cell>
          <cell r="Q31">
            <v>0</v>
          </cell>
        </row>
        <row r="32">
          <cell r="C32" t="str">
            <v>Производственный инвентарь</v>
          </cell>
          <cell r="I32">
            <v>0</v>
          </cell>
          <cell r="N32">
            <v>0</v>
          </cell>
          <cell r="O32">
            <v>0</v>
          </cell>
          <cell r="P32">
            <v>0</v>
          </cell>
          <cell r="Q32">
            <v>0</v>
          </cell>
        </row>
        <row r="34">
          <cell r="E34">
            <v>0</v>
          </cell>
          <cell r="F34">
            <v>0</v>
          </cell>
          <cell r="G34">
            <v>0</v>
          </cell>
          <cell r="H34">
            <v>0</v>
          </cell>
          <cell r="I34">
            <v>0</v>
          </cell>
          <cell r="J34">
            <v>0</v>
          </cell>
          <cell r="K34">
            <v>0</v>
          </cell>
          <cell r="L34">
            <v>0</v>
          </cell>
          <cell r="M34">
            <v>0</v>
          </cell>
          <cell r="N34">
            <v>0</v>
          </cell>
          <cell r="O34">
            <v>0</v>
          </cell>
          <cell r="P34">
            <v>0</v>
          </cell>
          <cell r="Q34">
            <v>0</v>
          </cell>
        </row>
        <row r="35">
          <cell r="C35" t="str">
            <v>Здания</v>
          </cell>
          <cell r="I35">
            <v>0</v>
          </cell>
          <cell r="N35">
            <v>0</v>
          </cell>
          <cell r="O35">
            <v>0</v>
          </cell>
          <cell r="P35">
            <v>0</v>
          </cell>
          <cell r="Q35">
            <v>0</v>
          </cell>
        </row>
        <row r="36">
          <cell r="C36" t="str">
            <v>Сооружения</v>
          </cell>
          <cell r="I36">
            <v>0</v>
          </cell>
          <cell r="N36">
            <v>0</v>
          </cell>
          <cell r="O36">
            <v>0</v>
          </cell>
          <cell r="P36">
            <v>0</v>
          </cell>
          <cell r="Q36">
            <v>0</v>
          </cell>
        </row>
        <row r="37">
          <cell r="C37" t="str">
            <v>Передаточные устройства</v>
          </cell>
          <cell r="I37">
            <v>0</v>
          </cell>
          <cell r="N37">
            <v>0</v>
          </cell>
          <cell r="O37">
            <v>0</v>
          </cell>
          <cell r="P37">
            <v>0</v>
          </cell>
          <cell r="Q37">
            <v>0</v>
          </cell>
        </row>
        <row r="38">
          <cell r="C38" t="str">
            <v>Машины и оборудование</v>
          </cell>
          <cell r="E38">
            <v>0</v>
          </cell>
          <cell r="F38">
            <v>0</v>
          </cell>
          <cell r="G38">
            <v>0</v>
          </cell>
          <cell r="H38">
            <v>0</v>
          </cell>
          <cell r="I38">
            <v>0</v>
          </cell>
          <cell r="J38">
            <v>0</v>
          </cell>
          <cell r="K38">
            <v>0</v>
          </cell>
          <cell r="L38">
            <v>0</v>
          </cell>
          <cell r="M38">
            <v>0</v>
          </cell>
          <cell r="N38">
            <v>0</v>
          </cell>
          <cell r="O38">
            <v>0</v>
          </cell>
          <cell r="P38">
            <v>0</v>
          </cell>
          <cell r="Q38">
            <v>0</v>
          </cell>
        </row>
        <row r="39">
          <cell r="C39" t="str">
            <v>Силовые машины</v>
          </cell>
          <cell r="I39">
            <v>0</v>
          </cell>
          <cell r="N39">
            <v>0</v>
          </cell>
          <cell r="O39">
            <v>0</v>
          </cell>
          <cell r="P39">
            <v>0</v>
          </cell>
          <cell r="Q39">
            <v>0</v>
          </cell>
        </row>
        <row r="40">
          <cell r="C40" t="str">
            <v>Рабочие машины</v>
          </cell>
          <cell r="I40">
            <v>0</v>
          </cell>
          <cell r="N40">
            <v>0</v>
          </cell>
          <cell r="O40">
            <v>0</v>
          </cell>
          <cell r="P40">
            <v>0</v>
          </cell>
          <cell r="Q40">
            <v>0</v>
          </cell>
        </row>
        <row r="41">
          <cell r="C41" t="str">
            <v>Приборы и лабораторное оборудование</v>
          </cell>
          <cell r="I41">
            <v>0</v>
          </cell>
          <cell r="N41">
            <v>0</v>
          </cell>
          <cell r="O41">
            <v>0</v>
          </cell>
          <cell r="P41">
            <v>0</v>
          </cell>
          <cell r="Q41">
            <v>0</v>
          </cell>
        </row>
        <row r="42">
          <cell r="C42" t="str">
            <v>Вычислительная техника</v>
          </cell>
          <cell r="I42">
            <v>0</v>
          </cell>
          <cell r="N42">
            <v>0</v>
          </cell>
          <cell r="O42">
            <v>0</v>
          </cell>
          <cell r="P42">
            <v>0</v>
          </cell>
          <cell r="Q42">
            <v>0</v>
          </cell>
        </row>
        <row r="43">
          <cell r="C43" t="str">
            <v>Прочие машины</v>
          </cell>
          <cell r="I43">
            <v>0</v>
          </cell>
          <cell r="N43">
            <v>0</v>
          </cell>
          <cell r="O43">
            <v>0</v>
          </cell>
          <cell r="P43">
            <v>0</v>
          </cell>
          <cell r="Q43">
            <v>0</v>
          </cell>
        </row>
        <row r="44">
          <cell r="C44" t="str">
            <v>Транспортные средства</v>
          </cell>
          <cell r="I44">
            <v>0</v>
          </cell>
          <cell r="N44">
            <v>0</v>
          </cell>
          <cell r="O44">
            <v>0</v>
          </cell>
          <cell r="P44">
            <v>0</v>
          </cell>
          <cell r="Q44">
            <v>0</v>
          </cell>
        </row>
        <row r="45">
          <cell r="C45" t="str">
            <v>Инструмент</v>
          </cell>
          <cell r="I45">
            <v>0</v>
          </cell>
          <cell r="N45">
            <v>0</v>
          </cell>
          <cell r="O45">
            <v>0</v>
          </cell>
          <cell r="P45">
            <v>0</v>
          </cell>
          <cell r="Q45">
            <v>0</v>
          </cell>
        </row>
        <row r="46">
          <cell r="C46" t="str">
            <v>Производственный инвентарь</v>
          </cell>
          <cell r="I46">
            <v>0</v>
          </cell>
          <cell r="N46">
            <v>0</v>
          </cell>
          <cell r="O46">
            <v>0</v>
          </cell>
          <cell r="P46">
            <v>0</v>
          </cell>
          <cell r="Q46">
            <v>0</v>
          </cell>
        </row>
        <row r="48">
          <cell r="E48">
            <v>0</v>
          </cell>
          <cell r="F48">
            <v>0</v>
          </cell>
          <cell r="G48">
            <v>0</v>
          </cell>
          <cell r="H48">
            <v>0</v>
          </cell>
          <cell r="I48">
            <v>0</v>
          </cell>
          <cell r="J48">
            <v>0</v>
          </cell>
          <cell r="K48">
            <v>0</v>
          </cell>
          <cell r="L48">
            <v>0</v>
          </cell>
          <cell r="M48">
            <v>0</v>
          </cell>
          <cell r="N48">
            <v>0</v>
          </cell>
          <cell r="O48">
            <v>0</v>
          </cell>
          <cell r="P48">
            <v>0</v>
          </cell>
          <cell r="Q48">
            <v>0</v>
          </cell>
        </row>
        <row r="49">
          <cell r="C49" t="str">
            <v>Здания</v>
          </cell>
          <cell r="I49">
            <v>0</v>
          </cell>
          <cell r="J49">
            <v>0</v>
          </cell>
          <cell r="K49">
            <v>0</v>
          </cell>
          <cell r="L49">
            <v>0</v>
          </cell>
          <cell r="M49">
            <v>0</v>
          </cell>
          <cell r="N49">
            <v>0</v>
          </cell>
          <cell r="O49">
            <v>0</v>
          </cell>
          <cell r="P49">
            <v>0</v>
          </cell>
          <cell r="Q49">
            <v>0</v>
          </cell>
        </row>
        <row r="50">
          <cell r="C50" t="str">
            <v>Сооружения</v>
          </cell>
          <cell r="I50">
            <v>0</v>
          </cell>
          <cell r="J50">
            <v>0</v>
          </cell>
          <cell r="K50">
            <v>0</v>
          </cell>
          <cell r="L50">
            <v>0</v>
          </cell>
          <cell r="M50">
            <v>0</v>
          </cell>
          <cell r="N50">
            <v>0</v>
          </cell>
          <cell r="O50">
            <v>0</v>
          </cell>
          <cell r="P50">
            <v>0</v>
          </cell>
          <cell r="Q50">
            <v>0</v>
          </cell>
        </row>
        <row r="51">
          <cell r="C51" t="str">
            <v>Передаточные устройства</v>
          </cell>
          <cell r="I51">
            <v>0</v>
          </cell>
          <cell r="J51">
            <v>0</v>
          </cell>
          <cell r="K51">
            <v>0</v>
          </cell>
          <cell r="L51">
            <v>0</v>
          </cell>
          <cell r="M51">
            <v>0</v>
          </cell>
          <cell r="N51">
            <v>0</v>
          </cell>
          <cell r="O51">
            <v>0</v>
          </cell>
          <cell r="P51">
            <v>0</v>
          </cell>
          <cell r="Q51">
            <v>0</v>
          </cell>
        </row>
        <row r="52">
          <cell r="C52" t="str">
            <v>Машины и оборудование</v>
          </cell>
          <cell r="E52">
            <v>0</v>
          </cell>
          <cell r="F52">
            <v>0</v>
          </cell>
          <cell r="G52">
            <v>0</v>
          </cell>
          <cell r="H52">
            <v>0</v>
          </cell>
          <cell r="I52">
            <v>0</v>
          </cell>
          <cell r="J52">
            <v>0</v>
          </cell>
          <cell r="K52">
            <v>0</v>
          </cell>
          <cell r="L52">
            <v>0</v>
          </cell>
          <cell r="M52">
            <v>0</v>
          </cell>
          <cell r="N52">
            <v>0</v>
          </cell>
          <cell r="O52">
            <v>0</v>
          </cell>
          <cell r="P52">
            <v>0</v>
          </cell>
          <cell r="Q52">
            <v>0</v>
          </cell>
        </row>
        <row r="53">
          <cell r="C53" t="str">
            <v>Силовые машины</v>
          </cell>
          <cell r="I53">
            <v>0</v>
          </cell>
          <cell r="J53">
            <v>0</v>
          </cell>
          <cell r="K53">
            <v>0</v>
          </cell>
          <cell r="L53">
            <v>0</v>
          </cell>
          <cell r="M53">
            <v>0</v>
          </cell>
          <cell r="N53">
            <v>0</v>
          </cell>
          <cell r="O53">
            <v>0</v>
          </cell>
          <cell r="P53">
            <v>0</v>
          </cell>
          <cell r="Q53">
            <v>0</v>
          </cell>
        </row>
        <row r="54">
          <cell r="C54" t="str">
            <v>Рабочие машины</v>
          </cell>
          <cell r="I54">
            <v>0</v>
          </cell>
          <cell r="J54">
            <v>0</v>
          </cell>
          <cell r="K54">
            <v>0</v>
          </cell>
          <cell r="L54">
            <v>0</v>
          </cell>
          <cell r="M54">
            <v>0</v>
          </cell>
          <cell r="N54">
            <v>0</v>
          </cell>
          <cell r="O54">
            <v>0</v>
          </cell>
          <cell r="P54">
            <v>0</v>
          </cell>
          <cell r="Q54">
            <v>0</v>
          </cell>
        </row>
        <row r="55">
          <cell r="C55" t="str">
            <v>Приборы и лабораторное оборудование</v>
          </cell>
          <cell r="I55">
            <v>0</v>
          </cell>
          <cell r="J55">
            <v>0</v>
          </cell>
          <cell r="K55">
            <v>0</v>
          </cell>
          <cell r="L55">
            <v>0</v>
          </cell>
          <cell r="M55">
            <v>0</v>
          </cell>
          <cell r="N55">
            <v>0</v>
          </cell>
          <cell r="O55">
            <v>0</v>
          </cell>
          <cell r="P55">
            <v>0</v>
          </cell>
          <cell r="Q55">
            <v>0</v>
          </cell>
        </row>
        <row r="56">
          <cell r="C56" t="str">
            <v>Вычислительная техника</v>
          </cell>
          <cell r="I56">
            <v>0</v>
          </cell>
          <cell r="J56">
            <v>0</v>
          </cell>
          <cell r="K56">
            <v>0</v>
          </cell>
          <cell r="L56">
            <v>0</v>
          </cell>
          <cell r="M56">
            <v>0</v>
          </cell>
          <cell r="N56">
            <v>0</v>
          </cell>
          <cell r="O56">
            <v>0</v>
          </cell>
          <cell r="P56">
            <v>0</v>
          </cell>
          <cell r="Q56">
            <v>0</v>
          </cell>
        </row>
        <row r="57">
          <cell r="C57" t="str">
            <v>Прочие машины</v>
          </cell>
          <cell r="I57">
            <v>0</v>
          </cell>
          <cell r="J57">
            <v>0</v>
          </cell>
          <cell r="K57">
            <v>0</v>
          </cell>
          <cell r="L57">
            <v>0</v>
          </cell>
          <cell r="M57">
            <v>0</v>
          </cell>
          <cell r="N57">
            <v>0</v>
          </cell>
          <cell r="O57">
            <v>0</v>
          </cell>
          <cell r="P57">
            <v>0</v>
          </cell>
          <cell r="Q57">
            <v>0</v>
          </cell>
        </row>
        <row r="58">
          <cell r="C58" t="str">
            <v>Транспортные средства</v>
          </cell>
          <cell r="I58">
            <v>0</v>
          </cell>
          <cell r="J58">
            <v>0</v>
          </cell>
          <cell r="K58">
            <v>0</v>
          </cell>
          <cell r="L58">
            <v>0</v>
          </cell>
          <cell r="M58">
            <v>0</v>
          </cell>
          <cell r="N58">
            <v>0</v>
          </cell>
          <cell r="O58">
            <v>0</v>
          </cell>
          <cell r="P58">
            <v>0</v>
          </cell>
          <cell r="Q58">
            <v>0</v>
          </cell>
        </row>
        <row r="59">
          <cell r="C59" t="str">
            <v>Инструмент</v>
          </cell>
          <cell r="I59">
            <v>0</v>
          </cell>
          <cell r="J59">
            <v>0</v>
          </cell>
          <cell r="K59">
            <v>0</v>
          </cell>
          <cell r="L59">
            <v>0</v>
          </cell>
          <cell r="M59">
            <v>0</v>
          </cell>
          <cell r="N59">
            <v>0</v>
          </cell>
          <cell r="O59">
            <v>0</v>
          </cell>
          <cell r="P59">
            <v>0</v>
          </cell>
          <cell r="Q59">
            <v>0</v>
          </cell>
        </row>
        <row r="60">
          <cell r="C60" t="str">
            <v>Производственный инвентарь</v>
          </cell>
          <cell r="I60">
            <v>0</v>
          </cell>
          <cell r="J60">
            <v>0</v>
          </cell>
          <cell r="K60">
            <v>0</v>
          </cell>
          <cell r="L60">
            <v>0</v>
          </cell>
          <cell r="M60">
            <v>0</v>
          </cell>
          <cell r="N60">
            <v>0</v>
          </cell>
          <cell r="O60">
            <v>0</v>
          </cell>
          <cell r="P60">
            <v>0</v>
          </cell>
          <cell r="Q60">
            <v>0</v>
          </cell>
        </row>
        <row r="63">
          <cell r="C63" t="str">
            <v>Здания</v>
          </cell>
          <cell r="N63">
            <v>0</v>
          </cell>
          <cell r="O63">
            <v>0</v>
          </cell>
          <cell r="P63">
            <v>0</v>
          </cell>
          <cell r="Q63">
            <v>0</v>
          </cell>
        </row>
        <row r="64">
          <cell r="C64" t="str">
            <v>Сооружения</v>
          </cell>
          <cell r="N64">
            <v>0</v>
          </cell>
          <cell r="O64">
            <v>0</v>
          </cell>
          <cell r="P64">
            <v>0</v>
          </cell>
          <cell r="Q64">
            <v>0</v>
          </cell>
        </row>
        <row r="65">
          <cell r="C65" t="str">
            <v>Передаточные устройства</v>
          </cell>
          <cell r="N65">
            <v>0</v>
          </cell>
          <cell r="O65">
            <v>0</v>
          </cell>
          <cell r="P65">
            <v>0</v>
          </cell>
          <cell r="Q65">
            <v>0</v>
          </cell>
        </row>
        <row r="66">
          <cell r="C66" t="str">
            <v>Машины и оборудование</v>
          </cell>
          <cell r="N66">
            <v>0</v>
          </cell>
          <cell r="O66">
            <v>0</v>
          </cell>
          <cell r="P66">
            <v>0</v>
          </cell>
          <cell r="Q66">
            <v>0</v>
          </cell>
        </row>
        <row r="67">
          <cell r="C67" t="str">
            <v>Силовые машины</v>
          </cell>
          <cell r="N67">
            <v>0</v>
          </cell>
          <cell r="O67">
            <v>0</v>
          </cell>
          <cell r="P67">
            <v>0</v>
          </cell>
          <cell r="Q67">
            <v>0</v>
          </cell>
        </row>
        <row r="68">
          <cell r="C68" t="str">
            <v>Рабочие машины</v>
          </cell>
          <cell r="N68">
            <v>0</v>
          </cell>
          <cell r="O68">
            <v>0</v>
          </cell>
          <cell r="P68">
            <v>0</v>
          </cell>
          <cell r="Q68">
            <v>0</v>
          </cell>
        </row>
        <row r="69">
          <cell r="C69" t="str">
            <v>Приборы и лабораторное оборудование</v>
          </cell>
          <cell r="N69">
            <v>0</v>
          </cell>
          <cell r="O69">
            <v>0</v>
          </cell>
          <cell r="P69">
            <v>0</v>
          </cell>
          <cell r="Q69">
            <v>0</v>
          </cell>
        </row>
        <row r="70">
          <cell r="C70" t="str">
            <v>Вычислительная техника</v>
          </cell>
          <cell r="N70">
            <v>0</v>
          </cell>
          <cell r="O70">
            <v>0</v>
          </cell>
          <cell r="P70">
            <v>0</v>
          </cell>
          <cell r="Q70">
            <v>0</v>
          </cell>
        </row>
        <row r="71">
          <cell r="C71" t="str">
            <v>Прочие машины</v>
          </cell>
          <cell r="N71">
            <v>0</v>
          </cell>
          <cell r="O71">
            <v>0</v>
          </cell>
          <cell r="P71">
            <v>0</v>
          </cell>
          <cell r="Q71">
            <v>0</v>
          </cell>
        </row>
        <row r="72">
          <cell r="C72" t="str">
            <v>Транспортные средства</v>
          </cell>
          <cell r="N72">
            <v>0</v>
          </cell>
          <cell r="O72">
            <v>0</v>
          </cell>
          <cell r="P72">
            <v>0</v>
          </cell>
          <cell r="Q72">
            <v>0</v>
          </cell>
        </row>
        <row r="73">
          <cell r="C73" t="str">
            <v>Инструмент</v>
          </cell>
          <cell r="N73">
            <v>0</v>
          </cell>
          <cell r="O73">
            <v>0</v>
          </cell>
          <cell r="P73">
            <v>0</v>
          </cell>
          <cell r="Q73">
            <v>0</v>
          </cell>
        </row>
        <row r="74">
          <cell r="C74" t="str">
            <v>Производственный инвентарь</v>
          </cell>
          <cell r="N74">
            <v>0</v>
          </cell>
          <cell r="O74">
            <v>0</v>
          </cell>
          <cell r="P74">
            <v>0</v>
          </cell>
          <cell r="Q74">
            <v>0</v>
          </cell>
        </row>
        <row r="76">
          <cell r="E76">
            <v>0</v>
          </cell>
          <cell r="F76">
            <v>0</v>
          </cell>
          <cell r="G76">
            <v>0</v>
          </cell>
          <cell r="H76">
            <v>0</v>
          </cell>
          <cell r="I76">
            <v>0</v>
          </cell>
          <cell r="J76">
            <v>0</v>
          </cell>
          <cell r="K76">
            <v>0</v>
          </cell>
          <cell r="L76">
            <v>0</v>
          </cell>
          <cell r="M76">
            <v>0</v>
          </cell>
          <cell r="N76">
            <v>0</v>
          </cell>
          <cell r="O76">
            <v>0</v>
          </cell>
          <cell r="P76">
            <v>0</v>
          </cell>
          <cell r="Q76">
            <v>0</v>
          </cell>
        </row>
        <row r="77">
          <cell r="C77" t="str">
            <v>Здания</v>
          </cell>
          <cell r="E77">
            <v>0</v>
          </cell>
          <cell r="F77">
            <v>0</v>
          </cell>
          <cell r="G77">
            <v>0</v>
          </cell>
          <cell r="H77">
            <v>0</v>
          </cell>
          <cell r="I77">
            <v>0</v>
          </cell>
          <cell r="J77">
            <v>0</v>
          </cell>
          <cell r="K77">
            <v>0</v>
          </cell>
          <cell r="L77">
            <v>0</v>
          </cell>
          <cell r="M77">
            <v>0</v>
          </cell>
          <cell r="N77">
            <v>0</v>
          </cell>
          <cell r="O77">
            <v>0</v>
          </cell>
          <cell r="P77">
            <v>0</v>
          </cell>
          <cell r="Q77">
            <v>0</v>
          </cell>
        </row>
        <row r="78">
          <cell r="C78" t="str">
            <v>Сооружения</v>
          </cell>
          <cell r="E78">
            <v>0</v>
          </cell>
          <cell r="F78">
            <v>0</v>
          </cell>
          <cell r="G78">
            <v>0</v>
          </cell>
          <cell r="H78">
            <v>0</v>
          </cell>
          <cell r="I78">
            <v>0</v>
          </cell>
          <cell r="J78">
            <v>0</v>
          </cell>
          <cell r="K78">
            <v>0</v>
          </cell>
          <cell r="L78">
            <v>0</v>
          </cell>
          <cell r="M78">
            <v>0</v>
          </cell>
          <cell r="N78">
            <v>0</v>
          </cell>
          <cell r="O78">
            <v>0</v>
          </cell>
          <cell r="P78">
            <v>0</v>
          </cell>
          <cell r="Q78">
            <v>0</v>
          </cell>
        </row>
        <row r="79">
          <cell r="C79" t="str">
            <v>Передаточные устройства</v>
          </cell>
          <cell r="E79">
            <v>0</v>
          </cell>
          <cell r="F79">
            <v>0</v>
          </cell>
          <cell r="G79">
            <v>0</v>
          </cell>
          <cell r="H79">
            <v>0</v>
          </cell>
          <cell r="I79">
            <v>0</v>
          </cell>
          <cell r="J79">
            <v>0</v>
          </cell>
          <cell r="K79">
            <v>0</v>
          </cell>
          <cell r="L79">
            <v>0</v>
          </cell>
          <cell r="M79">
            <v>0</v>
          </cell>
          <cell r="N79">
            <v>0</v>
          </cell>
          <cell r="O79">
            <v>0</v>
          </cell>
          <cell r="P79">
            <v>0</v>
          </cell>
          <cell r="Q79">
            <v>0</v>
          </cell>
        </row>
        <row r="80">
          <cell r="C80" t="str">
            <v>Машины и оборудование</v>
          </cell>
          <cell r="E80">
            <v>0</v>
          </cell>
          <cell r="F80">
            <v>0</v>
          </cell>
          <cell r="G80">
            <v>0</v>
          </cell>
          <cell r="H80">
            <v>0</v>
          </cell>
          <cell r="I80">
            <v>0</v>
          </cell>
          <cell r="J80">
            <v>0</v>
          </cell>
          <cell r="K80">
            <v>0</v>
          </cell>
          <cell r="L80">
            <v>0</v>
          </cell>
          <cell r="M80">
            <v>0</v>
          </cell>
          <cell r="N80">
            <v>0</v>
          </cell>
          <cell r="O80">
            <v>0</v>
          </cell>
          <cell r="P80">
            <v>0</v>
          </cell>
          <cell r="Q80">
            <v>0</v>
          </cell>
        </row>
        <row r="81">
          <cell r="C81" t="str">
            <v>Силовые машины</v>
          </cell>
          <cell r="E81">
            <v>0</v>
          </cell>
          <cell r="F81">
            <v>0</v>
          </cell>
          <cell r="G81">
            <v>0</v>
          </cell>
          <cell r="H81">
            <v>0</v>
          </cell>
          <cell r="I81">
            <v>0</v>
          </cell>
          <cell r="J81">
            <v>0</v>
          </cell>
          <cell r="K81">
            <v>0</v>
          </cell>
          <cell r="L81">
            <v>0</v>
          </cell>
          <cell r="M81">
            <v>0</v>
          </cell>
          <cell r="N81">
            <v>0</v>
          </cell>
          <cell r="O81">
            <v>0</v>
          </cell>
          <cell r="P81">
            <v>0</v>
          </cell>
          <cell r="Q81">
            <v>0</v>
          </cell>
        </row>
        <row r="82">
          <cell r="C82" t="str">
            <v>Рабочие машины</v>
          </cell>
          <cell r="E82">
            <v>0</v>
          </cell>
          <cell r="F82">
            <v>0</v>
          </cell>
          <cell r="G82">
            <v>0</v>
          </cell>
          <cell r="H82">
            <v>0</v>
          </cell>
          <cell r="I82">
            <v>0</v>
          </cell>
          <cell r="J82">
            <v>0</v>
          </cell>
          <cell r="K82">
            <v>0</v>
          </cell>
          <cell r="L82">
            <v>0</v>
          </cell>
          <cell r="M82">
            <v>0</v>
          </cell>
          <cell r="N82">
            <v>0</v>
          </cell>
          <cell r="O82">
            <v>0</v>
          </cell>
          <cell r="P82">
            <v>0</v>
          </cell>
          <cell r="Q82">
            <v>0</v>
          </cell>
        </row>
        <row r="83">
          <cell r="C83" t="str">
            <v>Приборы и лабораторное оборудование</v>
          </cell>
          <cell r="E83">
            <v>0</v>
          </cell>
          <cell r="F83">
            <v>0</v>
          </cell>
          <cell r="G83">
            <v>0</v>
          </cell>
          <cell r="H83">
            <v>0</v>
          </cell>
          <cell r="I83">
            <v>0</v>
          </cell>
          <cell r="J83">
            <v>0</v>
          </cell>
          <cell r="K83">
            <v>0</v>
          </cell>
          <cell r="L83">
            <v>0</v>
          </cell>
          <cell r="M83">
            <v>0</v>
          </cell>
          <cell r="N83">
            <v>0</v>
          </cell>
          <cell r="O83">
            <v>0</v>
          </cell>
          <cell r="P83">
            <v>0</v>
          </cell>
          <cell r="Q83">
            <v>0</v>
          </cell>
        </row>
        <row r="84">
          <cell r="C84" t="str">
            <v>Вычислительная техника</v>
          </cell>
          <cell r="E84">
            <v>0</v>
          </cell>
          <cell r="F84">
            <v>0</v>
          </cell>
          <cell r="G84">
            <v>0</v>
          </cell>
          <cell r="H84">
            <v>0</v>
          </cell>
          <cell r="I84">
            <v>0</v>
          </cell>
          <cell r="J84">
            <v>0</v>
          </cell>
          <cell r="K84">
            <v>0</v>
          </cell>
          <cell r="L84">
            <v>0</v>
          </cell>
          <cell r="M84">
            <v>0</v>
          </cell>
          <cell r="N84">
            <v>0</v>
          </cell>
          <cell r="O84">
            <v>0</v>
          </cell>
          <cell r="P84">
            <v>0</v>
          </cell>
          <cell r="Q84">
            <v>0</v>
          </cell>
        </row>
        <row r="85">
          <cell r="C85" t="str">
            <v>Прочие машины</v>
          </cell>
          <cell r="E85">
            <v>0</v>
          </cell>
          <cell r="F85">
            <v>0</v>
          </cell>
          <cell r="G85">
            <v>0</v>
          </cell>
          <cell r="H85">
            <v>0</v>
          </cell>
          <cell r="I85">
            <v>0</v>
          </cell>
          <cell r="J85">
            <v>0</v>
          </cell>
          <cell r="K85">
            <v>0</v>
          </cell>
          <cell r="L85">
            <v>0</v>
          </cell>
          <cell r="M85">
            <v>0</v>
          </cell>
          <cell r="N85">
            <v>0</v>
          </cell>
          <cell r="O85">
            <v>0</v>
          </cell>
          <cell r="P85">
            <v>0</v>
          </cell>
          <cell r="Q85">
            <v>0</v>
          </cell>
        </row>
        <row r="86">
          <cell r="C86" t="str">
            <v>Транспортные средства</v>
          </cell>
          <cell r="E86">
            <v>0</v>
          </cell>
          <cell r="F86">
            <v>0</v>
          </cell>
          <cell r="G86">
            <v>0</v>
          </cell>
          <cell r="H86">
            <v>0</v>
          </cell>
          <cell r="I86">
            <v>0</v>
          </cell>
          <cell r="J86">
            <v>0</v>
          </cell>
          <cell r="K86">
            <v>0</v>
          </cell>
          <cell r="L86">
            <v>0</v>
          </cell>
          <cell r="M86">
            <v>0</v>
          </cell>
          <cell r="N86">
            <v>0</v>
          </cell>
          <cell r="O86">
            <v>0</v>
          </cell>
          <cell r="P86">
            <v>0</v>
          </cell>
          <cell r="Q86">
            <v>0</v>
          </cell>
        </row>
        <row r="87">
          <cell r="C87" t="str">
            <v>Инструмент</v>
          </cell>
          <cell r="E87">
            <v>0</v>
          </cell>
          <cell r="F87">
            <v>0</v>
          </cell>
          <cell r="G87">
            <v>0</v>
          </cell>
          <cell r="H87">
            <v>0</v>
          </cell>
          <cell r="I87">
            <v>0</v>
          </cell>
          <cell r="J87">
            <v>0</v>
          </cell>
          <cell r="K87">
            <v>0</v>
          </cell>
          <cell r="L87">
            <v>0</v>
          </cell>
          <cell r="M87">
            <v>0</v>
          </cell>
          <cell r="N87">
            <v>0</v>
          </cell>
          <cell r="O87">
            <v>0</v>
          </cell>
          <cell r="P87">
            <v>0</v>
          </cell>
          <cell r="Q87">
            <v>0</v>
          </cell>
        </row>
        <row r="88">
          <cell r="C88" t="str">
            <v>Производственный инвентарь</v>
          </cell>
          <cell r="E88">
            <v>0</v>
          </cell>
          <cell r="F88">
            <v>0</v>
          </cell>
          <cell r="G88">
            <v>0</v>
          </cell>
          <cell r="H88">
            <v>0</v>
          </cell>
          <cell r="I88">
            <v>0</v>
          </cell>
          <cell r="J88">
            <v>0</v>
          </cell>
          <cell r="K88">
            <v>0</v>
          </cell>
          <cell r="L88">
            <v>0</v>
          </cell>
          <cell r="M88">
            <v>0</v>
          </cell>
          <cell r="N88">
            <v>0</v>
          </cell>
          <cell r="O88">
            <v>0</v>
          </cell>
          <cell r="P88">
            <v>0</v>
          </cell>
          <cell r="Q88">
            <v>0</v>
          </cell>
        </row>
      </sheetData>
      <sheetData sheetId="9" refreshError="1">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I14">
            <v>0</v>
          </cell>
          <cell r="J14">
            <v>0</v>
          </cell>
          <cell r="K14">
            <v>0</v>
          </cell>
          <cell r="L14">
            <v>0</v>
          </cell>
        </row>
        <row r="16">
          <cell r="I16">
            <v>0</v>
          </cell>
          <cell r="J16">
            <v>0</v>
          </cell>
          <cell r="K16">
            <v>0</v>
          </cell>
          <cell r="L16">
            <v>0</v>
          </cell>
        </row>
        <row r="17">
          <cell r="I17">
            <v>0</v>
          </cell>
          <cell r="J17">
            <v>0</v>
          </cell>
          <cell r="K17">
            <v>0</v>
          </cell>
          <cell r="L17">
            <v>0</v>
          </cell>
        </row>
        <row r="18">
          <cell r="I18">
            <v>0</v>
          </cell>
          <cell r="J18">
            <v>0</v>
          </cell>
          <cell r="K18">
            <v>0</v>
          </cell>
          <cell r="L18">
            <v>0</v>
          </cell>
        </row>
        <row r="19">
          <cell r="D19">
            <v>0</v>
          </cell>
          <cell r="E19">
            <v>0</v>
          </cell>
          <cell r="F19">
            <v>0</v>
          </cell>
          <cell r="G19">
            <v>0</v>
          </cell>
          <cell r="H19">
            <v>0</v>
          </cell>
          <cell r="I19">
            <v>0</v>
          </cell>
          <cell r="J19">
            <v>0</v>
          </cell>
          <cell r="K19">
            <v>0</v>
          </cell>
          <cell r="L19">
            <v>0</v>
          </cell>
        </row>
        <row r="21">
          <cell r="I21">
            <v>0</v>
          </cell>
          <cell r="J21">
            <v>0</v>
          </cell>
          <cell r="K21">
            <v>0</v>
          </cell>
          <cell r="L21">
            <v>0</v>
          </cell>
        </row>
        <row r="22">
          <cell r="D22">
            <v>0</v>
          </cell>
          <cell r="E22">
            <v>0</v>
          </cell>
          <cell r="F22">
            <v>0</v>
          </cell>
          <cell r="G22">
            <v>0</v>
          </cell>
          <cell r="H22">
            <v>0</v>
          </cell>
          <cell r="I22">
            <v>0</v>
          </cell>
          <cell r="J22">
            <v>0</v>
          </cell>
          <cell r="K22">
            <v>0</v>
          </cell>
          <cell r="L22">
            <v>0</v>
          </cell>
        </row>
        <row r="24">
          <cell r="I24">
            <v>0</v>
          </cell>
          <cell r="J24">
            <v>0</v>
          </cell>
          <cell r="K24">
            <v>0</v>
          </cell>
          <cell r="L24">
            <v>0</v>
          </cell>
        </row>
        <row r="25">
          <cell r="D25">
            <v>0</v>
          </cell>
          <cell r="E25">
            <v>0</v>
          </cell>
          <cell r="F25">
            <v>0</v>
          </cell>
          <cell r="G25">
            <v>0</v>
          </cell>
          <cell r="H25">
            <v>0</v>
          </cell>
          <cell r="I25">
            <v>0</v>
          </cell>
          <cell r="J25">
            <v>0</v>
          </cell>
          <cell r="K25">
            <v>0</v>
          </cell>
          <cell r="L25">
            <v>0</v>
          </cell>
        </row>
        <row r="27">
          <cell r="I27">
            <v>0</v>
          </cell>
          <cell r="J27">
            <v>0</v>
          </cell>
          <cell r="K27">
            <v>0</v>
          </cell>
          <cell r="L27">
            <v>0</v>
          </cell>
        </row>
        <row r="28">
          <cell r="D28">
            <v>0</v>
          </cell>
          <cell r="E28">
            <v>0</v>
          </cell>
          <cell r="F28">
            <v>0</v>
          </cell>
          <cell r="G28">
            <v>0</v>
          </cell>
          <cell r="H28">
            <v>0</v>
          </cell>
          <cell r="I28">
            <v>0</v>
          </cell>
          <cell r="J28">
            <v>0</v>
          </cell>
          <cell r="K28">
            <v>0</v>
          </cell>
          <cell r="L28">
            <v>0</v>
          </cell>
        </row>
        <row r="30">
          <cell r="I30">
            <v>0</v>
          </cell>
          <cell r="J30">
            <v>0</v>
          </cell>
          <cell r="K30">
            <v>0</v>
          </cell>
          <cell r="L30">
            <v>0</v>
          </cell>
        </row>
        <row r="31">
          <cell r="D31">
            <v>0</v>
          </cell>
          <cell r="E31">
            <v>0</v>
          </cell>
          <cell r="F31">
            <v>0</v>
          </cell>
          <cell r="G31">
            <v>0</v>
          </cell>
          <cell r="H31">
            <v>0</v>
          </cell>
          <cell r="I31">
            <v>0</v>
          </cell>
          <cell r="J31">
            <v>0</v>
          </cell>
          <cell r="K31">
            <v>0</v>
          </cell>
          <cell r="L31">
            <v>0</v>
          </cell>
        </row>
        <row r="33">
          <cell r="I33">
            <v>0</v>
          </cell>
          <cell r="J33">
            <v>0</v>
          </cell>
          <cell r="K33">
            <v>0</v>
          </cell>
          <cell r="L33">
            <v>0</v>
          </cell>
        </row>
        <row r="34">
          <cell r="D34">
            <v>0</v>
          </cell>
          <cell r="E34">
            <v>0</v>
          </cell>
          <cell r="F34">
            <v>0</v>
          </cell>
          <cell r="G34">
            <v>0</v>
          </cell>
          <cell r="H34">
            <v>0</v>
          </cell>
          <cell r="I34">
            <v>0</v>
          </cell>
          <cell r="J34">
            <v>0</v>
          </cell>
          <cell r="K34">
            <v>0</v>
          </cell>
          <cell r="L34">
            <v>0</v>
          </cell>
        </row>
        <row r="35">
          <cell r="D35">
            <v>0</v>
          </cell>
          <cell r="E35">
            <v>0</v>
          </cell>
          <cell r="F35">
            <v>0</v>
          </cell>
          <cell r="G35">
            <v>0</v>
          </cell>
          <cell r="H35">
            <v>0</v>
          </cell>
          <cell r="I35">
            <v>0</v>
          </cell>
          <cell r="J35">
            <v>0</v>
          </cell>
          <cell r="K35">
            <v>0</v>
          </cell>
          <cell r="L35">
            <v>0</v>
          </cell>
        </row>
        <row r="37">
          <cell r="I37">
            <v>0</v>
          </cell>
          <cell r="J37">
            <v>0</v>
          </cell>
          <cell r="K37">
            <v>0</v>
          </cell>
          <cell r="L37">
            <v>0</v>
          </cell>
        </row>
        <row r="38">
          <cell r="I38">
            <v>0</v>
          </cell>
          <cell r="J38">
            <v>0</v>
          </cell>
          <cell r="K38">
            <v>0</v>
          </cell>
          <cell r="L38">
            <v>0</v>
          </cell>
        </row>
        <row r="39">
          <cell r="D39">
            <v>0</v>
          </cell>
          <cell r="E39">
            <v>0</v>
          </cell>
          <cell r="F39">
            <v>0</v>
          </cell>
          <cell r="G39">
            <v>0</v>
          </cell>
          <cell r="H39">
            <v>0</v>
          </cell>
          <cell r="I39">
            <v>0</v>
          </cell>
          <cell r="J39">
            <v>0</v>
          </cell>
          <cell r="K39">
            <v>0</v>
          </cell>
          <cell r="L39">
            <v>0</v>
          </cell>
        </row>
        <row r="41">
          <cell r="I41">
            <v>0</v>
          </cell>
          <cell r="J41">
            <v>0</v>
          </cell>
          <cell r="K41">
            <v>0</v>
          </cell>
          <cell r="L41">
            <v>0</v>
          </cell>
        </row>
        <row r="42">
          <cell r="I42">
            <v>0</v>
          </cell>
          <cell r="J42">
            <v>0</v>
          </cell>
          <cell r="K42">
            <v>0</v>
          </cell>
          <cell r="L42">
            <v>0</v>
          </cell>
        </row>
        <row r="43">
          <cell r="D43">
            <v>0</v>
          </cell>
          <cell r="E43">
            <v>0</v>
          </cell>
          <cell r="F43">
            <v>0</v>
          </cell>
          <cell r="G43">
            <v>0</v>
          </cell>
          <cell r="H43">
            <v>0</v>
          </cell>
          <cell r="I43">
            <v>0</v>
          </cell>
          <cell r="J43">
            <v>0</v>
          </cell>
          <cell r="K43">
            <v>0</v>
          </cell>
          <cell r="L43">
            <v>0</v>
          </cell>
        </row>
        <row r="44">
          <cell r="I44">
            <v>0</v>
          </cell>
          <cell r="J44">
            <v>0</v>
          </cell>
          <cell r="K44">
            <v>0</v>
          </cell>
          <cell r="L44">
            <v>0</v>
          </cell>
        </row>
        <row r="45">
          <cell r="I45">
            <v>0</v>
          </cell>
          <cell r="J45">
            <v>0</v>
          </cell>
          <cell r="K45">
            <v>0</v>
          </cell>
          <cell r="L45">
            <v>0</v>
          </cell>
        </row>
        <row r="46">
          <cell r="D46">
            <v>0</v>
          </cell>
          <cell r="E46">
            <v>0</v>
          </cell>
          <cell r="F46">
            <v>0</v>
          </cell>
          <cell r="G46">
            <v>0</v>
          </cell>
          <cell r="H46">
            <v>0</v>
          </cell>
          <cell r="I46">
            <v>0</v>
          </cell>
          <cell r="J46">
            <v>0</v>
          </cell>
          <cell r="K46">
            <v>0</v>
          </cell>
          <cell r="L46">
            <v>0</v>
          </cell>
        </row>
        <row r="47">
          <cell r="I47">
            <v>0</v>
          </cell>
          <cell r="J47">
            <v>0</v>
          </cell>
          <cell r="K47">
            <v>0</v>
          </cell>
          <cell r="L47">
            <v>0</v>
          </cell>
        </row>
      </sheetData>
      <sheetData sheetId="10" refreshError="1"/>
      <sheetData sheetId="11" refreshError="1"/>
      <sheetData sheetId="12"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8">
          <cell r="D8">
            <v>0</v>
          </cell>
          <cell r="E8">
            <v>0</v>
          </cell>
          <cell r="F8">
            <v>0</v>
          </cell>
          <cell r="G8">
            <v>0</v>
          </cell>
          <cell r="H8">
            <v>0</v>
          </cell>
          <cell r="I8">
            <v>0</v>
          </cell>
          <cell r="J8">
            <v>0</v>
          </cell>
          <cell r="K8">
            <v>0</v>
          </cell>
          <cell r="L8">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row r="12">
          <cell r="I12">
            <v>0</v>
          </cell>
          <cell r="J12">
            <v>0</v>
          </cell>
          <cell r="K12">
            <v>0</v>
          </cell>
          <cell r="L12">
            <v>0</v>
          </cell>
        </row>
        <row r="14">
          <cell r="D14">
            <v>0</v>
          </cell>
          <cell r="E14">
            <v>0</v>
          </cell>
          <cell r="F14">
            <v>0</v>
          </cell>
          <cell r="G14">
            <v>0</v>
          </cell>
          <cell r="H14">
            <v>0</v>
          </cell>
          <cell r="I14">
            <v>0</v>
          </cell>
          <cell r="J14">
            <v>0</v>
          </cell>
          <cell r="K14">
            <v>0</v>
          </cell>
          <cell r="L14">
            <v>0</v>
          </cell>
        </row>
        <row r="15">
          <cell r="I15">
            <v>0</v>
          </cell>
          <cell r="J15">
            <v>0</v>
          </cell>
          <cell r="K15">
            <v>0</v>
          </cell>
          <cell r="L15">
            <v>0</v>
          </cell>
        </row>
        <row r="16">
          <cell r="I16">
            <v>0</v>
          </cell>
          <cell r="J16">
            <v>0</v>
          </cell>
          <cell r="K16">
            <v>0</v>
          </cell>
          <cell r="L16">
            <v>0</v>
          </cell>
        </row>
        <row r="18">
          <cell r="D18">
            <v>0</v>
          </cell>
          <cell r="E18">
            <v>0</v>
          </cell>
          <cell r="F18">
            <v>0</v>
          </cell>
          <cell r="G18">
            <v>0</v>
          </cell>
          <cell r="H18">
            <v>0</v>
          </cell>
          <cell r="I18">
            <v>0</v>
          </cell>
          <cell r="J18">
            <v>0</v>
          </cell>
          <cell r="K18">
            <v>0</v>
          </cell>
          <cell r="L18">
            <v>0</v>
          </cell>
        </row>
        <row r="19">
          <cell r="I19">
            <v>0</v>
          </cell>
          <cell r="J19">
            <v>0</v>
          </cell>
          <cell r="K19">
            <v>0</v>
          </cell>
          <cell r="L19">
            <v>0</v>
          </cell>
        </row>
        <row r="20">
          <cell r="I20">
            <v>0</v>
          </cell>
          <cell r="J20">
            <v>0</v>
          </cell>
          <cell r="K20">
            <v>0</v>
          </cell>
          <cell r="L20">
            <v>0</v>
          </cell>
        </row>
        <row r="22">
          <cell r="D22">
            <v>0</v>
          </cell>
          <cell r="E22">
            <v>0</v>
          </cell>
          <cell r="F22">
            <v>0</v>
          </cell>
          <cell r="G22">
            <v>0</v>
          </cell>
          <cell r="H22">
            <v>0</v>
          </cell>
          <cell r="I22">
            <v>0</v>
          </cell>
          <cell r="J22">
            <v>0</v>
          </cell>
          <cell r="K22">
            <v>0</v>
          </cell>
          <cell r="L22">
            <v>0</v>
          </cell>
        </row>
        <row r="23">
          <cell r="I23">
            <v>0</v>
          </cell>
          <cell r="J23">
            <v>0</v>
          </cell>
          <cell r="K23">
            <v>0</v>
          </cell>
          <cell r="L23">
            <v>0</v>
          </cell>
        </row>
        <row r="24">
          <cell r="I24">
            <v>0</v>
          </cell>
          <cell r="J24">
            <v>0</v>
          </cell>
          <cell r="K24">
            <v>0</v>
          </cell>
          <cell r="L24">
            <v>0</v>
          </cell>
        </row>
        <row r="26">
          <cell r="D26">
            <v>0</v>
          </cell>
          <cell r="E26">
            <v>0</v>
          </cell>
          <cell r="F26">
            <v>0</v>
          </cell>
          <cell r="G26">
            <v>0</v>
          </cell>
          <cell r="H26">
            <v>0</v>
          </cell>
          <cell r="I26">
            <v>0</v>
          </cell>
          <cell r="J26">
            <v>0</v>
          </cell>
          <cell r="K26">
            <v>0</v>
          </cell>
          <cell r="L26">
            <v>0</v>
          </cell>
        </row>
        <row r="27">
          <cell r="I27">
            <v>0</v>
          </cell>
          <cell r="J27">
            <v>0</v>
          </cell>
          <cell r="K27">
            <v>0</v>
          </cell>
          <cell r="L27">
            <v>0</v>
          </cell>
        </row>
        <row r="28">
          <cell r="I28">
            <v>0</v>
          </cell>
          <cell r="J28">
            <v>0</v>
          </cell>
          <cell r="K28">
            <v>0</v>
          </cell>
          <cell r="L28">
            <v>0</v>
          </cell>
        </row>
        <row r="30">
          <cell r="D30">
            <v>0</v>
          </cell>
          <cell r="E30">
            <v>0</v>
          </cell>
          <cell r="F30">
            <v>0</v>
          </cell>
          <cell r="G30">
            <v>0</v>
          </cell>
          <cell r="H30">
            <v>0</v>
          </cell>
          <cell r="I30">
            <v>0</v>
          </cell>
          <cell r="J30">
            <v>0</v>
          </cell>
          <cell r="K30">
            <v>0</v>
          </cell>
          <cell r="L30">
            <v>0</v>
          </cell>
        </row>
        <row r="31">
          <cell r="D31">
            <v>0</v>
          </cell>
          <cell r="E31">
            <v>0</v>
          </cell>
          <cell r="F31">
            <v>0</v>
          </cell>
          <cell r="G31">
            <v>0</v>
          </cell>
          <cell r="H31">
            <v>0</v>
          </cell>
          <cell r="I31">
            <v>0</v>
          </cell>
          <cell r="J31">
            <v>0</v>
          </cell>
          <cell r="K31">
            <v>0</v>
          </cell>
          <cell r="L31">
            <v>0</v>
          </cell>
        </row>
        <row r="32">
          <cell r="D32">
            <v>0</v>
          </cell>
          <cell r="E32">
            <v>0</v>
          </cell>
          <cell r="F32">
            <v>0</v>
          </cell>
          <cell r="G32">
            <v>0</v>
          </cell>
          <cell r="H32">
            <v>0</v>
          </cell>
          <cell r="I32">
            <v>0</v>
          </cell>
          <cell r="J32">
            <v>0</v>
          </cell>
          <cell r="K32">
            <v>0</v>
          </cell>
          <cell r="L32">
            <v>0</v>
          </cell>
        </row>
        <row r="36">
          <cell r="I36">
            <v>0</v>
          </cell>
          <cell r="J36">
            <v>0</v>
          </cell>
          <cell r="K36">
            <v>0</v>
          </cell>
          <cell r="L36">
            <v>0</v>
          </cell>
        </row>
        <row r="37">
          <cell r="I37">
            <v>0</v>
          </cell>
          <cell r="J37">
            <v>0</v>
          </cell>
          <cell r="K37">
            <v>0</v>
          </cell>
          <cell r="L37">
            <v>0</v>
          </cell>
        </row>
        <row r="38">
          <cell r="I38">
            <v>0</v>
          </cell>
          <cell r="J38">
            <v>0</v>
          </cell>
          <cell r="K38">
            <v>0</v>
          </cell>
          <cell r="L38">
            <v>0</v>
          </cell>
        </row>
        <row r="40">
          <cell r="D40">
            <v>0</v>
          </cell>
          <cell r="E40">
            <v>0</v>
          </cell>
          <cell r="F40">
            <v>0</v>
          </cell>
          <cell r="G40">
            <v>0</v>
          </cell>
          <cell r="H40">
            <v>0</v>
          </cell>
          <cell r="I40">
            <v>0</v>
          </cell>
          <cell r="J40">
            <v>0</v>
          </cell>
          <cell r="K40">
            <v>0</v>
          </cell>
          <cell r="L40">
            <v>0</v>
          </cell>
        </row>
        <row r="41">
          <cell r="I41">
            <v>0</v>
          </cell>
          <cell r="J41">
            <v>0</v>
          </cell>
          <cell r="K41">
            <v>0</v>
          </cell>
          <cell r="L41">
            <v>0</v>
          </cell>
        </row>
        <row r="42">
          <cell r="I42">
            <v>0</v>
          </cell>
          <cell r="J42">
            <v>0</v>
          </cell>
          <cell r="K42">
            <v>0</v>
          </cell>
          <cell r="L42">
            <v>0</v>
          </cell>
        </row>
      </sheetData>
      <sheetData sheetId="13" refreshError="1">
        <row r="6">
          <cell r="D6">
            <v>0</v>
          </cell>
          <cell r="E6">
            <v>0</v>
          </cell>
          <cell r="F6">
            <v>0</v>
          </cell>
          <cell r="G6">
            <v>0</v>
          </cell>
          <cell r="H6">
            <v>0</v>
          </cell>
          <cell r="I6">
            <v>0</v>
          </cell>
          <cell r="J6">
            <v>0</v>
          </cell>
          <cell r="K6">
            <v>0</v>
          </cell>
          <cell r="L6">
            <v>0</v>
          </cell>
        </row>
        <row r="8">
          <cell r="I8">
            <v>0</v>
          </cell>
          <cell r="J8">
            <v>0</v>
          </cell>
          <cell r="K8">
            <v>0</v>
          </cell>
          <cell r="L8">
            <v>0</v>
          </cell>
        </row>
        <row r="9">
          <cell r="D9">
            <v>0</v>
          </cell>
          <cell r="E9">
            <v>0</v>
          </cell>
          <cell r="F9">
            <v>0</v>
          </cell>
          <cell r="G9">
            <v>0</v>
          </cell>
          <cell r="H9">
            <v>0</v>
          </cell>
          <cell r="I9">
            <v>0</v>
          </cell>
          <cell r="J9">
            <v>0</v>
          </cell>
          <cell r="K9">
            <v>0</v>
          </cell>
          <cell r="L9">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4">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sheetData>
      <sheetData sheetId="14"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1">
          <cell r="B11" t="str">
            <v>договор № ___ от ____</v>
          </cell>
          <cell r="I11">
            <v>0</v>
          </cell>
          <cell r="J11">
            <v>0</v>
          </cell>
          <cell r="K11">
            <v>0</v>
          </cell>
          <cell r="L11">
            <v>0</v>
          </cell>
        </row>
        <row r="13">
          <cell r="D13">
            <v>0</v>
          </cell>
          <cell r="E13">
            <v>0</v>
          </cell>
          <cell r="F13">
            <v>0</v>
          </cell>
          <cell r="G13">
            <v>0</v>
          </cell>
          <cell r="H13">
            <v>0</v>
          </cell>
          <cell r="I13">
            <v>0</v>
          </cell>
          <cell r="J13">
            <v>0</v>
          </cell>
          <cell r="K13">
            <v>0</v>
          </cell>
          <cell r="L13">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7">
          <cell r="B17" t="str">
            <v>договор № ___ от ____</v>
          </cell>
          <cell r="I17">
            <v>0</v>
          </cell>
          <cell r="J17">
            <v>0</v>
          </cell>
          <cell r="K17">
            <v>0</v>
          </cell>
          <cell r="L17">
            <v>0</v>
          </cell>
        </row>
        <row r="19">
          <cell r="D19">
            <v>0</v>
          </cell>
          <cell r="E19">
            <v>0</v>
          </cell>
          <cell r="F19">
            <v>0</v>
          </cell>
          <cell r="G19">
            <v>0</v>
          </cell>
          <cell r="H19">
            <v>0</v>
          </cell>
          <cell r="I19">
            <v>0</v>
          </cell>
          <cell r="J19">
            <v>0</v>
          </cell>
          <cell r="K19">
            <v>0</v>
          </cell>
          <cell r="L19">
            <v>0</v>
          </cell>
        </row>
        <row r="21">
          <cell r="B21" t="str">
            <v>договор № ___ от ____</v>
          </cell>
          <cell r="I21">
            <v>0</v>
          </cell>
          <cell r="J21">
            <v>0</v>
          </cell>
          <cell r="K21">
            <v>0</v>
          </cell>
          <cell r="L21">
            <v>0</v>
          </cell>
        </row>
        <row r="22">
          <cell r="B22" t="str">
            <v>договор № ___ от ____</v>
          </cell>
          <cell r="I22">
            <v>0</v>
          </cell>
          <cell r="J22">
            <v>0</v>
          </cell>
          <cell r="K22">
            <v>0</v>
          </cell>
          <cell r="L22">
            <v>0</v>
          </cell>
        </row>
        <row r="23">
          <cell r="B23" t="str">
            <v>договор № ___ от ____</v>
          </cell>
          <cell r="I23">
            <v>0</v>
          </cell>
          <cell r="J23">
            <v>0</v>
          </cell>
          <cell r="K23">
            <v>0</v>
          </cell>
          <cell r="L23">
            <v>0</v>
          </cell>
        </row>
        <row r="25">
          <cell r="D25">
            <v>0</v>
          </cell>
          <cell r="E25">
            <v>0</v>
          </cell>
          <cell r="F25">
            <v>0</v>
          </cell>
          <cell r="G25">
            <v>0</v>
          </cell>
          <cell r="H25">
            <v>0</v>
          </cell>
          <cell r="I25">
            <v>0</v>
          </cell>
          <cell r="J25">
            <v>0</v>
          </cell>
          <cell r="K25">
            <v>0</v>
          </cell>
          <cell r="L25">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29">
          <cell r="B29" t="str">
            <v>договор № ___ от ____</v>
          </cell>
          <cell r="I29">
            <v>0</v>
          </cell>
          <cell r="J29">
            <v>0</v>
          </cell>
          <cell r="K29">
            <v>0</v>
          </cell>
          <cell r="L29">
            <v>0</v>
          </cell>
        </row>
        <row r="31">
          <cell r="D31">
            <v>0</v>
          </cell>
          <cell r="E31">
            <v>0</v>
          </cell>
          <cell r="F31">
            <v>0</v>
          </cell>
          <cell r="G31">
            <v>0</v>
          </cell>
          <cell r="H31">
            <v>0</v>
          </cell>
          <cell r="I31">
            <v>0</v>
          </cell>
          <cell r="J31">
            <v>0</v>
          </cell>
          <cell r="K31">
            <v>0</v>
          </cell>
          <cell r="L31">
            <v>0</v>
          </cell>
        </row>
      </sheetData>
      <sheetData sheetId="15" refreshError="1">
        <row r="6">
          <cell r="D6">
            <v>0</v>
          </cell>
          <cell r="E6">
            <v>0</v>
          </cell>
          <cell r="F6">
            <v>0</v>
          </cell>
          <cell r="G6">
            <v>0</v>
          </cell>
          <cell r="I6">
            <v>0</v>
          </cell>
          <cell r="J6">
            <v>0</v>
          </cell>
          <cell r="K6">
            <v>0</v>
          </cell>
          <cell r="L6">
            <v>0</v>
          </cell>
        </row>
        <row r="8">
          <cell r="B8" t="str">
            <v>договор № ___ от ____</v>
          </cell>
          <cell r="I8">
            <v>0</v>
          </cell>
          <cell r="J8">
            <v>0</v>
          </cell>
          <cell r="K8">
            <v>0</v>
          </cell>
          <cell r="L8">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1">
          <cell r="B11" t="str">
            <v>договор № ___ от ____</v>
          </cell>
          <cell r="I11">
            <v>0</v>
          </cell>
          <cell r="J11">
            <v>0</v>
          </cell>
          <cell r="K11">
            <v>0</v>
          </cell>
          <cell r="L11">
            <v>0</v>
          </cell>
        </row>
        <row r="13">
          <cell r="D13">
            <v>0</v>
          </cell>
          <cell r="E13">
            <v>0</v>
          </cell>
          <cell r="F13">
            <v>0</v>
          </cell>
          <cell r="G13">
            <v>0</v>
          </cell>
          <cell r="I13">
            <v>0</v>
          </cell>
          <cell r="J13">
            <v>0</v>
          </cell>
          <cell r="K13">
            <v>0</v>
          </cell>
          <cell r="L13">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7">
          <cell r="B17" t="str">
            <v>договор № ___ от ____</v>
          </cell>
          <cell r="I17">
            <v>0</v>
          </cell>
          <cell r="J17">
            <v>0</v>
          </cell>
          <cell r="K17">
            <v>0</v>
          </cell>
          <cell r="L17">
            <v>0</v>
          </cell>
        </row>
        <row r="18">
          <cell r="B18" t="str">
            <v>договор № ___ от ____</v>
          </cell>
          <cell r="I18">
            <v>0</v>
          </cell>
          <cell r="J18">
            <v>0</v>
          </cell>
          <cell r="K18">
            <v>0</v>
          </cell>
          <cell r="L18">
            <v>0</v>
          </cell>
        </row>
        <row r="20">
          <cell r="D20">
            <v>0</v>
          </cell>
          <cell r="E20">
            <v>0</v>
          </cell>
          <cell r="F20">
            <v>0</v>
          </cell>
          <cell r="G20">
            <v>0</v>
          </cell>
          <cell r="I20">
            <v>0</v>
          </cell>
          <cell r="J20">
            <v>0</v>
          </cell>
          <cell r="K20">
            <v>0</v>
          </cell>
          <cell r="L20">
            <v>0</v>
          </cell>
        </row>
        <row r="22">
          <cell r="B22" t="str">
            <v>договор № ___ от ____</v>
          </cell>
          <cell r="I22">
            <v>0</v>
          </cell>
          <cell r="J22">
            <v>0</v>
          </cell>
          <cell r="K22">
            <v>0</v>
          </cell>
          <cell r="L22">
            <v>0</v>
          </cell>
        </row>
        <row r="23">
          <cell r="B23" t="str">
            <v>договор № ___ от ____</v>
          </cell>
          <cell r="I23">
            <v>0</v>
          </cell>
          <cell r="J23">
            <v>0</v>
          </cell>
          <cell r="K23">
            <v>0</v>
          </cell>
          <cell r="L23">
            <v>0</v>
          </cell>
        </row>
        <row r="24">
          <cell r="B24" t="str">
            <v>договор № ___ от ____</v>
          </cell>
          <cell r="I24">
            <v>0</v>
          </cell>
          <cell r="J24">
            <v>0</v>
          </cell>
          <cell r="K24">
            <v>0</v>
          </cell>
          <cell r="L24">
            <v>0</v>
          </cell>
        </row>
        <row r="25">
          <cell r="B25" t="str">
            <v>договор № ___ от ____</v>
          </cell>
          <cell r="I25">
            <v>0</v>
          </cell>
          <cell r="J25">
            <v>0</v>
          </cell>
          <cell r="K25">
            <v>0</v>
          </cell>
          <cell r="L25">
            <v>0</v>
          </cell>
        </row>
        <row r="27">
          <cell r="D27">
            <v>0</v>
          </cell>
          <cell r="E27">
            <v>0</v>
          </cell>
          <cell r="F27">
            <v>0</v>
          </cell>
          <cell r="G27">
            <v>0</v>
          </cell>
          <cell r="I27">
            <v>0</v>
          </cell>
          <cell r="J27">
            <v>0</v>
          </cell>
          <cell r="K27">
            <v>0</v>
          </cell>
          <cell r="L27">
            <v>0</v>
          </cell>
        </row>
        <row r="29">
          <cell r="B29" t="str">
            <v>договор № ___ от ____</v>
          </cell>
          <cell r="I29">
            <v>0</v>
          </cell>
          <cell r="J29">
            <v>0</v>
          </cell>
          <cell r="K29">
            <v>0</v>
          </cell>
          <cell r="L29">
            <v>0</v>
          </cell>
        </row>
        <row r="30">
          <cell r="B30" t="str">
            <v>договор № ___ от ____</v>
          </cell>
          <cell r="I30">
            <v>0</v>
          </cell>
          <cell r="J30">
            <v>0</v>
          </cell>
          <cell r="K30">
            <v>0</v>
          </cell>
          <cell r="L30">
            <v>0</v>
          </cell>
        </row>
        <row r="31">
          <cell r="B31" t="str">
            <v>договор № ___ от ____</v>
          </cell>
          <cell r="I31">
            <v>0</v>
          </cell>
          <cell r="J31">
            <v>0</v>
          </cell>
          <cell r="K31">
            <v>0</v>
          </cell>
          <cell r="L31">
            <v>0</v>
          </cell>
        </row>
        <row r="32">
          <cell r="B32" t="str">
            <v>договор № ___ от ____</v>
          </cell>
          <cell r="I32">
            <v>0</v>
          </cell>
          <cell r="J32">
            <v>0</v>
          </cell>
          <cell r="K32">
            <v>0</v>
          </cell>
          <cell r="L32">
            <v>0</v>
          </cell>
        </row>
        <row r="34">
          <cell r="D34">
            <v>0</v>
          </cell>
          <cell r="E34">
            <v>0</v>
          </cell>
          <cell r="F34">
            <v>0</v>
          </cell>
          <cell r="G34">
            <v>0</v>
          </cell>
          <cell r="I34">
            <v>0</v>
          </cell>
          <cell r="J34">
            <v>0</v>
          </cell>
          <cell r="K34">
            <v>0</v>
          </cell>
          <cell r="L34">
            <v>0</v>
          </cell>
        </row>
        <row r="36">
          <cell r="B36" t="str">
            <v>договор № ___ от ____</v>
          </cell>
          <cell r="I36">
            <v>0</v>
          </cell>
          <cell r="J36">
            <v>0</v>
          </cell>
          <cell r="K36">
            <v>0</v>
          </cell>
          <cell r="L36">
            <v>0</v>
          </cell>
        </row>
        <row r="37">
          <cell r="B37" t="str">
            <v>договор № ___ от ____</v>
          </cell>
          <cell r="I37">
            <v>0</v>
          </cell>
          <cell r="J37">
            <v>0</v>
          </cell>
          <cell r="K37">
            <v>0</v>
          </cell>
          <cell r="L37">
            <v>0</v>
          </cell>
        </row>
        <row r="38">
          <cell r="B38" t="str">
            <v>договор № ___ от ____</v>
          </cell>
          <cell r="I38">
            <v>0</v>
          </cell>
          <cell r="J38">
            <v>0</v>
          </cell>
          <cell r="K38">
            <v>0</v>
          </cell>
          <cell r="L38">
            <v>0</v>
          </cell>
        </row>
        <row r="39">
          <cell r="B39" t="str">
            <v>договор № ___ от ____</v>
          </cell>
          <cell r="I39">
            <v>0</v>
          </cell>
          <cell r="J39">
            <v>0</v>
          </cell>
          <cell r="K39">
            <v>0</v>
          </cell>
          <cell r="L39">
            <v>0</v>
          </cell>
        </row>
        <row r="41">
          <cell r="D41">
            <v>0</v>
          </cell>
          <cell r="E41">
            <v>0</v>
          </cell>
          <cell r="F41">
            <v>0</v>
          </cell>
          <cell r="G41">
            <v>0</v>
          </cell>
          <cell r="I41">
            <v>0</v>
          </cell>
          <cell r="J41">
            <v>0</v>
          </cell>
          <cell r="K41">
            <v>0</v>
          </cell>
          <cell r="L41">
            <v>0</v>
          </cell>
        </row>
        <row r="43">
          <cell r="B43" t="str">
            <v>договор № ___ от ____</v>
          </cell>
          <cell r="I43">
            <v>0</v>
          </cell>
          <cell r="J43">
            <v>0</v>
          </cell>
          <cell r="K43">
            <v>0</v>
          </cell>
          <cell r="L43">
            <v>0</v>
          </cell>
        </row>
        <row r="44">
          <cell r="B44" t="str">
            <v>договор № ___ от ____</v>
          </cell>
          <cell r="I44">
            <v>0</v>
          </cell>
          <cell r="J44">
            <v>0</v>
          </cell>
          <cell r="K44">
            <v>0</v>
          </cell>
          <cell r="L44">
            <v>0</v>
          </cell>
        </row>
        <row r="45">
          <cell r="B45" t="str">
            <v>договор № ___ от ____</v>
          </cell>
          <cell r="I45">
            <v>0</v>
          </cell>
          <cell r="J45">
            <v>0</v>
          </cell>
          <cell r="K45">
            <v>0</v>
          </cell>
          <cell r="L45">
            <v>0</v>
          </cell>
        </row>
        <row r="46">
          <cell r="B46" t="str">
            <v>договор № ___ от ____</v>
          </cell>
          <cell r="I46">
            <v>0</v>
          </cell>
          <cell r="J46">
            <v>0</v>
          </cell>
          <cell r="K46">
            <v>0</v>
          </cell>
          <cell r="L46">
            <v>0</v>
          </cell>
        </row>
        <row r="48">
          <cell r="D48">
            <v>0</v>
          </cell>
          <cell r="E48">
            <v>0</v>
          </cell>
          <cell r="F48">
            <v>0</v>
          </cell>
          <cell r="G48">
            <v>0</v>
          </cell>
          <cell r="I48">
            <v>0</v>
          </cell>
          <cell r="J48">
            <v>0</v>
          </cell>
          <cell r="K48">
            <v>0</v>
          </cell>
          <cell r="L48">
            <v>0</v>
          </cell>
        </row>
        <row r="49">
          <cell r="D49">
            <v>0</v>
          </cell>
          <cell r="E49">
            <v>0</v>
          </cell>
          <cell r="F49">
            <v>0</v>
          </cell>
          <cell r="G49">
            <v>0</v>
          </cell>
          <cell r="I49">
            <v>0</v>
          </cell>
          <cell r="J49">
            <v>0</v>
          </cell>
          <cell r="K49">
            <v>0</v>
          </cell>
          <cell r="L49">
            <v>0</v>
          </cell>
        </row>
        <row r="51">
          <cell r="B51" t="str">
            <v>договор № ___ от ____</v>
          </cell>
          <cell r="I51">
            <v>0</v>
          </cell>
          <cell r="J51">
            <v>0</v>
          </cell>
          <cell r="K51">
            <v>0</v>
          </cell>
          <cell r="L51">
            <v>0</v>
          </cell>
        </row>
        <row r="52">
          <cell r="B52" t="str">
            <v>договор № ___ от ____</v>
          </cell>
          <cell r="I52">
            <v>0</v>
          </cell>
          <cell r="J52">
            <v>0</v>
          </cell>
          <cell r="K52">
            <v>0</v>
          </cell>
          <cell r="L52">
            <v>0</v>
          </cell>
        </row>
        <row r="53">
          <cell r="B53" t="str">
            <v>договор № ___ от ____</v>
          </cell>
          <cell r="I53">
            <v>0</v>
          </cell>
          <cell r="J53">
            <v>0</v>
          </cell>
          <cell r="K53">
            <v>0</v>
          </cell>
          <cell r="L53">
            <v>0</v>
          </cell>
        </row>
        <row r="54">
          <cell r="B54" t="str">
            <v>договор № ___ от ____</v>
          </cell>
          <cell r="I54">
            <v>0</v>
          </cell>
          <cell r="J54">
            <v>0</v>
          </cell>
          <cell r="K54">
            <v>0</v>
          </cell>
          <cell r="L54">
            <v>0</v>
          </cell>
        </row>
        <row r="56">
          <cell r="D56">
            <v>0</v>
          </cell>
          <cell r="E56">
            <v>0</v>
          </cell>
          <cell r="F56">
            <v>0</v>
          </cell>
          <cell r="G56">
            <v>0</v>
          </cell>
          <cell r="I56">
            <v>0</v>
          </cell>
          <cell r="J56">
            <v>0</v>
          </cell>
          <cell r="K56">
            <v>0</v>
          </cell>
          <cell r="L56">
            <v>0</v>
          </cell>
        </row>
        <row r="58">
          <cell r="B58" t="str">
            <v>договор № ___ от ____</v>
          </cell>
          <cell r="I58">
            <v>0</v>
          </cell>
          <cell r="J58">
            <v>0</v>
          </cell>
          <cell r="K58">
            <v>0</v>
          </cell>
          <cell r="L58">
            <v>0</v>
          </cell>
        </row>
        <row r="59">
          <cell r="B59" t="str">
            <v>договор № ___ от ____</v>
          </cell>
          <cell r="I59">
            <v>0</v>
          </cell>
          <cell r="J59">
            <v>0</v>
          </cell>
          <cell r="K59">
            <v>0</v>
          </cell>
          <cell r="L59">
            <v>0</v>
          </cell>
        </row>
        <row r="60">
          <cell r="B60" t="str">
            <v>договор № ___ от ____</v>
          </cell>
          <cell r="I60">
            <v>0</v>
          </cell>
          <cell r="J60">
            <v>0</v>
          </cell>
          <cell r="K60">
            <v>0</v>
          </cell>
          <cell r="L60">
            <v>0</v>
          </cell>
        </row>
        <row r="61">
          <cell r="B61" t="str">
            <v>договор № ___ от ____</v>
          </cell>
          <cell r="I61">
            <v>0</v>
          </cell>
          <cell r="J61">
            <v>0</v>
          </cell>
          <cell r="K61">
            <v>0</v>
          </cell>
          <cell r="L61">
            <v>0</v>
          </cell>
        </row>
        <row r="63">
          <cell r="D63">
            <v>0</v>
          </cell>
          <cell r="E63">
            <v>0</v>
          </cell>
          <cell r="F63">
            <v>0</v>
          </cell>
          <cell r="G63">
            <v>0</v>
          </cell>
          <cell r="I63">
            <v>0</v>
          </cell>
          <cell r="J63">
            <v>0</v>
          </cell>
          <cell r="K63">
            <v>0</v>
          </cell>
          <cell r="L63">
            <v>0</v>
          </cell>
        </row>
        <row r="65">
          <cell r="B65" t="str">
            <v>договор № ___ от ____</v>
          </cell>
          <cell r="I65">
            <v>0</v>
          </cell>
          <cell r="J65">
            <v>0</v>
          </cell>
          <cell r="K65">
            <v>0</v>
          </cell>
          <cell r="L65">
            <v>0</v>
          </cell>
        </row>
        <row r="66">
          <cell r="B66" t="str">
            <v>договор № ___ от ____</v>
          </cell>
          <cell r="I66">
            <v>0</v>
          </cell>
          <cell r="J66">
            <v>0</v>
          </cell>
          <cell r="K66">
            <v>0</v>
          </cell>
          <cell r="L66">
            <v>0</v>
          </cell>
        </row>
        <row r="67">
          <cell r="B67" t="str">
            <v>договор № ___ от ____</v>
          </cell>
          <cell r="I67">
            <v>0</v>
          </cell>
          <cell r="J67">
            <v>0</v>
          </cell>
          <cell r="K67">
            <v>0</v>
          </cell>
          <cell r="L67">
            <v>0</v>
          </cell>
        </row>
        <row r="68">
          <cell r="B68" t="str">
            <v>договор № ___ от ____</v>
          </cell>
          <cell r="I68">
            <v>0</v>
          </cell>
          <cell r="J68">
            <v>0</v>
          </cell>
          <cell r="K68">
            <v>0</v>
          </cell>
          <cell r="L68">
            <v>0</v>
          </cell>
        </row>
        <row r="70">
          <cell r="D70">
            <v>0</v>
          </cell>
          <cell r="E70">
            <v>0</v>
          </cell>
          <cell r="F70">
            <v>0</v>
          </cell>
          <cell r="G70">
            <v>0</v>
          </cell>
          <cell r="I70">
            <v>0</v>
          </cell>
          <cell r="J70">
            <v>0</v>
          </cell>
          <cell r="K70">
            <v>0</v>
          </cell>
          <cell r="L70">
            <v>0</v>
          </cell>
        </row>
        <row r="72">
          <cell r="B72" t="str">
            <v>договор № ___ от ____</v>
          </cell>
          <cell r="I72">
            <v>0</v>
          </cell>
          <cell r="J72">
            <v>0</v>
          </cell>
          <cell r="K72">
            <v>0</v>
          </cell>
          <cell r="L72">
            <v>0</v>
          </cell>
        </row>
        <row r="73">
          <cell r="B73" t="str">
            <v>договор № ___ от ____</v>
          </cell>
          <cell r="I73">
            <v>0</v>
          </cell>
          <cell r="J73">
            <v>0</v>
          </cell>
          <cell r="K73">
            <v>0</v>
          </cell>
          <cell r="L73">
            <v>0</v>
          </cell>
        </row>
        <row r="74">
          <cell r="B74" t="str">
            <v>договор № ___ от ____</v>
          </cell>
          <cell r="I74">
            <v>0</v>
          </cell>
          <cell r="J74">
            <v>0</v>
          </cell>
          <cell r="K74">
            <v>0</v>
          </cell>
          <cell r="L74">
            <v>0</v>
          </cell>
        </row>
        <row r="75">
          <cell r="B75" t="str">
            <v>договор № ___ от ____</v>
          </cell>
          <cell r="I75">
            <v>0</v>
          </cell>
          <cell r="J75">
            <v>0</v>
          </cell>
          <cell r="K75">
            <v>0</v>
          </cell>
          <cell r="L75">
            <v>0</v>
          </cell>
        </row>
        <row r="76">
          <cell r="B76" t="str">
            <v>договор № ___ от ____</v>
          </cell>
          <cell r="I76">
            <v>0</v>
          </cell>
          <cell r="J76">
            <v>0</v>
          </cell>
          <cell r="K76">
            <v>0</v>
          </cell>
          <cell r="L76">
            <v>0</v>
          </cell>
        </row>
        <row r="77">
          <cell r="B77" t="str">
            <v>договор № ___ от ____</v>
          </cell>
          <cell r="I77">
            <v>0</v>
          </cell>
          <cell r="J77">
            <v>0</v>
          </cell>
          <cell r="K77">
            <v>0</v>
          </cell>
          <cell r="L77">
            <v>0</v>
          </cell>
        </row>
        <row r="78">
          <cell r="B78" t="str">
            <v>договор № ___ от ____</v>
          </cell>
          <cell r="I78">
            <v>0</v>
          </cell>
          <cell r="J78">
            <v>0</v>
          </cell>
          <cell r="K78">
            <v>0</v>
          </cell>
          <cell r="L78">
            <v>0</v>
          </cell>
        </row>
        <row r="79">
          <cell r="B79" t="str">
            <v>договор № ___ от ____</v>
          </cell>
          <cell r="I79">
            <v>0</v>
          </cell>
          <cell r="J79">
            <v>0</v>
          </cell>
          <cell r="K79">
            <v>0</v>
          </cell>
          <cell r="L79">
            <v>0</v>
          </cell>
        </row>
        <row r="80">
          <cell r="B80" t="str">
            <v>договор № ___ от ____</v>
          </cell>
          <cell r="I80">
            <v>0</v>
          </cell>
          <cell r="J80">
            <v>0</v>
          </cell>
          <cell r="K80">
            <v>0</v>
          </cell>
          <cell r="L80">
            <v>0</v>
          </cell>
        </row>
        <row r="81">
          <cell r="B81" t="str">
            <v>договор № ___ от ____</v>
          </cell>
          <cell r="I81">
            <v>0</v>
          </cell>
          <cell r="J81">
            <v>0</v>
          </cell>
          <cell r="K81">
            <v>0</v>
          </cell>
          <cell r="L81">
            <v>0</v>
          </cell>
        </row>
        <row r="82">
          <cell r="B82" t="str">
            <v>договор № ___ от ____</v>
          </cell>
          <cell r="I82">
            <v>0</v>
          </cell>
          <cell r="J82">
            <v>0</v>
          </cell>
          <cell r="K82">
            <v>0</v>
          </cell>
          <cell r="L82">
            <v>0</v>
          </cell>
        </row>
        <row r="84">
          <cell r="D84">
            <v>0</v>
          </cell>
          <cell r="E84">
            <v>0</v>
          </cell>
          <cell r="F84">
            <v>0</v>
          </cell>
          <cell r="G84">
            <v>0</v>
          </cell>
          <cell r="I84">
            <v>0</v>
          </cell>
          <cell r="J84">
            <v>0</v>
          </cell>
          <cell r="K84">
            <v>0</v>
          </cell>
          <cell r="L84">
            <v>0</v>
          </cell>
        </row>
      </sheetData>
      <sheetData sheetId="16" refreshError="1">
        <row r="6">
          <cell r="J6">
            <v>0</v>
          </cell>
          <cell r="K6">
            <v>0</v>
          </cell>
          <cell r="L6">
            <v>0</v>
          </cell>
          <cell r="M6">
            <v>0</v>
          </cell>
        </row>
        <row r="7">
          <cell r="J7">
            <v>0</v>
          </cell>
          <cell r="K7">
            <v>0</v>
          </cell>
          <cell r="L7">
            <v>0</v>
          </cell>
          <cell r="M7">
            <v>0</v>
          </cell>
        </row>
        <row r="8">
          <cell r="E8">
            <v>0</v>
          </cell>
          <cell r="F8">
            <v>0</v>
          </cell>
          <cell r="G8">
            <v>0</v>
          </cell>
          <cell r="H8">
            <v>0</v>
          </cell>
          <cell r="I8">
            <v>0</v>
          </cell>
          <cell r="J8">
            <v>0</v>
          </cell>
          <cell r="K8">
            <v>0</v>
          </cell>
          <cell r="L8">
            <v>0</v>
          </cell>
          <cell r="M8">
            <v>0</v>
          </cell>
        </row>
        <row r="9">
          <cell r="E9">
            <v>0</v>
          </cell>
          <cell r="F9">
            <v>0</v>
          </cell>
          <cell r="G9">
            <v>0</v>
          </cell>
          <cell r="H9">
            <v>0</v>
          </cell>
          <cell r="I9">
            <v>0</v>
          </cell>
          <cell r="J9">
            <v>0</v>
          </cell>
          <cell r="K9">
            <v>0</v>
          </cell>
          <cell r="L9">
            <v>0</v>
          </cell>
          <cell r="M9">
            <v>0</v>
          </cell>
        </row>
        <row r="11">
          <cell r="A11" t="str">
            <v>2.1</v>
          </cell>
          <cell r="B11" t="str">
            <v>договор № ___ от ____</v>
          </cell>
          <cell r="C11" t="str">
            <v>договор № ___ от ____</v>
          </cell>
          <cell r="D11" t="str">
            <v>тыс.руб.</v>
          </cell>
          <cell r="J11">
            <v>0</v>
          </cell>
          <cell r="K11">
            <v>0</v>
          </cell>
          <cell r="L11">
            <v>0</v>
          </cell>
          <cell r="M11">
            <v>0</v>
          </cell>
        </row>
        <row r="12">
          <cell r="B12" t="str">
            <v>площадь земли</v>
          </cell>
          <cell r="C12" t="str">
            <v>договор № ___ от ____</v>
          </cell>
          <cell r="D12" t="str">
            <v>га</v>
          </cell>
          <cell r="J12">
            <v>0</v>
          </cell>
          <cell r="K12">
            <v>0</v>
          </cell>
          <cell r="L12">
            <v>0</v>
          </cell>
          <cell r="M12">
            <v>0</v>
          </cell>
        </row>
        <row r="13">
          <cell r="A13" t="str">
            <v>2.2</v>
          </cell>
          <cell r="B13" t="str">
            <v>договор № ___ от ____</v>
          </cell>
          <cell r="C13" t="str">
            <v>договор № ___ от ____</v>
          </cell>
          <cell r="D13" t="str">
            <v>тыс.руб.</v>
          </cell>
          <cell r="J13">
            <v>0</v>
          </cell>
          <cell r="K13">
            <v>0</v>
          </cell>
          <cell r="L13">
            <v>0</v>
          </cell>
          <cell r="M13">
            <v>0</v>
          </cell>
        </row>
        <row r="14">
          <cell r="B14" t="str">
            <v>площадь земли</v>
          </cell>
          <cell r="C14" t="str">
            <v>договор № ___ от ____</v>
          </cell>
          <cell r="D14" t="str">
            <v>га</v>
          </cell>
          <cell r="J14">
            <v>0</v>
          </cell>
          <cell r="K14">
            <v>0</v>
          </cell>
          <cell r="L14">
            <v>0</v>
          </cell>
          <cell r="M14">
            <v>0</v>
          </cell>
        </row>
        <row r="15">
          <cell r="A15" t="str">
            <v>2.3</v>
          </cell>
          <cell r="B15" t="str">
            <v>договор № ___ от ____</v>
          </cell>
          <cell r="C15" t="str">
            <v>договор № ___ от ____</v>
          </cell>
          <cell r="D15" t="str">
            <v>тыс.руб.</v>
          </cell>
          <cell r="J15">
            <v>0</v>
          </cell>
          <cell r="K15">
            <v>0</v>
          </cell>
          <cell r="L15">
            <v>0</v>
          </cell>
          <cell r="M15">
            <v>0</v>
          </cell>
        </row>
        <row r="16">
          <cell r="B16" t="str">
            <v>площадь земли</v>
          </cell>
          <cell r="C16" t="str">
            <v>договор № ___ от ____</v>
          </cell>
          <cell r="D16" t="str">
            <v>га</v>
          </cell>
          <cell r="J16">
            <v>0</v>
          </cell>
          <cell r="K16">
            <v>0</v>
          </cell>
          <cell r="L16">
            <v>0</v>
          </cell>
          <cell r="M16">
            <v>0</v>
          </cell>
        </row>
        <row r="17">
          <cell r="A17" t="str">
            <v>2.4</v>
          </cell>
          <cell r="B17" t="str">
            <v>договор № ___ от ____</v>
          </cell>
          <cell r="C17" t="str">
            <v>договор № ___ от ____</v>
          </cell>
          <cell r="D17" t="str">
            <v>тыс.руб.</v>
          </cell>
          <cell r="J17">
            <v>0</v>
          </cell>
          <cell r="K17">
            <v>0</v>
          </cell>
          <cell r="L17">
            <v>0</v>
          </cell>
          <cell r="M17">
            <v>0</v>
          </cell>
        </row>
        <row r="18">
          <cell r="B18" t="str">
            <v>площадь земли</v>
          </cell>
          <cell r="C18" t="str">
            <v>договор № ___ от ____</v>
          </cell>
          <cell r="D18" t="str">
            <v>га</v>
          </cell>
          <cell r="J18">
            <v>0</v>
          </cell>
          <cell r="K18">
            <v>0</v>
          </cell>
          <cell r="L18">
            <v>0</v>
          </cell>
          <cell r="M18">
            <v>0</v>
          </cell>
        </row>
        <row r="20">
          <cell r="E20">
            <v>0</v>
          </cell>
          <cell r="F20">
            <v>0</v>
          </cell>
          <cell r="G20">
            <v>0</v>
          </cell>
          <cell r="H20">
            <v>0</v>
          </cell>
          <cell r="I20">
            <v>0</v>
          </cell>
          <cell r="J20">
            <v>0</v>
          </cell>
          <cell r="K20">
            <v>0</v>
          </cell>
          <cell r="L20">
            <v>0</v>
          </cell>
          <cell r="M20">
            <v>0</v>
          </cell>
        </row>
      </sheetData>
      <sheetData sheetId="17"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I10">
            <v>0</v>
          </cell>
          <cell r="J10">
            <v>0</v>
          </cell>
          <cell r="K10">
            <v>0</v>
          </cell>
          <cell r="L10">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I14">
            <v>0</v>
          </cell>
          <cell r="J14">
            <v>0</v>
          </cell>
          <cell r="K14">
            <v>0</v>
          </cell>
          <cell r="L14">
            <v>0</v>
          </cell>
        </row>
        <row r="15">
          <cell r="I15">
            <v>0</v>
          </cell>
          <cell r="J15">
            <v>0</v>
          </cell>
          <cell r="K15">
            <v>0</v>
          </cell>
          <cell r="L15">
            <v>0</v>
          </cell>
        </row>
        <row r="16">
          <cell r="D16">
            <v>0</v>
          </cell>
          <cell r="E16">
            <v>0</v>
          </cell>
          <cell r="F16">
            <v>0</v>
          </cell>
          <cell r="G16">
            <v>0</v>
          </cell>
          <cell r="H16">
            <v>0</v>
          </cell>
          <cell r="I16">
            <v>0</v>
          </cell>
          <cell r="J16">
            <v>0</v>
          </cell>
          <cell r="K16">
            <v>0</v>
          </cell>
          <cell r="L16">
            <v>0</v>
          </cell>
        </row>
      </sheetData>
      <sheetData sheetId="18" refreshError="1">
        <row r="7">
          <cell r="A7" t="str">
            <v>1.1</v>
          </cell>
          <cell r="B7" t="str">
            <v>Налог 1</v>
          </cell>
          <cell r="C7" t="str">
            <v>Налог 1</v>
          </cell>
          <cell r="D7" t="str">
            <v>тыс.руб.</v>
          </cell>
          <cell r="E7">
            <v>0</v>
          </cell>
          <cell r="F7">
            <v>0</v>
          </cell>
          <cell r="G7">
            <v>0</v>
          </cell>
          <cell r="H7">
            <v>0</v>
          </cell>
          <cell r="I7">
            <v>0</v>
          </cell>
          <cell r="J7">
            <v>0</v>
          </cell>
          <cell r="K7">
            <v>0</v>
          </cell>
          <cell r="L7">
            <v>0</v>
          </cell>
          <cell r="M7">
            <v>0</v>
          </cell>
        </row>
        <row r="8">
          <cell r="B8" t="str">
            <v>налогооблагаемая база</v>
          </cell>
          <cell r="C8" t="str">
            <v>Налог 1</v>
          </cell>
          <cell r="D8" t="str">
            <v>тыс.руб.</v>
          </cell>
          <cell r="J8">
            <v>0</v>
          </cell>
          <cell r="K8">
            <v>0</v>
          </cell>
          <cell r="L8">
            <v>0</v>
          </cell>
          <cell r="M8">
            <v>0</v>
          </cell>
        </row>
        <row r="9">
          <cell r="B9" t="str">
            <v>ставка налога</v>
          </cell>
          <cell r="C9" t="str">
            <v>Налог 1</v>
          </cell>
          <cell r="D9" t="str">
            <v>%</v>
          </cell>
          <cell r="J9">
            <v>0</v>
          </cell>
          <cell r="K9">
            <v>0</v>
          </cell>
          <cell r="L9">
            <v>0</v>
          </cell>
          <cell r="M9">
            <v>0</v>
          </cell>
        </row>
        <row r="10">
          <cell r="A10" t="str">
            <v>1.2</v>
          </cell>
          <cell r="B10" t="str">
            <v>Налог 2</v>
          </cell>
          <cell r="C10" t="str">
            <v>Налог 2</v>
          </cell>
          <cell r="D10" t="str">
            <v>тыс.руб.</v>
          </cell>
          <cell r="E10">
            <v>0</v>
          </cell>
          <cell r="F10">
            <v>0</v>
          </cell>
          <cell r="G10">
            <v>0</v>
          </cell>
          <cell r="H10">
            <v>0</v>
          </cell>
          <cell r="I10">
            <v>0</v>
          </cell>
          <cell r="J10">
            <v>0</v>
          </cell>
          <cell r="K10">
            <v>0</v>
          </cell>
          <cell r="L10">
            <v>0</v>
          </cell>
          <cell r="M10">
            <v>0</v>
          </cell>
        </row>
        <row r="11">
          <cell r="B11" t="str">
            <v>налогооблагаемая база</v>
          </cell>
          <cell r="C11" t="str">
            <v>Налог 2</v>
          </cell>
          <cell r="D11" t="str">
            <v>тыс.руб.</v>
          </cell>
          <cell r="J11">
            <v>0</v>
          </cell>
          <cell r="K11">
            <v>0</v>
          </cell>
          <cell r="L11">
            <v>0</v>
          </cell>
          <cell r="M11">
            <v>0</v>
          </cell>
        </row>
        <row r="12">
          <cell r="B12" t="str">
            <v>ставка налога</v>
          </cell>
          <cell r="C12" t="str">
            <v>Налог 2</v>
          </cell>
          <cell r="D12" t="str">
            <v>%</v>
          </cell>
          <cell r="J12">
            <v>0</v>
          </cell>
          <cell r="K12">
            <v>0</v>
          </cell>
          <cell r="L12">
            <v>0</v>
          </cell>
          <cell r="M12">
            <v>0</v>
          </cell>
        </row>
        <row r="13">
          <cell r="A13" t="str">
            <v>1.3</v>
          </cell>
          <cell r="B13" t="str">
            <v>Налог</v>
          </cell>
          <cell r="C13" t="str">
            <v>Налог</v>
          </cell>
          <cell r="D13" t="str">
            <v>тыс.руб.</v>
          </cell>
          <cell r="E13">
            <v>0</v>
          </cell>
          <cell r="F13">
            <v>0</v>
          </cell>
          <cell r="G13">
            <v>0</v>
          </cell>
          <cell r="H13">
            <v>0</v>
          </cell>
          <cell r="I13">
            <v>0</v>
          </cell>
          <cell r="J13">
            <v>0</v>
          </cell>
          <cell r="K13">
            <v>0</v>
          </cell>
          <cell r="L13">
            <v>0</v>
          </cell>
          <cell r="M13">
            <v>0</v>
          </cell>
        </row>
        <row r="14">
          <cell r="B14" t="str">
            <v>налогооблагаемая база</v>
          </cell>
          <cell r="C14" t="str">
            <v>Налог</v>
          </cell>
          <cell r="D14" t="str">
            <v>тыс.руб.</v>
          </cell>
          <cell r="J14">
            <v>0</v>
          </cell>
          <cell r="K14">
            <v>0</v>
          </cell>
          <cell r="L14">
            <v>0</v>
          </cell>
          <cell r="M14">
            <v>0</v>
          </cell>
        </row>
        <row r="15">
          <cell r="B15" t="str">
            <v>ставка налога</v>
          </cell>
          <cell r="C15" t="str">
            <v>Налог</v>
          </cell>
          <cell r="D15" t="str">
            <v>%</v>
          </cell>
          <cell r="J15">
            <v>0</v>
          </cell>
          <cell r="K15">
            <v>0</v>
          </cell>
          <cell r="L15">
            <v>0</v>
          </cell>
          <cell r="M15">
            <v>0</v>
          </cell>
        </row>
        <row r="16">
          <cell r="A16" t="str">
            <v>1.4</v>
          </cell>
          <cell r="B16" t="str">
            <v>Налог</v>
          </cell>
          <cell r="C16" t="str">
            <v>Налог</v>
          </cell>
          <cell r="D16" t="str">
            <v>тыс.руб.</v>
          </cell>
          <cell r="E16">
            <v>0</v>
          </cell>
          <cell r="F16">
            <v>0</v>
          </cell>
          <cell r="G16">
            <v>0</v>
          </cell>
          <cell r="H16">
            <v>0</v>
          </cell>
          <cell r="I16">
            <v>0</v>
          </cell>
          <cell r="J16">
            <v>0</v>
          </cell>
          <cell r="K16">
            <v>0</v>
          </cell>
          <cell r="L16">
            <v>0</v>
          </cell>
          <cell r="M16">
            <v>0</v>
          </cell>
        </row>
        <row r="17">
          <cell r="B17" t="str">
            <v>налогооблагаемая база</v>
          </cell>
          <cell r="C17" t="str">
            <v>Налог</v>
          </cell>
          <cell r="D17" t="str">
            <v>тыс.руб.</v>
          </cell>
          <cell r="J17">
            <v>0</v>
          </cell>
          <cell r="K17">
            <v>0</v>
          </cell>
          <cell r="L17">
            <v>0</v>
          </cell>
          <cell r="M17">
            <v>0</v>
          </cell>
        </row>
        <row r="18">
          <cell r="B18" t="str">
            <v>ставка налога</v>
          </cell>
          <cell r="C18" t="str">
            <v>Налог</v>
          </cell>
          <cell r="D18" t="str">
            <v>%</v>
          </cell>
          <cell r="J18">
            <v>0</v>
          </cell>
          <cell r="K18">
            <v>0</v>
          </cell>
          <cell r="L18">
            <v>0</v>
          </cell>
          <cell r="M18">
            <v>0</v>
          </cell>
        </row>
        <row r="20">
          <cell r="E20">
            <v>0</v>
          </cell>
          <cell r="F20">
            <v>0</v>
          </cell>
          <cell r="G20">
            <v>0</v>
          </cell>
          <cell r="H20">
            <v>0</v>
          </cell>
          <cell r="I20">
            <v>0</v>
          </cell>
          <cell r="J20">
            <v>0</v>
          </cell>
          <cell r="K20">
            <v>0</v>
          </cell>
          <cell r="L20">
            <v>0</v>
          </cell>
          <cell r="M20">
            <v>0</v>
          </cell>
        </row>
      </sheetData>
      <sheetData sheetId="19"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D11">
            <v>0</v>
          </cell>
          <cell r="E11">
            <v>0</v>
          </cell>
          <cell r="F11">
            <v>0</v>
          </cell>
          <cell r="G11">
            <v>0</v>
          </cell>
          <cell r="I11">
            <v>0</v>
          </cell>
          <cell r="J11">
            <v>0</v>
          </cell>
          <cell r="K11">
            <v>0</v>
          </cell>
          <cell r="L11">
            <v>0</v>
          </cell>
        </row>
      </sheetData>
      <sheetData sheetId="20" refreshError="1">
        <row r="6">
          <cell r="A6" t="str">
            <v>&lt;Учебное заведение 1&gt;</v>
          </cell>
          <cell r="B6" t="str">
            <v>тыс.руб.</v>
          </cell>
          <cell r="C6" t="str">
            <v>1</v>
          </cell>
          <cell r="D6" t="str">
            <v>&lt;Учебное заведение 1&gt;</v>
          </cell>
          <cell r="E6">
            <v>0</v>
          </cell>
          <cell r="F6">
            <v>0</v>
          </cell>
          <cell r="G6">
            <v>0</v>
          </cell>
          <cell r="H6">
            <v>0</v>
          </cell>
          <cell r="I6">
            <v>0</v>
          </cell>
          <cell r="J6">
            <v>0</v>
          </cell>
          <cell r="K6">
            <v>0</v>
          </cell>
          <cell r="L6">
            <v>0</v>
          </cell>
          <cell r="M6">
            <v>0</v>
          </cell>
        </row>
        <row r="8">
          <cell r="A8" t="str">
            <v>договор № ___ от ____</v>
          </cell>
          <cell r="B8" t="str">
            <v>тыс.руб.</v>
          </cell>
          <cell r="C8" t="str">
            <v>2</v>
          </cell>
          <cell r="D8" t="str">
            <v>&lt;Учебное заведение 1&gt;</v>
          </cell>
          <cell r="J8">
            <v>0</v>
          </cell>
          <cell r="K8">
            <v>0</v>
          </cell>
          <cell r="L8">
            <v>0</v>
          </cell>
          <cell r="M8">
            <v>0</v>
          </cell>
        </row>
        <row r="10">
          <cell r="A10" t="str">
            <v>&lt;Учебное заведение 2&gt;</v>
          </cell>
          <cell r="B10" t="str">
            <v>тыс.руб.</v>
          </cell>
          <cell r="C10" t="str">
            <v>1</v>
          </cell>
          <cell r="D10" t="str">
            <v>&lt;Учебное заведение 2&gt;</v>
          </cell>
          <cell r="E10">
            <v>0</v>
          </cell>
          <cell r="F10">
            <v>0</v>
          </cell>
          <cell r="G10">
            <v>0</v>
          </cell>
          <cell r="H10">
            <v>0</v>
          </cell>
          <cell r="I10">
            <v>0</v>
          </cell>
          <cell r="J10">
            <v>0</v>
          </cell>
          <cell r="K10">
            <v>0</v>
          </cell>
          <cell r="L10">
            <v>0</v>
          </cell>
          <cell r="M10">
            <v>0</v>
          </cell>
        </row>
        <row r="12">
          <cell r="A12" t="str">
            <v>договор № ___ от ____</v>
          </cell>
          <cell r="B12" t="str">
            <v>тыс.руб.</v>
          </cell>
          <cell r="C12" t="str">
            <v>2</v>
          </cell>
          <cell r="D12" t="str">
            <v>&lt;Учебное заведение 2&gt;</v>
          </cell>
          <cell r="J12">
            <v>0</v>
          </cell>
          <cell r="K12">
            <v>0</v>
          </cell>
          <cell r="L12">
            <v>0</v>
          </cell>
          <cell r="M12">
            <v>0</v>
          </cell>
        </row>
        <row r="14">
          <cell r="A14" t="str">
            <v>&lt;Учебное заведение 3&gt;</v>
          </cell>
          <cell r="B14" t="str">
            <v>тыс.руб.</v>
          </cell>
          <cell r="C14" t="str">
            <v>1</v>
          </cell>
          <cell r="D14" t="str">
            <v>&lt;Учебное заведение 3&gt;</v>
          </cell>
          <cell r="E14">
            <v>0</v>
          </cell>
          <cell r="F14">
            <v>0</v>
          </cell>
          <cell r="G14">
            <v>0</v>
          </cell>
          <cell r="H14">
            <v>0</v>
          </cell>
          <cell r="I14">
            <v>0</v>
          </cell>
          <cell r="J14">
            <v>0</v>
          </cell>
          <cell r="K14">
            <v>0</v>
          </cell>
          <cell r="L14">
            <v>0</v>
          </cell>
          <cell r="M14">
            <v>0</v>
          </cell>
        </row>
        <row r="16">
          <cell r="A16" t="str">
            <v>договор № ___ от ____</v>
          </cell>
          <cell r="B16" t="str">
            <v>тыс.руб.</v>
          </cell>
          <cell r="C16" t="str">
            <v>2</v>
          </cell>
          <cell r="D16" t="str">
            <v>&lt;Учебное заведение 3&gt;</v>
          </cell>
          <cell r="J16">
            <v>0</v>
          </cell>
          <cell r="K16">
            <v>0</v>
          </cell>
          <cell r="L16">
            <v>0</v>
          </cell>
          <cell r="M16">
            <v>0</v>
          </cell>
        </row>
        <row r="18">
          <cell r="A18" t="str">
            <v>&lt;Учебное заведение&gt;</v>
          </cell>
          <cell r="B18" t="str">
            <v>тыс.руб.</v>
          </cell>
          <cell r="C18" t="str">
            <v>1</v>
          </cell>
          <cell r="D18" t="str">
            <v>&lt;Учебное заведение&gt;</v>
          </cell>
          <cell r="E18">
            <v>0</v>
          </cell>
          <cell r="F18">
            <v>0</v>
          </cell>
          <cell r="G18">
            <v>0</v>
          </cell>
          <cell r="H18">
            <v>0</v>
          </cell>
          <cell r="I18">
            <v>0</v>
          </cell>
          <cell r="J18">
            <v>0</v>
          </cell>
          <cell r="K18">
            <v>0</v>
          </cell>
          <cell r="L18">
            <v>0</v>
          </cell>
          <cell r="M18">
            <v>0</v>
          </cell>
        </row>
        <row r="20">
          <cell r="A20" t="str">
            <v>договор № ___ от ____</v>
          </cell>
          <cell r="B20" t="str">
            <v>тыс.руб.</v>
          </cell>
          <cell r="C20" t="str">
            <v>2</v>
          </cell>
          <cell r="D20" t="str">
            <v>&lt;Учебное заведение&gt;</v>
          </cell>
          <cell r="J20">
            <v>0</v>
          </cell>
          <cell r="K20">
            <v>0</v>
          </cell>
          <cell r="L20">
            <v>0</v>
          </cell>
          <cell r="M20">
            <v>0</v>
          </cell>
        </row>
        <row r="22">
          <cell r="A22" t="str">
            <v>&lt;Учебное заведение&gt;</v>
          </cell>
          <cell r="B22" t="str">
            <v>тыс.руб.</v>
          </cell>
          <cell r="C22" t="str">
            <v>1</v>
          </cell>
          <cell r="D22" t="str">
            <v>&lt;Учебное заведение&gt;</v>
          </cell>
          <cell r="E22">
            <v>0</v>
          </cell>
          <cell r="F22">
            <v>0</v>
          </cell>
          <cell r="G22">
            <v>0</v>
          </cell>
          <cell r="H22">
            <v>0</v>
          </cell>
          <cell r="I22">
            <v>0</v>
          </cell>
          <cell r="J22">
            <v>0</v>
          </cell>
          <cell r="K22">
            <v>0</v>
          </cell>
          <cell r="L22">
            <v>0</v>
          </cell>
          <cell r="M22">
            <v>0</v>
          </cell>
        </row>
        <row r="24">
          <cell r="A24" t="str">
            <v>договор № ___ от ____</v>
          </cell>
          <cell r="B24" t="str">
            <v>тыс.руб.</v>
          </cell>
          <cell r="C24" t="str">
            <v>2</v>
          </cell>
          <cell r="D24" t="str">
            <v>&lt;Учебное заведение&gt;</v>
          </cell>
          <cell r="J24">
            <v>0</v>
          </cell>
          <cell r="K24">
            <v>0</v>
          </cell>
          <cell r="L24">
            <v>0</v>
          </cell>
          <cell r="M24">
            <v>0</v>
          </cell>
        </row>
        <row r="26">
          <cell r="A26" t="str">
            <v>&lt;Учебное заведение&gt;</v>
          </cell>
          <cell r="B26" t="str">
            <v>тыс.руб.</v>
          </cell>
          <cell r="C26" t="str">
            <v>1</v>
          </cell>
          <cell r="D26" t="str">
            <v>&lt;Учебное заведение&gt;</v>
          </cell>
          <cell r="E26">
            <v>0</v>
          </cell>
          <cell r="F26">
            <v>0</v>
          </cell>
          <cell r="G26">
            <v>0</v>
          </cell>
          <cell r="H26">
            <v>0</v>
          </cell>
          <cell r="I26">
            <v>0</v>
          </cell>
          <cell r="J26">
            <v>0</v>
          </cell>
          <cell r="K26">
            <v>0</v>
          </cell>
          <cell r="L26">
            <v>0</v>
          </cell>
          <cell r="M26">
            <v>0</v>
          </cell>
        </row>
        <row r="28">
          <cell r="A28" t="str">
            <v>договор № ___ от ____</v>
          </cell>
          <cell r="B28" t="str">
            <v>тыс.руб.</v>
          </cell>
          <cell r="C28" t="str">
            <v>2</v>
          </cell>
          <cell r="D28" t="str">
            <v>&lt;Учебное заведение&gt;</v>
          </cell>
          <cell r="J28">
            <v>0</v>
          </cell>
          <cell r="K28">
            <v>0</v>
          </cell>
          <cell r="L28">
            <v>0</v>
          </cell>
          <cell r="M28">
            <v>0</v>
          </cell>
        </row>
        <row r="30">
          <cell r="A30" t="str">
            <v>&lt;Учебное заведение&gt;</v>
          </cell>
          <cell r="B30" t="str">
            <v>тыс.руб.</v>
          </cell>
          <cell r="C30" t="str">
            <v>1</v>
          </cell>
          <cell r="D30" t="str">
            <v>&lt;Учебное заведение&gt;</v>
          </cell>
          <cell r="E30">
            <v>0</v>
          </cell>
          <cell r="F30">
            <v>0</v>
          </cell>
          <cell r="G30">
            <v>0</v>
          </cell>
          <cell r="H30">
            <v>0</v>
          </cell>
          <cell r="I30">
            <v>0</v>
          </cell>
          <cell r="J30">
            <v>0</v>
          </cell>
          <cell r="K30">
            <v>0</v>
          </cell>
          <cell r="L30">
            <v>0</v>
          </cell>
          <cell r="M30">
            <v>0</v>
          </cell>
        </row>
        <row r="32">
          <cell r="A32" t="str">
            <v>договор № ___ от ____</v>
          </cell>
          <cell r="B32" t="str">
            <v>тыс.руб.</v>
          </cell>
          <cell r="C32" t="str">
            <v>2</v>
          </cell>
          <cell r="D32" t="str">
            <v>&lt;Учебное заведение&gt;</v>
          </cell>
          <cell r="J32">
            <v>0</v>
          </cell>
          <cell r="K32">
            <v>0</v>
          </cell>
          <cell r="L32">
            <v>0</v>
          </cell>
          <cell r="M32">
            <v>0</v>
          </cell>
        </row>
        <row r="34">
          <cell r="A34" t="str">
            <v>&lt;Учебное заведение&gt;</v>
          </cell>
          <cell r="B34" t="str">
            <v>тыс.руб.</v>
          </cell>
          <cell r="C34" t="str">
            <v>1</v>
          </cell>
          <cell r="D34" t="str">
            <v>&lt;Учебное заведение&gt;</v>
          </cell>
          <cell r="E34">
            <v>0</v>
          </cell>
          <cell r="F34">
            <v>0</v>
          </cell>
          <cell r="G34">
            <v>0</v>
          </cell>
          <cell r="H34">
            <v>0</v>
          </cell>
          <cell r="I34">
            <v>0</v>
          </cell>
          <cell r="J34">
            <v>0</v>
          </cell>
          <cell r="K34">
            <v>0</v>
          </cell>
          <cell r="L34">
            <v>0</v>
          </cell>
          <cell r="M34">
            <v>0</v>
          </cell>
        </row>
        <row r="36">
          <cell r="A36" t="str">
            <v>договор № ___ от ____</v>
          </cell>
          <cell r="B36" t="str">
            <v>тыс.руб.</v>
          </cell>
          <cell r="C36" t="str">
            <v>2</v>
          </cell>
          <cell r="D36" t="str">
            <v>&lt;Учебное заведение&gt;</v>
          </cell>
          <cell r="J36">
            <v>0</v>
          </cell>
          <cell r="K36">
            <v>0</v>
          </cell>
          <cell r="L36">
            <v>0</v>
          </cell>
          <cell r="M36">
            <v>0</v>
          </cell>
        </row>
        <row r="38">
          <cell r="A38" t="str">
            <v>&lt;Учебное заведение&gt;</v>
          </cell>
          <cell r="B38" t="str">
            <v>тыс.руб.</v>
          </cell>
          <cell r="C38" t="str">
            <v>1</v>
          </cell>
          <cell r="D38" t="str">
            <v>&lt;Учебное заведение&gt;</v>
          </cell>
          <cell r="E38">
            <v>0</v>
          </cell>
          <cell r="F38">
            <v>0</v>
          </cell>
          <cell r="G38">
            <v>0</v>
          </cell>
          <cell r="H38">
            <v>0</v>
          </cell>
          <cell r="I38">
            <v>0</v>
          </cell>
          <cell r="J38">
            <v>0</v>
          </cell>
          <cell r="K38">
            <v>0</v>
          </cell>
          <cell r="L38">
            <v>0</v>
          </cell>
          <cell r="M38">
            <v>0</v>
          </cell>
        </row>
        <row r="40">
          <cell r="A40" t="str">
            <v>договор № ___ от ____</v>
          </cell>
          <cell r="B40" t="str">
            <v>тыс.руб.</v>
          </cell>
          <cell r="C40" t="str">
            <v>2</v>
          </cell>
          <cell r="D40" t="str">
            <v>&lt;Учебное заведение&gt;</v>
          </cell>
          <cell r="J40">
            <v>0</v>
          </cell>
          <cell r="K40">
            <v>0</v>
          </cell>
          <cell r="L40">
            <v>0</v>
          </cell>
          <cell r="M40">
            <v>0</v>
          </cell>
        </row>
        <row r="42">
          <cell r="A42" t="str">
            <v>&lt;Учебное заведение&gt;</v>
          </cell>
          <cell r="B42" t="str">
            <v>тыс.руб.</v>
          </cell>
          <cell r="C42" t="str">
            <v>1</v>
          </cell>
          <cell r="D42" t="str">
            <v>&lt;Учебное заведение&gt;</v>
          </cell>
          <cell r="E42">
            <v>0</v>
          </cell>
          <cell r="F42">
            <v>0</v>
          </cell>
          <cell r="G42">
            <v>0</v>
          </cell>
          <cell r="H42">
            <v>0</v>
          </cell>
          <cell r="I42">
            <v>0</v>
          </cell>
          <cell r="J42">
            <v>0</v>
          </cell>
          <cell r="K42">
            <v>0</v>
          </cell>
          <cell r="L42">
            <v>0</v>
          </cell>
          <cell r="M42">
            <v>0</v>
          </cell>
        </row>
        <row r="44">
          <cell r="A44" t="str">
            <v>договор № ___ от ____</v>
          </cell>
          <cell r="B44" t="str">
            <v>тыс.руб.</v>
          </cell>
          <cell r="C44" t="str">
            <v>2</v>
          </cell>
          <cell r="D44" t="str">
            <v>&lt;Учебное заведение&gt;</v>
          </cell>
          <cell r="J44">
            <v>0</v>
          </cell>
          <cell r="K44">
            <v>0</v>
          </cell>
          <cell r="L44">
            <v>0</v>
          </cell>
          <cell r="M44">
            <v>0</v>
          </cell>
        </row>
        <row r="46">
          <cell r="A46" t="str">
            <v>&lt;Учебное заведение&gt;</v>
          </cell>
          <cell r="B46" t="str">
            <v>тыс.руб.</v>
          </cell>
          <cell r="C46" t="str">
            <v>1</v>
          </cell>
          <cell r="D46" t="str">
            <v>&lt;Учебное заведение&gt;</v>
          </cell>
          <cell r="E46">
            <v>0</v>
          </cell>
          <cell r="F46">
            <v>0</v>
          </cell>
          <cell r="G46">
            <v>0</v>
          </cell>
          <cell r="H46">
            <v>0</v>
          </cell>
          <cell r="I46">
            <v>0</v>
          </cell>
          <cell r="J46">
            <v>0</v>
          </cell>
          <cell r="K46">
            <v>0</v>
          </cell>
          <cell r="L46">
            <v>0</v>
          </cell>
          <cell r="M46">
            <v>0</v>
          </cell>
        </row>
        <row r="48">
          <cell r="A48" t="str">
            <v>договор № ___ от ____</v>
          </cell>
          <cell r="B48" t="str">
            <v>тыс.руб.</v>
          </cell>
          <cell r="C48" t="str">
            <v>2</v>
          </cell>
          <cell r="D48" t="str">
            <v>&lt;Учебное заведение&gt;</v>
          </cell>
          <cell r="J48">
            <v>0</v>
          </cell>
          <cell r="K48">
            <v>0</v>
          </cell>
          <cell r="L48">
            <v>0</v>
          </cell>
          <cell r="M48">
            <v>0</v>
          </cell>
        </row>
        <row r="50">
          <cell r="A50" t="str">
            <v>&lt;Учебное заведение&gt;</v>
          </cell>
          <cell r="B50" t="str">
            <v>тыс.руб.</v>
          </cell>
          <cell r="C50" t="str">
            <v>1</v>
          </cell>
          <cell r="D50" t="str">
            <v>&lt;Учебное заведение&gt;</v>
          </cell>
          <cell r="E50">
            <v>0</v>
          </cell>
          <cell r="F50">
            <v>0</v>
          </cell>
          <cell r="G50">
            <v>0</v>
          </cell>
          <cell r="H50">
            <v>0</v>
          </cell>
          <cell r="I50">
            <v>0</v>
          </cell>
          <cell r="J50">
            <v>0</v>
          </cell>
          <cell r="K50">
            <v>0</v>
          </cell>
          <cell r="L50">
            <v>0</v>
          </cell>
          <cell r="M50">
            <v>0</v>
          </cell>
        </row>
        <row r="52">
          <cell r="A52" t="str">
            <v>договор № ___ от ____</v>
          </cell>
          <cell r="B52" t="str">
            <v>тыс.руб.</v>
          </cell>
          <cell r="C52" t="str">
            <v>2</v>
          </cell>
          <cell r="D52" t="str">
            <v>&lt;Учебное заведение&gt;</v>
          </cell>
          <cell r="J52">
            <v>0</v>
          </cell>
          <cell r="K52">
            <v>0</v>
          </cell>
          <cell r="L52">
            <v>0</v>
          </cell>
          <cell r="M52">
            <v>0</v>
          </cell>
        </row>
        <row r="54">
          <cell r="A54" t="str">
            <v>&lt;Учебное заведение&gt;</v>
          </cell>
          <cell r="B54" t="str">
            <v>тыс.руб.</v>
          </cell>
          <cell r="C54" t="str">
            <v>1</v>
          </cell>
          <cell r="D54" t="str">
            <v>&lt;Учебное заведение&gt;</v>
          </cell>
          <cell r="E54">
            <v>0</v>
          </cell>
          <cell r="F54">
            <v>0</v>
          </cell>
          <cell r="G54">
            <v>0</v>
          </cell>
          <cell r="H54">
            <v>0</v>
          </cell>
          <cell r="I54">
            <v>0</v>
          </cell>
          <cell r="J54">
            <v>0</v>
          </cell>
          <cell r="K54">
            <v>0</v>
          </cell>
          <cell r="L54">
            <v>0</v>
          </cell>
          <cell r="M54">
            <v>0</v>
          </cell>
        </row>
        <row r="56">
          <cell r="A56" t="str">
            <v>договор № ___ от ____</v>
          </cell>
          <cell r="B56" t="str">
            <v>тыс.руб.</v>
          </cell>
          <cell r="C56" t="str">
            <v>2</v>
          </cell>
          <cell r="D56" t="str">
            <v>&lt;Учебное заведение&gt;</v>
          </cell>
          <cell r="J56">
            <v>0</v>
          </cell>
          <cell r="K56">
            <v>0</v>
          </cell>
          <cell r="L56">
            <v>0</v>
          </cell>
          <cell r="M56">
            <v>0</v>
          </cell>
        </row>
        <row r="58">
          <cell r="A58" t="str">
            <v>&lt;Учебное заведение&gt;</v>
          </cell>
          <cell r="B58" t="str">
            <v>тыс.руб.</v>
          </cell>
          <cell r="C58" t="str">
            <v>1</v>
          </cell>
          <cell r="D58" t="str">
            <v>&lt;Учебное заведение&gt;</v>
          </cell>
          <cell r="E58">
            <v>0</v>
          </cell>
          <cell r="F58">
            <v>0</v>
          </cell>
          <cell r="G58">
            <v>0</v>
          </cell>
          <cell r="H58">
            <v>0</v>
          </cell>
          <cell r="I58">
            <v>0</v>
          </cell>
          <cell r="J58">
            <v>0</v>
          </cell>
          <cell r="K58">
            <v>0</v>
          </cell>
          <cell r="L58">
            <v>0</v>
          </cell>
          <cell r="M58">
            <v>0</v>
          </cell>
        </row>
        <row r="60">
          <cell r="A60" t="str">
            <v>договор № ___ от ____</v>
          </cell>
          <cell r="B60" t="str">
            <v>тыс.руб.</v>
          </cell>
          <cell r="C60" t="str">
            <v>2</v>
          </cell>
          <cell r="D60" t="str">
            <v>&lt;Учебное заведение&gt;</v>
          </cell>
          <cell r="J60">
            <v>0</v>
          </cell>
          <cell r="K60">
            <v>0</v>
          </cell>
          <cell r="L60">
            <v>0</v>
          </cell>
          <cell r="M60">
            <v>0</v>
          </cell>
        </row>
        <row r="62">
          <cell r="A62" t="str">
            <v>&lt;Учебное заведение&gt;</v>
          </cell>
          <cell r="B62" t="str">
            <v>тыс.руб.</v>
          </cell>
          <cell r="C62" t="str">
            <v>1</v>
          </cell>
          <cell r="D62" t="str">
            <v>&lt;Учебное заведение&gt;</v>
          </cell>
          <cell r="E62">
            <v>0</v>
          </cell>
          <cell r="F62">
            <v>0</v>
          </cell>
          <cell r="G62">
            <v>0</v>
          </cell>
          <cell r="H62">
            <v>0</v>
          </cell>
          <cell r="I62">
            <v>0</v>
          </cell>
          <cell r="J62">
            <v>0</v>
          </cell>
          <cell r="K62">
            <v>0</v>
          </cell>
          <cell r="L62">
            <v>0</v>
          </cell>
          <cell r="M62">
            <v>0</v>
          </cell>
        </row>
        <row r="64">
          <cell r="A64" t="str">
            <v>договор № ___ от ____</v>
          </cell>
          <cell r="B64" t="str">
            <v>тыс.руб.</v>
          </cell>
          <cell r="C64" t="str">
            <v>2</v>
          </cell>
          <cell r="D64" t="str">
            <v>&lt;Учебное заведение&gt;</v>
          </cell>
          <cell r="J64">
            <v>0</v>
          </cell>
          <cell r="K64">
            <v>0</v>
          </cell>
          <cell r="L64">
            <v>0</v>
          </cell>
          <cell r="M64">
            <v>0</v>
          </cell>
        </row>
        <row r="66">
          <cell r="A66" t="str">
            <v>&lt;Учебное заведение&gt;</v>
          </cell>
          <cell r="B66" t="str">
            <v>тыс.руб.</v>
          </cell>
          <cell r="C66" t="str">
            <v>1</v>
          </cell>
          <cell r="D66" t="str">
            <v>&lt;Учебное заведение&gt;</v>
          </cell>
          <cell r="E66">
            <v>0</v>
          </cell>
          <cell r="F66">
            <v>0</v>
          </cell>
          <cell r="G66">
            <v>0</v>
          </cell>
          <cell r="H66">
            <v>0</v>
          </cell>
          <cell r="I66">
            <v>0</v>
          </cell>
          <cell r="J66">
            <v>0</v>
          </cell>
          <cell r="K66">
            <v>0</v>
          </cell>
          <cell r="L66">
            <v>0</v>
          </cell>
          <cell r="M66">
            <v>0</v>
          </cell>
        </row>
        <row r="68">
          <cell r="A68" t="str">
            <v>договор № ___ от ____</v>
          </cell>
          <cell r="B68" t="str">
            <v>тыс.руб.</v>
          </cell>
          <cell r="C68" t="str">
            <v>2</v>
          </cell>
          <cell r="D68" t="str">
            <v>&lt;Учебное заведение&gt;</v>
          </cell>
          <cell r="J68">
            <v>0</v>
          </cell>
          <cell r="K68">
            <v>0</v>
          </cell>
          <cell r="L68">
            <v>0</v>
          </cell>
          <cell r="M68">
            <v>0</v>
          </cell>
        </row>
        <row r="70">
          <cell r="A70" t="str">
            <v>&lt;Учебное заведение&gt;</v>
          </cell>
          <cell r="B70" t="str">
            <v>тыс.руб.</v>
          </cell>
          <cell r="C70" t="str">
            <v>1</v>
          </cell>
          <cell r="D70" t="str">
            <v>&lt;Учебное заведение&gt;</v>
          </cell>
          <cell r="E70">
            <v>0</v>
          </cell>
          <cell r="F70">
            <v>0</v>
          </cell>
          <cell r="G70">
            <v>0</v>
          </cell>
          <cell r="H70">
            <v>0</v>
          </cell>
          <cell r="I70">
            <v>0</v>
          </cell>
          <cell r="J70">
            <v>0</v>
          </cell>
          <cell r="K70">
            <v>0</v>
          </cell>
          <cell r="L70">
            <v>0</v>
          </cell>
          <cell r="M70">
            <v>0</v>
          </cell>
        </row>
        <row r="72">
          <cell r="A72" t="str">
            <v>договор № ___ от ____</v>
          </cell>
          <cell r="B72" t="str">
            <v>тыс.руб.</v>
          </cell>
          <cell r="C72" t="str">
            <v>2</v>
          </cell>
          <cell r="D72" t="str">
            <v>&lt;Учебное заведение&gt;</v>
          </cell>
          <cell r="J72">
            <v>0</v>
          </cell>
          <cell r="K72">
            <v>0</v>
          </cell>
          <cell r="L72">
            <v>0</v>
          </cell>
          <cell r="M72">
            <v>0</v>
          </cell>
        </row>
        <row r="74">
          <cell r="A74" t="str">
            <v>&lt;Учебное заведение&gt;</v>
          </cell>
          <cell r="B74" t="str">
            <v>тыс.руб.</v>
          </cell>
          <cell r="C74" t="str">
            <v>1</v>
          </cell>
          <cell r="D74" t="str">
            <v>&lt;Учебное заведение&gt;</v>
          </cell>
          <cell r="E74">
            <v>0</v>
          </cell>
          <cell r="F74">
            <v>0</v>
          </cell>
          <cell r="G74">
            <v>0</v>
          </cell>
          <cell r="H74">
            <v>0</v>
          </cell>
          <cell r="I74">
            <v>0</v>
          </cell>
          <cell r="J74">
            <v>0</v>
          </cell>
          <cell r="K74">
            <v>0</v>
          </cell>
          <cell r="L74">
            <v>0</v>
          </cell>
          <cell r="M74">
            <v>0</v>
          </cell>
        </row>
        <row r="76">
          <cell r="A76" t="str">
            <v>договор № ___ от ____</v>
          </cell>
          <cell r="B76" t="str">
            <v>тыс.руб.</v>
          </cell>
          <cell r="C76" t="str">
            <v>2</v>
          </cell>
          <cell r="D76" t="str">
            <v>&lt;Учебное заведение&gt;</v>
          </cell>
          <cell r="J76">
            <v>0</v>
          </cell>
          <cell r="K76">
            <v>0</v>
          </cell>
          <cell r="L76">
            <v>0</v>
          </cell>
          <cell r="M76">
            <v>0</v>
          </cell>
        </row>
        <row r="78">
          <cell r="A78" t="str">
            <v>&lt;Учебное заведение&gt;</v>
          </cell>
          <cell r="B78" t="str">
            <v>тыс.руб.</v>
          </cell>
          <cell r="C78" t="str">
            <v>1</v>
          </cell>
          <cell r="D78" t="str">
            <v>&lt;Учебное заведение&gt;</v>
          </cell>
          <cell r="E78">
            <v>0</v>
          </cell>
          <cell r="F78">
            <v>0</v>
          </cell>
          <cell r="G78">
            <v>0</v>
          </cell>
          <cell r="H78">
            <v>0</v>
          </cell>
          <cell r="I78">
            <v>0</v>
          </cell>
          <cell r="J78">
            <v>0</v>
          </cell>
          <cell r="K78">
            <v>0</v>
          </cell>
          <cell r="L78">
            <v>0</v>
          </cell>
          <cell r="M78">
            <v>0</v>
          </cell>
        </row>
        <row r="80">
          <cell r="A80" t="str">
            <v>договор № ___ от ____</v>
          </cell>
          <cell r="B80" t="str">
            <v>тыс.руб.</v>
          </cell>
          <cell r="C80" t="str">
            <v>2</v>
          </cell>
          <cell r="D80" t="str">
            <v>&lt;Учебное заведение&gt;</v>
          </cell>
          <cell r="J80">
            <v>0</v>
          </cell>
          <cell r="K80">
            <v>0</v>
          </cell>
          <cell r="L80">
            <v>0</v>
          </cell>
          <cell r="M80">
            <v>0</v>
          </cell>
        </row>
        <row r="82">
          <cell r="A82" t="str">
            <v>Прочие расходы на обучение</v>
          </cell>
          <cell r="B82" t="str">
            <v>тыс.руб.</v>
          </cell>
          <cell r="C82" t="str">
            <v>1</v>
          </cell>
          <cell r="D82" t="str">
            <v>Прочие расходы на обучение</v>
          </cell>
          <cell r="E82">
            <v>0</v>
          </cell>
          <cell r="F82">
            <v>0</v>
          </cell>
          <cell r="G82">
            <v>0</v>
          </cell>
          <cell r="H82">
            <v>0</v>
          </cell>
          <cell r="I82">
            <v>0</v>
          </cell>
          <cell r="J82">
            <v>0</v>
          </cell>
          <cell r="K82">
            <v>0</v>
          </cell>
          <cell r="L82">
            <v>0</v>
          </cell>
          <cell r="M82">
            <v>0</v>
          </cell>
        </row>
        <row r="84">
          <cell r="A84" t="str">
            <v>договор № ___ от ____</v>
          </cell>
          <cell r="B84" t="str">
            <v>тыс.руб.</v>
          </cell>
          <cell r="C84" t="str">
            <v>2</v>
          </cell>
          <cell r="D84" t="str">
            <v>Прочие расходы на обучение</v>
          </cell>
          <cell r="J84">
            <v>0</v>
          </cell>
          <cell r="K84">
            <v>0</v>
          </cell>
          <cell r="L84">
            <v>0</v>
          </cell>
          <cell r="M84">
            <v>0</v>
          </cell>
        </row>
        <row r="85">
          <cell r="A85" t="str">
            <v>договор № ___ от ____</v>
          </cell>
          <cell r="B85" t="str">
            <v>тыс.руб.</v>
          </cell>
          <cell r="C85" t="str">
            <v>2</v>
          </cell>
          <cell r="D85" t="str">
            <v>Прочие расходы на обучение</v>
          </cell>
          <cell r="J85">
            <v>0</v>
          </cell>
          <cell r="K85">
            <v>0</v>
          </cell>
          <cell r="L85">
            <v>0</v>
          </cell>
          <cell r="M85">
            <v>0</v>
          </cell>
        </row>
        <row r="88">
          <cell r="E88">
            <v>0</v>
          </cell>
          <cell r="F88">
            <v>0</v>
          </cell>
          <cell r="G88">
            <v>0</v>
          </cell>
          <cell r="H88">
            <v>0</v>
          </cell>
          <cell r="J88">
            <v>0</v>
          </cell>
          <cell r="K88">
            <v>0</v>
          </cell>
          <cell r="L88">
            <v>0</v>
          </cell>
          <cell r="M88">
            <v>0</v>
          </cell>
        </row>
      </sheetData>
      <sheetData sheetId="21"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I12">
            <v>0</v>
          </cell>
          <cell r="J12">
            <v>0</v>
          </cell>
          <cell r="K12">
            <v>0</v>
          </cell>
          <cell r="L12">
            <v>0</v>
          </cell>
        </row>
        <row r="13">
          <cell r="D13">
            <v>0</v>
          </cell>
          <cell r="E13">
            <v>0</v>
          </cell>
          <cell r="F13">
            <v>0</v>
          </cell>
          <cell r="G13">
            <v>0</v>
          </cell>
          <cell r="I13">
            <v>0</v>
          </cell>
          <cell r="J13">
            <v>0</v>
          </cell>
          <cell r="K13">
            <v>0</v>
          </cell>
          <cell r="L13">
            <v>0</v>
          </cell>
        </row>
      </sheetData>
      <sheetData sheetId="22" refreshError="1">
        <row r="6">
          <cell r="A6" t="str">
            <v>1.</v>
          </cell>
          <cell r="B6" t="str">
            <v>Количество командированных</v>
          </cell>
          <cell r="C6" t="str">
            <v>чел.</v>
          </cell>
          <cell r="N6">
            <v>0</v>
          </cell>
        </row>
        <row r="7">
          <cell r="A7" t="str">
            <v>2.</v>
          </cell>
          <cell r="B7" t="str">
            <v>Количество человеко-дней</v>
          </cell>
          <cell r="C7" t="str">
            <v>чел-дн.</v>
          </cell>
          <cell r="N7">
            <v>0</v>
          </cell>
        </row>
        <row r="8">
          <cell r="A8" t="str">
            <v>3.</v>
          </cell>
          <cell r="B8" t="str">
            <v>Оплата проезда к месту командировки</v>
          </cell>
          <cell r="C8" t="str">
            <v>тыс.руб.</v>
          </cell>
          <cell r="E8">
            <v>0</v>
          </cell>
          <cell r="F8">
            <v>0</v>
          </cell>
          <cell r="G8">
            <v>0</v>
          </cell>
          <cell r="H8">
            <v>0</v>
          </cell>
          <cell r="I8">
            <v>0</v>
          </cell>
          <cell r="J8">
            <v>0</v>
          </cell>
          <cell r="K8">
            <v>0</v>
          </cell>
          <cell r="L8">
            <v>0</v>
          </cell>
          <cell r="N8">
            <v>0</v>
          </cell>
        </row>
        <row r="9">
          <cell r="B9" t="str">
            <v xml:space="preserve"> - стоимость проезда в 1 сторону</v>
          </cell>
          <cell r="C9" t="str">
            <v>руб.</v>
          </cell>
        </row>
        <row r="10">
          <cell r="A10" t="str">
            <v>4.</v>
          </cell>
          <cell r="B10" t="str">
            <v>Наем жилого помещения</v>
          </cell>
          <cell r="C10" t="str">
            <v>тыс.руб.</v>
          </cell>
          <cell r="N10">
            <v>0</v>
          </cell>
        </row>
        <row r="11">
          <cell r="B11" t="str">
            <v xml:space="preserve"> - стоимость 1 суток найма жилого помещения</v>
          </cell>
          <cell r="C11" t="str">
            <v>руб.</v>
          </cell>
        </row>
        <row r="12">
          <cell r="A12" t="str">
            <v>5.</v>
          </cell>
          <cell r="B12" t="str">
            <v>Суточные в пределах норм</v>
          </cell>
          <cell r="C12" t="str">
            <v>тыс.руб.</v>
          </cell>
          <cell r="E12">
            <v>0</v>
          </cell>
          <cell r="F12">
            <v>0</v>
          </cell>
          <cell r="G12">
            <v>0</v>
          </cell>
          <cell r="H12">
            <v>0</v>
          </cell>
          <cell r="I12">
            <v>0</v>
          </cell>
          <cell r="J12">
            <v>0</v>
          </cell>
          <cell r="K12">
            <v>0</v>
          </cell>
          <cell r="L12">
            <v>0</v>
          </cell>
          <cell r="N12">
            <v>0</v>
          </cell>
        </row>
        <row r="13">
          <cell r="B13" t="str">
            <v xml:space="preserve"> - размер суточных</v>
          </cell>
          <cell r="C13" t="str">
            <v>руб.</v>
          </cell>
        </row>
        <row r="14">
          <cell r="A14" t="str">
            <v>6.</v>
          </cell>
          <cell r="B14" t="str">
            <v>Оформление виз, паспортов и т.п.</v>
          </cell>
          <cell r="C14" t="str">
            <v>тыс.руб.</v>
          </cell>
          <cell r="N14">
            <v>0</v>
          </cell>
        </row>
        <row r="15">
          <cell r="A15" t="str">
            <v>7.</v>
          </cell>
          <cell r="B15" t="str">
            <v>Прочие</v>
          </cell>
          <cell r="C15" t="str">
            <v>тыс.руб.</v>
          </cell>
          <cell r="N15">
            <v>0</v>
          </cell>
        </row>
        <row r="16">
          <cell r="A16" t="str">
            <v>8.</v>
          </cell>
          <cell r="B16" t="str">
            <v>Всего расходов</v>
          </cell>
          <cell r="C16" t="str">
            <v>тыс.руб.</v>
          </cell>
          <cell r="E16">
            <v>0</v>
          </cell>
          <cell r="F16">
            <v>0</v>
          </cell>
          <cell r="G16">
            <v>0</v>
          </cell>
          <cell r="H16">
            <v>0</v>
          </cell>
          <cell r="I16">
            <v>0</v>
          </cell>
          <cell r="J16">
            <v>0</v>
          </cell>
          <cell r="K16">
            <v>0</v>
          </cell>
          <cell r="L16">
            <v>0</v>
          </cell>
          <cell r="N16">
            <v>0</v>
          </cell>
        </row>
        <row r="18">
          <cell r="A18" t="str">
            <v>1.</v>
          </cell>
          <cell r="B18" t="str">
            <v>Количество командированных</v>
          </cell>
          <cell r="C18" t="str">
            <v>чел.</v>
          </cell>
          <cell r="N18">
            <v>0</v>
          </cell>
        </row>
        <row r="19">
          <cell r="A19" t="str">
            <v>2.</v>
          </cell>
          <cell r="B19" t="str">
            <v>Количество человеко-дней</v>
          </cell>
          <cell r="C19" t="str">
            <v>чел-дн.</v>
          </cell>
          <cell r="N19">
            <v>0</v>
          </cell>
        </row>
        <row r="20">
          <cell r="A20" t="str">
            <v>3.</v>
          </cell>
          <cell r="B20" t="str">
            <v>Оплата проезда к месту командировки</v>
          </cell>
          <cell r="C20" t="str">
            <v>тыс.руб.</v>
          </cell>
          <cell r="E20">
            <v>0</v>
          </cell>
          <cell r="F20">
            <v>0</v>
          </cell>
          <cell r="G20">
            <v>0</v>
          </cell>
          <cell r="H20">
            <v>0</v>
          </cell>
          <cell r="I20">
            <v>0</v>
          </cell>
          <cell r="J20">
            <v>0</v>
          </cell>
          <cell r="K20">
            <v>0</v>
          </cell>
          <cell r="L20">
            <v>0</v>
          </cell>
          <cell r="N20">
            <v>0</v>
          </cell>
        </row>
        <row r="21">
          <cell r="B21" t="str">
            <v xml:space="preserve"> - стоимость проезда в 1 сторону</v>
          </cell>
          <cell r="C21" t="str">
            <v>руб.</v>
          </cell>
        </row>
        <row r="22">
          <cell r="A22" t="str">
            <v>4.</v>
          </cell>
          <cell r="B22" t="str">
            <v>Наем жилого помещения</v>
          </cell>
          <cell r="C22" t="str">
            <v>тыс.руб.</v>
          </cell>
          <cell r="N22">
            <v>0</v>
          </cell>
        </row>
        <row r="23">
          <cell r="B23" t="str">
            <v xml:space="preserve"> - стоимость 1 суток найма жилого помещения</v>
          </cell>
          <cell r="C23" t="str">
            <v>руб.</v>
          </cell>
        </row>
        <row r="24">
          <cell r="A24" t="str">
            <v>5.</v>
          </cell>
          <cell r="B24" t="str">
            <v>Суточные в пределах норм</v>
          </cell>
          <cell r="C24" t="str">
            <v>тыс.руб.</v>
          </cell>
          <cell r="E24">
            <v>0</v>
          </cell>
          <cell r="F24">
            <v>0</v>
          </cell>
          <cell r="G24">
            <v>0</v>
          </cell>
          <cell r="H24">
            <v>0</v>
          </cell>
          <cell r="I24">
            <v>0</v>
          </cell>
          <cell r="J24">
            <v>0</v>
          </cell>
          <cell r="K24">
            <v>0</v>
          </cell>
          <cell r="L24">
            <v>0</v>
          </cell>
          <cell r="N24">
            <v>0</v>
          </cell>
        </row>
        <row r="25">
          <cell r="B25" t="str">
            <v xml:space="preserve"> - размер суточных</v>
          </cell>
          <cell r="C25" t="str">
            <v>руб.</v>
          </cell>
        </row>
        <row r="26">
          <cell r="A26" t="str">
            <v>6.</v>
          </cell>
          <cell r="B26" t="str">
            <v>Оформление виз, паспортов и т.п.</v>
          </cell>
          <cell r="C26" t="str">
            <v>тыс.руб.</v>
          </cell>
          <cell r="N26">
            <v>0</v>
          </cell>
        </row>
        <row r="27">
          <cell r="A27" t="str">
            <v>7.</v>
          </cell>
          <cell r="B27" t="str">
            <v>Прочие</v>
          </cell>
          <cell r="C27" t="str">
            <v>тыс.руб.</v>
          </cell>
          <cell r="N27">
            <v>0</v>
          </cell>
        </row>
        <row r="28">
          <cell r="A28" t="str">
            <v>8.</v>
          </cell>
          <cell r="B28" t="str">
            <v>Всего расходов</v>
          </cell>
          <cell r="C28" t="str">
            <v>тыс.руб.</v>
          </cell>
          <cell r="E28">
            <v>0</v>
          </cell>
          <cell r="F28">
            <v>0</v>
          </cell>
          <cell r="G28">
            <v>0</v>
          </cell>
          <cell r="H28">
            <v>0</v>
          </cell>
          <cell r="I28">
            <v>0</v>
          </cell>
          <cell r="J28">
            <v>0</v>
          </cell>
          <cell r="K28">
            <v>0</v>
          </cell>
          <cell r="L28">
            <v>0</v>
          </cell>
          <cell r="N28">
            <v>0</v>
          </cell>
        </row>
      </sheetData>
      <sheetData sheetId="23" refreshError="1">
        <row r="6">
          <cell r="D6">
            <v>0</v>
          </cell>
          <cell r="E6">
            <v>0</v>
          </cell>
          <cell r="F6">
            <v>0</v>
          </cell>
          <cell r="G6">
            <v>0</v>
          </cell>
          <cell r="I6">
            <v>0</v>
          </cell>
          <cell r="J6">
            <v>0</v>
          </cell>
          <cell r="K6">
            <v>0</v>
          </cell>
          <cell r="L6">
            <v>0</v>
          </cell>
        </row>
        <row r="8">
          <cell r="B8" t="str">
            <v>договор № ___ от ____</v>
          </cell>
          <cell r="I8">
            <v>0</v>
          </cell>
          <cell r="J8">
            <v>0</v>
          </cell>
          <cell r="K8">
            <v>0</v>
          </cell>
          <cell r="L8">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2">
          <cell r="D12">
            <v>0</v>
          </cell>
          <cell r="E12">
            <v>0</v>
          </cell>
          <cell r="F12">
            <v>0</v>
          </cell>
          <cell r="G12">
            <v>0</v>
          </cell>
          <cell r="I12">
            <v>0</v>
          </cell>
          <cell r="J12">
            <v>0</v>
          </cell>
          <cell r="K12">
            <v>0</v>
          </cell>
          <cell r="L12">
            <v>0</v>
          </cell>
        </row>
        <row r="14">
          <cell r="B14" t="str">
            <v>договор № ___ от ____</v>
          </cell>
          <cell r="I14">
            <v>0</v>
          </cell>
          <cell r="J14">
            <v>0</v>
          </cell>
          <cell r="K14">
            <v>0</v>
          </cell>
          <cell r="L14">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8">
          <cell r="D18">
            <v>0</v>
          </cell>
          <cell r="E18">
            <v>0</v>
          </cell>
          <cell r="F18">
            <v>0</v>
          </cell>
          <cell r="G18">
            <v>0</v>
          </cell>
          <cell r="I18">
            <v>0</v>
          </cell>
          <cell r="J18">
            <v>0</v>
          </cell>
          <cell r="K18">
            <v>0</v>
          </cell>
          <cell r="L18">
            <v>0</v>
          </cell>
        </row>
        <row r="20">
          <cell r="B20" t="str">
            <v>договор № ___ от ____</v>
          </cell>
          <cell r="I20">
            <v>0</v>
          </cell>
          <cell r="J20">
            <v>0</v>
          </cell>
          <cell r="K20">
            <v>0</v>
          </cell>
          <cell r="L20">
            <v>0</v>
          </cell>
        </row>
        <row r="21">
          <cell r="B21" t="str">
            <v>договор № ___ от ____</v>
          </cell>
          <cell r="I21">
            <v>0</v>
          </cell>
          <cell r="J21">
            <v>0</v>
          </cell>
          <cell r="K21">
            <v>0</v>
          </cell>
          <cell r="L21">
            <v>0</v>
          </cell>
        </row>
        <row r="22">
          <cell r="B22" t="str">
            <v>договор № ___ от ____</v>
          </cell>
          <cell r="I22">
            <v>0</v>
          </cell>
          <cell r="J22">
            <v>0</v>
          </cell>
          <cell r="K22">
            <v>0</v>
          </cell>
          <cell r="L22">
            <v>0</v>
          </cell>
        </row>
        <row r="24">
          <cell r="D24">
            <v>0</v>
          </cell>
          <cell r="E24">
            <v>0</v>
          </cell>
          <cell r="F24">
            <v>0</v>
          </cell>
          <cell r="G24">
            <v>0</v>
          </cell>
          <cell r="I24">
            <v>0</v>
          </cell>
          <cell r="J24">
            <v>0</v>
          </cell>
          <cell r="K24">
            <v>0</v>
          </cell>
          <cell r="L24">
            <v>0</v>
          </cell>
        </row>
        <row r="26">
          <cell r="B26" t="str">
            <v>договор № ___ от ____</v>
          </cell>
          <cell r="I26">
            <v>0</v>
          </cell>
          <cell r="J26">
            <v>0</v>
          </cell>
          <cell r="K26">
            <v>0</v>
          </cell>
          <cell r="L26">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30">
          <cell r="D30">
            <v>0</v>
          </cell>
          <cell r="E30">
            <v>0</v>
          </cell>
          <cell r="F30">
            <v>0</v>
          </cell>
          <cell r="G30">
            <v>0</v>
          </cell>
          <cell r="I30">
            <v>0</v>
          </cell>
          <cell r="J30">
            <v>0</v>
          </cell>
          <cell r="K30">
            <v>0</v>
          </cell>
          <cell r="L30">
            <v>0</v>
          </cell>
        </row>
        <row r="32">
          <cell r="B32" t="str">
            <v>договор № ___ от ____</v>
          </cell>
          <cell r="I32">
            <v>0</v>
          </cell>
          <cell r="J32">
            <v>0</v>
          </cell>
          <cell r="K32">
            <v>0</v>
          </cell>
          <cell r="L32">
            <v>0</v>
          </cell>
        </row>
        <row r="33">
          <cell r="B33" t="str">
            <v>договор № ___ от ____</v>
          </cell>
          <cell r="I33">
            <v>0</v>
          </cell>
          <cell r="J33">
            <v>0</v>
          </cell>
          <cell r="K33">
            <v>0</v>
          </cell>
          <cell r="L33">
            <v>0</v>
          </cell>
        </row>
        <row r="34">
          <cell r="B34" t="str">
            <v>договор № ___ от ____</v>
          </cell>
          <cell r="I34">
            <v>0</v>
          </cell>
          <cell r="J34">
            <v>0</v>
          </cell>
          <cell r="K34">
            <v>0</v>
          </cell>
          <cell r="L34">
            <v>0</v>
          </cell>
        </row>
        <row r="36">
          <cell r="D36">
            <v>0</v>
          </cell>
          <cell r="E36">
            <v>0</v>
          </cell>
          <cell r="F36">
            <v>0</v>
          </cell>
          <cell r="G36">
            <v>0</v>
          </cell>
          <cell r="I36">
            <v>0</v>
          </cell>
          <cell r="J36">
            <v>0</v>
          </cell>
          <cell r="K36">
            <v>0</v>
          </cell>
          <cell r="L36">
            <v>0</v>
          </cell>
        </row>
        <row r="38">
          <cell r="B38" t="str">
            <v>договор № ___ от ____</v>
          </cell>
          <cell r="I38">
            <v>0</v>
          </cell>
          <cell r="J38">
            <v>0</v>
          </cell>
          <cell r="K38">
            <v>0</v>
          </cell>
          <cell r="L38">
            <v>0</v>
          </cell>
        </row>
        <row r="39">
          <cell r="B39" t="str">
            <v>договор № ___ от ____</v>
          </cell>
          <cell r="I39">
            <v>0</v>
          </cell>
          <cell r="J39">
            <v>0</v>
          </cell>
          <cell r="K39">
            <v>0</v>
          </cell>
          <cell r="L39">
            <v>0</v>
          </cell>
        </row>
        <row r="40">
          <cell r="B40" t="str">
            <v>договор № ___ от ____</v>
          </cell>
          <cell r="I40">
            <v>0</v>
          </cell>
          <cell r="J40">
            <v>0</v>
          </cell>
          <cell r="K40">
            <v>0</v>
          </cell>
          <cell r="L40">
            <v>0</v>
          </cell>
        </row>
        <row r="42">
          <cell r="D42">
            <v>0</v>
          </cell>
          <cell r="E42">
            <v>0</v>
          </cell>
          <cell r="F42">
            <v>0</v>
          </cell>
          <cell r="G42">
            <v>0</v>
          </cell>
          <cell r="I42">
            <v>0</v>
          </cell>
          <cell r="J42">
            <v>0</v>
          </cell>
          <cell r="K42">
            <v>0</v>
          </cell>
          <cell r="L42">
            <v>0</v>
          </cell>
        </row>
      </sheetData>
      <sheetData sheetId="24" refreshError="1">
        <row r="6">
          <cell r="A6" t="str">
            <v>&lt;Наименование работ 1&gt;</v>
          </cell>
          <cell r="B6" t="str">
            <v>тыс.руб.</v>
          </cell>
          <cell r="C6" t="str">
            <v>1</v>
          </cell>
          <cell r="D6" t="str">
            <v>&lt;Наименование работ 1&gt;</v>
          </cell>
          <cell r="E6">
            <v>0</v>
          </cell>
          <cell r="F6">
            <v>0</v>
          </cell>
          <cell r="G6">
            <v>0</v>
          </cell>
          <cell r="H6">
            <v>0</v>
          </cell>
          <cell r="I6">
            <v>0</v>
          </cell>
          <cell r="J6">
            <v>0</v>
          </cell>
          <cell r="K6">
            <v>0</v>
          </cell>
          <cell r="L6">
            <v>0</v>
          </cell>
          <cell r="M6">
            <v>0</v>
          </cell>
        </row>
        <row r="8">
          <cell r="A8" t="str">
            <v>договор № ___ от ____</v>
          </cell>
          <cell r="B8" t="str">
            <v>тыс.руб.</v>
          </cell>
          <cell r="C8" t="str">
            <v>2</v>
          </cell>
          <cell r="D8" t="str">
            <v>&lt;Наименование работ 1&gt;</v>
          </cell>
          <cell r="J8">
            <v>0</v>
          </cell>
          <cell r="K8">
            <v>0</v>
          </cell>
          <cell r="L8">
            <v>0</v>
          </cell>
          <cell r="M8">
            <v>0</v>
          </cell>
        </row>
        <row r="9">
          <cell r="A9" t="str">
            <v>договор № ___ от ____</v>
          </cell>
          <cell r="B9" t="str">
            <v>тыс.руб.</v>
          </cell>
          <cell r="C9" t="str">
            <v>2</v>
          </cell>
          <cell r="D9" t="str">
            <v>&lt;Наименование работ 1&gt;</v>
          </cell>
          <cell r="J9">
            <v>0</v>
          </cell>
          <cell r="K9">
            <v>0</v>
          </cell>
          <cell r="L9">
            <v>0</v>
          </cell>
          <cell r="M9">
            <v>0</v>
          </cell>
        </row>
        <row r="11">
          <cell r="A11" t="str">
            <v>&lt;Наименование работ 2&gt;</v>
          </cell>
          <cell r="B11" t="str">
            <v>тыс.руб.</v>
          </cell>
          <cell r="C11" t="str">
            <v>1</v>
          </cell>
          <cell r="D11" t="str">
            <v>&lt;Наименование работ 2&gt;</v>
          </cell>
          <cell r="E11">
            <v>0</v>
          </cell>
          <cell r="F11">
            <v>0</v>
          </cell>
          <cell r="G11">
            <v>0</v>
          </cell>
          <cell r="H11">
            <v>0</v>
          </cell>
          <cell r="I11">
            <v>0</v>
          </cell>
          <cell r="J11">
            <v>0</v>
          </cell>
          <cell r="K11">
            <v>0</v>
          </cell>
          <cell r="L11">
            <v>0</v>
          </cell>
          <cell r="M11">
            <v>0</v>
          </cell>
        </row>
        <row r="13">
          <cell r="A13" t="str">
            <v>договор № ___ от ____</v>
          </cell>
          <cell r="B13" t="str">
            <v>тыс.руб.</v>
          </cell>
          <cell r="C13" t="str">
            <v>2</v>
          </cell>
          <cell r="D13" t="str">
            <v>&lt;Наименование работ 2&gt;</v>
          </cell>
          <cell r="J13">
            <v>0</v>
          </cell>
          <cell r="K13">
            <v>0</v>
          </cell>
          <cell r="L13">
            <v>0</v>
          </cell>
          <cell r="M13">
            <v>0</v>
          </cell>
        </row>
        <row r="14">
          <cell r="A14" t="str">
            <v>договор № ___ от ____</v>
          </cell>
          <cell r="B14" t="str">
            <v>тыс.руб.</v>
          </cell>
          <cell r="C14" t="str">
            <v>2</v>
          </cell>
          <cell r="D14" t="str">
            <v>&lt;Наименование работ 2&gt;</v>
          </cell>
          <cell r="J14">
            <v>0</v>
          </cell>
          <cell r="K14">
            <v>0</v>
          </cell>
          <cell r="L14">
            <v>0</v>
          </cell>
          <cell r="M14">
            <v>0</v>
          </cell>
        </row>
        <row r="16">
          <cell r="A16" t="str">
            <v>&lt;Наименование работ 3&gt;</v>
          </cell>
          <cell r="B16" t="str">
            <v>тыс.руб.</v>
          </cell>
          <cell r="C16" t="str">
            <v>1</v>
          </cell>
          <cell r="D16" t="str">
            <v>&lt;Наименование работ 3&gt;</v>
          </cell>
          <cell r="E16">
            <v>0</v>
          </cell>
          <cell r="F16">
            <v>0</v>
          </cell>
          <cell r="G16">
            <v>0</v>
          </cell>
          <cell r="H16">
            <v>0</v>
          </cell>
          <cell r="I16">
            <v>0</v>
          </cell>
          <cell r="J16">
            <v>0</v>
          </cell>
          <cell r="K16">
            <v>0</v>
          </cell>
          <cell r="L16">
            <v>0</v>
          </cell>
          <cell r="M16">
            <v>0</v>
          </cell>
        </row>
        <row r="18">
          <cell r="A18" t="str">
            <v>договор № ___ от ____</v>
          </cell>
          <cell r="B18" t="str">
            <v>тыс.руб.</v>
          </cell>
          <cell r="C18" t="str">
            <v>2</v>
          </cell>
          <cell r="D18" t="str">
            <v>&lt;Наименование работ 3&gt;</v>
          </cell>
          <cell r="J18">
            <v>0</v>
          </cell>
          <cell r="K18">
            <v>0</v>
          </cell>
          <cell r="L18">
            <v>0</v>
          </cell>
          <cell r="M18">
            <v>0</v>
          </cell>
        </row>
        <row r="20">
          <cell r="A20" t="str">
            <v>&lt;Наименование работ&gt;</v>
          </cell>
          <cell r="B20" t="str">
            <v>тыс.руб.</v>
          </cell>
          <cell r="C20" t="str">
            <v>1</v>
          </cell>
          <cell r="D20" t="str">
            <v>&lt;Наименование работ&gt;</v>
          </cell>
          <cell r="E20">
            <v>0</v>
          </cell>
          <cell r="F20">
            <v>0</v>
          </cell>
          <cell r="G20">
            <v>0</v>
          </cell>
          <cell r="H20">
            <v>0</v>
          </cell>
          <cell r="I20">
            <v>0</v>
          </cell>
          <cell r="J20">
            <v>0</v>
          </cell>
          <cell r="K20">
            <v>0</v>
          </cell>
          <cell r="L20">
            <v>0</v>
          </cell>
          <cell r="M20">
            <v>0</v>
          </cell>
        </row>
        <row r="22">
          <cell r="A22" t="str">
            <v>договор № ___ от ____</v>
          </cell>
          <cell r="B22" t="str">
            <v>тыс.руб.</v>
          </cell>
          <cell r="C22" t="str">
            <v>2</v>
          </cell>
          <cell r="D22" t="str">
            <v>&lt;Наименование работ&gt;</v>
          </cell>
          <cell r="J22">
            <v>0</v>
          </cell>
          <cell r="K22">
            <v>0</v>
          </cell>
          <cell r="L22">
            <v>0</v>
          </cell>
          <cell r="M22">
            <v>0</v>
          </cell>
        </row>
        <row r="24">
          <cell r="A24" t="str">
            <v>Прочие расходы на НИОКР</v>
          </cell>
          <cell r="B24" t="str">
            <v>тыс.руб.</v>
          </cell>
          <cell r="C24" t="str">
            <v>1</v>
          </cell>
          <cell r="D24" t="str">
            <v>Прочие расходы на НИОКР</v>
          </cell>
          <cell r="E24">
            <v>0</v>
          </cell>
          <cell r="F24">
            <v>0</v>
          </cell>
          <cell r="G24">
            <v>0</v>
          </cell>
          <cell r="H24">
            <v>0</v>
          </cell>
          <cell r="I24">
            <v>0</v>
          </cell>
          <cell r="J24">
            <v>0</v>
          </cell>
          <cell r="K24">
            <v>0</v>
          </cell>
          <cell r="L24">
            <v>0</v>
          </cell>
          <cell r="M24">
            <v>0</v>
          </cell>
        </row>
        <row r="26">
          <cell r="A26" t="str">
            <v>договор № ___ от ____</v>
          </cell>
          <cell r="B26" t="str">
            <v>тыс.руб.</v>
          </cell>
          <cell r="C26" t="str">
            <v>2</v>
          </cell>
          <cell r="D26" t="str">
            <v>Прочие расходы на НИОКР</v>
          </cell>
          <cell r="J26">
            <v>0</v>
          </cell>
          <cell r="K26">
            <v>0</v>
          </cell>
          <cell r="L26">
            <v>0</v>
          </cell>
          <cell r="M26">
            <v>0</v>
          </cell>
        </row>
        <row r="27">
          <cell r="A27" t="str">
            <v>договор № ___ от ____</v>
          </cell>
          <cell r="B27" t="str">
            <v>тыс.руб.</v>
          </cell>
          <cell r="C27" t="str">
            <v>2</v>
          </cell>
          <cell r="D27" t="str">
            <v>Прочие расходы на НИОКР</v>
          </cell>
          <cell r="J27">
            <v>0</v>
          </cell>
          <cell r="K27">
            <v>0</v>
          </cell>
          <cell r="L27">
            <v>0</v>
          </cell>
          <cell r="M27">
            <v>0</v>
          </cell>
        </row>
        <row r="30">
          <cell r="E30">
            <v>0</v>
          </cell>
          <cell r="F30">
            <v>0</v>
          </cell>
          <cell r="G30">
            <v>0</v>
          </cell>
          <cell r="H30">
            <v>0</v>
          </cell>
          <cell r="J30">
            <v>0</v>
          </cell>
          <cell r="K30">
            <v>0</v>
          </cell>
          <cell r="L30">
            <v>0</v>
          </cell>
          <cell r="M30">
            <v>0</v>
          </cell>
        </row>
      </sheetData>
      <sheetData sheetId="25" refreshError="1">
        <row r="6">
          <cell r="G6">
            <v>0</v>
          </cell>
          <cell r="H6">
            <v>0</v>
          </cell>
          <cell r="I6">
            <v>0</v>
          </cell>
          <cell r="J6">
            <v>0</v>
          </cell>
          <cell r="K6">
            <v>0</v>
          </cell>
          <cell r="L6">
            <v>0</v>
          </cell>
          <cell r="M6">
            <v>0</v>
          </cell>
          <cell r="N6">
            <v>0</v>
          </cell>
          <cell r="O6">
            <v>0</v>
          </cell>
        </row>
        <row r="8">
          <cell r="A8" t="str">
            <v>1.1</v>
          </cell>
          <cell r="B8" t="str">
            <v>договор № ___ от ____ (объект 1)</v>
          </cell>
          <cell r="C8" t="str">
            <v>1</v>
          </cell>
          <cell r="D8" t="str">
            <v>договор № ___ от ____ (объект 1)</v>
          </cell>
          <cell r="E8" t="str">
            <v>Всего</v>
          </cell>
          <cell r="F8" t="str">
            <v>тыс.руб.</v>
          </cell>
          <cell r="G8">
            <v>0</v>
          </cell>
          <cell r="H8">
            <v>0</v>
          </cell>
          <cell r="I8">
            <v>0</v>
          </cell>
          <cell r="J8">
            <v>0</v>
          </cell>
          <cell r="K8">
            <v>0</v>
          </cell>
          <cell r="L8">
            <v>0</v>
          </cell>
          <cell r="M8">
            <v>0</v>
          </cell>
          <cell r="N8">
            <v>0</v>
          </cell>
          <cell r="O8">
            <v>0</v>
          </cell>
        </row>
        <row r="9">
          <cell r="B9" t="str">
            <v>арендная плата</v>
          </cell>
          <cell r="C9" t="str">
            <v>2</v>
          </cell>
          <cell r="D9" t="str">
            <v>договор № ___ от ____ (объект 1)</v>
          </cell>
          <cell r="E9" t="str">
            <v>Арендная плата</v>
          </cell>
          <cell r="F9" t="str">
            <v>тыс.руб.</v>
          </cell>
          <cell r="L9">
            <v>0</v>
          </cell>
          <cell r="M9">
            <v>0</v>
          </cell>
          <cell r="N9">
            <v>0</v>
          </cell>
          <cell r="O9">
            <v>0</v>
          </cell>
        </row>
        <row r="10">
          <cell r="B10" t="str">
            <v>амортизация*</v>
          </cell>
          <cell r="C10" t="str">
            <v>3</v>
          </cell>
          <cell r="D10" t="str">
            <v>договор № ___ от ____ (объект 1)</v>
          </cell>
          <cell r="E10" t="str">
            <v>Амортизация</v>
          </cell>
          <cell r="F10" t="str">
            <v>тыс.руб.</v>
          </cell>
          <cell r="L10">
            <v>0</v>
          </cell>
          <cell r="M10">
            <v>0</v>
          </cell>
          <cell r="N10">
            <v>0</v>
          </cell>
          <cell r="O10">
            <v>0</v>
          </cell>
        </row>
        <row r="11">
          <cell r="A11" t="str">
            <v>1.2</v>
          </cell>
          <cell r="B11" t="str">
            <v>договор № ___ от ____ (объект 2)</v>
          </cell>
          <cell r="C11" t="str">
            <v>1</v>
          </cell>
          <cell r="D11" t="str">
            <v>договор № ___ от ____ (объект 2)</v>
          </cell>
          <cell r="E11" t="str">
            <v>Всего</v>
          </cell>
          <cell r="F11" t="str">
            <v>тыс.руб.</v>
          </cell>
          <cell r="G11">
            <v>0</v>
          </cell>
          <cell r="H11">
            <v>0</v>
          </cell>
          <cell r="I11">
            <v>0</v>
          </cell>
          <cell r="J11">
            <v>0</v>
          </cell>
          <cell r="K11">
            <v>0</v>
          </cell>
          <cell r="L11">
            <v>0</v>
          </cell>
          <cell r="M11">
            <v>0</v>
          </cell>
          <cell r="N11">
            <v>0</v>
          </cell>
          <cell r="O11">
            <v>0</v>
          </cell>
        </row>
        <row r="12">
          <cell r="B12" t="str">
            <v>арендная плата</v>
          </cell>
          <cell r="C12" t="str">
            <v>2</v>
          </cell>
          <cell r="D12" t="str">
            <v>договор № ___ от ____ (объект 2)</v>
          </cell>
          <cell r="E12" t="str">
            <v>Арендная плата</v>
          </cell>
          <cell r="F12" t="str">
            <v>тыс.руб.</v>
          </cell>
          <cell r="L12">
            <v>0</v>
          </cell>
          <cell r="M12">
            <v>0</v>
          </cell>
          <cell r="N12">
            <v>0</v>
          </cell>
          <cell r="O12">
            <v>0</v>
          </cell>
        </row>
        <row r="13">
          <cell r="B13" t="str">
            <v>амортизация*</v>
          </cell>
          <cell r="C13" t="str">
            <v>3</v>
          </cell>
          <cell r="D13" t="str">
            <v>договор № ___ от ____ (объект 2)</v>
          </cell>
          <cell r="E13" t="str">
            <v>Амортизация</v>
          </cell>
          <cell r="F13" t="str">
            <v>тыс.руб.</v>
          </cell>
          <cell r="L13">
            <v>0</v>
          </cell>
          <cell r="M13">
            <v>0</v>
          </cell>
          <cell r="N13">
            <v>0</v>
          </cell>
          <cell r="O13">
            <v>0</v>
          </cell>
        </row>
        <row r="14">
          <cell r="A14" t="str">
            <v>1.3</v>
          </cell>
          <cell r="B14" t="str">
            <v>договор № ___ от ____ (объект 3)</v>
          </cell>
          <cell r="C14" t="str">
            <v>1</v>
          </cell>
          <cell r="D14" t="str">
            <v>договор № ___ от ____ (объект 3)</v>
          </cell>
          <cell r="E14" t="str">
            <v>Всего</v>
          </cell>
          <cell r="F14" t="str">
            <v>тыс.руб.</v>
          </cell>
          <cell r="G14">
            <v>0</v>
          </cell>
          <cell r="H14">
            <v>0</v>
          </cell>
          <cell r="I14">
            <v>0</v>
          </cell>
          <cell r="J14">
            <v>0</v>
          </cell>
          <cell r="K14">
            <v>0</v>
          </cell>
          <cell r="L14">
            <v>0</v>
          </cell>
          <cell r="M14">
            <v>0</v>
          </cell>
          <cell r="N14">
            <v>0</v>
          </cell>
          <cell r="O14">
            <v>0</v>
          </cell>
        </row>
        <row r="15">
          <cell r="B15" t="str">
            <v>арендная плата</v>
          </cell>
          <cell r="C15" t="str">
            <v>2</v>
          </cell>
          <cell r="D15" t="str">
            <v>договор № ___ от ____ (объект 3)</v>
          </cell>
          <cell r="E15" t="str">
            <v>Арендная плата</v>
          </cell>
          <cell r="F15" t="str">
            <v>тыс.руб.</v>
          </cell>
          <cell r="L15">
            <v>0</v>
          </cell>
          <cell r="M15">
            <v>0</v>
          </cell>
          <cell r="N15">
            <v>0</v>
          </cell>
          <cell r="O15">
            <v>0</v>
          </cell>
        </row>
        <row r="16">
          <cell r="B16" t="str">
            <v>амортизация*</v>
          </cell>
          <cell r="C16" t="str">
            <v>3</v>
          </cell>
          <cell r="D16" t="str">
            <v>договор № ___ от ____ (объект 3)</v>
          </cell>
          <cell r="E16" t="str">
            <v>Амортизация</v>
          </cell>
          <cell r="F16" t="str">
            <v>тыс.руб.</v>
          </cell>
          <cell r="L16">
            <v>0</v>
          </cell>
          <cell r="M16">
            <v>0</v>
          </cell>
          <cell r="N16">
            <v>0</v>
          </cell>
          <cell r="O16">
            <v>0</v>
          </cell>
        </row>
        <row r="17">
          <cell r="A17" t="str">
            <v>1.4</v>
          </cell>
          <cell r="B17" t="str">
            <v>договор № ___ от ____ (объект 2)</v>
          </cell>
          <cell r="C17" t="str">
            <v>1</v>
          </cell>
          <cell r="D17" t="str">
            <v>договор № ___ от ____ (объект 2)</v>
          </cell>
          <cell r="E17" t="str">
            <v>Всего</v>
          </cell>
          <cell r="F17" t="str">
            <v>тыс.руб.</v>
          </cell>
          <cell r="G17">
            <v>0</v>
          </cell>
          <cell r="H17">
            <v>0</v>
          </cell>
          <cell r="I17">
            <v>0</v>
          </cell>
          <cell r="J17">
            <v>0</v>
          </cell>
          <cell r="K17">
            <v>0</v>
          </cell>
          <cell r="L17">
            <v>0</v>
          </cell>
          <cell r="M17">
            <v>0</v>
          </cell>
          <cell r="N17">
            <v>0</v>
          </cell>
          <cell r="O17">
            <v>0</v>
          </cell>
        </row>
        <row r="18">
          <cell r="B18" t="str">
            <v>арендная плата</v>
          </cell>
          <cell r="C18" t="str">
            <v>2</v>
          </cell>
          <cell r="D18" t="str">
            <v>договор № ___ от ____ (объект 2)</v>
          </cell>
          <cell r="E18" t="str">
            <v>Арендная плата</v>
          </cell>
          <cell r="F18" t="str">
            <v>тыс.руб.</v>
          </cell>
          <cell r="L18">
            <v>0</v>
          </cell>
          <cell r="M18">
            <v>0</v>
          </cell>
          <cell r="N18">
            <v>0</v>
          </cell>
          <cell r="O18">
            <v>0</v>
          </cell>
        </row>
        <row r="19">
          <cell r="B19" t="str">
            <v>амортизация*</v>
          </cell>
          <cell r="C19" t="str">
            <v>3</v>
          </cell>
          <cell r="D19" t="str">
            <v>договор № ___ от ____ (объект 2)</v>
          </cell>
          <cell r="E19" t="str">
            <v>Амортизация</v>
          </cell>
          <cell r="F19" t="str">
            <v>тыс.руб.</v>
          </cell>
          <cell r="L19">
            <v>0</v>
          </cell>
          <cell r="M19">
            <v>0</v>
          </cell>
          <cell r="N19">
            <v>0</v>
          </cell>
          <cell r="O19">
            <v>0</v>
          </cell>
        </row>
        <row r="20">
          <cell r="A20" t="str">
            <v>1.5</v>
          </cell>
          <cell r="B20" t="str">
            <v>договор № ___ от ____ (объект 2)</v>
          </cell>
          <cell r="C20" t="str">
            <v>1</v>
          </cell>
          <cell r="D20" t="str">
            <v>договор № ___ от ____ (объект 2)</v>
          </cell>
          <cell r="E20" t="str">
            <v>Всего</v>
          </cell>
          <cell r="F20" t="str">
            <v>тыс.руб.</v>
          </cell>
          <cell r="G20">
            <v>0</v>
          </cell>
          <cell r="H20">
            <v>0</v>
          </cell>
          <cell r="I20">
            <v>0</v>
          </cell>
          <cell r="J20">
            <v>0</v>
          </cell>
          <cell r="K20">
            <v>0</v>
          </cell>
          <cell r="L20">
            <v>0</v>
          </cell>
          <cell r="M20">
            <v>0</v>
          </cell>
          <cell r="N20">
            <v>0</v>
          </cell>
          <cell r="O20">
            <v>0</v>
          </cell>
        </row>
        <row r="21">
          <cell r="B21" t="str">
            <v>арендная плата</v>
          </cell>
          <cell r="C21" t="str">
            <v>2</v>
          </cell>
          <cell r="D21" t="str">
            <v>договор № ___ от ____ (объект 2)</v>
          </cell>
          <cell r="E21" t="str">
            <v>Арендная плата</v>
          </cell>
          <cell r="F21" t="str">
            <v>тыс.руб.</v>
          </cell>
          <cell r="L21">
            <v>0</v>
          </cell>
          <cell r="M21">
            <v>0</v>
          </cell>
          <cell r="N21">
            <v>0</v>
          </cell>
          <cell r="O21">
            <v>0</v>
          </cell>
        </row>
        <row r="22">
          <cell r="B22" t="str">
            <v>амортизация*</v>
          </cell>
          <cell r="C22" t="str">
            <v>3</v>
          </cell>
          <cell r="D22" t="str">
            <v>договор № ___ от ____ (объект 2)</v>
          </cell>
          <cell r="E22" t="str">
            <v>Амортизация</v>
          </cell>
          <cell r="F22" t="str">
            <v>тыс.руб.</v>
          </cell>
          <cell r="L22">
            <v>0</v>
          </cell>
          <cell r="M22">
            <v>0</v>
          </cell>
          <cell r="N22">
            <v>0</v>
          </cell>
          <cell r="O22">
            <v>0</v>
          </cell>
        </row>
        <row r="23">
          <cell r="A23" t="str">
            <v>1.6</v>
          </cell>
          <cell r="B23" t="str">
            <v>договор № ___ от ____ (объект 2)</v>
          </cell>
          <cell r="C23" t="str">
            <v>1</v>
          </cell>
          <cell r="D23" t="str">
            <v>договор № ___ от ____ (объект 2)</v>
          </cell>
          <cell r="E23" t="str">
            <v>Всего</v>
          </cell>
          <cell r="F23" t="str">
            <v>тыс.руб.</v>
          </cell>
          <cell r="G23">
            <v>0</v>
          </cell>
          <cell r="H23">
            <v>0</v>
          </cell>
          <cell r="I23">
            <v>0</v>
          </cell>
          <cell r="J23">
            <v>0</v>
          </cell>
          <cell r="K23">
            <v>0</v>
          </cell>
          <cell r="L23">
            <v>0</v>
          </cell>
          <cell r="M23">
            <v>0</v>
          </cell>
          <cell r="N23">
            <v>0</v>
          </cell>
          <cell r="O23">
            <v>0</v>
          </cell>
        </row>
        <row r="24">
          <cell r="B24" t="str">
            <v>арендная плата</v>
          </cell>
          <cell r="C24" t="str">
            <v>2</v>
          </cell>
          <cell r="D24" t="str">
            <v>договор № ___ от ____ (объект 2)</v>
          </cell>
          <cell r="E24" t="str">
            <v>Арендная плата</v>
          </cell>
          <cell r="F24" t="str">
            <v>тыс.руб.</v>
          </cell>
          <cell r="L24">
            <v>0</v>
          </cell>
          <cell r="M24">
            <v>0</v>
          </cell>
          <cell r="N24">
            <v>0</v>
          </cell>
          <cell r="O24">
            <v>0</v>
          </cell>
        </row>
        <row r="25">
          <cell r="B25" t="str">
            <v>амортизация*</v>
          </cell>
          <cell r="C25" t="str">
            <v>3</v>
          </cell>
          <cell r="D25" t="str">
            <v>договор № ___ от ____ (объект 2)</v>
          </cell>
          <cell r="E25" t="str">
            <v>Амортизация</v>
          </cell>
          <cell r="F25" t="str">
            <v>тыс.руб.</v>
          </cell>
          <cell r="L25">
            <v>0</v>
          </cell>
          <cell r="M25">
            <v>0</v>
          </cell>
          <cell r="N25">
            <v>0</v>
          </cell>
          <cell r="O25">
            <v>0</v>
          </cell>
        </row>
        <row r="27">
          <cell r="G27">
            <v>0</v>
          </cell>
          <cell r="H27">
            <v>0</v>
          </cell>
          <cell r="I27">
            <v>0</v>
          </cell>
          <cell r="J27">
            <v>0</v>
          </cell>
          <cell r="K27">
            <v>0</v>
          </cell>
          <cell r="L27">
            <v>0</v>
          </cell>
          <cell r="M27">
            <v>0</v>
          </cell>
          <cell r="N27">
            <v>0</v>
          </cell>
          <cell r="O27">
            <v>0</v>
          </cell>
        </row>
        <row r="29">
          <cell r="A29" t="str">
            <v>2.1</v>
          </cell>
          <cell r="B29" t="str">
            <v>договор № ___ от ____ (объект 1)</v>
          </cell>
          <cell r="C29" t="str">
            <v>1</v>
          </cell>
          <cell r="D29" t="str">
            <v>договор № ___ от ____ (объект 1)</v>
          </cell>
          <cell r="E29" t="str">
            <v>Всего</v>
          </cell>
          <cell r="F29" t="str">
            <v>тыс.руб.</v>
          </cell>
          <cell r="G29">
            <v>0</v>
          </cell>
          <cell r="H29">
            <v>0</v>
          </cell>
          <cell r="I29">
            <v>0</v>
          </cell>
          <cell r="J29">
            <v>0</v>
          </cell>
          <cell r="K29">
            <v>0</v>
          </cell>
          <cell r="L29">
            <v>0</v>
          </cell>
          <cell r="M29">
            <v>0</v>
          </cell>
          <cell r="N29">
            <v>0</v>
          </cell>
          <cell r="O29">
            <v>0</v>
          </cell>
        </row>
        <row r="30">
          <cell r="B30" t="str">
            <v>арендная плата</v>
          </cell>
          <cell r="C30" t="str">
            <v>2</v>
          </cell>
          <cell r="D30" t="str">
            <v>договор № ___ от ____ (объект 1)</v>
          </cell>
          <cell r="E30" t="str">
            <v>Арендная плата</v>
          </cell>
          <cell r="F30" t="str">
            <v>тыс.руб.</v>
          </cell>
          <cell r="L30">
            <v>0</v>
          </cell>
          <cell r="M30">
            <v>0</v>
          </cell>
          <cell r="N30">
            <v>0</v>
          </cell>
          <cell r="O30">
            <v>0</v>
          </cell>
        </row>
        <row r="31">
          <cell r="B31" t="str">
            <v>амортизация*</v>
          </cell>
          <cell r="C31" t="str">
            <v>3</v>
          </cell>
          <cell r="D31" t="str">
            <v>договор № ___ от ____ (объект 1)</v>
          </cell>
          <cell r="E31" t="str">
            <v>Амортизация</v>
          </cell>
          <cell r="F31" t="str">
            <v>тыс.руб.</v>
          </cell>
          <cell r="L31">
            <v>0</v>
          </cell>
          <cell r="M31">
            <v>0</v>
          </cell>
          <cell r="N31">
            <v>0</v>
          </cell>
          <cell r="O31">
            <v>0</v>
          </cell>
        </row>
        <row r="32">
          <cell r="A32" t="str">
            <v>2.2</v>
          </cell>
          <cell r="B32" t="str">
            <v>договор № ___ от ____ (объект 2)</v>
          </cell>
          <cell r="C32" t="str">
            <v>1</v>
          </cell>
          <cell r="D32" t="str">
            <v>договор № ___ от ____ (объект 2)</v>
          </cell>
          <cell r="E32" t="str">
            <v>Всего</v>
          </cell>
          <cell r="F32" t="str">
            <v>тыс.руб.</v>
          </cell>
          <cell r="G32">
            <v>0</v>
          </cell>
          <cell r="H32">
            <v>0</v>
          </cell>
          <cell r="I32">
            <v>0</v>
          </cell>
          <cell r="J32">
            <v>0</v>
          </cell>
          <cell r="K32">
            <v>0</v>
          </cell>
          <cell r="L32">
            <v>0</v>
          </cell>
          <cell r="M32">
            <v>0</v>
          </cell>
          <cell r="N32">
            <v>0</v>
          </cell>
          <cell r="O32">
            <v>0</v>
          </cell>
        </row>
        <row r="33">
          <cell r="B33" t="str">
            <v>арендная плата</v>
          </cell>
          <cell r="C33" t="str">
            <v>2</v>
          </cell>
          <cell r="D33" t="str">
            <v>договор № ___ от ____ (объект 2)</v>
          </cell>
          <cell r="E33" t="str">
            <v>Арендная плата</v>
          </cell>
          <cell r="F33" t="str">
            <v>тыс.руб.</v>
          </cell>
          <cell r="L33">
            <v>0</v>
          </cell>
          <cell r="M33">
            <v>0</v>
          </cell>
          <cell r="N33">
            <v>0</v>
          </cell>
          <cell r="O33">
            <v>0</v>
          </cell>
        </row>
        <row r="34">
          <cell r="B34" t="str">
            <v>амортизация*</v>
          </cell>
          <cell r="C34" t="str">
            <v>3</v>
          </cell>
          <cell r="D34" t="str">
            <v>договор № ___ от ____ (объект 2)</v>
          </cell>
          <cell r="E34" t="str">
            <v>Амортизация</v>
          </cell>
          <cell r="F34" t="str">
            <v>тыс.руб.</v>
          </cell>
          <cell r="L34">
            <v>0</v>
          </cell>
          <cell r="M34">
            <v>0</v>
          </cell>
          <cell r="N34">
            <v>0</v>
          </cell>
          <cell r="O34">
            <v>0</v>
          </cell>
        </row>
        <row r="35">
          <cell r="A35" t="str">
            <v>2.3</v>
          </cell>
          <cell r="B35" t="str">
            <v>договор № ___ от ____ (объект 3)</v>
          </cell>
          <cell r="C35" t="str">
            <v>1</v>
          </cell>
          <cell r="D35" t="str">
            <v>договор № ___ от ____ (объект 3)</v>
          </cell>
          <cell r="E35" t="str">
            <v>Всего</v>
          </cell>
          <cell r="F35" t="str">
            <v>тыс.руб.</v>
          </cell>
          <cell r="G35">
            <v>0</v>
          </cell>
          <cell r="H35">
            <v>0</v>
          </cell>
          <cell r="I35">
            <v>0</v>
          </cell>
          <cell r="J35">
            <v>0</v>
          </cell>
          <cell r="K35">
            <v>0</v>
          </cell>
          <cell r="L35">
            <v>0</v>
          </cell>
          <cell r="M35">
            <v>0</v>
          </cell>
          <cell r="N35">
            <v>0</v>
          </cell>
          <cell r="O35">
            <v>0</v>
          </cell>
        </row>
        <row r="36">
          <cell r="B36" t="str">
            <v>арендная плата</v>
          </cell>
          <cell r="C36" t="str">
            <v>2</v>
          </cell>
          <cell r="D36" t="str">
            <v>договор № ___ от ____ (объект 3)</v>
          </cell>
          <cell r="E36" t="str">
            <v>Арендная плата</v>
          </cell>
          <cell r="F36" t="str">
            <v>тыс.руб.</v>
          </cell>
          <cell r="L36">
            <v>0</v>
          </cell>
          <cell r="M36">
            <v>0</v>
          </cell>
          <cell r="N36">
            <v>0</v>
          </cell>
          <cell r="O36">
            <v>0</v>
          </cell>
        </row>
        <row r="37">
          <cell r="B37" t="str">
            <v>амортизация*</v>
          </cell>
          <cell r="C37" t="str">
            <v>3</v>
          </cell>
          <cell r="D37" t="str">
            <v>договор № ___ от ____ (объект 3)</v>
          </cell>
          <cell r="E37" t="str">
            <v>Амортизация</v>
          </cell>
          <cell r="F37" t="str">
            <v>тыс.руб.</v>
          </cell>
          <cell r="L37">
            <v>0</v>
          </cell>
          <cell r="M37">
            <v>0</v>
          </cell>
          <cell r="N37">
            <v>0</v>
          </cell>
          <cell r="O37">
            <v>0</v>
          </cell>
        </row>
        <row r="38">
          <cell r="A38" t="str">
            <v>2.4</v>
          </cell>
          <cell r="B38" t="str">
            <v>договор № ___ от ____ (объект 2)</v>
          </cell>
          <cell r="C38" t="str">
            <v>1</v>
          </cell>
          <cell r="D38" t="str">
            <v>договор № ___ от ____ (объект 2)</v>
          </cell>
          <cell r="E38" t="str">
            <v>Всего</v>
          </cell>
          <cell r="F38" t="str">
            <v>тыс.руб.</v>
          </cell>
          <cell r="G38">
            <v>0</v>
          </cell>
          <cell r="H38">
            <v>0</v>
          </cell>
          <cell r="I38">
            <v>0</v>
          </cell>
          <cell r="J38">
            <v>0</v>
          </cell>
          <cell r="K38">
            <v>0</v>
          </cell>
          <cell r="L38">
            <v>0</v>
          </cell>
          <cell r="M38">
            <v>0</v>
          </cell>
          <cell r="N38">
            <v>0</v>
          </cell>
          <cell r="O38">
            <v>0</v>
          </cell>
        </row>
        <row r="39">
          <cell r="B39" t="str">
            <v>арендная плата</v>
          </cell>
          <cell r="C39" t="str">
            <v>2</v>
          </cell>
          <cell r="D39" t="str">
            <v>договор № ___ от ____ (объект 2)</v>
          </cell>
          <cell r="E39" t="str">
            <v>Арендная плата</v>
          </cell>
          <cell r="F39" t="str">
            <v>тыс.руб.</v>
          </cell>
          <cell r="L39">
            <v>0</v>
          </cell>
          <cell r="M39">
            <v>0</v>
          </cell>
          <cell r="N39">
            <v>0</v>
          </cell>
          <cell r="O39">
            <v>0</v>
          </cell>
        </row>
        <row r="40">
          <cell r="B40" t="str">
            <v>амортизация*</v>
          </cell>
          <cell r="C40" t="str">
            <v>3</v>
          </cell>
          <cell r="D40" t="str">
            <v>договор № ___ от ____ (объект 2)</v>
          </cell>
          <cell r="E40" t="str">
            <v>Амортизация</v>
          </cell>
          <cell r="F40" t="str">
            <v>тыс.руб.</v>
          </cell>
          <cell r="L40">
            <v>0</v>
          </cell>
          <cell r="M40">
            <v>0</v>
          </cell>
          <cell r="N40">
            <v>0</v>
          </cell>
          <cell r="O40">
            <v>0</v>
          </cell>
        </row>
        <row r="42">
          <cell r="G42">
            <v>0</v>
          </cell>
          <cell r="H42">
            <v>0</v>
          </cell>
          <cell r="I42">
            <v>0</v>
          </cell>
          <cell r="J42">
            <v>0</v>
          </cell>
          <cell r="K42">
            <v>0</v>
          </cell>
          <cell r="L42">
            <v>0</v>
          </cell>
          <cell r="M42">
            <v>0</v>
          </cell>
          <cell r="N42">
            <v>0</v>
          </cell>
          <cell r="O42">
            <v>0</v>
          </cell>
        </row>
      </sheetData>
      <sheetData sheetId="26"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6">
          <cell r="I16">
            <v>0</v>
          </cell>
          <cell r="J16">
            <v>0</v>
          </cell>
          <cell r="K16">
            <v>0</v>
          </cell>
          <cell r="L16">
            <v>0</v>
          </cell>
        </row>
        <row r="17">
          <cell r="I17">
            <v>0</v>
          </cell>
          <cell r="J17">
            <v>0</v>
          </cell>
          <cell r="K17">
            <v>0</v>
          </cell>
          <cell r="L17">
            <v>0</v>
          </cell>
        </row>
        <row r="18">
          <cell r="D18">
            <v>0</v>
          </cell>
          <cell r="E18">
            <v>0</v>
          </cell>
          <cell r="F18">
            <v>0</v>
          </cell>
          <cell r="G18">
            <v>0</v>
          </cell>
          <cell r="H18">
            <v>0</v>
          </cell>
          <cell r="I18">
            <v>0</v>
          </cell>
          <cell r="J18">
            <v>0</v>
          </cell>
          <cell r="K18">
            <v>0</v>
          </cell>
          <cell r="L18">
            <v>0</v>
          </cell>
        </row>
      </sheetData>
      <sheetData sheetId="27" refreshError="1">
        <row r="6">
          <cell r="A6" t="str">
            <v>&lt;Статья затрат 1&gt;</v>
          </cell>
          <cell r="B6" t="str">
            <v>тыс.руб.</v>
          </cell>
          <cell r="C6" t="str">
            <v>1</v>
          </cell>
          <cell r="D6" t="str">
            <v>&lt;Статья затрат 1&gt;</v>
          </cell>
          <cell r="E6">
            <v>0</v>
          </cell>
          <cell r="F6">
            <v>0</v>
          </cell>
          <cell r="G6">
            <v>0</v>
          </cell>
          <cell r="H6">
            <v>0</v>
          </cell>
          <cell r="I6">
            <v>0</v>
          </cell>
          <cell r="J6">
            <v>0</v>
          </cell>
          <cell r="K6">
            <v>0</v>
          </cell>
          <cell r="L6">
            <v>0</v>
          </cell>
          <cell r="M6">
            <v>0</v>
          </cell>
        </row>
        <row r="8">
          <cell r="A8" t="str">
            <v>договор № ___ от ____</v>
          </cell>
          <cell r="B8" t="str">
            <v>тыс.руб.</v>
          </cell>
          <cell r="C8" t="str">
            <v>2</v>
          </cell>
          <cell r="D8" t="str">
            <v>&lt;Статья затрат 1&gt;</v>
          </cell>
          <cell r="J8">
            <v>0</v>
          </cell>
          <cell r="K8">
            <v>0</v>
          </cell>
          <cell r="L8">
            <v>0</v>
          </cell>
          <cell r="M8">
            <v>0</v>
          </cell>
        </row>
        <row r="9">
          <cell r="A9" t="str">
            <v>договор № ___ от ____</v>
          </cell>
          <cell r="B9" t="str">
            <v>тыс.руб.</v>
          </cell>
          <cell r="C9" t="str">
            <v>2</v>
          </cell>
          <cell r="D9" t="str">
            <v>&lt;Статья затрат 1&gt;</v>
          </cell>
          <cell r="J9">
            <v>0</v>
          </cell>
          <cell r="K9">
            <v>0</v>
          </cell>
          <cell r="L9">
            <v>0</v>
          </cell>
          <cell r="M9">
            <v>0</v>
          </cell>
        </row>
        <row r="11">
          <cell r="A11" t="str">
            <v>&lt;Статья затрат 2&gt;</v>
          </cell>
          <cell r="B11" t="str">
            <v>тыс.руб.</v>
          </cell>
          <cell r="C11" t="str">
            <v>1</v>
          </cell>
          <cell r="D11" t="str">
            <v>&lt;Статья затрат 2&gt;</v>
          </cell>
          <cell r="E11">
            <v>0</v>
          </cell>
          <cell r="F11">
            <v>0</v>
          </cell>
          <cell r="G11">
            <v>0</v>
          </cell>
          <cell r="H11">
            <v>0</v>
          </cell>
          <cell r="I11">
            <v>0</v>
          </cell>
          <cell r="J11">
            <v>0</v>
          </cell>
          <cell r="K11">
            <v>0</v>
          </cell>
          <cell r="L11">
            <v>0</v>
          </cell>
          <cell r="M11">
            <v>0</v>
          </cell>
        </row>
        <row r="13">
          <cell r="A13" t="str">
            <v>договор № ___ от ____</v>
          </cell>
          <cell r="B13" t="str">
            <v>тыс.руб.</v>
          </cell>
          <cell r="C13" t="str">
            <v>2</v>
          </cell>
          <cell r="D13" t="str">
            <v>&lt;Статья затрат 2&gt;</v>
          </cell>
          <cell r="J13">
            <v>0</v>
          </cell>
          <cell r="K13">
            <v>0</v>
          </cell>
          <cell r="L13">
            <v>0</v>
          </cell>
          <cell r="M13">
            <v>0</v>
          </cell>
        </row>
        <row r="14">
          <cell r="A14" t="str">
            <v>договор № ___ от ____</v>
          </cell>
          <cell r="B14" t="str">
            <v>тыс.руб.</v>
          </cell>
          <cell r="C14" t="str">
            <v>2</v>
          </cell>
          <cell r="D14" t="str">
            <v>&lt;Статья затрат 2&gt;</v>
          </cell>
          <cell r="J14">
            <v>0</v>
          </cell>
          <cell r="K14">
            <v>0</v>
          </cell>
          <cell r="L14">
            <v>0</v>
          </cell>
          <cell r="M14">
            <v>0</v>
          </cell>
        </row>
        <row r="16">
          <cell r="A16" t="str">
            <v>&lt;Статья затрат&gt;</v>
          </cell>
          <cell r="B16" t="str">
            <v>тыс.руб.</v>
          </cell>
          <cell r="C16" t="str">
            <v>1</v>
          </cell>
          <cell r="D16" t="str">
            <v>&lt;Статья затрат&gt;</v>
          </cell>
          <cell r="E16">
            <v>0</v>
          </cell>
          <cell r="F16">
            <v>0</v>
          </cell>
          <cell r="G16">
            <v>0</v>
          </cell>
          <cell r="H16">
            <v>0</v>
          </cell>
          <cell r="I16">
            <v>0</v>
          </cell>
          <cell r="J16">
            <v>0</v>
          </cell>
          <cell r="K16">
            <v>0</v>
          </cell>
          <cell r="L16">
            <v>0</v>
          </cell>
          <cell r="M16">
            <v>0</v>
          </cell>
        </row>
        <row r="18">
          <cell r="A18" t="str">
            <v>договор № ___ от ____</v>
          </cell>
          <cell r="B18" t="str">
            <v>тыс.руб.</v>
          </cell>
          <cell r="C18" t="str">
            <v>2</v>
          </cell>
          <cell r="D18" t="str">
            <v>&lt;Статья затрат&gt;</v>
          </cell>
          <cell r="J18">
            <v>0</v>
          </cell>
          <cell r="K18">
            <v>0</v>
          </cell>
          <cell r="L18">
            <v>0</v>
          </cell>
          <cell r="M18">
            <v>0</v>
          </cell>
        </row>
        <row r="20">
          <cell r="A20" t="str">
            <v>Иные прочие расходы</v>
          </cell>
          <cell r="B20" t="str">
            <v>тыс.руб.</v>
          </cell>
          <cell r="C20" t="str">
            <v>1</v>
          </cell>
          <cell r="D20" t="str">
            <v>Иные прочие расходы</v>
          </cell>
          <cell r="E20">
            <v>0</v>
          </cell>
          <cell r="F20">
            <v>0</v>
          </cell>
          <cell r="G20">
            <v>0</v>
          </cell>
          <cell r="H20">
            <v>0</v>
          </cell>
          <cell r="I20">
            <v>0</v>
          </cell>
          <cell r="J20">
            <v>0</v>
          </cell>
          <cell r="K20">
            <v>0</v>
          </cell>
          <cell r="L20">
            <v>0</v>
          </cell>
          <cell r="M20">
            <v>0</v>
          </cell>
        </row>
        <row r="22">
          <cell r="A22" t="str">
            <v>договор № ___ от ____</v>
          </cell>
          <cell r="B22" t="str">
            <v>тыс.руб.</v>
          </cell>
          <cell r="C22" t="str">
            <v>2</v>
          </cell>
          <cell r="D22" t="str">
            <v>Иные прочие расходы</v>
          </cell>
          <cell r="J22">
            <v>0</v>
          </cell>
          <cell r="K22">
            <v>0</v>
          </cell>
          <cell r="L22">
            <v>0</v>
          </cell>
          <cell r="M22">
            <v>0</v>
          </cell>
        </row>
        <row r="23">
          <cell r="A23" t="str">
            <v>договор № ___ от ____</v>
          </cell>
          <cell r="B23" t="str">
            <v>тыс.руб.</v>
          </cell>
          <cell r="C23" t="str">
            <v>2</v>
          </cell>
          <cell r="D23" t="str">
            <v>Иные прочие расходы</v>
          </cell>
          <cell r="J23">
            <v>0</v>
          </cell>
          <cell r="K23">
            <v>0</v>
          </cell>
          <cell r="L23">
            <v>0</v>
          </cell>
          <cell r="M23">
            <v>0</v>
          </cell>
        </row>
        <row r="26">
          <cell r="E26">
            <v>0</v>
          </cell>
          <cell r="F26">
            <v>0</v>
          </cell>
          <cell r="G26">
            <v>0</v>
          </cell>
          <cell r="H26">
            <v>0</v>
          </cell>
          <cell r="J26">
            <v>0</v>
          </cell>
          <cell r="K26">
            <v>0</v>
          </cell>
          <cell r="L26">
            <v>0</v>
          </cell>
          <cell r="M26">
            <v>0</v>
          </cell>
        </row>
      </sheetData>
      <sheetData sheetId="28" refreshError="1">
        <row r="6">
          <cell r="D6">
            <v>0</v>
          </cell>
          <cell r="E6">
            <v>0</v>
          </cell>
          <cell r="F6">
            <v>0</v>
          </cell>
          <cell r="G6">
            <v>0</v>
          </cell>
          <cell r="H6">
            <v>0</v>
          </cell>
          <cell r="I6">
            <v>0</v>
          </cell>
          <cell r="J6">
            <v>0</v>
          </cell>
          <cell r="K6">
            <v>0</v>
          </cell>
          <cell r="L6">
            <v>0</v>
          </cell>
        </row>
        <row r="7">
          <cell r="I7">
            <v>0</v>
          </cell>
          <cell r="J7">
            <v>0</v>
          </cell>
          <cell r="K7">
            <v>0</v>
          </cell>
          <cell r="L7">
            <v>0</v>
          </cell>
        </row>
        <row r="9">
          <cell r="I9">
            <v>0</v>
          </cell>
          <cell r="J9">
            <v>0</v>
          </cell>
          <cell r="K9">
            <v>0</v>
          </cell>
          <cell r="L9">
            <v>0</v>
          </cell>
        </row>
        <row r="11">
          <cell r="I11">
            <v>0</v>
          </cell>
          <cell r="J11">
            <v>0</v>
          </cell>
          <cell r="K11">
            <v>0</v>
          </cell>
          <cell r="L11">
            <v>0</v>
          </cell>
        </row>
        <row r="12">
          <cell r="I12">
            <v>0</v>
          </cell>
          <cell r="J12">
            <v>0</v>
          </cell>
          <cell r="K12">
            <v>0</v>
          </cell>
          <cell r="L12">
            <v>0</v>
          </cell>
        </row>
        <row r="13">
          <cell r="I13">
            <v>0</v>
          </cell>
          <cell r="J13">
            <v>0</v>
          </cell>
          <cell r="K13">
            <v>0</v>
          </cell>
          <cell r="L13">
            <v>0</v>
          </cell>
        </row>
      </sheetData>
      <sheetData sheetId="29" refreshError="1">
        <row r="6">
          <cell r="D6">
            <v>0</v>
          </cell>
          <cell r="E6">
            <v>0</v>
          </cell>
          <cell r="F6">
            <v>0</v>
          </cell>
          <cell r="G6">
            <v>0</v>
          </cell>
          <cell r="H6">
            <v>0</v>
          </cell>
          <cell r="I6">
            <v>0</v>
          </cell>
          <cell r="J6">
            <v>0</v>
          </cell>
          <cell r="K6">
            <v>0</v>
          </cell>
          <cell r="L6">
            <v>0</v>
          </cell>
        </row>
        <row r="8">
          <cell r="B8" t="str">
            <v>договор № ___ от ____</v>
          </cell>
          <cell r="I8">
            <v>0</v>
          </cell>
          <cell r="J8">
            <v>0</v>
          </cell>
          <cell r="K8">
            <v>0</v>
          </cell>
          <cell r="L8">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1">
          <cell r="B11" t="str">
            <v>договор № ___ от ____</v>
          </cell>
          <cell r="I11">
            <v>0</v>
          </cell>
          <cell r="J11">
            <v>0</v>
          </cell>
          <cell r="K11">
            <v>0</v>
          </cell>
          <cell r="L11">
            <v>0</v>
          </cell>
        </row>
        <row r="12">
          <cell r="B12" t="str">
            <v>договор № ___ от ____</v>
          </cell>
          <cell r="I12">
            <v>0</v>
          </cell>
          <cell r="J12">
            <v>0</v>
          </cell>
          <cell r="K12">
            <v>0</v>
          </cell>
          <cell r="L12">
            <v>0</v>
          </cell>
        </row>
        <row r="13">
          <cell r="B13" t="str">
            <v>договор № ___ от ____</v>
          </cell>
          <cell r="I13">
            <v>0</v>
          </cell>
          <cell r="J13">
            <v>0</v>
          </cell>
          <cell r="K13">
            <v>0</v>
          </cell>
          <cell r="L13">
            <v>0</v>
          </cell>
        </row>
        <row r="14">
          <cell r="B14" t="str">
            <v>договор № ___ от ____</v>
          </cell>
          <cell r="I14">
            <v>0</v>
          </cell>
          <cell r="J14">
            <v>0</v>
          </cell>
          <cell r="K14">
            <v>0</v>
          </cell>
          <cell r="L14">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7">
          <cell r="B17" t="str">
            <v>договор № ___ от ____</v>
          </cell>
          <cell r="I17">
            <v>0</v>
          </cell>
          <cell r="J17">
            <v>0</v>
          </cell>
          <cell r="K17">
            <v>0</v>
          </cell>
          <cell r="L17">
            <v>0</v>
          </cell>
        </row>
        <row r="18">
          <cell r="B18" t="str">
            <v>договор № ___ от ____</v>
          </cell>
          <cell r="I18">
            <v>0</v>
          </cell>
          <cell r="J18">
            <v>0</v>
          </cell>
          <cell r="K18">
            <v>0</v>
          </cell>
          <cell r="L18">
            <v>0</v>
          </cell>
        </row>
        <row r="20">
          <cell r="I20">
            <v>0</v>
          </cell>
          <cell r="J20">
            <v>0</v>
          </cell>
          <cell r="K20">
            <v>0</v>
          </cell>
          <cell r="L20">
            <v>0</v>
          </cell>
        </row>
        <row r="21">
          <cell r="I21">
            <v>0</v>
          </cell>
          <cell r="J21">
            <v>0</v>
          </cell>
          <cell r="K21">
            <v>0</v>
          </cell>
          <cell r="L21">
            <v>0</v>
          </cell>
        </row>
        <row r="22">
          <cell r="I22">
            <v>0</v>
          </cell>
          <cell r="J22">
            <v>0</v>
          </cell>
          <cell r="K22">
            <v>0</v>
          </cell>
          <cell r="L22">
            <v>0</v>
          </cell>
        </row>
        <row r="23">
          <cell r="I23">
            <v>0</v>
          </cell>
          <cell r="J23">
            <v>0</v>
          </cell>
          <cell r="K23">
            <v>0</v>
          </cell>
          <cell r="L23">
            <v>0</v>
          </cell>
        </row>
        <row r="24">
          <cell r="I24">
            <v>0</v>
          </cell>
          <cell r="J24">
            <v>0</v>
          </cell>
          <cell r="K24">
            <v>0</v>
          </cell>
          <cell r="L24">
            <v>0</v>
          </cell>
        </row>
        <row r="25">
          <cell r="D25">
            <v>0</v>
          </cell>
          <cell r="E25">
            <v>0</v>
          </cell>
          <cell r="F25">
            <v>0</v>
          </cell>
          <cell r="G25">
            <v>0</v>
          </cell>
          <cell r="H25">
            <v>0</v>
          </cell>
          <cell r="I25">
            <v>0</v>
          </cell>
          <cell r="J25">
            <v>0</v>
          </cell>
          <cell r="K25">
            <v>0</v>
          </cell>
          <cell r="L25">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29">
          <cell r="B29" t="str">
            <v>договор № ___ от ____</v>
          </cell>
          <cell r="I29">
            <v>0</v>
          </cell>
          <cell r="J29">
            <v>0</v>
          </cell>
          <cell r="K29">
            <v>0</v>
          </cell>
          <cell r="L29">
            <v>0</v>
          </cell>
        </row>
        <row r="30">
          <cell r="B30" t="str">
            <v>договор № ___ от ____</v>
          </cell>
          <cell r="I30">
            <v>0</v>
          </cell>
          <cell r="J30">
            <v>0</v>
          </cell>
          <cell r="K30">
            <v>0</v>
          </cell>
          <cell r="L30">
            <v>0</v>
          </cell>
        </row>
        <row r="31">
          <cell r="B31" t="str">
            <v>договор № ___ от ____</v>
          </cell>
          <cell r="I31">
            <v>0</v>
          </cell>
          <cell r="J31">
            <v>0</v>
          </cell>
          <cell r="K31">
            <v>0</v>
          </cell>
          <cell r="L31">
            <v>0</v>
          </cell>
        </row>
        <row r="32">
          <cell r="B32" t="str">
            <v>договор № ___ от ____</v>
          </cell>
          <cell r="I32">
            <v>0</v>
          </cell>
          <cell r="J32">
            <v>0</v>
          </cell>
          <cell r="K32">
            <v>0</v>
          </cell>
          <cell r="L32">
            <v>0</v>
          </cell>
        </row>
        <row r="33">
          <cell r="B33" t="str">
            <v>договор № ___ от ____</v>
          </cell>
          <cell r="I33">
            <v>0</v>
          </cell>
          <cell r="J33">
            <v>0</v>
          </cell>
          <cell r="K33">
            <v>0</v>
          </cell>
          <cell r="L33">
            <v>0</v>
          </cell>
        </row>
        <row r="34">
          <cell r="B34" t="str">
            <v>договор № ___ от ____</v>
          </cell>
          <cell r="I34">
            <v>0</v>
          </cell>
          <cell r="J34">
            <v>0</v>
          </cell>
          <cell r="K34">
            <v>0</v>
          </cell>
          <cell r="L34">
            <v>0</v>
          </cell>
        </row>
        <row r="35">
          <cell r="B35" t="str">
            <v>договор № ___ от ____</v>
          </cell>
          <cell r="I35">
            <v>0</v>
          </cell>
          <cell r="J35">
            <v>0</v>
          </cell>
          <cell r="K35">
            <v>0</v>
          </cell>
          <cell r="L35">
            <v>0</v>
          </cell>
        </row>
        <row r="36">
          <cell r="B36" t="str">
            <v>договор № ___ от ____</v>
          </cell>
          <cell r="I36">
            <v>0</v>
          </cell>
          <cell r="J36">
            <v>0</v>
          </cell>
          <cell r="K36">
            <v>0</v>
          </cell>
          <cell r="L36">
            <v>0</v>
          </cell>
        </row>
        <row r="37">
          <cell r="B37" t="str">
            <v>договор № ___ от ____</v>
          </cell>
          <cell r="I37">
            <v>0</v>
          </cell>
          <cell r="J37">
            <v>0</v>
          </cell>
          <cell r="K37">
            <v>0</v>
          </cell>
          <cell r="L37">
            <v>0</v>
          </cell>
        </row>
        <row r="39">
          <cell r="D39">
            <v>0</v>
          </cell>
          <cell r="E39">
            <v>0</v>
          </cell>
          <cell r="F39">
            <v>0</v>
          </cell>
          <cell r="G39">
            <v>0</v>
          </cell>
          <cell r="H39">
            <v>0</v>
          </cell>
          <cell r="I39">
            <v>0</v>
          </cell>
          <cell r="J39">
            <v>0</v>
          </cell>
          <cell r="K39">
            <v>0</v>
          </cell>
          <cell r="L39">
            <v>0</v>
          </cell>
        </row>
      </sheetData>
      <sheetData sheetId="30" refreshError="1">
        <row r="5">
          <cell r="E5" t="str">
            <v>Сумма кредита</v>
          </cell>
          <cell r="J5" t="str">
            <v>величина процентов</v>
          </cell>
        </row>
        <row r="6">
          <cell r="J6">
            <v>0</v>
          </cell>
        </row>
        <row r="7">
          <cell r="J7">
            <v>0</v>
          </cell>
        </row>
        <row r="8">
          <cell r="J8">
            <v>0</v>
          </cell>
        </row>
        <row r="9">
          <cell r="J9">
            <v>0</v>
          </cell>
        </row>
        <row r="10">
          <cell r="J10">
            <v>0</v>
          </cell>
        </row>
        <row r="11">
          <cell r="J11">
            <v>0</v>
          </cell>
        </row>
        <row r="12">
          <cell r="J12">
            <v>0</v>
          </cell>
        </row>
        <row r="13">
          <cell r="J13">
            <v>0</v>
          </cell>
        </row>
        <row r="14">
          <cell r="J14">
            <v>0</v>
          </cell>
        </row>
        <row r="15">
          <cell r="J15">
            <v>0</v>
          </cell>
        </row>
        <row r="16">
          <cell r="J16">
            <v>0</v>
          </cell>
        </row>
        <row r="17">
          <cell r="J17">
            <v>0</v>
          </cell>
        </row>
        <row r="18">
          <cell r="J18">
            <v>0</v>
          </cell>
        </row>
        <row r="19">
          <cell r="J19">
            <v>0</v>
          </cell>
        </row>
        <row r="20">
          <cell r="J20">
            <v>0</v>
          </cell>
        </row>
        <row r="21">
          <cell r="H21">
            <v>0</v>
          </cell>
          <cell r="J21">
            <v>0</v>
          </cell>
        </row>
        <row r="23">
          <cell r="E23">
            <v>0</v>
          </cell>
          <cell r="H23">
            <v>0</v>
          </cell>
          <cell r="I23">
            <v>0</v>
          </cell>
          <cell r="J23">
            <v>0</v>
          </cell>
        </row>
        <row r="26">
          <cell r="J26" t="str">
            <v>тыс. руб.</v>
          </cell>
        </row>
        <row r="27">
          <cell r="E27" t="str">
            <v>Сумма кредита</v>
          </cell>
          <cell r="J27" t="str">
            <v>величина процентов</v>
          </cell>
        </row>
        <row r="28">
          <cell r="J28">
            <v>0</v>
          </cell>
        </row>
        <row r="29">
          <cell r="J29">
            <v>0</v>
          </cell>
        </row>
        <row r="30">
          <cell r="J30">
            <v>0</v>
          </cell>
        </row>
        <row r="31">
          <cell r="J31">
            <v>0</v>
          </cell>
        </row>
        <row r="32">
          <cell r="J32">
            <v>0</v>
          </cell>
        </row>
        <row r="33">
          <cell r="J33">
            <v>0</v>
          </cell>
        </row>
        <row r="34">
          <cell r="J34">
            <v>0</v>
          </cell>
        </row>
        <row r="35">
          <cell r="J35">
            <v>0</v>
          </cell>
        </row>
        <row r="36">
          <cell r="J36">
            <v>0</v>
          </cell>
        </row>
        <row r="37">
          <cell r="J37">
            <v>0</v>
          </cell>
        </row>
        <row r="38">
          <cell r="J38">
            <v>0</v>
          </cell>
        </row>
        <row r="39">
          <cell r="J39">
            <v>0</v>
          </cell>
        </row>
        <row r="40">
          <cell r="J40">
            <v>0</v>
          </cell>
        </row>
        <row r="41">
          <cell r="J41">
            <v>0</v>
          </cell>
        </row>
        <row r="42">
          <cell r="H42">
            <v>0</v>
          </cell>
          <cell r="J42">
            <v>0</v>
          </cell>
        </row>
        <row r="44">
          <cell r="E44">
            <v>0</v>
          </cell>
          <cell r="H44">
            <v>0</v>
          </cell>
          <cell r="I44">
            <v>0</v>
          </cell>
          <cell r="J44">
            <v>0</v>
          </cell>
        </row>
      </sheetData>
      <sheetData sheetId="31" refreshError="1">
        <row r="7">
          <cell r="A7" t="str">
            <v>1.</v>
          </cell>
          <cell r="B7" t="str">
            <v>&lt;Статья расходов 1&gt;</v>
          </cell>
          <cell r="C7" t="str">
            <v>1</v>
          </cell>
          <cell r="D7" t="str">
            <v>&lt;Статья расходов 1&gt;</v>
          </cell>
          <cell r="F7" t="str">
            <v>тыс.руб.</v>
          </cell>
          <cell r="G7">
            <v>0</v>
          </cell>
          <cell r="H7">
            <v>0</v>
          </cell>
          <cell r="I7">
            <v>0</v>
          </cell>
          <cell r="J7">
            <v>0</v>
          </cell>
          <cell r="K7">
            <v>0</v>
          </cell>
          <cell r="L7">
            <v>0</v>
          </cell>
          <cell r="M7">
            <v>0</v>
          </cell>
          <cell r="N7">
            <v>0</v>
          </cell>
          <cell r="O7">
            <v>0</v>
          </cell>
        </row>
        <row r="9">
          <cell r="B9" t="str">
            <v>договор № ___ от ____</v>
          </cell>
          <cell r="C9" t="str">
            <v>1.1</v>
          </cell>
          <cell r="D9" t="str">
            <v>&lt;Статья расходов 1&gt;</v>
          </cell>
          <cell r="E9" t="str">
            <v>договор № ___ от ____</v>
          </cell>
          <cell r="F9" t="str">
            <v xml:space="preserve">тыс. руб. </v>
          </cell>
          <cell r="L9">
            <v>0</v>
          </cell>
          <cell r="M9">
            <v>0</v>
          </cell>
          <cell r="N9">
            <v>0</v>
          </cell>
          <cell r="O9">
            <v>0</v>
          </cell>
        </row>
        <row r="10">
          <cell r="B10" t="str">
            <v>договор № ___ от ____</v>
          </cell>
          <cell r="C10" t="str">
            <v>1.1</v>
          </cell>
          <cell r="D10" t="str">
            <v>&lt;Статья расходов 1&gt;</v>
          </cell>
          <cell r="E10" t="str">
            <v>договор № ___ от ____</v>
          </cell>
          <cell r="F10" t="str">
            <v xml:space="preserve">тыс. руб. </v>
          </cell>
          <cell r="L10">
            <v>0</v>
          </cell>
          <cell r="M10">
            <v>0</v>
          </cell>
          <cell r="N10">
            <v>0</v>
          </cell>
          <cell r="O10">
            <v>0</v>
          </cell>
        </row>
        <row r="12">
          <cell r="A12" t="str">
            <v xml:space="preserve"> - </v>
          </cell>
          <cell r="B12" t="str">
            <v>&lt;Статья расходов 2&gt;</v>
          </cell>
          <cell r="C12" t="str">
            <v>1</v>
          </cell>
          <cell r="D12" t="str">
            <v>&lt;Статья расходов 2&gt;</v>
          </cell>
          <cell r="F12" t="str">
            <v xml:space="preserve">тыс. руб. </v>
          </cell>
          <cell r="G12">
            <v>0</v>
          </cell>
          <cell r="H12">
            <v>0</v>
          </cell>
          <cell r="I12">
            <v>0</v>
          </cell>
          <cell r="J12">
            <v>0</v>
          </cell>
          <cell r="K12">
            <v>0</v>
          </cell>
          <cell r="L12">
            <v>0</v>
          </cell>
          <cell r="M12">
            <v>0</v>
          </cell>
          <cell r="N12">
            <v>0</v>
          </cell>
          <cell r="O12">
            <v>0</v>
          </cell>
        </row>
        <row r="14">
          <cell r="B14" t="str">
            <v>договор № ___ от ____</v>
          </cell>
          <cell r="C14" t="str">
            <v>1.1</v>
          </cell>
          <cell r="D14" t="str">
            <v>&lt;Статья расходов 2&gt;</v>
          </cell>
          <cell r="E14" t="str">
            <v>договор № ___ от ____</v>
          </cell>
          <cell r="F14" t="str">
            <v xml:space="preserve">тыс. руб. </v>
          </cell>
          <cell r="L14">
            <v>0</v>
          </cell>
          <cell r="M14">
            <v>0</v>
          </cell>
          <cell r="N14">
            <v>0</v>
          </cell>
          <cell r="O14">
            <v>0</v>
          </cell>
        </row>
        <row r="15">
          <cell r="B15" t="str">
            <v>договор № ___ от ____</v>
          </cell>
          <cell r="C15" t="str">
            <v>1.1</v>
          </cell>
          <cell r="D15" t="str">
            <v>&lt;Статья расходов 2&gt;</v>
          </cell>
          <cell r="E15" t="str">
            <v>договор № ___ от ____</v>
          </cell>
          <cell r="F15" t="str">
            <v xml:space="preserve">тыс. руб. </v>
          </cell>
          <cell r="L15">
            <v>0</v>
          </cell>
          <cell r="M15">
            <v>0</v>
          </cell>
          <cell r="N15">
            <v>0</v>
          </cell>
          <cell r="O15">
            <v>0</v>
          </cell>
        </row>
        <row r="17">
          <cell r="A17" t="str">
            <v xml:space="preserve"> - </v>
          </cell>
          <cell r="B17" t="str">
            <v>&lt;Статья расходов 3&gt;</v>
          </cell>
          <cell r="C17" t="str">
            <v>1</v>
          </cell>
          <cell r="D17" t="str">
            <v>&lt;Статья расходов 3&gt;</v>
          </cell>
          <cell r="F17" t="str">
            <v xml:space="preserve">тыс. руб. </v>
          </cell>
          <cell r="G17">
            <v>0</v>
          </cell>
          <cell r="H17">
            <v>0</v>
          </cell>
          <cell r="I17">
            <v>0</v>
          </cell>
          <cell r="J17">
            <v>0</v>
          </cell>
          <cell r="K17">
            <v>0</v>
          </cell>
          <cell r="L17">
            <v>0</v>
          </cell>
          <cell r="M17">
            <v>0</v>
          </cell>
          <cell r="N17">
            <v>0</v>
          </cell>
          <cell r="O17">
            <v>0</v>
          </cell>
        </row>
        <row r="19">
          <cell r="B19" t="str">
            <v>договор № ___ от ____</v>
          </cell>
          <cell r="C19" t="str">
            <v>1.1</v>
          </cell>
          <cell r="D19" t="str">
            <v>&lt;Статья расходов 3&gt;</v>
          </cell>
          <cell r="E19" t="str">
            <v>договор № ___ от ____</v>
          </cell>
          <cell r="F19" t="str">
            <v xml:space="preserve">тыс. руб. </v>
          </cell>
          <cell r="L19">
            <v>0</v>
          </cell>
          <cell r="M19">
            <v>0</v>
          </cell>
          <cell r="N19">
            <v>0</v>
          </cell>
          <cell r="O19">
            <v>0</v>
          </cell>
        </row>
        <row r="20">
          <cell r="B20" t="str">
            <v>договор № ___ от ____</v>
          </cell>
          <cell r="C20" t="str">
            <v>1.1</v>
          </cell>
          <cell r="D20" t="str">
            <v>&lt;Статья расходов 3&gt;</v>
          </cell>
          <cell r="E20" t="str">
            <v>договор № ___ от ____</v>
          </cell>
          <cell r="F20" t="str">
            <v xml:space="preserve">тыс. руб. </v>
          </cell>
          <cell r="L20">
            <v>0</v>
          </cell>
          <cell r="M20">
            <v>0</v>
          </cell>
          <cell r="N20">
            <v>0</v>
          </cell>
          <cell r="O20">
            <v>0</v>
          </cell>
        </row>
        <row r="22">
          <cell r="A22" t="str">
            <v xml:space="preserve"> - </v>
          </cell>
          <cell r="B22" t="str">
            <v>&lt;Статья расходов&gt;</v>
          </cell>
          <cell r="C22" t="str">
            <v>1</v>
          </cell>
          <cell r="D22" t="str">
            <v>&lt;Статья расходов&gt;</v>
          </cell>
          <cell r="F22" t="str">
            <v xml:space="preserve">тыс. руб. </v>
          </cell>
          <cell r="G22">
            <v>0</v>
          </cell>
          <cell r="H22">
            <v>0</v>
          </cell>
          <cell r="I22">
            <v>0</v>
          </cell>
          <cell r="J22">
            <v>0</v>
          </cell>
          <cell r="K22">
            <v>0</v>
          </cell>
          <cell r="L22">
            <v>0</v>
          </cell>
          <cell r="M22">
            <v>0</v>
          </cell>
          <cell r="N22">
            <v>0</v>
          </cell>
          <cell r="O22">
            <v>0</v>
          </cell>
        </row>
        <row r="24">
          <cell r="B24" t="str">
            <v>договор № ___ от ____</v>
          </cell>
          <cell r="C24" t="str">
            <v>1.1</v>
          </cell>
          <cell r="D24" t="str">
            <v>&lt;Статья расходов&gt;</v>
          </cell>
          <cell r="E24" t="str">
            <v>договор № ___ от ____</v>
          </cell>
          <cell r="F24" t="str">
            <v xml:space="preserve">тыс. руб. </v>
          </cell>
          <cell r="L24">
            <v>0</v>
          </cell>
          <cell r="M24">
            <v>0</v>
          </cell>
          <cell r="N24">
            <v>0</v>
          </cell>
          <cell r="O24">
            <v>0</v>
          </cell>
        </row>
        <row r="26">
          <cell r="B26" t="str">
            <v>Выкуп земельных площадей</v>
          </cell>
          <cell r="C26" t="str">
            <v>1</v>
          </cell>
          <cell r="D26" t="str">
            <v>Выкуп земельных площадей</v>
          </cell>
          <cell r="F26" t="str">
            <v>тыс.руб.</v>
          </cell>
          <cell r="G26">
            <v>0</v>
          </cell>
          <cell r="H26">
            <v>0</v>
          </cell>
          <cell r="I26">
            <v>0</v>
          </cell>
          <cell r="J26">
            <v>0</v>
          </cell>
          <cell r="K26">
            <v>0</v>
          </cell>
          <cell r="L26">
            <v>0</v>
          </cell>
          <cell r="M26">
            <v>0</v>
          </cell>
          <cell r="N26">
            <v>0</v>
          </cell>
          <cell r="O26">
            <v>0</v>
          </cell>
        </row>
        <row r="27">
          <cell r="G27">
            <v>0</v>
          </cell>
          <cell r="H27">
            <v>0</v>
          </cell>
          <cell r="I27">
            <v>0</v>
          </cell>
          <cell r="J27">
            <v>0</v>
          </cell>
          <cell r="K27">
            <v>0</v>
          </cell>
          <cell r="L27">
            <v>0</v>
          </cell>
          <cell r="M27">
            <v>0</v>
          </cell>
        </row>
        <row r="29">
          <cell r="B29" t="str">
            <v>договор № ___ от ____</v>
          </cell>
          <cell r="C29" t="str">
            <v>1.1</v>
          </cell>
          <cell r="D29" t="str">
            <v>Выкуп земельных площадей</v>
          </cell>
          <cell r="E29" t="str">
            <v>договор № ___ от ____</v>
          </cell>
          <cell r="F29" t="str">
            <v>тыс.руб.</v>
          </cell>
          <cell r="L29">
            <v>0</v>
          </cell>
          <cell r="M29">
            <v>0</v>
          </cell>
          <cell r="N29">
            <v>0</v>
          </cell>
          <cell r="O29">
            <v>0</v>
          </cell>
        </row>
        <row r="30">
          <cell r="B30" t="str">
            <v xml:space="preserve"> - площадь</v>
          </cell>
          <cell r="C30" t="str">
            <v>1.2</v>
          </cell>
          <cell r="D30" t="str">
            <v>Выкуп земельных площадей</v>
          </cell>
          <cell r="E30" t="str">
            <v>договор № ___ от ____</v>
          </cell>
          <cell r="F30" t="str">
            <v>га</v>
          </cell>
          <cell r="L30">
            <v>0</v>
          </cell>
          <cell r="M30">
            <v>0</v>
          </cell>
          <cell r="N30">
            <v>0</v>
          </cell>
          <cell r="O30">
            <v>0</v>
          </cell>
        </row>
        <row r="31">
          <cell r="B31" t="str">
            <v>договор № ___ от ____</v>
          </cell>
          <cell r="C31" t="str">
            <v>1.1</v>
          </cell>
          <cell r="D31" t="str">
            <v>Выкуп земельных площадей</v>
          </cell>
          <cell r="E31" t="str">
            <v>договор № ___ от ____</v>
          </cell>
          <cell r="F31" t="str">
            <v>тыс.руб.</v>
          </cell>
          <cell r="L31">
            <v>0</v>
          </cell>
          <cell r="M31">
            <v>0</v>
          </cell>
          <cell r="N31">
            <v>0</v>
          </cell>
          <cell r="O31">
            <v>0</v>
          </cell>
        </row>
        <row r="32">
          <cell r="B32" t="str">
            <v xml:space="preserve"> - площадь</v>
          </cell>
          <cell r="C32" t="str">
            <v>1.2</v>
          </cell>
          <cell r="D32" t="str">
            <v>Выкуп земельных площадей</v>
          </cell>
          <cell r="E32" t="str">
            <v>договор № ___ от ____</v>
          </cell>
          <cell r="F32" t="str">
            <v>га</v>
          </cell>
          <cell r="L32">
            <v>0</v>
          </cell>
          <cell r="M32">
            <v>0</v>
          </cell>
          <cell r="N32">
            <v>0</v>
          </cell>
          <cell r="O32">
            <v>0</v>
          </cell>
        </row>
        <row r="33">
          <cell r="B33" t="str">
            <v>договор № ___ от ____</v>
          </cell>
          <cell r="C33" t="str">
            <v>1.1</v>
          </cell>
          <cell r="D33" t="str">
            <v>Выкуп земельных площадей</v>
          </cell>
          <cell r="E33" t="str">
            <v>договор № ___ от ____</v>
          </cell>
          <cell r="F33" t="str">
            <v>тыс.руб.</v>
          </cell>
          <cell r="L33">
            <v>0</v>
          </cell>
          <cell r="M33">
            <v>0</v>
          </cell>
          <cell r="N33">
            <v>0</v>
          </cell>
          <cell r="O33">
            <v>0</v>
          </cell>
        </row>
        <row r="34">
          <cell r="B34" t="str">
            <v xml:space="preserve"> - площадь</v>
          </cell>
          <cell r="C34" t="str">
            <v>1.2</v>
          </cell>
          <cell r="D34" t="str">
            <v>Выкуп земельных площадей</v>
          </cell>
          <cell r="E34" t="str">
            <v>договор № ___ от ____</v>
          </cell>
          <cell r="F34" t="str">
            <v>га</v>
          </cell>
          <cell r="L34">
            <v>0</v>
          </cell>
          <cell r="M34">
            <v>0</v>
          </cell>
          <cell r="N34">
            <v>0</v>
          </cell>
          <cell r="O34">
            <v>0</v>
          </cell>
        </row>
        <row r="36">
          <cell r="B36" t="str">
            <v>Прочие</v>
          </cell>
          <cell r="C36" t="str">
            <v>1</v>
          </cell>
          <cell r="D36" t="str">
            <v>Прочие расходы на капитальные вложения</v>
          </cell>
          <cell r="F36" t="str">
            <v xml:space="preserve">тыс. руб. </v>
          </cell>
          <cell r="G36">
            <v>0</v>
          </cell>
          <cell r="H36">
            <v>0</v>
          </cell>
          <cell r="I36">
            <v>0</v>
          </cell>
          <cell r="J36">
            <v>0</v>
          </cell>
          <cell r="K36">
            <v>0</v>
          </cell>
          <cell r="L36">
            <v>0</v>
          </cell>
          <cell r="M36">
            <v>0</v>
          </cell>
          <cell r="N36">
            <v>0</v>
          </cell>
          <cell r="O36">
            <v>0</v>
          </cell>
        </row>
        <row r="38">
          <cell r="B38" t="str">
            <v>договор № ___ от ____</v>
          </cell>
          <cell r="C38" t="str">
            <v>1.1</v>
          </cell>
          <cell r="D38" t="str">
            <v>Прочие расходы на капитальные вложения</v>
          </cell>
          <cell r="E38" t="str">
            <v>договор № ___ от ____</v>
          </cell>
          <cell r="F38" t="str">
            <v xml:space="preserve">тыс. руб. </v>
          </cell>
          <cell r="L38">
            <v>0</v>
          </cell>
          <cell r="M38">
            <v>0</v>
          </cell>
          <cell r="N38">
            <v>0</v>
          </cell>
          <cell r="O38">
            <v>0</v>
          </cell>
        </row>
        <row r="39">
          <cell r="B39" t="str">
            <v>договор № ___ от ____</v>
          </cell>
          <cell r="C39" t="str">
            <v>1.1</v>
          </cell>
          <cell r="D39" t="str">
            <v>Прочие расходы на капитальные вложения</v>
          </cell>
          <cell r="E39" t="str">
            <v>договор № ___ от ____</v>
          </cell>
          <cell r="F39" t="str">
            <v xml:space="preserve">тыс. руб. </v>
          </cell>
          <cell r="L39">
            <v>0</v>
          </cell>
          <cell r="M39">
            <v>0</v>
          </cell>
          <cell r="N39">
            <v>0</v>
          </cell>
          <cell r="O39">
            <v>0</v>
          </cell>
        </row>
        <row r="40">
          <cell r="B40" t="str">
            <v>договор № ___ от ____</v>
          </cell>
          <cell r="C40" t="str">
            <v>1.1</v>
          </cell>
          <cell r="D40" t="str">
            <v>Прочие расходы на капитальные вложения</v>
          </cell>
          <cell r="E40" t="str">
            <v>договор № ___ от ____</v>
          </cell>
          <cell r="F40" t="str">
            <v xml:space="preserve">тыс. руб. </v>
          </cell>
          <cell r="L40">
            <v>0</v>
          </cell>
          <cell r="M40">
            <v>0</v>
          </cell>
          <cell r="N40">
            <v>0</v>
          </cell>
          <cell r="O40">
            <v>0</v>
          </cell>
        </row>
        <row r="42">
          <cell r="G42">
            <v>0</v>
          </cell>
          <cell r="H42">
            <v>0</v>
          </cell>
          <cell r="I42">
            <v>0</v>
          </cell>
          <cell r="J42">
            <v>0</v>
          </cell>
          <cell r="K42">
            <v>0</v>
          </cell>
          <cell r="L42">
            <v>0</v>
          </cell>
          <cell r="M42">
            <v>0</v>
          </cell>
        </row>
        <row r="44">
          <cell r="G44">
            <v>0</v>
          </cell>
          <cell r="H44">
            <v>0</v>
          </cell>
          <cell r="I44">
            <v>0</v>
          </cell>
          <cell r="J44">
            <v>0</v>
          </cell>
          <cell r="K44">
            <v>0</v>
          </cell>
          <cell r="L44">
            <v>0</v>
          </cell>
          <cell r="M44">
            <v>0</v>
          </cell>
        </row>
        <row r="45">
          <cell r="L45">
            <v>0</v>
          </cell>
          <cell r="M45">
            <v>0</v>
          </cell>
        </row>
        <row r="46">
          <cell r="L46">
            <v>0</v>
          </cell>
          <cell r="M46">
            <v>0</v>
          </cell>
        </row>
        <row r="47">
          <cell r="G47">
            <v>0</v>
          </cell>
          <cell r="H47">
            <v>0</v>
          </cell>
          <cell r="I47">
            <v>0</v>
          </cell>
          <cell r="J47">
            <v>0</v>
          </cell>
          <cell r="K47">
            <v>0</v>
          </cell>
          <cell r="L47">
            <v>0</v>
          </cell>
          <cell r="M47">
            <v>0</v>
          </cell>
        </row>
        <row r="48">
          <cell r="L48">
            <v>0</v>
          </cell>
          <cell r="M48">
            <v>0</v>
          </cell>
        </row>
        <row r="49">
          <cell r="L49">
            <v>0</v>
          </cell>
          <cell r="M49">
            <v>0</v>
          </cell>
        </row>
        <row r="50">
          <cell r="L50">
            <v>0</v>
          </cell>
          <cell r="M50">
            <v>0</v>
          </cell>
        </row>
        <row r="51">
          <cell r="L51">
            <v>0</v>
          </cell>
          <cell r="M51">
            <v>0</v>
          </cell>
        </row>
      </sheetData>
      <sheetData sheetId="32" refreshError="1">
        <row r="6">
          <cell r="D6">
            <v>0</v>
          </cell>
          <cell r="E6">
            <v>0</v>
          </cell>
          <cell r="F6">
            <v>0</v>
          </cell>
          <cell r="G6">
            <v>0</v>
          </cell>
          <cell r="H6">
            <v>0</v>
          </cell>
          <cell r="I6">
            <v>0</v>
          </cell>
          <cell r="J6">
            <v>0</v>
          </cell>
          <cell r="K6">
            <v>0</v>
          </cell>
          <cell r="L6">
            <v>0</v>
          </cell>
        </row>
        <row r="7">
          <cell r="I7">
            <v>0</v>
          </cell>
          <cell r="J7">
            <v>0</v>
          </cell>
          <cell r="K7">
            <v>0</v>
          </cell>
          <cell r="L7">
            <v>0</v>
          </cell>
        </row>
        <row r="8">
          <cell r="I8">
            <v>0</v>
          </cell>
          <cell r="J8">
            <v>0</v>
          </cell>
          <cell r="K8">
            <v>0</v>
          </cell>
          <cell r="L8">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5">
          <cell r="I15">
            <v>0</v>
          </cell>
          <cell r="J15">
            <v>0</v>
          </cell>
          <cell r="K15">
            <v>0</v>
          </cell>
          <cell r="L15">
            <v>0</v>
          </cell>
        </row>
        <row r="16">
          <cell r="I16">
            <v>0</v>
          </cell>
          <cell r="J16">
            <v>0</v>
          </cell>
          <cell r="K16">
            <v>0</v>
          </cell>
          <cell r="L16">
            <v>0</v>
          </cell>
        </row>
        <row r="17">
          <cell r="I17">
            <v>0</v>
          </cell>
          <cell r="J17">
            <v>0</v>
          </cell>
          <cell r="K17">
            <v>0</v>
          </cell>
          <cell r="L17">
            <v>0</v>
          </cell>
        </row>
        <row r="18">
          <cell r="I18">
            <v>0</v>
          </cell>
          <cell r="J18">
            <v>0</v>
          </cell>
          <cell r="K18">
            <v>0</v>
          </cell>
          <cell r="L18">
            <v>0</v>
          </cell>
        </row>
        <row r="19">
          <cell r="I19">
            <v>0</v>
          </cell>
          <cell r="J19">
            <v>0</v>
          </cell>
          <cell r="K19">
            <v>0</v>
          </cell>
          <cell r="L19">
            <v>0</v>
          </cell>
        </row>
        <row r="20">
          <cell r="D20">
            <v>0</v>
          </cell>
          <cell r="E20">
            <v>0</v>
          </cell>
          <cell r="F20">
            <v>0</v>
          </cell>
          <cell r="G20">
            <v>0</v>
          </cell>
          <cell r="H20">
            <v>0</v>
          </cell>
          <cell r="I20">
            <v>0</v>
          </cell>
          <cell r="J20">
            <v>0</v>
          </cell>
          <cell r="K20">
            <v>0</v>
          </cell>
          <cell r="L20">
            <v>0</v>
          </cell>
        </row>
      </sheetData>
      <sheetData sheetId="33" refreshError="1">
        <row r="6">
          <cell r="I6">
            <v>0</v>
          </cell>
          <cell r="J6">
            <v>0</v>
          </cell>
          <cell r="K6">
            <v>0</v>
          </cell>
          <cell r="L6">
            <v>0</v>
          </cell>
        </row>
        <row r="7">
          <cell r="I7">
            <v>0</v>
          </cell>
          <cell r="J7">
            <v>0</v>
          </cell>
          <cell r="K7">
            <v>0</v>
          </cell>
          <cell r="L7">
            <v>0</v>
          </cell>
        </row>
        <row r="8">
          <cell r="D8">
            <v>0</v>
          </cell>
          <cell r="E8">
            <v>0</v>
          </cell>
          <cell r="F8">
            <v>0</v>
          </cell>
          <cell r="G8">
            <v>0</v>
          </cell>
          <cell r="H8">
            <v>0</v>
          </cell>
          <cell r="I8">
            <v>0</v>
          </cell>
          <cell r="J8">
            <v>0</v>
          </cell>
          <cell r="K8">
            <v>0</v>
          </cell>
          <cell r="L8">
            <v>0</v>
          </cell>
        </row>
        <row r="9">
          <cell r="I9">
            <v>0</v>
          </cell>
          <cell r="J9">
            <v>0</v>
          </cell>
          <cell r="K9">
            <v>0</v>
          </cell>
          <cell r="L9">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sheetData>
      <sheetData sheetId="34" refreshError="1">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5">
          <cell r="I15">
            <v>0</v>
          </cell>
          <cell r="J15">
            <v>0</v>
          </cell>
          <cell r="K15">
            <v>0</v>
          </cell>
          <cell r="L15">
            <v>0</v>
          </cell>
        </row>
        <row r="17">
          <cell r="D17">
            <v>0</v>
          </cell>
          <cell r="E17">
            <v>0</v>
          </cell>
          <cell r="F17">
            <v>0</v>
          </cell>
          <cell r="G17">
            <v>0</v>
          </cell>
          <cell r="H17">
            <v>0</v>
          </cell>
          <cell r="I17">
            <v>0</v>
          </cell>
          <cell r="J17">
            <v>0</v>
          </cell>
          <cell r="K17">
            <v>0</v>
          </cell>
          <cell r="L17">
            <v>0</v>
          </cell>
        </row>
      </sheetData>
      <sheetData sheetId="35" refreshError="1">
        <row r="11">
          <cell r="D11">
            <v>0</v>
          </cell>
          <cell r="E11">
            <v>0</v>
          </cell>
          <cell r="F11">
            <v>0</v>
          </cell>
          <cell r="G11">
            <v>0</v>
          </cell>
          <cell r="H11">
            <v>0</v>
          </cell>
        </row>
      </sheetData>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3"/>
      <sheetName val="4"/>
      <sheetName val="5"/>
      <sheetName val="15_РСК"/>
      <sheetName val="15_проч"/>
      <sheetName val="16_2006"/>
      <sheetName val="16_2007"/>
      <sheetName val="16_ 2008"/>
      <sheetName val="16_МП"/>
      <sheetName val="20"/>
      <sheetName val="21_Прибыль"/>
      <sheetName val="P2.1"/>
      <sheetName val="P2.2"/>
      <sheetName val="НВВ_по_ур"/>
      <sheetName val="24"/>
      <sheetName val="25"/>
      <sheetName val="НВВ РСК_2008"/>
      <sheetName val="ФСК_потери"/>
      <sheetName val="Проверка"/>
    </sheetNames>
    <sheetDataSet>
      <sheetData sheetId="0"/>
      <sheetData sheetId="1"/>
      <sheetData sheetId="2">
        <row r="11">
          <cell r="L11">
            <v>7148.9750000000004</v>
          </cell>
          <cell r="Q11">
            <v>9623.5</v>
          </cell>
          <cell r="V11">
            <v>9623.5</v>
          </cell>
          <cell r="AA11">
            <v>7513.94</v>
          </cell>
        </row>
        <row r="12">
          <cell r="H12">
            <v>7621.9</v>
          </cell>
          <cell r="M12">
            <v>4779.7299999999996</v>
          </cell>
          <cell r="N12">
            <v>1839.43</v>
          </cell>
          <cell r="R12">
            <v>5922.4</v>
          </cell>
          <cell r="S12">
            <v>1554.1</v>
          </cell>
          <cell r="W12">
            <v>5891.25</v>
          </cell>
          <cell r="X12">
            <v>1554.1</v>
          </cell>
          <cell r="AB12">
            <v>4564.6499999999996</v>
          </cell>
          <cell r="AC12">
            <v>1894.9</v>
          </cell>
        </row>
        <row r="13">
          <cell r="I13">
            <v>5824.2</v>
          </cell>
          <cell r="N13">
            <v>3582.56</v>
          </cell>
          <cell r="S13">
            <v>4165.2</v>
          </cell>
          <cell r="X13">
            <v>4134.01</v>
          </cell>
          <cell r="AC13">
            <v>3720.56</v>
          </cell>
        </row>
        <row r="14">
          <cell r="J14">
            <v>3627.1</v>
          </cell>
          <cell r="O14">
            <v>3615.48</v>
          </cell>
          <cell r="T14">
            <v>3415.9</v>
          </cell>
          <cell r="Y14">
            <v>3383.36</v>
          </cell>
          <cell r="AD14">
            <v>3669.68</v>
          </cell>
        </row>
        <row r="15">
          <cell r="L15">
            <v>2391.8380000000002</v>
          </cell>
          <cell r="M15">
            <v>117.02</v>
          </cell>
          <cell r="N15">
            <v>96.91</v>
          </cell>
          <cell r="Q15">
            <v>2257.3000000000002</v>
          </cell>
          <cell r="R15">
            <v>48.4</v>
          </cell>
          <cell r="V15">
            <v>2257.3000000000002</v>
          </cell>
          <cell r="W15">
            <v>48.4</v>
          </cell>
          <cell r="AA15">
            <v>2507.54</v>
          </cell>
          <cell r="AB15">
            <v>122.05</v>
          </cell>
          <cell r="AC15">
            <v>102.23</v>
          </cell>
        </row>
        <row r="16">
          <cell r="G16">
            <v>14995.2</v>
          </cell>
          <cell r="H16">
            <v>34.6</v>
          </cell>
          <cell r="L16">
            <v>5023.6679999999997</v>
          </cell>
          <cell r="M16">
            <v>727.23</v>
          </cell>
          <cell r="N16">
            <v>462.98</v>
          </cell>
          <cell r="Q16">
            <v>3759.8</v>
          </cell>
          <cell r="V16">
            <v>3759.8</v>
          </cell>
          <cell r="AA16">
            <v>5266.67</v>
          </cell>
          <cell r="AB16">
            <v>762.40899999999999</v>
          </cell>
          <cell r="AC16">
            <v>485.35899999999998</v>
          </cell>
        </row>
        <row r="17">
          <cell r="H17">
            <v>127</v>
          </cell>
          <cell r="L17">
            <v>11.3</v>
          </cell>
          <cell r="M17">
            <v>98.76</v>
          </cell>
          <cell r="N17">
            <v>0</v>
          </cell>
          <cell r="Q17">
            <v>10.6</v>
          </cell>
          <cell r="R17">
            <v>140.9</v>
          </cell>
          <cell r="V17">
            <v>10.6</v>
          </cell>
          <cell r="W17">
            <v>140.9</v>
          </cell>
          <cell r="AA17">
            <v>15</v>
          </cell>
          <cell r="AB17">
            <v>430.33</v>
          </cell>
        </row>
        <row r="20">
          <cell r="J20">
            <v>34.1</v>
          </cell>
          <cell r="L20">
            <v>29.072410999999999</v>
          </cell>
          <cell r="N20">
            <v>1.2593939999999999</v>
          </cell>
          <cell r="O20">
            <v>0.168353</v>
          </cell>
          <cell r="T20">
            <v>32.700000000000003</v>
          </cell>
          <cell r="V20">
            <v>31.12</v>
          </cell>
          <cell r="X20">
            <v>1.3480000000000001</v>
          </cell>
          <cell r="Y20">
            <v>0.18</v>
          </cell>
          <cell r="AA20">
            <v>32.695</v>
          </cell>
          <cell r="AC20">
            <v>1.4159999999999999</v>
          </cell>
          <cell r="AD20">
            <v>0.189</v>
          </cell>
        </row>
        <row r="22">
          <cell r="G22">
            <v>6263.64</v>
          </cell>
          <cell r="H22">
            <v>1695.6510000000001</v>
          </cell>
          <cell r="I22">
            <v>1697.7349999999999</v>
          </cell>
          <cell r="J22">
            <v>3054.4879999999998</v>
          </cell>
          <cell r="L22">
            <v>7356.53</v>
          </cell>
          <cell r="M22">
            <v>1870.788</v>
          </cell>
          <cell r="N22">
            <v>1831.9469999999999</v>
          </cell>
          <cell r="O22">
            <v>2895.28</v>
          </cell>
          <cell r="Q22">
            <v>5897.2</v>
          </cell>
          <cell r="R22">
            <v>1692.1</v>
          </cell>
          <cell r="S22">
            <v>1848.7</v>
          </cell>
          <cell r="T22">
            <v>2681.4</v>
          </cell>
          <cell r="V22">
            <v>5881.7</v>
          </cell>
          <cell r="W22">
            <v>1624.3</v>
          </cell>
          <cell r="X22">
            <v>1766.1</v>
          </cell>
          <cell r="Y22">
            <v>2662.5</v>
          </cell>
          <cell r="AA22">
            <v>8215.2000000000007</v>
          </cell>
          <cell r="AB22">
            <v>1906.89</v>
          </cell>
          <cell r="AC22">
            <v>2010.25</v>
          </cell>
          <cell r="AD22">
            <v>2889.92</v>
          </cell>
        </row>
        <row r="24">
          <cell r="G24">
            <v>142.6</v>
          </cell>
          <cell r="L24">
            <v>153.32</v>
          </cell>
          <cell r="Q24">
            <v>10.5</v>
          </cell>
          <cell r="V24">
            <v>10.5</v>
          </cell>
        </row>
        <row r="25">
          <cell r="G25">
            <v>303.3</v>
          </cell>
          <cell r="L25">
            <v>207.31</v>
          </cell>
        </row>
        <row r="26">
          <cell r="Q26">
            <v>1699.2</v>
          </cell>
          <cell r="R26">
            <v>77.2</v>
          </cell>
          <cell r="S26">
            <v>16.5</v>
          </cell>
          <cell r="V26">
            <v>1699.2</v>
          </cell>
          <cell r="W26">
            <v>77.2</v>
          </cell>
          <cell r="X26">
            <v>16.5</v>
          </cell>
        </row>
        <row r="27">
          <cell r="G27">
            <v>544.4</v>
          </cell>
          <cell r="H27">
            <v>52.4</v>
          </cell>
          <cell r="I27">
            <v>6.8</v>
          </cell>
          <cell r="Q27">
            <v>10.6</v>
          </cell>
          <cell r="V27">
            <v>10.6</v>
          </cell>
        </row>
      </sheetData>
      <sheetData sheetId="3"/>
      <sheetData sheetId="4"/>
      <sheetData sheetId="5"/>
      <sheetData sheetId="6"/>
      <sheetData sheetId="7"/>
      <sheetData sheetId="8"/>
      <sheetData sheetId="9"/>
      <sheetData sheetId="10">
        <row r="9">
          <cell r="E9">
            <v>818496</v>
          </cell>
          <cell r="F9">
            <v>860237</v>
          </cell>
          <cell r="G9">
            <v>998299.99</v>
          </cell>
          <cell r="H9">
            <v>998299.99</v>
          </cell>
          <cell r="I9">
            <v>2160913.7999999998</v>
          </cell>
        </row>
        <row r="13">
          <cell r="E13">
            <v>480924.4</v>
          </cell>
          <cell r="F13">
            <v>456825</v>
          </cell>
          <cell r="G13">
            <v>482588.49</v>
          </cell>
          <cell r="H13">
            <v>482588.49</v>
          </cell>
          <cell r="I13">
            <v>1006100</v>
          </cell>
        </row>
        <row r="20">
          <cell r="F20">
            <v>119906</v>
          </cell>
          <cell r="I20">
            <v>1000000</v>
          </cell>
        </row>
      </sheetData>
      <sheetData sheetId="11"/>
      <sheetData sheetId="12">
        <row r="7">
          <cell r="F7">
            <v>800</v>
          </cell>
        </row>
        <row r="8">
          <cell r="F8">
            <v>600</v>
          </cell>
        </row>
        <row r="9">
          <cell r="F9">
            <v>400</v>
          </cell>
        </row>
        <row r="10">
          <cell r="F10">
            <v>300</v>
          </cell>
        </row>
        <row r="11">
          <cell r="F11">
            <v>230</v>
          </cell>
        </row>
        <row r="12">
          <cell r="F12">
            <v>170</v>
          </cell>
        </row>
        <row r="13">
          <cell r="F13">
            <v>290</v>
          </cell>
        </row>
        <row r="14">
          <cell r="F14">
            <v>210</v>
          </cell>
        </row>
        <row r="15">
          <cell r="F15">
            <v>260</v>
          </cell>
        </row>
        <row r="16">
          <cell r="F16">
            <v>210</v>
          </cell>
          <cell r="G16">
            <v>2.9</v>
          </cell>
        </row>
        <row r="17">
          <cell r="F17">
            <v>140</v>
          </cell>
          <cell r="G17">
            <v>68</v>
          </cell>
        </row>
        <row r="18">
          <cell r="F18">
            <v>270</v>
          </cell>
          <cell r="G18">
            <v>5.2</v>
          </cell>
        </row>
        <row r="19">
          <cell r="F19">
            <v>180</v>
          </cell>
          <cell r="G19">
            <v>0</v>
          </cell>
        </row>
        <row r="20">
          <cell r="F20">
            <v>180</v>
          </cell>
          <cell r="G20">
            <v>0</v>
          </cell>
        </row>
        <row r="21">
          <cell r="F21">
            <v>160</v>
          </cell>
          <cell r="G21">
            <v>700.76200000000006</v>
          </cell>
        </row>
        <row r="22">
          <cell r="F22">
            <v>130</v>
          </cell>
          <cell r="G22">
            <v>2679.4429999999998</v>
          </cell>
        </row>
        <row r="23">
          <cell r="F23">
            <v>190</v>
          </cell>
          <cell r="G23">
            <v>567.24249999999995</v>
          </cell>
        </row>
        <row r="24">
          <cell r="F24">
            <v>160</v>
          </cell>
          <cell r="G24">
            <v>744.45</v>
          </cell>
        </row>
        <row r="25">
          <cell r="F25">
            <v>3000</v>
          </cell>
        </row>
        <row r="26">
          <cell r="F26">
            <v>2300</v>
          </cell>
        </row>
        <row r="28">
          <cell r="F28">
            <v>170</v>
          </cell>
        </row>
        <row r="29">
          <cell r="F29">
            <v>140</v>
          </cell>
          <cell r="G29">
            <v>111.82399999999998</v>
          </cell>
        </row>
        <row r="30">
          <cell r="F30">
            <v>120</v>
          </cell>
          <cell r="G30">
            <v>5976.84</v>
          </cell>
        </row>
        <row r="31">
          <cell r="F31">
            <v>180</v>
          </cell>
          <cell r="G31">
            <v>58.953000000000003</v>
          </cell>
        </row>
        <row r="32">
          <cell r="F32">
            <v>150</v>
          </cell>
          <cell r="G32">
            <v>771.71950000000004</v>
          </cell>
        </row>
        <row r="33">
          <cell r="F33">
            <v>160</v>
          </cell>
          <cell r="G33">
            <v>38.130000000000003</v>
          </cell>
        </row>
        <row r="34">
          <cell r="F34">
            <v>140</v>
          </cell>
          <cell r="G34">
            <v>339.02</v>
          </cell>
        </row>
        <row r="35">
          <cell r="F35">
            <v>110</v>
          </cell>
          <cell r="G35">
            <v>32316.45</v>
          </cell>
        </row>
        <row r="36">
          <cell r="F36">
            <v>470</v>
          </cell>
          <cell r="G36">
            <v>0</v>
          </cell>
        </row>
        <row r="37">
          <cell r="F37">
            <v>350</v>
          </cell>
          <cell r="G37">
            <v>1086.231</v>
          </cell>
        </row>
        <row r="40">
          <cell r="F40">
            <v>260</v>
          </cell>
          <cell r="G40">
            <v>719.78200000000004</v>
          </cell>
        </row>
        <row r="41">
          <cell r="F41">
            <v>220</v>
          </cell>
          <cell r="G41">
            <v>2783.2740000000003</v>
          </cell>
        </row>
        <row r="42">
          <cell r="F42">
            <v>150</v>
          </cell>
          <cell r="G42">
            <v>37611.33</v>
          </cell>
        </row>
        <row r="43">
          <cell r="F43">
            <v>270</v>
          </cell>
          <cell r="G43">
            <v>460.7</v>
          </cell>
        </row>
      </sheetData>
      <sheetData sheetId="13"/>
      <sheetData sheetId="14"/>
      <sheetData sheetId="15"/>
      <sheetData sheetId="16"/>
      <sheetData sheetId="17"/>
      <sheetData sheetId="18"/>
      <sheetData sheetId="19"/>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сновной"/>
      <sheetName val="2 Движение денег"/>
      <sheetName val="3 Отчеты о затратах"/>
      <sheetName val="4 Сводка"/>
      <sheetName val="5 Распределение по статьям затр"/>
      <sheetName val="6 Списки"/>
      <sheetName val="Прогноз"/>
      <sheetName val="7 анализ затрат"/>
      <sheetName val="Списки"/>
      <sheetName val="перекрестка"/>
      <sheetName val="16"/>
      <sheetName val="18.2"/>
      <sheetName val="4"/>
      <sheetName val="6"/>
      <sheetName val="15"/>
      <sheetName val="17.1"/>
      <sheetName val="2.3"/>
      <sheetName val="20"/>
      <sheetName val="27"/>
      <sheetName val="P2.1"/>
      <sheetName val="0"/>
      <sheetName val="1"/>
      <sheetName val="10"/>
      <sheetName val="11"/>
      <sheetName val="12"/>
      <sheetName val="13"/>
      <sheetName val="14"/>
      <sheetName val="17"/>
      <sheetName val="18"/>
      <sheetName val="19"/>
      <sheetName val="2"/>
      <sheetName val="21"/>
      <sheetName val="22"/>
      <sheetName val="23"/>
      <sheetName val="24.1"/>
      <sheetName val="24"/>
      <sheetName val="25"/>
      <sheetName val="26"/>
      <sheetName val="28"/>
      <sheetName val="29"/>
      <sheetName val="3"/>
      <sheetName val="4.1"/>
      <sheetName val="5"/>
      <sheetName val="8"/>
      <sheetName val="9"/>
      <sheetName val="21.3"/>
      <sheetName val="P2.2"/>
      <sheetName val="Справочники"/>
      <sheetName val="2006"/>
      <sheetName val="P2.1 усл. единицы"/>
      <sheetName val="Расчет НВВ РСК по RAB"/>
      <sheetName val="База"/>
      <sheetName val="Лист2"/>
      <sheetName val="Контроль"/>
      <sheetName val="к2"/>
    </sheetNames>
    <sheetDataSet>
      <sheetData sheetId="0" refreshError="1"/>
      <sheetData sheetId="1" refreshError="1"/>
      <sheetData sheetId="2" refreshError="1"/>
      <sheetData sheetId="3" refreshError="1"/>
      <sheetData sheetId="4" refreshError="1"/>
      <sheetData sheetId="5" refreshError="1">
        <row r="2">
          <cell r="A2" t="str">
            <v>Асташкин</v>
          </cell>
        </row>
        <row r="3">
          <cell r="A3" t="str">
            <v>Бажнин</v>
          </cell>
        </row>
        <row r="4">
          <cell r="A4" t="str">
            <v>Венедиктова</v>
          </cell>
        </row>
        <row r="5">
          <cell r="A5" t="str">
            <v>Власенко</v>
          </cell>
        </row>
        <row r="6">
          <cell r="A6" t="str">
            <v>Горная</v>
          </cell>
        </row>
        <row r="7">
          <cell r="A7" t="str">
            <v>Грошева</v>
          </cell>
        </row>
        <row r="8">
          <cell r="A8" t="str">
            <v>Жидков</v>
          </cell>
        </row>
        <row r="9">
          <cell r="A9" t="str">
            <v>Костенко</v>
          </cell>
        </row>
        <row r="10">
          <cell r="A10" t="str">
            <v>Кузнецов</v>
          </cell>
        </row>
        <row r="11">
          <cell r="A11" t="str">
            <v>Мигачев</v>
          </cell>
        </row>
        <row r="12">
          <cell r="A12" t="str">
            <v>Нам</v>
          </cell>
        </row>
        <row r="13">
          <cell r="A13" t="str">
            <v>Новиков</v>
          </cell>
        </row>
        <row r="14">
          <cell r="A14" t="str">
            <v>Подволоцкий</v>
          </cell>
        </row>
        <row r="15">
          <cell r="A15" t="str">
            <v>Рождественский</v>
          </cell>
        </row>
        <row r="16">
          <cell r="A16" t="str">
            <v>Третьякова</v>
          </cell>
        </row>
        <row r="17">
          <cell r="A17" t="str">
            <v>Трофимов</v>
          </cell>
        </row>
        <row r="18">
          <cell r="A18" t="str">
            <v>Черкез</v>
          </cell>
        </row>
        <row r="19">
          <cell r="A19" t="str">
            <v>Шипулин</v>
          </cell>
        </row>
        <row r="20">
          <cell r="A20" t="str">
            <v>Яковлев</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тчет"/>
      <sheetName val="Выдача денег на командир"/>
      <sheetName val="Окончательный расчет"/>
      <sheetName val="Распределение по статьям затрат"/>
      <sheetName val="Списки"/>
      <sheetName val="план 2000"/>
      <sheetName val="6 Списки"/>
      <sheetName val="20020415 Командировочные по СПб"/>
      <sheetName val="Калькуляция кв"/>
      <sheetName val="16"/>
      <sheetName val="0"/>
      <sheetName val="1"/>
      <sheetName val="10"/>
      <sheetName val="11"/>
      <sheetName val="12"/>
      <sheetName val="13"/>
      <sheetName val="14"/>
      <sheetName val="15"/>
      <sheetName val="17.1"/>
      <sheetName val="17"/>
      <sheetName val="18"/>
      <sheetName val="19"/>
      <sheetName val="2"/>
      <sheetName val="20"/>
      <sheetName val="21"/>
      <sheetName val="22"/>
      <sheetName val="23"/>
      <sheetName val="24.1"/>
      <sheetName val="24"/>
      <sheetName val="25"/>
      <sheetName val="26"/>
      <sheetName val="27"/>
      <sheetName val="28"/>
      <sheetName val="29"/>
      <sheetName val="3"/>
      <sheetName val="4.1"/>
      <sheetName val="4"/>
      <sheetName val="5"/>
      <sheetName val="6"/>
      <sheetName val="8"/>
      <sheetName val="9"/>
      <sheetName val="FES"/>
      <sheetName val="InputTI"/>
      <sheetName val="Anlagevermögen"/>
      <sheetName val="расчет тарифов"/>
      <sheetName val="2001"/>
      <sheetName val="перекрестка"/>
      <sheetName val="18.2"/>
      <sheetName val="2.3"/>
      <sheetName val="P2.1"/>
    </sheetNames>
    <sheetDataSet>
      <sheetData sheetId="0" refreshError="1"/>
      <sheetData sheetId="1" refreshError="1"/>
      <sheetData sheetId="2" refreshError="1"/>
      <sheetData sheetId="3" refreshError="1"/>
      <sheetData sheetId="4" refreshError="1">
        <row r="2">
          <cell r="B2" t="str">
            <v>АЛНАС</v>
          </cell>
        </row>
        <row r="3">
          <cell r="B3" t="str">
            <v>Балтийский завод</v>
          </cell>
        </row>
        <row r="4">
          <cell r="B4" t="str">
            <v>БЕЛАЗ</v>
          </cell>
        </row>
        <row r="5">
          <cell r="B5" t="str">
            <v>Ваньеганьнефть</v>
          </cell>
        </row>
        <row r="6">
          <cell r="B6" t="str">
            <v>Варьеганьнефть</v>
          </cell>
        </row>
        <row r="7">
          <cell r="B7" t="str">
            <v>Гидросила</v>
          </cell>
        </row>
        <row r="8">
          <cell r="B8" t="str">
            <v>Гражданские самолеты Сухого</v>
          </cell>
        </row>
        <row r="9">
          <cell r="B9" t="str">
            <v>ИАПО</v>
          </cell>
        </row>
        <row r="10">
          <cell r="B10" t="str">
            <v>Казахойл</v>
          </cell>
        </row>
        <row r="11">
          <cell r="B11" t="str">
            <v>Карельский Окатыш</v>
          </cell>
        </row>
        <row r="12">
          <cell r="B12" t="str">
            <v>КПК</v>
          </cell>
        </row>
        <row r="13">
          <cell r="B13" t="str">
            <v>Купол</v>
          </cell>
        </row>
        <row r="14">
          <cell r="B14" t="str">
            <v>Логоваз</v>
          </cell>
        </row>
        <row r="15">
          <cell r="B15" t="str">
            <v>Руспромавто</v>
          </cell>
        </row>
        <row r="16">
          <cell r="B16" t="str">
            <v>Северная верфь</v>
          </cell>
        </row>
        <row r="17">
          <cell r="B17" t="str">
            <v>Сокол</v>
          </cell>
        </row>
        <row r="18">
          <cell r="B18" t="str">
            <v>УМПО</v>
          </cell>
        </row>
        <row r="19">
          <cell r="B19" t="str">
            <v>Уралаз</v>
          </cell>
        </row>
        <row r="20">
          <cell r="B20" t="str">
            <v>ФГИУ</v>
          </cell>
        </row>
        <row r="21">
          <cell r="B21" t="str">
            <v>ЧТЗ</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Титульный"/>
      <sheetName val="Потери"/>
      <sheetName val="Проверка"/>
      <sheetName val="modProv"/>
      <sheetName val="TEHSHEET"/>
      <sheetName val="REESTR_ORG"/>
      <sheetName val="REESTR"/>
      <sheetName val="tech"/>
    </sheetNames>
    <sheetDataSet>
      <sheetData sheetId="0">
        <row r="2">
          <cell r="N2" t="e">
            <v>#VALUE!</v>
          </cell>
        </row>
      </sheetData>
      <sheetData sheetId="1">
        <row r="6">
          <cell r="F6" t="str">
            <v>Краснодарский край</v>
          </cell>
        </row>
        <row r="8">
          <cell r="G8" t="str">
            <v>Год</v>
          </cell>
        </row>
      </sheetData>
      <sheetData sheetId="2"/>
      <sheetData sheetId="3" refreshError="1"/>
      <sheetData sheetId="4" refreshError="1"/>
      <sheetData sheetId="5">
        <row r="2">
          <cell r="C2">
            <v>2008</v>
          </cell>
        </row>
      </sheetData>
      <sheetData sheetId="6">
        <row r="179">
          <cell r="H179" t="str">
            <v>ЗАО "МАРЭМ+"</v>
          </cell>
        </row>
      </sheetData>
      <sheetData sheetId="7" refreshError="1"/>
      <sheetData sheetId="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План 2007"/>
      <sheetName val="Факт 2007"/>
      <sheetName val="План 2008"/>
      <sheetName val="План 2009"/>
      <sheetName val="TEHSHEET"/>
      <sheetName val="Стоимость ЭЭ"/>
      <sheetName val="Списки"/>
      <sheetName val="6 Списки"/>
      <sheetName val="4"/>
      <sheetName val="15"/>
      <sheetName val="17.1"/>
      <sheetName val="2.3"/>
      <sheetName val="20"/>
      <sheetName val="21.3"/>
      <sheetName val="P2.1"/>
      <sheetName val="16"/>
      <sheetName val="17"/>
      <sheetName val="5"/>
      <sheetName val="Ф-1 (для АО-энерго)"/>
      <sheetName val="Ф-2 (для АО-энерго)"/>
      <sheetName val="перекрестка"/>
      <sheetName val="свод"/>
      <sheetName val="24"/>
      <sheetName val="25"/>
      <sheetName val="Справочники"/>
      <sheetName val="0"/>
      <sheetName val="1"/>
      <sheetName val="10"/>
      <sheetName val="11"/>
      <sheetName val="12"/>
      <sheetName val="13"/>
      <sheetName val="14"/>
      <sheetName val="18"/>
      <sheetName val="19"/>
      <sheetName val="2"/>
      <sheetName val="21"/>
      <sheetName val="22"/>
      <sheetName val="24.1"/>
      <sheetName val="26"/>
      <sheetName val="27"/>
      <sheetName val="28"/>
      <sheetName val="29"/>
      <sheetName val="3"/>
      <sheetName val="4.1"/>
      <sheetName val="6"/>
      <sheetName val="8"/>
      <sheetName val="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B2" t="str">
            <v>Выберите название региона из списка</v>
          </cell>
        </row>
        <row r="3">
          <cell r="B3" t="str">
            <v>Алтайский край</v>
          </cell>
        </row>
        <row r="4">
          <cell r="B4" t="str">
            <v>Амурская область</v>
          </cell>
        </row>
        <row r="5">
          <cell r="B5" t="str">
            <v>Архангельская область</v>
          </cell>
        </row>
        <row r="6">
          <cell r="B6" t="str">
            <v>Астраханская область</v>
          </cell>
        </row>
        <row r="7">
          <cell r="B7" t="str">
            <v>Белгородская область</v>
          </cell>
        </row>
        <row r="8">
          <cell r="B8" t="str">
            <v>Брянская область</v>
          </cell>
        </row>
        <row r="9">
          <cell r="B9" t="str">
            <v>Владимирская область</v>
          </cell>
        </row>
        <row r="10">
          <cell r="B10" t="str">
            <v>Волгоградская область</v>
          </cell>
        </row>
        <row r="11">
          <cell r="B11" t="str">
            <v>Вологодская область</v>
          </cell>
        </row>
        <row r="12">
          <cell r="B12" t="str">
            <v>Воронежская область</v>
          </cell>
        </row>
        <row r="13">
          <cell r="B13" t="str">
            <v>г. Москва</v>
          </cell>
        </row>
        <row r="14">
          <cell r="B14" t="str">
            <v>г.Байконур</v>
          </cell>
        </row>
        <row r="15">
          <cell r="B15" t="str">
            <v>г.Санкт-Петербург</v>
          </cell>
        </row>
        <row r="16">
          <cell r="B16" t="str">
            <v>Еврейская автономная область</v>
          </cell>
        </row>
        <row r="17">
          <cell r="B17" t="str">
            <v>Забайкальский край</v>
          </cell>
        </row>
        <row r="18">
          <cell r="B18" t="str">
            <v>Ивановская область</v>
          </cell>
        </row>
        <row r="19">
          <cell r="B19" t="str">
            <v>Иркутская область</v>
          </cell>
        </row>
        <row r="20">
          <cell r="B20" t="str">
            <v>Кабардино-Балкарская республика</v>
          </cell>
        </row>
        <row r="21">
          <cell r="B21" t="str">
            <v>Калининградская область</v>
          </cell>
        </row>
        <row r="22">
          <cell r="B22" t="str">
            <v>Калужская область</v>
          </cell>
        </row>
        <row r="23">
          <cell r="B23" t="str">
            <v>Камчатский край</v>
          </cell>
        </row>
        <row r="24">
          <cell r="B24" t="str">
            <v>Карачаево-Черкесская республика</v>
          </cell>
        </row>
        <row r="25">
          <cell r="B25" t="str">
            <v>Кемеровская область</v>
          </cell>
        </row>
        <row r="26">
          <cell r="B26" t="str">
            <v>Кировская область</v>
          </cell>
        </row>
        <row r="27">
          <cell r="B27" t="str">
            <v>Костромская область</v>
          </cell>
        </row>
        <row r="28">
          <cell r="B28" t="str">
            <v>Краснодарский край</v>
          </cell>
        </row>
        <row r="29">
          <cell r="B29" t="str">
            <v>Красноярский край</v>
          </cell>
        </row>
        <row r="30">
          <cell r="B30" t="str">
            <v>Курганская область</v>
          </cell>
        </row>
        <row r="31">
          <cell r="B31" t="str">
            <v>Курская область</v>
          </cell>
        </row>
        <row r="32">
          <cell r="B32" t="str">
            <v>Ленинградская область</v>
          </cell>
        </row>
        <row r="33">
          <cell r="B33" t="str">
            <v>Липецкая область</v>
          </cell>
        </row>
        <row r="34">
          <cell r="B34" t="str">
            <v>Магаданская область</v>
          </cell>
        </row>
        <row r="35">
          <cell r="B35" t="str">
            <v>Московская область</v>
          </cell>
        </row>
        <row r="36">
          <cell r="B36" t="str">
            <v>Мурманская область</v>
          </cell>
        </row>
        <row r="37">
          <cell r="B37" t="str">
            <v>Ненецкий автономный округ</v>
          </cell>
        </row>
        <row r="38">
          <cell r="B38" t="str">
            <v>Нижегородская область</v>
          </cell>
        </row>
        <row r="39">
          <cell r="B39" t="str">
            <v>Новгородская область</v>
          </cell>
        </row>
        <row r="40">
          <cell r="B40" t="str">
            <v>Новосибирская область</v>
          </cell>
        </row>
        <row r="41">
          <cell r="B41" t="str">
            <v>Омская область</v>
          </cell>
        </row>
        <row r="42">
          <cell r="B42" t="str">
            <v>Оренбургская область</v>
          </cell>
        </row>
        <row r="43">
          <cell r="B43" t="str">
            <v>Орловская область</v>
          </cell>
        </row>
        <row r="44">
          <cell r="B44" t="str">
            <v>Пензенская область</v>
          </cell>
        </row>
        <row r="45">
          <cell r="B45" t="str">
            <v>Пермский край</v>
          </cell>
        </row>
        <row r="46">
          <cell r="B46" t="str">
            <v>Приморский край</v>
          </cell>
        </row>
        <row r="47">
          <cell r="B47" t="str">
            <v>Псковская область</v>
          </cell>
        </row>
        <row r="48">
          <cell r="B48" t="str">
            <v>Республика Адыгея</v>
          </cell>
        </row>
        <row r="49">
          <cell r="B49" t="str">
            <v>Республика Алтай</v>
          </cell>
        </row>
        <row r="50">
          <cell r="B50" t="str">
            <v>Республика Башкортостан</v>
          </cell>
        </row>
        <row r="51">
          <cell r="B51" t="str">
            <v>Республика Бурятия</v>
          </cell>
        </row>
        <row r="52">
          <cell r="B52" t="str">
            <v>Республика Дагестан</v>
          </cell>
        </row>
        <row r="53">
          <cell r="B53" t="str">
            <v>Республика Ингушетия</v>
          </cell>
        </row>
        <row r="54">
          <cell r="B54" t="str">
            <v>Республика Калмыкия</v>
          </cell>
        </row>
        <row r="55">
          <cell r="B55" t="str">
            <v>Республика Карелия</v>
          </cell>
        </row>
        <row r="56">
          <cell r="B56" t="str">
            <v>Республика Коми</v>
          </cell>
        </row>
        <row r="57">
          <cell r="B57" t="str">
            <v>Республика Марий Эл</v>
          </cell>
        </row>
        <row r="58">
          <cell r="B58" t="str">
            <v>Республика Мордовия</v>
          </cell>
        </row>
        <row r="59">
          <cell r="B59" t="str">
            <v>Республика Саха (Якутия)</v>
          </cell>
        </row>
        <row r="60">
          <cell r="B60" t="str">
            <v>Республика Северная Осетия-Алания</v>
          </cell>
        </row>
        <row r="61">
          <cell r="B61" t="str">
            <v>Республика Татарстан</v>
          </cell>
        </row>
        <row r="62">
          <cell r="B62" t="str">
            <v>Республика Тыва</v>
          </cell>
        </row>
        <row r="63">
          <cell r="B63" t="str">
            <v>Республика Хакасия</v>
          </cell>
        </row>
        <row r="64">
          <cell r="B64" t="str">
            <v>Ростовская область</v>
          </cell>
        </row>
        <row r="65">
          <cell r="B65" t="str">
            <v>Рязанская область</v>
          </cell>
        </row>
        <row r="66">
          <cell r="B66" t="str">
            <v>Самарская область</v>
          </cell>
        </row>
        <row r="67">
          <cell r="B67" t="str">
            <v>Саратовская область</v>
          </cell>
        </row>
        <row r="68">
          <cell r="B68" t="str">
            <v>Сахалинская область</v>
          </cell>
        </row>
        <row r="69">
          <cell r="B69" t="str">
            <v>Свердловская область</v>
          </cell>
        </row>
        <row r="70">
          <cell r="B70" t="str">
            <v>Смоленская область</v>
          </cell>
        </row>
        <row r="71">
          <cell r="B71" t="str">
            <v>Ставропольский край</v>
          </cell>
        </row>
        <row r="72">
          <cell r="B72" t="str">
            <v>Тамбовская область</v>
          </cell>
        </row>
        <row r="73">
          <cell r="B73" t="str">
            <v>Тверская область</v>
          </cell>
        </row>
        <row r="74">
          <cell r="B74" t="str">
            <v>Томская область</v>
          </cell>
        </row>
        <row r="75">
          <cell r="B75" t="str">
            <v>Тульская область</v>
          </cell>
        </row>
        <row r="76">
          <cell r="B76" t="str">
            <v>Тюменская область</v>
          </cell>
        </row>
        <row r="77">
          <cell r="B77" t="str">
            <v>Удмуртская республика</v>
          </cell>
        </row>
        <row r="78">
          <cell r="B78" t="str">
            <v>Ульяновская область</v>
          </cell>
        </row>
        <row r="79">
          <cell r="B79" t="str">
            <v>Хабаровский край</v>
          </cell>
        </row>
        <row r="80">
          <cell r="B80" t="str">
            <v>Ханты-Мансийский автономный округ</v>
          </cell>
        </row>
        <row r="81">
          <cell r="B81" t="str">
            <v>Челябинская область</v>
          </cell>
        </row>
        <row r="82">
          <cell r="B82" t="str">
            <v>Чеченская республика</v>
          </cell>
        </row>
        <row r="83">
          <cell r="B83" t="str">
            <v>Чувашская республика</v>
          </cell>
        </row>
        <row r="84">
          <cell r="B84" t="str">
            <v>Чукотский автономный округ</v>
          </cell>
        </row>
        <row r="85">
          <cell r="B85" t="str">
            <v>Ямало-Ненецкий автономный округ</v>
          </cell>
        </row>
        <row r="86">
          <cell r="B86" t="str">
            <v>Ярославская область</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мощность"/>
      <sheetName val="энергия"/>
      <sheetName val="мощность (2)"/>
      <sheetName val="потери с мощ"/>
      <sheetName val="TEHSHEET"/>
      <sheetName val="17.1"/>
      <sheetName val="24"/>
      <sheetName val="25"/>
      <sheetName val="Справочники"/>
    </sheetNames>
    <sheetDataSet>
      <sheetData sheetId="0" refreshError="1"/>
      <sheetData sheetId="1" refreshError="1">
        <row r="19">
          <cell r="J19">
            <v>1406.09</v>
          </cell>
          <cell r="M19">
            <v>84.4</v>
          </cell>
          <cell r="N19">
            <v>1490.49</v>
          </cell>
          <cell r="P19">
            <v>1406.09</v>
          </cell>
          <cell r="Y19">
            <v>1498.15</v>
          </cell>
          <cell r="AB19">
            <v>89.888999999999996</v>
          </cell>
          <cell r="AC19">
            <v>1588.039</v>
          </cell>
          <cell r="AE19">
            <v>1498.15</v>
          </cell>
          <cell r="AN19">
            <v>1351.65</v>
          </cell>
          <cell r="AQ19">
            <v>81.099000000000004</v>
          </cell>
          <cell r="AR19">
            <v>1432.749</v>
          </cell>
          <cell r="AT19">
            <v>1351.65</v>
          </cell>
          <cell r="BC19">
            <v>1121.1099999999999</v>
          </cell>
          <cell r="BF19">
            <v>67.266600000000011</v>
          </cell>
          <cell r="BG19">
            <v>1188.3766000000001</v>
          </cell>
          <cell r="BI19">
            <v>1121.1099999999999</v>
          </cell>
          <cell r="BR19">
            <v>1017.29</v>
          </cell>
          <cell r="BU19">
            <v>61.037399999999984</v>
          </cell>
          <cell r="BV19">
            <v>1078.3273999999997</v>
          </cell>
          <cell r="BX19">
            <v>1017.29</v>
          </cell>
          <cell r="CG19">
            <v>998.99</v>
          </cell>
          <cell r="CJ19">
            <v>59.939399999999999</v>
          </cell>
          <cell r="CK19">
            <v>1058.9294</v>
          </cell>
          <cell r="CM19">
            <v>998.99</v>
          </cell>
          <cell r="CV19">
            <v>1117.93</v>
          </cell>
          <cell r="CY19">
            <v>67.075800000000001</v>
          </cell>
          <cell r="CZ19">
            <v>1185.0058000000001</v>
          </cell>
          <cell r="DB19">
            <v>1117.93</v>
          </cell>
          <cell r="DK19">
            <v>1130.3800000000001</v>
          </cell>
          <cell r="DN19">
            <v>67.822800000000015</v>
          </cell>
          <cell r="DO19">
            <v>1198.2028000000003</v>
          </cell>
          <cell r="DQ19">
            <v>1130.3800000000001</v>
          </cell>
          <cell r="DZ19">
            <v>1113.57</v>
          </cell>
          <cell r="EC19">
            <v>66.814200000000014</v>
          </cell>
          <cell r="ED19">
            <v>1180.3842000000002</v>
          </cell>
          <cell r="EF19">
            <v>1113.57</v>
          </cell>
          <cell r="EO19">
            <v>1172.5</v>
          </cell>
          <cell r="ER19">
            <v>70.349999999999994</v>
          </cell>
          <cell r="ES19">
            <v>1242.8499999999999</v>
          </cell>
          <cell r="EU19">
            <v>1172.5</v>
          </cell>
          <cell r="FD19">
            <v>1391.49</v>
          </cell>
          <cell r="FG19">
            <v>83.489399999999975</v>
          </cell>
          <cell r="FH19">
            <v>1474.9793999999995</v>
          </cell>
          <cell r="FJ19">
            <v>1391.49</v>
          </cell>
          <cell r="FS19">
            <v>1358.45</v>
          </cell>
          <cell r="FV19">
            <v>81.506999999999991</v>
          </cell>
          <cell r="FW19">
            <v>1439.9569999999999</v>
          </cell>
          <cell r="FY19">
            <v>1358.45</v>
          </cell>
          <cell r="GD19">
            <v>0</v>
          </cell>
          <cell r="GE19">
            <v>0</v>
          </cell>
          <cell r="GF19">
            <v>0</v>
          </cell>
          <cell r="GG19">
            <v>0</v>
          </cell>
          <cell r="GH19">
            <v>0</v>
          </cell>
          <cell r="GJ19">
            <v>1223.1333333333334</v>
          </cell>
          <cell r="GK19">
            <v>0</v>
          </cell>
          <cell r="GL19">
            <v>0</v>
          </cell>
          <cell r="GM19">
            <v>73.390883333333335</v>
          </cell>
          <cell r="GN19">
            <v>1296.5242166666667</v>
          </cell>
          <cell r="GP19">
            <v>1221.6054520547946</v>
          </cell>
        </row>
        <row r="20">
          <cell r="J20">
            <v>9</v>
          </cell>
          <cell r="N20">
            <v>9</v>
          </cell>
          <cell r="Y20">
            <v>11</v>
          </cell>
          <cell r="AC20">
            <v>11</v>
          </cell>
          <cell r="AN20">
            <v>14</v>
          </cell>
          <cell r="AR20">
            <v>14</v>
          </cell>
          <cell r="BC20">
            <v>12</v>
          </cell>
          <cell r="BG20">
            <v>12</v>
          </cell>
          <cell r="BR20">
            <v>11</v>
          </cell>
          <cell r="BV20">
            <v>11</v>
          </cell>
          <cell r="CG20">
            <v>13</v>
          </cell>
          <cell r="CK20">
            <v>13</v>
          </cell>
          <cell r="CV20">
            <v>13</v>
          </cell>
          <cell r="CZ20">
            <v>13</v>
          </cell>
          <cell r="DK20">
            <v>9</v>
          </cell>
          <cell r="DO20">
            <v>9</v>
          </cell>
          <cell r="DZ20">
            <v>9</v>
          </cell>
          <cell r="ED20">
            <v>9</v>
          </cell>
          <cell r="EO20">
            <v>10</v>
          </cell>
          <cell r="ES20">
            <v>10</v>
          </cell>
          <cell r="FD20">
            <v>15</v>
          </cell>
          <cell r="FH20">
            <v>15</v>
          </cell>
          <cell r="FS20">
            <v>9</v>
          </cell>
          <cell r="FW20">
            <v>9</v>
          </cell>
          <cell r="GD20">
            <v>0</v>
          </cell>
          <cell r="GE20">
            <v>0</v>
          </cell>
          <cell r="GF20">
            <v>0</v>
          </cell>
          <cell r="GG20">
            <v>0</v>
          </cell>
          <cell r="GH20">
            <v>0</v>
          </cell>
          <cell r="GJ20">
            <v>11.25</v>
          </cell>
          <cell r="GK20">
            <v>0</v>
          </cell>
          <cell r="GL20">
            <v>0</v>
          </cell>
          <cell r="GM20">
            <v>0</v>
          </cell>
          <cell r="GN20">
            <v>11.25</v>
          </cell>
          <cell r="GP20">
            <v>0</v>
          </cell>
        </row>
        <row r="21">
          <cell r="J21">
            <v>1397.09</v>
          </cell>
          <cell r="M21">
            <v>84.4</v>
          </cell>
          <cell r="N21">
            <v>1481.49</v>
          </cell>
          <cell r="Y21">
            <v>1487.15</v>
          </cell>
          <cell r="AB21">
            <v>89.888999999999996</v>
          </cell>
          <cell r="AC21">
            <v>1577.039</v>
          </cell>
          <cell r="AN21">
            <v>1337.65</v>
          </cell>
          <cell r="AQ21">
            <v>81.099000000000004</v>
          </cell>
          <cell r="AR21">
            <v>1418.749</v>
          </cell>
          <cell r="BC21">
            <v>1109.1099999999999</v>
          </cell>
          <cell r="BF21">
            <v>67.266600000000011</v>
          </cell>
          <cell r="BG21">
            <v>1176.3766000000001</v>
          </cell>
          <cell r="BR21">
            <v>1006.29</v>
          </cell>
          <cell r="BU21">
            <v>61.037399999999984</v>
          </cell>
          <cell r="BV21">
            <v>1067.3273999999997</v>
          </cell>
          <cell r="CG21">
            <v>985.99</v>
          </cell>
          <cell r="CJ21">
            <v>59.939399999999999</v>
          </cell>
          <cell r="CK21">
            <v>1045.9294</v>
          </cell>
          <cell r="CV21">
            <v>1104.93</v>
          </cell>
          <cell r="CY21">
            <v>67.075800000000001</v>
          </cell>
          <cell r="CZ21">
            <v>1172.0058000000001</v>
          </cell>
          <cell r="DK21">
            <v>1121.3800000000001</v>
          </cell>
          <cell r="DN21">
            <v>67.822800000000015</v>
          </cell>
          <cell r="DO21">
            <v>1189.2028000000003</v>
          </cell>
          <cell r="DZ21">
            <v>1104.57</v>
          </cell>
          <cell r="EC21">
            <v>66.814200000000014</v>
          </cell>
          <cell r="ED21">
            <v>1171.3842000000002</v>
          </cell>
          <cell r="EO21">
            <v>1162.5</v>
          </cell>
          <cell r="ER21">
            <v>70.349999999999994</v>
          </cell>
          <cell r="ES21">
            <v>1232.8499999999999</v>
          </cell>
          <cell r="FD21">
            <v>1376.49</v>
          </cell>
          <cell r="FG21">
            <v>83.489399999999975</v>
          </cell>
          <cell r="FH21">
            <v>1459.9793999999995</v>
          </cell>
          <cell r="FS21">
            <v>1349.45</v>
          </cell>
          <cell r="FV21">
            <v>81.506999999999991</v>
          </cell>
          <cell r="FW21">
            <v>1430.9569999999999</v>
          </cell>
          <cell r="GD21">
            <v>0</v>
          </cell>
          <cell r="GE21">
            <v>0</v>
          </cell>
          <cell r="GF21">
            <v>0</v>
          </cell>
          <cell r="GG21">
            <v>0</v>
          </cell>
          <cell r="GH21">
            <v>0</v>
          </cell>
          <cell r="GJ21">
            <v>1211.88333333333</v>
          </cell>
          <cell r="GK21">
            <v>0</v>
          </cell>
          <cell r="GL21">
            <v>0</v>
          </cell>
          <cell r="GM21">
            <v>73.390883333333335</v>
          </cell>
          <cell r="GN21">
            <v>1285.2742166666667</v>
          </cell>
          <cell r="GP21">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мощность"/>
      <sheetName val="энергия"/>
      <sheetName val="мощность (2)"/>
      <sheetName val="потери с мощ"/>
    </sheetNames>
    <sheetDataSet>
      <sheetData sheetId="0" refreshError="1"/>
      <sheetData sheetId="1">
        <row r="19">
          <cell r="J19">
            <v>1406.09</v>
          </cell>
          <cell r="M19">
            <v>84.4</v>
          </cell>
          <cell r="N19">
            <v>1490.49</v>
          </cell>
          <cell r="P19">
            <v>1406.09</v>
          </cell>
          <cell r="Y19">
            <v>1498.15</v>
          </cell>
          <cell r="AB19">
            <v>89.888999999999996</v>
          </cell>
          <cell r="AC19">
            <v>1588.039</v>
          </cell>
          <cell r="AE19">
            <v>1498.15</v>
          </cell>
          <cell r="AN19">
            <v>1351.65</v>
          </cell>
          <cell r="AQ19">
            <v>81.099000000000004</v>
          </cell>
          <cell r="AR19">
            <v>1432.749</v>
          </cell>
          <cell r="AT19">
            <v>1351.65</v>
          </cell>
          <cell r="BC19">
            <v>1121.1099999999999</v>
          </cell>
          <cell r="BF19">
            <v>67.266600000000011</v>
          </cell>
          <cell r="BG19">
            <v>1188.3766000000001</v>
          </cell>
          <cell r="BI19">
            <v>1121.1099999999999</v>
          </cell>
          <cell r="BR19">
            <v>1017.29</v>
          </cell>
          <cell r="BU19">
            <v>61.037399999999984</v>
          </cell>
          <cell r="BV19">
            <v>1078.3273999999997</v>
          </cell>
          <cell r="BX19">
            <v>1017.29</v>
          </cell>
          <cell r="CG19">
            <v>998.99</v>
          </cell>
          <cell r="CJ19">
            <v>59.939399999999999</v>
          </cell>
          <cell r="CK19">
            <v>1058.9294</v>
          </cell>
          <cell r="CM19">
            <v>998.99</v>
          </cell>
          <cell r="CV19">
            <v>1117.93</v>
          </cell>
          <cell r="CY19">
            <v>67.075800000000001</v>
          </cell>
          <cell r="CZ19">
            <v>1185.0058000000001</v>
          </cell>
          <cell r="DB19">
            <v>1117.93</v>
          </cell>
          <cell r="DK19">
            <v>1130.3800000000001</v>
          </cell>
          <cell r="DN19">
            <v>67.822800000000015</v>
          </cell>
          <cell r="DO19">
            <v>1198.2028000000003</v>
          </cell>
          <cell r="DQ19">
            <v>1130.3800000000001</v>
          </cell>
          <cell r="DZ19">
            <v>1113.57</v>
          </cell>
          <cell r="EC19">
            <v>66.814200000000014</v>
          </cell>
          <cell r="ED19">
            <v>1180.3842000000002</v>
          </cell>
          <cell r="EF19">
            <v>1113.57</v>
          </cell>
          <cell r="EO19">
            <v>1172.5</v>
          </cell>
          <cell r="ER19">
            <v>70.349999999999994</v>
          </cell>
          <cell r="ES19">
            <v>1242.8499999999999</v>
          </cell>
          <cell r="EU19">
            <v>1172.5</v>
          </cell>
          <cell r="FD19">
            <v>1391.49</v>
          </cell>
          <cell r="FG19">
            <v>83.489399999999975</v>
          </cell>
          <cell r="FH19">
            <v>1474.9793999999995</v>
          </cell>
          <cell r="FJ19">
            <v>1391.49</v>
          </cell>
          <cell r="FS19">
            <v>1358.45</v>
          </cell>
          <cell r="FV19">
            <v>81.506999999999991</v>
          </cell>
          <cell r="FW19">
            <v>1439.9569999999999</v>
          </cell>
          <cell r="FY19">
            <v>1358.45</v>
          </cell>
          <cell r="GD19">
            <v>0</v>
          </cell>
          <cell r="GE19">
            <v>0</v>
          </cell>
          <cell r="GF19">
            <v>0</v>
          </cell>
          <cell r="GG19">
            <v>0</v>
          </cell>
          <cell r="GH19">
            <v>0</v>
          </cell>
          <cell r="GJ19">
            <v>1223.1333333333334</v>
          </cell>
          <cell r="GK19">
            <v>0</v>
          </cell>
          <cell r="GL19">
            <v>0</v>
          </cell>
          <cell r="GM19">
            <v>73.390883333333335</v>
          </cell>
          <cell r="GN19">
            <v>1296.5242166666667</v>
          </cell>
          <cell r="GP19">
            <v>1221.6054520547946</v>
          </cell>
        </row>
        <row r="20">
          <cell r="J20">
            <v>9</v>
          </cell>
          <cell r="N20">
            <v>9</v>
          </cell>
          <cell r="Y20">
            <v>11</v>
          </cell>
          <cell r="AC20">
            <v>11</v>
          </cell>
          <cell r="AN20">
            <v>14</v>
          </cell>
          <cell r="AR20">
            <v>14</v>
          </cell>
          <cell r="BC20">
            <v>12</v>
          </cell>
          <cell r="BG20">
            <v>12</v>
          </cell>
          <cell r="BR20">
            <v>11</v>
          </cell>
          <cell r="BV20">
            <v>11</v>
          </cell>
          <cell r="CG20">
            <v>13</v>
          </cell>
          <cell r="CK20">
            <v>13</v>
          </cell>
          <cell r="CV20">
            <v>13</v>
          </cell>
          <cell r="CZ20">
            <v>13</v>
          </cell>
          <cell r="DK20">
            <v>9</v>
          </cell>
          <cell r="DO20">
            <v>9</v>
          </cell>
          <cell r="DZ20">
            <v>9</v>
          </cell>
          <cell r="ED20">
            <v>9</v>
          </cell>
          <cell r="EO20">
            <v>10</v>
          </cell>
          <cell r="ES20">
            <v>10</v>
          </cell>
          <cell r="FD20">
            <v>15</v>
          </cell>
          <cell r="FH20">
            <v>15</v>
          </cell>
          <cell r="FS20">
            <v>9</v>
          </cell>
          <cell r="FW20">
            <v>9</v>
          </cell>
          <cell r="GD20">
            <v>0</v>
          </cell>
          <cell r="GE20">
            <v>0</v>
          </cell>
          <cell r="GF20">
            <v>0</v>
          </cell>
          <cell r="GG20">
            <v>0</v>
          </cell>
          <cell r="GH20">
            <v>0</v>
          </cell>
          <cell r="GJ20">
            <v>11.25</v>
          </cell>
          <cell r="GK20">
            <v>0</v>
          </cell>
          <cell r="GL20">
            <v>0</v>
          </cell>
          <cell r="GM20">
            <v>0</v>
          </cell>
          <cell r="GN20">
            <v>11.25</v>
          </cell>
          <cell r="GP20">
            <v>0</v>
          </cell>
        </row>
        <row r="21">
          <cell r="J21">
            <v>1397.09</v>
          </cell>
          <cell r="M21">
            <v>84.4</v>
          </cell>
          <cell r="N21">
            <v>1481.49</v>
          </cell>
          <cell r="Y21">
            <v>1487.15</v>
          </cell>
          <cell r="AB21">
            <v>89.888999999999996</v>
          </cell>
          <cell r="AC21">
            <v>1577.039</v>
          </cell>
          <cell r="AN21">
            <v>1337.65</v>
          </cell>
          <cell r="AQ21">
            <v>81.099000000000004</v>
          </cell>
          <cell r="AR21">
            <v>1418.749</v>
          </cell>
          <cell r="BC21">
            <v>1109.1099999999999</v>
          </cell>
          <cell r="BF21">
            <v>67.266600000000011</v>
          </cell>
          <cell r="BG21">
            <v>1176.3766000000001</v>
          </cell>
          <cell r="BR21">
            <v>1006.29</v>
          </cell>
          <cell r="BU21">
            <v>61.037399999999984</v>
          </cell>
          <cell r="BV21">
            <v>1067.3273999999997</v>
          </cell>
          <cell r="CG21">
            <v>985.99</v>
          </cell>
          <cell r="CJ21">
            <v>59.939399999999999</v>
          </cell>
          <cell r="CK21">
            <v>1045.9294</v>
          </cell>
          <cell r="CV21">
            <v>1104.93</v>
          </cell>
          <cell r="CY21">
            <v>67.075800000000001</v>
          </cell>
          <cell r="CZ21">
            <v>1172.0058000000001</v>
          </cell>
          <cell r="DK21">
            <v>1121.3800000000001</v>
          </cell>
          <cell r="DN21">
            <v>67.822800000000015</v>
          </cell>
          <cell r="DO21">
            <v>1189.2028000000003</v>
          </cell>
          <cell r="DZ21">
            <v>1104.57</v>
          </cell>
          <cell r="EC21">
            <v>66.814200000000014</v>
          </cell>
          <cell r="ED21">
            <v>1171.3842000000002</v>
          </cell>
          <cell r="EO21">
            <v>1162.5</v>
          </cell>
          <cell r="ER21">
            <v>70.349999999999994</v>
          </cell>
          <cell r="ES21">
            <v>1232.8499999999999</v>
          </cell>
          <cell r="FD21">
            <v>1376.49</v>
          </cell>
          <cell r="FG21">
            <v>83.489399999999975</v>
          </cell>
          <cell r="FH21">
            <v>1459.9793999999995</v>
          </cell>
          <cell r="FS21">
            <v>1349.45</v>
          </cell>
          <cell r="FV21">
            <v>81.506999999999991</v>
          </cell>
          <cell r="FW21">
            <v>1430.9569999999999</v>
          </cell>
          <cell r="GD21">
            <v>0</v>
          </cell>
          <cell r="GE21">
            <v>0</v>
          </cell>
          <cell r="GF21">
            <v>0</v>
          </cell>
          <cell r="GG21">
            <v>0</v>
          </cell>
          <cell r="GH21">
            <v>0</v>
          </cell>
          <cell r="GJ21">
            <v>1211.88333333333</v>
          </cell>
          <cell r="GK21">
            <v>0</v>
          </cell>
          <cell r="GL21">
            <v>0</v>
          </cell>
          <cell r="GM21">
            <v>73.390883333333335</v>
          </cell>
          <cell r="GN21">
            <v>1285.2742166666667</v>
          </cell>
          <cell r="GP21">
            <v>0</v>
          </cell>
        </row>
      </sheetData>
      <sheetData sheetId="2" refreshError="1"/>
      <sheetData sheetId="3" refreshError="1"/>
      <sheetData sheetId="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Инструкция"/>
      <sheetName val="Справочники"/>
      <sheetName val="Индексы"/>
      <sheetName val="0.3"/>
      <sheetName val="0.1"/>
      <sheetName val="0.1ЭЭ"/>
      <sheetName val="0.1ГМ"/>
      <sheetName val="1"/>
      <sheetName val="2"/>
      <sheetName val="2.1"/>
      <sheetName val="2.2"/>
      <sheetName val="2.3"/>
      <sheetName val="4"/>
      <sheetName val="РчСтЭЭ"/>
      <sheetName val="РчСтЭЭ_УП"/>
      <sheetName val="РчСтЭЭ_Ф"/>
      <sheetName val="РчСтГМ"/>
      <sheetName val="РчСтГМ_УП"/>
      <sheetName val="РчСтГМ_Ф"/>
      <sheetName val="ИП"/>
      <sheetName val="Ист-ики финанс-я"/>
      <sheetName val="Расчет прибыли"/>
      <sheetName val="TEHSHEET"/>
    </sheetNames>
    <sheetDataSet>
      <sheetData sheetId="0"/>
      <sheetData sheetId="1"/>
      <sheetData sheetId="2" refreshError="1">
        <row r="12">
          <cell r="H12" t="str">
            <v>газ коксовый</v>
          </cell>
        </row>
        <row r="13">
          <cell r="H13" t="str">
            <v>прочее</v>
          </cell>
        </row>
        <row r="14">
          <cell r="H14" t="str">
            <v>дистиллят</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Справочники"/>
      <sheetName val="Стоимость ЭЭ"/>
      <sheetName val="TEHSHEET"/>
      <sheetName val="мощность"/>
      <sheetName val="Заголовок"/>
      <sheetName val="Регионы"/>
      <sheetName val="FORM 1.1"/>
    </sheetNames>
    <sheetDataSet>
      <sheetData sheetId="0"/>
      <sheetData sheetId="1"/>
      <sheetData sheetId="2" refreshError="1"/>
      <sheetData sheetId="3"/>
      <sheetData sheetId="4" refreshError="1">
        <row r="51">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row>
        <row r="93">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row>
        <row r="111">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row>
      </sheetData>
      <sheetData sheetId="5"/>
      <sheetData sheetId="6" refreshError="1"/>
      <sheetData sheetId="7" refreshError="1"/>
      <sheetData sheetId="8" refreshError="1"/>
      <sheetData sheetId="9"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Справочники"/>
      <sheetName val="Свод"/>
      <sheetName val="Калькуляция"/>
      <sheetName val="matrix"/>
      <sheetName val="МО"/>
      <sheetName val="Стоимость ЭЭ"/>
      <sheetName val="Регионы"/>
    </sheetNames>
    <sheetDataSet>
      <sheetData sheetId="0" refreshError="1"/>
      <sheetData sheetId="1" refreshError="1"/>
      <sheetData sheetId="2" refreshError="1"/>
      <sheetData sheetId="3" refreshError="1">
        <row r="3">
          <cell r="E3" t="str">
            <v>Республика Карелия</v>
          </cell>
        </row>
        <row r="6">
          <cell r="E6" t="str">
            <v>D:\Documents and Settings\galina\Мои документы\Г.В. Кондрашкова\ФСТ\К 30.01.2007 - в ФСТ\стоки</v>
          </cell>
        </row>
      </sheetData>
      <sheetData sheetId="4"/>
      <sheetData sheetId="5" refreshError="1"/>
      <sheetData sheetId="6" refreshError="1"/>
      <sheetData sheetId="7" refreshError="1"/>
      <sheetData sheetId="8" refreshError="1"/>
      <sheetData sheetId="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Пример"/>
      <sheetName val="Справочники"/>
      <sheetName val="Баланс ВО"/>
      <sheetName val="Калькуляция ВО"/>
      <sheetName val="МО"/>
      <sheetName val="Свод"/>
      <sheetName val="Стоимость ЭЭ"/>
    </sheetNames>
    <sheetDataSet>
      <sheetData sheetId="0" refreshError="1"/>
      <sheetData sheetId="1" refreshError="1"/>
      <sheetData sheetId="2" refreshError="1"/>
      <sheetData sheetId="3" refreshError="1"/>
      <sheetData sheetId="4" refreshError="1">
        <row r="3">
          <cell r="R3" t="str">
            <v>упрощенная система</v>
          </cell>
        </row>
        <row r="4">
          <cell r="R4" t="str">
            <v>классическая система</v>
          </cell>
        </row>
      </sheetData>
      <sheetData sheetId="5" refreshError="1"/>
      <sheetData sheetId="6" refreshError="1"/>
      <sheetData sheetId="7" refreshError="1"/>
      <sheetData sheetId="8" refreshError="1"/>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2.1"/>
      <sheetName val="П2.2"/>
      <sheetName val="П1.24"/>
      <sheetName val="П1.25"/>
      <sheetName val="П1.27"/>
      <sheetName val="П1.1"/>
      <sheetName val="П1.2"/>
      <sheetName val="П1.3"/>
      <sheetName val="П1.4"/>
      <sheetName val="П1.5"/>
      <sheetName val="П1.6"/>
      <sheetName val="П1.6а"/>
      <sheetName val="П1.12"/>
      <sheetName val="расчет цены потерь"/>
      <sheetName val="П1.15.3"/>
      <sheetName val="П1.16.3"/>
      <sheetName val="П1.17.3"/>
      <sheetName val="17.1.3"/>
      <sheetName val="18"/>
      <sheetName val="18.2"/>
      <sheetName val="П1.20"/>
      <sheetName val="П1.20.3"/>
      <sheetName val="П1.21.3"/>
      <sheetName val="П1.30"/>
      <sheetName val="другие из прибыли"/>
      <sheetName val="другие затраты с-ст"/>
      <sheetName val="услуги производствен."/>
      <sheetName val="услуги непроизводств."/>
      <sheetName val="поощрение (ДВ)"/>
      <sheetName val="Passcheck"/>
      <sheetName val="% за кредит"/>
      <sheetName val="экология"/>
      <sheetName val="ремонты"/>
      <sheetName val="ФСК"/>
      <sheetName val="ССО_2008"/>
      <sheetName val="ССО_2009"/>
      <sheetName val="материалы"/>
      <sheetName val="хознужды"/>
      <sheetName val="страховые"/>
      <sheetName val="налоги в с-ст"/>
      <sheetName val="НИОКР"/>
      <sheetName val="выпадающие"/>
      <sheetName val="аренда"/>
      <sheetName val="Di2"/>
      <sheetName val="Di"/>
      <sheetName val="16"/>
      <sheetName val="0"/>
      <sheetName val="1"/>
      <sheetName val="10"/>
      <sheetName val="11"/>
      <sheetName val="12"/>
      <sheetName val="13"/>
      <sheetName val="14"/>
      <sheetName val="15"/>
      <sheetName val="17.1"/>
      <sheetName val="17"/>
      <sheetName val="19"/>
      <sheetName val="2"/>
      <sheetName val="20"/>
      <sheetName val="21"/>
      <sheetName val="22"/>
      <sheetName val="23"/>
      <sheetName val="24.1"/>
      <sheetName val="24"/>
      <sheetName val="25"/>
      <sheetName val="26"/>
      <sheetName val="27"/>
      <sheetName val="28"/>
      <sheetName val="29"/>
      <sheetName val="3"/>
      <sheetName val="4.1"/>
      <sheetName val="4"/>
      <sheetName val="5"/>
      <sheetName val="6"/>
      <sheetName val="8"/>
      <sheetName val="9"/>
      <sheetName val="FES"/>
      <sheetName val="3 Выручка"/>
      <sheetName val="мощность"/>
      <sheetName val="Лист"/>
      <sheetName val="навигация"/>
      <sheetName val="Т12"/>
      <sheetName val="Т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6">
          <cell r="F6">
            <v>45239</v>
          </cell>
          <cell r="G6">
            <v>93657</v>
          </cell>
          <cell r="H6">
            <v>51476</v>
          </cell>
          <cell r="I6">
            <v>126750</v>
          </cell>
        </row>
        <row r="7">
          <cell r="F7">
            <v>202821</v>
          </cell>
          <cell r="G7">
            <v>102668</v>
          </cell>
          <cell r="H7">
            <v>224287</v>
          </cell>
          <cell r="I7">
            <v>144805</v>
          </cell>
        </row>
        <row r="8">
          <cell r="I8">
            <v>85062</v>
          </cell>
        </row>
        <row r="9">
          <cell r="I9">
            <v>4690</v>
          </cell>
        </row>
        <row r="10">
          <cell r="F10">
            <v>248060</v>
          </cell>
          <cell r="G10">
            <v>196325</v>
          </cell>
          <cell r="H10">
            <v>275763</v>
          </cell>
          <cell r="I10">
            <v>361307</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Свод"/>
      <sheetName val="Сетевые организации"/>
      <sheetName val="Сбытовые организации"/>
      <sheetName val="ЭСО"/>
      <sheetName val="TEH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42">
          <cell r="I42" t="str">
            <v>Новое строительство и расширение</v>
          </cell>
        </row>
        <row r="43">
          <cell r="I43" t="str">
            <v>Техническое перевооружение и реконструкция</v>
          </cell>
        </row>
        <row r="44">
          <cell r="I44" t="str">
            <v>Приобретение объектов основных средств</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ОБ03"/>
      <sheetName val="МОБ04"/>
      <sheetName val="МОБ04_старый"/>
      <sheetName val="2005сц"/>
      <sheetName val="Темпы промышл"/>
      <sheetName val="Temp"/>
      <sheetName val="Deflator"/>
      <sheetName val="окраска"/>
      <sheetName val="Matrix"/>
      <sheetName val="Лист2"/>
      <sheetName val="Matrix (2)"/>
      <sheetName val="В_2оп_цены"/>
      <sheetName val="Лист4"/>
      <sheetName val="2005 - 2008 текущие цены"/>
      <sheetName val="Печать_V2"/>
      <sheetName val="Печ 2оп"/>
      <sheetName val="СводБВ"/>
      <sheetName val="Отр"/>
      <sheetName val="ОГУ"/>
      <sheetName val="ИОК"/>
      <sheetName val="Исходные данные"/>
      <sheetName val="Расчет"/>
      <sheetName val="рабочий"/>
      <sheetName val="Текущие цены"/>
      <sheetName val="Оглавление"/>
      <sheetName val="Печать Выпусков"/>
      <sheetName val="Печать ИОК"/>
      <sheetName val="Печать фондов"/>
      <sheetName val="Огл. Графиков"/>
      <sheetName val="Баланс ОФ"/>
    </sheetNames>
    <sheetDataSet>
      <sheetData sheetId="0"/>
      <sheetData sheetId="1"/>
      <sheetData sheetId="2"/>
      <sheetData sheetId="3"/>
      <sheetData sheetId="4"/>
      <sheetData sheetId="5"/>
      <sheetData sheetId="6"/>
      <sheetData sheetId="7">
        <row r="7">
          <cell r="C7">
            <v>1</v>
          </cell>
          <cell r="D7">
            <v>0.96823653094377704</v>
          </cell>
          <cell r="E7">
            <v>0.96823653094377704</v>
          </cell>
          <cell r="F7">
            <v>1.1229601901335196</v>
          </cell>
          <cell r="G7">
            <v>1.0161446914977652</v>
          </cell>
          <cell r="H7">
            <v>0.99805999075066543</v>
          </cell>
          <cell r="I7">
            <v>1.0396119004194233</v>
          </cell>
          <cell r="J7">
            <v>0.98049752943558566</v>
          </cell>
          <cell r="K7">
            <v>0.99259132902537861</v>
          </cell>
          <cell r="L7">
            <v>1.1044472842847237</v>
          </cell>
          <cell r="M7">
            <v>1.0348386163581633</v>
          </cell>
          <cell r="N7">
            <v>1.0395740996174592</v>
          </cell>
          <cell r="O7">
            <v>1.0540458226402531</v>
          </cell>
          <cell r="P7">
            <v>0.96817585107915716</v>
          </cell>
          <cell r="Q7">
            <v>1.0294219108120777</v>
          </cell>
          <cell r="R7">
            <v>1.0399571051610308</v>
          </cell>
          <cell r="S7">
            <v>1.1119741325716432</v>
          </cell>
          <cell r="T7">
            <v>1.0990743618652594</v>
          </cell>
          <cell r="U7">
            <v>1.1000778357313643</v>
          </cell>
          <cell r="V7">
            <v>1.0230732575483696</v>
          </cell>
          <cell r="W7">
            <v>1.0561540342743616</v>
          </cell>
          <cell r="X7">
            <v>1.0313101518559431</v>
          </cell>
          <cell r="Y7">
            <v>1.0344522207555042</v>
          </cell>
          <cell r="Z7">
            <v>1.0230732575483696</v>
          </cell>
        </row>
        <row r="8">
          <cell r="C8">
            <v>1.0328054850659909</v>
          </cell>
          <cell r="D8">
            <v>1</v>
          </cell>
          <cell r="E8">
            <v>1</v>
          </cell>
          <cell r="F8">
            <v>1.1597994438806472</v>
          </cell>
          <cell r="G8">
            <v>1.0494798109995811</v>
          </cell>
          <cell r="H8">
            <v>1.0308018328721995</v>
          </cell>
          <cell r="I8">
            <v>1.0737168730930593</v>
          </cell>
          <cell r="J8">
            <v>1.0126632264947257</v>
          </cell>
          <cell r="K8">
            <v>1.0251537690463528</v>
          </cell>
          <cell r="L8">
            <v>1.1406792131755006</v>
          </cell>
          <cell r="M8">
            <v>1.0687869991328118</v>
          </cell>
          <cell r="N8">
            <v>1.0736778322174507</v>
          </cell>
          <cell r="O8">
            <v>1.0886243071337482</v>
          </cell>
          <cell r="P8">
            <v>0.99993732950298753</v>
          </cell>
          <cell r="Q8">
            <v>1.0631925959338271</v>
          </cell>
          <cell r="R8">
            <v>1.0740734024436622</v>
          </cell>
          <cell r="S8">
            <v>1.1484529833714905</v>
          </cell>
          <cell r="T8">
            <v>1.1351300294298439</v>
          </cell>
          <cell r="U8">
            <v>1.1361664227428774</v>
          </cell>
          <cell r="V8">
            <v>1.0566356720202874</v>
          </cell>
          <cell r="W8">
            <v>1.0908016796731355</v>
          </cell>
          <cell r="X8">
            <v>1.0651427816410579</v>
          </cell>
          <cell r="Y8">
            <v>1.0683879276349801</v>
          </cell>
          <cell r="Z8">
            <v>1.0566356720202874</v>
          </cell>
        </row>
        <row r="9">
          <cell r="C9">
            <v>1.0328054850659909</v>
          </cell>
          <cell r="D9">
            <v>1</v>
          </cell>
          <cell r="E9">
            <v>1</v>
          </cell>
          <cell r="F9">
            <v>1.1597994438806472</v>
          </cell>
          <cell r="G9">
            <v>1.0494798109995811</v>
          </cell>
          <cell r="H9">
            <v>1.0308018328721995</v>
          </cell>
          <cell r="I9">
            <v>1.0737168730930593</v>
          </cell>
          <cell r="J9">
            <v>1.0126632264947257</v>
          </cell>
          <cell r="K9">
            <v>1.0251537690463528</v>
          </cell>
          <cell r="L9">
            <v>1.1406792131755006</v>
          </cell>
          <cell r="M9">
            <v>1.0687869991328118</v>
          </cell>
          <cell r="N9">
            <v>1.0736778322174507</v>
          </cell>
          <cell r="O9">
            <v>1.0886243071337482</v>
          </cell>
          <cell r="P9">
            <v>0.99993732950298753</v>
          </cell>
          <cell r="Q9">
            <v>1.0631925959338271</v>
          </cell>
          <cell r="R9">
            <v>1.0740734024436622</v>
          </cell>
          <cell r="S9">
            <v>1.1484529833714905</v>
          </cell>
          <cell r="T9">
            <v>1.1351300294298439</v>
          </cell>
          <cell r="U9">
            <v>1.1361664227428774</v>
          </cell>
          <cell r="V9">
            <v>1.0566356720202874</v>
          </cell>
          <cell r="W9">
            <v>1.0908016796731355</v>
          </cell>
          <cell r="X9">
            <v>1.0651427816410579</v>
          </cell>
          <cell r="Y9">
            <v>1.0683879276349801</v>
          </cell>
          <cell r="Z9">
            <v>1.0566356720202874</v>
          </cell>
        </row>
        <row r="10">
          <cell r="C10">
            <v>0.89050351809987172</v>
          </cell>
          <cell r="D10">
            <v>0.86221803715824874</v>
          </cell>
          <cell r="E10">
            <v>0.86221803715824874</v>
          </cell>
          <cell r="F10">
            <v>1</v>
          </cell>
          <cell r="G10">
            <v>0.90488042267726876</v>
          </cell>
          <cell r="H10">
            <v>0.88877593303819302</v>
          </cell>
          <cell r="I10">
            <v>0.92577805478199005</v>
          </cell>
          <cell r="J10">
            <v>0.87313649945062155</v>
          </cell>
          <cell r="K10">
            <v>0.88390607053252701</v>
          </cell>
          <cell r="L10">
            <v>0.98351419221139569</v>
          </cell>
          <cell r="M10">
            <v>0.92152742853254788</v>
          </cell>
          <cell r="N10">
            <v>0.92574439303485401</v>
          </cell>
          <cell r="O10">
            <v>0.93863151329961891</v>
          </cell>
          <cell r="P10">
            <v>0.86216400152532702</v>
          </cell>
          <cell r="Q10">
            <v>0.91670383318724757</v>
          </cell>
          <cell r="R10">
            <v>0.92608546081885623</v>
          </cell>
          <cell r="S10">
            <v>0.9902168770911014</v>
          </cell>
          <cell r="T10">
            <v>0.97872958589438508</v>
          </cell>
          <cell r="U10">
            <v>0.97962318290247274</v>
          </cell>
          <cell r="V10">
            <v>0.91105033512071931</v>
          </cell>
          <cell r="W10">
            <v>0.94050888317669157</v>
          </cell>
          <cell r="X10">
            <v>0.91838531847983018</v>
          </cell>
          <cell r="Y10">
            <v>0.92118334188900164</v>
          </cell>
          <cell r="Z10">
            <v>0.91105033512071931</v>
          </cell>
        </row>
        <row r="11">
          <cell r="C11">
            <v>0.98411181829433314</v>
          </cell>
          <cell r="D11">
            <v>0.95285301300607783</v>
          </cell>
          <cell r="E11">
            <v>0.95285301300607783</v>
          </cell>
          <cell r="F11">
            <v>1.105118394584448</v>
          </cell>
          <cell r="G11">
            <v>1</v>
          </cell>
          <cell r="H11">
            <v>0.98220263226446269</v>
          </cell>
          <cell r="I11">
            <v>1.023094357642186</v>
          </cell>
          <cell r="J11">
            <v>0.96491920652595564</v>
          </cell>
          <cell r="K11">
            <v>0.97682085763035409</v>
          </cell>
          <cell r="L11">
            <v>1.0868996251476779</v>
          </cell>
          <cell r="M11">
            <v>1.018396912385424</v>
          </cell>
          <cell r="N11">
            <v>1.0230571574262322</v>
          </cell>
          <cell r="O11">
            <v>1.0372989510840458</v>
          </cell>
          <cell r="P11">
            <v>0.95279329723417294</v>
          </cell>
          <cell r="Q11">
            <v>1.0130662684413005</v>
          </cell>
          <cell r="R11">
            <v>1.0234340777081332</v>
          </cell>
          <cell r="S11">
            <v>1.0943068855013436</v>
          </cell>
          <cell r="T11">
            <v>1.0816120686959045</v>
          </cell>
          <cell r="U11">
            <v>1.0825995991868878</v>
          </cell>
          <cell r="V11">
            <v>1.0068184837342327</v>
          </cell>
          <cell r="W11">
            <v>1.0393736670686375</v>
          </cell>
          <cell r="X11">
            <v>1.0149245087683569</v>
          </cell>
          <cell r="Y11">
            <v>1.0180166559063102</v>
          </cell>
          <cell r="Z11">
            <v>1.0068184837342327</v>
          </cell>
        </row>
        <row r="12">
          <cell r="C12">
            <v>1.001943780200903</v>
          </cell>
          <cell r="D12">
            <v>0.97011856994241652</v>
          </cell>
          <cell r="E12">
            <v>0.97011856994241652</v>
          </cell>
          <cell r="F12">
            <v>1.1251429779175033</v>
          </cell>
          <cell r="G12">
            <v>1.0181198534303513</v>
          </cell>
          <cell r="H12">
            <v>1</v>
          </cell>
          <cell r="I12">
            <v>1.0416326774480817</v>
          </cell>
          <cell r="J12">
            <v>0.98240340112033686</v>
          </cell>
          <cell r="K12">
            <v>0.99452070839832607</v>
          </cell>
          <cell r="L12">
            <v>1.1065940870488575</v>
          </cell>
          <cell r="M12">
            <v>1.0368501151717702</v>
          </cell>
          <cell r="N12">
            <v>1.0415948031696671</v>
          </cell>
          <cell r="O12">
            <v>1.0560946560411459</v>
          </cell>
          <cell r="P12">
            <v>0.9700577721294773</v>
          </cell>
          <cell r="Q12">
            <v>1.03142288074069</v>
          </cell>
          <cell r="R12">
            <v>1.0419785531918313</v>
          </cell>
          <cell r="S12">
            <v>1.1141355658744523</v>
          </cell>
          <cell r="T12">
            <v>1.1012107208491733</v>
          </cell>
          <cell r="U12">
            <v>1.1022161452479111</v>
          </cell>
          <cell r="V12">
            <v>1.0250618870904655</v>
          </cell>
          <cell r="W12">
            <v>1.0582069655752879</v>
          </cell>
          <cell r="X12">
            <v>1.0333147921101109</v>
          </cell>
          <cell r="Y12">
            <v>1.036462968500989</v>
          </cell>
          <cell r="Z12">
            <v>1.0250618870904655</v>
          </cell>
        </row>
        <row r="13">
          <cell r="C13">
            <v>0.96189741536871376</v>
          </cell>
          <cell r="D13">
            <v>0.9313442165803888</v>
          </cell>
          <cell r="E13">
            <v>0.9313442165803888</v>
          </cell>
          <cell r="F13">
            <v>1.0801725044513919</v>
          </cell>
          <cell r="G13">
            <v>0.97742695239233945</v>
          </cell>
          <cell r="H13">
            <v>0.96003132548598746</v>
          </cell>
          <cell r="I13">
            <v>1</v>
          </cell>
          <cell r="J13">
            <v>0.94313803933949925</v>
          </cell>
          <cell r="K13">
            <v>0.95477103390690832</v>
          </cell>
          <cell r="L13">
            <v>1.0623649881644708</v>
          </cell>
          <cell r="M13">
            <v>0.99540859039865326</v>
          </cell>
          <cell r="N13">
            <v>0.99996363950629186</v>
          </cell>
          <cell r="O13">
            <v>1.0138839524778493</v>
          </cell>
          <cell r="P13">
            <v>0.93128584877544607</v>
          </cell>
          <cell r="Q13">
            <v>0.99019827533406013</v>
          </cell>
          <cell r="R13">
            <v>1.0003320515487253</v>
          </cell>
          <cell r="S13">
            <v>1.0696050440775311</v>
          </cell>
          <cell r="T13">
            <v>1.0571967879762116</v>
          </cell>
          <cell r="U13">
            <v>1.0581620268944079</v>
          </cell>
          <cell r="V13">
            <v>0.98409152216862716</v>
          </cell>
          <cell r="W13">
            <v>1.0159118357997485</v>
          </cell>
          <cell r="X13">
            <v>0.99201456951374734</v>
          </cell>
          <cell r="Y13">
            <v>0.99503691746714573</v>
          </cell>
          <cell r="Z13">
            <v>0.98409152216862716</v>
          </cell>
        </row>
        <row r="14">
          <cell r="C14">
            <v>1.0198903821569452</v>
          </cell>
          <cell r="D14">
            <v>0.98749512556256358</v>
          </cell>
          <cell r="E14">
            <v>0.98749512556256358</v>
          </cell>
          <cell r="F14">
            <v>1.1452962974623109</v>
          </cell>
          <cell r="G14">
            <v>1.0363561977384068</v>
          </cell>
          <cell r="H14">
            <v>1.0179117853822532</v>
          </cell>
          <cell r="I14">
            <v>1.0602901784136736</v>
          </cell>
          <cell r="J14">
            <v>1</v>
          </cell>
          <cell r="K14">
            <v>1.0123343498853634</v>
          </cell>
          <cell r="L14">
            <v>1.126415162841347</v>
          </cell>
          <cell r="M14">
            <v>1.0554219519082915</v>
          </cell>
          <cell r="N14">
            <v>1.0602516257393126</v>
          </cell>
          <cell r="O14">
            <v>1.0750111968634994</v>
          </cell>
          <cell r="P14">
            <v>0.9874332387522472</v>
          </cell>
          <cell r="Q14">
            <v>1.0498975060188624</v>
          </cell>
          <cell r="R14">
            <v>1.060642249409514</v>
          </cell>
          <cell r="S14">
            <v>1.1340917230171306</v>
          </cell>
          <cell r="T14">
            <v>1.1209353709416601</v>
          </cell>
          <cell r="U14">
            <v>1.1219588042864463</v>
          </cell>
          <cell r="V14">
            <v>1.0434225756155573</v>
          </cell>
          <cell r="W14">
            <v>1.077161341632678</v>
          </cell>
          <cell r="X14">
            <v>1.0518233048986947</v>
          </cell>
          <cell r="Y14">
            <v>1.0550278707494318</v>
          </cell>
          <cell r="Z14">
            <v>1.0434225756155573</v>
          </cell>
        </row>
        <row r="15">
          <cell r="C15">
            <v>1.0074639690655931</v>
          </cell>
          <cell r="D15">
            <v>0.9754634184589186</v>
          </cell>
          <cell r="E15">
            <v>0.9754634184589186</v>
          </cell>
          <cell r="F15">
            <v>1.1313419302545686</v>
          </cell>
          <cell r="G15">
            <v>1.0237291640412713</v>
          </cell>
          <cell r="H15">
            <v>1.0055094796472346</v>
          </cell>
          <cell r="I15">
            <v>1.0473715314843763</v>
          </cell>
          <cell r="J15">
            <v>0.98781593266418333</v>
          </cell>
          <cell r="K15">
            <v>1</v>
          </cell>
          <cell r="L15">
            <v>1.1126908446492032</v>
          </cell>
          <cell r="M15">
            <v>1.0425626197785418</v>
          </cell>
          <cell r="N15">
            <v>1.0473334485383958</v>
          </cell>
          <cell r="O15">
            <v>1.0619131880541577</v>
          </cell>
          <cell r="P15">
            <v>0.97540228568166631</v>
          </cell>
          <cell r="Q15">
            <v>1.0371054841098228</v>
          </cell>
          <cell r="R15">
            <v>1.0477193128234965</v>
          </cell>
          <cell r="S15">
            <v>1.1202738730988977</v>
          </cell>
          <cell r="T15">
            <v>1.1072778189030084</v>
          </cell>
          <cell r="U15">
            <v>1.1082887826670078</v>
          </cell>
          <cell r="V15">
            <v>1.0307094446945462</v>
          </cell>
          <cell r="W15">
            <v>1.0640371353146869</v>
          </cell>
          <cell r="X15">
            <v>1.039007818926428</v>
          </cell>
          <cell r="Y15">
            <v>1.0421733401310576</v>
          </cell>
          <cell r="Z15">
            <v>1.0307094446945462</v>
          </cell>
        </row>
        <row r="16">
          <cell r="C16">
            <v>0.90543026745512145</v>
          </cell>
          <cell r="D16">
            <v>0.87667066117224302</v>
          </cell>
          <cell r="E16">
            <v>0.87667066117224302</v>
          </cell>
          <cell r="F16">
            <v>1.0167621452940465</v>
          </cell>
          <cell r="G16">
            <v>0.92004815979592347</v>
          </cell>
          <cell r="H16">
            <v>0.90367372436163107</v>
          </cell>
          <cell r="I16">
            <v>0.94129608104628559</v>
          </cell>
          <cell r="J16">
            <v>0.8877721403159482</v>
          </cell>
          <cell r="K16">
            <v>0.89872223251308303</v>
          </cell>
          <cell r="L16">
            <v>1</v>
          </cell>
          <cell r="M16">
            <v>0.93697420518205954</v>
          </cell>
          <cell r="N16">
            <v>0.9412618550560532</v>
          </cell>
          <cell r="O16">
            <v>0.95436499110311801</v>
          </cell>
          <cell r="P16">
            <v>0.87661571978619113</v>
          </cell>
          <cell r="Q16">
            <v>0.9320697560307416</v>
          </cell>
          <cell r="R16">
            <v>0.94160863986780607</v>
          </cell>
          <cell r="S16">
            <v>1.0068150362575194</v>
          </cell>
          <cell r="T16">
            <v>0.99513519341672885</v>
          </cell>
          <cell r="U16">
            <v>0.99604376902770042</v>
          </cell>
          <cell r="V16">
            <v>0.92632149320820267</v>
          </cell>
          <cell r="W16">
            <v>0.95627382972684083</v>
          </cell>
          <cell r="X16">
            <v>0.9337794266241084</v>
          </cell>
          <cell r="Y16">
            <v>0.93662435090820051</v>
          </cell>
          <cell r="Z16">
            <v>0.92632149320820267</v>
          </cell>
        </row>
        <row r="17">
          <cell r="C17">
            <v>0.96633425173021814</v>
          </cell>
          <cell r="D17">
            <v>0.935640123627417</v>
          </cell>
          <cell r="E17">
            <v>0.935640123627417</v>
          </cell>
          <cell r="F17">
            <v>1.0851548950554981</v>
          </cell>
          <cell r="G17">
            <v>0.9819354201081264</v>
          </cell>
          <cell r="H17">
            <v>0.96445955434391273</v>
          </cell>
          <cell r="I17">
            <v>1.0046125878816334</v>
          </cell>
          <cell r="J17">
            <v>0.9474883464304642</v>
          </cell>
          <cell r="K17">
            <v>0.95917499920764204</v>
          </cell>
          <cell r="L17">
            <v>1.06726524003475</v>
          </cell>
          <cell r="M17">
            <v>1</v>
          </cell>
          <cell r="N17">
            <v>1.0045760596719528</v>
          </cell>
          <cell r="O17">
            <v>1.0185605813104313</v>
          </cell>
          <cell r="P17">
            <v>0.9355814865958445</v>
          </cell>
          <cell r="Q17">
            <v>0.99476565189928046</v>
          </cell>
          <cell r="R17">
            <v>1.0049461710473084</v>
          </cell>
          <cell r="S17">
            <v>1.0745386913419772</v>
          </cell>
          <cell r="T17">
            <v>1.0620732010689327</v>
          </cell>
          <cell r="U17">
            <v>1.0630428922364659</v>
          </cell>
          <cell r="V17">
            <v>0.98863073079820052</v>
          </cell>
          <cell r="W17">
            <v>1.0205978184223665</v>
          </cell>
          <cell r="X17">
            <v>0.99659032389549029</v>
          </cell>
          <cell r="Y17">
            <v>0.99962661269443265</v>
          </cell>
          <cell r="Z17">
            <v>0.98863073079820052</v>
          </cell>
        </row>
        <row r="18">
          <cell r="C18">
            <v>0.96193239170539002</v>
          </cell>
          <cell r="D18">
            <v>0.93137808194727734</v>
          </cell>
          <cell r="E18">
            <v>0.93137808194727734</v>
          </cell>
          <cell r="F18">
            <v>1.080211781485076</v>
          </cell>
          <cell r="G18">
            <v>0.97746249341118108</v>
          </cell>
          <cell r="H18">
            <v>0.96006623396824708</v>
          </cell>
          <cell r="I18">
            <v>1.0000363618158417</v>
          </cell>
          <cell r="J18">
            <v>0.943172333551199</v>
          </cell>
          <cell r="K18">
            <v>0.95480575111541421</v>
          </cell>
          <cell r="L18">
            <v>1.0624036176845273</v>
          </cell>
          <cell r="M18">
            <v>0.99544478526250457</v>
          </cell>
          <cell r="N18">
            <v>1</v>
          </cell>
          <cell r="O18">
            <v>1.0139208191394142</v>
          </cell>
          <cell r="P18">
            <v>0.93131971201997521</v>
          </cell>
          <cell r="Q18">
            <v>0.99023428074139463</v>
          </cell>
          <cell r="R18">
            <v>1.0003684254385643</v>
          </cell>
          <cell r="S18">
            <v>1.0696439368591673</v>
          </cell>
          <cell r="T18">
            <v>1.0572352295711245</v>
          </cell>
          <cell r="U18">
            <v>1.0582005035871604</v>
          </cell>
          <cell r="V18">
            <v>0.98412730552332772</v>
          </cell>
          <cell r="W18">
            <v>1.0159487761988333</v>
          </cell>
          <cell r="X18">
            <v>0.99205064096483631</v>
          </cell>
          <cell r="Y18">
            <v>0.99507309881629435</v>
          </cell>
          <cell r="Z18">
            <v>0.98412730552332772</v>
          </cell>
        </row>
        <row r="19">
          <cell r="C19">
            <v>0.94872535758941179</v>
          </cell>
          <cell r="D19">
            <v>0.91859054905076643</v>
          </cell>
          <cell r="E19">
            <v>0.91859054905076643</v>
          </cell>
          <cell r="F19">
            <v>1.0653808079430973</v>
          </cell>
          <cell r="G19">
            <v>0.96404223580379989</v>
          </cell>
          <cell r="H19">
            <v>0.94688482162061016</v>
          </cell>
          <cell r="I19">
            <v>0.98630617197962545</v>
          </cell>
          <cell r="J19">
            <v>0.93022286922931086</v>
          </cell>
          <cell r="K19">
            <v>0.94169656356975184</v>
          </cell>
          <cell r="L19">
            <v>1.0478171447216793</v>
          </cell>
          <cell r="M19">
            <v>0.98177763635173065</v>
          </cell>
          <cell r="N19">
            <v>0.98627030940026483</v>
          </cell>
          <cell r="O19">
            <v>1</v>
          </cell>
          <cell r="P19">
            <v>0.91853298052450649</v>
          </cell>
          <cell r="Q19">
            <v>0.97663867044556396</v>
          </cell>
          <cell r="R19">
            <v>0.98663367647154854</v>
          </cell>
          <cell r="S19">
            <v>1.0549580565542083</v>
          </cell>
          <cell r="T19">
            <v>1.0427197169779729</v>
          </cell>
          <cell r="U19">
            <v>1.0436717380804248</v>
          </cell>
          <cell r="V19">
            <v>0.97061554210774137</v>
          </cell>
          <cell r="W19">
            <v>1.0020001138364436</v>
          </cell>
          <cell r="X19">
            <v>0.97843009260512015</v>
          </cell>
          <cell r="Y19">
            <v>0.98141105304542697</v>
          </cell>
          <cell r="Z19">
            <v>0.97061554210774137</v>
          </cell>
        </row>
        <row r="20">
          <cell r="C20">
            <v>1.0328702155557492</v>
          </cell>
          <cell r="D20">
            <v>1.0000626744248498</v>
          </cell>
          <cell r="E20">
            <v>1.0000626744248498</v>
          </cell>
          <cell r="F20">
            <v>1.1598721336437334</v>
          </cell>
          <cell r="G20">
            <v>1.0495455865431271</v>
          </cell>
          <cell r="H20">
            <v>1.0308664377842089</v>
          </cell>
          <cell r="I20">
            <v>1.0737841676805318</v>
          </cell>
          <cell r="J20">
            <v>1.0127266945800129</v>
          </cell>
          <cell r="K20">
            <v>1.0252180199692102</v>
          </cell>
          <cell r="L20">
            <v>1.1407507045891245</v>
          </cell>
          <cell r="M20">
            <v>1.0688539847432694</v>
          </cell>
          <cell r="N20">
            <v>1.0737451243580589</v>
          </cell>
          <cell r="O20">
            <v>1.0886925360360753</v>
          </cell>
          <cell r="P20">
            <v>1</v>
          </cell>
          <cell r="Q20">
            <v>1.0632592309182818</v>
          </cell>
          <cell r="R20">
            <v>1.0741407193764068</v>
          </cell>
          <cell r="S20">
            <v>1.1485249620016902</v>
          </cell>
          <cell r="T20">
            <v>1.1352011730515681</v>
          </cell>
          <cell r="U20">
            <v>1.1362376313199563</v>
          </cell>
          <cell r="V20">
            <v>1.056701896053307</v>
          </cell>
          <cell r="W20">
            <v>1.090870045041034</v>
          </cell>
          <cell r="X20">
            <v>1.0652095388522802</v>
          </cell>
          <cell r="Y20">
            <v>1.0684548882338611</v>
          </cell>
          <cell r="Z20">
            <v>1.056701896053307</v>
          </cell>
        </row>
        <row r="21">
          <cell r="C21">
            <v>0.97141899691170586</v>
          </cell>
          <cell r="D21">
            <v>0.94056335966267368</v>
          </cell>
          <cell r="E21">
            <v>0.94056335966267368</v>
          </cell>
          <cell r="F21">
            <v>1.0908648614712819</v>
          </cell>
          <cell r="G21">
            <v>0.98710225693191389</v>
          </cell>
          <cell r="H21">
            <v>0.96953443507271786</v>
          </cell>
          <cell r="I21">
            <v>1.0098987494829084</v>
          </cell>
          <cell r="J21">
            <v>0.95247392651872242</v>
          </cell>
          <cell r="K21">
            <v>0.96422207318509023</v>
          </cell>
          <cell r="L21">
            <v>1.072881073041724</v>
          </cell>
          <cell r="M21">
            <v>1.0052618906681445</v>
          </cell>
          <cell r="N21">
            <v>1.009862029065782</v>
          </cell>
          <cell r="O21">
            <v>1.0239201357281686</v>
          </cell>
          <cell r="P21">
            <v>0.94050441408945196</v>
          </cell>
          <cell r="Q21">
            <v>1</v>
          </cell>
          <cell r="R21">
            <v>1.01023408792673</v>
          </cell>
          <cell r="S21">
            <v>1.0801927964545097</v>
          </cell>
          <cell r="T21">
            <v>1.0676617141345237</v>
          </cell>
          <cell r="U21">
            <v>1.0686365077109623</v>
          </cell>
          <cell r="V21">
            <v>0.99383279761482846</v>
          </cell>
          <cell r="W21">
            <v>1.0259680925590517</v>
          </cell>
          <cell r="X21">
            <v>1.0018342732207592</v>
          </cell>
          <cell r="Y21">
            <v>1.0048865386393984</v>
          </cell>
          <cell r="Z21">
            <v>0.99383279761482846</v>
          </cell>
        </row>
        <row r="22">
          <cell r="C22">
            <v>0.9615781218641285</v>
          </cell>
          <cell r="D22">
            <v>0.9310350649451562</v>
          </cell>
          <cell r="E22">
            <v>0.9310350649451562</v>
          </cell>
          <cell r="F22">
            <v>1.0798139505567743</v>
          </cell>
          <cell r="G22">
            <v>0.97710250399262533</v>
          </cell>
          <cell r="H22">
            <v>0.95971265141375428</v>
          </cell>
          <cell r="I22">
            <v>0.99966805867290642</v>
          </cell>
          <cell r="J22">
            <v>0.94282497284708855</v>
          </cell>
          <cell r="K22">
            <v>0.95445410594284275</v>
          </cell>
          <cell r="L22">
            <v>1.062012345320442</v>
          </cell>
          <cell r="M22">
            <v>0.99507817315015601</v>
          </cell>
          <cell r="N22">
            <v>0.99963171024874886</v>
          </cell>
          <cell r="O22">
            <v>1.013547402493145</v>
          </cell>
          <cell r="P22">
            <v>0.9309767165149001</v>
          </cell>
          <cell r="Q22">
            <v>0.98986958760445998</v>
          </cell>
          <cell r="R22">
            <v>1</v>
          </cell>
          <cell r="S22">
            <v>1.0692499979597341</v>
          </cell>
          <cell r="T22">
            <v>1.0568458606714117</v>
          </cell>
          <cell r="U22">
            <v>1.0578107791869207</v>
          </cell>
          <cell r="V22">
            <v>0.98376486152277709</v>
          </cell>
          <cell r="W22">
            <v>1.0155746126767631</v>
          </cell>
          <cell r="X22">
            <v>0.99168527888104685</v>
          </cell>
          <cell r="Y22">
            <v>0.99470662359225459</v>
          </cell>
          <cell r="Z22">
            <v>0.98376486152277709</v>
          </cell>
        </row>
        <row r="23">
          <cell r="C23">
            <v>0.89930149515917013</v>
          </cell>
          <cell r="D23">
            <v>0.87073655994546684</v>
          </cell>
          <cell r="E23">
            <v>0.87073655994546684</v>
          </cell>
          <cell r="F23">
            <v>1.0098797779913002</v>
          </cell>
          <cell r="G23">
            <v>0.91382044036199406</v>
          </cell>
          <cell r="H23">
            <v>0.89755684194062102</v>
          </cell>
          <cell r="I23">
            <v>0.93492453643245377</v>
          </cell>
          <cell r="J23">
            <v>0.88176289422129472</v>
          </cell>
          <cell r="K23">
            <v>0.8926388662745508</v>
          </cell>
          <cell r="L23">
            <v>0.99323109408173715</v>
          </cell>
          <cell r="M23">
            <v>0.93063191493934316</v>
          </cell>
          <cell r="N23">
            <v>0.93489054211472922</v>
          </cell>
          <cell r="O23">
            <v>0.94790498426665726</v>
          </cell>
          <cell r="P23">
            <v>0.87068199045248817</v>
          </cell>
          <cell r="Q23">
            <v>0.92576066354291142</v>
          </cell>
          <cell r="R23">
            <v>0.9352349795727174</v>
          </cell>
          <cell r="S23">
            <v>1</v>
          </cell>
          <cell r="T23">
            <v>0.98839921691653876</v>
          </cell>
          <cell r="U23">
            <v>0.98930164246468</v>
          </cell>
          <cell r="V23">
            <v>0.92005131017061159</v>
          </cell>
          <cell r="W23">
            <v>0.94980090214132296</v>
          </cell>
          <cell r="X23">
            <v>0.92745876153688045</v>
          </cell>
          <cell r="Y23">
            <v>0.93028442879614892</v>
          </cell>
          <cell r="Z23">
            <v>0.92005131017061159</v>
          </cell>
        </row>
        <row r="24">
          <cell r="C24">
            <v>0.90985654355805501</v>
          </cell>
          <cell r="D24">
            <v>0.8809563433911467</v>
          </cell>
          <cell r="E24">
            <v>0.8809563433911467</v>
          </cell>
          <cell r="F24">
            <v>1.0217326771481803</v>
          </cell>
          <cell r="G24">
            <v>0.92454589676102283</v>
          </cell>
          <cell r="H24">
            <v>0.90809141344798483</v>
          </cell>
          <cell r="I24">
            <v>0.94589769035743743</v>
          </cell>
          <cell r="J24">
            <v>0.89211209309947426</v>
          </cell>
          <cell r="K24">
            <v>0.90311571579272709</v>
          </cell>
          <cell r="L24">
            <v>1.0048885886213794</v>
          </cell>
          <cell r="M24">
            <v>0.94155468662003861</v>
          </cell>
          <cell r="N24">
            <v>0.94586329705041861</v>
          </cell>
          <cell r="O24">
            <v>0.95903048893926746</v>
          </cell>
          <cell r="P24">
            <v>0.88090113341926013</v>
          </cell>
          <cell r="Q24">
            <v>0.93662626163440532</v>
          </cell>
          <cell r="R24">
            <v>0.94621177715045623</v>
          </cell>
          <cell r="S24">
            <v>1.0117369407876016</v>
          </cell>
          <cell r="T24">
            <v>1</v>
          </cell>
          <cell r="U24">
            <v>1.0009130172633649</v>
          </cell>
          <cell r="V24">
            <v>0.93084989791963935</v>
          </cell>
          <cell r="W24">
            <v>0.96094865908976634</v>
          </cell>
          <cell r="X24">
            <v>0.93834429010398113</v>
          </cell>
          <cell r="Y24">
            <v>0.94120312205255718</v>
          </cell>
          <cell r="Z24">
            <v>0.93084989791963935</v>
          </cell>
        </row>
        <row r="25">
          <cell r="C25">
            <v>0.90902658659163904</v>
          </cell>
          <cell r="D25">
            <v>0.88015274873715155</v>
          </cell>
          <cell r="E25">
            <v>0.88015274873715155</v>
          </cell>
          <cell r="F25">
            <v>1.0208006685153712</v>
          </cell>
          <cell r="G25">
            <v>0.92370254039542765</v>
          </cell>
          <cell r="H25">
            <v>0.90726306660576028</v>
          </cell>
          <cell r="I25">
            <v>0.94503485721831537</v>
          </cell>
          <cell r="J25">
            <v>0.89129832234436557</v>
          </cell>
          <cell r="K25">
            <v>0.90229190770439849</v>
          </cell>
          <cell r="L25">
            <v>1.0039719449037481</v>
          </cell>
          <cell r="M25">
            <v>0.94069581510127587</v>
          </cell>
          <cell r="N25">
            <v>0.94500049528433561</v>
          </cell>
          <cell r="O25">
            <v>0.95815567626584563</v>
          </cell>
          <cell r="P25">
            <v>0.88009758912694136</v>
          </cell>
          <cell r="Q25">
            <v>0.93577188574814563</v>
          </cell>
          <cell r="R25">
            <v>0.94534865750625408</v>
          </cell>
          <cell r="S25">
            <v>1.0108140501097995</v>
          </cell>
          <cell r="T25">
            <v>0.99908781557676074</v>
          </cell>
          <cell r="U25">
            <v>1</v>
          </cell>
          <cell r="V25">
            <v>0.93000079114238332</v>
          </cell>
          <cell r="W25">
            <v>0.96007209669141202</v>
          </cell>
          <cell r="X25">
            <v>0.93748834705891282</v>
          </cell>
          <cell r="Y25">
            <v>0.94034457122551673</v>
          </cell>
          <cell r="Z25">
            <v>0.93000079114238332</v>
          </cell>
        </row>
        <row r="26">
          <cell r="C26">
            <v>0.97744711106645388</v>
          </cell>
          <cell r="D26">
            <v>0.94640000000000002</v>
          </cell>
          <cell r="E26">
            <v>0.94640000000000002</v>
          </cell>
          <cell r="F26">
            <v>1.0976341936886445</v>
          </cell>
          <cell r="G26">
            <v>0.9932276931300037</v>
          </cell>
          <cell r="H26">
            <v>0.9755508546302496</v>
          </cell>
          <cell r="I26">
            <v>1.0161656486952713</v>
          </cell>
          <cell r="J26">
            <v>0.95838447755460854</v>
          </cell>
          <cell r="K26">
            <v>0.97020552702546825</v>
          </cell>
          <cell r="L26">
            <v>1.0795388073492937</v>
          </cell>
          <cell r="M26">
            <v>1.0115000159792931</v>
          </cell>
          <cell r="N26">
            <v>1.0161287004105954</v>
          </cell>
          <cell r="O26">
            <v>1.0302740442713794</v>
          </cell>
          <cell r="P26">
            <v>0.94634068864162746</v>
          </cell>
          <cell r="Q26">
            <v>1.006205472791774</v>
          </cell>
          <cell r="R26">
            <v>1.0165030680726819</v>
          </cell>
          <cell r="S26">
            <v>1.0868959034627785</v>
          </cell>
          <cell r="T26">
            <v>1.0742870598524041</v>
          </cell>
          <cell r="U26">
            <v>1.0752679024838592</v>
          </cell>
          <cell r="V26">
            <v>1</v>
          </cell>
          <cell r="W26">
            <v>1.0323347096426554</v>
          </cell>
          <cell r="X26">
            <v>1.0080511285450973</v>
          </cell>
          <cell r="Y26">
            <v>1.0111223347137452</v>
          </cell>
          <cell r="Z26">
            <v>1</v>
          </cell>
        </row>
        <row r="27">
          <cell r="C27">
            <v>0.94683158663220679</v>
          </cell>
          <cell r="D27">
            <v>0.9167569308287602</v>
          </cell>
          <cell r="E27">
            <v>0.9167569308287602</v>
          </cell>
          <cell r="F27">
            <v>1.0632541785489249</v>
          </cell>
          <cell r="G27">
            <v>0.96211789049872332</v>
          </cell>
          <cell r="H27">
            <v>0.94499472459657818</v>
          </cell>
          <cell r="I27">
            <v>0.98433738515584634</v>
          </cell>
          <cell r="J27">
            <v>0.92836603148445451</v>
          </cell>
          <cell r="K27">
            <v>0.93981682293847002</v>
          </cell>
          <cell r="L27">
            <v>1.0457255745309371</v>
          </cell>
          <cell r="M27">
            <v>0.97981788903467726</v>
          </cell>
          <cell r="N27">
            <v>0.9843015941625467</v>
          </cell>
          <cell r="O27">
            <v>0.99800387863352058</v>
          </cell>
          <cell r="P27">
            <v>0.91669947721626555</v>
          </cell>
          <cell r="Q27">
            <v>0.97468918112815761</v>
          </cell>
          <cell r="R27">
            <v>0.98466423590905561</v>
          </cell>
          <cell r="S27">
            <v>1.0528522322367808</v>
          </cell>
          <cell r="T27">
            <v>1.0406383218716639</v>
          </cell>
          <cell r="U27">
            <v>1.0415884426244519</v>
          </cell>
          <cell r="V27">
            <v>0.96867807568550313</v>
          </cell>
          <cell r="W27">
            <v>1</v>
          </cell>
          <cell r="X27">
            <v>0.97647702739166464</v>
          </cell>
          <cell r="Y27">
            <v>0.97945203747314391</v>
          </cell>
          <cell r="Z27">
            <v>0.96867807568550313</v>
          </cell>
        </row>
        <row r="28">
          <cell r="C28">
            <v>0.9696404114711783</v>
          </cell>
          <cell r="D28">
            <v>0.93884126826575032</v>
          </cell>
          <cell r="E28">
            <v>0.93884126826575032</v>
          </cell>
          <cell r="F28">
            <v>1.0888675808268184</v>
          </cell>
          <cell r="G28">
            <v>0.98529495677814671</v>
          </cell>
          <cell r="H28">
            <v>0.9677593001043957</v>
          </cell>
          <cell r="I28">
            <v>1.0080497108930233</v>
          </cell>
          <cell r="J28">
            <v>0.95073002788839511</v>
          </cell>
          <cell r="K28">
            <v>0.96245666469889191</v>
          </cell>
          <cell r="L28">
            <v>1.070916719182065</v>
          </cell>
          <cell r="M28">
            <v>1.0034213417717943</v>
          </cell>
          <cell r="N28">
            <v>1.008013057707853</v>
          </cell>
          <cell r="O28">
            <v>1.0220454251743718</v>
          </cell>
          <cell r="P28">
            <v>0.93878243061685229</v>
          </cell>
          <cell r="Q28">
            <v>0.99816908517726965</v>
          </cell>
          <cell r="R28">
            <v>1.0083844353607174</v>
          </cell>
          <cell r="S28">
            <v>1.0782150554520746</v>
          </cell>
          <cell r="T28">
            <v>1.065706916476453</v>
          </cell>
          <cell r="U28">
            <v>1.0666799252888834</v>
          </cell>
          <cell r="V28">
            <v>0.99201317441435988</v>
          </cell>
          <cell r="W28">
            <v>1.0240896323707371</v>
          </cell>
          <cell r="X28">
            <v>1</v>
          </cell>
          <cell r="Y28">
            <v>1.0030466769806414</v>
          </cell>
          <cell r="Z28">
            <v>0.99201317441435988</v>
          </cell>
        </row>
        <row r="29">
          <cell r="C29">
            <v>0.96669520344753834</v>
          </cell>
          <cell r="D29">
            <v>0.93598961026603322</v>
          </cell>
          <cell r="E29">
            <v>0.93598961026603322</v>
          </cell>
          <cell r="F29">
            <v>1.085560229464609</v>
          </cell>
          <cell r="G29">
            <v>0.98230219927956819</v>
          </cell>
          <cell r="H29">
            <v>0.96481980581156268</v>
          </cell>
          <cell r="I29">
            <v>1.0049878375824364</v>
          </cell>
          <cell r="J29">
            <v>0.94784225869754213</v>
          </cell>
          <cell r="K29">
            <v>0.95953327675245081</v>
          </cell>
          <cell r="L29">
            <v>1.0676638921787023</v>
          </cell>
          <cell r="M29">
            <v>1.0003735267757237</v>
          </cell>
          <cell r="N29">
            <v>1.0049512957284912</v>
          </cell>
          <cell r="O29">
            <v>1.0189410409602475</v>
          </cell>
          <cell r="P29">
            <v>0.93593095133195936</v>
          </cell>
          <cell r="Q29">
            <v>0.995137223505835</v>
          </cell>
          <cell r="R29">
            <v>1.0053215453503557</v>
          </cell>
          <cell r="S29">
            <v>1.0749400603147445</v>
          </cell>
          <cell r="T29">
            <v>1.0624699138473104</v>
          </cell>
          <cell r="U29">
            <v>1.0634399672204589</v>
          </cell>
          <cell r="V29">
            <v>0.98900001084745692</v>
          </cell>
          <cell r="W29">
            <v>1.0209790390347924</v>
          </cell>
          <cell r="X29">
            <v>0.99696257706589242</v>
          </cell>
          <cell r="Y29">
            <v>1</v>
          </cell>
          <cell r="Z29">
            <v>0.98900001084745692</v>
          </cell>
        </row>
        <row r="30">
          <cell r="C30">
            <v>0.97744711106645388</v>
          </cell>
          <cell r="D30">
            <v>0.94640000000000002</v>
          </cell>
          <cell r="E30">
            <v>0.94640000000000002</v>
          </cell>
          <cell r="F30">
            <v>1.0976341936886445</v>
          </cell>
          <cell r="G30">
            <v>0.9932276931300037</v>
          </cell>
          <cell r="H30">
            <v>0.9755508546302496</v>
          </cell>
          <cell r="I30">
            <v>1.0161656486952713</v>
          </cell>
          <cell r="J30">
            <v>0.95838447755460854</v>
          </cell>
          <cell r="K30">
            <v>0.97020552702546825</v>
          </cell>
          <cell r="L30">
            <v>1.0795388073492937</v>
          </cell>
          <cell r="M30">
            <v>1.0115000159792931</v>
          </cell>
          <cell r="N30">
            <v>1.0161287004105954</v>
          </cell>
          <cell r="O30">
            <v>1.0302740442713794</v>
          </cell>
          <cell r="P30">
            <v>0.94634068864162746</v>
          </cell>
          <cell r="Q30">
            <v>1.006205472791774</v>
          </cell>
          <cell r="R30">
            <v>1.0165030680726819</v>
          </cell>
          <cell r="S30">
            <v>1.0868959034627785</v>
          </cell>
          <cell r="T30">
            <v>1.0742870598524041</v>
          </cell>
          <cell r="U30">
            <v>1.0752679024838592</v>
          </cell>
          <cell r="V30">
            <v>1</v>
          </cell>
          <cell r="W30">
            <v>1.0323347096426554</v>
          </cell>
          <cell r="X30">
            <v>1.0080511285450973</v>
          </cell>
          <cell r="Y30">
            <v>1.0111223347137452</v>
          </cell>
          <cell r="Z30">
            <v>1</v>
          </cell>
        </row>
        <row r="35">
          <cell r="C35">
            <v>1</v>
          </cell>
          <cell r="D35">
            <v>1.0564883797632827</v>
          </cell>
          <cell r="E35">
            <v>1.0319598161524466</v>
          </cell>
          <cell r="F35">
            <v>0.98631379372443007</v>
          </cell>
          <cell r="G35">
            <v>1.0319598161524466</v>
          </cell>
          <cell r="H35">
            <v>0.99329849279588001</v>
          </cell>
          <cell r="I35">
            <v>0.99618373310284902</v>
          </cell>
          <cell r="J35">
            <v>0.99593490107989358</v>
          </cell>
          <cell r="K35">
            <v>0.99953652538857651</v>
          </cell>
          <cell r="L35">
            <v>0.99953652538857651</v>
          </cell>
          <cell r="M35">
            <v>1.016987679079665</v>
          </cell>
          <cell r="N35">
            <v>0.99108442069876046</v>
          </cell>
          <cell r="O35">
            <v>1.0072822285418261</v>
          </cell>
          <cell r="P35">
            <v>1.0080951997231959</v>
          </cell>
          <cell r="Q35">
            <v>1.0221479140528664</v>
          </cell>
          <cell r="R35">
            <v>0.99127258324581358</v>
          </cell>
          <cell r="S35">
            <v>1.0433678429060247</v>
          </cell>
          <cell r="T35">
            <v>1.0193878386773862</v>
          </cell>
          <cell r="U35">
            <v>1.032011785131977</v>
          </cell>
          <cell r="V35">
            <v>0.99538462572361075</v>
          </cell>
          <cell r="W35">
            <v>0.96783410234161693</v>
          </cell>
          <cell r="X35">
            <v>0.98735739841575454</v>
          </cell>
          <cell r="Y35">
            <v>0.96697895601099526</v>
          </cell>
          <cell r="Z35">
            <v>0.98303921657991655</v>
          </cell>
        </row>
        <row r="36">
          <cell r="C36">
            <v>0.94653194408447772</v>
          </cell>
          <cell r="D36">
            <v>1</v>
          </cell>
          <cell r="E36">
            <v>0.97678293099983549</v>
          </cell>
          <cell r="F36">
            <v>0.93357751265132127</v>
          </cell>
          <cell r="G36">
            <v>0.97678293099983549</v>
          </cell>
          <cell r="H36">
            <v>0.94018875344226593</v>
          </cell>
          <cell r="I36">
            <v>0.94291972555917214</v>
          </cell>
          <cell r="J36">
            <v>0.94268419810073367</v>
          </cell>
          <cell r="K36">
            <v>0.94609325055949323</v>
          </cell>
          <cell r="L36">
            <v>0.94609325055949323</v>
          </cell>
          <cell r="M36">
            <v>0.96261132498923629</v>
          </cell>
          <cell r="N36">
            <v>0.93809306347583621</v>
          </cell>
          <cell r="O36">
            <v>0.95342480602343982</v>
          </cell>
          <cell r="P36">
            <v>0.9541943092162265</v>
          </cell>
          <cell r="Q36">
            <v>0.96749565223035339</v>
          </cell>
          <cell r="R36">
            <v>0.93827116533730215</v>
          </cell>
          <cell r="S36">
            <v>0.98758099274106748</v>
          </cell>
          <cell r="T36">
            <v>0.96488315271938041</v>
          </cell>
          <cell r="U36">
            <v>0.97683212129906261</v>
          </cell>
          <cell r="V36">
            <v>0.94216334489796949</v>
          </cell>
          <cell r="W36">
            <v>0.91608589444066602</v>
          </cell>
          <cell r="X36">
            <v>0.93456531782865637</v>
          </cell>
          <cell r="Y36">
            <v>0.91527647112186605</v>
          </cell>
          <cell r="Z36">
            <v>0.93047802078067032</v>
          </cell>
        </row>
        <row r="37">
          <cell r="C37">
            <v>0.96902997999320817</v>
          </cell>
          <cell r="D37">
            <v>1.0237689135050707</v>
          </cell>
          <cell r="E37">
            <v>1</v>
          </cell>
          <cell r="F37">
            <v>0.95576763579980961</v>
          </cell>
          <cell r="G37">
            <v>1</v>
          </cell>
          <cell r="H37">
            <v>0.96253601860127547</v>
          </cell>
          <cell r="I37">
            <v>0.96533190295821314</v>
          </cell>
          <cell r="J37">
            <v>0.96509077726798698</v>
          </cell>
          <cell r="K37">
            <v>0.9685808591997731</v>
          </cell>
          <cell r="L37">
            <v>0.9685808591997731</v>
          </cell>
          <cell r="M37">
            <v>0.98549155031190694</v>
          </cell>
          <cell r="N37">
            <v>0.96039051636130013</v>
          </cell>
          <cell r="O37">
            <v>0.97608667777139979</v>
          </cell>
          <cell r="P37">
            <v>0.97687447121901771</v>
          </cell>
          <cell r="Q37">
            <v>0.99049197270474865</v>
          </cell>
          <cell r="R37">
            <v>0.96057285151050642</v>
          </cell>
          <cell r="S37">
            <v>1.0110547199367819</v>
          </cell>
          <cell r="T37">
            <v>0.9878173769188674</v>
          </cell>
          <cell r="U37">
            <v>1.0000503594991947</v>
          </cell>
          <cell r="V37">
            <v>0.96455754395049742</v>
          </cell>
          <cell r="W37">
            <v>0.93786026082884155</v>
          </cell>
          <cell r="X37">
            <v>0.95677892003296472</v>
          </cell>
          <cell r="Y37">
            <v>0.93703159839718797</v>
          </cell>
          <cell r="Z37">
            <v>0.95259447237497552</v>
          </cell>
        </row>
        <row r="38">
          <cell r="C38">
            <v>1.0138761176845041</v>
          </cell>
          <cell r="D38">
            <v>1.0711483368531891</v>
          </cell>
          <cell r="E38">
            <v>1.0462794120070571</v>
          </cell>
          <cell r="F38">
            <v>1</v>
          </cell>
          <cell r="G38">
            <v>1.0462794120070571</v>
          </cell>
          <cell r="H38">
            <v>1.0070816195777563</v>
          </cell>
          <cell r="I38">
            <v>1.0100068958187729</v>
          </cell>
          <cell r="J38">
            <v>1.0097546109733833</v>
          </cell>
          <cell r="K38">
            <v>1.0134062118448288</v>
          </cell>
          <cell r="L38">
            <v>1.0134062118448288</v>
          </cell>
          <cell r="M38">
            <v>1.0310995197982653</v>
          </cell>
          <cell r="N38">
            <v>1.0048368247556552</v>
          </cell>
          <cell r="O38">
            <v>1.0212593952865821</v>
          </cell>
          <cell r="P38">
            <v>1.0220836473517387</v>
          </cell>
          <cell r="Q38">
            <v>1.0363313587992347</v>
          </cell>
          <cell r="R38">
            <v>1.005027598268355</v>
          </cell>
          <cell r="S38">
            <v>1.057845737882416</v>
          </cell>
          <cell r="T38">
            <v>1.0335329842930261</v>
          </cell>
          <cell r="U38">
            <v>1.0463321021142638</v>
          </cell>
          <cell r="V38">
            <v>1.0091966999314976</v>
          </cell>
          <cell r="W38">
            <v>0.98126388224478556</v>
          </cell>
          <cell r="X38">
            <v>1.0010580858728375</v>
          </cell>
          <cell r="Y38">
            <v>0.98039686980304286</v>
          </cell>
          <cell r="Z38">
            <v>0.99667998443766226</v>
          </cell>
        </row>
        <row r="39">
          <cell r="C39">
            <v>0.96902997999320817</v>
          </cell>
          <cell r="D39">
            <v>1.0237689135050707</v>
          </cell>
          <cell r="E39">
            <v>1</v>
          </cell>
          <cell r="F39">
            <v>0.95576763579980961</v>
          </cell>
          <cell r="G39">
            <v>1</v>
          </cell>
          <cell r="H39">
            <v>0.96253601860127547</v>
          </cell>
          <cell r="I39">
            <v>0.96533190295821314</v>
          </cell>
          <cell r="J39">
            <v>0.96509077726798698</v>
          </cell>
          <cell r="K39">
            <v>0.9685808591997731</v>
          </cell>
          <cell r="L39">
            <v>0.9685808591997731</v>
          </cell>
          <cell r="M39">
            <v>0.98549155031190694</v>
          </cell>
          <cell r="N39">
            <v>0.96039051636130013</v>
          </cell>
          <cell r="O39">
            <v>0.97608667777139979</v>
          </cell>
          <cell r="P39">
            <v>0.97687447121901771</v>
          </cell>
          <cell r="Q39">
            <v>0.99049197270474865</v>
          </cell>
          <cell r="R39">
            <v>0.96057285151050642</v>
          </cell>
          <cell r="S39">
            <v>1.0110547199367819</v>
          </cell>
          <cell r="T39">
            <v>0.9878173769188674</v>
          </cell>
          <cell r="U39">
            <v>1.0000503594991947</v>
          </cell>
          <cell r="V39">
            <v>0.96455754395049742</v>
          </cell>
          <cell r="W39">
            <v>0.93786026082884155</v>
          </cell>
          <cell r="X39">
            <v>0.95677892003296472</v>
          </cell>
          <cell r="Y39">
            <v>0.93703159839718797</v>
          </cell>
          <cell r="Z39">
            <v>0.95259447237497552</v>
          </cell>
        </row>
        <row r="40">
          <cell r="C40">
            <v>1.0067467203994813</v>
          </cell>
          <cell r="D40">
            <v>1.0636162114668466</v>
          </cell>
          <cell r="E40">
            <v>1.0389221604955272</v>
          </cell>
          <cell r="F40">
            <v>0.99296817711684038</v>
          </cell>
          <cell r="G40">
            <v>1.0389221604955272</v>
          </cell>
          <cell r="H40">
            <v>1</v>
          </cell>
          <cell r="I40">
            <v>1.0029047062166054</v>
          </cell>
          <cell r="J40">
            <v>1.0026541953935646</v>
          </cell>
          <cell r="K40">
            <v>1.0062801188544421</v>
          </cell>
          <cell r="L40">
            <v>1.0062801188544421</v>
          </cell>
          <cell r="M40">
            <v>1.023849010600133</v>
          </cell>
          <cell r="N40">
            <v>0.99777099017749693</v>
          </cell>
          <cell r="O40">
            <v>1.0140780801011642</v>
          </cell>
          <cell r="P40">
            <v>1.0148965361717874</v>
          </cell>
          <cell r="Q40">
            <v>1.0290440602358941</v>
          </cell>
          <cell r="R40">
            <v>0.99796042220464454</v>
          </cell>
          <cell r="S40">
            <v>1.0504071540159214</v>
          </cell>
          <cell r="T40">
            <v>1.0262653634035741</v>
          </cell>
          <cell r="U40">
            <v>1.0389744800952321</v>
          </cell>
          <cell r="V40">
            <v>1.0021002074833103</v>
          </cell>
          <cell r="W40">
            <v>0.9743638084231987</v>
          </cell>
          <cell r="X40">
            <v>0.99401882271722486</v>
          </cell>
          <cell r="Y40">
            <v>0.97350289265938372</v>
          </cell>
          <cell r="Z40">
            <v>0.98967150731590636</v>
          </cell>
        </row>
        <row r="41">
          <cell r="C41">
            <v>1.0038308865828036</v>
          </cell>
          <cell r="D41">
            <v>1.0605356669222059</v>
          </cell>
          <cell r="E41">
            <v>1.0359131371661374</v>
          </cell>
          <cell r="F41">
            <v>0.99009225000324319</v>
          </cell>
          <cell r="G41">
            <v>1.0359131371661374</v>
          </cell>
          <cell r="H41">
            <v>0.99710370666465098</v>
          </cell>
          <cell r="I41">
            <v>1</v>
          </cell>
          <cell r="J41">
            <v>0.99975021472978642</v>
          </cell>
          <cell r="K41">
            <v>1.0033656364527099</v>
          </cell>
          <cell r="L41">
            <v>1.0033656364527099</v>
          </cell>
          <cell r="M41">
            <v>1.020883643534328</v>
          </cell>
          <cell r="N41">
            <v>0.99488115270844113</v>
          </cell>
          <cell r="O41">
            <v>1.0111410125162437</v>
          </cell>
          <cell r="P41">
            <v>1.0119570980980044</v>
          </cell>
          <cell r="Q41">
            <v>1.0260636467824524</v>
          </cell>
          <cell r="R41">
            <v>0.9950700360848711</v>
          </cell>
          <cell r="S41">
            <v>1.0473648667763422</v>
          </cell>
          <cell r="T41">
            <v>1.0232929978712488</v>
          </cell>
          <cell r="U41">
            <v>1.0359653052329345</v>
          </cell>
          <cell r="V41">
            <v>0.99919783133102447</v>
          </cell>
          <cell r="W41">
            <v>0.9715417650186573</v>
          </cell>
          <cell r="X41">
            <v>0.99113985262577742</v>
          </cell>
          <cell r="Y41">
            <v>0.97068334271943135</v>
          </cell>
          <cell r="Z41">
            <v>0.98680512832508238</v>
          </cell>
        </row>
        <row r="42">
          <cell r="C42">
            <v>1.0040816913994064</v>
          </cell>
          <cell r="D42">
            <v>1.0608006392965352</v>
          </cell>
          <cell r="E42">
            <v>1.0361719576585688</v>
          </cell>
          <cell r="F42">
            <v>0.99033962225339089</v>
          </cell>
          <cell r="G42">
            <v>1.0361719576585688</v>
          </cell>
          <cell r="H42">
            <v>0.99735283071096825</v>
          </cell>
          <cell r="I42">
            <v>1.0002498476784834</v>
          </cell>
          <cell r="J42">
            <v>1</v>
          </cell>
          <cell r="K42">
            <v>1.0036163250276475</v>
          </cell>
          <cell r="L42">
            <v>1.0036163250276475</v>
          </cell>
          <cell r="M42">
            <v>1.0211387089426667</v>
          </cell>
          <cell r="N42">
            <v>0.99512972145481227</v>
          </cell>
          <cell r="O42">
            <v>1.0113936437508402</v>
          </cell>
          <cell r="P42">
            <v>1.012209933229689</v>
          </cell>
          <cell r="Q42">
            <v>1.0263200064025773</v>
          </cell>
          <cell r="R42">
            <v>0.99531865202331538</v>
          </cell>
          <cell r="S42">
            <v>1.0476265484568315</v>
          </cell>
          <cell r="T42">
            <v>1.0235486652511754</v>
          </cell>
          <cell r="U42">
            <v>1.0362241387594362</v>
          </cell>
          <cell r="V42">
            <v>0.99944747858952809</v>
          </cell>
          <cell r="W42">
            <v>0.97178450247319681</v>
          </cell>
          <cell r="X42">
            <v>0.99138748661700837</v>
          </cell>
          <cell r="Y42">
            <v>0.97092586569915229</v>
          </cell>
          <cell r="Z42">
            <v>0.98705167929550996</v>
          </cell>
        </row>
        <row r="43">
          <cell r="C43">
            <v>1.0004636895197434</v>
          </cell>
          <cell r="D43">
            <v>1.0569782623527098</v>
          </cell>
          <cell r="E43">
            <v>1.0324383251039928</v>
          </cell>
          <cell r="F43">
            <v>0.98677113709375852</v>
          </cell>
          <cell r="G43">
            <v>1.0324383251039928</v>
          </cell>
          <cell r="H43">
            <v>0.99375907489696647</v>
          </cell>
          <cell r="I43">
            <v>0.99664565305962771</v>
          </cell>
          <cell r="J43">
            <v>0.99639670565587102</v>
          </cell>
          <cell r="K43">
            <v>1</v>
          </cell>
          <cell r="L43">
            <v>1</v>
          </cell>
          <cell r="M43">
            <v>1.0174592456081626</v>
          </cell>
          <cell r="N43">
            <v>0.99154397615781953</v>
          </cell>
          <cell r="O43">
            <v>1.0077492947546247</v>
          </cell>
          <cell r="P43">
            <v>1.0085626429022112</v>
          </cell>
          <cell r="Q43">
            <v>1.0226218733282404</v>
          </cell>
          <cell r="R43">
            <v>0.99173222595387367</v>
          </cell>
          <cell r="S43">
            <v>1.0438516416400176</v>
          </cell>
          <cell r="T43">
            <v>1.0198605181347349</v>
          </cell>
          <cell r="U43">
            <v>1.0324903181809946</v>
          </cell>
          <cell r="V43">
            <v>0.9958461751426726</v>
          </cell>
          <cell r="W43">
            <v>0.96828287687172299</v>
          </cell>
          <cell r="X43">
            <v>0.98781522569364111</v>
          </cell>
          <cell r="Y43">
            <v>0.96742733401871006</v>
          </cell>
          <cell r="Z43">
            <v>0.98349504156214151</v>
          </cell>
        </row>
        <row r="44">
          <cell r="C44">
            <v>1.0004636895197434</v>
          </cell>
          <cell r="D44">
            <v>1.0569782623527098</v>
          </cell>
          <cell r="E44">
            <v>1.0324383251039928</v>
          </cell>
          <cell r="F44">
            <v>0.98677113709375852</v>
          </cell>
          <cell r="G44">
            <v>1.0324383251039928</v>
          </cell>
          <cell r="H44">
            <v>0.99375907489696647</v>
          </cell>
          <cell r="I44">
            <v>0.99664565305962771</v>
          </cell>
          <cell r="J44">
            <v>0.99639670565587102</v>
          </cell>
          <cell r="K44">
            <v>1</v>
          </cell>
          <cell r="L44">
            <v>1</v>
          </cell>
          <cell r="M44">
            <v>1.0174592456081626</v>
          </cell>
          <cell r="N44">
            <v>0.99154397615781953</v>
          </cell>
          <cell r="O44">
            <v>1.0077492947546247</v>
          </cell>
          <cell r="P44">
            <v>1.0085626429022112</v>
          </cell>
          <cell r="Q44">
            <v>1.0226218733282404</v>
          </cell>
          <cell r="R44">
            <v>0.99173222595387367</v>
          </cell>
          <cell r="S44">
            <v>1.0438516416400176</v>
          </cell>
          <cell r="T44">
            <v>1.0198605181347349</v>
          </cell>
          <cell r="U44">
            <v>1.0324903181809946</v>
          </cell>
          <cell r="V44">
            <v>0.9958461751426726</v>
          </cell>
          <cell r="W44">
            <v>0.96828287687172299</v>
          </cell>
          <cell r="X44">
            <v>0.98781522569364111</v>
          </cell>
          <cell r="Y44">
            <v>0.96742733401871006</v>
          </cell>
          <cell r="Z44">
            <v>0.98349504156214151</v>
          </cell>
        </row>
        <row r="45">
          <cell r="C45">
            <v>0.983296081723391</v>
          </cell>
          <cell r="D45">
            <v>1.0388408842075298</v>
          </cell>
          <cell r="E45">
            <v>1.0147220437186917</v>
          </cell>
          <cell r="F45">
            <v>0.96983848871896494</v>
          </cell>
          <cell r="G45">
            <v>1.0147220437186917</v>
          </cell>
          <cell r="H45">
            <v>0.97670651594793878</v>
          </cell>
          <cell r="I45">
            <v>0.9795435614366117</v>
          </cell>
          <cell r="J45">
            <v>0.97929888588343228</v>
          </cell>
          <cell r="K45">
            <v>0.98284034895399996</v>
          </cell>
          <cell r="L45">
            <v>0.98284034895399996</v>
          </cell>
          <cell r="M45">
            <v>1</v>
          </cell>
          <cell r="N45">
            <v>0.97452942753018801</v>
          </cell>
          <cell r="O45">
            <v>0.99045666851478276</v>
          </cell>
          <cell r="P45">
            <v>0.99125605989197774</v>
          </cell>
          <cell r="Q45">
            <v>1.0050740388299211</v>
          </cell>
          <cell r="R45">
            <v>0.97471444702543242</v>
          </cell>
          <cell r="S45">
            <v>1.0259395117256807</v>
          </cell>
          <cell r="T45">
            <v>1.0023600675279503</v>
          </cell>
          <cell r="U45">
            <v>1.0147731446126351</v>
          </cell>
          <cell r="V45">
            <v>0.97875780228173048</v>
          </cell>
          <cell r="W45">
            <v>0.95166748059078721</v>
          </cell>
          <cell r="X45">
            <v>0.97086466112281244</v>
          </cell>
          <cell r="Y45">
            <v>0.95082661855458683</v>
          </cell>
          <cell r="Z45">
            <v>0.96661860984346382</v>
          </cell>
        </row>
        <row r="46">
          <cell r="C46">
            <v>1.0089957819082189</v>
          </cell>
          <cell r="D46">
            <v>1.0659923188162008</v>
          </cell>
          <cell r="E46">
            <v>1.0412431015965995</v>
          </cell>
          <cell r="F46">
            <v>0.995186457505843</v>
          </cell>
          <cell r="G46">
            <v>1.0412431015965995</v>
          </cell>
          <cell r="H46">
            <v>1.0022339894068344</v>
          </cell>
          <cell r="I46">
            <v>1.0051451847063575</v>
          </cell>
          <cell r="J46">
            <v>1.0048941142447918</v>
          </cell>
          <cell r="K46">
            <v>1.0085281379802711</v>
          </cell>
          <cell r="L46">
            <v>1.0085281379802711</v>
          </cell>
          <cell r="M46">
            <v>1.0261362784440113</v>
          </cell>
          <cell r="N46">
            <v>1</v>
          </cell>
          <cell r="O46">
            <v>1.016343519789813</v>
          </cell>
          <cell r="P46">
            <v>1.0171638042826281</v>
          </cell>
          <cell r="Q46">
            <v>1.031342933765627</v>
          </cell>
          <cell r="R46">
            <v>1.0001898552162896</v>
          </cell>
          <cell r="S46">
            <v>1.0527537524708561</v>
          </cell>
          <cell r="T46">
            <v>1.0285580293540186</v>
          </cell>
          <cell r="U46">
            <v>1.041295538077736</v>
          </cell>
          <cell r="V46">
            <v>1.0043388887314144</v>
          </cell>
          <cell r="W46">
            <v>0.9765405268496189</v>
          </cell>
          <cell r="X46">
            <v>0.99623945023736904</v>
          </cell>
          <cell r="Y46">
            <v>0.97567768780910735</v>
          </cell>
          <cell r="Z46">
            <v>0.9918824229794958</v>
          </cell>
        </row>
        <row r="47">
          <cell r="C47">
            <v>0.99277041891986118</v>
          </cell>
          <cell r="D47">
            <v>1.0488504113615595</v>
          </cell>
          <cell r="E47">
            <v>1.0244991789901272</v>
          </cell>
          <cell r="F47">
            <v>0.97918315818224</v>
          </cell>
          <cell r="G47">
            <v>1.0244991789901272</v>
          </cell>
          <cell r="H47">
            <v>0.98611736080543255</v>
          </cell>
          <cell r="I47">
            <v>0.98898174203366651</v>
          </cell>
          <cell r="J47">
            <v>0.98873470896199644</v>
          </cell>
          <cell r="K47">
            <v>0.99231029503571955</v>
          </cell>
          <cell r="L47">
            <v>0.99231029503571955</v>
          </cell>
          <cell r="M47">
            <v>1.0096352841962564</v>
          </cell>
          <cell r="N47">
            <v>0.98391929552205637</v>
          </cell>
          <cell r="O47">
            <v>1</v>
          </cell>
          <cell r="P47">
            <v>1.0008070937402984</v>
          </cell>
          <cell r="Q47">
            <v>1.0147582128323265</v>
          </cell>
          <cell r="R47">
            <v>0.98410609773271929</v>
          </cell>
          <cell r="S47">
            <v>1.035824730489326</v>
          </cell>
          <cell r="T47">
            <v>1.0120180916455608</v>
          </cell>
          <cell r="U47">
            <v>1.0245507722557066</v>
          </cell>
          <cell r="V47">
            <v>0.98818841186601825</v>
          </cell>
          <cell r="W47">
            <v>0.96083706722661477</v>
          </cell>
          <cell r="X47">
            <v>0.98021921804883294</v>
          </cell>
          <cell r="Y47">
            <v>0.95998810324572581</v>
          </cell>
          <cell r="Z47">
            <v>0.97593225485869584</v>
          </cell>
        </row>
        <row r="48">
          <cell r="C48">
            <v>0.99196980629863263</v>
          </cell>
          <cell r="D48">
            <v>1.0480045734305399</v>
          </cell>
          <cell r="E48">
            <v>1.0236729789367149</v>
          </cell>
          <cell r="F48">
            <v>0.97839350291049232</v>
          </cell>
          <cell r="G48">
            <v>1.0236729789367149</v>
          </cell>
          <cell r="H48">
            <v>0.98532211349545284</v>
          </cell>
          <cell r="I48">
            <v>0.98818418476388181</v>
          </cell>
          <cell r="J48">
            <v>0.9879373509102698</v>
          </cell>
          <cell r="K48">
            <v>0.99151005347811449</v>
          </cell>
          <cell r="L48">
            <v>0.99151005347811449</v>
          </cell>
          <cell r="M48">
            <v>1.0088210710247512</v>
          </cell>
          <cell r="N48">
            <v>0.98312582082614197</v>
          </cell>
          <cell r="O48">
            <v>0.99919355713469016</v>
          </cell>
          <cell r="P48">
            <v>1</v>
          </cell>
          <cell r="Q48">
            <v>1.0139398683115735</v>
          </cell>
          <cell r="R48">
            <v>0.98331247239149489</v>
          </cell>
          <cell r="S48">
            <v>1.0349893970257114</v>
          </cell>
          <cell r="T48">
            <v>1.0112019568759887</v>
          </cell>
          <cell r="U48">
            <v>1.0237245305952734</v>
          </cell>
          <cell r="V48">
            <v>0.98739149437168705</v>
          </cell>
          <cell r="W48">
            <v>0.96006220702902467</v>
          </cell>
          <cell r="X48">
            <v>0.97942872725399788</v>
          </cell>
          <cell r="Y48">
            <v>0.95921392768908098</v>
          </cell>
          <cell r="Z48">
            <v>0.97514522125473935</v>
          </cell>
        </row>
        <row r="49">
          <cell r="C49">
            <v>0.97833198723162385</v>
          </cell>
          <cell r="D49">
            <v>1.033596376060931</v>
          </cell>
          <cell r="E49">
            <v>1.0095992976796042</v>
          </cell>
          <cell r="F49">
            <v>0.96494233384838357</v>
          </cell>
          <cell r="G49">
            <v>1.0095992976796042</v>
          </cell>
          <cell r="H49">
            <v>0.97177568837117012</v>
          </cell>
          <cell r="I49">
            <v>0.97459841125432789</v>
          </cell>
          <cell r="J49">
            <v>0.97435497092682299</v>
          </cell>
          <cell r="K49">
            <v>0.97787855519399858</v>
          </cell>
          <cell r="L49">
            <v>0.97787855519399858</v>
          </cell>
          <cell r="M49">
            <v>0.99495157706408566</v>
          </cell>
          <cell r="N49">
            <v>0.96960959081652109</v>
          </cell>
          <cell r="O49">
            <v>0.98545642435242342</v>
          </cell>
          <cell r="P49">
            <v>0.98625178006385505</v>
          </cell>
          <cell r="Q49">
            <v>1</v>
          </cell>
          <cell r="R49">
            <v>0.96979367625510204</v>
          </cell>
          <cell r="S49">
            <v>1.0207601351638238</v>
          </cell>
          <cell r="T49">
            <v>0.99729972997299743</v>
          </cell>
          <cell r="U49">
            <v>1.0096501405946228</v>
          </cell>
          <cell r="V49">
            <v>0.9738166189439863</v>
          </cell>
          <cell r="W49">
            <v>0.94686306065440884</v>
          </cell>
          <cell r="X49">
            <v>0.96596332569993137</v>
          </cell>
          <cell r="Y49">
            <v>0.94602644364539801</v>
          </cell>
          <cell r="Z49">
            <v>0.96173871028324842</v>
          </cell>
        </row>
        <row r="50">
          <cell r="C50">
            <v>1.008804255158162</v>
          </cell>
          <cell r="D50">
            <v>1.0657899730303517</v>
          </cell>
          <cell r="E50">
            <v>1.0410454536868226</v>
          </cell>
          <cell r="F50">
            <v>0.99499755203039464</v>
          </cell>
          <cell r="G50">
            <v>1.0410454536868226</v>
          </cell>
          <cell r="H50">
            <v>1.0020437461746725</v>
          </cell>
          <cell r="I50">
            <v>1.0049543888734966</v>
          </cell>
          <cell r="J50">
            <v>1.0047033660699196</v>
          </cell>
          <cell r="K50">
            <v>1.0083366999980001</v>
          </cell>
          <cell r="L50">
            <v>1.0083366999980001</v>
          </cell>
          <cell r="M50">
            <v>1.0259414980989894</v>
          </cell>
          <cell r="N50">
            <v>0.99981018082187145</v>
          </cell>
          <cell r="O50">
            <v>1.0161505982981902</v>
          </cell>
          <cell r="P50">
            <v>1.016970727085277</v>
          </cell>
          <cell r="Q50">
            <v>1.031147165097571</v>
          </cell>
          <cell r="R50">
            <v>1</v>
          </cell>
          <cell r="S50">
            <v>1.0525539196187903</v>
          </cell>
          <cell r="T50">
            <v>1.0283627893142293</v>
          </cell>
          <cell r="U50">
            <v>1.0410978802145092</v>
          </cell>
          <cell r="V50">
            <v>1.004148245948993</v>
          </cell>
          <cell r="W50">
            <v>0.97635516072940309</v>
          </cell>
          <cell r="X50">
            <v>0.99605034488370581</v>
          </cell>
          <cell r="Y50">
            <v>0.97549248547228906</v>
          </cell>
          <cell r="Z50">
            <v>0.99169414467316575</v>
          </cell>
        </row>
        <row r="51">
          <cell r="C51">
            <v>0.9584347522296307</v>
          </cell>
          <cell r="D51">
            <v>1.0125751784919059</v>
          </cell>
          <cell r="E51">
            <v>0.98906615070500536</v>
          </cell>
          <cell r="F51">
            <v>0.94531741650894119</v>
          </cell>
          <cell r="G51">
            <v>0.98906615070500536</v>
          </cell>
          <cell r="H51">
            <v>0.95201179483288489</v>
          </cell>
          <cell r="I51">
            <v>0.95477710941161764</v>
          </cell>
          <cell r="J51">
            <v>0.95453862015334956</v>
          </cell>
          <cell r="K51">
            <v>0.95799054205526624</v>
          </cell>
          <cell r="L51">
            <v>0.95799054205526624</v>
          </cell>
          <cell r="M51">
            <v>0.97471633421930592</v>
          </cell>
          <cell r="N51">
            <v>0.94988975119106356</v>
          </cell>
          <cell r="O51">
            <v>0.96541429313779525</v>
          </cell>
          <cell r="P51">
            <v>0.96619347297058134</v>
          </cell>
          <cell r="Q51">
            <v>0.97966208274729294</v>
          </cell>
          <cell r="R51">
            <v>0.95007009271522724</v>
          </cell>
          <cell r="S51">
            <v>1</v>
          </cell>
          <cell r="T51">
            <v>0.97701673058865945</v>
          </cell>
          <cell r="U51">
            <v>0.98911595958102527</v>
          </cell>
          <cell r="V51">
            <v>0.95401121712859249</v>
          </cell>
          <cell r="W51">
            <v>0.92760583807717456</v>
          </cell>
          <cell r="X51">
            <v>0.94631764351269643</v>
          </cell>
          <cell r="Y51">
            <v>0.92678623611566513</v>
          </cell>
          <cell r="Z51">
            <v>0.94217894797478252</v>
          </cell>
        </row>
        <row r="52">
          <cell r="C52">
            <v>0.98098090055445308</v>
          </cell>
          <cell r="D52">
            <v>1.0363949222055002</v>
          </cell>
          <cell r="E52">
            <v>1.0123328697852347</v>
          </cell>
          <cell r="F52">
            <v>0.96755499359707042</v>
          </cell>
          <cell r="G52">
            <v>1.0123328697852347</v>
          </cell>
          <cell r="H52">
            <v>0.97440684998228333</v>
          </cell>
          <cell r="I52">
            <v>0.97723721561692978</v>
          </cell>
          <cell r="J52">
            <v>0.97699311615496409</v>
          </cell>
          <cell r="K52">
            <v>0.98052624081275475</v>
          </cell>
          <cell r="L52">
            <v>0.98052624081275475</v>
          </cell>
          <cell r="M52">
            <v>0.99764548927635288</v>
          </cell>
          <cell r="N52">
            <v>0.97223488754255849</v>
          </cell>
          <cell r="O52">
            <v>0.9881246276674569</v>
          </cell>
          <cell r="P52">
            <v>0.98892213686908192</v>
          </cell>
          <cell r="Q52">
            <v>1.0027075812274366</v>
          </cell>
          <cell r="R52">
            <v>0.97241947140741725</v>
          </cell>
          <cell r="S52">
            <v>1.0235239261435092</v>
          </cell>
          <cell r="T52">
            <v>1</v>
          </cell>
          <cell r="U52">
            <v>1.0123838503615756</v>
          </cell>
          <cell r="V52">
            <v>0.97645330654040485</v>
          </cell>
          <cell r="W52">
            <v>0.94942676930239001</v>
          </cell>
          <cell r="X52">
            <v>0.96857874986698889</v>
          </cell>
          <cell r="Y52">
            <v>0.94858788708487096</v>
          </cell>
          <cell r="Z52">
            <v>0.9643426959609106</v>
          </cell>
        </row>
        <row r="53">
          <cell r="C53">
            <v>0.96898118258612398</v>
          </cell>
          <cell r="D53">
            <v>1.0237173596115237</v>
          </cell>
          <cell r="E53">
            <v>0.99994964303675671</v>
          </cell>
          <cell r="F53">
            <v>0.95571950624410451</v>
          </cell>
          <cell r="G53">
            <v>0.99994964303675671</v>
          </cell>
          <cell r="H53">
            <v>0.96248754821036631</v>
          </cell>
          <cell r="I53">
            <v>0.96528329177505823</v>
          </cell>
          <cell r="J53">
            <v>0.96504217822718963</v>
          </cell>
          <cell r="K53">
            <v>0.96853208440904814</v>
          </cell>
          <cell r="L53">
            <v>0.96853208440904814</v>
          </cell>
          <cell r="M53">
            <v>0.9854419239501313</v>
          </cell>
          <cell r="N53">
            <v>0.96034215401136847</v>
          </cell>
          <cell r="O53">
            <v>0.97603752501044494</v>
          </cell>
          <cell r="P53">
            <v>0.97682527878717718</v>
          </cell>
          <cell r="Q53">
            <v>0.99044209453688636</v>
          </cell>
          <cell r="R53">
            <v>0.96052447997873036</v>
          </cell>
          <cell r="S53">
            <v>1.0110038062914131</v>
          </cell>
          <cell r="T53">
            <v>0.98776763343552676</v>
          </cell>
          <cell r="U53">
            <v>1</v>
          </cell>
          <cell r="V53">
            <v>0.96450897176171069</v>
          </cell>
          <cell r="W53">
            <v>0.93781303303415964</v>
          </cell>
          <cell r="X53">
            <v>0.95673073955205656</v>
          </cell>
          <cell r="Y53">
            <v>0.93698441233142971</v>
          </cell>
          <cell r="Z53">
            <v>0.95254650261014429</v>
          </cell>
        </row>
        <row r="54">
          <cell r="C54">
            <v>1.0046367747271905</v>
          </cell>
          <cell r="D54">
            <v>1.0613870783821395</v>
          </cell>
          <cell r="E54">
            <v>1.0367447813474584</v>
          </cell>
          <cell r="F54">
            <v>0.99088710859625095</v>
          </cell>
          <cell r="G54">
            <v>1.0367447813474584</v>
          </cell>
          <cell r="H54">
            <v>0.99790419414383247</v>
          </cell>
          <cell r="I54">
            <v>1.0008028126601387</v>
          </cell>
          <cell r="J54">
            <v>1.0005528268591479</v>
          </cell>
          <cell r="K54">
            <v>1.0041711510884022</v>
          </cell>
          <cell r="L54">
            <v>1.0041711510884022</v>
          </cell>
          <cell r="M54">
            <v>1.0217032218478859</v>
          </cell>
          <cell r="N54">
            <v>0.99567985589316876</v>
          </cell>
          <cell r="O54">
            <v>1.011952769322277</v>
          </cell>
          <cell r="P54">
            <v>1.0127695100678746</v>
          </cell>
          <cell r="Q54">
            <v>1.0268873836681973</v>
          </cell>
          <cell r="R54">
            <v>0.9958688909075647</v>
          </cell>
          <cell r="S54">
            <v>1.0482057045511746</v>
          </cell>
          <cell r="T54">
            <v>1.0241145104449711</v>
          </cell>
          <cell r="U54">
            <v>1.0367969912954398</v>
          </cell>
          <cell r="V54">
            <v>1</v>
          </cell>
          <cell r="W54">
            <v>0.97232173104746766</v>
          </cell>
          <cell r="X54">
            <v>0.99193555224743335</v>
          </cell>
          <cell r="Y54">
            <v>0.97146261959595215</v>
          </cell>
          <cell r="Z54">
            <v>0.9875973479751915</v>
          </cell>
        </row>
        <row r="55">
          <cell r="C55">
            <v>1.0332349289827252</v>
          </cell>
          <cell r="D55">
            <v>1.0916006960357898</v>
          </cell>
          <cell r="E55">
            <v>1.0662569273552991</v>
          </cell>
          <cell r="F55">
            <v>1.0190938626135437</v>
          </cell>
          <cell r="G55">
            <v>1.0662569273552991</v>
          </cell>
          <cell r="H55">
            <v>1.0263106976625991</v>
          </cell>
          <cell r="I55">
            <v>1.0292918287262682</v>
          </cell>
          <cell r="J55">
            <v>1.0290347267887012</v>
          </cell>
          <cell r="K55">
            <v>1.0327560508255056</v>
          </cell>
          <cell r="L55">
            <v>1.0327560508255056</v>
          </cell>
          <cell r="M55">
            <v>1.0507871923701841</v>
          </cell>
          <cell r="N55">
            <v>1.0240230410365689</v>
          </cell>
          <cell r="O55">
            <v>1.0407591818729747</v>
          </cell>
          <cell r="P55">
            <v>1.0415991720938225</v>
          </cell>
          <cell r="Q55">
            <v>1.0561189273862541</v>
          </cell>
          <cell r="R55">
            <v>1.0242174571525107</v>
          </cell>
          <cell r="S55">
            <v>1.0780440990678655</v>
          </cell>
          <cell r="T55">
            <v>1.0532671211016829</v>
          </cell>
          <cell r="U55">
            <v>1.0663106235201738</v>
          </cell>
          <cell r="V55">
            <v>1.0284661630700314</v>
          </cell>
          <cell r="W55">
            <v>1</v>
          </cell>
          <cell r="X55">
            <v>1.0201721514326703</v>
          </cell>
          <cell r="Y55">
            <v>0.9991164329418103</v>
          </cell>
          <cell r="Z55">
            <v>1.0157104551301839</v>
          </cell>
        </row>
        <row r="56">
          <cell r="C56">
            <v>1.012804483568494</v>
          </cell>
          <cell r="D56">
            <v>1.0700161678622664</v>
          </cell>
          <cell r="E56">
            <v>1.0451735286617165</v>
          </cell>
          <cell r="F56">
            <v>0.99894303248955341</v>
          </cell>
          <cell r="G56">
            <v>1.0451735286617165</v>
          </cell>
          <cell r="H56">
            <v>1.0060171670254947</v>
          </cell>
          <cell r="I56">
            <v>1.0089393513445652</v>
          </cell>
          <cell r="J56">
            <v>1.0086873331560606</v>
          </cell>
          <cell r="K56">
            <v>1.012335074404024</v>
          </cell>
          <cell r="L56">
            <v>1.012335074404024</v>
          </cell>
          <cell r="M56">
            <v>1.0300096811058013</v>
          </cell>
          <cell r="N56">
            <v>1.0037747448785881</v>
          </cell>
          <cell r="O56">
            <v>1.0201799572860257</v>
          </cell>
          <cell r="P56">
            <v>1.0210033381435293</v>
          </cell>
          <cell r="Q56">
            <v>1.0352359902229269</v>
          </cell>
          <cell r="R56">
            <v>1.0039653167498832</v>
          </cell>
          <cell r="S56">
            <v>1.0567276293064098</v>
          </cell>
          <cell r="T56">
            <v>1.0324405735076534</v>
          </cell>
          <cell r="U56">
            <v>1.0452261630771915</v>
          </cell>
          <cell r="V56">
            <v>1.0081300118080201</v>
          </cell>
          <cell r="W56">
            <v>0.98022671820207818</v>
          </cell>
          <cell r="X56">
            <v>1</v>
          </cell>
          <cell r="Y56">
            <v>0.97936062216431752</v>
          </cell>
          <cell r="Z56">
            <v>0.99562652607579927</v>
          </cell>
        </row>
        <row r="57">
          <cell r="C57">
            <v>1.0341486686796411</v>
          </cell>
          <cell r="D57">
            <v>1.09256605140771</v>
          </cell>
          <cell r="E57">
            <v>1.0671998700049399</v>
          </cell>
          <cell r="F57">
            <v>1.0199950966804856</v>
          </cell>
          <cell r="G57">
            <v>1.0671998700049399</v>
          </cell>
          <cell r="H57">
            <v>1.0272183139263535</v>
          </cell>
          <cell r="I57">
            <v>1.0302020813486261</v>
          </cell>
          <cell r="J57">
            <v>1.029944752043362</v>
          </cell>
          <cell r="K57">
            <v>1.0336693670272707</v>
          </cell>
          <cell r="L57">
            <v>1.0336693670272707</v>
          </cell>
          <cell r="M57">
            <v>1.0517164543838338</v>
          </cell>
          <cell r="N57">
            <v>1.0249286342147566</v>
          </cell>
          <cell r="O57">
            <v>1.0416795756311914</v>
          </cell>
          <cell r="P57">
            <v>1.0425203086960799</v>
          </cell>
          <cell r="Q57">
            <v>1.0570529045114441</v>
          </cell>
          <cell r="R57">
            <v>1.0251232222622868</v>
          </cell>
          <cell r="S57">
            <v>1.0789974656844143</v>
          </cell>
          <cell r="T57">
            <v>1.0541985762364359</v>
          </cell>
          <cell r="U57">
            <v>1.0672536136559339</v>
          </cell>
          <cell r="V57">
            <v>1.0293756855162548</v>
          </cell>
          <cell r="W57">
            <v>1.0008843484393386</v>
          </cell>
          <cell r="X57">
            <v>1.0210743390826467</v>
          </cell>
          <cell r="Y57">
            <v>1</v>
          </cell>
          <cell r="Z57">
            <v>1.016608697085998</v>
          </cell>
        </row>
        <row r="58">
          <cell r="C58">
            <v>1.0172534148526562</v>
          </cell>
          <cell r="D58">
            <v>1.0747164120663493</v>
          </cell>
          <cell r="E58">
            <v>1.0497646469717956</v>
          </cell>
          <cell r="F58">
            <v>1.0033310747824549</v>
          </cell>
          <cell r="G58">
            <v>1.0497646469717956</v>
          </cell>
          <cell r="H58">
            <v>1.0104362837646055</v>
          </cell>
          <cell r="I58">
            <v>1.0133713043195403</v>
          </cell>
          <cell r="J58">
            <v>1.0131181790944641</v>
          </cell>
          <cell r="K58">
            <v>1.0167819437214882</v>
          </cell>
          <cell r="L58">
            <v>1.0167819437214882</v>
          </cell>
          <cell r="M58">
            <v>1.0345341894068665</v>
          </cell>
          <cell r="N58">
            <v>1.0081840113630807</v>
          </cell>
          <cell r="O58">
            <v>1.0246612867045664</v>
          </cell>
          <cell r="P58">
            <v>1.0254882844149915</v>
          </cell>
          <cell r="Q58">
            <v>1.0397834560547978</v>
          </cell>
          <cell r="R58">
            <v>1.0083754203566178</v>
          </cell>
          <cell r="S58">
            <v>1.0613695011436033</v>
          </cell>
          <cell r="T58">
            <v>1.0369757599538398</v>
          </cell>
          <cell r="U58">
            <v>1.0498175125936895</v>
          </cell>
          <cell r="V58">
            <v>1.0125584096091762</v>
          </cell>
          <cell r="W58">
            <v>0.98453254561786496</v>
          </cell>
          <cell r="X58">
            <v>1.004392685218461</v>
          </cell>
          <cell r="Y58">
            <v>0.9836626450928414</v>
          </cell>
          <cell r="Z58">
            <v>1</v>
          </cell>
        </row>
        <row r="63">
          <cell r="C63">
            <v>1</v>
          </cell>
          <cell r="D63">
            <v>1.0792509498423717</v>
          </cell>
          <cell r="E63">
            <v>1.0174372799898954</v>
          </cell>
          <cell r="F63">
            <v>0.93699078116724888</v>
          </cell>
          <cell r="G63">
            <v>1.0229835508893881</v>
          </cell>
          <cell r="H63">
            <v>0.98315933773468078</v>
          </cell>
          <cell r="I63">
            <v>0.98661871971019877</v>
          </cell>
          <cell r="J63">
            <v>1.0101688243065943</v>
          </cell>
          <cell r="K63">
            <v>0.98551973017748262</v>
          </cell>
          <cell r="L63">
            <v>1.0100653155570216</v>
          </cell>
          <cell r="M63">
            <v>1.0236901931316178</v>
          </cell>
          <cell r="N63">
            <v>0.9874065623635585</v>
          </cell>
          <cell r="O63">
            <v>0.9719492328457584</v>
          </cell>
          <cell r="P63">
            <v>0.95902146773850305</v>
          </cell>
          <cell r="Q63">
            <v>0.99426608151729179</v>
          </cell>
          <cell r="R63">
            <v>0.95832315329886331</v>
          </cell>
          <cell r="S63">
            <v>0.98924406123995412</v>
          </cell>
          <cell r="T63">
            <v>0.99298198209810207</v>
          </cell>
          <cell r="U63">
            <v>1.0001422625181986</v>
          </cell>
          <cell r="V63">
            <v>0.96146997056581174</v>
          </cell>
          <cell r="W63">
            <v>0.99919428769627272</v>
          </cell>
          <cell r="X63">
            <v>0.99919428769627272</v>
          </cell>
          <cell r="Y63">
            <v>0.97753832545700881</v>
          </cell>
          <cell r="Z63">
            <v>0.96820563436021467</v>
          </cell>
        </row>
        <row r="64">
          <cell r="C64">
            <v>0.92656856141387078</v>
          </cell>
          <cell r="D64">
            <v>1</v>
          </cell>
          <cell r="E64">
            <v>0.94272539684907908</v>
          </cell>
          <cell r="F64">
            <v>0.86818620016419679</v>
          </cell>
          <cell r="G64">
            <v>0.9478643970976337</v>
          </cell>
          <cell r="H64">
            <v>0.91096453320543713</v>
          </cell>
          <cell r="I64">
            <v>0.91416988778587394</v>
          </cell>
          <cell r="J64">
            <v>0.93599067432290217</v>
          </cell>
          <cell r="K64">
            <v>0.91315159863553619</v>
          </cell>
          <cell r="L64">
            <v>0.93589476636971691</v>
          </cell>
          <cell r="M64">
            <v>0.94851914958345074</v>
          </cell>
          <cell r="N64">
            <v>0.91489987801981787</v>
          </cell>
          <cell r="O64">
            <v>0.90057760244520979</v>
          </cell>
          <cell r="P64">
            <v>0.88859914172748367</v>
          </cell>
          <cell r="Q64">
            <v>0.92125569281408348</v>
          </cell>
          <cell r="R64">
            <v>0.88795210552173209</v>
          </cell>
          <cell r="S64">
            <v>0.91660244671031943</v>
          </cell>
          <cell r="T64">
            <v>0.92006588666253242</v>
          </cell>
          <cell r="U64">
            <v>0.92670037739070121</v>
          </cell>
          <cell r="V64">
            <v>0.89086784746980097</v>
          </cell>
          <cell r="W64">
            <v>0.92582201372369288</v>
          </cell>
          <cell r="X64">
            <v>0.92582201372369288</v>
          </cell>
          <cell r="Y64">
            <v>0.90575627994562491</v>
          </cell>
          <cell r="Z64">
            <v>0.89710890178194835</v>
          </cell>
        </row>
        <row r="65">
          <cell r="C65">
            <v>0.98286156765351806</v>
          </cell>
          <cell r="D65">
            <v>1.0607542804536219</v>
          </cell>
          <cell r="E65">
            <v>1</v>
          </cell>
          <cell r="F65">
            <v>0.92093222805493669</v>
          </cell>
          <cell r="G65">
            <v>1.0054512165109066</v>
          </cell>
          <cell r="H65">
            <v>0.96630952793910296</v>
          </cell>
          <cell r="I65">
            <v>0.96970962153067297</v>
          </cell>
          <cell r="J65">
            <v>0.99285611425269049</v>
          </cell>
          <cell r="K65">
            <v>0.96862946695571273</v>
          </cell>
          <cell r="L65">
            <v>0.99275437948081968</v>
          </cell>
          <cell r="M65">
            <v>1.0061457480128746</v>
          </cell>
          <cell r="N65">
            <v>0.97048396179601837</v>
          </cell>
          <cell r="O65">
            <v>0.9552915466744164</v>
          </cell>
          <cell r="P65">
            <v>0.94258534319484288</v>
          </cell>
          <cell r="Q65">
            <v>0.97722591954480598</v>
          </cell>
          <cell r="R65">
            <v>0.94189899676998345</v>
          </cell>
          <cell r="S65">
            <v>0.97228996882223417</v>
          </cell>
          <cell r="T65">
            <v>0.97596382757663824</v>
          </cell>
          <cell r="U65">
            <v>0.98300139201517311</v>
          </cell>
          <cell r="V65">
            <v>0.94499188252209565</v>
          </cell>
          <cell r="W65">
            <v>0.98206966399559903</v>
          </cell>
          <cell r="X65">
            <v>0.98206966399559903</v>
          </cell>
          <cell r="Y65">
            <v>0.96078485100007072</v>
          </cell>
          <cell r="Z65">
            <v>0.95161210759824955</v>
          </cell>
        </row>
        <row r="66">
          <cell r="C66">
            <v>1.0672463594084223</v>
          </cell>
          <cell r="D66">
            <v>1.1518266471073528</v>
          </cell>
          <cell r="E66">
            <v>1.0858562329956234</v>
          </cell>
          <cell r="F66">
            <v>1</v>
          </cell>
          <cell r="G66">
            <v>1.0917754704214</v>
          </cell>
          <cell r="H66">
            <v>1.0492732239157334</v>
          </cell>
          <cell r="I66">
            <v>1.0529652367349083</v>
          </cell>
          <cell r="J66">
            <v>1.0780990001290989</v>
          </cell>
          <cell r="K66">
            <v>1.0517923441570889</v>
          </cell>
          <cell r="L66">
            <v>1.0779885307929504</v>
          </cell>
          <cell r="M66">
            <v>1.0925296317818238</v>
          </cell>
          <cell r="N66">
            <v>1.053806058938493</v>
          </cell>
          <cell r="O66">
            <v>1.0373092802844446</v>
          </cell>
          <cell r="P66">
            <v>1.0235121700384391</v>
          </cell>
          <cell r="Q66">
            <v>1.0611268557826072</v>
          </cell>
          <cell r="R66">
            <v>1.0227668964950112</v>
          </cell>
          <cell r="S66">
            <v>1.0557671229247434</v>
          </cell>
          <cell r="T66">
            <v>1.0597564053523585</v>
          </cell>
          <cell r="U66">
            <v>1.0673981885630499</v>
          </cell>
          <cell r="V66">
            <v>1.0261253257668854</v>
          </cell>
          <cell r="W66">
            <v>1.0663864658855389</v>
          </cell>
          <cell r="X66">
            <v>1.0663864658855389</v>
          </cell>
          <cell r="Y66">
            <v>1.0432742190261981</v>
          </cell>
          <cell r="Z66">
            <v>1.0333139384296612</v>
          </cell>
        </row>
        <row r="67">
          <cell r="C67">
            <v>0.97753282458021329</v>
          </cell>
          <cell r="D67">
            <v>1.0550032294302918</v>
          </cell>
          <cell r="E67">
            <v>0.9945783381417318</v>
          </cell>
          <cell r="F67">
            <v>0.91593924492004131</v>
          </cell>
          <cell r="G67">
            <v>1</v>
          </cell>
          <cell r="H67">
            <v>0.96107052442819441</v>
          </cell>
          <cell r="I67">
            <v>0.96445218386202436</v>
          </cell>
          <cell r="J67">
            <v>0.98747318412729823</v>
          </cell>
          <cell r="K67">
            <v>0.96337788551992432</v>
          </cell>
          <cell r="L67">
            <v>0.98737200092695976</v>
          </cell>
          <cell r="M67">
            <v>1.0006907659870146</v>
          </cell>
          <cell r="N67">
            <v>0.96522232591628787</v>
          </cell>
          <cell r="O67">
            <v>0.95011227893228567</v>
          </cell>
          <cell r="P67">
            <v>0.9374749641914808</v>
          </cell>
          <cell r="Q67">
            <v>0.97192773104989882</v>
          </cell>
          <cell r="R67">
            <v>0.93679233890485458</v>
          </cell>
          <cell r="S67">
            <v>0.96701854138309384</v>
          </cell>
          <cell r="T67">
            <v>0.97067248171761655</v>
          </cell>
          <cell r="U67">
            <v>0.97767189086145989</v>
          </cell>
          <cell r="V67">
            <v>0.93986845607625247</v>
          </cell>
          <cell r="W67">
            <v>0.9767452143561518</v>
          </cell>
          <cell r="X67">
            <v>0.9767452143561518</v>
          </cell>
          <cell r="Y67">
            <v>0.95557580041940171</v>
          </cell>
          <cell r="Z67">
            <v>0.94645278853061787</v>
          </cell>
        </row>
        <row r="68">
          <cell r="C68">
            <v>1.0171291281270056</v>
          </cell>
          <cell r="D68">
            <v>1.0977375776434142</v>
          </cell>
          <cell r="E68">
            <v>1.0348650935200343</v>
          </cell>
          <cell r="F68">
            <v>0.95304061631168568</v>
          </cell>
          <cell r="G68">
            <v>1.0405063672043915</v>
          </cell>
          <cell r="H68">
            <v>1</v>
          </cell>
          <cell r="I68">
            <v>1.0035186381726169</v>
          </cell>
          <cell r="J68">
            <v>1.0274721355280483</v>
          </cell>
          <cell r="K68">
            <v>1.0024008239073847</v>
          </cell>
          <cell r="L68">
            <v>1.0273668537638421</v>
          </cell>
          <cell r="M68">
            <v>1.0412251136121284</v>
          </cell>
          <cell r="N68">
            <v>1.00431997588373</v>
          </cell>
          <cell r="O68">
            <v>0.9885978757881182</v>
          </cell>
          <cell r="P68">
            <v>0.97544866933594476</v>
          </cell>
          <cell r="Q68">
            <v>1.0112969926199371</v>
          </cell>
          <cell r="R68">
            <v>0.97473839337879542</v>
          </cell>
          <cell r="S68">
            <v>1.0061889495138125</v>
          </cell>
          <cell r="T68">
            <v>1.0099908976972682</v>
          </cell>
          <cell r="U68">
            <v>1.0172738274781061</v>
          </cell>
          <cell r="V68">
            <v>0.97793911288190183</v>
          </cell>
          <cell r="W68">
            <v>1.0163096146739943</v>
          </cell>
          <cell r="X68">
            <v>1.0163096146739943</v>
          </cell>
          <cell r="Y68">
            <v>0.99428270468282032</v>
          </cell>
          <cell r="Z68">
            <v>0.98479015272445947</v>
          </cell>
        </row>
        <row r="69">
          <cell r="C69">
            <v>1.0135627674829966</v>
          </cell>
          <cell r="D69">
            <v>1.093888579530887</v>
          </cell>
          <cell r="E69">
            <v>1.0312365452469308</v>
          </cell>
          <cell r="F69">
            <v>0.94969896926593167</v>
          </cell>
          <cell r="G69">
            <v>1.0368580389290312</v>
          </cell>
          <cell r="H69">
            <v>0.99649369923111319</v>
          </cell>
          <cell r="I69">
            <v>1</v>
          </cell>
          <cell r="J69">
            <v>1.0238695091892367</v>
          </cell>
          <cell r="K69">
            <v>0.99888610512778542</v>
          </cell>
          <cell r="L69">
            <v>1.023764596574561</v>
          </cell>
          <cell r="M69">
            <v>1.0375742651956859</v>
          </cell>
          <cell r="N69">
            <v>1.0007985279800804</v>
          </cell>
          <cell r="O69">
            <v>0.98513155429612242</v>
          </cell>
          <cell r="P69">
            <v>0.97202845291664253</v>
          </cell>
          <cell r="Q69">
            <v>1.0077510811971411</v>
          </cell>
          <cell r="R69">
            <v>0.97132066740062784</v>
          </cell>
          <cell r="S69">
            <v>1.0026609484264868</v>
          </cell>
          <cell r="T69">
            <v>1.0064495658361037</v>
          </cell>
          <cell r="U69">
            <v>1.0137069594746511</v>
          </cell>
          <cell r="V69">
            <v>0.97451016421847947</v>
          </cell>
          <cell r="W69">
            <v>1.0127461274906358</v>
          </cell>
          <cell r="X69">
            <v>1.0127461274906358</v>
          </cell>
          <cell r="Y69">
            <v>0.99079645047090015</v>
          </cell>
          <cell r="Z69">
            <v>0.98133718225476951</v>
          </cell>
        </row>
        <row r="70">
          <cell r="C70">
            <v>0.98993353975898601</v>
          </cell>
          <cell r="D70">
            <v>1.0683867130657068</v>
          </cell>
          <cell r="E70">
            <v>1.0071952880631516</v>
          </cell>
          <cell r="F70">
            <v>0.92755860072243212</v>
          </cell>
          <cell r="G70">
            <v>1.0126857276471488</v>
          </cell>
          <cell r="H70">
            <v>0.97326240335079295</v>
          </cell>
          <cell r="I70">
            <v>0.97668696159519586</v>
          </cell>
          <cell r="J70">
            <v>1</v>
          </cell>
          <cell r="K70">
            <v>0.97559903499691614</v>
          </cell>
          <cell r="L70">
            <v>0.99989753321713948</v>
          </cell>
          <cell r="M70">
            <v>1.0133852565033425</v>
          </cell>
          <cell r="N70">
            <v>0.97746687346180938</v>
          </cell>
          <cell r="O70">
            <v>0.9621651445370325</v>
          </cell>
          <cell r="P70">
            <v>0.94936751626323446</v>
          </cell>
          <cell r="Q70">
            <v>0.98425734153870914</v>
          </cell>
          <cell r="R70">
            <v>0.94867623137813706</v>
          </cell>
          <cell r="S70">
            <v>0.97928587522882293</v>
          </cell>
          <cell r="T70">
            <v>0.98298616845526821</v>
          </cell>
          <cell r="U70">
            <v>0.99007437019720135</v>
          </cell>
          <cell r="V70">
            <v>0.95179137133418212</v>
          </cell>
          <cell r="W70">
            <v>0.98913593812612999</v>
          </cell>
          <cell r="X70">
            <v>0.98913593812612999</v>
          </cell>
          <cell r="Y70">
            <v>0.96769797476972841</v>
          </cell>
          <cell r="Z70">
            <v>0.95845923083680185</v>
          </cell>
        </row>
        <row r="71">
          <cell r="C71">
            <v>1.0146930288446987</v>
          </cell>
          <cell r="D71">
            <v>1.095108415179074</v>
          </cell>
          <cell r="E71">
            <v>1.0323865152924587</v>
          </cell>
          <cell r="F71">
            <v>0.95075801374215596</v>
          </cell>
          <cell r="G71">
            <v>1.0380142777102581</v>
          </cell>
          <cell r="H71">
            <v>0.99760492624295116</v>
          </cell>
          <cell r="I71">
            <v>1.0011151370176203</v>
          </cell>
          <cell r="J71">
            <v>1.0250112639801463</v>
          </cell>
          <cell r="K71">
            <v>1</v>
          </cell>
          <cell r="L71">
            <v>1.0249062343735305</v>
          </cell>
          <cell r="M71">
            <v>1.0387313026673359</v>
          </cell>
          <cell r="N71">
            <v>1.0019145554658109</v>
          </cell>
          <cell r="O71">
            <v>0.98623011095954383</v>
          </cell>
          <cell r="P71">
            <v>0.97311239782667003</v>
          </cell>
          <cell r="Q71">
            <v>1.0088748617323309</v>
          </cell>
          <cell r="R71">
            <v>0.97240382303282602</v>
          </cell>
          <cell r="S71">
            <v>1.0037790527661996</v>
          </cell>
          <cell r="T71">
            <v>1.0075718950033354</v>
          </cell>
          <cell r="U71">
            <v>1.0148373816301806</v>
          </cell>
          <cell r="V71">
            <v>0.97559687657664673</v>
          </cell>
          <cell r="W71">
            <v>1.0138754781868522</v>
          </cell>
          <cell r="X71">
            <v>1.0138754781868522</v>
          </cell>
          <cell r="Y71">
            <v>0.99190132426974709</v>
          </cell>
          <cell r="Z71">
            <v>0.9824315076734691</v>
          </cell>
        </row>
        <row r="72">
          <cell r="C72">
            <v>0.99003498545886526</v>
          </cell>
          <cell r="D72">
            <v>1.068496198433659</v>
          </cell>
          <cell r="E72">
            <v>1.0072985027001036</v>
          </cell>
          <cell r="F72">
            <v>0.92765365440800807</v>
          </cell>
          <cell r="G72">
            <v>1.0127895049294338</v>
          </cell>
          <cell r="H72">
            <v>0.97336214063790227</v>
          </cell>
          <cell r="I72">
            <v>0.97678704982173092</v>
          </cell>
          <cell r="J72">
            <v>1.000102477283378</v>
          </cell>
          <cell r="K72">
            <v>0.97569901173568885</v>
          </cell>
          <cell r="L72">
            <v>1</v>
          </cell>
          <cell r="M72">
            <v>1.0134891054714443</v>
          </cell>
          <cell r="N72">
            <v>0.9775670416115938</v>
          </cell>
          <cell r="O72">
            <v>0.96226374460720576</v>
          </cell>
          <cell r="P72">
            <v>0.94946480486722851</v>
          </cell>
          <cell r="Q72">
            <v>0.98435820555721498</v>
          </cell>
          <cell r="R72">
            <v>0.94877344914113404</v>
          </cell>
          <cell r="S72">
            <v>0.97938622978496681</v>
          </cell>
          <cell r="T72">
            <v>0.98308690220740969</v>
          </cell>
          <cell r="U72">
            <v>0.99017583032900136</v>
          </cell>
          <cell r="V72">
            <v>0.95188890832825912</v>
          </cell>
          <cell r="W72">
            <v>0.98923730208996064</v>
          </cell>
          <cell r="X72">
            <v>0.98923730208996064</v>
          </cell>
          <cell r="Y72">
            <v>0.96779714182931331</v>
          </cell>
          <cell r="Z72">
            <v>0.95855745113500657</v>
          </cell>
        </row>
        <row r="73">
          <cell r="C73">
            <v>0.97685804426909073</v>
          </cell>
          <cell r="D73">
            <v>1.0542749721385778</v>
          </cell>
          <cell r="E73">
            <v>0.99389179149739248</v>
          </cell>
          <cell r="F73">
            <v>0.91530698198920624</v>
          </cell>
          <cell r="G73">
            <v>0.99930971084125753</v>
          </cell>
          <cell r="H73">
            <v>0.96040710786439465</v>
          </cell>
          <cell r="I73">
            <v>0.96378643297537891</v>
          </cell>
          <cell r="J73">
            <v>0.98679154209374631</v>
          </cell>
          <cell r="K73">
            <v>0.96271287620977763</v>
          </cell>
          <cell r="L73">
            <v>0.98669042873907409</v>
          </cell>
          <cell r="M73">
            <v>1</v>
          </cell>
          <cell r="N73">
            <v>0.96455604340893175</v>
          </cell>
          <cell r="O73">
            <v>0.94945642672655062</v>
          </cell>
          <cell r="P73">
            <v>0.93682783538710701</v>
          </cell>
          <cell r="Q73">
            <v>0.97125681987407397</v>
          </cell>
          <cell r="R73">
            <v>0.93614568130931564</v>
          </cell>
          <cell r="S73">
            <v>0.96635101896767417</v>
          </cell>
          <cell r="T73">
            <v>0.97000243702679723</v>
          </cell>
          <cell r="U73">
            <v>0.97699701455439103</v>
          </cell>
          <cell r="V73">
            <v>0.93921967507037907</v>
          </cell>
          <cell r="W73">
            <v>0.97607097772382823</v>
          </cell>
          <cell r="X73">
            <v>0.97607097772382823</v>
          </cell>
          <cell r="Y73">
            <v>0.95491617680401553</v>
          </cell>
          <cell r="Z73">
            <v>0.94579946243143365</v>
          </cell>
        </row>
        <row r="74">
          <cell r="C74">
            <v>1.0127540550331127</v>
          </cell>
          <cell r="D74">
            <v>1.0930157758512005</v>
          </cell>
          <cell r="E74">
            <v>1.030413731051627</v>
          </cell>
          <cell r="F74">
            <v>0.94894121315577529</v>
          </cell>
          <cell r="G74">
            <v>1.0360307393954005</v>
          </cell>
          <cell r="H74">
            <v>0.99569860603446758</v>
          </cell>
          <cell r="I74">
            <v>0.99920210915808194</v>
          </cell>
          <cell r="J74">
            <v>1.0230525730845352</v>
          </cell>
          <cell r="K74">
            <v>0.99808910305238474</v>
          </cell>
          <cell r="L74">
            <v>1.0229477441786743</v>
          </cell>
          <cell r="M74">
            <v>1.0367463941916764</v>
          </cell>
          <cell r="N74">
            <v>1</v>
          </cell>
          <cell r="O74">
            <v>0.98434552685086496</v>
          </cell>
          <cell r="P74">
            <v>0.97125288031597645</v>
          </cell>
          <cell r="Q74">
            <v>1.0069470058385206</v>
          </cell>
          <cell r="R74">
            <v>0.97054565953554317</v>
          </cell>
          <cell r="S74">
            <v>1.0018609344381884</v>
          </cell>
          <cell r="T74">
            <v>1.0056465289446705</v>
          </cell>
          <cell r="U74">
            <v>1.0128981319752977</v>
          </cell>
          <cell r="V74">
            <v>0.97373261148309342</v>
          </cell>
          <cell r="W74">
            <v>1.011938066630323</v>
          </cell>
          <cell r="X74">
            <v>1.011938066630323</v>
          </cell>
          <cell r="Y74">
            <v>0.99000590305686442</v>
          </cell>
          <cell r="Z74">
            <v>0.98055418230421476</v>
          </cell>
        </row>
        <row r="75">
          <cell r="C75">
            <v>1.0288603213072272</v>
          </cell>
          <cell r="D75">
            <v>1.1103984790259527</v>
          </cell>
          <cell r="E75">
            <v>1.0468008468003551</v>
          </cell>
          <cell r="F75">
            <v>0.96403263617364543</v>
          </cell>
          <cell r="G75">
            <v>1.052507184860064</v>
          </cell>
          <cell r="H75">
            <v>1.0115336321179043</v>
          </cell>
          <cell r="I75">
            <v>1.0150928529687602</v>
          </cell>
          <cell r="J75">
            <v>1.0393226211506263</v>
          </cell>
          <cell r="K75">
            <v>1.0139621462450166</v>
          </cell>
          <cell r="L75">
            <v>1.0392161251052829</v>
          </cell>
          <cell r="M75">
            <v>1.0532342210244539</v>
          </cell>
          <cell r="N75">
            <v>1.0159034330142354</v>
          </cell>
          <cell r="O75">
            <v>1</v>
          </cell>
          <cell r="P75">
            <v>0.98669913543796484</v>
          </cell>
          <cell r="Q75">
            <v>1.0229609200947585</v>
          </cell>
          <cell r="R75">
            <v>0.98598066741922363</v>
          </cell>
          <cell r="S75">
            <v>1.0177939626986054</v>
          </cell>
          <cell r="T75">
            <v>1.0216397611537407</v>
          </cell>
          <cell r="U75">
            <v>1.029006689567411</v>
          </cell>
          <cell r="V75">
            <v>0.98921830284359136</v>
          </cell>
          <cell r="W75">
            <v>1.0280313558875331</v>
          </cell>
          <cell r="X75">
            <v>1.0280313558875331</v>
          </cell>
          <cell r="Y75">
            <v>1.0057503956198268</v>
          </cell>
          <cell r="Z75">
            <v>0.99614836005931817</v>
          </cell>
        </row>
        <row r="76">
          <cell r="C76">
            <v>1.0427295255007478</v>
          </cell>
          <cell r="D76">
            <v>1.1253668308253677</v>
          </cell>
          <cell r="E76">
            <v>1.0609118921906351</v>
          </cell>
          <cell r="F76">
            <v>0.97702795264510045</v>
          </cell>
          <cell r="G76">
            <v>1.0666951526139619</v>
          </cell>
          <cell r="H76">
            <v>1.0251692697277131</v>
          </cell>
          <cell r="I76">
            <v>1.0287764694535708</v>
          </cell>
          <cell r="J76">
            <v>1.0533328588448632</v>
          </cell>
          <cell r="K76">
            <v>1.0276305206195915</v>
          </cell>
          <cell r="L76">
            <v>1.0532249272155361</v>
          </cell>
          <cell r="M76">
            <v>1.0674319893439008</v>
          </cell>
          <cell r="N76">
            <v>1.0295979762496779</v>
          </cell>
          <cell r="O76">
            <v>1.0134801623760736</v>
          </cell>
          <cell r="P76">
            <v>1</v>
          </cell>
          <cell r="Q76">
            <v>1.0367505994020134</v>
          </cell>
          <cell r="R76">
            <v>0.99927184691570414</v>
          </cell>
          <cell r="S76">
            <v>1.0315139905811701</v>
          </cell>
          <cell r="T76">
            <v>1.0354116310239461</v>
          </cell>
          <cell r="U76">
            <v>1.0428778668288456</v>
          </cell>
          <cell r="V76">
            <v>1.0025531261913068</v>
          </cell>
          <cell r="W76">
            <v>1.0418893854925921</v>
          </cell>
          <cell r="X76">
            <v>1.0418893854925921</v>
          </cell>
          <cell r="Y76">
            <v>1.0193080742625824</v>
          </cell>
          <cell r="Z76">
            <v>1.0095766017035772</v>
          </cell>
        </row>
        <row r="77">
          <cell r="C77">
            <v>1.005766985909806</v>
          </cell>
          <cell r="D77">
            <v>1.0854749748632573</v>
          </cell>
          <cell r="E77">
            <v>1.0233048264477085</v>
          </cell>
          <cell r="F77">
            <v>0.94239439379985845</v>
          </cell>
          <cell r="G77">
            <v>1.0288830826133306</v>
          </cell>
          <cell r="H77">
            <v>0.98882920378249084</v>
          </cell>
          <cell r="I77">
            <v>0.99230853596511825</v>
          </cell>
          <cell r="J77">
            <v>1.0159944536828955</v>
          </cell>
          <cell r="K77">
            <v>0.99120320857525201</v>
          </cell>
          <cell r="L77">
            <v>1.0158903479998227</v>
          </cell>
          <cell r="M77">
            <v>1.0295938000514144</v>
          </cell>
          <cell r="N77">
            <v>0.99310092209595913</v>
          </cell>
          <cell r="O77">
            <v>0.97755445037662669</v>
          </cell>
          <cell r="P77">
            <v>0.96455213103015247</v>
          </cell>
          <cell r="Q77">
            <v>1</v>
          </cell>
          <cell r="R77">
            <v>0.96384978942097865</v>
          </cell>
          <cell r="S77">
            <v>0.99494901780248413</v>
          </cell>
          <cell r="T77">
            <v>0.998708495197553</v>
          </cell>
          <cell r="U77">
            <v>1.0059100688539426</v>
          </cell>
          <cell r="V77">
            <v>0.96701475433876638</v>
          </cell>
          <cell r="W77">
            <v>1.0049566270745758</v>
          </cell>
          <cell r="X77">
            <v>1.0049566270745758</v>
          </cell>
          <cell r="Y77">
            <v>0.98317577520621469</v>
          </cell>
          <cell r="Z77">
            <v>0.97378926261136478</v>
          </cell>
        </row>
        <row r="78">
          <cell r="C78">
            <v>1.0434893454860934</v>
          </cell>
          <cell r="D78">
            <v>1.1261868672662612</v>
          </cell>
          <cell r="E78">
            <v>1.0616849613698072</v>
          </cell>
          <cell r="F78">
            <v>0.97773989696671593</v>
          </cell>
          <cell r="G78">
            <v>1.0674724359606074</v>
          </cell>
          <cell r="H78">
            <v>1.0259162938413031</v>
          </cell>
          <cell r="I78">
            <v>1.0295261220747227</v>
          </cell>
          <cell r="J78">
            <v>1.0541004053061445</v>
          </cell>
          <cell r="K78">
            <v>1.0283793382065327</v>
          </cell>
          <cell r="L78">
            <v>1.0539923950288008</v>
          </cell>
          <cell r="M78">
            <v>1.0682098096114445</v>
          </cell>
          <cell r="N78">
            <v>1.0303482274894231</v>
          </cell>
          <cell r="O78">
            <v>1.0142186688279311</v>
          </cell>
          <cell r="P78">
            <v>1.0007286836775633</v>
          </cell>
          <cell r="Q78">
            <v>1.0375060626415016</v>
          </cell>
          <cell r="R78">
            <v>1</v>
          </cell>
          <cell r="S78">
            <v>1.0322656379892847</v>
          </cell>
          <cell r="T78">
            <v>1.0361661185790323</v>
          </cell>
          <cell r="U78">
            <v>1.0436377949080957</v>
          </cell>
          <cell r="V78">
            <v>1.0032836702902523</v>
          </cell>
          <cell r="W78">
            <v>1.042648593281627</v>
          </cell>
          <cell r="X78">
            <v>1.042648593281627</v>
          </cell>
          <cell r="Y78">
            <v>1.0200508274187059</v>
          </cell>
          <cell r="Z78">
            <v>1.0103122636944883</v>
          </cell>
        </row>
        <row r="79">
          <cell r="C79">
            <v>1.0108728868653141</v>
          </cell>
          <cell r="D79">
            <v>1.0909855233192907</v>
          </cell>
          <cell r="E79">
            <v>1.0284997604277784</v>
          </cell>
          <cell r="F79">
            <v>0.94717857592472265</v>
          </cell>
          <cell r="G79">
            <v>1.0341063353032858</v>
          </cell>
          <cell r="H79">
            <v>0.99384911798444708</v>
          </cell>
          <cell r="I79">
            <v>0.99734611342880886</v>
          </cell>
          <cell r="J79">
            <v>1.0211522756481473</v>
          </cell>
          <cell r="K79">
            <v>0.99623517470723733</v>
          </cell>
          <cell r="L79">
            <v>1.0210476414596508</v>
          </cell>
          <cell r="M79">
            <v>1.0348206607866695</v>
          </cell>
          <cell r="N79">
            <v>0.99814252220620614</v>
          </cell>
          <cell r="O79">
            <v>0.98251712689331927</v>
          </cell>
          <cell r="P79">
            <v>0.96944879965863129</v>
          </cell>
          <cell r="Q79">
            <v>1.0050766241356486</v>
          </cell>
          <cell r="R79">
            <v>0.96874289252509294</v>
          </cell>
          <cell r="S79">
            <v>1</v>
          </cell>
          <cell r="T79">
            <v>1.0037785628487501</v>
          </cell>
          <cell r="U79">
            <v>1.0110166961877782</v>
          </cell>
          <cell r="V79">
            <v>0.97192392478017076</v>
          </cell>
          <cell r="W79">
            <v>1.0100584141428626</v>
          </cell>
          <cell r="X79">
            <v>1.0100584141428626</v>
          </cell>
          <cell r="Y79">
            <v>0.98816698907621148</v>
          </cell>
          <cell r="Z79">
            <v>0.97873282468497302</v>
          </cell>
        </row>
        <row r="80">
          <cell r="C80">
            <v>1.0070676185755851</v>
          </cell>
          <cell r="D80">
            <v>1.0868786839031956</v>
          </cell>
          <cell r="E80">
            <v>1.0246281386094449</v>
          </cell>
          <cell r="F80">
            <v>0.94361307461737853</v>
          </cell>
          <cell r="G80">
            <v>1.0302136084361722</v>
          </cell>
          <cell r="H80">
            <v>0.99010793293281441</v>
          </cell>
          <cell r="I80">
            <v>0.99359176450064268</v>
          </cell>
          <cell r="J80">
            <v>1.0173083122537405</v>
          </cell>
          <cell r="K80">
            <v>0.99248500772909076</v>
          </cell>
          <cell r="L80">
            <v>1.0172040719438067</v>
          </cell>
          <cell r="M80">
            <v>1.0309252449562394</v>
          </cell>
          <cell r="N80">
            <v>0.99438517532537385</v>
          </cell>
          <cell r="O80">
            <v>0.97881859929834492</v>
          </cell>
          <cell r="P80">
            <v>0.96579946567827668</v>
          </cell>
          <cell r="Q80">
            <v>1.0012931749440976</v>
          </cell>
          <cell r="R80">
            <v>0.96509621581853167</v>
          </cell>
          <cell r="S80">
            <v>0.9962356609429609</v>
          </cell>
          <cell r="T80">
            <v>1</v>
          </cell>
          <cell r="U80">
            <v>1.0072108865510001</v>
          </cell>
          <cell r="V80">
            <v>0.96826527358965009</v>
          </cell>
          <cell r="W80">
            <v>1.0062562118046137</v>
          </cell>
          <cell r="X80">
            <v>1.0062562118046137</v>
          </cell>
          <cell r="Y80">
            <v>0.98444719348435528</v>
          </cell>
          <cell r="Z80">
            <v>0.97504854248660522</v>
          </cell>
        </row>
        <row r="81">
          <cell r="C81">
            <v>0.9998577577175467</v>
          </cell>
          <cell r="D81">
            <v>1.0790974347239262</v>
          </cell>
          <cell r="E81">
            <v>1.0172925573889366</v>
          </cell>
          <cell r="F81">
            <v>0.93685750145989788</v>
          </cell>
          <cell r="G81">
            <v>1.0228380393741974</v>
          </cell>
          <cell r="H81">
            <v>0.98301949090646612</v>
          </cell>
          <cell r="I81">
            <v>0.986478380811596</v>
          </cell>
          <cell r="J81">
            <v>1.0100251355873617</v>
          </cell>
          <cell r="K81">
            <v>0.98537954760165947</v>
          </cell>
          <cell r="L81">
            <v>1.0099216415611099</v>
          </cell>
          <cell r="M81">
            <v>1.0235445811020218</v>
          </cell>
          <cell r="N81">
            <v>0.98726611140041853</v>
          </cell>
          <cell r="O81">
            <v>0.97181098056844972</v>
          </cell>
          <cell r="P81">
            <v>0.95888505433601023</v>
          </cell>
          <cell r="Q81">
            <v>0.99412465484049084</v>
          </cell>
          <cell r="R81">
            <v>0.95818683922621017</v>
          </cell>
          <cell r="S81">
            <v>0.98910334890677998</v>
          </cell>
          <cell r="T81">
            <v>0.99284073807453344</v>
          </cell>
          <cell r="U81">
            <v>1</v>
          </cell>
          <cell r="V81">
            <v>0.96133320888268814</v>
          </cell>
          <cell r="W81">
            <v>0.99905216002017649</v>
          </cell>
          <cell r="X81">
            <v>0.99905216002017649</v>
          </cell>
          <cell r="Y81">
            <v>0.9773992781744103</v>
          </cell>
          <cell r="Z81">
            <v>0.96806791458089914</v>
          </cell>
        </row>
        <row r="82">
          <cell r="C82">
            <v>1.040074085113146</v>
          </cell>
          <cell r="D82">
            <v>1.1225009442647984</v>
          </cell>
          <cell r="E82">
            <v>1.0582101481454982</v>
          </cell>
          <cell r="F82">
            <v>0.97453982948197826</v>
          </cell>
          <cell r="G82">
            <v>1.0639786807770777</v>
          </cell>
          <cell r="H82">
            <v>1.0225585487148445</v>
          </cell>
          <cell r="I82">
            <v>1.0261565622580884</v>
          </cell>
          <cell r="J82">
            <v>1.0506504157505032</v>
          </cell>
          <cell r="K82">
            <v>1.0250135317252997</v>
          </cell>
          <cell r="L82">
            <v>1.0505427589824903</v>
          </cell>
          <cell r="M82">
            <v>1.064713641060667</v>
          </cell>
          <cell r="N82">
            <v>1.0269759769849947</v>
          </cell>
          <cell r="O82">
            <v>1.0108992091284763</v>
          </cell>
          <cell r="P82">
            <v>0.99745337566198988</v>
          </cell>
          <cell r="Q82">
            <v>1.0341103850931299</v>
          </cell>
          <cell r="R82">
            <v>0.99672707691006035</v>
          </cell>
          <cell r="S82">
            <v>1.0288871119477581</v>
          </cell>
          <cell r="T82">
            <v>1.0327748265645218</v>
          </cell>
          <cell r="U82">
            <v>1.0402220486716072</v>
          </cell>
          <cell r="V82">
            <v>1</v>
          </cell>
          <cell r="W82">
            <v>1.0392360846259825</v>
          </cell>
          <cell r="X82">
            <v>1.0392360846259825</v>
          </cell>
          <cell r="Y82">
            <v>1.0167122795127352</v>
          </cell>
          <cell r="Z82">
            <v>1.0070055893585934</v>
          </cell>
        </row>
        <row r="83">
          <cell r="C83">
            <v>1.0008063619995116</v>
          </cell>
          <cell r="D83">
            <v>1.0801212167962613</v>
          </cell>
          <cell r="E83">
            <v>1.0182577027493656</v>
          </cell>
          <cell r="F83">
            <v>0.93774633492707471</v>
          </cell>
          <cell r="G83">
            <v>1.0238084459509507</v>
          </cell>
          <cell r="H83">
            <v>0.98395212006409494</v>
          </cell>
          <cell r="I83">
            <v>0.9874142915537798</v>
          </cell>
          <cell r="J83">
            <v>1.0109833860596062</v>
          </cell>
          <cell r="K83">
            <v>0.98631441583766655</v>
          </cell>
          <cell r="L83">
            <v>1.0108797938445113</v>
          </cell>
          <cell r="M83">
            <v>1.0245156580026318</v>
          </cell>
          <cell r="N83">
            <v>0.98820276949351671</v>
          </cell>
          <cell r="O83">
            <v>0.97273297577257956</v>
          </cell>
          <cell r="P83">
            <v>0.95979478620680314</v>
          </cell>
          <cell r="Q83">
            <v>0.99506781990283055</v>
          </cell>
          <cell r="R83">
            <v>0.95909590867293548</v>
          </cell>
          <cell r="S83">
            <v>0.99004175005918038</v>
          </cell>
          <cell r="T83">
            <v>0.9937826850346656</v>
          </cell>
          <cell r="U83">
            <v>1.0009487392327987</v>
          </cell>
          <cell r="V83">
            <v>0.9622452634137475</v>
          </cell>
          <cell r="W83">
            <v>1</v>
          </cell>
          <cell r="X83">
            <v>1</v>
          </cell>
          <cell r="Y83">
            <v>0.97832657521572342</v>
          </cell>
          <cell r="Z83">
            <v>0.96898635859147575</v>
          </cell>
        </row>
        <row r="84">
          <cell r="C84">
            <v>1.0008063619995116</v>
          </cell>
          <cell r="D84">
            <v>1.0801212167962613</v>
          </cell>
          <cell r="E84">
            <v>1.0182577027493656</v>
          </cell>
          <cell r="F84">
            <v>0.93774633492707471</v>
          </cell>
          <cell r="G84">
            <v>1.0238084459509507</v>
          </cell>
          <cell r="H84">
            <v>0.98395212006409494</v>
          </cell>
          <cell r="I84">
            <v>0.9874142915537798</v>
          </cell>
          <cell r="J84">
            <v>1.0109833860596062</v>
          </cell>
          <cell r="K84">
            <v>0.98631441583766655</v>
          </cell>
          <cell r="L84">
            <v>1.0108797938445113</v>
          </cell>
          <cell r="M84">
            <v>1.0245156580026318</v>
          </cell>
          <cell r="N84">
            <v>0.98820276949351671</v>
          </cell>
          <cell r="O84">
            <v>0.97273297577257956</v>
          </cell>
          <cell r="P84">
            <v>0.95979478620680314</v>
          </cell>
          <cell r="Q84">
            <v>0.99506781990283055</v>
          </cell>
          <cell r="R84">
            <v>0.95909590867293548</v>
          </cell>
          <cell r="S84">
            <v>0.99004175005918038</v>
          </cell>
          <cell r="T84">
            <v>0.9937826850346656</v>
          </cell>
          <cell r="U84">
            <v>1.0009487392327987</v>
          </cell>
          <cell r="V84">
            <v>0.9622452634137475</v>
          </cell>
          <cell r="W84">
            <v>1</v>
          </cell>
          <cell r="X84">
            <v>1</v>
          </cell>
          <cell r="Y84">
            <v>0.97832657521572342</v>
          </cell>
          <cell r="Z84">
            <v>0.96898635859147575</v>
          </cell>
        </row>
        <row r="85">
          <cell r="C85">
            <v>1.0229777942798204</v>
          </cell>
          <cell r="D85">
            <v>1.1040497561441505</v>
          </cell>
          <cell r="E85">
            <v>1.0408157445021231</v>
          </cell>
          <cell r="F85">
            <v>0.95852076257899799</v>
          </cell>
          <cell r="G85">
            <v>1.0464894564733647</v>
          </cell>
          <cell r="H85">
            <v>1.0057501707414327</v>
          </cell>
          <cell r="I85">
            <v>1.0092890416843194</v>
          </cell>
          <cell r="J85">
            <v>1.0333802757393991</v>
          </cell>
          <cell r="K85">
            <v>1.0081647997962049</v>
          </cell>
          <cell r="L85">
            <v>1.0332743885870725</v>
          </cell>
          <cell r="M85">
            <v>1.0472123357956657</v>
          </cell>
          <cell r="N85">
            <v>1.010094987224093</v>
          </cell>
          <cell r="O85">
            <v>0.99428248236851746</v>
          </cell>
          <cell r="P85">
            <v>0.98105766573412967</v>
          </cell>
          <cell r="Q85">
            <v>1.0171121229977991</v>
          </cell>
          <cell r="R85">
            <v>0.98034330556895322</v>
          </cell>
          <cell r="S85">
            <v>1.0119747077716597</v>
          </cell>
          <cell r="T85">
            <v>1.0157985178063205</v>
          </cell>
          <cell r="U85">
            <v>1.0231233256768959</v>
          </cell>
          <cell r="V85">
            <v>0.98356242975569785</v>
          </cell>
          <cell r="W85">
            <v>1.0221535684845293</v>
          </cell>
          <cell r="X85">
            <v>1.0221535684845293</v>
          </cell>
          <cell r="Y85">
            <v>1</v>
          </cell>
          <cell r="Z85">
            <v>0.99045286424710666</v>
          </cell>
        </row>
        <row r="86">
          <cell r="C86">
            <v>1.0328384431069695</v>
          </cell>
          <cell r="D86">
            <v>1.1146918707569133</v>
          </cell>
          <cell r="E86">
            <v>1.0508483362237535</v>
          </cell>
          <cell r="F86">
            <v>0.96776009962636456</v>
          </cell>
          <cell r="G86">
            <v>1.0565767380246351</v>
          </cell>
          <cell r="H86">
            <v>1.0154447597119669</v>
          </cell>
          <cell r="I86">
            <v>1.0190177424056732</v>
          </cell>
          <cell r="J86">
            <v>1.0433411957720207</v>
          </cell>
          <cell r="K86">
            <v>1.0178826637677119</v>
          </cell>
          <cell r="L86">
            <v>1.0432342879562642</v>
          </cell>
          <cell r="M86">
            <v>1.0573065852979333</v>
          </cell>
          <cell r="N86">
            <v>1.0198314565851827</v>
          </cell>
          <cell r="O86">
            <v>1.0038665324314267</v>
          </cell>
          <cell r="P86">
            <v>0.99051423964519636</v>
          </cell>
          <cell r="Q86">
            <v>1.0269162316683869</v>
          </cell>
          <cell r="R86">
            <v>0.9897929936465597</v>
          </cell>
          <cell r="S86">
            <v>1.02172929606389</v>
          </cell>
          <cell r="T86">
            <v>1.0255899644234765</v>
          </cell>
          <cell r="U86">
            <v>1.0329853773047784</v>
          </cell>
          <cell r="V86">
            <v>0.99304314749329692</v>
          </cell>
          <cell r="W86">
            <v>1.0320062724655958</v>
          </cell>
          <cell r="X86">
            <v>1.0320062724655958</v>
          </cell>
          <cell r="Y86">
            <v>1.0096391621424112</v>
          </cell>
          <cell r="Z86">
            <v>1</v>
          </cell>
        </row>
        <row r="91">
          <cell r="C91">
            <v>1</v>
          </cell>
          <cell r="D91">
            <v>0.98702230151224779</v>
          </cell>
          <cell r="E91">
            <v>0.98670750796334195</v>
          </cell>
          <cell r="F91">
            <v>0.96024630088811846</v>
          </cell>
          <cell r="G91">
            <v>0.86771314963836499</v>
          </cell>
          <cell r="H91">
            <v>0.99266448481581149</v>
          </cell>
          <cell r="I91">
            <v>0.95343343896851485</v>
          </cell>
          <cell r="J91">
            <v>0.96307685166683177</v>
          </cell>
          <cell r="K91">
            <v>0.93153298053893485</v>
          </cell>
          <cell r="L91">
            <v>0.95956227643948633</v>
          </cell>
          <cell r="M91">
            <v>0.98081870742267951</v>
          </cell>
          <cell r="N91">
            <v>0.99338673787453036</v>
          </cell>
          <cell r="O91">
            <v>0.89327783680911899</v>
          </cell>
          <cell r="P91">
            <v>0.92228788277871632</v>
          </cell>
          <cell r="Q91">
            <v>0.97910886060263069</v>
          </cell>
          <cell r="R91">
            <v>0.92646763201850457</v>
          </cell>
          <cell r="S91">
            <v>0.96297994540299081</v>
          </cell>
          <cell r="T91">
            <v>0.97951888636437956</v>
          </cell>
          <cell r="U91">
            <v>0.92849441751651718</v>
          </cell>
          <cell r="V91">
            <v>0.93143087433083926</v>
          </cell>
          <cell r="W91">
            <v>0.94972176451609258</v>
          </cell>
          <cell r="X91">
            <v>0.89430286325363817</v>
          </cell>
          <cell r="Y91">
            <v>0.90765562739272698</v>
          </cell>
          <cell r="Z91">
            <v>0.97034604332509344</v>
          </cell>
        </row>
        <row r="92">
          <cell r="C92">
            <v>1.0131483335967877</v>
          </cell>
          <cell r="D92">
            <v>1</v>
          </cell>
          <cell r="E92">
            <v>0.999681067440499</v>
          </cell>
          <cell r="F92">
            <v>0.9728719395872768</v>
          </cell>
          <cell r="G92">
            <v>0.87912213159612962</v>
          </cell>
          <cell r="H92">
            <v>1.0057163686118531</v>
          </cell>
          <cell r="I92">
            <v>0.96596949988640546</v>
          </cell>
          <cell r="J92">
            <v>0.97573970739189131</v>
          </cell>
          <cell r="K92">
            <v>0.94378108692347062</v>
          </cell>
          <cell r="L92">
            <v>0.97217892135700568</v>
          </cell>
          <cell r="M92">
            <v>0.99371483898584312</v>
          </cell>
          <cell r="N92">
            <v>1.0064481180947293</v>
          </cell>
          <cell r="O92">
            <v>0.90502295180210213</v>
          </cell>
          <cell r="P92">
            <v>0.93441443153376591</v>
          </cell>
          <cell r="Q92">
            <v>0.99198251052940478</v>
          </cell>
          <cell r="R92">
            <v>0.93864913751090984</v>
          </cell>
          <cell r="S92">
            <v>0.97564152697216577</v>
          </cell>
          <cell r="T92">
            <v>0.99239792744665234</v>
          </cell>
          <cell r="U92">
            <v>0.94070257186077944</v>
          </cell>
          <cell r="V92">
            <v>0.94367763818888872</v>
          </cell>
          <cell r="W92">
            <v>0.96220902310008005</v>
          </cell>
          <cell r="X92">
            <v>0.90606145563625939</v>
          </cell>
          <cell r="Y92">
            <v>0.91958978637268818</v>
          </cell>
          <cell r="Z92">
            <v>0.98310447680705482</v>
          </cell>
        </row>
        <row r="93">
          <cell r="C93">
            <v>1.0134715626762536</v>
          </cell>
          <cell r="D93">
            <v>1.00031903430993</v>
          </cell>
          <cell r="E93">
            <v>1</v>
          </cell>
          <cell r="F93">
            <v>0.97318231911517339</v>
          </cell>
          <cell r="G93">
            <v>0.87940260171872764</v>
          </cell>
          <cell r="H93">
            <v>1.0060372266394986</v>
          </cell>
          <cell r="I93">
            <v>0.96627767729921521</v>
          </cell>
          <cell r="J93">
            <v>0.97605100183611049</v>
          </cell>
          <cell r="K93">
            <v>0.94408218547126233</v>
          </cell>
          <cell r="L93">
            <v>0.97248907978830934</v>
          </cell>
          <cell r="M93">
            <v>0.9940318681137662</v>
          </cell>
          <cell r="N93">
            <v>1.006769209575566</v>
          </cell>
          <cell r="O93">
            <v>0.90531168517500116</v>
          </cell>
          <cell r="P93">
            <v>0.93471254179711893</v>
          </cell>
          <cell r="Q93">
            <v>0.99229898698511421</v>
          </cell>
          <cell r="R93">
            <v>0.93894859879076209</v>
          </cell>
          <cell r="S93">
            <v>0.97595279009346236</v>
          </cell>
          <cell r="T93">
            <v>0.99271453643461138</v>
          </cell>
          <cell r="U93">
            <v>0.94100268825664246</v>
          </cell>
          <cell r="V93">
            <v>0.94397870373298476</v>
          </cell>
          <cell r="W93">
            <v>0.96251600079177324</v>
          </cell>
          <cell r="X93">
            <v>0.90635052032751251</v>
          </cell>
          <cell r="Y93">
            <v>0.91988316706560236</v>
          </cell>
          <cell r="Z93">
            <v>0.98341812086540203</v>
          </cell>
        </row>
        <row r="94">
          <cell r="C94">
            <v>1.0413994816487331</v>
          </cell>
          <cell r="D94">
            <v>1.0278845131705945</v>
          </cell>
          <cell r="E94">
            <v>1.0275566873319375</v>
          </cell>
          <cell r="F94">
            <v>1</v>
          </cell>
          <cell r="G94">
            <v>0.9036360242531829</v>
          </cell>
          <cell r="H94">
            <v>1.0337602799382928</v>
          </cell>
          <cell r="I94">
            <v>0.99290508912838049</v>
          </cell>
          <cell r="J94">
            <v>1.0029477341137325</v>
          </cell>
          <cell r="K94">
            <v>0.97009796307194618</v>
          </cell>
          <cell r="L94">
            <v>0.99928765729375946</v>
          </cell>
          <cell r="M94">
            <v>1.021424093501359</v>
          </cell>
          <cell r="N94">
            <v>1.034512433899262</v>
          </cell>
          <cell r="O94">
            <v>0.93025907622131809</v>
          </cell>
          <cell r="P94">
            <v>0.96047012305666268</v>
          </cell>
          <cell r="Q94">
            <v>1.0196434599092612</v>
          </cell>
          <cell r="R94">
            <v>0.96482291174839996</v>
          </cell>
          <cell r="S94">
            <v>1.0028468159807999</v>
          </cell>
          <cell r="T94">
            <v>1.0200704605250093</v>
          </cell>
          <cell r="U94">
            <v>0.96693360511544346</v>
          </cell>
          <cell r="V94">
            <v>0.96999162971976227</v>
          </cell>
          <cell r="W94">
            <v>0.98903975327757898</v>
          </cell>
          <cell r="X94">
            <v>0.93132653822931666</v>
          </cell>
          <cell r="Y94">
            <v>0.94523209988234158</v>
          </cell>
          <cell r="Z94">
            <v>1.0105178665386514</v>
          </cell>
        </row>
        <row r="95">
          <cell r="C95">
            <v>1.1524545875751311</v>
          </cell>
          <cell r="D95">
            <v>1.1374983794167544</v>
          </cell>
          <cell r="E95">
            <v>1.1371355941471786</v>
          </cell>
          <cell r="F95">
            <v>1.1066402546605618</v>
          </cell>
          <cell r="G95">
            <v>1</v>
          </cell>
          <cell r="H95">
            <v>1.144000739448886</v>
          </cell>
          <cell r="I95">
            <v>1.0987887406867989</v>
          </cell>
          <cell r="J95">
            <v>1.1099023358908544</v>
          </cell>
          <cell r="K95">
            <v>1.0735494568996309</v>
          </cell>
          <cell r="L95">
            <v>1.1058519475467221</v>
          </cell>
          <cell r="M95">
            <v>1.1303490189487775</v>
          </cell>
          <cell r="N95">
            <v>1.1448331032997967</v>
          </cell>
          <cell r="O95">
            <v>1.0294621410098586</v>
          </cell>
          <cell r="P95">
            <v>1.0628949015732865</v>
          </cell>
          <cell r="Q95">
            <v>1.1283784981369613</v>
          </cell>
          <cell r="R95">
            <v>1.067711872759594</v>
          </cell>
          <cell r="S95">
            <v>1.1097906558225261</v>
          </cell>
          <cell r="T95">
            <v>1.1288510342071127</v>
          </cell>
          <cell r="U95">
            <v>1.0700476510048096</v>
          </cell>
          <cell r="V95">
            <v>1.0734317841316912</v>
          </cell>
          <cell r="W95">
            <v>1.0945112044365193</v>
          </cell>
          <cell r="X95">
            <v>1.0306434374382305</v>
          </cell>
          <cell r="Y95">
            <v>1.0460318917271321</v>
          </cell>
          <cell r="Z95">
            <v>1.1182797491653809</v>
          </cell>
        </row>
        <row r="96">
          <cell r="C96">
            <v>1.007389722606576</v>
          </cell>
          <cell r="D96">
            <v>0.99431612252692747</v>
          </cell>
          <cell r="E96">
            <v>0.99399900274101682</v>
          </cell>
          <cell r="F96">
            <v>0.96734225468567236</v>
          </cell>
          <cell r="G96">
            <v>0.87412530911627084</v>
          </cell>
          <cell r="H96">
            <v>1</v>
          </cell>
          <cell r="I96">
            <v>0.96047904760632596</v>
          </cell>
          <cell r="J96">
            <v>0.97019372244946422</v>
          </cell>
          <cell r="K96">
            <v>0.93841675086399445</v>
          </cell>
          <cell r="L96">
            <v>0.96665317548610874</v>
          </cell>
          <cell r="M96">
            <v>0.98806668559787358</v>
          </cell>
          <cell r="N96">
            <v>1.0007275903084745</v>
          </cell>
          <cell r="O96">
            <v>0.89987891223374061</v>
          </cell>
          <cell r="P96">
            <v>0.92910333439585724</v>
          </cell>
          <cell r="Q96">
            <v>0.98634420348412477</v>
          </cell>
          <cell r="R96">
            <v>0.93331397082309264</v>
          </cell>
          <cell r="S96">
            <v>0.97009610007521463</v>
          </cell>
          <cell r="T96">
            <v>0.98675725922251456</v>
          </cell>
          <cell r="U96">
            <v>0.93535573370371861</v>
          </cell>
          <cell r="V96">
            <v>0.93831389011934474</v>
          </cell>
          <cell r="W96">
            <v>0.95673994490929437</v>
          </cell>
          <cell r="X96">
            <v>0.90091151333934916</v>
          </cell>
          <cell r="Y96">
            <v>0.91436295070145701</v>
          </cell>
          <cell r="Z96">
            <v>0.97751663141765444</v>
          </cell>
        </row>
        <row r="97">
          <cell r="C97">
            <v>1.0488409144553015</v>
          </cell>
          <cell r="D97">
            <v>1.0352293733058822</v>
          </cell>
          <cell r="E97">
            <v>1.0348992049521832</v>
          </cell>
          <cell r="F97">
            <v>1.0071456083258148</v>
          </cell>
          <cell r="G97">
            <v>0.91009305335159263</v>
          </cell>
          <cell r="H97">
            <v>1.0411471260015164</v>
          </cell>
          <cell r="I97">
            <v>1</v>
          </cell>
          <cell r="J97">
            <v>1.0101144057929725</v>
          </cell>
          <cell r="K97">
            <v>0.97702990315372895</v>
          </cell>
          <cell r="L97">
            <v>1.0064281754976017</v>
          </cell>
          <cell r="M97">
            <v>1.02872279000807</v>
          </cell>
          <cell r="N97">
            <v>1.0419046545600912</v>
          </cell>
          <cell r="O97">
            <v>0.93690634322152988</v>
          </cell>
          <cell r="P97">
            <v>0.96733326636467265</v>
          </cell>
          <cell r="Q97">
            <v>1.0269294327057514</v>
          </cell>
          <cell r="R97">
            <v>0.9717171583795261</v>
          </cell>
          <cell r="S97">
            <v>1.0100127665385892</v>
          </cell>
          <cell r="T97">
            <v>1.0273594845006544</v>
          </cell>
          <cell r="U97">
            <v>0.97384293393466637</v>
          </cell>
          <cell r="V97">
            <v>0.97692280998505843</v>
          </cell>
          <cell r="W97">
            <v>0.99610704397316097</v>
          </cell>
          <cell r="X97">
            <v>0.93798143289494029</v>
          </cell>
          <cell r="Y97">
            <v>0.95198635824508815</v>
          </cell>
          <cell r="Z97">
            <v>1.0177386314191745</v>
          </cell>
        </row>
        <row r="98">
          <cell r="C98">
            <v>1.0383387351375584</v>
          </cell>
          <cell r="D98">
            <v>1.0248634881047891</v>
          </cell>
          <cell r="E98">
            <v>1.0245366257693886</v>
          </cell>
          <cell r="F98">
            <v>0.99706092948468816</v>
          </cell>
          <cell r="G98">
            <v>0.90098017425772681</v>
          </cell>
          <cell r="H98">
            <v>1.0307219855796257</v>
          </cell>
          <cell r="I98">
            <v>0.98998687105642014</v>
          </cell>
          <cell r="J98">
            <v>1</v>
          </cell>
          <cell r="K98">
            <v>0.96724677675171733</v>
          </cell>
          <cell r="L98">
            <v>0.9963506804038923</v>
          </cell>
          <cell r="M98">
            <v>1.0184220560645201</v>
          </cell>
          <cell r="N98">
            <v>1.0314719289070651</v>
          </cell>
          <cell r="O98">
            <v>0.92752497919879484</v>
          </cell>
          <cell r="P98">
            <v>0.95764723363714899</v>
          </cell>
          <cell r="Q98">
            <v>1.0166466558801115</v>
          </cell>
          <cell r="R98">
            <v>0.96198722917598289</v>
          </cell>
          <cell r="S98">
            <v>0.99989937847257648</v>
          </cell>
          <cell r="T98">
            <v>1.0170724015109396</v>
          </cell>
          <cell r="U98">
            <v>0.96409171906638447</v>
          </cell>
          <cell r="V98">
            <v>0.96714075592075366</v>
          </cell>
          <cell r="W98">
            <v>0.98613289570024953</v>
          </cell>
          <cell r="X98">
            <v>0.92858930386067939</v>
          </cell>
          <cell r="Y98">
            <v>0.94245399608745106</v>
          </cell>
          <cell r="Z98">
            <v>1.0075478832719118</v>
          </cell>
        </row>
        <row r="99">
          <cell r="C99">
            <v>1.0734992972781854</v>
          </cell>
          <cell r="D99">
            <v>1.0595677470712952</v>
          </cell>
          <cell r="E99">
            <v>1.0592298164177569</v>
          </cell>
          <cell r="F99">
            <v>1.0308237292173721</v>
          </cell>
          <cell r="G99">
            <v>0.9314894563758257</v>
          </cell>
          <cell r="H99">
            <v>1.0656246268827856</v>
          </cell>
          <cell r="I99">
            <v>1.0235101267342244</v>
          </cell>
          <cell r="J99">
            <v>1.033862323489231</v>
          </cell>
          <cell r="K99">
            <v>1</v>
          </cell>
          <cell r="L99">
            <v>1.0300894294524443</v>
          </cell>
          <cell r="M99">
            <v>1.0529081931755446</v>
          </cell>
          <cell r="N99">
            <v>1.0663999650337772</v>
          </cell>
          <cell r="O99">
            <v>0.95893313008876668</v>
          </cell>
          <cell r="P99">
            <v>0.99007539405113731</v>
          </cell>
          <cell r="Q99">
            <v>1.0510726738157687</v>
          </cell>
          <cell r="R99">
            <v>0.99456235192284903</v>
          </cell>
          <cell r="S99">
            <v>1.0337582946830959</v>
          </cell>
          <cell r="T99">
            <v>1.0515128361828721</v>
          </cell>
          <cell r="U99">
            <v>0.99673810473069924</v>
          </cell>
          <cell r="V99">
            <v>0.99989038905736172</v>
          </cell>
          <cell r="W99">
            <v>1.0195256468178235</v>
          </cell>
          <cell r="X99">
            <v>0.9600334952566496</v>
          </cell>
          <cell r="Y99">
            <v>0.97436767817668291</v>
          </cell>
          <cell r="Z99">
            <v>1.0416657956261555</v>
          </cell>
        </row>
        <row r="100">
          <cell r="C100">
            <v>1.0421418437900252</v>
          </cell>
          <cell r="D100">
            <v>1.028617241159848</v>
          </cell>
          <cell r="E100">
            <v>1.0282891816303781</v>
          </cell>
          <cell r="F100">
            <v>1.0007128505000948</v>
          </cell>
          <cell r="G100">
            <v>0.90428018164497559</v>
          </cell>
          <cell r="H100">
            <v>1.0344971964708252</v>
          </cell>
          <cell r="I100">
            <v>0.99361288201771247</v>
          </cell>
          <cell r="J100">
            <v>1.0036626859075646</v>
          </cell>
          <cell r="K100">
            <v>0.97078949789006308</v>
          </cell>
          <cell r="L100">
            <v>1</v>
          </cell>
          <cell r="M100">
            <v>1.0221522161772205</v>
          </cell>
          <cell r="N100">
            <v>1.0352498866051214</v>
          </cell>
          <cell r="O100">
            <v>0.93092221186902036</v>
          </cell>
          <cell r="P100">
            <v>0.96115479466420994</v>
          </cell>
          <cell r="Q100">
            <v>1.0203703132595761</v>
          </cell>
          <cell r="R100">
            <v>0.96551068624354286</v>
          </cell>
          <cell r="S100">
            <v>1.0035616958350906</v>
          </cell>
          <cell r="T100">
            <v>1.0207976182629266</v>
          </cell>
          <cell r="U100">
            <v>0.96762288421940856</v>
          </cell>
          <cell r="V100">
            <v>0.97068308873809594</v>
          </cell>
          <cell r="W100">
            <v>0.98974479076031674</v>
          </cell>
          <cell r="X100">
            <v>0.93199043481784516</v>
          </cell>
          <cell r="Y100">
            <v>0.94590590905744854</v>
          </cell>
          <cell r="Z100">
            <v>1.0112382147051684</v>
          </cell>
        </row>
        <row r="101">
          <cell r="C101">
            <v>1.0195564097953673</v>
          </cell>
          <cell r="D101">
            <v>1.0063249141177879</v>
          </cell>
          <cell r="E101">
            <v>1.0060039643372387</v>
          </cell>
          <cell r="F101">
            <v>0.97902527105277215</v>
          </cell>
          <cell r="G101">
            <v>0.88468250357752176</v>
          </cell>
          <cell r="H101">
            <v>1.0120774382701767</v>
          </cell>
          <cell r="I101">
            <v>0.97207917401358956</v>
          </cell>
          <cell r="J101">
            <v>0.98191117724246058</v>
          </cell>
          <cell r="K101">
            <v>0.94975042124425413</v>
          </cell>
          <cell r="L101">
            <v>0.97832786954171247</v>
          </cell>
          <cell r="M101">
            <v>1</v>
          </cell>
          <cell r="N101">
            <v>1.0128138160056879</v>
          </cell>
          <cell r="O101">
            <v>0.9107471442468773</v>
          </cell>
          <cell r="P101">
            <v>0.94032452256363863</v>
          </cell>
          <cell r="Q101">
            <v>0.99825671471485089</v>
          </cell>
          <cell r="R101">
            <v>0.94458601269240206</v>
          </cell>
          <cell r="S101">
            <v>0.98181237584001213</v>
          </cell>
          <cell r="T101">
            <v>0.99867475910842318</v>
          </cell>
          <cell r="U101">
            <v>0.94665243483818118</v>
          </cell>
          <cell r="V101">
            <v>0.94964631820531042</v>
          </cell>
          <cell r="W101">
            <v>0.96829491253454869</v>
          </cell>
          <cell r="X101">
            <v>0.91179221652859666</v>
          </cell>
          <cell r="Y101">
            <v>0.92540611279509044</v>
          </cell>
          <cell r="Z101">
            <v>0.98932252819167221</v>
          </cell>
        </row>
        <row r="102">
          <cell r="C102">
            <v>1.006657288519494</v>
          </cell>
          <cell r="D102">
            <v>0.99359319374858979</v>
          </cell>
          <cell r="E102">
            <v>0.9932763045282047</v>
          </cell>
          <cell r="F102">
            <v>0.96663893756290742</v>
          </cell>
          <cell r="G102">
            <v>0.8734897664276664</v>
          </cell>
          <cell r="H102">
            <v>0.99927293869428513</v>
          </cell>
          <cell r="I102">
            <v>0.9597807204558616</v>
          </cell>
          <cell r="J102">
            <v>0.96948833213482377</v>
          </cell>
          <cell r="K102">
            <v>0.93773446435580665</v>
          </cell>
          <cell r="L102">
            <v>0.96595035936616636</v>
          </cell>
          <cell r="M102">
            <v>0.98734830054330947</v>
          </cell>
          <cell r="N102">
            <v>1</v>
          </cell>
          <cell r="O102">
            <v>0.89922464509682665</v>
          </cell>
          <cell r="P102">
            <v>0.92842781931240748</v>
          </cell>
          <cell r="Q102">
            <v>0.98562707077965539</v>
          </cell>
          <cell r="R102">
            <v>0.93263539434882414</v>
          </cell>
          <cell r="S102">
            <v>0.96939078073802509</v>
          </cell>
          <cell r="T102">
            <v>0.98603982620120068</v>
          </cell>
          <cell r="U102">
            <v>0.93467567274266417</v>
          </cell>
          <cell r="V102">
            <v>0.93763167839722417</v>
          </cell>
          <cell r="W102">
            <v>0.95604433631571906</v>
          </cell>
          <cell r="X102">
            <v>0.90025649543812714</v>
          </cell>
          <cell r="Y102">
            <v>0.91369815278062272</v>
          </cell>
          <cell r="Z102">
            <v>0.976805916899258</v>
          </cell>
        </row>
        <row r="103">
          <cell r="C103">
            <v>1.1194725300384747</v>
          </cell>
          <cell r="D103">
            <v>1.1049443530783141</v>
          </cell>
          <cell r="E103">
            <v>1.1045919503476807</v>
          </cell>
          <cell r="F103">
            <v>1.0749693559153082</v>
          </cell>
          <cell r="G103">
            <v>0.97138103497331396</v>
          </cell>
          <cell r="H103">
            <v>1.1112606222960955</v>
          </cell>
          <cell r="I103">
            <v>1.067342544145367</v>
          </cell>
          <cell r="J103">
            <v>1.0781380797569569</v>
          </cell>
          <cell r="K103">
            <v>1.0428255825382025</v>
          </cell>
          <cell r="L103">
            <v>1.0742036093351899</v>
          </cell>
          <cell r="M103">
            <v>1.0979995999075334</v>
          </cell>
          <cell r="N103">
            <v>1.1120691647550673</v>
          </cell>
          <cell r="O103">
            <v>1</v>
          </cell>
          <cell r="P103">
            <v>1.0324759495581175</v>
          </cell>
          <cell r="Q103">
            <v>1.096085473361915</v>
          </cell>
          <cell r="R103">
            <v>1.0371550640145097</v>
          </cell>
          <cell r="S103">
            <v>1.0780295958565982</v>
          </cell>
          <cell r="T103">
            <v>1.0965444859388012</v>
          </cell>
          <cell r="U103">
            <v>1.0394239947038153</v>
          </cell>
          <cell r="V103">
            <v>1.0427112774430931</v>
          </cell>
          <cell r="W103">
            <v>1.0631874265554344</v>
          </cell>
          <cell r="X103">
            <v>1.0011474889472023</v>
          </cell>
          <cell r="Y103">
            <v>1.0160955416009951</v>
          </cell>
          <cell r="Z103">
            <v>1.0862757401339656</v>
          </cell>
        </row>
        <row r="104">
          <cell r="C104">
            <v>1.0842601520331685</v>
          </cell>
          <cell r="D104">
            <v>1.0701889506977977</v>
          </cell>
          <cell r="E104">
            <v>1.069847632596602</v>
          </cell>
          <cell r="F104">
            <v>1.0411568001902389</v>
          </cell>
          <cell r="G104">
            <v>0.94082679154807314</v>
          </cell>
          <cell r="H104">
            <v>1.0763065452243186</v>
          </cell>
          <cell r="I104">
            <v>1.0337698854895085</v>
          </cell>
          <cell r="J104">
            <v>1.0442258536079043</v>
          </cell>
          <cell r="K104">
            <v>1.010024091103056</v>
          </cell>
          <cell r="L104">
            <v>1.0404151397375707</v>
          </cell>
          <cell r="M104">
            <v>1.0634626408270904</v>
          </cell>
          <cell r="N104">
            <v>1.0770896554355716</v>
          </cell>
          <cell r="O104">
            <v>0.96854556314651519</v>
          </cell>
          <cell r="P104">
            <v>1</v>
          </cell>
          <cell r="Q104">
            <v>1.0616087220540307</v>
          </cell>
          <cell r="R104">
            <v>1.0045319355461935</v>
          </cell>
          <cell r="S104">
            <v>1.0441207820075391</v>
          </cell>
          <cell r="T104">
            <v>1.0620532966488021</v>
          </cell>
          <cell r="U104">
            <v>1.0067294982984072</v>
          </cell>
          <cell r="V104">
            <v>1.0099133814103427</v>
          </cell>
          <cell r="W104">
            <v>1.0297454647834277</v>
          </cell>
          <cell r="X104">
            <v>0.96965695847508759</v>
          </cell>
          <cell r="Y104">
            <v>0.98413482855059908</v>
          </cell>
          <cell r="Z104">
            <v>1.0521075484604494</v>
          </cell>
        </row>
        <row r="105">
          <cell r="C105">
            <v>1.0213368913692713</v>
          </cell>
          <cell r="D105">
            <v>1.0080822891386627</v>
          </cell>
          <cell r="E105">
            <v>1.0077607788740002</v>
          </cell>
          <cell r="F105">
            <v>0.98073497189791281</v>
          </cell>
          <cell r="G105">
            <v>0.88622745085188703</v>
          </cell>
          <cell r="H105">
            <v>1.0138448590944602</v>
          </cell>
          <cell r="I105">
            <v>0.97377674468361686</v>
          </cell>
          <cell r="J105">
            <v>0.98362591783110687</v>
          </cell>
          <cell r="K105">
            <v>0.95140899855158756</v>
          </cell>
          <cell r="L105">
            <v>0.98003635249392629</v>
          </cell>
          <cell r="M105">
            <v>1.0017463296359064</v>
          </cell>
          <cell r="N105">
            <v>1.0145825227882339</v>
          </cell>
          <cell r="O105">
            <v>0.91233760897569283</v>
          </cell>
          <cell r="P105">
            <v>0.94196663914476098</v>
          </cell>
          <cell r="Q105">
            <v>1</v>
          </cell>
          <cell r="R105">
            <v>0.94623557124002944</v>
          </cell>
          <cell r="S105">
            <v>0.98352694388884121</v>
          </cell>
          <cell r="T105">
            <v>1.000418774436886</v>
          </cell>
          <cell r="U105">
            <v>0.94830560204004199</v>
          </cell>
          <cell r="V105">
            <v>0.95130471371442182</v>
          </cell>
          <cell r="W105">
            <v>0.96998587463660513</v>
          </cell>
          <cell r="X105">
            <v>0.9133845062981093</v>
          </cell>
          <cell r="Y105">
            <v>0.92702217691511346</v>
          </cell>
          <cell r="Z105">
            <v>0.99105021144212324</v>
          </cell>
        </row>
        <row r="106">
          <cell r="C106">
            <v>1.0793685234542838</v>
          </cell>
          <cell r="D106">
            <v>1.0653608041997238</v>
          </cell>
          <cell r="E106">
            <v>1.0650210259516482</v>
          </cell>
          <cell r="F106">
            <v>1.0364596319420463</v>
          </cell>
          <cell r="G106">
            <v>0.93658226110702802</v>
          </cell>
          <cell r="H106">
            <v>1.0714507992611497</v>
          </cell>
          <cell r="I106">
            <v>1.0291060432313859</v>
          </cell>
          <cell r="J106">
            <v>1.0395148393566285</v>
          </cell>
          <cell r="K106">
            <v>1.0054673777532781</v>
          </cell>
          <cell r="L106">
            <v>1.0357213174829196</v>
          </cell>
          <cell r="M106">
            <v>1.0586648400071568</v>
          </cell>
          <cell r="N106">
            <v>1.0722303764786993</v>
          </cell>
          <cell r="O106">
            <v>0.96417597975109537</v>
          </cell>
          <cell r="P106">
            <v>0.99548851023464058</v>
          </cell>
          <cell r="Q106">
            <v>1.0568192851696676</v>
          </cell>
          <cell r="R106">
            <v>1</v>
          </cell>
          <cell r="S106">
            <v>1.039410241785713</v>
          </cell>
          <cell r="T106">
            <v>1.0572618540707046</v>
          </cell>
          <cell r="U106">
            <v>1.0021876484703485</v>
          </cell>
          <cell r="V106">
            <v>1.0053571675262105</v>
          </cell>
          <cell r="W106">
            <v>1.0250997786581317</v>
          </cell>
          <cell r="X106">
            <v>0.96528236103101761</v>
          </cell>
          <cell r="Y106">
            <v>0.97969491434385925</v>
          </cell>
          <cell r="Z106">
            <v>1.0473609760235125</v>
          </cell>
        </row>
        <row r="107">
          <cell r="C107">
            <v>1.0384432248809885</v>
          </cell>
          <cell r="D107">
            <v>1.0249666218118338</v>
          </cell>
          <cell r="E107">
            <v>1.0246397265837364</v>
          </cell>
          <cell r="F107">
            <v>0.99716126537429772</v>
          </cell>
          <cell r="G107">
            <v>0.90107084138210347</v>
          </cell>
          <cell r="H107">
            <v>1.0308257088369563</v>
          </cell>
          <cell r="I107">
            <v>0.99008649507183566</v>
          </cell>
          <cell r="J107">
            <v>1.0001006316531342</v>
          </cell>
          <cell r="K107">
            <v>0.96734411239385054</v>
          </cell>
          <cell r="L107">
            <v>0.99645094481996277</v>
          </cell>
          <cell r="M107">
            <v>1.01852454155961</v>
          </cell>
          <cell r="N107">
            <v>1.0315757276324324</v>
          </cell>
          <cell r="O107">
            <v>0.92761831757077484</v>
          </cell>
          <cell r="P107">
            <v>0.95774360326138919</v>
          </cell>
          <cell r="Q107">
            <v>1.016748962713746</v>
          </cell>
          <cell r="R107">
            <v>0.96208403554114885</v>
          </cell>
          <cell r="S107">
            <v>1</v>
          </cell>
          <cell r="T107">
            <v>1.0171747511880609</v>
          </cell>
          <cell r="U107">
            <v>0.9641887372098471</v>
          </cell>
          <cell r="V107">
            <v>0.96723808089383545</v>
          </cell>
          <cell r="W107">
            <v>0.98623213188375392</v>
          </cell>
          <cell r="X107">
            <v>0.92868274933740969</v>
          </cell>
          <cell r="Y107">
            <v>0.94254883679108026</v>
          </cell>
          <cell r="Z107">
            <v>1.0076492744810175</v>
          </cell>
        </row>
        <row r="108">
          <cell r="C108">
            <v>1.0209093606266633</v>
          </cell>
          <cell r="D108">
            <v>1.0076603067611265</v>
          </cell>
          <cell r="E108">
            <v>1.0073389310803837</v>
          </cell>
          <cell r="F108">
            <v>0.98032443708380756</v>
          </cell>
          <cell r="G108">
            <v>0.8858564768046514</v>
          </cell>
          <cell r="H108">
            <v>1.0134204645101061</v>
          </cell>
          <cell r="I108">
            <v>0.97336912257742736</v>
          </cell>
          <cell r="J108">
            <v>0.98321417286952506</v>
          </cell>
          <cell r="K108">
            <v>0.95101073956465398</v>
          </cell>
          <cell r="L108">
            <v>0.97962611012130152</v>
          </cell>
          <cell r="M108">
            <v>1.0013269994855583</v>
          </cell>
          <cell r="N108">
            <v>1.0141578194184935</v>
          </cell>
          <cell r="O108">
            <v>0.91195570523876646</v>
          </cell>
          <cell r="P108">
            <v>0.94157233272133822</v>
          </cell>
          <cell r="Q108">
            <v>0.99958140086173242</v>
          </cell>
          <cell r="R108">
            <v>0.94583947784531031</v>
          </cell>
          <cell r="S108">
            <v>0.98311524035766651</v>
          </cell>
          <cell r="T108">
            <v>1</v>
          </cell>
          <cell r="U108">
            <v>0.94790864213221382</v>
          </cell>
          <cell r="V108">
            <v>0.95090649838103103</v>
          </cell>
          <cell r="W108">
            <v>0.96957983938535053</v>
          </cell>
          <cell r="X108">
            <v>0.91300216433086601</v>
          </cell>
          <cell r="Y108">
            <v>0.92663412623070185</v>
          </cell>
          <cell r="Z108">
            <v>0.99063535867763364</v>
          </cell>
        </row>
        <row r="109">
          <cell r="C109">
            <v>1.0770123989272242</v>
          </cell>
          <cell r="D109">
            <v>1.0630352567463761</v>
          </cell>
          <cell r="E109">
            <v>1.0626962201911021</v>
          </cell>
          <cell r="F109">
            <v>1.0341971720805057</v>
          </cell>
          <cell r="G109">
            <v>0.93453782087271309</v>
          </cell>
          <cell r="H109">
            <v>1.0691119581213344</v>
          </cell>
          <cell r="I109">
            <v>1.0268596353209134</v>
          </cell>
          <cell r="J109">
            <v>1.037245710364973</v>
          </cell>
          <cell r="K109">
            <v>1.0032725700500655</v>
          </cell>
          <cell r="L109">
            <v>1.0334604692681595</v>
          </cell>
          <cell r="M109">
            <v>1.0563539089939995</v>
          </cell>
          <cell r="N109">
            <v>1.0698898336207376</v>
          </cell>
          <cell r="O109">
            <v>0.96207130593031076</v>
          </cell>
          <cell r="P109">
            <v>0.99331548513301582</v>
          </cell>
          <cell r="Q109">
            <v>1.0545123827685405</v>
          </cell>
          <cell r="R109">
            <v>0.99781712688867452</v>
          </cell>
          <cell r="S109">
            <v>1.0371413411172825</v>
          </cell>
          <cell r="T109">
            <v>1.0549539855978236</v>
          </cell>
          <cell r="U109">
            <v>1</v>
          </cell>
          <cell r="V109">
            <v>1.0031626003979393</v>
          </cell>
          <cell r="W109">
            <v>1.0228621159148732</v>
          </cell>
          <cell r="X109">
            <v>0.9631752721202862</v>
          </cell>
          <cell r="Y109">
            <v>0.97755636465803575</v>
          </cell>
          <cell r="Z109">
            <v>1.0450747199110992</v>
          </cell>
        </row>
        <row r="110">
          <cell r="C110">
            <v>1.0736169774471158</v>
          </cell>
          <cell r="D110">
            <v>1.0596839000224754</v>
          </cell>
          <cell r="E110">
            <v>1.0593459323239791</v>
          </cell>
          <cell r="F110">
            <v>1.0309367311642754</v>
          </cell>
          <cell r="G110">
            <v>0.93159156900585838</v>
          </cell>
          <cell r="H110">
            <v>1.0657414438070498</v>
          </cell>
          <cell r="I110">
            <v>1.0236223269423861</v>
          </cell>
          <cell r="J110">
            <v>1.0339756585358282</v>
          </cell>
          <cell r="K110">
            <v>1.0001096229585142</v>
          </cell>
          <cell r="L110">
            <v>1.0302023509032352</v>
          </cell>
          <cell r="M110">
            <v>1.0530236160867243</v>
          </cell>
          <cell r="N110">
            <v>1.0665168669529035</v>
          </cell>
          <cell r="O110">
            <v>0.95903825117550423</v>
          </cell>
          <cell r="P110">
            <v>0.9901839290449852</v>
          </cell>
          <cell r="Q110">
            <v>1.0511878955118859</v>
          </cell>
          <cell r="R110">
            <v>0.99467137879029366</v>
          </cell>
          <cell r="S110">
            <v>1.0338716183257477</v>
          </cell>
          <cell r="T110">
            <v>1.0516281061308901</v>
          </cell>
          <cell r="U110">
            <v>0.99684737011060365</v>
          </cell>
          <cell r="V110">
            <v>1</v>
          </cell>
          <cell r="W110">
            <v>1.0196374102355088</v>
          </cell>
          <cell r="X110">
            <v>0.96013873696867236</v>
          </cell>
          <cell r="Y110">
            <v>0.97447449124424512</v>
          </cell>
          <cell r="Z110">
            <v>1.0417799861124548</v>
          </cell>
        </row>
        <row r="111">
          <cell r="C111">
            <v>1.052939963431843</v>
          </cell>
          <cell r="D111">
            <v>1.0392752260607199</v>
          </cell>
          <cell r="E111">
            <v>1.0389437673528463</v>
          </cell>
          <cell r="F111">
            <v>1.0110817049426981</v>
          </cell>
          <cell r="G111">
            <v>0.9136498520495494</v>
          </cell>
          <cell r="H111">
            <v>1.04521610634205</v>
          </cell>
          <cell r="I111">
            <v>1.0039081703622044</v>
          </cell>
          <cell r="J111">
            <v>1.0140621049761285</v>
          </cell>
          <cell r="K111">
            <v>0.98084830246422183</v>
          </cell>
          <cell r="L111">
            <v>1.0103614682647688</v>
          </cell>
          <cell r="M111">
            <v>1.0327432139269039</v>
          </cell>
          <cell r="N111">
            <v>1.0459765954512859</v>
          </cell>
          <cell r="O111">
            <v>0.94056793282426965</v>
          </cell>
          <cell r="P111">
            <v>0.97111376956665352</v>
          </cell>
          <cell r="Q111">
            <v>1.0309428478787275</v>
          </cell>
          <cell r="R111">
            <v>0.97551479457835044</v>
          </cell>
          <cell r="S111">
            <v>1.0139600684982235</v>
          </cell>
          <cell r="T111">
            <v>1.0313745803893095</v>
          </cell>
          <cell r="U111">
            <v>0.97764887802651212</v>
          </cell>
          <cell r="V111">
            <v>0.98074079075720355</v>
          </cell>
          <cell r="W111">
            <v>1</v>
          </cell>
          <cell r="X111">
            <v>0.94164722413127833</v>
          </cell>
          <cell r="Y111">
            <v>0.95570688311560459</v>
          </cell>
          <cell r="Z111">
            <v>1.0217161273749575</v>
          </cell>
        </row>
        <row r="112">
          <cell r="C112">
            <v>1.1181894200381024</v>
          </cell>
          <cell r="D112">
            <v>1.1036778948926533</v>
          </cell>
          <cell r="E112">
            <v>1.1033258960767705</v>
          </cell>
          <cell r="F112">
            <v>1.0737372542838184</v>
          </cell>
          <cell r="G112">
            <v>0.97026766355355853</v>
          </cell>
          <cell r="H112">
            <v>1.1099869245686138</v>
          </cell>
          <cell r="I112">
            <v>1.0661191841651372</v>
          </cell>
          <cell r="J112">
            <v>1.0769023462174561</v>
          </cell>
          <cell r="K112">
            <v>1.0416303232551964</v>
          </cell>
          <cell r="L112">
            <v>1.0729723853823105</v>
          </cell>
          <cell r="M112">
            <v>1.0967411016154873</v>
          </cell>
          <cell r="N112">
            <v>1.1107945402974635</v>
          </cell>
          <cell r="O112">
            <v>0.99885382627447938</v>
          </cell>
          <cell r="P112">
            <v>1.0312925527525021</v>
          </cell>
          <cell r="Q112">
            <v>1.0948291689914227</v>
          </cell>
          <cell r="R112">
            <v>1.0359663041308458</v>
          </cell>
          <cell r="S112">
            <v>1.0767939866584937</v>
          </cell>
          <cell r="T112">
            <v>1.0952876554601534</v>
          </cell>
          <cell r="U112">
            <v>1.0382326342314101</v>
          </cell>
          <cell r="V112">
            <v>1.0415161491735838</v>
          </cell>
          <cell r="W112">
            <v>1.0619688290618128</v>
          </cell>
          <cell r="X112">
            <v>1</v>
          </cell>
          <cell r="Y112">
            <v>1.0149309195885934</v>
          </cell>
          <cell r="Z112">
            <v>1.0850306794219535</v>
          </cell>
        </row>
        <row r="113">
          <cell r="C113">
            <v>1.1017394370952511</v>
          </cell>
          <cell r="D113">
            <v>1.0874413948685631</v>
          </cell>
          <cell r="E113">
            <v>1.0870945744011902</v>
          </cell>
          <cell r="F113">
            <v>1.0579412190132726</v>
          </cell>
          <cell r="G113">
            <v>0.95599379704271958</v>
          </cell>
          <cell r="H113">
            <v>1.0936576107254194</v>
          </cell>
          <cell r="I113">
            <v>1.0504352203569609</v>
          </cell>
          <cell r="J113">
            <v>1.0610597484348818</v>
          </cell>
          <cell r="K113">
            <v>1.0263066216146275</v>
          </cell>
          <cell r="L113">
            <v>1.0571876023022773</v>
          </cell>
          <cell r="M113">
            <v>1.0806066506083547</v>
          </cell>
          <cell r="N113">
            <v>1.0944533454037728</v>
          </cell>
          <cell r="O113">
            <v>0.98415942109574228</v>
          </cell>
          <cell r="P113">
            <v>1.0161209328123939</v>
          </cell>
          <cell r="Q113">
            <v>1.078722844935315</v>
          </cell>
          <cell r="R113">
            <v>1.0207259273870375</v>
          </cell>
          <cell r="S113">
            <v>1.0609529829823068</v>
          </cell>
          <cell r="T113">
            <v>1.0791745864872586</v>
          </cell>
          <cell r="U113">
            <v>1.0229589169007307</v>
          </cell>
          <cell r="V113">
            <v>1.0261941271783963</v>
          </cell>
          <cell r="W113">
            <v>1.0463459222350684</v>
          </cell>
          <cell r="X113">
            <v>0.98528873315373455</v>
          </cell>
          <cell r="Y113">
            <v>1</v>
          </cell>
          <cell r="Z113">
            <v>1.0690685035605925</v>
          </cell>
        </row>
        <row r="114">
          <cell r="C114">
            <v>1.0305601871403434</v>
          </cell>
          <cell r="D114">
            <v>1.0171858877581545</v>
          </cell>
          <cell r="E114">
            <v>1.0168614740594835</v>
          </cell>
          <cell r="F114">
            <v>0.98959160754408182</v>
          </cell>
          <cell r="G114">
            <v>0.89423062587545021</v>
          </cell>
          <cell r="H114">
            <v>1.0230004972393552</v>
          </cell>
          <cell r="I114">
            <v>0.98257054328925375</v>
          </cell>
          <cell r="J114">
            <v>0.99250866048430286</v>
          </cell>
          <cell r="K114">
            <v>0.96000080275160649</v>
          </cell>
          <cell r="L114">
            <v>0.98888667918029083</v>
          </cell>
          <cell r="M114">
            <v>1.0107927106722663</v>
          </cell>
          <cell r="N114">
            <v>1.0237448224867112</v>
          </cell>
          <cell r="O114">
            <v>0.92057657467032672</v>
          </cell>
          <cell r="P114">
            <v>0.95047317307370494</v>
          </cell>
          <cell r="Q114">
            <v>1.0090306106134153</v>
          </cell>
          <cell r="R114">
            <v>0.95478065623246089</v>
          </cell>
          <cell r="S114">
            <v>0.99240879274690386</v>
          </cell>
          <cell r="T114">
            <v>1.0094531668391757</v>
          </cell>
          <cell r="U114">
            <v>0.95686938067458605</v>
          </cell>
          <cell r="V114">
            <v>0.95989557615868326</v>
          </cell>
          <cell r="W114">
            <v>0.97874543937096148</v>
          </cell>
          <cell r="X114">
            <v>0.92163292611481418</v>
          </cell>
          <cell r="Y114">
            <v>0.93539375322483442</v>
          </cell>
          <cell r="Z114">
            <v>1</v>
          </cell>
        </row>
        <row r="119">
          <cell r="C119">
            <v>1</v>
          </cell>
          <cell r="D119">
            <v>0.97942538068310747</v>
          </cell>
          <cell r="E119">
            <v>1.0432651161155553</v>
          </cell>
          <cell r="F119">
            <v>0.99647632884311921</v>
          </cell>
          <cell r="G119">
            <v>0.99589542574675038</v>
          </cell>
          <cell r="H119">
            <v>0.99690867820423534</v>
          </cell>
          <cell r="I119">
            <v>0.99908963346837087</v>
          </cell>
          <cell r="J119">
            <v>0.94834660342564814</v>
          </cell>
          <cell r="K119">
            <v>0.91244875208701925</v>
          </cell>
          <cell r="L119">
            <v>1.0079761656623907</v>
          </cell>
          <cell r="M119">
            <v>1.0031483396715477</v>
          </cell>
          <cell r="N119">
            <v>1.003362570449934</v>
          </cell>
          <cell r="O119">
            <v>0.9794801391169945</v>
          </cell>
          <cell r="P119">
            <v>0.97255361357264447</v>
          </cell>
          <cell r="Q119">
            <v>1.0053595552260342</v>
          </cell>
          <cell r="R119">
            <v>0.97156814061471519</v>
          </cell>
          <cell r="S119">
            <v>1.007976165684465</v>
          </cell>
          <cell r="T119">
            <v>1.0079761657082946</v>
          </cell>
          <cell r="U119">
            <v>1.0079761656706105</v>
          </cell>
          <cell r="V119">
            <v>1.0079761656803972</v>
          </cell>
          <cell r="W119">
            <v>0.97967836394143271</v>
          </cell>
          <cell r="X119">
            <v>1.007976165685194</v>
          </cell>
          <cell r="Y119">
            <v>0.97754169127414614</v>
          </cell>
          <cell r="Z119">
            <v>1.0079761656386519</v>
          </cell>
        </row>
        <row r="120">
          <cell r="C120">
            <v>1.0210068267809669</v>
          </cell>
          <cell r="D120">
            <v>1</v>
          </cell>
          <cell r="E120">
            <v>1.06518080569642</v>
          </cell>
          <cell r="F120">
            <v>1.0174091344744605</v>
          </cell>
          <cell r="G120">
            <v>1.0168160284473695</v>
          </cell>
          <cell r="H120">
            <v>1.0178505661237143</v>
          </cell>
          <cell r="I120">
            <v>1.0200773363373006</v>
          </cell>
          <cell r="J120">
            <v>0.96826835625212893</v>
          </cell>
          <cell r="K120">
            <v>0.93161640496862064</v>
          </cell>
          <cell r="L120">
            <v>1.0291505463738035</v>
          </cell>
          <cell r="M120">
            <v>1.0242213030786422</v>
          </cell>
          <cell r="N120">
            <v>1.0244400341658815</v>
          </cell>
          <cell r="O120">
            <v>1.0000559087348224</v>
          </cell>
          <cell r="P120">
            <v>0.9929838788681683</v>
          </cell>
          <cell r="Q120">
            <v>1.0264789692552572</v>
          </cell>
          <cell r="R120">
            <v>0.99197770425051457</v>
          </cell>
          <cell r="S120">
            <v>1.0291505463963415</v>
          </cell>
          <cell r="T120">
            <v>1.0291505464206718</v>
          </cell>
          <cell r="U120">
            <v>1.0291505463821962</v>
          </cell>
          <cell r="V120">
            <v>1.0291505463921884</v>
          </cell>
          <cell r="W120">
            <v>1.0002582976338112</v>
          </cell>
          <cell r="X120">
            <v>1.029150546397086</v>
          </cell>
          <cell r="Y120">
            <v>0.99807674025391546</v>
          </cell>
          <cell r="Z120">
            <v>1.0291505463495663</v>
          </cell>
        </row>
        <row r="121">
          <cell r="C121">
            <v>0.95852912606083607</v>
          </cell>
          <cell r="D121">
            <v>0.93880775418798079</v>
          </cell>
          <cell r="E121">
            <v>1</v>
          </cell>
          <cell r="F121">
            <v>0.95515158462630545</v>
          </cell>
          <cell r="G121">
            <v>0.954594772089017</v>
          </cell>
          <cell r="H121">
            <v>0.955566004081569</v>
          </cell>
          <cell r="I121">
            <v>0.95765651322487855</v>
          </cell>
          <cell r="J121">
            <v>0.90901784098434879</v>
          </cell>
          <cell r="K121">
            <v>0.87460870491327114</v>
          </cell>
          <cell r="L121">
            <v>0.9661745131625239</v>
          </cell>
          <cell r="M121">
            <v>0.96154690133474741</v>
          </cell>
          <cell r="N121">
            <v>0.96175224777552937</v>
          </cell>
          <cell r="O121">
            <v>0.93886024174175886</v>
          </cell>
          <cell r="P121">
            <v>0.93222096526509501</v>
          </cell>
          <cell r="Q121">
            <v>0.96366641584772128</v>
          </cell>
          <cell r="R121">
            <v>0.93127636073197451</v>
          </cell>
          <cell r="S121">
            <v>0.96617451318368264</v>
          </cell>
          <cell r="T121">
            <v>0.96617451320652425</v>
          </cell>
          <cell r="U121">
            <v>0.96617451317040282</v>
          </cell>
          <cell r="V121">
            <v>0.96617451317978376</v>
          </cell>
          <cell r="W121">
            <v>0.93905024600949116</v>
          </cell>
          <cell r="X121">
            <v>0.96617451318438163</v>
          </cell>
          <cell r="Y121">
            <v>0.93700218302503901</v>
          </cell>
          <cell r="Z121">
            <v>0.96617451313976965</v>
          </cell>
        </row>
        <row r="122">
          <cell r="C122">
            <v>1.0035361313208229</v>
          </cell>
          <cell r="D122">
            <v>0.98288875744814996</v>
          </cell>
          <cell r="E122">
            <v>1.0469542385685735</v>
          </cell>
          <cell r="F122">
            <v>1</v>
          </cell>
          <cell r="G122">
            <v>0.99941704275399779</v>
          </cell>
          <cell r="H122">
            <v>1.0004338782052336</v>
          </cell>
          <cell r="I122">
            <v>1.0026225456135878</v>
          </cell>
          <cell r="J122">
            <v>0.95170008155301755</v>
          </cell>
          <cell r="K122">
            <v>0.91567529069791997</v>
          </cell>
          <cell r="L122">
            <v>1.0115405017524324</v>
          </cell>
          <cell r="M122">
            <v>1.0066956039348918</v>
          </cell>
          <cell r="N122">
            <v>1.0069105922614434</v>
          </cell>
          <cell r="O122">
            <v>0.98294370951505006</v>
          </cell>
          <cell r="P122">
            <v>0.97599269086677809</v>
          </cell>
          <cell r="Q122">
            <v>1.0089146386379575</v>
          </cell>
          <cell r="R122">
            <v>0.97500373314705657</v>
          </cell>
          <cell r="S122">
            <v>1.0115405017745847</v>
          </cell>
          <cell r="T122">
            <v>1.0115405017984986</v>
          </cell>
          <cell r="U122">
            <v>1.0115405017606813</v>
          </cell>
          <cell r="V122">
            <v>1.0115405017705026</v>
          </cell>
          <cell r="W122">
            <v>0.98314263528849855</v>
          </cell>
          <cell r="X122">
            <v>1.0115405017753165</v>
          </cell>
          <cell r="Y122">
            <v>0.98099840706607089</v>
          </cell>
          <cell r="Z122">
            <v>1.0115405017286097</v>
          </cell>
        </row>
        <row r="123">
          <cell r="C123">
            <v>1.0041214912199963</v>
          </cell>
          <cell r="D123">
            <v>0.98346207379023431</v>
          </cell>
          <cell r="E123">
            <v>1.0475649241317539</v>
          </cell>
          <cell r="F123">
            <v>1.0005832972833801</v>
          </cell>
          <cell r="G123">
            <v>1</v>
          </cell>
          <cell r="H123">
            <v>1.001017428568592</v>
          </cell>
          <cell r="I123">
            <v>1.0032073726207</v>
          </cell>
          <cell r="J123">
            <v>0.95225520562518018</v>
          </cell>
          <cell r="K123">
            <v>0.91620940160744235</v>
          </cell>
          <cell r="L123">
            <v>1.0121305305791337</v>
          </cell>
          <cell r="M123">
            <v>1.0072828067458577</v>
          </cell>
          <cell r="N123">
            <v>1.0074979204745163</v>
          </cell>
          <cell r="O123">
            <v>0.98351705791052579</v>
          </cell>
          <cell r="P123">
            <v>0.97656198475195966</v>
          </cell>
          <cell r="Q123">
            <v>1.0095031358058375</v>
          </cell>
          <cell r="R123">
            <v>0.97557245017588679</v>
          </cell>
          <cell r="S123">
            <v>1.0121305306012989</v>
          </cell>
          <cell r="T123">
            <v>1.0121305306252268</v>
          </cell>
          <cell r="U123">
            <v>1.0121305305873873</v>
          </cell>
          <cell r="V123">
            <v>1.0121305305972144</v>
          </cell>
          <cell r="W123">
            <v>0.98371609971683749</v>
          </cell>
          <cell r="X123">
            <v>1.012130530602031</v>
          </cell>
          <cell r="Y123">
            <v>0.98157062077191282</v>
          </cell>
          <cell r="Z123">
            <v>1.012130530555297</v>
          </cell>
        </row>
        <row r="124">
          <cell r="C124">
            <v>1.0031009076993223</v>
          </cell>
          <cell r="D124">
            <v>0.98246248838697936</v>
          </cell>
          <cell r="E124">
            <v>1.0465001849465525</v>
          </cell>
          <cell r="F124">
            <v>0.99956630996342122</v>
          </cell>
          <cell r="G124">
            <v>0.9989836055401683</v>
          </cell>
          <cell r="H124">
            <v>1</v>
          </cell>
          <cell r="I124">
            <v>1.002187718205106</v>
          </cell>
          <cell r="J124">
            <v>0.95128733870983684</v>
          </cell>
          <cell r="K124">
            <v>0.91527817144760293</v>
          </cell>
          <cell r="L124">
            <v>1.0111018067152264</v>
          </cell>
          <cell r="M124">
            <v>1.0062590100815976</v>
          </cell>
          <cell r="N124">
            <v>1.0064739051698539</v>
          </cell>
          <cell r="O124">
            <v>0.98251741662171554</v>
          </cell>
          <cell r="P124">
            <v>0.97556941256097551</v>
          </cell>
          <cell r="Q124">
            <v>1.0084770824114218</v>
          </cell>
          <cell r="R124">
            <v>0.97458088374236362</v>
          </cell>
          <cell r="S124">
            <v>1.0111018067373692</v>
          </cell>
          <cell r="T124">
            <v>1.0111018067612729</v>
          </cell>
          <cell r="U124">
            <v>1.0111018067234718</v>
          </cell>
          <cell r="V124">
            <v>1.0111018067332889</v>
          </cell>
          <cell r="W124">
            <v>0.98271625612303815</v>
          </cell>
          <cell r="X124">
            <v>1.0111018067381006</v>
          </cell>
          <cell r="Y124">
            <v>0.98057295783102671</v>
          </cell>
          <cell r="Z124">
            <v>1.0111018066914141</v>
          </cell>
        </row>
        <row r="125">
          <cell r="C125">
            <v>1.0009111960540205</v>
          </cell>
          <cell r="D125">
            <v>0.98031782922519339</v>
          </cell>
          <cell r="E125">
            <v>1.0442157351726571</v>
          </cell>
          <cell r="F125">
            <v>0.99738431414188589</v>
          </cell>
          <cell r="G125">
            <v>0.99680288172890785</v>
          </cell>
          <cell r="H125">
            <v>0.99781705745803373</v>
          </cell>
          <cell r="I125">
            <v>1</v>
          </cell>
          <cell r="J125">
            <v>0.94921073310853332</v>
          </cell>
          <cell r="K125">
            <v>0.91328017178941689</v>
          </cell>
          <cell r="L125">
            <v>1.0088946295670889</v>
          </cell>
          <cell r="M125">
            <v>1.0040624044802535</v>
          </cell>
          <cell r="N125">
            <v>1.0042768304648799</v>
          </cell>
          <cell r="O125">
            <v>0.98037263755474924</v>
          </cell>
          <cell r="P125">
            <v>0.97343980058765511</v>
          </cell>
          <cell r="Q125">
            <v>1.0062756348856279</v>
          </cell>
          <cell r="R125">
            <v>0.9724534296706554</v>
          </cell>
          <cell r="S125">
            <v>1.0088946295891832</v>
          </cell>
          <cell r="T125">
            <v>1.0088946296130348</v>
          </cell>
          <cell r="U125">
            <v>1.0088946295753163</v>
          </cell>
          <cell r="V125">
            <v>1.008894629585112</v>
          </cell>
          <cell r="W125">
            <v>0.98057104300086539</v>
          </cell>
          <cell r="X125">
            <v>1.0088946295899131</v>
          </cell>
          <cell r="Y125">
            <v>0.97843242340587566</v>
          </cell>
          <cell r="Z125">
            <v>1.0088946295433285</v>
          </cell>
        </row>
        <row r="126">
          <cell r="C126">
            <v>1.0544667913479817</v>
          </cell>
          <cell r="D126">
            <v>1.0327715385336917</v>
          </cell>
          <cell r="E126">
            <v>1.1000884195156491</v>
          </cell>
          <cell r="F126">
            <v>1.0507511971294201</v>
          </cell>
          <cell r="G126">
            <v>1.0501386541053079</v>
          </cell>
          <cell r="H126">
            <v>1.0512070951729775</v>
          </cell>
          <cell r="I126">
            <v>1.0535068400724241</v>
          </cell>
          <cell r="J126">
            <v>1</v>
          </cell>
          <cell r="K126">
            <v>0.96214690788266921</v>
          </cell>
          <cell r="L126">
            <v>1.0628773931612627</v>
          </cell>
          <cell r="M126">
            <v>1.057786610979512</v>
          </cell>
          <cell r="N126">
            <v>1.0580125102210052</v>
          </cell>
          <cell r="O126">
            <v>1.0328292794837719</v>
          </cell>
          <cell r="P126">
            <v>1.0255254883178313</v>
          </cell>
          <cell r="Q126">
            <v>1.06011826435023</v>
          </cell>
          <cell r="R126">
            <v>1.0244863398099233</v>
          </cell>
          <cell r="S126">
            <v>1.0628773931845392</v>
          </cell>
          <cell r="T126">
            <v>1.0628773932096669</v>
          </cell>
          <cell r="U126">
            <v>1.0628773931699302</v>
          </cell>
          <cell r="V126">
            <v>1.06287739318025</v>
          </cell>
          <cell r="W126">
            <v>1.0330383009783628</v>
          </cell>
          <cell r="X126">
            <v>1.0628773931853082</v>
          </cell>
          <cell r="Y126">
            <v>1.0307852506067281</v>
          </cell>
          <cell r="Z126">
            <v>1.062877393136231</v>
          </cell>
        </row>
        <row r="127">
          <cell r="C127">
            <v>1.095951961918658</v>
          </cell>
          <cell r="D127">
            <v>1.0734031675125801</v>
          </cell>
          <cell r="E127">
            <v>1.1433684508081394</v>
          </cell>
          <cell r="F127">
            <v>1.0920901876011184</v>
          </cell>
          <cell r="G127">
            <v>1.0914535457129684</v>
          </cell>
          <cell r="H127">
            <v>1.0925640217316679</v>
          </cell>
          <cell r="I127">
            <v>1.0949542439322539</v>
          </cell>
          <cell r="J127">
            <v>1.0393423206032346</v>
          </cell>
          <cell r="K127">
            <v>1</v>
          </cell>
          <cell r="L127">
            <v>1.1046934563249433</v>
          </cell>
          <cell r="M127">
            <v>1.0994023909584771</v>
          </cell>
          <cell r="N127">
            <v>1.0996371776003528</v>
          </cell>
          <cell r="O127">
            <v>1.0734631801256302</v>
          </cell>
          <cell r="P127">
            <v>1.0658720408660201</v>
          </cell>
          <cell r="Q127">
            <v>1.1018257769836415</v>
          </cell>
          <cell r="R127">
            <v>1.0647920098443597</v>
          </cell>
          <cell r="S127">
            <v>1.1046934563491357</v>
          </cell>
          <cell r="T127">
            <v>1.104693456375252</v>
          </cell>
          <cell r="U127">
            <v>1.1046934563339519</v>
          </cell>
          <cell r="V127">
            <v>1.1046934563446777</v>
          </cell>
          <cell r="W127">
            <v>1.0736804250108742</v>
          </cell>
          <cell r="X127">
            <v>1.1046934563499349</v>
          </cell>
          <cell r="Y127">
            <v>1.0713387344091836</v>
          </cell>
          <cell r="Z127">
            <v>1.1046934562989268</v>
          </cell>
        </row>
        <row r="128">
          <cell r="C128">
            <v>0.99208695013423343</v>
          </cell>
          <cell r="D128">
            <v>0.97167513880596468</v>
          </cell>
          <cell r="E128">
            <v>1.0350097072285183</v>
          </cell>
          <cell r="F128">
            <v>0.98859116196292762</v>
          </cell>
          <cell r="G128">
            <v>0.98801485558172752</v>
          </cell>
          <cell r="H128">
            <v>0.98902009012198977</v>
          </cell>
          <cell r="I128">
            <v>0.99118378737836521</v>
          </cell>
          <cell r="J128">
            <v>0.94084228946271065</v>
          </cell>
          <cell r="K128">
            <v>0.90522849961179819</v>
          </cell>
          <cell r="L128">
            <v>1</v>
          </cell>
          <cell r="M128">
            <v>0.99521037683696578</v>
          </cell>
          <cell r="N128">
            <v>0.99542291239652003</v>
          </cell>
          <cell r="O128">
            <v>0.97172946393363369</v>
          </cell>
          <cell r="P128">
            <v>0.96485774833131266</v>
          </cell>
          <cell r="Q128">
            <v>0.99740409493250559</v>
          </cell>
          <cell r="R128">
            <v>0.9638800734700409</v>
          </cell>
          <cell r="S128">
            <v>1.0000000000218996</v>
          </cell>
          <cell r="T128">
            <v>1.0000000000455407</v>
          </cell>
          <cell r="U128">
            <v>1.0000000000081548</v>
          </cell>
          <cell r="V128">
            <v>1.0000000000178642</v>
          </cell>
          <cell r="W128">
            <v>0.97192612019515157</v>
          </cell>
          <cell r="X128">
            <v>1.000000000022623</v>
          </cell>
          <cell r="Y128">
            <v>0.96980635512522806</v>
          </cell>
          <cell r="Z128">
            <v>0.99999999997644917</v>
          </cell>
        </row>
        <row r="129">
          <cell r="C129">
            <v>0.99686154126260274</v>
          </cell>
          <cell r="D129">
            <v>0.97635149453947401</v>
          </cell>
          <cell r="E129">
            <v>1.0399908715964608</v>
          </cell>
          <cell r="F129">
            <v>0.99334892900225202</v>
          </cell>
          <cell r="G129">
            <v>0.99276984904628163</v>
          </cell>
          <cell r="H129">
            <v>0.99377992145273808</v>
          </cell>
          <cell r="I129">
            <v>0.99595403187876907</v>
          </cell>
          <cell r="J129">
            <v>0.94537025674204589</v>
          </cell>
          <cell r="K129">
            <v>0.90958506932860461</v>
          </cell>
          <cell r="L129">
            <v>1.0048126740581793</v>
          </cell>
          <cell r="M129">
            <v>1</v>
          </cell>
          <cell r="N129">
            <v>1.000213558423928</v>
          </cell>
          <cell r="O129">
            <v>0.97640608111627569</v>
          </cell>
          <cell r="P129">
            <v>0.96950129418654007</v>
          </cell>
          <cell r="Q129">
            <v>1.0022042757457092</v>
          </cell>
          <cell r="R129">
            <v>0.96851891409482616</v>
          </cell>
          <cell r="S129">
            <v>1.0048126740801844</v>
          </cell>
          <cell r="T129">
            <v>1.0048126741039394</v>
          </cell>
          <cell r="U129">
            <v>1.0048126740663734</v>
          </cell>
          <cell r="V129">
            <v>1.0048126740761294</v>
          </cell>
          <cell r="W129">
            <v>0.97660368382028173</v>
          </cell>
          <cell r="X129">
            <v>1.0048126740809113</v>
          </cell>
          <cell r="Y129">
            <v>0.97447371701199681</v>
          </cell>
          <cell r="Z129">
            <v>1.0048126740345151</v>
          </cell>
        </row>
        <row r="130">
          <cell r="C130">
            <v>0.99664869853733318</v>
          </cell>
          <cell r="D130">
            <v>0.97614303097225119</v>
          </cell>
          <cell r="E130">
            <v>1.0397688202059681</v>
          </cell>
          <cell r="F130">
            <v>0.99313683626475446</v>
          </cell>
          <cell r="G130">
            <v>0.99255787994978206</v>
          </cell>
          <cell r="H130">
            <v>0.99356773669282417</v>
          </cell>
          <cell r="I130">
            <v>0.99574138291839298</v>
          </cell>
          <cell r="J130">
            <v>0.94516840806647262</v>
          </cell>
          <cell r="K130">
            <v>0.90939086124954149</v>
          </cell>
          <cell r="L130">
            <v>1.004598133664073</v>
          </cell>
          <cell r="M130">
            <v>0.99978648717353458</v>
          </cell>
          <cell r="N130">
            <v>1</v>
          </cell>
          <cell r="O130">
            <v>0.97619760589411853</v>
          </cell>
          <cell r="P130">
            <v>0.96929429322495653</v>
          </cell>
          <cell r="Q130">
            <v>1.001990292278099</v>
          </cell>
          <cell r="R130">
            <v>0.9683121228839926</v>
          </cell>
          <cell r="S130">
            <v>1.0045981336860732</v>
          </cell>
          <cell r="T130">
            <v>1.0045981337098231</v>
          </cell>
          <cell r="U130">
            <v>1.0045981336722654</v>
          </cell>
          <cell r="V130">
            <v>1.0045981336820191</v>
          </cell>
          <cell r="W130">
            <v>0.97639516640741264</v>
          </cell>
          <cell r="X130">
            <v>1.0045981336868</v>
          </cell>
          <cell r="Y130">
            <v>0.9742656543743613</v>
          </cell>
          <cell r="Z130">
            <v>1.0045981336404139</v>
          </cell>
        </row>
        <row r="131">
          <cell r="C131">
            <v>1.0209497467723074</v>
          </cell>
          <cell r="D131">
            <v>0.99994409439078946</v>
          </cell>
          <cell r="E131">
            <v>1.0651212561145582</v>
          </cell>
          <cell r="F131">
            <v>1.0173522555969812</v>
          </cell>
          <cell r="G131">
            <v>1.0167591827278442</v>
          </cell>
          <cell r="H131">
            <v>1.0177936625677297</v>
          </cell>
          <cell r="I131">
            <v>1.0200203082923707</v>
          </cell>
          <cell r="J131">
            <v>0.96821422461979334</v>
          </cell>
          <cell r="K131">
            <v>0.93156432238595033</v>
          </cell>
          <cell r="L131">
            <v>1.0290930110855392</v>
          </cell>
          <cell r="M131">
            <v>1.0241640433627273</v>
          </cell>
          <cell r="N131">
            <v>1.0243827622216717</v>
          </cell>
          <cell r="O131">
            <v>1</v>
          </cell>
          <cell r="P131">
            <v>0.99292836549948393</v>
          </cell>
          <cell r="Q131">
            <v>1.0264215833231392</v>
          </cell>
          <cell r="R131">
            <v>0.9919222471326351</v>
          </cell>
          <cell r="S131">
            <v>1.0290930111080758</v>
          </cell>
          <cell r="T131">
            <v>1.0290930111324048</v>
          </cell>
          <cell r="U131">
            <v>1.0290930110939314</v>
          </cell>
          <cell r="V131">
            <v>1.0290930111039229</v>
          </cell>
          <cell r="W131">
            <v>1.0002023775843143</v>
          </cell>
          <cell r="X131">
            <v>1.0290930111088203</v>
          </cell>
          <cell r="Y131">
            <v>0.99802094216571269</v>
          </cell>
          <cell r="Z131">
            <v>1.0290930110613032</v>
          </cell>
        </row>
        <row r="132">
          <cell r="C132">
            <v>1.0282209495130372</v>
          </cell>
          <cell r="D132">
            <v>1.0070656949031529</v>
          </cell>
          <cell r="E132">
            <v>1.0727070482861654</v>
          </cell>
          <cell r="F132">
            <v>1.0245978370103377</v>
          </cell>
          <cell r="G132">
            <v>1.0240005402770143</v>
          </cell>
          <cell r="H132">
            <v>1.0250423876809458</v>
          </cell>
          <cell r="I132">
            <v>1.0272848915734807</v>
          </cell>
          <cell r="J132">
            <v>0.97510984504178377</v>
          </cell>
          <cell r="K132">
            <v>0.93819892225290091</v>
          </cell>
          <cell r="L132">
            <v>1.036422210143894</v>
          </cell>
          <cell r="M132">
            <v>1.0314581383195056</v>
          </cell>
          <cell r="N132">
            <v>1.0316784148938729</v>
          </cell>
          <cell r="O132">
            <v>1.0071219986720379</v>
          </cell>
          <cell r="P132">
            <v>1</v>
          </cell>
          <cell r="Q132">
            <v>1.0337317564765176</v>
          </cell>
          <cell r="R132">
            <v>0.99898671605947864</v>
          </cell>
          <cell r="S132">
            <v>1.0364222101665912</v>
          </cell>
          <cell r="T132">
            <v>1.0364222101910934</v>
          </cell>
          <cell r="U132">
            <v>1.0364222101523457</v>
          </cell>
          <cell r="V132">
            <v>1.0364222101624088</v>
          </cell>
          <cell r="W132">
            <v>1.0073258175892388</v>
          </cell>
          <cell r="X132">
            <v>1.0364222101673408</v>
          </cell>
          <cell r="Y132">
            <v>1.005128845990483</v>
          </cell>
          <cell r="Z132">
            <v>1.0364222101194853</v>
          </cell>
        </row>
        <row r="133">
          <cell r="C133">
            <v>0.9946690164745795</v>
          </cell>
          <cell r="D133">
            <v>0.97420408011430715</v>
          </cell>
          <cell r="E133">
            <v>1.0377034869688975</v>
          </cell>
          <cell r="F133">
            <v>0.99116412995058512</v>
          </cell>
          <cell r="G133">
            <v>0.99058632363905286</v>
          </cell>
          <cell r="H133">
            <v>0.99159417446437981</v>
          </cell>
          <cell r="I133">
            <v>0.99376350309193262</v>
          </cell>
          <cell r="J133">
            <v>0.94329098330639749</v>
          </cell>
          <cell r="K133">
            <v>0.90758450282185288</v>
          </cell>
          <cell r="L133">
            <v>1.002602661329228</v>
          </cell>
          <cell r="M133">
            <v>0.99780057239920572</v>
          </cell>
          <cell r="N133">
            <v>0.99801366111684187</v>
          </cell>
          <cell r="O133">
            <v>0.97425854663188516</v>
          </cell>
          <cell r="P133">
            <v>0.96736894628110048</v>
          </cell>
          <cell r="Q133">
            <v>1</v>
          </cell>
          <cell r="R133">
            <v>0.96638872686327471</v>
          </cell>
          <cell r="S133">
            <v>1.0026026613511845</v>
          </cell>
          <cell r="T133">
            <v>1.0026026613748873</v>
          </cell>
          <cell r="U133">
            <v>1.0026026613374039</v>
          </cell>
          <cell r="V133">
            <v>1.0026026613471386</v>
          </cell>
          <cell r="W133">
            <v>0.97445571472305004</v>
          </cell>
          <cell r="X133">
            <v>1.0026026613519099</v>
          </cell>
          <cell r="Y133">
            <v>0.97233043262255203</v>
          </cell>
          <cell r="Z133">
            <v>1.0026026613056158</v>
          </cell>
        </row>
        <row r="134">
          <cell r="C134">
            <v>1.0292638860793601</v>
          </cell>
          <cell r="D134">
            <v>1.0080871734466519</v>
          </cell>
          <cell r="E134">
            <v>1.0737951076241314</v>
          </cell>
          <cell r="F134">
            <v>1.0256370986111634</v>
          </cell>
          <cell r="G134">
            <v>1.0250391960327592</v>
          </cell>
          <cell r="H134">
            <v>1.0260821001947296</v>
          </cell>
          <cell r="I134">
            <v>1.0283268786852588</v>
          </cell>
          <cell r="J134">
            <v>0.97609891039204444</v>
          </cell>
          <cell r="K134">
            <v>0.93915054842134815</v>
          </cell>
          <cell r="L134">
            <v>1.037473465345045</v>
          </cell>
          <cell r="M134">
            <v>1.0325043584043951</v>
          </cell>
          <cell r="N134">
            <v>1.0327248584078748</v>
          </cell>
          <cell r="O134">
            <v>1.0081435343251099</v>
          </cell>
          <cell r="P134">
            <v>1.0010143117263044</v>
          </cell>
          <cell r="Q134">
            <v>1.0347802827189649</v>
          </cell>
          <cell r="R134">
            <v>1</v>
          </cell>
          <cell r="S134">
            <v>1.0374734653677653</v>
          </cell>
          <cell r="T134">
            <v>1.0374734653922923</v>
          </cell>
          <cell r="U134">
            <v>1.0374734653535056</v>
          </cell>
          <cell r="V134">
            <v>1.0374734653635787</v>
          </cell>
          <cell r="W134">
            <v>1.0083475599782288</v>
          </cell>
          <cell r="X134">
            <v>1.0374734653685158</v>
          </cell>
          <cell r="Y134">
            <v>1.0061483599654177</v>
          </cell>
          <cell r="Z134">
            <v>1.0374734653206117</v>
          </cell>
        </row>
        <row r="135">
          <cell r="C135">
            <v>0.99208695011250714</v>
          </cell>
          <cell r="D135">
            <v>0.97167513878468537</v>
          </cell>
          <cell r="E135">
            <v>1.0350097072058519</v>
          </cell>
          <cell r="F135">
            <v>0.98859116194127794</v>
          </cell>
          <cell r="G135">
            <v>0.9880148555600905</v>
          </cell>
          <cell r="H135">
            <v>0.98902009010033065</v>
          </cell>
          <cell r="I135">
            <v>0.99118378735665869</v>
          </cell>
          <cell r="J135">
            <v>0.94084228944210657</v>
          </cell>
          <cell r="K135">
            <v>0.90522849959197416</v>
          </cell>
          <cell r="L135">
            <v>0.99999999997810041</v>
          </cell>
          <cell r="M135">
            <v>0.9952103768151711</v>
          </cell>
          <cell r="N135">
            <v>0.99542291237472069</v>
          </cell>
          <cell r="O135">
            <v>0.97172946391235326</v>
          </cell>
          <cell r="P135">
            <v>0.96485774831018267</v>
          </cell>
          <cell r="Q135">
            <v>0.99740409491066284</v>
          </cell>
          <cell r="R135">
            <v>0.96388007344893234</v>
          </cell>
          <cell r="S135">
            <v>1</v>
          </cell>
          <cell r="T135">
            <v>1.0000000000236411</v>
          </cell>
          <cell r="U135">
            <v>0.99999999998625522</v>
          </cell>
          <cell r="V135">
            <v>0.99999999999596456</v>
          </cell>
          <cell r="W135">
            <v>0.97192612017386681</v>
          </cell>
          <cell r="X135">
            <v>1.0000000000007234</v>
          </cell>
          <cell r="Y135">
            <v>0.96980635510398971</v>
          </cell>
          <cell r="Z135">
            <v>0.99999999995454958</v>
          </cell>
        </row>
        <row r="136">
          <cell r="C136">
            <v>0.99208695008905301</v>
          </cell>
          <cell r="D136">
            <v>0.97167513876171385</v>
          </cell>
          <cell r="E136">
            <v>1.0350097071813831</v>
          </cell>
          <cell r="F136">
            <v>0.98859116191790641</v>
          </cell>
          <cell r="G136">
            <v>0.98801485553673263</v>
          </cell>
          <cell r="H136">
            <v>0.98902009007694902</v>
          </cell>
          <cell r="I136">
            <v>0.99118378733322599</v>
          </cell>
          <cell r="J136">
            <v>0.94084228941986392</v>
          </cell>
          <cell r="K136">
            <v>0.90522849957057339</v>
          </cell>
          <cell r="L136">
            <v>0.99999999995445921</v>
          </cell>
          <cell r="M136">
            <v>0.99521037679164315</v>
          </cell>
          <cell r="N136">
            <v>0.99542291235118763</v>
          </cell>
          <cell r="O136">
            <v>0.97172946388938042</v>
          </cell>
          <cell r="P136">
            <v>0.96485774828737225</v>
          </cell>
          <cell r="Q136">
            <v>0.99740409488708304</v>
          </cell>
          <cell r="R136">
            <v>0.96388007342614501</v>
          </cell>
          <cell r="S136">
            <v>0.9999999999763588</v>
          </cell>
          <cell r="T136">
            <v>1</v>
          </cell>
          <cell r="U136">
            <v>0.99999999996261402</v>
          </cell>
          <cell r="V136">
            <v>0.99999999997232336</v>
          </cell>
          <cell r="W136">
            <v>0.97192612015088931</v>
          </cell>
          <cell r="X136">
            <v>0.99999999997708222</v>
          </cell>
          <cell r="Y136">
            <v>0.96980635508106239</v>
          </cell>
          <cell r="Z136">
            <v>0.99999999993090838</v>
          </cell>
        </row>
        <row r="137">
          <cell r="C137">
            <v>0.99208695012614312</v>
          </cell>
          <cell r="D137">
            <v>0.97167513879804079</v>
          </cell>
          <cell r="E137">
            <v>1.0350097072200779</v>
          </cell>
          <cell r="F137">
            <v>0.98859116195486585</v>
          </cell>
          <cell r="G137">
            <v>0.98801485557367053</v>
          </cell>
          <cell r="H137">
            <v>0.98902009011392444</v>
          </cell>
          <cell r="I137">
            <v>0.99118378737028234</v>
          </cell>
          <cell r="J137">
            <v>0.94084228945503823</v>
          </cell>
          <cell r="K137">
            <v>0.9052284996044162</v>
          </cell>
          <cell r="L137">
            <v>0.99999999999184519</v>
          </cell>
          <cell r="M137">
            <v>0.99521037682885005</v>
          </cell>
          <cell r="N137">
            <v>0.99542291238840253</v>
          </cell>
          <cell r="O137">
            <v>0.97172946392570947</v>
          </cell>
          <cell r="P137">
            <v>0.9648577483234444</v>
          </cell>
          <cell r="Q137">
            <v>0.99740409492437188</v>
          </cell>
          <cell r="R137">
            <v>0.96388007346218063</v>
          </cell>
          <cell r="S137">
            <v>1.0000000000137448</v>
          </cell>
          <cell r="T137">
            <v>1.0000000000373859</v>
          </cell>
          <cell r="U137">
            <v>1</v>
          </cell>
          <cell r="V137">
            <v>1.0000000000097093</v>
          </cell>
          <cell r="W137">
            <v>0.97192612018722568</v>
          </cell>
          <cell r="X137">
            <v>1.0000000000144682</v>
          </cell>
          <cell r="Y137">
            <v>0.9698063551173195</v>
          </cell>
          <cell r="Z137">
            <v>0.99999999996829436</v>
          </cell>
        </row>
        <row r="138">
          <cell r="C138">
            <v>0.99208695011651071</v>
          </cell>
          <cell r="D138">
            <v>0.97167513878860656</v>
          </cell>
          <cell r="E138">
            <v>1.0350097072100288</v>
          </cell>
          <cell r="F138">
            <v>0.98859116194526742</v>
          </cell>
          <cell r="G138">
            <v>0.98801485556407753</v>
          </cell>
          <cell r="H138">
            <v>0.98902009010432179</v>
          </cell>
          <cell r="I138">
            <v>0.9911837873606586</v>
          </cell>
          <cell r="J138">
            <v>0.94084228944590331</v>
          </cell>
          <cell r="K138">
            <v>0.90522849959562712</v>
          </cell>
          <cell r="L138">
            <v>0.99999999998213596</v>
          </cell>
          <cell r="M138">
            <v>0.99521037681918723</v>
          </cell>
          <cell r="N138">
            <v>0.9954229123787377</v>
          </cell>
          <cell r="O138">
            <v>0.97172946391627468</v>
          </cell>
          <cell r="P138">
            <v>0.96485774831407634</v>
          </cell>
          <cell r="Q138">
            <v>0.99740409491468784</v>
          </cell>
          <cell r="R138">
            <v>0.96388007345282201</v>
          </cell>
          <cell r="S138">
            <v>1.0000000000040354</v>
          </cell>
          <cell r="T138">
            <v>1.0000000000276767</v>
          </cell>
          <cell r="U138">
            <v>0.99999999999029077</v>
          </cell>
          <cell r="V138">
            <v>1</v>
          </cell>
          <cell r="W138">
            <v>0.9719261201777889</v>
          </cell>
          <cell r="X138">
            <v>1.0000000000047589</v>
          </cell>
          <cell r="Y138">
            <v>0.96980635510790336</v>
          </cell>
          <cell r="Z138">
            <v>0.99999999995858502</v>
          </cell>
        </row>
        <row r="139">
          <cell r="C139">
            <v>1.0207431712351076</v>
          </cell>
          <cell r="D139">
            <v>0.99974176906662782</v>
          </cell>
          <cell r="E139">
            <v>1.0649057430627549</v>
          </cell>
          <cell r="F139">
            <v>1.0171464079640435</v>
          </cell>
          <cell r="G139">
            <v>1.0165534550952757</v>
          </cell>
          <cell r="H139">
            <v>1.0175877256219907</v>
          </cell>
          <cell r="I139">
            <v>1.0198139208146262</v>
          </cell>
          <cell r="J139">
            <v>0.96801831941073913</v>
          </cell>
          <cell r="K139">
            <v>0.93137583279482072</v>
          </cell>
          <cell r="L139">
            <v>1.028884787867633</v>
          </cell>
          <cell r="M139">
            <v>1.0239568174555687</v>
          </cell>
          <cell r="N139">
            <v>1.0241754920596748</v>
          </cell>
          <cell r="O139">
            <v>0.99979766336408538</v>
          </cell>
          <cell r="P139">
            <v>0.99272745971430454</v>
          </cell>
          <cell r="Q139">
            <v>1.0262139006329394</v>
          </cell>
          <cell r="R139">
            <v>0.99172154492206144</v>
          </cell>
          <cell r="S139">
            <v>1.028884787890165</v>
          </cell>
          <cell r="T139">
            <v>1.0288847879144891</v>
          </cell>
          <cell r="U139">
            <v>1.0288847878760232</v>
          </cell>
          <cell r="V139">
            <v>1.028884787886013</v>
          </cell>
          <cell r="W139">
            <v>1</v>
          </cell>
          <cell r="X139">
            <v>1.0288847878909093</v>
          </cell>
          <cell r="Y139">
            <v>0.99781900596570261</v>
          </cell>
          <cell r="Z139">
            <v>1.0288847878434018</v>
          </cell>
        </row>
        <row r="140">
          <cell r="C140">
            <v>0.99208695011178949</v>
          </cell>
          <cell r="D140">
            <v>0.97167513878398248</v>
          </cell>
          <cell r="E140">
            <v>1.0350097072051032</v>
          </cell>
          <cell r="F140">
            <v>0.98859116194056273</v>
          </cell>
          <cell r="G140">
            <v>0.98801485555937574</v>
          </cell>
          <cell r="H140">
            <v>0.98902009009961522</v>
          </cell>
          <cell r="I140">
            <v>0.9911837873559417</v>
          </cell>
          <cell r="J140">
            <v>0.94084228944142601</v>
          </cell>
          <cell r="K140">
            <v>0.90522849959131924</v>
          </cell>
          <cell r="L140">
            <v>0.99999999997737699</v>
          </cell>
          <cell r="M140">
            <v>0.99521037681445113</v>
          </cell>
          <cell r="N140">
            <v>0.9954229123740006</v>
          </cell>
          <cell r="O140">
            <v>0.97172946391165027</v>
          </cell>
          <cell r="P140">
            <v>0.96485774830948468</v>
          </cell>
          <cell r="Q140">
            <v>0.99740409490994131</v>
          </cell>
          <cell r="R140">
            <v>0.96388007344823501</v>
          </cell>
          <cell r="S140">
            <v>0.99999999999927658</v>
          </cell>
          <cell r="T140">
            <v>1.0000000000229179</v>
          </cell>
          <cell r="U140">
            <v>0.9999999999855318</v>
          </cell>
          <cell r="V140">
            <v>0.99999999999524114</v>
          </cell>
          <cell r="W140">
            <v>0.97192612017316371</v>
          </cell>
          <cell r="X140">
            <v>1</v>
          </cell>
          <cell r="Y140">
            <v>0.96980635510328816</v>
          </cell>
          <cell r="Z140">
            <v>0.99999999995382616</v>
          </cell>
        </row>
        <row r="141">
          <cell r="C141">
            <v>1.0229742720196222</v>
          </cell>
          <cell r="D141">
            <v>1.0019269658018433</v>
          </cell>
          <cell r="E141">
            <v>1.0672333726817769</v>
          </cell>
          <cell r="F141">
            <v>1.0193696470830755</v>
          </cell>
          <cell r="G141">
            <v>1.0187753981609537</v>
          </cell>
          <cell r="H141">
            <v>1.0198119293560215</v>
          </cell>
          <cell r="I141">
            <v>1.022042990479658</v>
          </cell>
          <cell r="J141">
            <v>0.97013417626163378</v>
          </cell>
          <cell r="K141">
            <v>0.93341159792143136</v>
          </cell>
          <cell r="L141">
            <v>1.0311336842816143</v>
          </cell>
          <cell r="M141">
            <v>1.0261949425031942</v>
          </cell>
          <cell r="N141">
            <v>1.0264140950777583</v>
          </cell>
          <cell r="O141">
            <v>1.0019829822708857</v>
          </cell>
          <cell r="P141">
            <v>0.99489732484452897</v>
          </cell>
          <cell r="Q141">
            <v>1.0284569591253234</v>
          </cell>
          <cell r="R141">
            <v>0.99388921136279629</v>
          </cell>
          <cell r="S141">
            <v>1.0311336843041956</v>
          </cell>
          <cell r="T141">
            <v>1.0311336843285728</v>
          </cell>
          <cell r="U141">
            <v>1.0311336842900229</v>
          </cell>
          <cell r="V141">
            <v>1.0311336843000345</v>
          </cell>
          <cell r="W141">
            <v>1.0021857611663616</v>
          </cell>
          <cell r="X141">
            <v>1.0311336843049417</v>
          </cell>
          <cell r="Y141">
            <v>1</v>
          </cell>
          <cell r="Z141">
            <v>1.0311336842573302</v>
          </cell>
        </row>
        <row r="142">
          <cell r="C142">
            <v>0.99208695015759796</v>
          </cell>
          <cell r="D142">
            <v>0.97167513882884848</v>
          </cell>
          <cell r="E142">
            <v>1.0350097072528937</v>
          </cell>
          <cell r="F142">
            <v>0.98859116198620978</v>
          </cell>
          <cell r="G142">
            <v>0.98801485560499613</v>
          </cell>
          <cell r="H142">
            <v>0.98902009014528203</v>
          </cell>
          <cell r="I142">
            <v>0.99118378740170843</v>
          </cell>
          <cell r="J142">
            <v>0.94084228948486825</v>
          </cell>
          <cell r="K142">
            <v>0.90522849963311713</v>
          </cell>
          <cell r="L142">
            <v>1.0000000000235509</v>
          </cell>
          <cell r="M142">
            <v>0.99521037686040381</v>
          </cell>
          <cell r="N142">
            <v>0.99542291241996306</v>
          </cell>
          <cell r="O142">
            <v>0.97172946395651871</v>
          </cell>
          <cell r="P142">
            <v>0.96485774835403582</v>
          </cell>
          <cell r="Q142">
            <v>0.99740409495599525</v>
          </cell>
          <cell r="R142">
            <v>0.96388007349274107</v>
          </cell>
          <cell r="S142">
            <v>1.0000000000454505</v>
          </cell>
          <cell r="T142">
            <v>1.0000000000690916</v>
          </cell>
          <cell r="U142">
            <v>1.0000000000317057</v>
          </cell>
          <cell r="V142">
            <v>1.0000000000414149</v>
          </cell>
          <cell r="W142">
            <v>0.97192612021804126</v>
          </cell>
          <cell r="X142">
            <v>1.0000000000461737</v>
          </cell>
          <cell r="Y142">
            <v>0.96980635514806779</v>
          </cell>
          <cell r="Z142">
            <v>1</v>
          </cell>
        </row>
        <row r="147">
          <cell r="C147">
            <v>1</v>
          </cell>
          <cell r="D147">
            <v>0.97942538068310747</v>
          </cell>
          <cell r="E147">
            <v>1.0432651161155553</v>
          </cell>
          <cell r="F147">
            <v>0.99647632884311921</v>
          </cell>
          <cell r="G147">
            <v>0.99589542574675038</v>
          </cell>
          <cell r="H147">
            <v>0.99690867820423534</v>
          </cell>
          <cell r="I147">
            <v>0.99908963346837087</v>
          </cell>
          <cell r="J147">
            <v>0.94834660342564814</v>
          </cell>
          <cell r="K147">
            <v>0.91244875208701925</v>
          </cell>
          <cell r="L147">
            <v>1.0079761656623907</v>
          </cell>
          <cell r="M147">
            <v>1.0031483396715477</v>
          </cell>
          <cell r="N147">
            <v>1.003362570449934</v>
          </cell>
          <cell r="O147">
            <v>0.9794801391169945</v>
          </cell>
          <cell r="P147">
            <v>0.97255361357264447</v>
          </cell>
          <cell r="Q147">
            <v>1.0053595552260342</v>
          </cell>
          <cell r="R147">
            <v>0.97156814061471519</v>
          </cell>
          <cell r="S147">
            <v>1.007976165684465</v>
          </cell>
          <cell r="T147">
            <v>1.0079761657082946</v>
          </cell>
          <cell r="U147">
            <v>1.0079761656706105</v>
          </cell>
          <cell r="V147">
            <v>1.0079761656803972</v>
          </cell>
          <cell r="W147">
            <v>0.97967836394143271</v>
          </cell>
          <cell r="X147">
            <v>1.007976165685194</v>
          </cell>
          <cell r="Y147">
            <v>0.97754169127414614</v>
          </cell>
          <cell r="Z147">
            <v>1.0079761656386519</v>
          </cell>
        </row>
        <row r="148">
          <cell r="C148">
            <v>1.0210068267809669</v>
          </cell>
          <cell r="D148">
            <v>1</v>
          </cell>
          <cell r="E148">
            <v>1.06518080569642</v>
          </cell>
          <cell r="F148">
            <v>1.0174091344744605</v>
          </cell>
          <cell r="G148">
            <v>1.0168160284473695</v>
          </cell>
          <cell r="H148">
            <v>1.0178505661237143</v>
          </cell>
          <cell r="I148">
            <v>1.0200773363373006</v>
          </cell>
          <cell r="J148">
            <v>0.96826835625212893</v>
          </cell>
          <cell r="K148">
            <v>0.93161640496862064</v>
          </cell>
          <cell r="L148">
            <v>1.0291505463738035</v>
          </cell>
          <cell r="M148">
            <v>1.0242213030786422</v>
          </cell>
          <cell r="N148">
            <v>1.0244400341658815</v>
          </cell>
          <cell r="O148">
            <v>1.0000559087348224</v>
          </cell>
          <cell r="P148">
            <v>0.9929838788681683</v>
          </cell>
          <cell r="Q148">
            <v>1.0264789692552572</v>
          </cell>
          <cell r="R148">
            <v>0.99197770425051457</v>
          </cell>
          <cell r="S148">
            <v>1.0291505463963415</v>
          </cell>
          <cell r="T148">
            <v>1.0291505464206718</v>
          </cell>
          <cell r="U148">
            <v>1.0291505463821962</v>
          </cell>
          <cell r="V148">
            <v>1.0291505463921884</v>
          </cell>
          <cell r="W148">
            <v>1.0002582976338112</v>
          </cell>
          <cell r="X148">
            <v>1.029150546397086</v>
          </cell>
          <cell r="Y148">
            <v>0.99807674025391546</v>
          </cell>
          <cell r="Z148">
            <v>1.0291505463495663</v>
          </cell>
        </row>
        <row r="149">
          <cell r="C149">
            <v>0.95852912606083607</v>
          </cell>
          <cell r="D149">
            <v>0.93880775418798079</v>
          </cell>
          <cell r="E149">
            <v>1</v>
          </cell>
          <cell r="F149">
            <v>0.95515158462630545</v>
          </cell>
          <cell r="G149">
            <v>0.954594772089017</v>
          </cell>
          <cell r="H149">
            <v>0.955566004081569</v>
          </cell>
          <cell r="I149">
            <v>0.95765651322487855</v>
          </cell>
          <cell r="J149">
            <v>0.90901784098434879</v>
          </cell>
          <cell r="K149">
            <v>0.87460870491327114</v>
          </cell>
          <cell r="L149">
            <v>0.9661745131625239</v>
          </cell>
          <cell r="M149">
            <v>0.96154690133474741</v>
          </cell>
          <cell r="N149">
            <v>0.96175224777552937</v>
          </cell>
          <cell r="O149">
            <v>0.93886024174175886</v>
          </cell>
          <cell r="P149">
            <v>0.93222096526509501</v>
          </cell>
          <cell r="Q149">
            <v>0.96366641584772128</v>
          </cell>
          <cell r="R149">
            <v>0.93127636073197451</v>
          </cell>
          <cell r="S149">
            <v>0.96617451318368264</v>
          </cell>
          <cell r="T149">
            <v>0.96617451320652425</v>
          </cell>
          <cell r="U149">
            <v>0.96617451317040282</v>
          </cell>
          <cell r="V149">
            <v>0.96617451317978376</v>
          </cell>
          <cell r="W149">
            <v>0.93905024600949116</v>
          </cell>
          <cell r="X149">
            <v>0.96617451318438163</v>
          </cell>
          <cell r="Y149">
            <v>0.93700218302503901</v>
          </cell>
          <cell r="Z149">
            <v>0.96617451313976965</v>
          </cell>
        </row>
        <row r="150">
          <cell r="C150">
            <v>1.0035361313208229</v>
          </cell>
          <cell r="D150">
            <v>0.98288875744814996</v>
          </cell>
          <cell r="E150">
            <v>1.0469542385685735</v>
          </cell>
          <cell r="F150">
            <v>1</v>
          </cell>
          <cell r="G150">
            <v>0.99941704275399779</v>
          </cell>
          <cell r="H150">
            <v>1.0004338782052336</v>
          </cell>
          <cell r="I150">
            <v>1.0026225456135878</v>
          </cell>
          <cell r="J150">
            <v>0.95170008155301755</v>
          </cell>
          <cell r="K150">
            <v>0.91567529069791997</v>
          </cell>
          <cell r="L150">
            <v>1.0115405017524324</v>
          </cell>
          <cell r="M150">
            <v>1.0066956039348918</v>
          </cell>
          <cell r="N150">
            <v>1.0069105922614434</v>
          </cell>
          <cell r="O150">
            <v>0.98294370951505006</v>
          </cell>
          <cell r="P150">
            <v>0.97599269086677809</v>
          </cell>
          <cell r="Q150">
            <v>1.0089146386379575</v>
          </cell>
          <cell r="R150">
            <v>0.97500373314705657</v>
          </cell>
          <cell r="S150">
            <v>1.0115405017745847</v>
          </cell>
          <cell r="T150">
            <v>1.0115405017984986</v>
          </cell>
          <cell r="U150">
            <v>1.0115405017606813</v>
          </cell>
          <cell r="V150">
            <v>1.0115405017705026</v>
          </cell>
          <cell r="W150">
            <v>0.98314263528849855</v>
          </cell>
          <cell r="X150">
            <v>1.0115405017753165</v>
          </cell>
          <cell r="Y150">
            <v>0.98099840706607089</v>
          </cell>
          <cell r="Z150">
            <v>1.0115405017286097</v>
          </cell>
        </row>
        <row r="151">
          <cell r="C151">
            <v>1.0041214912199963</v>
          </cell>
          <cell r="D151">
            <v>0.98346207379023431</v>
          </cell>
          <cell r="E151">
            <v>1.0475649241317539</v>
          </cell>
          <cell r="F151">
            <v>1.0005832972833801</v>
          </cell>
          <cell r="G151">
            <v>1</v>
          </cell>
          <cell r="H151">
            <v>1.001017428568592</v>
          </cell>
          <cell r="I151">
            <v>1.0032073726207</v>
          </cell>
          <cell r="J151">
            <v>0.95225520562518018</v>
          </cell>
          <cell r="K151">
            <v>0.91620940160744235</v>
          </cell>
          <cell r="L151">
            <v>1.0121305305791337</v>
          </cell>
          <cell r="M151">
            <v>1.0072828067458577</v>
          </cell>
          <cell r="N151">
            <v>1.0074979204745163</v>
          </cell>
          <cell r="O151">
            <v>0.98351705791052579</v>
          </cell>
          <cell r="P151">
            <v>0.97656198475195966</v>
          </cell>
          <cell r="Q151">
            <v>1.0095031358058375</v>
          </cell>
          <cell r="R151">
            <v>0.97557245017588679</v>
          </cell>
          <cell r="S151">
            <v>1.0121305306012989</v>
          </cell>
          <cell r="T151">
            <v>1.0121305306252268</v>
          </cell>
          <cell r="U151">
            <v>1.0121305305873873</v>
          </cell>
          <cell r="V151">
            <v>1.0121305305972144</v>
          </cell>
          <cell r="W151">
            <v>0.98371609971683749</v>
          </cell>
          <cell r="X151">
            <v>1.012130530602031</v>
          </cell>
          <cell r="Y151">
            <v>0.98157062077191282</v>
          </cell>
          <cell r="Z151">
            <v>1.012130530555297</v>
          </cell>
        </row>
        <row r="152">
          <cell r="C152">
            <v>1.0031009076993223</v>
          </cell>
          <cell r="D152">
            <v>0.98246248838697936</v>
          </cell>
          <cell r="E152">
            <v>1.0465001849465525</v>
          </cell>
          <cell r="F152">
            <v>0.99956630996342122</v>
          </cell>
          <cell r="G152">
            <v>0.9989836055401683</v>
          </cell>
          <cell r="H152">
            <v>1</v>
          </cell>
          <cell r="I152">
            <v>1.002187718205106</v>
          </cell>
          <cell r="J152">
            <v>0.95128733870983684</v>
          </cell>
          <cell r="K152">
            <v>0.91527817144760293</v>
          </cell>
          <cell r="L152">
            <v>1.0111018067152264</v>
          </cell>
          <cell r="M152">
            <v>1.0062590100815976</v>
          </cell>
          <cell r="N152">
            <v>1.0064739051698539</v>
          </cell>
          <cell r="O152">
            <v>0.98251741662171554</v>
          </cell>
          <cell r="P152">
            <v>0.97556941256097551</v>
          </cell>
          <cell r="Q152">
            <v>1.0084770824114218</v>
          </cell>
          <cell r="R152">
            <v>0.97458088374236362</v>
          </cell>
          <cell r="S152">
            <v>1.0111018067373692</v>
          </cell>
          <cell r="T152">
            <v>1.0111018067612729</v>
          </cell>
          <cell r="U152">
            <v>1.0111018067234718</v>
          </cell>
          <cell r="V152">
            <v>1.0111018067332889</v>
          </cell>
          <cell r="W152">
            <v>0.98271625612303815</v>
          </cell>
          <cell r="X152">
            <v>1.0111018067381006</v>
          </cell>
          <cell r="Y152">
            <v>0.98057295783102671</v>
          </cell>
          <cell r="Z152">
            <v>1.0111018066914141</v>
          </cell>
        </row>
        <row r="153">
          <cell r="C153">
            <v>1.0009111960540205</v>
          </cell>
          <cell r="D153">
            <v>0.98031782922519339</v>
          </cell>
          <cell r="E153">
            <v>1.0442157351726571</v>
          </cell>
          <cell r="F153">
            <v>0.99738431414188589</v>
          </cell>
          <cell r="G153">
            <v>0.99680288172890785</v>
          </cell>
          <cell r="H153">
            <v>0.99781705745803373</v>
          </cell>
          <cell r="I153">
            <v>1</v>
          </cell>
          <cell r="J153">
            <v>0.94921073310853332</v>
          </cell>
          <cell r="K153">
            <v>0.91328017178941689</v>
          </cell>
          <cell r="L153">
            <v>1.0088946295670889</v>
          </cell>
          <cell r="M153">
            <v>1.0040624044802535</v>
          </cell>
          <cell r="N153">
            <v>1.0042768304648799</v>
          </cell>
          <cell r="O153">
            <v>0.98037263755474924</v>
          </cell>
          <cell r="P153">
            <v>0.97343980058765511</v>
          </cell>
          <cell r="Q153">
            <v>1.0062756348856279</v>
          </cell>
          <cell r="R153">
            <v>0.9724534296706554</v>
          </cell>
          <cell r="S153">
            <v>1.0088946295891832</v>
          </cell>
          <cell r="T153">
            <v>1.0088946296130348</v>
          </cell>
          <cell r="U153">
            <v>1.0088946295753163</v>
          </cell>
          <cell r="V153">
            <v>1.008894629585112</v>
          </cell>
          <cell r="W153">
            <v>0.98057104300086539</v>
          </cell>
          <cell r="X153">
            <v>1.0088946295899131</v>
          </cell>
          <cell r="Y153">
            <v>0.97843242340587566</v>
          </cell>
          <cell r="Z153">
            <v>1.0088946295433285</v>
          </cell>
        </row>
        <row r="154">
          <cell r="C154">
            <v>1.0544667913479817</v>
          </cell>
          <cell r="D154">
            <v>1.0327715385336917</v>
          </cell>
          <cell r="E154">
            <v>1.1000884195156491</v>
          </cell>
          <cell r="F154">
            <v>1.0507511971294201</v>
          </cell>
          <cell r="G154">
            <v>1.0501386541053079</v>
          </cell>
          <cell r="H154">
            <v>1.0512070951729775</v>
          </cell>
          <cell r="I154">
            <v>1.0535068400724241</v>
          </cell>
          <cell r="J154">
            <v>1</v>
          </cell>
          <cell r="K154">
            <v>0.96214690788266921</v>
          </cell>
          <cell r="L154">
            <v>1.0628773931612627</v>
          </cell>
          <cell r="M154">
            <v>1.057786610979512</v>
          </cell>
          <cell r="N154">
            <v>1.0580125102210052</v>
          </cell>
          <cell r="O154">
            <v>1.0328292794837719</v>
          </cell>
          <cell r="P154">
            <v>1.0255254883178313</v>
          </cell>
          <cell r="Q154">
            <v>1.06011826435023</v>
          </cell>
          <cell r="R154">
            <v>1.0244863398099233</v>
          </cell>
          <cell r="S154">
            <v>1.0628773931845392</v>
          </cell>
          <cell r="T154">
            <v>1.0628773932096669</v>
          </cell>
          <cell r="U154">
            <v>1.0628773931699302</v>
          </cell>
          <cell r="V154">
            <v>1.06287739318025</v>
          </cell>
          <cell r="W154">
            <v>1.0330383009783628</v>
          </cell>
          <cell r="X154">
            <v>1.0628773931853082</v>
          </cell>
          <cell r="Y154">
            <v>1.0307852506067281</v>
          </cell>
          <cell r="Z154">
            <v>1.062877393136231</v>
          </cell>
        </row>
        <row r="155">
          <cell r="C155">
            <v>1.095951961918658</v>
          </cell>
          <cell r="D155">
            <v>1.0734031675125801</v>
          </cell>
          <cell r="E155">
            <v>1.1433684508081394</v>
          </cell>
          <cell r="F155">
            <v>1.0920901876011184</v>
          </cell>
          <cell r="G155">
            <v>1.0914535457129684</v>
          </cell>
          <cell r="H155">
            <v>1.0925640217316679</v>
          </cell>
          <cell r="I155">
            <v>1.0949542439322539</v>
          </cell>
          <cell r="J155">
            <v>1.0393423206032346</v>
          </cell>
          <cell r="K155">
            <v>1</v>
          </cell>
          <cell r="L155">
            <v>1.1046934563249433</v>
          </cell>
          <cell r="M155">
            <v>1.0994023909584771</v>
          </cell>
          <cell r="N155">
            <v>1.0996371776003528</v>
          </cell>
          <cell r="O155">
            <v>1.0734631801256302</v>
          </cell>
          <cell r="P155">
            <v>1.0658720408660201</v>
          </cell>
          <cell r="Q155">
            <v>1.1018257769836415</v>
          </cell>
          <cell r="R155">
            <v>1.0647920098443597</v>
          </cell>
          <cell r="S155">
            <v>1.1046934563491357</v>
          </cell>
          <cell r="T155">
            <v>1.104693456375252</v>
          </cell>
          <cell r="U155">
            <v>1.1046934563339519</v>
          </cell>
          <cell r="V155">
            <v>1.1046934563446777</v>
          </cell>
          <cell r="W155">
            <v>1.0736804250108742</v>
          </cell>
          <cell r="X155">
            <v>1.1046934563499349</v>
          </cell>
          <cell r="Y155">
            <v>1.0713387344091836</v>
          </cell>
          <cell r="Z155">
            <v>1.1046934562989268</v>
          </cell>
        </row>
        <row r="156">
          <cell r="C156">
            <v>0.99208695013423343</v>
          </cell>
          <cell r="D156">
            <v>0.97167513880596468</v>
          </cell>
          <cell r="E156">
            <v>1.0350097072285183</v>
          </cell>
          <cell r="F156">
            <v>0.98859116196292762</v>
          </cell>
          <cell r="G156">
            <v>0.98801485558172752</v>
          </cell>
          <cell r="H156">
            <v>0.98902009012198977</v>
          </cell>
          <cell r="I156">
            <v>0.99118378737836521</v>
          </cell>
          <cell r="J156">
            <v>0.94084228946271065</v>
          </cell>
          <cell r="K156">
            <v>0.90522849961179819</v>
          </cell>
          <cell r="L156">
            <v>1</v>
          </cell>
          <cell r="M156">
            <v>0.99521037683696578</v>
          </cell>
          <cell r="N156">
            <v>0.99542291239652003</v>
          </cell>
          <cell r="O156">
            <v>0.97172946393363369</v>
          </cell>
          <cell r="P156">
            <v>0.96485774833131266</v>
          </cell>
          <cell r="Q156">
            <v>0.99740409493250559</v>
          </cell>
          <cell r="R156">
            <v>0.9638800734700409</v>
          </cell>
          <cell r="S156">
            <v>1.0000000000218996</v>
          </cell>
          <cell r="T156">
            <v>1.0000000000455407</v>
          </cell>
          <cell r="U156">
            <v>1.0000000000081548</v>
          </cell>
          <cell r="V156">
            <v>1.0000000000178642</v>
          </cell>
          <cell r="W156">
            <v>0.97192612019515157</v>
          </cell>
          <cell r="X156">
            <v>1.000000000022623</v>
          </cell>
          <cell r="Y156">
            <v>0.96980635512522806</v>
          </cell>
          <cell r="Z156">
            <v>0.99999999997644917</v>
          </cell>
        </row>
        <row r="157">
          <cell r="C157">
            <v>0.99686154126260274</v>
          </cell>
          <cell r="D157">
            <v>0.97635149453947401</v>
          </cell>
          <cell r="E157">
            <v>1.0399908715964608</v>
          </cell>
          <cell r="F157">
            <v>0.99334892900225202</v>
          </cell>
          <cell r="G157">
            <v>0.99276984904628163</v>
          </cell>
          <cell r="H157">
            <v>0.99377992145273808</v>
          </cell>
          <cell r="I157">
            <v>0.99595403187876907</v>
          </cell>
          <cell r="J157">
            <v>0.94537025674204589</v>
          </cell>
          <cell r="K157">
            <v>0.90958506932860461</v>
          </cell>
          <cell r="L157">
            <v>1.0048126740581793</v>
          </cell>
          <cell r="M157">
            <v>1</v>
          </cell>
          <cell r="N157">
            <v>1.000213558423928</v>
          </cell>
          <cell r="O157">
            <v>0.97640608111627569</v>
          </cell>
          <cell r="P157">
            <v>0.96950129418654007</v>
          </cell>
          <cell r="Q157">
            <v>1.0022042757457092</v>
          </cell>
          <cell r="R157">
            <v>0.96851891409482616</v>
          </cell>
          <cell r="S157">
            <v>1.0048126740801844</v>
          </cell>
          <cell r="T157">
            <v>1.0048126741039394</v>
          </cell>
          <cell r="U157">
            <v>1.0048126740663734</v>
          </cell>
          <cell r="V157">
            <v>1.0048126740761294</v>
          </cell>
          <cell r="W157">
            <v>0.97660368382028173</v>
          </cell>
          <cell r="X157">
            <v>1.0048126740809113</v>
          </cell>
          <cell r="Y157">
            <v>0.97447371701199681</v>
          </cell>
          <cell r="Z157">
            <v>1.0048126740345151</v>
          </cell>
        </row>
        <row r="158">
          <cell r="C158">
            <v>0.99664869853733318</v>
          </cell>
          <cell r="D158">
            <v>0.97614303097225119</v>
          </cell>
          <cell r="E158">
            <v>1.0397688202059681</v>
          </cell>
          <cell r="F158">
            <v>0.99313683626475446</v>
          </cell>
          <cell r="G158">
            <v>0.99255787994978206</v>
          </cell>
          <cell r="H158">
            <v>0.99356773669282417</v>
          </cell>
          <cell r="I158">
            <v>0.99574138291839298</v>
          </cell>
          <cell r="J158">
            <v>0.94516840806647262</v>
          </cell>
          <cell r="K158">
            <v>0.90939086124954149</v>
          </cell>
          <cell r="L158">
            <v>1.004598133664073</v>
          </cell>
          <cell r="M158">
            <v>0.99978648717353458</v>
          </cell>
          <cell r="N158">
            <v>1</v>
          </cell>
          <cell r="O158">
            <v>0.97619760589411853</v>
          </cell>
          <cell r="P158">
            <v>0.96929429322495653</v>
          </cell>
          <cell r="Q158">
            <v>1.001990292278099</v>
          </cell>
          <cell r="R158">
            <v>0.9683121228839926</v>
          </cell>
          <cell r="S158">
            <v>1.0045981336860732</v>
          </cell>
          <cell r="T158">
            <v>1.0045981337098231</v>
          </cell>
          <cell r="U158">
            <v>1.0045981336722654</v>
          </cell>
          <cell r="V158">
            <v>1.0045981336820191</v>
          </cell>
          <cell r="W158">
            <v>0.97639516640741264</v>
          </cell>
          <cell r="X158">
            <v>1.0045981336868</v>
          </cell>
          <cell r="Y158">
            <v>0.9742656543743613</v>
          </cell>
          <cell r="Z158">
            <v>1.0045981336404139</v>
          </cell>
        </row>
        <row r="159">
          <cell r="C159">
            <v>1.0209497467723074</v>
          </cell>
          <cell r="D159">
            <v>0.99994409439078946</v>
          </cell>
          <cell r="E159">
            <v>1.0651212561145582</v>
          </cell>
          <cell r="F159">
            <v>1.0173522555969812</v>
          </cell>
          <cell r="G159">
            <v>1.0167591827278442</v>
          </cell>
          <cell r="H159">
            <v>1.0177936625677297</v>
          </cell>
          <cell r="I159">
            <v>1.0200203082923707</v>
          </cell>
          <cell r="J159">
            <v>0.96821422461979334</v>
          </cell>
          <cell r="K159">
            <v>0.93156432238595033</v>
          </cell>
          <cell r="L159">
            <v>1.0290930110855392</v>
          </cell>
          <cell r="M159">
            <v>1.0241640433627273</v>
          </cell>
          <cell r="N159">
            <v>1.0243827622216717</v>
          </cell>
          <cell r="O159">
            <v>1</v>
          </cell>
          <cell r="P159">
            <v>0.99292836549948393</v>
          </cell>
          <cell r="Q159">
            <v>1.0264215833231392</v>
          </cell>
          <cell r="R159">
            <v>0.9919222471326351</v>
          </cell>
          <cell r="S159">
            <v>1.0290930111080758</v>
          </cell>
          <cell r="T159">
            <v>1.0290930111324048</v>
          </cell>
          <cell r="U159">
            <v>1.0290930110939314</v>
          </cell>
          <cell r="V159">
            <v>1.0290930111039229</v>
          </cell>
          <cell r="W159">
            <v>1.0002023775843143</v>
          </cell>
          <cell r="X159">
            <v>1.0290930111088203</v>
          </cell>
          <cell r="Y159">
            <v>0.99802094216571269</v>
          </cell>
          <cell r="Z159">
            <v>1.0290930110613032</v>
          </cell>
        </row>
        <row r="160">
          <cell r="C160">
            <v>1.0282209495130372</v>
          </cell>
          <cell r="D160">
            <v>1.0070656949031529</v>
          </cell>
          <cell r="E160">
            <v>1.0727070482861654</v>
          </cell>
          <cell r="F160">
            <v>1.0245978370103377</v>
          </cell>
          <cell r="G160">
            <v>1.0240005402770143</v>
          </cell>
          <cell r="H160">
            <v>1.0250423876809458</v>
          </cell>
          <cell r="I160">
            <v>1.0272848915734807</v>
          </cell>
          <cell r="J160">
            <v>0.97510984504178377</v>
          </cell>
          <cell r="K160">
            <v>0.93819892225290091</v>
          </cell>
          <cell r="L160">
            <v>1.036422210143894</v>
          </cell>
          <cell r="M160">
            <v>1.0314581383195056</v>
          </cell>
          <cell r="N160">
            <v>1.0316784148938729</v>
          </cell>
          <cell r="O160">
            <v>1.0071219986720379</v>
          </cell>
          <cell r="P160">
            <v>1</v>
          </cell>
          <cell r="Q160">
            <v>1.0337317564765176</v>
          </cell>
          <cell r="R160">
            <v>0.99898671605947864</v>
          </cell>
          <cell r="S160">
            <v>1.0364222101665912</v>
          </cell>
          <cell r="T160">
            <v>1.0364222101910934</v>
          </cell>
          <cell r="U160">
            <v>1.0364222101523457</v>
          </cell>
          <cell r="V160">
            <v>1.0364222101624088</v>
          </cell>
          <cell r="W160">
            <v>1.0073258175892388</v>
          </cell>
          <cell r="X160">
            <v>1.0364222101673408</v>
          </cell>
          <cell r="Y160">
            <v>1.005128845990483</v>
          </cell>
          <cell r="Z160">
            <v>1.0364222101194853</v>
          </cell>
        </row>
        <row r="161">
          <cell r="C161">
            <v>0.9946690164745795</v>
          </cell>
          <cell r="D161">
            <v>0.97420408011430715</v>
          </cell>
          <cell r="E161">
            <v>1.0377034869688975</v>
          </cell>
          <cell r="F161">
            <v>0.99116412995058512</v>
          </cell>
          <cell r="G161">
            <v>0.99058632363905286</v>
          </cell>
          <cell r="H161">
            <v>0.99159417446437981</v>
          </cell>
          <cell r="I161">
            <v>0.99376350309193262</v>
          </cell>
          <cell r="J161">
            <v>0.94329098330639749</v>
          </cell>
          <cell r="K161">
            <v>0.90758450282185288</v>
          </cell>
          <cell r="L161">
            <v>1.002602661329228</v>
          </cell>
          <cell r="M161">
            <v>0.99780057239920572</v>
          </cell>
          <cell r="N161">
            <v>0.99801366111684187</v>
          </cell>
          <cell r="O161">
            <v>0.97425854663188516</v>
          </cell>
          <cell r="P161">
            <v>0.96736894628110048</v>
          </cell>
          <cell r="Q161">
            <v>1</v>
          </cell>
          <cell r="R161">
            <v>0.96638872686327471</v>
          </cell>
          <cell r="S161">
            <v>1.0026026613511845</v>
          </cell>
          <cell r="T161">
            <v>1.0026026613748873</v>
          </cell>
          <cell r="U161">
            <v>1.0026026613374039</v>
          </cell>
          <cell r="V161">
            <v>1.0026026613471386</v>
          </cell>
          <cell r="W161">
            <v>0.97445571472305004</v>
          </cell>
          <cell r="X161">
            <v>1.0026026613519099</v>
          </cell>
          <cell r="Y161">
            <v>0.97233043262255203</v>
          </cell>
          <cell r="Z161">
            <v>1.0026026613056158</v>
          </cell>
        </row>
        <row r="162">
          <cell r="C162">
            <v>1.0292638860793601</v>
          </cell>
          <cell r="D162">
            <v>1.0080871734466519</v>
          </cell>
          <cell r="E162">
            <v>1.0737951076241314</v>
          </cell>
          <cell r="F162">
            <v>1.0256370986111634</v>
          </cell>
          <cell r="G162">
            <v>1.0250391960327592</v>
          </cell>
          <cell r="H162">
            <v>1.0260821001947296</v>
          </cell>
          <cell r="I162">
            <v>1.0283268786852588</v>
          </cell>
          <cell r="J162">
            <v>0.97609891039204444</v>
          </cell>
          <cell r="K162">
            <v>0.93915054842134815</v>
          </cell>
          <cell r="L162">
            <v>1.037473465345045</v>
          </cell>
          <cell r="M162">
            <v>1.0325043584043951</v>
          </cell>
          <cell r="N162">
            <v>1.0327248584078748</v>
          </cell>
          <cell r="O162">
            <v>1.0081435343251099</v>
          </cell>
          <cell r="P162">
            <v>1.0010143117263044</v>
          </cell>
          <cell r="Q162">
            <v>1.0347802827189649</v>
          </cell>
          <cell r="R162">
            <v>1</v>
          </cell>
          <cell r="S162">
            <v>1.0374734653677653</v>
          </cell>
          <cell r="T162">
            <v>1.0374734653922923</v>
          </cell>
          <cell r="U162">
            <v>1.0374734653535056</v>
          </cell>
          <cell r="V162">
            <v>1.0374734653635787</v>
          </cell>
          <cell r="W162">
            <v>1.0083475599782288</v>
          </cell>
          <cell r="X162">
            <v>1.0374734653685158</v>
          </cell>
          <cell r="Y162">
            <v>1.0061483599654177</v>
          </cell>
          <cell r="Z162">
            <v>1.0374734653206117</v>
          </cell>
        </row>
        <row r="163">
          <cell r="C163">
            <v>0.99208695011250714</v>
          </cell>
          <cell r="D163">
            <v>0.97167513878468537</v>
          </cell>
          <cell r="E163">
            <v>1.0350097072058519</v>
          </cell>
          <cell r="F163">
            <v>0.98859116194127794</v>
          </cell>
          <cell r="G163">
            <v>0.9880148555600905</v>
          </cell>
          <cell r="H163">
            <v>0.98902009010033065</v>
          </cell>
          <cell r="I163">
            <v>0.99118378735665869</v>
          </cell>
          <cell r="J163">
            <v>0.94084228944210657</v>
          </cell>
          <cell r="K163">
            <v>0.90522849959197416</v>
          </cell>
          <cell r="L163">
            <v>0.99999999997810041</v>
          </cell>
          <cell r="M163">
            <v>0.9952103768151711</v>
          </cell>
          <cell r="N163">
            <v>0.99542291237472069</v>
          </cell>
          <cell r="O163">
            <v>0.97172946391235326</v>
          </cell>
          <cell r="P163">
            <v>0.96485774831018267</v>
          </cell>
          <cell r="Q163">
            <v>0.99740409491066284</v>
          </cell>
          <cell r="R163">
            <v>0.96388007344893234</v>
          </cell>
          <cell r="S163">
            <v>1</v>
          </cell>
          <cell r="T163">
            <v>1.0000000000236411</v>
          </cell>
          <cell r="U163">
            <v>0.99999999998625522</v>
          </cell>
          <cell r="V163">
            <v>0.99999999999596456</v>
          </cell>
          <cell r="W163">
            <v>0.97192612017386681</v>
          </cell>
          <cell r="X163">
            <v>1.0000000000007234</v>
          </cell>
          <cell r="Y163">
            <v>0.96980635510398971</v>
          </cell>
          <cell r="Z163">
            <v>0.99999999995454958</v>
          </cell>
        </row>
        <row r="164">
          <cell r="C164">
            <v>0.99208695008905301</v>
          </cell>
          <cell r="D164">
            <v>0.97167513876171385</v>
          </cell>
          <cell r="E164">
            <v>1.0350097071813831</v>
          </cell>
          <cell r="F164">
            <v>0.98859116191790641</v>
          </cell>
          <cell r="G164">
            <v>0.98801485553673263</v>
          </cell>
          <cell r="H164">
            <v>0.98902009007694902</v>
          </cell>
          <cell r="I164">
            <v>0.99118378733322599</v>
          </cell>
          <cell r="J164">
            <v>0.94084228941986392</v>
          </cell>
          <cell r="K164">
            <v>0.90522849957057339</v>
          </cell>
          <cell r="L164">
            <v>0.99999999995445921</v>
          </cell>
          <cell r="M164">
            <v>0.99521037679164315</v>
          </cell>
          <cell r="N164">
            <v>0.99542291235118763</v>
          </cell>
          <cell r="O164">
            <v>0.97172946388938042</v>
          </cell>
          <cell r="P164">
            <v>0.96485774828737225</v>
          </cell>
          <cell r="Q164">
            <v>0.99740409488708304</v>
          </cell>
          <cell r="R164">
            <v>0.96388007342614501</v>
          </cell>
          <cell r="S164">
            <v>0.9999999999763588</v>
          </cell>
          <cell r="T164">
            <v>1</v>
          </cell>
          <cell r="U164">
            <v>0.99999999996261402</v>
          </cell>
          <cell r="V164">
            <v>0.99999999997232336</v>
          </cell>
          <cell r="W164">
            <v>0.97192612015088931</v>
          </cell>
          <cell r="X164">
            <v>0.99999999997708222</v>
          </cell>
          <cell r="Y164">
            <v>0.96980635508106239</v>
          </cell>
          <cell r="Z164">
            <v>0.99999999993090838</v>
          </cell>
        </row>
        <row r="165">
          <cell r="C165">
            <v>0.99208695012614312</v>
          </cell>
          <cell r="D165">
            <v>0.97167513879804079</v>
          </cell>
          <cell r="E165">
            <v>1.0350097072200779</v>
          </cell>
          <cell r="F165">
            <v>0.98859116195486585</v>
          </cell>
          <cell r="G165">
            <v>0.98801485557367053</v>
          </cell>
          <cell r="H165">
            <v>0.98902009011392444</v>
          </cell>
          <cell r="I165">
            <v>0.99118378737028234</v>
          </cell>
          <cell r="J165">
            <v>0.94084228945503823</v>
          </cell>
          <cell r="K165">
            <v>0.9052284996044162</v>
          </cell>
          <cell r="L165">
            <v>0.99999999999184519</v>
          </cell>
          <cell r="M165">
            <v>0.99521037682885005</v>
          </cell>
          <cell r="N165">
            <v>0.99542291238840253</v>
          </cell>
          <cell r="O165">
            <v>0.97172946392570947</v>
          </cell>
          <cell r="P165">
            <v>0.9648577483234444</v>
          </cell>
          <cell r="Q165">
            <v>0.99740409492437188</v>
          </cell>
          <cell r="R165">
            <v>0.96388007346218063</v>
          </cell>
          <cell r="S165">
            <v>1.0000000000137448</v>
          </cell>
          <cell r="T165">
            <v>1.0000000000373859</v>
          </cell>
          <cell r="U165">
            <v>1</v>
          </cell>
          <cell r="V165">
            <v>1.0000000000097093</v>
          </cell>
          <cell r="W165">
            <v>0.97192612018722568</v>
          </cell>
          <cell r="X165">
            <v>1.0000000000144682</v>
          </cell>
          <cell r="Y165">
            <v>0.9698063551173195</v>
          </cell>
          <cell r="Z165">
            <v>0.99999999996829436</v>
          </cell>
        </row>
        <row r="166">
          <cell r="C166">
            <v>0.99208695011651071</v>
          </cell>
          <cell r="D166">
            <v>0.97167513878860656</v>
          </cell>
          <cell r="E166">
            <v>1.0350097072100288</v>
          </cell>
          <cell r="F166">
            <v>0.98859116194526742</v>
          </cell>
          <cell r="G166">
            <v>0.98801485556407753</v>
          </cell>
          <cell r="H166">
            <v>0.98902009010432179</v>
          </cell>
          <cell r="I166">
            <v>0.9911837873606586</v>
          </cell>
          <cell r="J166">
            <v>0.94084228944590331</v>
          </cell>
          <cell r="K166">
            <v>0.90522849959562712</v>
          </cell>
          <cell r="L166">
            <v>0.99999999998213596</v>
          </cell>
          <cell r="M166">
            <v>0.99521037681918723</v>
          </cell>
          <cell r="N166">
            <v>0.9954229123787377</v>
          </cell>
          <cell r="O166">
            <v>0.97172946391627468</v>
          </cell>
          <cell r="P166">
            <v>0.96485774831407634</v>
          </cell>
          <cell r="Q166">
            <v>0.99740409491468784</v>
          </cell>
          <cell r="R166">
            <v>0.96388007345282201</v>
          </cell>
          <cell r="S166">
            <v>1.0000000000040354</v>
          </cell>
          <cell r="T166">
            <v>1.0000000000276767</v>
          </cell>
          <cell r="U166">
            <v>0.99999999999029077</v>
          </cell>
          <cell r="V166">
            <v>1</v>
          </cell>
          <cell r="W166">
            <v>0.9719261201777889</v>
          </cell>
          <cell r="X166">
            <v>1.0000000000047589</v>
          </cell>
          <cell r="Y166">
            <v>0.96980635510790336</v>
          </cell>
          <cell r="Z166">
            <v>0.99999999995858502</v>
          </cell>
        </row>
        <row r="167">
          <cell r="C167">
            <v>1.0207431712351076</v>
          </cell>
          <cell r="D167">
            <v>0.99974176906662782</v>
          </cell>
          <cell r="E167">
            <v>1.0649057430627549</v>
          </cell>
          <cell r="F167">
            <v>1.0171464079640435</v>
          </cell>
          <cell r="G167">
            <v>1.0165534550952757</v>
          </cell>
          <cell r="H167">
            <v>1.0175877256219907</v>
          </cell>
          <cell r="I167">
            <v>1.0198139208146262</v>
          </cell>
          <cell r="J167">
            <v>0.96801831941073913</v>
          </cell>
          <cell r="K167">
            <v>0.93137583279482072</v>
          </cell>
          <cell r="L167">
            <v>1.028884787867633</v>
          </cell>
          <cell r="M167">
            <v>1.0239568174555687</v>
          </cell>
          <cell r="N167">
            <v>1.0241754920596748</v>
          </cell>
          <cell r="O167">
            <v>0.99979766336408538</v>
          </cell>
          <cell r="P167">
            <v>0.99272745971430454</v>
          </cell>
          <cell r="Q167">
            <v>1.0262139006329394</v>
          </cell>
          <cell r="R167">
            <v>0.99172154492206144</v>
          </cell>
          <cell r="S167">
            <v>1.028884787890165</v>
          </cell>
          <cell r="T167">
            <v>1.0288847879144891</v>
          </cell>
          <cell r="U167">
            <v>1.0288847878760232</v>
          </cell>
          <cell r="V167">
            <v>1.028884787886013</v>
          </cell>
          <cell r="W167">
            <v>1</v>
          </cell>
          <cell r="X167">
            <v>1.0288847878909093</v>
          </cell>
          <cell r="Y167">
            <v>0.99781900596570261</v>
          </cell>
          <cell r="Z167">
            <v>1.0288847878434018</v>
          </cell>
        </row>
        <row r="168">
          <cell r="C168">
            <v>0.99208695011178949</v>
          </cell>
          <cell r="D168">
            <v>0.97167513878398248</v>
          </cell>
          <cell r="E168">
            <v>1.0350097072051032</v>
          </cell>
          <cell r="F168">
            <v>0.98859116194056273</v>
          </cell>
          <cell r="G168">
            <v>0.98801485555937574</v>
          </cell>
          <cell r="H168">
            <v>0.98902009009961522</v>
          </cell>
          <cell r="I168">
            <v>0.9911837873559417</v>
          </cell>
          <cell r="J168">
            <v>0.94084228944142601</v>
          </cell>
          <cell r="K168">
            <v>0.90522849959131924</v>
          </cell>
          <cell r="L168">
            <v>0.99999999997737699</v>
          </cell>
          <cell r="M168">
            <v>0.99521037681445113</v>
          </cell>
          <cell r="N168">
            <v>0.9954229123740006</v>
          </cell>
          <cell r="O168">
            <v>0.97172946391165027</v>
          </cell>
          <cell r="P168">
            <v>0.96485774830948468</v>
          </cell>
          <cell r="Q168">
            <v>0.99740409490994131</v>
          </cell>
          <cell r="R168">
            <v>0.96388007344823501</v>
          </cell>
          <cell r="S168">
            <v>0.99999999999927658</v>
          </cell>
          <cell r="T168">
            <v>1.0000000000229179</v>
          </cell>
          <cell r="U168">
            <v>0.9999999999855318</v>
          </cell>
          <cell r="V168">
            <v>0.99999999999524114</v>
          </cell>
          <cell r="W168">
            <v>0.97192612017316371</v>
          </cell>
          <cell r="X168">
            <v>1</v>
          </cell>
          <cell r="Y168">
            <v>0.96980635510328816</v>
          </cell>
          <cell r="Z168">
            <v>0.99999999995382616</v>
          </cell>
        </row>
        <row r="169">
          <cell r="C169">
            <v>1.0229742720196222</v>
          </cell>
          <cell r="D169">
            <v>1.0019269658018433</v>
          </cell>
          <cell r="E169">
            <v>1.0672333726817769</v>
          </cell>
          <cell r="F169">
            <v>1.0193696470830755</v>
          </cell>
          <cell r="G169">
            <v>1.0187753981609537</v>
          </cell>
          <cell r="H169">
            <v>1.0198119293560215</v>
          </cell>
          <cell r="I169">
            <v>1.022042990479658</v>
          </cell>
          <cell r="J169">
            <v>0.97013417626163378</v>
          </cell>
          <cell r="K169">
            <v>0.93341159792143136</v>
          </cell>
          <cell r="L169">
            <v>1.0311336842816143</v>
          </cell>
          <cell r="M169">
            <v>1.0261949425031942</v>
          </cell>
          <cell r="N169">
            <v>1.0264140950777583</v>
          </cell>
          <cell r="O169">
            <v>1.0019829822708857</v>
          </cell>
          <cell r="P169">
            <v>0.99489732484452897</v>
          </cell>
          <cell r="Q169">
            <v>1.0284569591253234</v>
          </cell>
          <cell r="R169">
            <v>0.99388921136279629</v>
          </cell>
          <cell r="S169">
            <v>1.0311336843041956</v>
          </cell>
          <cell r="T169">
            <v>1.0311336843285728</v>
          </cell>
          <cell r="U169">
            <v>1.0311336842900229</v>
          </cell>
          <cell r="V169">
            <v>1.0311336843000345</v>
          </cell>
          <cell r="W169">
            <v>1.0021857611663616</v>
          </cell>
          <cell r="X169">
            <v>1.0311336843049417</v>
          </cell>
          <cell r="Y169">
            <v>1</v>
          </cell>
          <cell r="Z169">
            <v>1.0311336842573302</v>
          </cell>
        </row>
        <row r="170">
          <cell r="C170">
            <v>0.99208695015759796</v>
          </cell>
          <cell r="D170">
            <v>0.97167513882884848</v>
          </cell>
          <cell r="E170">
            <v>1.0350097072528937</v>
          </cell>
          <cell r="F170">
            <v>0.98859116198620978</v>
          </cell>
          <cell r="G170">
            <v>0.98801485560499613</v>
          </cell>
          <cell r="H170">
            <v>0.98902009014528203</v>
          </cell>
          <cell r="I170">
            <v>0.99118378740170843</v>
          </cell>
          <cell r="J170">
            <v>0.94084228948486825</v>
          </cell>
          <cell r="K170">
            <v>0.90522849963311713</v>
          </cell>
          <cell r="L170">
            <v>1.0000000000235509</v>
          </cell>
          <cell r="M170">
            <v>0.99521037686040381</v>
          </cell>
          <cell r="N170">
            <v>0.99542291241996306</v>
          </cell>
          <cell r="O170">
            <v>0.97172946395651871</v>
          </cell>
          <cell r="P170">
            <v>0.96485774835403582</v>
          </cell>
          <cell r="Q170">
            <v>0.99740409495599525</v>
          </cell>
          <cell r="R170">
            <v>0.96388007349274107</v>
          </cell>
          <cell r="S170">
            <v>1.0000000000454505</v>
          </cell>
          <cell r="T170">
            <v>1.0000000000690916</v>
          </cell>
          <cell r="U170">
            <v>1.0000000000317057</v>
          </cell>
          <cell r="V170">
            <v>1.0000000000414149</v>
          </cell>
          <cell r="W170">
            <v>0.97192612021804126</v>
          </cell>
          <cell r="X170">
            <v>1.0000000000461737</v>
          </cell>
          <cell r="Y170">
            <v>0.96980635514806779</v>
          </cell>
          <cell r="Z170">
            <v>1</v>
          </cell>
        </row>
        <row r="175">
          <cell r="C175">
            <v>1</v>
          </cell>
          <cell r="D175">
            <v>0.95833390205694524</v>
          </cell>
          <cell r="E175">
            <v>0.94709226627394849</v>
          </cell>
          <cell r="F175">
            <v>0.93337107362887073</v>
          </cell>
          <cell r="G175">
            <v>0.92075379837252436</v>
          </cell>
          <cell r="H175">
            <v>0.99464691809335071</v>
          </cell>
          <cell r="I175">
            <v>1.0012401338369497</v>
          </cell>
          <cell r="J175">
            <v>0.94101093707972527</v>
          </cell>
          <cell r="K175">
            <v>0.94316054155643914</v>
          </cell>
          <cell r="L175">
            <v>1.000070479915194</v>
          </cell>
          <cell r="M175">
            <v>0.95363996768234838</v>
          </cell>
          <cell r="N175">
            <v>0.96785478187251528</v>
          </cell>
          <cell r="O175">
            <v>0.91276538535719398</v>
          </cell>
          <cell r="P175">
            <v>0.92952903885108762</v>
          </cell>
          <cell r="Q175">
            <v>0.94754931061852887</v>
          </cell>
          <cell r="R175">
            <v>0.92898201148054349</v>
          </cell>
          <cell r="S175">
            <v>0.94353850897602509</v>
          </cell>
          <cell r="T175">
            <v>0.95303436756469562</v>
          </cell>
          <cell r="U175">
            <v>0.98171406350458734</v>
          </cell>
          <cell r="V175">
            <v>0.93730015497151209</v>
          </cell>
          <cell r="W175">
            <v>0.96532948012472108</v>
          </cell>
          <cell r="X175">
            <v>0.95896515810910155</v>
          </cell>
          <cell r="Y175">
            <v>0.89093088967050682</v>
          </cell>
          <cell r="Z175">
            <v>0.9452183939983988</v>
          </cell>
        </row>
        <row r="176">
          <cell r="C176">
            <v>1.0434776416170017</v>
          </cell>
          <cell r="D176">
            <v>1</v>
          </cell>
          <cell r="E176">
            <v>0.98826960440524125</v>
          </cell>
          <cell r="F176">
            <v>0.97395184666378298</v>
          </cell>
          <cell r="G176">
            <v>0.960786002035658</v>
          </cell>
          <cell r="H176">
            <v>1.0378918203336687</v>
          </cell>
          <cell r="I176">
            <v>1.0447716935484714</v>
          </cell>
          <cell r="J176">
            <v>0.98192387335975662</v>
          </cell>
          <cell r="K176">
            <v>0.98416693756952733</v>
          </cell>
          <cell r="L176">
            <v>1.0435511858326898</v>
          </cell>
          <cell r="M176">
            <v>0.99510198442889064</v>
          </cell>
          <cell r="N176">
            <v>1.0099348252160698</v>
          </cell>
          <cell r="O176">
            <v>0.95245027166215857</v>
          </cell>
          <cell r="P176">
            <v>0.96994276927485124</v>
          </cell>
          <cell r="Q176">
            <v>0.98874651996003837</v>
          </cell>
          <cell r="R176">
            <v>0.96937195844433599</v>
          </cell>
          <cell r="S176">
            <v>0.9845613381211249</v>
          </cell>
          <cell r="T176">
            <v>0.99447005424635937</v>
          </cell>
          <cell r="U176">
            <v>1.0243966757280103</v>
          </cell>
          <cell r="V176">
            <v>0.97805175519692378</v>
          </cell>
          <cell r="W176">
            <v>1.0072997293039103</v>
          </cell>
          <cell r="X176">
            <v>1.0006587015765604</v>
          </cell>
          <cell r="Y176">
            <v>0.92966646359711758</v>
          </cell>
          <cell r="Z176">
            <v>0.98631426058245919</v>
          </cell>
        </row>
        <row r="177">
          <cell r="C177">
            <v>1.0558633362451593</v>
          </cell>
          <cell r="D177">
            <v>1.011869631062688</v>
          </cell>
          <cell r="E177">
            <v>1</v>
          </cell>
          <cell r="F177">
            <v>0.98551229575650567</v>
          </cell>
          <cell r="G177">
            <v>0.97219017741001623</v>
          </cell>
          <cell r="H177">
            <v>1.0502112133240109</v>
          </cell>
          <cell r="I177">
            <v>1.0571727480956314</v>
          </cell>
          <cell r="J177">
            <v>0.99357894746818243</v>
          </cell>
          <cell r="K177">
            <v>0.99584863602257301</v>
          </cell>
          <cell r="L177">
            <v>1.0559377534035543</v>
          </cell>
          <cell r="M177">
            <v>1.0069134778538102</v>
          </cell>
          <cell r="N177">
            <v>1.0219223789887448</v>
          </cell>
          <cell r="O177">
            <v>0.9637555049923453</v>
          </cell>
          <cell r="P177">
            <v>0.98145563209806563</v>
          </cell>
          <cell r="Q177">
            <v>1.0004825763664806</v>
          </cell>
          <cell r="R177">
            <v>0.98087804595358552</v>
          </cell>
          <cell r="S177">
            <v>0.99624771796320899</v>
          </cell>
          <cell r="T177">
            <v>1.0062740468931548</v>
          </cell>
          <cell r="U177">
            <v>1.0365558863307458</v>
          </cell>
          <cell r="V177">
            <v>0.98966086869132563</v>
          </cell>
          <cell r="W177">
            <v>1.019256005460293</v>
          </cell>
          <cell r="X177">
            <v>1.0125361511839426</v>
          </cell>
          <cell r="Y177">
            <v>0.94070126153136924</v>
          </cell>
          <cell r="Z177">
            <v>0.99802144696744088</v>
          </cell>
        </row>
        <row r="178">
          <cell r="C178">
            <v>1.0713852488615074</v>
          </cell>
          <cell r="D178">
            <v>1.0267448061476998</v>
          </cell>
          <cell r="E178">
            <v>1.0147006833967234</v>
          </cell>
          <cell r="F178">
            <v>1</v>
          </cell>
          <cell r="G178">
            <v>0.98648203740952511</v>
          </cell>
          <cell r="H178">
            <v>1.0656500358707759</v>
          </cell>
          <cell r="I178">
            <v>1.0727139099610292</v>
          </cell>
          <cell r="J178">
            <v>1.0081852370045619</v>
          </cell>
          <cell r="K178">
            <v>1.0104882915317996</v>
          </cell>
          <cell r="L178">
            <v>1.0714607600029873</v>
          </cell>
          <cell r="M178">
            <v>1.0217157940996326</v>
          </cell>
          <cell r="N178">
            <v>1.0369453363382848</v>
          </cell>
          <cell r="O178">
            <v>0.9779233695430869</v>
          </cell>
          <cell r="P178">
            <v>0.9958837006134702</v>
          </cell>
          <cell r="Q178">
            <v>1.0151903539655822</v>
          </cell>
          <cell r="R178">
            <v>0.99529762355794582</v>
          </cell>
          <cell r="S178">
            <v>1.0108932402496942</v>
          </cell>
          <cell r="T178">
            <v>1.0210669630668707</v>
          </cell>
          <cell r="U178">
            <v>1.0517939662387039</v>
          </cell>
          <cell r="V178">
            <v>1.004209559792083</v>
          </cell>
          <cell r="W178">
            <v>1.0342397652967739</v>
          </cell>
          <cell r="X178">
            <v>1.0274211245702345</v>
          </cell>
          <cell r="Y178">
            <v>0.95453021294804008</v>
          </cell>
          <cell r="Z178">
            <v>1.0126930442824489</v>
          </cell>
        </row>
        <row r="179">
          <cell r="C179">
            <v>1.0860666573057283</v>
          </cell>
          <cell r="D179">
            <v>1.0408144975897418</v>
          </cell>
          <cell r="E179">
            <v>1.0286053317922539</v>
          </cell>
          <cell r="F179">
            <v>1.0137032019619665</v>
          </cell>
          <cell r="G179">
            <v>1</v>
          </cell>
          <cell r="H179">
            <v>1.08025285353309</v>
          </cell>
          <cell r="I179">
            <v>1.0874135253166359</v>
          </cell>
          <cell r="J179">
            <v>1.0220006029223083</v>
          </cell>
          <cell r="K179">
            <v>1.0243352166708624</v>
          </cell>
          <cell r="L179">
            <v>1.0861432031916303</v>
          </cell>
          <cell r="M179">
            <v>1.0357165719739108</v>
          </cell>
          <cell r="N179">
            <v>1.0511548077056474</v>
          </cell>
          <cell r="O179">
            <v>0.99132405097926257</v>
          </cell>
          <cell r="P179">
            <v>1.0095304960936071</v>
          </cell>
          <cell r="Q179">
            <v>1.0291017124158128</v>
          </cell>
          <cell r="R179">
            <v>1.0089363879058255</v>
          </cell>
          <cell r="S179">
            <v>1.0247457144828225</v>
          </cell>
          <cell r="T179">
            <v>1.0350588498784676</v>
          </cell>
          <cell r="U179">
            <v>1.0662069113804507</v>
          </cell>
          <cell r="V179">
            <v>1.0179704462020513</v>
          </cell>
          <cell r="W179">
            <v>1.0484121616777322</v>
          </cell>
          <cell r="X179">
            <v>1.0415000837402111</v>
          </cell>
          <cell r="Y179">
            <v>0.96761033323486589</v>
          </cell>
          <cell r="Z179">
            <v>1.0265701815937298</v>
          </cell>
        </row>
        <row r="180">
          <cell r="C180">
            <v>1.0053818916132677</v>
          </cell>
          <cell r="D180">
            <v>0.9634915512471357</v>
          </cell>
          <cell r="E180">
            <v>0.95218941419879899</v>
          </cell>
          <cell r="F180">
            <v>0.9383943755821007</v>
          </cell>
          <cell r="G180">
            <v>0.9257091955178699</v>
          </cell>
          <cell r="H180">
            <v>1</v>
          </cell>
          <cell r="I180">
            <v>1.0066286997161138</v>
          </cell>
          <cell r="J180">
            <v>0.94607535594998793</v>
          </cell>
          <cell r="K180">
            <v>0.9482365293650068</v>
          </cell>
          <cell r="L180">
            <v>1.0054527508437263</v>
          </cell>
          <cell r="M180">
            <v>0.95877235462649502</v>
          </cell>
          <cell r="N180">
            <v>0.97306367140593608</v>
          </cell>
          <cell r="O180">
            <v>0.91767778972952896</v>
          </cell>
          <cell r="P180">
            <v>0.93453166338956906</v>
          </cell>
          <cell r="Q180">
            <v>0.95264891830650444</v>
          </cell>
          <cell r="R180">
            <v>0.93398169197700731</v>
          </cell>
          <cell r="S180">
            <v>0.94861653096427834</v>
          </cell>
          <cell r="T180">
            <v>0.95816349523464794</v>
          </cell>
          <cell r="U180">
            <v>0.98699754218958968</v>
          </cell>
          <cell r="V180">
            <v>0.94234460281466792</v>
          </cell>
          <cell r="W180">
            <v>0.97052477875784438</v>
          </cell>
          <cell r="X180">
            <v>0.9641262046509449</v>
          </cell>
          <cell r="Y180">
            <v>0.89572578315362572</v>
          </cell>
          <cell r="Z180">
            <v>0.95030545694576529</v>
          </cell>
        </row>
        <row r="181">
          <cell r="C181">
            <v>0.99876140219010467</v>
          </cell>
          <cell r="D181">
            <v>0.95714691178470912</v>
          </cell>
          <cell r="E181">
            <v>0.94591919986717288</v>
          </cell>
          <cell r="F181">
            <v>0.93221500226125442</v>
          </cell>
          <cell r="G181">
            <v>0.91961335473440731</v>
          </cell>
          <cell r="H181">
            <v>0.99341495059898122</v>
          </cell>
          <cell r="I181">
            <v>1</v>
          </cell>
          <cell r="J181">
            <v>0.9398454029939709</v>
          </cell>
          <cell r="K181">
            <v>0.94199234497528772</v>
          </cell>
          <cell r="L181">
            <v>0.99883179480903017</v>
          </cell>
          <cell r="M181">
            <v>0.95245879130694844</v>
          </cell>
          <cell r="N181">
            <v>0.96665599905939126</v>
          </cell>
          <cell r="O181">
            <v>0.91163483614994234</v>
          </cell>
          <cell r="P181">
            <v>0.92837772621933257</v>
          </cell>
          <cell r="Q181">
            <v>0.94637567811762902</v>
          </cell>
          <cell r="R181">
            <v>0.92783137639569158</v>
          </cell>
          <cell r="S181">
            <v>0.94236984424525549</v>
          </cell>
          <cell r="T181">
            <v>0.95185394128427503</v>
          </cell>
          <cell r="U181">
            <v>0.98049811461558722</v>
          </cell>
          <cell r="V181">
            <v>0.93613921705234993</v>
          </cell>
          <cell r="W181">
            <v>0.96413382514481116</v>
          </cell>
          <cell r="X181">
            <v>0.95777738596450168</v>
          </cell>
          <cell r="Y181">
            <v>0.88982738462179278</v>
          </cell>
          <cell r="Z181">
            <v>0.94404764856571965</v>
          </cell>
        </row>
        <row r="182">
          <cell r="C182">
            <v>1.0626869046850165</v>
          </cell>
          <cell r="D182">
            <v>1.0184088880316089</v>
          </cell>
          <cell r="E182">
            <v>1.0064625488977796</v>
          </cell>
          <cell r="F182">
            <v>0.99188121715719513</v>
          </cell>
          <cell r="G182">
            <v>0.97847300396946957</v>
          </cell>
          <cell r="H182">
            <v>1.056998254643114</v>
          </cell>
          <cell r="I182">
            <v>1.0640047786735995</v>
          </cell>
          <cell r="J182">
            <v>1</v>
          </cell>
          <cell r="K182">
            <v>1.002284356527656</v>
          </cell>
          <cell r="L182">
            <v>1.0627618027679364</v>
          </cell>
          <cell r="M182">
            <v>1.013420705440274</v>
          </cell>
          <cell r="N182">
            <v>1.0285266023326949</v>
          </cell>
          <cell r="O182">
            <v>0.96998382206886258</v>
          </cell>
          <cell r="P182">
            <v>0.98779833711150056</v>
          </cell>
          <cell r="Q182">
            <v>1.0069482439376256</v>
          </cell>
          <cell r="R182">
            <v>0.98721701828831909</v>
          </cell>
          <cell r="S182">
            <v>1.0026860175548478</v>
          </cell>
          <cell r="T182">
            <v>1.0127771421257685</v>
          </cell>
          <cell r="U182">
            <v>1.0432546794314395</v>
          </cell>
          <cell r="V182">
            <v>0.99605660044746236</v>
          </cell>
          <cell r="W182">
            <v>1.0258429972349359</v>
          </cell>
          <cell r="X182">
            <v>1.0190797155717384</v>
          </cell>
          <cell r="Y182">
            <v>0.94678058943221866</v>
          </cell>
          <cell r="Z182">
            <v>1.0044712093695007</v>
          </cell>
        </row>
        <row r="183">
          <cell r="C183">
            <v>1.0602648816815028</v>
          </cell>
          <cell r="D183">
            <v>1.01608778127578</v>
          </cell>
          <cell r="E183">
            <v>1.0041686696424144</v>
          </cell>
          <cell r="F183">
            <v>0.98962057094605183</v>
          </cell>
          <cell r="G183">
            <v>0.97624291708923872</v>
          </cell>
          <cell r="H183">
            <v>1.0545891969271179</v>
          </cell>
          <cell r="I183">
            <v>1.0615797520374055</v>
          </cell>
          <cell r="J183">
            <v>0.99772084986383502</v>
          </cell>
          <cell r="K183">
            <v>1</v>
          </cell>
          <cell r="L183">
            <v>1.0603396090604469</v>
          </cell>
          <cell r="M183">
            <v>1.0111109675014771</v>
          </cell>
          <cell r="N183">
            <v>1.0261824357869391</v>
          </cell>
          <cell r="O183">
            <v>0.96777308330871648</v>
          </cell>
          <cell r="P183">
            <v>0.9855469963969693</v>
          </cell>
          <cell r="Q183">
            <v>1.004653257710344</v>
          </cell>
          <cell r="R183">
            <v>0.98496700248666291</v>
          </cell>
          <cell r="S183">
            <v>1.0004007455814068</v>
          </cell>
          <cell r="T183">
            <v>1.0104688709643876</v>
          </cell>
          <cell r="U183">
            <v>1.0408769453867586</v>
          </cell>
          <cell r="V183">
            <v>0.99378643791092447</v>
          </cell>
          <cell r="W183">
            <v>1.0235049470281039</v>
          </cell>
          <cell r="X183">
            <v>1.01675707989923</v>
          </cell>
          <cell r="Y183">
            <v>0.9446227343228959</v>
          </cell>
          <cell r="Z183">
            <v>1.0021818686758923</v>
          </cell>
        </row>
        <row r="184">
          <cell r="C184">
            <v>0.99992952505187427</v>
          </cell>
          <cell r="D184">
            <v>0.95826636352491068</v>
          </cell>
          <cell r="E184">
            <v>0.94702551999561257</v>
          </cell>
          <cell r="F184">
            <v>0.93330529435087473</v>
          </cell>
          <cell r="G184">
            <v>0.92068890829634753</v>
          </cell>
          <cell r="H184">
            <v>0.99457682040339479</v>
          </cell>
          <cell r="I184">
            <v>1.0011695714904563</v>
          </cell>
          <cell r="J184">
            <v>0.94094461938274887</v>
          </cell>
          <cell r="K184">
            <v>0.9430940723661988</v>
          </cell>
          <cell r="L184">
            <v>1</v>
          </cell>
          <cell r="M184">
            <v>0.95357275995509538</v>
          </cell>
          <cell r="N184">
            <v>0.96778657235696963</v>
          </cell>
          <cell r="O184">
            <v>0.91270105826401005</v>
          </cell>
          <cell r="P184">
            <v>0.92946353034029328</v>
          </cell>
          <cell r="Q184">
            <v>0.94748253213001654</v>
          </cell>
          <cell r="R184">
            <v>0.92891654152147474</v>
          </cell>
          <cell r="S184">
            <v>0.94347201314855045</v>
          </cell>
          <cell r="T184">
            <v>0.95296720251707945</v>
          </cell>
          <cell r="U184">
            <v>0.98164487725688765</v>
          </cell>
          <cell r="V184">
            <v>0.93723409879171227</v>
          </cell>
          <cell r="W184">
            <v>0.9652614485796851</v>
          </cell>
          <cell r="X184">
            <v>0.95889757508932938</v>
          </cell>
          <cell r="Y184">
            <v>0.89086810136227368</v>
          </cell>
          <cell r="Z184">
            <v>0.94515177978111442</v>
          </cell>
        </row>
        <row r="185">
          <cell r="C185">
            <v>1.048613768181635</v>
          </cell>
          <cell r="D185">
            <v>1.0049221242121433</v>
          </cell>
          <cell r="E185">
            <v>0.99313399015320958</v>
          </cell>
          <cell r="F185">
            <v>0.97874575862970847</v>
          </cell>
          <cell r="G185">
            <v>0.96551511007896618</v>
          </cell>
          <cell r="H185">
            <v>1.0430004527921186</v>
          </cell>
          <cell r="I185">
            <v>1.0499141895974484</v>
          </cell>
          <cell r="J185">
            <v>0.98675702463130222</v>
          </cell>
          <cell r="K185">
            <v>0.9890111294817292</v>
          </cell>
          <cell r="L185">
            <v>1.0486876743910878</v>
          </cell>
          <cell r="M185">
            <v>1</v>
          </cell>
          <cell r="N185">
            <v>1.0149058498719528</v>
          </cell>
          <cell r="O185">
            <v>0.95713835020516935</v>
          </cell>
          <cell r="P185">
            <v>0.97471694806389242</v>
          </cell>
          <cell r="Q185">
            <v>0.99361325314560611</v>
          </cell>
          <cell r="R185">
            <v>0.97414332763156763</v>
          </cell>
          <cell r="S185">
            <v>0.98940747132183116</v>
          </cell>
          <cell r="T185">
            <v>0.9993649593786168</v>
          </cell>
          <cell r="U185">
            <v>1.0294388834084502</v>
          </cell>
          <cell r="V185">
            <v>0.98286584742190786</v>
          </cell>
          <cell r="W185">
            <v>1.0122577836904025</v>
          </cell>
          <cell r="X185">
            <v>1.0055840679996824</v>
          </cell>
          <cell r="Y185">
            <v>0.9342423974068067</v>
          </cell>
          <cell r="Z185">
            <v>0.99116902188525435</v>
          </cell>
        </row>
        <row r="186">
          <cell r="C186">
            <v>1.0332128525162558</v>
          </cell>
          <cell r="D186">
            <v>0.99016290460729051</v>
          </cell>
          <cell r="E186">
            <v>0.97854790203299158</v>
          </cell>
          <cell r="F186">
            <v>0.96437098944024569</v>
          </cell>
          <cell r="G186">
            <v>0.95133465848165322</v>
          </cell>
          <cell r="H186">
            <v>1.0276819794897336</v>
          </cell>
          <cell r="I186">
            <v>1.0344941747354324</v>
          </cell>
          <cell r="J186">
            <v>0.97226459454913783</v>
          </cell>
          <cell r="K186">
            <v>0.97448559352230502</v>
          </cell>
          <cell r="L186">
            <v>1.0332856732704785</v>
          </cell>
          <cell r="M186">
            <v>0.98531307128258916</v>
          </cell>
          <cell r="N186">
            <v>1</v>
          </cell>
          <cell r="O186">
            <v>0.94308092748300576</v>
          </cell>
          <cell r="P186">
            <v>0.96040134972802571</v>
          </cell>
          <cell r="Q186">
            <v>0.97902012612398193</v>
          </cell>
          <cell r="R186">
            <v>0.95983615401810141</v>
          </cell>
          <cell r="S186">
            <v>0.97487611431805365</v>
          </cell>
          <cell r="T186">
            <v>0.98468735745754488</v>
          </cell>
          <cell r="U186">
            <v>1.0143195879088993</v>
          </cell>
          <cell r="V186">
            <v>0.96843056678204464</v>
          </cell>
          <cell r="W186">
            <v>0.99739082577769722</v>
          </cell>
          <cell r="X186">
            <v>0.99081512647360692</v>
          </cell>
          <cell r="Y186">
            <v>0.92052124591130979</v>
          </cell>
          <cell r="Z186">
            <v>0.97661179311391977</v>
          </cell>
        </row>
        <row r="187">
          <cell r="C187">
            <v>1.0955717822369746</v>
          </cell>
          <cell r="D187">
            <v>1.0499235810546419</v>
          </cell>
          <cell r="E187">
            <v>1.0376075621046053</v>
          </cell>
          <cell r="F187">
            <v>1.0225750106240206</v>
          </cell>
          <cell r="G187">
            <v>1.0087518798844506</v>
          </cell>
          <cell r="H187">
            <v>1.0897070967520466</v>
          </cell>
          <cell r="I187">
            <v>1.0969304378749341</v>
          </cell>
          <cell r="J187">
            <v>1.0309450294409204</v>
          </cell>
          <cell r="K187">
            <v>1.0333000754485784</v>
          </cell>
          <cell r="L187">
            <v>1.0956489980432758</v>
          </cell>
          <cell r="M187">
            <v>1.0447810390061614</v>
          </cell>
          <cell r="N187">
            <v>1.0603543883226501</v>
          </cell>
          <cell r="O187">
            <v>1</v>
          </cell>
          <cell r="P187">
            <v>1.0183657857351081</v>
          </cell>
          <cell r="Q187">
            <v>1.0381082869917584</v>
          </cell>
          <cell r="R187">
            <v>1.0177664779838287</v>
          </cell>
          <cell r="S187">
            <v>1.0337141658880815</v>
          </cell>
          <cell r="T187">
            <v>1.0441175606059416</v>
          </cell>
          <cell r="U187">
            <v>1.0755382262008233</v>
          </cell>
          <cell r="V187">
            <v>1.026879601273132</v>
          </cell>
          <cell r="W187">
            <v>1.0575877389861328</v>
          </cell>
          <cell r="X187">
            <v>1.0506151673727506</v>
          </cell>
          <cell r="Y187">
            <v>0.97607874264629058</v>
          </cell>
          <cell r="Z187">
            <v>1.0355546005159968</v>
          </cell>
        </row>
        <row r="188">
          <cell r="C188">
            <v>1.0758136198047299</v>
          </cell>
          <cell r="D188">
            <v>1.0309886641534738</v>
          </cell>
          <cell r="E188">
            <v>1.0188947592692417</v>
          </cell>
          <cell r="F188">
            <v>1.0041333133417025</v>
          </cell>
          <cell r="G188">
            <v>0.9905594767760999</v>
          </cell>
          <cell r="H188">
            <v>1.0700547013816264</v>
          </cell>
          <cell r="I188">
            <v>1.0771477726769012</v>
          </cell>
          <cell r="J188">
            <v>1.0123523824955802</v>
          </cell>
          <cell r="K188">
            <v>1.0146649562688221</v>
          </cell>
          <cell r="L188">
            <v>1.0758894430574184</v>
          </cell>
          <cell r="M188">
            <v>1.025938865622813</v>
          </cell>
          <cell r="N188">
            <v>1.041231356331588</v>
          </cell>
          <cell r="O188">
            <v>0.9819654332535821</v>
          </cell>
          <cell r="P188">
            <v>1</v>
          </cell>
          <cell r="Q188">
            <v>1.0193864537999959</v>
          </cell>
          <cell r="R188">
            <v>0.99941150050436267</v>
          </cell>
          <cell r="S188">
            <v>1.0150715787666553</v>
          </cell>
          <cell r="T188">
            <v>1.0252873527680866</v>
          </cell>
          <cell r="U188">
            <v>1.0561413602720806</v>
          </cell>
          <cell r="V188">
            <v>1.0083602725634369</v>
          </cell>
          <cell r="W188">
            <v>1.0385146023171943</v>
          </cell>
          <cell r="X188">
            <v>1.0316677780119676</v>
          </cell>
          <cell r="Y188">
            <v>0.9584755854122764</v>
          </cell>
          <cell r="Z188">
            <v>1.0168788219534308</v>
          </cell>
        </row>
        <row r="189">
          <cell r="C189">
            <v>1.0553540473236511</v>
          </cell>
          <cell r="D189">
            <v>1.0113815622232647</v>
          </cell>
          <cell r="E189">
            <v>0.99951765640114065</v>
          </cell>
          <cell r="F189">
            <v>0.98503694020905042</v>
          </cell>
          <cell r="G189">
            <v>0.9717212477010686</v>
          </cell>
          <cell r="H189">
            <v>1.0497046506678138</v>
          </cell>
          <cell r="I189">
            <v>1.056662827587699</v>
          </cell>
          <cell r="J189">
            <v>0.99309970102290979</v>
          </cell>
          <cell r="K189">
            <v>0.99536829480755473</v>
          </cell>
          <cell r="L189">
            <v>1.0554284285874063</v>
          </cell>
          <cell r="M189">
            <v>1.0064277995831623</v>
          </cell>
          <cell r="N189">
            <v>1.0214294612707087</v>
          </cell>
          <cell r="O189">
            <v>0.96329064369364681</v>
          </cell>
          <cell r="P189">
            <v>0.98098223325635869</v>
          </cell>
          <cell r="Q189">
            <v>1</v>
          </cell>
          <cell r="R189">
            <v>0.98040492570685822</v>
          </cell>
          <cell r="S189">
            <v>0.99576718425357125</v>
          </cell>
          <cell r="T189">
            <v>1.0057886770479376</v>
          </cell>
          <cell r="U189">
            <v>1.0360559102341143</v>
          </cell>
          <cell r="V189">
            <v>0.98918351210627076</v>
          </cell>
          <cell r="W189">
            <v>1.0187643738504604</v>
          </cell>
          <cell r="X189">
            <v>1.0120477608528053</v>
          </cell>
          <cell r="Y189">
            <v>0.94024752029943071</v>
          </cell>
          <cell r="Z189">
            <v>0.99754005771097176</v>
          </cell>
        </row>
        <row r="190">
          <cell r="C190">
            <v>1.0764471083850948</v>
          </cell>
          <cell r="D190">
            <v>1.0315957577366035</v>
          </cell>
          <cell r="E190">
            <v>1.0194947314044782</v>
          </cell>
          <cell r="F190">
            <v>1.0047245932580893</v>
          </cell>
          <cell r="G190">
            <v>0.99114276379269639</v>
          </cell>
          <cell r="H190">
            <v>1.0706847988457338</v>
          </cell>
          <cell r="I190">
            <v>1.0777820468678898</v>
          </cell>
          <cell r="J190">
            <v>1.0129485021782187</v>
          </cell>
          <cell r="K190">
            <v>1.0152624377013491</v>
          </cell>
          <cell r="L190">
            <v>1.0765229762860047</v>
          </cell>
          <cell r="M190">
            <v>1.0265429856521191</v>
          </cell>
          <cell r="N190">
            <v>1.0418444812833558</v>
          </cell>
          <cell r="O190">
            <v>0.98254365970175817</v>
          </cell>
          <cell r="P190">
            <v>1.0005888460312298</v>
          </cell>
          <cell r="Q190">
            <v>1.0199867154676054</v>
          </cell>
          <cell r="R190">
            <v>1</v>
          </cell>
          <cell r="S190">
            <v>1.0156692996372261</v>
          </cell>
          <cell r="T190">
            <v>1.0258910891566342</v>
          </cell>
          <cell r="U190">
            <v>1.0567632649204943</v>
          </cell>
          <cell r="V190">
            <v>1.0089540415079854</v>
          </cell>
          <cell r="W190">
            <v>1.0391261275191428</v>
          </cell>
          <cell r="X190">
            <v>1.0322752714885977</v>
          </cell>
          <cell r="Y190">
            <v>0.95903997995677692</v>
          </cell>
          <cell r="Z190">
            <v>1.0174776070119798</v>
          </cell>
        </row>
        <row r="191">
          <cell r="C191">
            <v>1.0598401554222199</v>
          </cell>
          <cell r="D191">
            <v>1.0156807517024153</v>
          </cell>
          <cell r="E191">
            <v>1.003766414686964</v>
          </cell>
          <cell r="F191">
            <v>0.98922414374142653</v>
          </cell>
          <cell r="G191">
            <v>0.97585184877273545</v>
          </cell>
          <cell r="H191">
            <v>1.0541667442622888</v>
          </cell>
          <cell r="I191">
            <v>1.0611544990607169</v>
          </cell>
          <cell r="J191">
            <v>0.99732117780858476</v>
          </cell>
          <cell r="K191">
            <v>0.99959941495128146</v>
          </cell>
          <cell r="L191">
            <v>1.0599148528664932</v>
          </cell>
          <cell r="M191">
            <v>1.0107059315653009</v>
          </cell>
          <cell r="N191">
            <v>1.0257713624459053</v>
          </cell>
          <cell r="O191">
            <v>0.96738540788099081</v>
          </cell>
          <cell r="P191">
            <v>0.98515220100540324</v>
          </cell>
          <cell r="Q191">
            <v>1.004250808636159</v>
          </cell>
          <cell r="R191">
            <v>0.98457243943198558</v>
          </cell>
          <cell r="S191">
            <v>1</v>
          </cell>
          <cell r="T191">
            <v>1.0100640922424839</v>
          </cell>
          <cell r="U191">
            <v>1.0404599856448808</v>
          </cell>
          <cell r="V191">
            <v>0.9933883419222781</v>
          </cell>
          <cell r="W191">
            <v>1.0230949462490351</v>
          </cell>
          <cell r="X191">
            <v>1.0163497822148437</v>
          </cell>
          <cell r="Y191">
            <v>0.94424433257884643</v>
          </cell>
          <cell r="Z191">
            <v>1.0017804096032041</v>
          </cell>
        </row>
        <row r="192">
          <cell r="C192">
            <v>1.0492801036706751</v>
          </cell>
          <cell r="D192">
            <v>1.0055606961014341</v>
          </cell>
          <cell r="E192">
            <v>0.99376507134162329</v>
          </cell>
          <cell r="F192">
            <v>0.97936769690051073</v>
          </cell>
          <cell r="G192">
            <v>0.9661286410114901</v>
          </cell>
          <cell r="H192">
            <v>1.0436632213327086</v>
          </cell>
          <cell r="I192">
            <v>1.0505813514316751</v>
          </cell>
          <cell r="J192">
            <v>0.98738405361425319</v>
          </cell>
          <cell r="K192">
            <v>0.98963959082243047</v>
          </cell>
          <cell r="L192">
            <v>1.0493540568433966</v>
          </cell>
          <cell r="M192">
            <v>1.0006354441542338</v>
          </cell>
          <cell r="N192">
            <v>1.0155507658613514</v>
          </cell>
          <cell r="O192">
            <v>0.95774655817460008</v>
          </cell>
          <cell r="P192">
            <v>0.97533632625057209</v>
          </cell>
          <cell r="Q192">
            <v>0.9942446388788867</v>
          </cell>
          <cell r="R192">
            <v>0.97476234131449691</v>
          </cell>
          <cell r="S192">
            <v>0.9900361845156378</v>
          </cell>
          <cell r="T192">
            <v>1</v>
          </cell>
          <cell r="U192">
            <v>1.0300930343290531</v>
          </cell>
          <cell r="V192">
            <v>0.98349040377904806</v>
          </cell>
          <cell r="W192">
            <v>1.0129010169816262</v>
          </cell>
          <cell r="X192">
            <v>1.0062230605172833</v>
          </cell>
          <cell r="Y192">
            <v>0.93483605627687605</v>
          </cell>
          <cell r="Z192">
            <v>0.99179885444606897</v>
          </cell>
        </row>
        <row r="193">
          <cell r="C193">
            <v>1.0186265402271353</v>
          </cell>
          <cell r="D193">
            <v>0.97618434703463652</v>
          </cell>
          <cell r="E193">
            <v>0.96473331847050892</v>
          </cell>
          <cell r="F193">
            <v>0.95075654747866334</v>
          </cell>
          <cell r="G193">
            <v>0.93790425603719774</v>
          </cell>
          <cell r="H193">
            <v>1.0131737489250128</v>
          </cell>
          <cell r="I193">
            <v>1.0198897734668859</v>
          </cell>
          <cell r="J193">
            <v>0.95853871515341504</v>
          </cell>
          <cell r="K193">
            <v>0.96072835932438683</v>
          </cell>
          <cell r="L193">
            <v>1.0186983329393049</v>
          </cell>
          <cell r="M193">
            <v>0.97140298090258759</v>
          </cell>
          <cell r="N193">
            <v>0.98588256790108897</v>
          </cell>
          <cell r="O193">
            <v>0.92976704652548636</v>
          </cell>
          <cell r="P193">
            <v>0.94684294888553777</v>
          </cell>
          <cell r="Q193">
            <v>0.96519887596995924</v>
          </cell>
          <cell r="R193">
            <v>0.94628573228767088</v>
          </cell>
          <cell r="S193">
            <v>0.96111336696931826</v>
          </cell>
          <cell r="T193">
            <v>0.97078610054998182</v>
          </cell>
          <cell r="U193">
            <v>1</v>
          </cell>
          <cell r="V193">
            <v>0.95475881401298912</v>
          </cell>
          <cell r="W193">
            <v>0.98331022851870376</v>
          </cell>
          <cell r="X193">
            <v>0.97682736120304181</v>
          </cell>
          <cell r="Y193">
            <v>0.90752584972655193</v>
          </cell>
          <cell r="Z193">
            <v>0.96282454243763826</v>
          </cell>
        </row>
        <row r="194">
          <cell r="C194">
            <v>1.0668940943793972</v>
          </cell>
          <cell r="D194">
            <v>1.0224407805481186</v>
          </cell>
          <cell r="E194">
            <v>1.0104471457200752</v>
          </cell>
          <cell r="F194">
            <v>0.99580808631919959</v>
          </cell>
          <cell r="G194">
            <v>0.9823467898610444</v>
          </cell>
          <cell r="H194">
            <v>1.0611829229064638</v>
          </cell>
          <cell r="I194">
            <v>1.0682171858462788</v>
          </cell>
          <cell r="J194">
            <v>1.0039590115167814</v>
          </cell>
          <cell r="K194">
            <v>1.006252411838239</v>
          </cell>
          <cell r="L194">
            <v>1.06696928898469</v>
          </cell>
          <cell r="M194">
            <v>1.0174328496844567</v>
          </cell>
          <cell r="N194">
            <v>1.0325985509966462</v>
          </cell>
          <cell r="O194">
            <v>0.97382399919152485</v>
          </cell>
          <cell r="P194">
            <v>0.99170904210438249</v>
          </cell>
          <cell r="Q194">
            <v>1.0109347636321775</v>
          </cell>
          <cell r="R194">
            <v>0.99112542183328511</v>
          </cell>
          <cell r="S194">
            <v>1.006655663046063</v>
          </cell>
          <cell r="T194">
            <v>1.0167867384953773</v>
          </cell>
          <cell r="U194">
            <v>1.0473849367222448</v>
          </cell>
          <cell r="V194">
            <v>1</v>
          </cell>
          <cell r="W194">
            <v>1.0299043214753985</v>
          </cell>
          <cell r="X194">
            <v>1.0231142639022053</v>
          </cell>
          <cell r="Y194">
            <v>0.9505289046896459</v>
          </cell>
          <cell r="Z194">
            <v>1.0084479224556699</v>
          </cell>
        </row>
        <row r="195">
          <cell r="C195">
            <v>1.0359157371541161</v>
          </cell>
          <cell r="D195">
            <v>0.99275317058910095</v>
          </cell>
          <cell r="E195">
            <v>0.98110778317013969</v>
          </cell>
          <cell r="F195">
            <v>0.96689378377658031</v>
          </cell>
          <cell r="G195">
            <v>0.9538233497785259</v>
          </cell>
          <cell r="H195">
            <v>1.0303703953647432</v>
          </cell>
          <cell r="I195">
            <v>1.0372004113119895</v>
          </cell>
          <cell r="J195">
            <v>0.97480803855502918</v>
          </cell>
          <cell r="K195">
            <v>0.97703484766111393</v>
          </cell>
          <cell r="L195">
            <v>1.0359887484074188</v>
          </cell>
          <cell r="M195">
            <v>0.98789065010128729</v>
          </cell>
          <cell r="N195">
            <v>1.0026159998216029</v>
          </cell>
          <cell r="O195">
            <v>0.94554802702105833</v>
          </cell>
          <cell r="P195">
            <v>0.9629137594875814</v>
          </cell>
          <cell r="Q195">
            <v>0.98158124259926782</v>
          </cell>
          <cell r="R195">
            <v>0.96234708522578072</v>
          </cell>
          <cell r="S195">
            <v>0.97742639005919463</v>
          </cell>
          <cell r="T195">
            <v>0.98726329940898838</v>
          </cell>
          <cell r="U195">
            <v>1.0169730477699173</v>
          </cell>
          <cell r="V195">
            <v>0.97096398097198122</v>
          </cell>
          <cell r="W195">
            <v>1</v>
          </cell>
          <cell r="X195">
            <v>0.99340709866770327</v>
          </cell>
          <cell r="Y195">
            <v>0.92292932932639549</v>
          </cell>
          <cell r="Z195">
            <v>0.97916660939048106</v>
          </cell>
        </row>
        <row r="196">
          <cell r="C196">
            <v>1.0427907537035146</v>
          </cell>
          <cell r="D196">
            <v>0.99934173202559207</v>
          </cell>
          <cell r="E196">
            <v>0.98761905817458051</v>
          </cell>
          <cell r="F196">
            <v>0.97331072535450869</v>
          </cell>
          <cell r="G196">
            <v>0.96015354738025849</v>
          </cell>
          <cell r="H196">
            <v>1.0372086093874431</v>
          </cell>
          <cell r="I196">
            <v>1.0440839538020406</v>
          </cell>
          <cell r="J196">
            <v>0.98127750432061733</v>
          </cell>
          <cell r="K196">
            <v>0.98351909199305421</v>
          </cell>
          <cell r="L196">
            <v>1.0428642495074008</v>
          </cell>
          <cell r="M196">
            <v>0.99444694066127137</v>
          </cell>
          <cell r="N196">
            <v>1.0092700174643909</v>
          </cell>
          <cell r="O196">
            <v>0.95182330415110727</v>
          </cell>
          <cell r="P196">
            <v>0.96930428701282911</v>
          </cell>
          <cell r="Q196">
            <v>0.98809565979114145</v>
          </cell>
          <cell r="R196">
            <v>0.96873385192880301</v>
          </cell>
          <cell r="S196">
            <v>0.98391323292339961</v>
          </cell>
          <cell r="T196">
            <v>0.99381542645814125</v>
          </cell>
          <cell r="U196">
            <v>1.0237223482032887</v>
          </cell>
          <cell r="V196">
            <v>0.97740793504916412</v>
          </cell>
          <cell r="W196">
            <v>1.0066366561514797</v>
          </cell>
          <cell r="X196">
            <v>1</v>
          </cell>
          <cell r="Y196">
            <v>0.92905449393725059</v>
          </cell>
          <cell r="Z196">
            <v>0.98566500149201597</v>
          </cell>
        </row>
        <row r="197">
          <cell r="C197">
            <v>1.1224215161849762</v>
          </cell>
          <cell r="D197">
            <v>1.0756545913582209</v>
          </cell>
          <cell r="E197">
            <v>1.0630367374782705</v>
          </cell>
          <cell r="F197">
            <v>1.0476357756257162</v>
          </cell>
          <cell r="G197">
            <v>1.0334738744023646</v>
          </cell>
          <cell r="H197">
            <v>1.1164131018750527</v>
          </cell>
          <cell r="I197">
            <v>1.1238134690865176</v>
          </cell>
          <cell r="J197">
            <v>1.0562109227436705</v>
          </cell>
          <cell r="K197">
            <v>1.0586236850596218</v>
          </cell>
          <cell r="L197">
            <v>1.1225006243582489</v>
          </cell>
          <cell r="M197">
            <v>1.0703860184206133</v>
          </cell>
          <cell r="N197">
            <v>1.0863410317162281</v>
          </cell>
          <cell r="O197">
            <v>1.0245075077537857</v>
          </cell>
          <cell r="P197">
            <v>1.0433233931252015</v>
          </cell>
          <cell r="Q197">
            <v>1.0635497338844782</v>
          </cell>
          <cell r="R197">
            <v>1.0427093978345607</v>
          </cell>
          <cell r="S197">
            <v>1.059047923823782</v>
          </cell>
          <cell r="T197">
            <v>1.0697062798183556</v>
          </cell>
          <cell r="U197">
            <v>1.1018969876189331</v>
          </cell>
          <cell r="V197">
            <v>1.0520458610635379</v>
          </cell>
          <cell r="W197">
            <v>1.0835065786996443</v>
          </cell>
          <cell r="X197">
            <v>1.0763631267333831</v>
          </cell>
          <cell r="Y197">
            <v>1</v>
          </cell>
          <cell r="Z197">
            <v>1.060933462917611</v>
          </cell>
        </row>
        <row r="198">
          <cell r="C198">
            <v>1.0579565594040841</v>
          </cell>
          <cell r="D198">
            <v>1.0138756377804563</v>
          </cell>
          <cell r="E198">
            <v>1.0019824754654032</v>
          </cell>
          <cell r="F198">
            <v>0.98746604970369611</v>
          </cell>
          <cell r="G198">
            <v>0.97411752058443757</v>
          </cell>
          <cell r="H198">
            <v>1.0522932312879172</v>
          </cell>
          <cell r="I198">
            <v>1.0592685671314239</v>
          </cell>
          <cell r="J198">
            <v>0.99554869335447926</v>
          </cell>
          <cell r="K198">
            <v>0.99782288151074305</v>
          </cell>
          <cell r="L198">
            <v>1.0580311240926699</v>
          </cell>
          <cell r="M198">
            <v>1.0089096591194393</v>
          </cell>
          <cell r="N198">
            <v>1.0239483150326365</v>
          </cell>
          <cell r="O198">
            <v>0.96566612663563989</v>
          </cell>
          <cell r="P198">
            <v>0.98340134380908184</v>
          </cell>
          <cell r="Q198">
            <v>1.0024660085276906</v>
          </cell>
          <cell r="R198">
            <v>0.98282261261424109</v>
          </cell>
          <cell r="S198">
            <v>0.99822275462153498</v>
          </cell>
          <cell r="T198">
            <v>1.0082689605025925</v>
          </cell>
          <cell r="U198">
            <v>1.0386108329439157</v>
          </cell>
          <cell r="V198">
            <v>0.99162284708257575</v>
          </cell>
          <cell r="W198">
            <v>1.0212766554840831</v>
          </cell>
          <cell r="X198">
            <v>1.0145434792614985</v>
          </cell>
          <cell r="Y198">
            <v>0.94256617870262893</v>
          </cell>
          <cell r="Z198">
            <v>1</v>
          </cell>
        </row>
        <row r="203">
          <cell r="C203">
            <v>1</v>
          </cell>
          <cell r="D203">
            <v>1.0076977705605525</v>
          </cell>
          <cell r="E203">
            <v>0.97661332855783334</v>
          </cell>
          <cell r="F203">
            <v>0.94400219085692305</v>
          </cell>
          <cell r="G203">
            <v>0.99637744537748052</v>
          </cell>
          <cell r="H203">
            <v>0.98469053101602522</v>
          </cell>
          <cell r="I203">
            <v>0.95543472938528007</v>
          </cell>
          <cell r="J203">
            <v>0.95234486519312878</v>
          </cell>
          <cell r="K203">
            <v>0.94054683441230502</v>
          </cell>
          <cell r="L203">
            <v>0.94054683441230502</v>
          </cell>
          <cell r="M203">
            <v>0.96588245907501902</v>
          </cell>
          <cell r="N203">
            <v>0.97826547084175153</v>
          </cell>
          <cell r="O203">
            <v>0.913270278038668</v>
          </cell>
          <cell r="P203">
            <v>0.94408463607919291</v>
          </cell>
          <cell r="Q203">
            <v>0.96244427295500823</v>
          </cell>
          <cell r="R203">
            <v>0.90810801951860276</v>
          </cell>
          <cell r="S203">
            <v>0.95638056287306883</v>
          </cell>
          <cell r="T203">
            <v>0.96010796843593738</v>
          </cell>
          <cell r="U203">
            <v>1.0153822895624991</v>
          </cell>
          <cell r="V203">
            <v>0.91297290633017469</v>
          </cell>
          <cell r="W203">
            <v>0.88792512345385477</v>
          </cell>
          <cell r="X203">
            <v>0.87658065317070577</v>
          </cell>
          <cell r="Y203">
            <v>0.88966880841587681</v>
          </cell>
          <cell r="Z203">
            <v>0.95111690167634211</v>
          </cell>
        </row>
        <row r="204">
          <cell r="C204">
            <v>0.99236103245889828</v>
          </cell>
          <cell r="D204">
            <v>1</v>
          </cell>
          <cell r="E204">
            <v>0.96915301104077278</v>
          </cell>
          <cell r="F204">
            <v>0.9367909887622381</v>
          </cell>
          <cell r="G204">
            <v>0.98876615041355609</v>
          </cell>
          <cell r="H204">
            <v>0.97716851201156363</v>
          </cell>
          <cell r="I204">
            <v>0.94813619449986464</v>
          </cell>
          <cell r="J204">
            <v>0.94506993367998371</v>
          </cell>
          <cell r="K204">
            <v>0.93336202767334342</v>
          </cell>
          <cell r="L204">
            <v>0.93336202767334342</v>
          </cell>
          <cell r="M204">
            <v>0.95850411432162552</v>
          </cell>
          <cell r="N204">
            <v>0.97079253266341092</v>
          </cell>
          <cell r="O204">
            <v>0.90629383602847768</v>
          </cell>
          <cell r="P204">
            <v>0.93687280418813113</v>
          </cell>
          <cell r="Q204">
            <v>0.95509219239378562</v>
          </cell>
          <cell r="R204">
            <v>0.90117101183368598</v>
          </cell>
          <cell r="S204">
            <v>0.94907480279634093</v>
          </cell>
          <cell r="T204">
            <v>0.95277373482910221</v>
          </cell>
          <cell r="U204">
            <v>1.0076258172107215</v>
          </cell>
          <cell r="V204">
            <v>0.90599873593281322</v>
          </cell>
          <cell r="W204">
            <v>0.88114229225686214</v>
          </cell>
          <cell r="X204">
            <v>0.86988448201397706</v>
          </cell>
          <cell r="Y204">
            <v>0.88287265726605735</v>
          </cell>
          <cell r="Z204">
            <v>0.94385135053664326</v>
          </cell>
        </row>
        <row r="205">
          <cell r="C205">
            <v>1.0239467051680544</v>
          </cell>
          <cell r="D205">
            <v>1.0318288119706718</v>
          </cell>
          <cell r="E205">
            <v>1</v>
          </cell>
          <cell r="F205">
            <v>0.9666079329993712</v>
          </cell>
          <cell r="G205">
            <v>1.0202374022980343</v>
          </cell>
          <cell r="H205">
            <v>1.008270624844041</v>
          </cell>
          <cell r="I205">
            <v>0.97831424315718918</v>
          </cell>
          <cell r="J205">
            <v>0.9751503868982192</v>
          </cell>
          <cell r="K205">
            <v>0.96306983215272324</v>
          </cell>
          <cell r="L205">
            <v>0.96306983215272324</v>
          </cell>
          <cell r="M205">
            <v>0.98901216154948379</v>
          </cell>
          <cell r="N205">
            <v>1.001691705648087</v>
          </cell>
          <cell r="O205">
            <v>0.935140092125607</v>
          </cell>
          <cell r="P205">
            <v>0.96669235251307117</v>
          </cell>
          <cell r="Q205">
            <v>0.98549164220014418</v>
          </cell>
          <cell r="R205">
            <v>0.92985421452276051</v>
          </cell>
          <cell r="S205">
            <v>0.97928272624064816</v>
          </cell>
          <cell r="T205">
            <v>0.98309939088557241</v>
          </cell>
          <cell r="U205">
            <v>1.0396973498835163</v>
          </cell>
          <cell r="V205">
            <v>0.93483559934448501</v>
          </cell>
          <cell r="W205">
            <v>0.9091880045965125</v>
          </cell>
          <cell r="X205">
            <v>0.89757187162820518</v>
          </cell>
          <cell r="Y205">
            <v>0.91097344506822608</v>
          </cell>
          <cell r="Z205">
            <v>0.97389301770113879</v>
          </cell>
        </row>
        <row r="206">
          <cell r="C206">
            <v>1.0593195754050577</v>
          </cell>
          <cell r="D206">
            <v>1.0674739744468278</v>
          </cell>
          <cell r="E206">
            <v>1.0345456165428042</v>
          </cell>
          <cell r="F206">
            <v>1</v>
          </cell>
          <cell r="G206">
            <v>1.0554821323804489</v>
          </cell>
          <cell r="H206">
            <v>1.0431019552212766</v>
          </cell>
          <cell r="I206">
            <v>1.0121107118596611</v>
          </cell>
          <cell r="J206">
            <v>1.0088375582355722</v>
          </cell>
          <cell r="K206">
            <v>0.99633967327821404</v>
          </cell>
          <cell r="L206">
            <v>0.99633967327821404</v>
          </cell>
          <cell r="M206">
            <v>1.0231781964385422</v>
          </cell>
          <cell r="N206">
            <v>1.0362957632055132</v>
          </cell>
          <cell r="O206">
            <v>0.96744508316198075</v>
          </cell>
          <cell r="P206">
            <v>1.000087335837849</v>
          </cell>
          <cell r="Q206">
            <v>1.0195360585777287</v>
          </cell>
          <cell r="R206">
            <v>0.96197660165837418</v>
          </cell>
          <cell r="S206">
            <v>1.0131126517883495</v>
          </cell>
          <cell r="T206">
            <v>1.0170611654665698</v>
          </cell>
          <cell r="U206">
            <v>1.0756143358531618</v>
          </cell>
          <cell r="V206">
            <v>0.96713007149000219</v>
          </cell>
          <cell r="W206">
            <v>0.94059646476862091</v>
          </cell>
          <cell r="X206">
            <v>0.92857904532508018</v>
          </cell>
          <cell r="Y206">
            <v>0.9424435843822303</v>
          </cell>
          <cell r="Z206">
            <v>1.0075367524443568</v>
          </cell>
        </row>
        <row r="207">
          <cell r="C207">
            <v>1.0036357252357786</v>
          </cell>
          <cell r="D207">
            <v>1.0113614827750175</v>
          </cell>
          <cell r="E207">
            <v>0.98016402628206878</v>
          </cell>
          <cell r="F207">
            <v>0.94743432344485179</v>
          </cell>
          <cell r="G207">
            <v>1</v>
          </cell>
          <cell r="H207">
            <v>0.98827059522907235</v>
          </cell>
          <cell r="I207">
            <v>0.95890842754204542</v>
          </cell>
          <cell r="J207">
            <v>0.95580732945267566</v>
          </cell>
          <cell r="K207">
            <v>0.94396640427360945</v>
          </cell>
          <cell r="L207">
            <v>0.94396640427360945</v>
          </cell>
          <cell r="M207">
            <v>0.96939414230627396</v>
          </cell>
          <cell r="N207">
            <v>0.98182217530138172</v>
          </cell>
          <cell r="O207">
            <v>0.91659067783561965</v>
          </cell>
          <cell r="P207">
            <v>0.94751706841529681</v>
          </cell>
          <cell r="Q207">
            <v>0.96594345588622121</v>
          </cell>
          <cell r="R207">
            <v>0.91140965076197944</v>
          </cell>
          <cell r="S207">
            <v>0.95985769982051461</v>
          </cell>
          <cell r="T207">
            <v>0.96359865720585203</v>
          </cell>
          <cell r="U207">
            <v>1.019073940576624</v>
          </cell>
          <cell r="V207">
            <v>0.91629222496530138</v>
          </cell>
          <cell r="W207">
            <v>0.89115337523267779</v>
          </cell>
          <cell r="X207">
            <v>0.8797676595726337</v>
          </cell>
          <cell r="Y207">
            <v>0.89290339975411948</v>
          </cell>
          <cell r="Z207">
            <v>0.95457490139794221</v>
          </cell>
        </row>
        <row r="208">
          <cell r="C208">
            <v>1.01554749284344</v>
          </cell>
          <cell r="D208">
            <v>1.0233649444366932</v>
          </cell>
          <cell r="E208">
            <v>0.99179721729439441</v>
          </cell>
          <cell r="F208">
            <v>0.95867905816346277</v>
          </cell>
          <cell r="G208">
            <v>1.011868616578852</v>
          </cell>
          <cell r="H208">
            <v>1</v>
          </cell>
          <cell r="I208">
            <v>0.97028934400277167</v>
          </cell>
          <cell r="J208">
            <v>0.96715144016920584</v>
          </cell>
          <cell r="K208">
            <v>0.95516997958925043</v>
          </cell>
          <cell r="L208">
            <v>0.95516997958925043</v>
          </cell>
          <cell r="M208">
            <v>0.9808995096950921</v>
          </cell>
          <cell r="N208">
            <v>0.99347504624864813</v>
          </cell>
          <cell r="O208">
            <v>0.92746934115060065</v>
          </cell>
          <cell r="P208">
            <v>0.95876278520223579</v>
          </cell>
          <cell r="Q208">
            <v>0.97740786840098604</v>
          </cell>
          <cell r="R208">
            <v>0.92222682245313869</v>
          </cell>
          <cell r="S208">
            <v>0.97124988282994307</v>
          </cell>
          <cell r="T208">
            <v>0.9750352402041248</v>
          </cell>
          <cell r="U208">
            <v>1.0311689384428278</v>
          </cell>
          <cell r="V208">
            <v>0.92716734605759765</v>
          </cell>
          <cell r="W208">
            <v>0.90173013295626414</v>
          </cell>
          <cell r="X208">
            <v>0.89020928460257531</v>
          </cell>
          <cell r="Y208">
            <v>0.90350092784775449</v>
          </cell>
          <cell r="Z208">
            <v>0.96590438489842978</v>
          </cell>
        </row>
        <row r="209">
          <cell r="C209">
            <v>1.046643971842423</v>
          </cell>
          <cell r="D209">
            <v>1.0547007969962514</v>
          </cell>
          <cell r="E209">
            <v>1.0221664531560199</v>
          </cell>
          <cell r="F209">
            <v>0.98803420246643892</v>
          </cell>
          <cell r="G209">
            <v>1.042852446884093</v>
          </cell>
          <cell r="H209">
            <v>1.0306204084182371</v>
          </cell>
          <cell r="I209">
            <v>1</v>
          </cell>
          <cell r="J209">
            <v>0.99676601226947315</v>
          </cell>
          <cell r="K209">
            <v>0.98441767447311257</v>
          </cell>
          <cell r="L209">
            <v>0.98441767447311257</v>
          </cell>
          <cell r="M209">
            <v>1.0109350532992043</v>
          </cell>
          <cell r="N209">
            <v>1.0238956579181089</v>
          </cell>
          <cell r="O209">
            <v>0.95586883117202537</v>
          </cell>
          <cell r="P209">
            <v>0.98812049326133489</v>
          </cell>
          <cell r="Q209">
            <v>1.0073364965226228</v>
          </cell>
          <cell r="R209">
            <v>0.9504657844109069</v>
          </cell>
          <cell r="S209">
            <v>1.0009899509183608</v>
          </cell>
          <cell r="T209">
            <v>1.0048912174813491</v>
          </cell>
          <cell r="U209">
            <v>1.0627437524861472</v>
          </cell>
          <cell r="V209">
            <v>0.95555758886593434</v>
          </cell>
          <cell r="W209">
            <v>0.92934147791041632</v>
          </cell>
          <cell r="X209">
            <v>0.91746785647481288</v>
          </cell>
          <cell r="Y209">
            <v>0.93116649526470896</v>
          </cell>
          <cell r="Z209">
            <v>0.9954807716569859</v>
          </cell>
        </row>
        <row r="210">
          <cell r="C210">
            <v>1.0500397876321905</v>
          </cell>
          <cell r="D210">
            <v>1.0581227529968344</v>
          </cell>
          <cell r="E210">
            <v>1.025482852117634</v>
          </cell>
          <cell r="F210">
            <v>0.99123986001172593</v>
          </cell>
          <cell r="G210">
            <v>1.046235961145674</v>
          </cell>
          <cell r="H210">
            <v>1.033964236071496</v>
          </cell>
          <cell r="I210">
            <v>1.0032444803401388</v>
          </cell>
          <cell r="J210">
            <v>1</v>
          </cell>
          <cell r="K210">
            <v>0.98761159826442568</v>
          </cell>
          <cell r="L210">
            <v>0.98761159826442568</v>
          </cell>
          <cell r="M210">
            <v>1.0142150122047908</v>
          </cell>
          <cell r="N210">
            <v>1.0272176672505775</v>
          </cell>
          <cell r="O210">
            <v>0.95897012880251442</v>
          </cell>
          <cell r="P210">
            <v>0.9913264307754095</v>
          </cell>
          <cell r="Q210">
            <v>1.0106047799814948</v>
          </cell>
          <cell r="R210">
            <v>0.95354955196240265</v>
          </cell>
          <cell r="S210">
            <v>1.0042376431347919</v>
          </cell>
          <cell r="T210">
            <v>1.0081515672804455</v>
          </cell>
          <cell r="U210">
            <v>1.0661918036976936</v>
          </cell>
          <cell r="V210">
            <v>0.95865787667688029</v>
          </cell>
          <cell r="W210">
            <v>0.93235670806477211</v>
          </cell>
          <cell r="X210">
            <v>0.92044456289785459</v>
          </cell>
          <cell r="Y210">
            <v>0.93418764665199117</v>
          </cell>
          <cell r="Z210">
            <v>0.99871058944961311</v>
          </cell>
        </row>
        <row r="211">
          <cell r="C211">
            <v>1.0632112760496866</v>
          </cell>
          <cell r="D211">
            <v>1.0713956325101093</v>
          </cell>
          <cell r="E211">
            <v>1.0383463032631057</v>
          </cell>
          <cell r="F211">
            <v>1.0036737739346888</v>
          </cell>
          <cell r="G211">
            <v>1.0593597351269179</v>
          </cell>
          <cell r="H211">
            <v>1.0469340759955916</v>
          </cell>
          <cell r="I211">
            <v>1.0158289778119105</v>
          </cell>
          <cell r="J211">
            <v>1.0125437993613533</v>
          </cell>
          <cell r="K211">
            <v>1</v>
          </cell>
          <cell r="L211">
            <v>1</v>
          </cell>
          <cell r="M211">
            <v>1.0269371218271601</v>
          </cell>
          <cell r="N211">
            <v>1.0401028795690062</v>
          </cell>
          <cell r="O211">
            <v>0.97099925769174422</v>
          </cell>
          <cell r="P211">
            <v>1.0037614306246627</v>
          </cell>
          <cell r="Q211">
            <v>1.023281603575207</v>
          </cell>
          <cell r="R211">
            <v>0.96551068622332725</v>
          </cell>
          <cell r="S211">
            <v>1.0168345986413929</v>
          </cell>
          <cell r="T211">
            <v>1.0207976182662453</v>
          </cell>
          <cell r="U211">
            <v>1.079565899763997</v>
          </cell>
          <cell r="V211">
            <v>0.97068308873809594</v>
          </cell>
          <cell r="W211">
            <v>0.94405200354394847</v>
          </cell>
          <cell r="X211">
            <v>0.93199043481809374</v>
          </cell>
          <cell r="Y211">
            <v>0.94590590905744854</v>
          </cell>
          <cell r="Z211">
            <v>1.011238214703728</v>
          </cell>
        </row>
        <row r="212">
          <cell r="C212">
            <v>1.0632112760496866</v>
          </cell>
          <cell r="D212">
            <v>1.0713956325101093</v>
          </cell>
          <cell r="E212">
            <v>1.0383463032631057</v>
          </cell>
          <cell r="F212">
            <v>1.0036737739346888</v>
          </cell>
          <cell r="G212">
            <v>1.0593597351269179</v>
          </cell>
          <cell r="H212">
            <v>1.0469340759955916</v>
          </cell>
          <cell r="I212">
            <v>1.0158289778119105</v>
          </cell>
          <cell r="J212">
            <v>1.0125437993613533</v>
          </cell>
          <cell r="K212">
            <v>1</v>
          </cell>
          <cell r="L212">
            <v>1</v>
          </cell>
          <cell r="M212">
            <v>1.0269371218271601</v>
          </cell>
          <cell r="N212">
            <v>1.0401028795690062</v>
          </cell>
          <cell r="O212">
            <v>0.97099925769174422</v>
          </cell>
          <cell r="P212">
            <v>1.0037614306246627</v>
          </cell>
          <cell r="Q212">
            <v>1.023281603575207</v>
          </cell>
          <cell r="R212">
            <v>0.96551068622332725</v>
          </cell>
          <cell r="S212">
            <v>1.0168345986413929</v>
          </cell>
          <cell r="T212">
            <v>1.0207976182662453</v>
          </cell>
          <cell r="U212">
            <v>1.079565899763997</v>
          </cell>
          <cell r="V212">
            <v>0.97068308873809594</v>
          </cell>
          <cell r="W212">
            <v>0.94405200354394847</v>
          </cell>
          <cell r="X212">
            <v>0.93199043481809374</v>
          </cell>
          <cell r="Y212">
            <v>0.94590590905744854</v>
          </cell>
          <cell r="Z212">
            <v>1.011238214703728</v>
          </cell>
        </row>
        <row r="213">
          <cell r="C213">
            <v>1.035322663336959</v>
          </cell>
          <cell r="D213">
            <v>1.0432923396554672</v>
          </cell>
          <cell r="E213">
            <v>1.0111099123728686</v>
          </cell>
          <cell r="F213">
            <v>0.97734686243391389</v>
          </cell>
          <cell r="G213">
            <v>1.0315721504370885</v>
          </cell>
          <cell r="H213">
            <v>1.0194724231341956</v>
          </cell>
          <cell r="I213">
            <v>0.98918322867179487</v>
          </cell>
          <cell r="J213">
            <v>0.98598422224702731</v>
          </cell>
          <cell r="K213">
            <v>0.97376945359689338</v>
          </cell>
          <cell r="L213">
            <v>0.97376945359689338</v>
          </cell>
          <cell r="M213">
            <v>1</v>
          </cell>
          <cell r="N213">
            <v>1.0128204127224665</v>
          </cell>
          <cell r="O213">
            <v>0.94552941660547873</v>
          </cell>
          <cell r="P213">
            <v>0.97743221984101369</v>
          </cell>
          <cell r="Q213">
            <v>0.99644036798918223</v>
          </cell>
          <cell r="R213">
            <v>0.94018481336565096</v>
          </cell>
          <cell r="S213">
            <v>0.99016247151744563</v>
          </cell>
          <cell r="T213">
            <v>0.99402153897213164</v>
          </cell>
          <cell r="U213">
            <v>1.0512482963350258</v>
          </cell>
          <cell r="V213">
            <v>0.94522154093624045</v>
          </cell>
          <cell r="W213">
            <v>0.91928900365804311</v>
          </cell>
          <cell r="X213">
            <v>0.90754381647034621</v>
          </cell>
          <cell r="Y213">
            <v>0.92109428021694428</v>
          </cell>
          <cell r="Z213">
            <v>0.98471288378834709</v>
          </cell>
        </row>
        <row r="214">
          <cell r="C214">
            <v>1.0222174141948881</v>
          </cell>
          <cell r="D214">
            <v>1.0300862093123617</v>
          </cell>
          <cell r="E214">
            <v>0.99831115138665105</v>
          </cell>
          <cell r="F214">
            <v>0.96497547853207311</v>
          </cell>
          <cell r="G214">
            <v>1.0185143757758766</v>
          </cell>
          <cell r="H214">
            <v>1.0065678083973926</v>
          </cell>
          <cell r="I214">
            <v>0.97666201850421364</v>
          </cell>
          <cell r="J214">
            <v>0.97350350551949949</v>
          </cell>
          <cell r="K214">
            <v>0.96144335300213402</v>
          </cell>
          <cell r="L214">
            <v>0.96144335300213402</v>
          </cell>
          <cell r="M214">
            <v>0.98734186973186577</v>
          </cell>
          <cell r="N214">
            <v>1</v>
          </cell>
          <cell r="O214">
            <v>0.93356078207773363</v>
          </cell>
          <cell r="P214">
            <v>0.96505975547399458</v>
          </cell>
          <cell r="Q214">
            <v>0.98382729600674756</v>
          </cell>
          <cell r="R214">
            <v>0.92828383152194704</v>
          </cell>
          <cell r="S214">
            <v>0.97762886596636012</v>
          </cell>
          <cell r="T214">
            <v>0.98143908484249121</v>
          </cell>
          <cell r="U214">
            <v>1.0379414584558628</v>
          </cell>
          <cell r="V214">
            <v>0.9332568035388229</v>
          </cell>
          <cell r="W214">
            <v>0.90765252369567628</v>
          </cell>
          <cell r="X214">
            <v>0.89605600861742485</v>
          </cell>
          <cell r="Y214">
            <v>0.90943494882872489</v>
          </cell>
          <cell r="Z214">
            <v>0.97224825982864405</v>
          </cell>
        </row>
        <row r="215">
          <cell r="C215">
            <v>1.0949661059238587</v>
          </cell>
          <cell r="D215">
            <v>1.1033949037788424</v>
          </cell>
          <cell r="E215">
            <v>1.0693584933643088</v>
          </cell>
          <cell r="F215">
            <v>1.0336504029061964</v>
          </cell>
          <cell r="G215">
            <v>1.090999531395342</v>
          </cell>
          <cell r="H215">
            <v>1.0782027562867138</v>
          </cell>
          <cell r="I215">
            <v>1.0461686450994159</v>
          </cell>
          <cell r="J215">
            <v>1.0427853485371024</v>
          </cell>
          <cell r="K215">
            <v>1.0298669047154538</v>
          </cell>
          <cell r="L215">
            <v>1.0298669047154538</v>
          </cell>
          <cell r="M215">
            <v>1.0576085549935343</v>
          </cell>
          <cell r="N215">
            <v>1.0711675331673629</v>
          </cell>
          <cell r="O215">
            <v>1</v>
          </cell>
          <cell r="P215">
            <v>1.0337406776301772</v>
          </cell>
          <cell r="Q215">
            <v>1.0538438577262648</v>
          </cell>
          <cell r="R215">
            <v>0.99434750189051191</v>
          </cell>
          <cell r="S215">
            <v>1.0472043007103924</v>
          </cell>
          <cell r="T215">
            <v>1.0512856834647655</v>
          </cell>
          <cell r="U215">
            <v>1.1118091916263015</v>
          </cell>
          <cell r="V215">
            <v>0.99967438805833919</v>
          </cell>
          <cell r="W215">
            <v>0.97224791478022887</v>
          </cell>
          <cell r="X215">
            <v>0.95982610433052029</v>
          </cell>
          <cell r="Y215">
            <v>0.97415719071305218</v>
          </cell>
          <cell r="Z215">
            <v>1.0414407701069099</v>
          </cell>
        </row>
        <row r="216">
          <cell r="C216">
            <v>1.0592270669216957</v>
          </cell>
          <cell r="D216">
            <v>1.067380753854386</v>
          </cell>
          <cell r="E216">
            <v>1.0344552715249482</v>
          </cell>
          <cell r="F216">
            <v>0.99991267178903342</v>
          </cell>
          <cell r="G216">
            <v>1.0553899590141207</v>
          </cell>
          <cell r="H216">
            <v>1.0430108629936714</v>
          </cell>
          <cell r="I216">
            <v>1.0120223260418943</v>
          </cell>
          <cell r="J216">
            <v>1.0087494582564556</v>
          </cell>
          <cell r="K216">
            <v>0.99625266471703156</v>
          </cell>
          <cell r="L216">
            <v>0.99625266471703156</v>
          </cell>
          <cell r="M216">
            <v>1.0230888441171471</v>
          </cell>
          <cell r="N216">
            <v>1.0362052653504801</v>
          </cell>
          <cell r="O216">
            <v>0.9673605979136598</v>
          </cell>
          <cell r="P216">
            <v>1</v>
          </cell>
          <cell r="Q216">
            <v>1.0194470243177172</v>
          </cell>
          <cell r="R216">
            <v>0.96189259396275961</v>
          </cell>
          <cell r="S216">
            <v>1.0130241784729612</v>
          </cell>
          <cell r="T216">
            <v>1.016972347334546</v>
          </cell>
          <cell r="U216">
            <v>1.0755204043775217</v>
          </cell>
          <cell r="V216">
            <v>0.96704561375108689</v>
          </cell>
          <cell r="W216">
            <v>0.94051432416211123</v>
          </cell>
          <cell r="X216">
            <v>0.92849795417831082</v>
          </cell>
          <cell r="Y216">
            <v>0.94236128247006923</v>
          </cell>
          <cell r="Z216">
            <v>1.0074487660622826</v>
          </cell>
        </row>
        <row r="217">
          <cell r="C217">
            <v>1.0390211964477527</v>
          </cell>
          <cell r="D217">
            <v>1.0470193432255583</v>
          </cell>
          <cell r="E217">
            <v>1.0147219491049821</v>
          </cell>
          <cell r="F217">
            <v>0.98083828579345989</v>
          </cell>
          <cell r="G217">
            <v>1.0352572854096651</v>
          </cell>
          <cell r="H217">
            <v>1.0231143336670434</v>
          </cell>
          <cell r="I217">
            <v>0.9927169356536284</v>
          </cell>
          <cell r="J217">
            <v>0.98950650126383843</v>
          </cell>
          <cell r="K217">
            <v>0.97724809720621941</v>
          </cell>
          <cell r="L217">
            <v>0.97724809720621941</v>
          </cell>
          <cell r="M217">
            <v>1.0035723482560237</v>
          </cell>
          <cell r="N217">
            <v>1.0164385599575207</v>
          </cell>
          <cell r="O217">
            <v>0.94890717696790849</v>
          </cell>
          <cell r="P217">
            <v>0.98092394812694417</v>
          </cell>
          <cell r="Q217">
            <v>1</v>
          </cell>
          <cell r="R217">
            <v>0.94354348094401774</v>
          </cell>
          <cell r="S217">
            <v>0.9936996766957511</v>
          </cell>
          <cell r="T217">
            <v>0.9975725300833288</v>
          </cell>
          <cell r="U217">
            <v>1.0550037213530861</v>
          </cell>
          <cell r="V217">
            <v>0.94859820145956009</v>
          </cell>
          <cell r="W217">
            <v>0.92257302412704267</v>
          </cell>
          <cell r="X217">
            <v>0.91078587904037922</v>
          </cell>
          <cell r="Y217">
            <v>0.92438474976251073</v>
          </cell>
          <cell r="Z217">
            <v>0.98823062114143245</v>
          </cell>
        </row>
        <row r="218">
          <cell r="C218">
            <v>1.1011905836159339</v>
          </cell>
          <cell r="D218">
            <v>1.1096672960720504</v>
          </cell>
          <cell r="E218">
            <v>1.0754374012417003</v>
          </cell>
          <cell r="F218">
            <v>1.0395263234844552</v>
          </cell>
          <cell r="G218">
            <v>1.0972014605769811</v>
          </cell>
          <cell r="H218">
            <v>1.0843319405306207</v>
          </cell>
          <cell r="I218">
            <v>1.0521157272587083</v>
          </cell>
          <cell r="J218">
            <v>1.0487131979056594</v>
          </cell>
          <cell r="K218">
            <v>1.0357213175046052</v>
          </cell>
          <cell r="L218">
            <v>1.0357213175046052</v>
          </cell>
          <cell r="M218">
            <v>1.0636206688132135</v>
          </cell>
          <cell r="N218">
            <v>1.0772567247675446</v>
          </cell>
          <cell r="O218">
            <v>1.0056846304724869</v>
          </cell>
          <cell r="P218">
            <v>1.0396171113868828</v>
          </cell>
          <cell r="Q218">
            <v>1.0598345706331387</v>
          </cell>
          <cell r="R218">
            <v>1</v>
          </cell>
          <cell r="S218">
            <v>1.0531572701891301</v>
          </cell>
          <cell r="T218">
            <v>1.0572618540962784</v>
          </cell>
          <cell r="U218">
            <v>1.1181294160366113</v>
          </cell>
          <cell r="V218">
            <v>1.0053571675472603</v>
          </cell>
          <cell r="W218">
            <v>0.97777478490340042</v>
          </cell>
          <cell r="X218">
            <v>0.9652823610514859</v>
          </cell>
          <cell r="Y218">
            <v>0.97969491436437184</v>
          </cell>
          <cell r="Z218">
            <v>1.04736097604395</v>
          </cell>
        </row>
        <row r="219">
          <cell r="C219">
            <v>1.045608870380943</v>
          </cell>
          <cell r="D219">
            <v>1.053657727561214</v>
          </cell>
          <cell r="E219">
            <v>1.0211555592723289</v>
          </cell>
          <cell r="F219">
            <v>0.98705706441904273</v>
          </cell>
          <cell r="G219">
            <v>1.0418210951341971</v>
          </cell>
          <cell r="H219">
            <v>1.029601153810477</v>
          </cell>
          <cell r="I219">
            <v>0.99901102811526465</v>
          </cell>
          <cell r="J219">
            <v>0.99578023870767896</v>
          </cell>
          <cell r="K219">
            <v>0.98344411307022206</v>
          </cell>
          <cell r="L219">
            <v>0.98344411307022206</v>
          </cell>
          <cell r="M219">
            <v>1.0099352669541981</v>
          </cell>
          <cell r="N219">
            <v>1.0228830538995253</v>
          </cell>
          <cell r="O219">
            <v>0.95492350377250135</v>
          </cell>
          <cell r="P219">
            <v>0.98714326987476864</v>
          </cell>
          <cell r="Q219">
            <v>1.0063402690490941</v>
          </cell>
          <cell r="R219">
            <v>0.94952580047272162</v>
          </cell>
          <cell r="S219">
            <v>1</v>
          </cell>
          <cell r="T219">
            <v>1.0038974083200425</v>
          </cell>
          <cell r="U219">
            <v>1.0616927287942601</v>
          </cell>
          <cell r="V219">
            <v>0.95461256927630045</v>
          </cell>
          <cell r="W219">
            <v>0.92842238531744448</v>
          </cell>
          <cell r="X219">
            <v>0.91656050655961085</v>
          </cell>
          <cell r="Y219">
            <v>0.93024559778088456</v>
          </cell>
          <cell r="Z219">
            <v>0.99449626916202249</v>
          </cell>
        </row>
        <row r="220">
          <cell r="C220">
            <v>1.0415495265902737</v>
          </cell>
          <cell r="D220">
            <v>1.0495671358734178</v>
          </cell>
          <cell r="E220">
            <v>1.0171911500211628</v>
          </cell>
          <cell r="F220">
            <v>0.98322503498720937</v>
          </cell>
          <cell r="G220">
            <v>1.0377764565381411</v>
          </cell>
          <cell r="H220">
            <v>1.0256039564176662</v>
          </cell>
          <cell r="I220">
            <v>0.99513259007914467</v>
          </cell>
          <cell r="J220">
            <v>0.99191434349258134</v>
          </cell>
          <cell r="K220">
            <v>0.97962611011811673</v>
          </cell>
          <cell r="L220">
            <v>0.97962611011811673</v>
          </cell>
          <cell r="M220">
            <v>1.0060144179914354</v>
          </cell>
          <cell r="N220">
            <v>1.0189119380348375</v>
          </cell>
          <cell r="O220">
            <v>0.9512162257401422</v>
          </cell>
          <cell r="P220">
            <v>0.98331090576943414</v>
          </cell>
          <cell r="Q220">
            <v>1.0024333768658089</v>
          </cell>
          <cell r="R220">
            <v>0.94583947782243172</v>
          </cell>
          <cell r="S220">
            <v>0.99611772250058439</v>
          </cell>
          <cell r="T220">
            <v>1</v>
          </cell>
          <cell r="U220">
            <v>1.0575709430019691</v>
          </cell>
          <cell r="V220">
            <v>0.95090649837793972</v>
          </cell>
          <cell r="W220">
            <v>0.92481799198097281</v>
          </cell>
          <cell r="X220">
            <v>0.91300216432814141</v>
          </cell>
          <cell r="Y220">
            <v>0.92663412622768937</v>
          </cell>
          <cell r="Z220">
            <v>0.9906353586730019</v>
          </cell>
        </row>
        <row r="221">
          <cell r="C221">
            <v>0.9848507407302457</v>
          </cell>
          <cell r="D221">
            <v>0.99243189576877744</v>
          </cell>
          <cell r="E221">
            <v>0.96181836003721299</v>
          </cell>
          <cell r="F221">
            <v>0.92970125691641547</v>
          </cell>
          <cell r="G221">
            <v>0.98128306512692165</v>
          </cell>
          <cell r="H221">
            <v>0.9697731988611914</v>
          </cell>
          <cell r="I221">
            <v>0.94096060095449496</v>
          </cell>
          <cell r="J221">
            <v>0.93791754591609899</v>
          </cell>
          <cell r="K221">
            <v>0.9262982465624463</v>
          </cell>
          <cell r="L221">
            <v>0.9262982465624463</v>
          </cell>
          <cell r="M221">
            <v>0.95125005527838369</v>
          </cell>
          <cell r="N221">
            <v>0.96344547358932164</v>
          </cell>
          <cell r="O221">
            <v>0.89943490981329965</v>
          </cell>
          <cell r="P221">
            <v>0.92978245315463759</v>
          </cell>
          <cell r="Q221">
            <v>0.9478639551313226</v>
          </cell>
          <cell r="R221">
            <v>0.89435085568597239</v>
          </cell>
          <cell r="S221">
            <v>0.94189210576555127</v>
          </cell>
          <cell r="T221">
            <v>0.94556304389514434</v>
          </cell>
          <cell r="U221">
            <v>1</v>
          </cell>
          <cell r="V221">
            <v>0.89914204306591772</v>
          </cell>
          <cell r="W221">
            <v>0.87447371554652376</v>
          </cell>
          <cell r="X221">
            <v>0.86330110558497219</v>
          </cell>
          <cell r="Y221">
            <v>0.87619098497297132</v>
          </cell>
          <cell r="Z221">
            <v>0.93670818513700183</v>
          </cell>
        </row>
        <row r="222">
          <cell r="C222">
            <v>1.0953227560932155</v>
          </cell>
          <cell r="D222">
            <v>1.1037542993593732</v>
          </cell>
          <cell r="E222">
            <v>1.0697068026733352</v>
          </cell>
          <cell r="F222">
            <v>1.0339870814474386</v>
          </cell>
          <cell r="G222">
            <v>1.0913548895799792</v>
          </cell>
          <cell r="H222">
            <v>1.0785539463313647</v>
          </cell>
          <cell r="I222">
            <v>1.0465094010574605</v>
          </cell>
          <cell r="J222">
            <v>1.0431250024945597</v>
          </cell>
          <cell r="K222">
            <v>1.0302023509032352</v>
          </cell>
          <cell r="L222">
            <v>1.0302023509032352</v>
          </cell>
          <cell r="M222">
            <v>1.0579530371361423</v>
          </cell>
          <cell r="N222">
            <v>1.0715164317132144</v>
          </cell>
          <cell r="O222">
            <v>1.000325717999331</v>
          </cell>
          <cell r="P222">
            <v>1.0340773855755219</v>
          </cell>
          <cell r="Q222">
            <v>1.0541871136392105</v>
          </cell>
          <cell r="R222">
            <v>0.99467137876946754</v>
          </cell>
          <cell r="S222">
            <v>1.0475453940001105</v>
          </cell>
          <cell r="T222">
            <v>1.0516281061343089</v>
          </cell>
          <cell r="U222">
            <v>1.1121713278918359</v>
          </cell>
          <cell r="V222">
            <v>1</v>
          </cell>
          <cell r="W222">
            <v>0.97256459342588486</v>
          </cell>
          <cell r="X222">
            <v>0.96013873696892849</v>
          </cell>
          <cell r="Y222">
            <v>0.97447449124424512</v>
          </cell>
          <cell r="Z222">
            <v>1.0417799861109709</v>
          </cell>
        </row>
        <row r="223">
          <cell r="C223">
            <v>1.1262210895781346</v>
          </cell>
          <cell r="D223">
            <v>1.1348904811261626</v>
          </cell>
          <cell r="E223">
            <v>1.0998825269849317</v>
          </cell>
          <cell r="F223">
            <v>1.06315517595103</v>
          </cell>
          <cell r="G223">
            <v>1.1221412921641043</v>
          </cell>
          <cell r="H223">
            <v>1.1089792427381397</v>
          </cell>
          <cell r="I223">
            <v>1.0760307419490802</v>
          </cell>
          <cell r="J223">
            <v>1.0725508717319472</v>
          </cell>
          <cell r="K223">
            <v>1.0592636806510913</v>
          </cell>
          <cell r="L223">
            <v>1.0592636806510913</v>
          </cell>
          <cell r="M223">
            <v>1.0877971954638759</v>
          </cell>
          <cell r="N223">
            <v>1.1017432044680644</v>
          </cell>
          <cell r="O223">
            <v>1.0285442476120346</v>
          </cell>
          <cell r="P223">
            <v>1.0632480274990852</v>
          </cell>
          <cell r="Q223">
            <v>1.0839250377456249</v>
          </cell>
          <cell r="R223">
            <v>1.0227304031968827</v>
          </cell>
          <cell r="S223">
            <v>1.0770959595702572</v>
          </cell>
          <cell r="T223">
            <v>1.0812938423245706</v>
          </cell>
          <cell r="U223">
            <v>1.1435449484894185</v>
          </cell>
          <cell r="V223">
            <v>1.0282093413224855</v>
          </cell>
          <cell r="W223">
            <v>1</v>
          </cell>
          <cell r="X223">
            <v>0.9872236183170251</v>
          </cell>
          <cell r="Y223">
            <v>1.0019637747778094</v>
          </cell>
          <cell r="Z223">
            <v>1.0711679133221095</v>
          </cell>
        </row>
        <row r="224">
          <cell r="C224">
            <v>1.140796339028098</v>
          </cell>
          <cell r="D224">
            <v>1.1495779275022546</v>
          </cell>
          <cell r="E224">
            <v>1.1141169098648214</v>
          </cell>
          <cell r="F224">
            <v>1.0769142433640817</v>
          </cell>
          <cell r="G224">
            <v>1.1366637419767984</v>
          </cell>
          <cell r="H224">
            <v>1.1233313528587152</v>
          </cell>
          <cell r="I224">
            <v>1.0899564414630289</v>
          </cell>
          <cell r="J224">
            <v>1.0864315357045289</v>
          </cell>
          <cell r="K224">
            <v>1.0729723853820241</v>
          </cell>
          <cell r="L224">
            <v>1.0729723853820241</v>
          </cell>
          <cell r="M224">
            <v>1.1018751732442384</v>
          </cell>
          <cell r="N224">
            <v>1.1160016677338687</v>
          </cell>
          <cell r="O224">
            <v>1.0418553897296856</v>
          </cell>
          <cell r="P224">
            <v>1.0770082965718175</v>
          </cell>
          <cell r="Q224">
            <v>1.0979529031056328</v>
          </cell>
          <cell r="R224">
            <v>1.0359663041088785</v>
          </cell>
          <cell r="S224">
            <v>1.0910354448432287</v>
          </cell>
          <cell r="T224">
            <v>1.0952876554634221</v>
          </cell>
          <cell r="U224">
            <v>1.1583443986468669</v>
          </cell>
          <cell r="V224">
            <v>1.0415161491733058</v>
          </cell>
          <cell r="W224">
            <v>1.0129417301672294</v>
          </cell>
          <cell r="X224">
            <v>1</v>
          </cell>
          <cell r="Y224">
            <v>1.0149309195883225</v>
          </cell>
          <cell r="Z224">
            <v>1.0850306794201185</v>
          </cell>
        </row>
        <row r="225">
          <cell r="C225">
            <v>1.1240137796677128</v>
          </cell>
          <cell r="D225">
            <v>1.1326661798504944</v>
          </cell>
          <cell r="E225">
            <v>1.0977268387061561</v>
          </cell>
          <cell r="F225">
            <v>1.0610714705596918</v>
          </cell>
          <cell r="G225">
            <v>1.119941978354402</v>
          </cell>
          <cell r="H225">
            <v>1.1068057255703296</v>
          </cell>
          <cell r="I225">
            <v>1.073921801402147</v>
          </cell>
          <cell r="J225">
            <v>1.0704487514728671</v>
          </cell>
          <cell r="K225">
            <v>1.0571876023022773</v>
          </cell>
          <cell r="L225">
            <v>1.0571876023022773</v>
          </cell>
          <cell r="M225">
            <v>1.0856651935396571</v>
          </cell>
          <cell r="N225">
            <v>1.0995838693992519</v>
          </cell>
          <cell r="O225">
            <v>1.0265283770764262</v>
          </cell>
          <cell r="P225">
            <v>1.0611641401255907</v>
          </cell>
          <cell r="Q225">
            <v>1.0818006249637027</v>
          </cell>
          <cell r="R225">
            <v>1.0207259273656659</v>
          </cell>
          <cell r="S225">
            <v>1.0749849312756927</v>
          </cell>
          <cell r="T225">
            <v>1.0791745864907671</v>
          </cell>
          <cell r="U225">
            <v>1.1413036850988005</v>
          </cell>
          <cell r="V225">
            <v>1.0261941271783963</v>
          </cell>
          <cell r="W225">
            <v>0.99804007407528783</v>
          </cell>
          <cell r="X225">
            <v>0.98528873315399745</v>
          </cell>
          <cell r="Y225">
            <v>1</v>
          </cell>
          <cell r="Z225">
            <v>1.0690685035590697</v>
          </cell>
        </row>
        <row r="226">
          <cell r="C226">
            <v>1.0513954680413118</v>
          </cell>
          <cell r="D226">
            <v>1.0594888691226987</v>
          </cell>
          <cell r="E226">
            <v>1.0268068276744466</v>
          </cell>
          <cell r="F226">
            <v>0.99251962528803839</v>
          </cell>
          <cell r="G226">
            <v>1.0475867305284627</v>
          </cell>
          <cell r="H226">
            <v>1.0352991617334417</v>
          </cell>
          <cell r="I226">
            <v>1.0045397444849606</v>
          </cell>
          <cell r="J226">
            <v>1.0012910752764697</v>
          </cell>
          <cell r="K226">
            <v>0.98888667918169959</v>
          </cell>
          <cell r="L226">
            <v>0.98888667918169959</v>
          </cell>
          <cell r="M226">
            <v>1.0155244401320729</v>
          </cell>
          <cell r="N226">
            <v>1.0285438825843176</v>
          </cell>
          <cell r="O226">
            <v>0.96020823142668421</v>
          </cell>
          <cell r="P226">
            <v>0.99260630782109449</v>
          </cell>
          <cell r="Q226">
            <v>1.0119095468272108</v>
          </cell>
          <cell r="R226">
            <v>0.95478065621383001</v>
          </cell>
          <cell r="S226">
            <v>1.0055341895275434</v>
          </cell>
          <cell r="T226">
            <v>1.0094531668438953</v>
          </cell>
          <cell r="U226">
            <v>1.0675683375754224</v>
          </cell>
          <cell r="V226">
            <v>0.95989557616005072</v>
          </cell>
          <cell r="W226">
            <v>0.93356045075940519</v>
          </cell>
          <cell r="X226">
            <v>0.92163292611637293</v>
          </cell>
          <cell r="Y226">
            <v>0.93539375322616702</v>
          </cell>
          <cell r="Z226">
            <v>1</v>
          </cell>
        </row>
        <row r="231">
          <cell r="C231">
            <v>1</v>
          </cell>
          <cell r="D231">
            <v>1.0076977705605525</v>
          </cell>
          <cell r="E231">
            <v>0.97661332855783334</v>
          </cell>
          <cell r="F231">
            <v>0.94400219085692305</v>
          </cell>
          <cell r="G231">
            <v>0.99637744537748052</v>
          </cell>
          <cell r="H231">
            <v>0.98469053101602522</v>
          </cell>
          <cell r="I231">
            <v>0.95543472938528007</v>
          </cell>
          <cell r="J231">
            <v>0.95234486519312878</v>
          </cell>
          <cell r="K231">
            <v>0.94054683441230502</v>
          </cell>
          <cell r="L231">
            <v>0.94054683441230502</v>
          </cell>
          <cell r="M231">
            <v>0.96588245907501902</v>
          </cell>
          <cell r="N231">
            <v>0.97826547084175153</v>
          </cell>
          <cell r="O231">
            <v>0.913270278038668</v>
          </cell>
          <cell r="P231">
            <v>0.94408463607919291</v>
          </cell>
          <cell r="Q231">
            <v>0.96244427295500823</v>
          </cell>
          <cell r="R231">
            <v>0.90810801951860276</v>
          </cell>
          <cell r="S231">
            <v>0.95638056287306883</v>
          </cell>
          <cell r="T231">
            <v>0.96010796843593738</v>
          </cell>
          <cell r="U231">
            <v>1.0153822895624991</v>
          </cell>
          <cell r="V231">
            <v>0.91297290633017469</v>
          </cell>
          <cell r="W231">
            <v>0.88792512345385477</v>
          </cell>
          <cell r="X231">
            <v>0.87658065317070577</v>
          </cell>
          <cell r="Y231">
            <v>0.88966880841587681</v>
          </cell>
          <cell r="Z231">
            <v>0.95111690167634211</v>
          </cell>
        </row>
        <row r="232">
          <cell r="C232">
            <v>0.99236103245889828</v>
          </cell>
          <cell r="D232">
            <v>1</v>
          </cell>
          <cell r="E232">
            <v>0.96915301104077278</v>
          </cell>
          <cell r="F232">
            <v>0.9367909887622381</v>
          </cell>
          <cell r="G232">
            <v>0.98876615041355609</v>
          </cell>
          <cell r="H232">
            <v>0.97716851201156363</v>
          </cell>
          <cell r="I232">
            <v>0.94813619449986464</v>
          </cell>
          <cell r="J232">
            <v>0.94506993367998371</v>
          </cell>
          <cell r="K232">
            <v>0.93336202767334342</v>
          </cell>
          <cell r="L232">
            <v>0.93336202767334342</v>
          </cell>
          <cell r="M232">
            <v>0.95850411432162552</v>
          </cell>
          <cell r="N232">
            <v>0.97079253266341092</v>
          </cell>
          <cell r="O232">
            <v>0.90629383602847768</v>
          </cell>
          <cell r="P232">
            <v>0.93687280418813113</v>
          </cell>
          <cell r="Q232">
            <v>0.95509219239378562</v>
          </cell>
          <cell r="R232">
            <v>0.90117101183368598</v>
          </cell>
          <cell r="S232">
            <v>0.94907480279634093</v>
          </cell>
          <cell r="T232">
            <v>0.95277373482910221</v>
          </cell>
          <cell r="U232">
            <v>1.0076258172107215</v>
          </cell>
          <cell r="V232">
            <v>0.90599873593281322</v>
          </cell>
          <cell r="W232">
            <v>0.88114229225686214</v>
          </cell>
          <cell r="X232">
            <v>0.86988448201397706</v>
          </cell>
          <cell r="Y232">
            <v>0.88287265726605735</v>
          </cell>
          <cell r="Z232">
            <v>0.94385135053664326</v>
          </cell>
        </row>
        <row r="233">
          <cell r="C233">
            <v>1.0239467051680544</v>
          </cell>
          <cell r="D233">
            <v>1.0318288119706718</v>
          </cell>
          <cell r="E233">
            <v>1</v>
          </cell>
          <cell r="F233">
            <v>0.9666079329993712</v>
          </cell>
          <cell r="G233">
            <v>1.0202374022980343</v>
          </cell>
          <cell r="H233">
            <v>1.008270624844041</v>
          </cell>
          <cell r="I233">
            <v>0.97831424315718918</v>
          </cell>
          <cell r="J233">
            <v>0.9751503868982192</v>
          </cell>
          <cell r="K233">
            <v>0.96306983215272324</v>
          </cell>
          <cell r="L233">
            <v>0.96306983215272324</v>
          </cell>
          <cell r="M233">
            <v>0.98901216154948379</v>
          </cell>
          <cell r="N233">
            <v>1.001691705648087</v>
          </cell>
          <cell r="O233">
            <v>0.935140092125607</v>
          </cell>
          <cell r="P233">
            <v>0.96669235251307117</v>
          </cell>
          <cell r="Q233">
            <v>0.98549164220014418</v>
          </cell>
          <cell r="R233">
            <v>0.92985421452276051</v>
          </cell>
          <cell r="S233">
            <v>0.97928272624064816</v>
          </cell>
          <cell r="T233">
            <v>0.98309939088557241</v>
          </cell>
          <cell r="U233">
            <v>1.0396973498835163</v>
          </cell>
          <cell r="V233">
            <v>0.93483559934448501</v>
          </cell>
          <cell r="W233">
            <v>0.9091880045965125</v>
          </cell>
          <cell r="X233">
            <v>0.89757187162820518</v>
          </cell>
          <cell r="Y233">
            <v>0.91097344506822608</v>
          </cell>
          <cell r="Z233">
            <v>0.97389301770113879</v>
          </cell>
        </row>
        <row r="234">
          <cell r="C234">
            <v>1.0593195754050577</v>
          </cell>
          <cell r="D234">
            <v>1.0674739744468278</v>
          </cell>
          <cell r="E234">
            <v>1.0345456165428042</v>
          </cell>
          <cell r="F234">
            <v>1</v>
          </cell>
          <cell r="G234">
            <v>1.0554821323804489</v>
          </cell>
          <cell r="H234">
            <v>1.0431019552212766</v>
          </cell>
          <cell r="I234">
            <v>1.0121107118596611</v>
          </cell>
          <cell r="J234">
            <v>1.0088375582355722</v>
          </cell>
          <cell r="K234">
            <v>0.99633967327821404</v>
          </cell>
          <cell r="L234">
            <v>0.99633967327821404</v>
          </cell>
          <cell r="M234">
            <v>1.0231781964385422</v>
          </cell>
          <cell r="N234">
            <v>1.0362957632055132</v>
          </cell>
          <cell r="O234">
            <v>0.96744508316198075</v>
          </cell>
          <cell r="P234">
            <v>1.000087335837849</v>
          </cell>
          <cell r="Q234">
            <v>1.0195360585777287</v>
          </cell>
          <cell r="R234">
            <v>0.96197660165837418</v>
          </cell>
          <cell r="S234">
            <v>1.0131126517883495</v>
          </cell>
          <cell r="T234">
            <v>1.0170611654665698</v>
          </cell>
          <cell r="U234">
            <v>1.0756143358531618</v>
          </cell>
          <cell r="V234">
            <v>0.96713007149000219</v>
          </cell>
          <cell r="W234">
            <v>0.94059646476862091</v>
          </cell>
          <cell r="X234">
            <v>0.92857904532508018</v>
          </cell>
          <cell r="Y234">
            <v>0.9424435843822303</v>
          </cell>
          <cell r="Z234">
            <v>1.0075367524443568</v>
          </cell>
        </row>
        <row r="235">
          <cell r="C235">
            <v>1.0036357252357786</v>
          </cell>
          <cell r="D235">
            <v>1.0113614827750175</v>
          </cell>
          <cell r="E235">
            <v>0.98016402628206878</v>
          </cell>
          <cell r="F235">
            <v>0.94743432344485179</v>
          </cell>
          <cell r="G235">
            <v>1</v>
          </cell>
          <cell r="H235">
            <v>0.98827059522907235</v>
          </cell>
          <cell r="I235">
            <v>0.95890842754204542</v>
          </cell>
          <cell r="J235">
            <v>0.95580732945267566</v>
          </cell>
          <cell r="K235">
            <v>0.94396640427360945</v>
          </cell>
          <cell r="L235">
            <v>0.94396640427360945</v>
          </cell>
          <cell r="M235">
            <v>0.96939414230627396</v>
          </cell>
          <cell r="N235">
            <v>0.98182217530138172</v>
          </cell>
          <cell r="O235">
            <v>0.91659067783561965</v>
          </cell>
          <cell r="P235">
            <v>0.94751706841529681</v>
          </cell>
          <cell r="Q235">
            <v>0.96594345588622121</v>
          </cell>
          <cell r="R235">
            <v>0.91140965076197944</v>
          </cell>
          <cell r="S235">
            <v>0.95985769982051461</v>
          </cell>
          <cell r="T235">
            <v>0.96359865720585203</v>
          </cell>
          <cell r="U235">
            <v>1.019073940576624</v>
          </cell>
          <cell r="V235">
            <v>0.91629222496530138</v>
          </cell>
          <cell r="W235">
            <v>0.89115337523267779</v>
          </cell>
          <cell r="X235">
            <v>0.8797676595726337</v>
          </cell>
          <cell r="Y235">
            <v>0.89290339975411948</v>
          </cell>
          <cell r="Z235">
            <v>0.95457490139794221</v>
          </cell>
        </row>
        <row r="236">
          <cell r="C236">
            <v>1.01554749284344</v>
          </cell>
          <cell r="D236">
            <v>1.0233649444366932</v>
          </cell>
          <cell r="E236">
            <v>0.99179721729439441</v>
          </cell>
          <cell r="F236">
            <v>0.95867905816346277</v>
          </cell>
          <cell r="G236">
            <v>1.011868616578852</v>
          </cell>
          <cell r="H236">
            <v>1</v>
          </cell>
          <cell r="I236">
            <v>0.97028934400277167</v>
          </cell>
          <cell r="J236">
            <v>0.96715144016920584</v>
          </cell>
          <cell r="K236">
            <v>0.95516997958925043</v>
          </cell>
          <cell r="L236">
            <v>0.95516997958925043</v>
          </cell>
          <cell r="M236">
            <v>0.9808995096950921</v>
          </cell>
          <cell r="N236">
            <v>0.99347504624864813</v>
          </cell>
          <cell r="O236">
            <v>0.92746934115060065</v>
          </cell>
          <cell r="P236">
            <v>0.95876278520223579</v>
          </cell>
          <cell r="Q236">
            <v>0.97740786840098604</v>
          </cell>
          <cell r="R236">
            <v>0.92222682245313869</v>
          </cell>
          <cell r="S236">
            <v>0.97124988282994307</v>
          </cell>
          <cell r="T236">
            <v>0.9750352402041248</v>
          </cell>
          <cell r="U236">
            <v>1.0311689384428278</v>
          </cell>
          <cell r="V236">
            <v>0.92716734605759765</v>
          </cell>
          <cell r="W236">
            <v>0.90173013295626414</v>
          </cell>
          <cell r="X236">
            <v>0.89020928460257531</v>
          </cell>
          <cell r="Y236">
            <v>0.90350092784775449</v>
          </cell>
          <cell r="Z236">
            <v>0.96590438489842978</v>
          </cell>
        </row>
        <row r="237">
          <cell r="C237">
            <v>1.046643971842423</v>
          </cell>
          <cell r="D237">
            <v>1.0547007969962514</v>
          </cell>
          <cell r="E237">
            <v>1.0221664531560199</v>
          </cell>
          <cell r="F237">
            <v>0.98803420246643892</v>
          </cell>
          <cell r="G237">
            <v>1.042852446884093</v>
          </cell>
          <cell r="H237">
            <v>1.0306204084182371</v>
          </cell>
          <cell r="I237">
            <v>1</v>
          </cell>
          <cell r="J237">
            <v>0.99676601226947315</v>
          </cell>
          <cell r="K237">
            <v>0.98441767447311257</v>
          </cell>
          <cell r="L237">
            <v>0.98441767447311257</v>
          </cell>
          <cell r="M237">
            <v>1.0109350532992043</v>
          </cell>
          <cell r="N237">
            <v>1.0238956579181089</v>
          </cell>
          <cell r="O237">
            <v>0.95586883117202537</v>
          </cell>
          <cell r="P237">
            <v>0.98812049326133489</v>
          </cell>
          <cell r="Q237">
            <v>1.0073364965226228</v>
          </cell>
          <cell r="R237">
            <v>0.9504657844109069</v>
          </cell>
          <cell r="S237">
            <v>1.0009899509183608</v>
          </cell>
          <cell r="T237">
            <v>1.0048912174813491</v>
          </cell>
          <cell r="U237">
            <v>1.0627437524861472</v>
          </cell>
          <cell r="V237">
            <v>0.95555758886593434</v>
          </cell>
          <cell r="W237">
            <v>0.92934147791041632</v>
          </cell>
          <cell r="X237">
            <v>0.91746785647481288</v>
          </cell>
          <cell r="Y237">
            <v>0.93116649526470896</v>
          </cell>
          <cell r="Z237">
            <v>0.9954807716569859</v>
          </cell>
        </row>
        <row r="238">
          <cell r="C238">
            <v>1.0500397876321905</v>
          </cell>
          <cell r="D238">
            <v>1.0581227529968344</v>
          </cell>
          <cell r="E238">
            <v>1.025482852117634</v>
          </cell>
          <cell r="F238">
            <v>0.99123986001172593</v>
          </cell>
          <cell r="G238">
            <v>1.046235961145674</v>
          </cell>
          <cell r="H238">
            <v>1.033964236071496</v>
          </cell>
          <cell r="I238">
            <v>1.0032444803401388</v>
          </cell>
          <cell r="J238">
            <v>1</v>
          </cell>
          <cell r="K238">
            <v>0.98761159826442568</v>
          </cell>
          <cell r="L238">
            <v>0.98761159826442568</v>
          </cell>
          <cell r="M238">
            <v>1.0142150122047908</v>
          </cell>
          <cell r="N238">
            <v>1.0272176672505775</v>
          </cell>
          <cell r="O238">
            <v>0.95897012880251442</v>
          </cell>
          <cell r="P238">
            <v>0.9913264307754095</v>
          </cell>
          <cell r="Q238">
            <v>1.0106047799814948</v>
          </cell>
          <cell r="R238">
            <v>0.95354955196240265</v>
          </cell>
          <cell r="S238">
            <v>1.0042376431347919</v>
          </cell>
          <cell r="T238">
            <v>1.0081515672804455</v>
          </cell>
          <cell r="U238">
            <v>1.0661918036976936</v>
          </cell>
          <cell r="V238">
            <v>0.95865787667688029</v>
          </cell>
          <cell r="W238">
            <v>0.93235670806477211</v>
          </cell>
          <cell r="X238">
            <v>0.92044456289785459</v>
          </cell>
          <cell r="Y238">
            <v>0.93418764665199117</v>
          </cell>
          <cell r="Z238">
            <v>0.99871058944961311</v>
          </cell>
        </row>
        <row r="239">
          <cell r="C239">
            <v>1.0632112760496866</v>
          </cell>
          <cell r="D239">
            <v>1.0713956325101093</v>
          </cell>
          <cell r="E239">
            <v>1.0383463032631057</v>
          </cell>
          <cell r="F239">
            <v>1.0036737739346888</v>
          </cell>
          <cell r="G239">
            <v>1.0593597351269179</v>
          </cell>
          <cell r="H239">
            <v>1.0469340759955916</v>
          </cell>
          <cell r="I239">
            <v>1.0158289778119105</v>
          </cell>
          <cell r="J239">
            <v>1.0125437993613533</v>
          </cell>
          <cell r="K239">
            <v>1</v>
          </cell>
          <cell r="L239">
            <v>1</v>
          </cell>
          <cell r="M239">
            <v>1.0269371218271601</v>
          </cell>
          <cell r="N239">
            <v>1.0401028795690062</v>
          </cell>
          <cell r="O239">
            <v>0.97099925769174422</v>
          </cell>
          <cell r="P239">
            <v>1.0037614306246627</v>
          </cell>
          <cell r="Q239">
            <v>1.023281603575207</v>
          </cell>
          <cell r="R239">
            <v>0.96551068622332725</v>
          </cell>
          <cell r="S239">
            <v>1.0168345986413929</v>
          </cell>
          <cell r="T239">
            <v>1.0207976182662453</v>
          </cell>
          <cell r="U239">
            <v>1.079565899763997</v>
          </cell>
          <cell r="V239">
            <v>0.97068308873809594</v>
          </cell>
          <cell r="W239">
            <v>0.94405200354394847</v>
          </cell>
          <cell r="X239">
            <v>0.93199043481809374</v>
          </cell>
          <cell r="Y239">
            <v>0.94590590905744854</v>
          </cell>
          <cell r="Z239">
            <v>1.011238214703728</v>
          </cell>
        </row>
        <row r="240">
          <cell r="C240">
            <v>1.0632112760496866</v>
          </cell>
          <cell r="D240">
            <v>1.0713956325101093</v>
          </cell>
          <cell r="E240">
            <v>1.0383463032631057</v>
          </cell>
          <cell r="F240">
            <v>1.0036737739346888</v>
          </cell>
          <cell r="G240">
            <v>1.0593597351269179</v>
          </cell>
          <cell r="H240">
            <v>1.0469340759955916</v>
          </cell>
          <cell r="I240">
            <v>1.0158289778119105</v>
          </cell>
          <cell r="J240">
            <v>1.0125437993613533</v>
          </cell>
          <cell r="K240">
            <v>1</v>
          </cell>
          <cell r="L240">
            <v>1</v>
          </cell>
          <cell r="M240">
            <v>1.0269371218271601</v>
          </cell>
          <cell r="N240">
            <v>1.0401028795690062</v>
          </cell>
          <cell r="O240">
            <v>0.97099925769174422</v>
          </cell>
          <cell r="P240">
            <v>1.0037614306246627</v>
          </cell>
          <cell r="Q240">
            <v>1.023281603575207</v>
          </cell>
          <cell r="R240">
            <v>0.96551068622332725</v>
          </cell>
          <cell r="S240">
            <v>1.0168345986413929</v>
          </cell>
          <cell r="T240">
            <v>1.0207976182662453</v>
          </cell>
          <cell r="U240">
            <v>1.079565899763997</v>
          </cell>
          <cell r="V240">
            <v>0.97068308873809594</v>
          </cell>
          <cell r="W240">
            <v>0.94405200354394847</v>
          </cell>
          <cell r="X240">
            <v>0.93199043481809374</v>
          </cell>
          <cell r="Y240">
            <v>0.94590590905744854</v>
          </cell>
          <cell r="Z240">
            <v>1.011238214703728</v>
          </cell>
        </row>
        <row r="241">
          <cell r="C241">
            <v>1.035322663336959</v>
          </cell>
          <cell r="D241">
            <v>1.0432923396554672</v>
          </cell>
          <cell r="E241">
            <v>1.0111099123728686</v>
          </cell>
          <cell r="F241">
            <v>0.97734686243391389</v>
          </cell>
          <cell r="G241">
            <v>1.0315721504370885</v>
          </cell>
          <cell r="H241">
            <v>1.0194724231341956</v>
          </cell>
          <cell r="I241">
            <v>0.98918322867179487</v>
          </cell>
          <cell r="J241">
            <v>0.98598422224702731</v>
          </cell>
          <cell r="K241">
            <v>0.97376945359689338</v>
          </cell>
          <cell r="L241">
            <v>0.97376945359689338</v>
          </cell>
          <cell r="M241">
            <v>1</v>
          </cell>
          <cell r="N241">
            <v>1.0128204127224665</v>
          </cell>
          <cell r="O241">
            <v>0.94552941660547873</v>
          </cell>
          <cell r="P241">
            <v>0.97743221984101369</v>
          </cell>
          <cell r="Q241">
            <v>0.99644036798918223</v>
          </cell>
          <cell r="R241">
            <v>0.94018481336565096</v>
          </cell>
          <cell r="S241">
            <v>0.99016247151744563</v>
          </cell>
          <cell r="T241">
            <v>0.99402153897213164</v>
          </cell>
          <cell r="U241">
            <v>1.0512482963350258</v>
          </cell>
          <cell r="V241">
            <v>0.94522154093624045</v>
          </cell>
          <cell r="W241">
            <v>0.91928900365804311</v>
          </cell>
          <cell r="X241">
            <v>0.90754381647034621</v>
          </cell>
          <cell r="Y241">
            <v>0.92109428021694428</v>
          </cell>
          <cell r="Z241">
            <v>0.98471288378834709</v>
          </cell>
        </row>
        <row r="242">
          <cell r="C242">
            <v>1.0222174141948881</v>
          </cell>
          <cell r="D242">
            <v>1.0300862093123617</v>
          </cell>
          <cell r="E242">
            <v>0.99831115138665105</v>
          </cell>
          <cell r="F242">
            <v>0.96497547853207311</v>
          </cell>
          <cell r="G242">
            <v>1.0185143757758766</v>
          </cell>
          <cell r="H242">
            <v>1.0065678083973926</v>
          </cell>
          <cell r="I242">
            <v>0.97666201850421364</v>
          </cell>
          <cell r="J242">
            <v>0.97350350551949949</v>
          </cell>
          <cell r="K242">
            <v>0.96144335300213402</v>
          </cell>
          <cell r="L242">
            <v>0.96144335300213402</v>
          </cell>
          <cell r="M242">
            <v>0.98734186973186577</v>
          </cell>
          <cell r="N242">
            <v>1</v>
          </cell>
          <cell r="O242">
            <v>0.93356078207773363</v>
          </cell>
          <cell r="P242">
            <v>0.96505975547399458</v>
          </cell>
          <cell r="Q242">
            <v>0.98382729600674756</v>
          </cell>
          <cell r="R242">
            <v>0.92828383152194704</v>
          </cell>
          <cell r="S242">
            <v>0.97762886596636012</v>
          </cell>
          <cell r="T242">
            <v>0.98143908484249121</v>
          </cell>
          <cell r="U242">
            <v>1.0379414584558628</v>
          </cell>
          <cell r="V242">
            <v>0.9332568035388229</v>
          </cell>
          <cell r="W242">
            <v>0.90765252369567628</v>
          </cell>
          <cell r="X242">
            <v>0.89605600861742485</v>
          </cell>
          <cell r="Y242">
            <v>0.90943494882872489</v>
          </cell>
          <cell r="Z242">
            <v>0.97224825982864405</v>
          </cell>
        </row>
        <row r="243">
          <cell r="C243">
            <v>1.0949661059238587</v>
          </cell>
          <cell r="D243">
            <v>1.1033949037788424</v>
          </cell>
          <cell r="E243">
            <v>1.0693584933643088</v>
          </cell>
          <cell r="F243">
            <v>1.0336504029061964</v>
          </cell>
          <cell r="G243">
            <v>1.090999531395342</v>
          </cell>
          <cell r="H243">
            <v>1.0782027562867138</v>
          </cell>
          <cell r="I243">
            <v>1.0461686450994159</v>
          </cell>
          <cell r="J243">
            <v>1.0427853485371024</v>
          </cell>
          <cell r="K243">
            <v>1.0298669047154538</v>
          </cell>
          <cell r="L243">
            <v>1.0298669047154538</v>
          </cell>
          <cell r="M243">
            <v>1.0576085549935343</v>
          </cell>
          <cell r="N243">
            <v>1.0711675331673629</v>
          </cell>
          <cell r="O243">
            <v>1</v>
          </cell>
          <cell r="P243">
            <v>1.0337406776301772</v>
          </cell>
          <cell r="Q243">
            <v>1.0538438577262648</v>
          </cell>
          <cell r="R243">
            <v>0.99434750189051191</v>
          </cell>
          <cell r="S243">
            <v>1.0472043007103924</v>
          </cell>
          <cell r="T243">
            <v>1.0512856834647655</v>
          </cell>
          <cell r="U243">
            <v>1.1118091916263015</v>
          </cell>
          <cell r="V243">
            <v>0.99967438805833919</v>
          </cell>
          <cell r="W243">
            <v>0.97224791478022887</v>
          </cell>
          <cell r="X243">
            <v>0.95982610433052029</v>
          </cell>
          <cell r="Y243">
            <v>0.97415719071305218</v>
          </cell>
          <cell r="Z243">
            <v>1.0414407701069099</v>
          </cell>
        </row>
        <row r="244">
          <cell r="C244">
            <v>1.0592270669216957</v>
          </cell>
          <cell r="D244">
            <v>1.067380753854386</v>
          </cell>
          <cell r="E244">
            <v>1.0344552715249482</v>
          </cell>
          <cell r="F244">
            <v>0.99991267178903342</v>
          </cell>
          <cell r="G244">
            <v>1.0553899590141207</v>
          </cell>
          <cell r="H244">
            <v>1.0430108629936714</v>
          </cell>
          <cell r="I244">
            <v>1.0120223260418943</v>
          </cell>
          <cell r="J244">
            <v>1.0087494582564556</v>
          </cell>
          <cell r="K244">
            <v>0.99625266471703156</v>
          </cell>
          <cell r="L244">
            <v>0.99625266471703156</v>
          </cell>
          <cell r="M244">
            <v>1.0230888441171471</v>
          </cell>
          <cell r="N244">
            <v>1.0362052653504801</v>
          </cell>
          <cell r="O244">
            <v>0.9673605979136598</v>
          </cell>
          <cell r="P244">
            <v>1</v>
          </cell>
          <cell r="Q244">
            <v>1.0194470243177172</v>
          </cell>
          <cell r="R244">
            <v>0.96189259396275961</v>
          </cell>
          <cell r="S244">
            <v>1.0130241784729612</v>
          </cell>
          <cell r="T244">
            <v>1.016972347334546</v>
          </cell>
          <cell r="U244">
            <v>1.0755204043775217</v>
          </cell>
          <cell r="V244">
            <v>0.96704561375108689</v>
          </cell>
          <cell r="W244">
            <v>0.94051432416211123</v>
          </cell>
          <cell r="X244">
            <v>0.92849795417831082</v>
          </cell>
          <cell r="Y244">
            <v>0.94236128247006923</v>
          </cell>
          <cell r="Z244">
            <v>1.0074487660622826</v>
          </cell>
        </row>
        <row r="245">
          <cell r="C245">
            <v>1.0390211964477527</v>
          </cell>
          <cell r="D245">
            <v>1.0470193432255583</v>
          </cell>
          <cell r="E245">
            <v>1.0147219491049821</v>
          </cell>
          <cell r="F245">
            <v>0.98083828579345989</v>
          </cell>
          <cell r="G245">
            <v>1.0352572854096651</v>
          </cell>
          <cell r="H245">
            <v>1.0231143336670434</v>
          </cell>
          <cell r="I245">
            <v>0.9927169356536284</v>
          </cell>
          <cell r="J245">
            <v>0.98950650126383843</v>
          </cell>
          <cell r="K245">
            <v>0.97724809720621941</v>
          </cell>
          <cell r="L245">
            <v>0.97724809720621941</v>
          </cell>
          <cell r="M245">
            <v>1.0035723482560237</v>
          </cell>
          <cell r="N245">
            <v>1.0164385599575207</v>
          </cell>
          <cell r="O245">
            <v>0.94890717696790849</v>
          </cell>
          <cell r="P245">
            <v>0.98092394812694417</v>
          </cell>
          <cell r="Q245">
            <v>1</v>
          </cell>
          <cell r="R245">
            <v>0.94354348094401774</v>
          </cell>
          <cell r="S245">
            <v>0.9936996766957511</v>
          </cell>
          <cell r="T245">
            <v>0.9975725300833288</v>
          </cell>
          <cell r="U245">
            <v>1.0550037213530861</v>
          </cell>
          <cell r="V245">
            <v>0.94859820145956009</v>
          </cell>
          <cell r="W245">
            <v>0.92257302412704267</v>
          </cell>
          <cell r="X245">
            <v>0.91078587904037922</v>
          </cell>
          <cell r="Y245">
            <v>0.92438474976251073</v>
          </cell>
          <cell r="Z245">
            <v>0.98823062114143245</v>
          </cell>
        </row>
        <row r="246">
          <cell r="C246">
            <v>1.1011905836159339</v>
          </cell>
          <cell r="D246">
            <v>1.1096672960720504</v>
          </cell>
          <cell r="E246">
            <v>1.0754374012417003</v>
          </cell>
          <cell r="F246">
            <v>1.0395263234844552</v>
          </cell>
          <cell r="G246">
            <v>1.0972014605769811</v>
          </cell>
          <cell r="H246">
            <v>1.0843319405306207</v>
          </cell>
          <cell r="I246">
            <v>1.0521157272587083</v>
          </cell>
          <cell r="J246">
            <v>1.0487131979056594</v>
          </cell>
          <cell r="K246">
            <v>1.0357213175046052</v>
          </cell>
          <cell r="L246">
            <v>1.0357213175046052</v>
          </cell>
          <cell r="M246">
            <v>1.0636206688132135</v>
          </cell>
          <cell r="N246">
            <v>1.0772567247675446</v>
          </cell>
          <cell r="O246">
            <v>1.0056846304724869</v>
          </cell>
          <cell r="P246">
            <v>1.0396171113868828</v>
          </cell>
          <cell r="Q246">
            <v>1.0598345706331387</v>
          </cell>
          <cell r="R246">
            <v>1</v>
          </cell>
          <cell r="S246">
            <v>1.0531572701891301</v>
          </cell>
          <cell r="T246">
            <v>1.0572618540962784</v>
          </cell>
          <cell r="U246">
            <v>1.1181294160366113</v>
          </cell>
          <cell r="V246">
            <v>1.0053571675472603</v>
          </cell>
          <cell r="W246">
            <v>0.97777478490340042</v>
          </cell>
          <cell r="X246">
            <v>0.9652823610514859</v>
          </cell>
          <cell r="Y246">
            <v>0.97969491436437184</v>
          </cell>
          <cell r="Z246">
            <v>1.04736097604395</v>
          </cell>
        </row>
        <row r="247">
          <cell r="C247">
            <v>1.045608870380943</v>
          </cell>
          <cell r="D247">
            <v>1.053657727561214</v>
          </cell>
          <cell r="E247">
            <v>1.0211555592723289</v>
          </cell>
          <cell r="F247">
            <v>0.98705706441904273</v>
          </cell>
          <cell r="G247">
            <v>1.0418210951341971</v>
          </cell>
          <cell r="H247">
            <v>1.029601153810477</v>
          </cell>
          <cell r="I247">
            <v>0.99901102811526465</v>
          </cell>
          <cell r="J247">
            <v>0.99578023870767896</v>
          </cell>
          <cell r="K247">
            <v>0.98344411307022206</v>
          </cell>
          <cell r="L247">
            <v>0.98344411307022206</v>
          </cell>
          <cell r="M247">
            <v>1.0099352669541981</v>
          </cell>
          <cell r="N247">
            <v>1.0228830538995253</v>
          </cell>
          <cell r="O247">
            <v>0.95492350377250135</v>
          </cell>
          <cell r="P247">
            <v>0.98714326987476864</v>
          </cell>
          <cell r="Q247">
            <v>1.0063402690490941</v>
          </cell>
          <cell r="R247">
            <v>0.94952580047272162</v>
          </cell>
          <cell r="S247">
            <v>1</v>
          </cell>
          <cell r="T247">
            <v>1.0038974083200425</v>
          </cell>
          <cell r="U247">
            <v>1.0616927287942601</v>
          </cell>
          <cell r="V247">
            <v>0.95461256927630045</v>
          </cell>
          <cell r="W247">
            <v>0.92842238531744448</v>
          </cell>
          <cell r="X247">
            <v>0.91656050655961085</v>
          </cell>
          <cell r="Y247">
            <v>0.93024559778088456</v>
          </cell>
          <cell r="Z247">
            <v>0.99449626916202249</v>
          </cell>
        </row>
        <row r="248">
          <cell r="C248">
            <v>1.0415495265902737</v>
          </cell>
          <cell r="D248">
            <v>1.0495671358734178</v>
          </cell>
          <cell r="E248">
            <v>1.0171911500211628</v>
          </cell>
          <cell r="F248">
            <v>0.98322503498720937</v>
          </cell>
          <cell r="G248">
            <v>1.0377764565381411</v>
          </cell>
          <cell r="H248">
            <v>1.0256039564176662</v>
          </cell>
          <cell r="I248">
            <v>0.99513259007914467</v>
          </cell>
          <cell r="J248">
            <v>0.99191434349258134</v>
          </cell>
          <cell r="K248">
            <v>0.97962611011811673</v>
          </cell>
          <cell r="L248">
            <v>0.97962611011811673</v>
          </cell>
          <cell r="M248">
            <v>1.0060144179914354</v>
          </cell>
          <cell r="N248">
            <v>1.0189119380348375</v>
          </cell>
          <cell r="O248">
            <v>0.9512162257401422</v>
          </cell>
          <cell r="P248">
            <v>0.98331090576943414</v>
          </cell>
          <cell r="Q248">
            <v>1.0024333768658089</v>
          </cell>
          <cell r="R248">
            <v>0.94583947782243172</v>
          </cell>
          <cell r="S248">
            <v>0.99611772250058439</v>
          </cell>
          <cell r="T248">
            <v>1</v>
          </cell>
          <cell r="U248">
            <v>1.0575709430019691</v>
          </cell>
          <cell r="V248">
            <v>0.95090649837793972</v>
          </cell>
          <cell r="W248">
            <v>0.92481799198097281</v>
          </cell>
          <cell r="X248">
            <v>0.91300216432814141</v>
          </cell>
          <cell r="Y248">
            <v>0.92663412622768937</v>
          </cell>
          <cell r="Z248">
            <v>0.9906353586730019</v>
          </cell>
        </row>
        <row r="249">
          <cell r="C249">
            <v>0.9848507407302457</v>
          </cell>
          <cell r="D249">
            <v>0.99243189576877744</v>
          </cell>
          <cell r="E249">
            <v>0.96181836003721299</v>
          </cell>
          <cell r="F249">
            <v>0.92970125691641547</v>
          </cell>
          <cell r="G249">
            <v>0.98128306512692165</v>
          </cell>
          <cell r="H249">
            <v>0.9697731988611914</v>
          </cell>
          <cell r="I249">
            <v>0.94096060095449496</v>
          </cell>
          <cell r="J249">
            <v>0.93791754591609899</v>
          </cell>
          <cell r="K249">
            <v>0.9262982465624463</v>
          </cell>
          <cell r="L249">
            <v>0.9262982465624463</v>
          </cell>
          <cell r="M249">
            <v>0.95125005527838369</v>
          </cell>
          <cell r="N249">
            <v>0.96344547358932164</v>
          </cell>
          <cell r="O249">
            <v>0.89943490981329965</v>
          </cell>
          <cell r="P249">
            <v>0.92978245315463759</v>
          </cell>
          <cell r="Q249">
            <v>0.9478639551313226</v>
          </cell>
          <cell r="R249">
            <v>0.89435085568597239</v>
          </cell>
          <cell r="S249">
            <v>0.94189210576555127</v>
          </cell>
          <cell r="T249">
            <v>0.94556304389514434</v>
          </cell>
          <cell r="U249">
            <v>1</v>
          </cell>
          <cell r="V249">
            <v>0.89914204306591772</v>
          </cell>
          <cell r="W249">
            <v>0.87447371554652376</v>
          </cell>
          <cell r="X249">
            <v>0.86330110558497219</v>
          </cell>
          <cell r="Y249">
            <v>0.87619098497297132</v>
          </cell>
          <cell r="Z249">
            <v>0.93670818513700183</v>
          </cell>
        </row>
        <row r="250">
          <cell r="C250">
            <v>1.0953227560932155</v>
          </cell>
          <cell r="D250">
            <v>1.1037542993593732</v>
          </cell>
          <cell r="E250">
            <v>1.0697068026733352</v>
          </cell>
          <cell r="F250">
            <v>1.0339870814474386</v>
          </cell>
          <cell r="G250">
            <v>1.0913548895799792</v>
          </cell>
          <cell r="H250">
            <v>1.0785539463313647</v>
          </cell>
          <cell r="I250">
            <v>1.0465094010574605</v>
          </cell>
          <cell r="J250">
            <v>1.0431250024945597</v>
          </cell>
          <cell r="K250">
            <v>1.0302023509032352</v>
          </cell>
          <cell r="L250">
            <v>1.0302023509032352</v>
          </cell>
          <cell r="M250">
            <v>1.0579530371361423</v>
          </cell>
          <cell r="N250">
            <v>1.0715164317132144</v>
          </cell>
          <cell r="O250">
            <v>1.000325717999331</v>
          </cell>
          <cell r="P250">
            <v>1.0340773855755219</v>
          </cell>
          <cell r="Q250">
            <v>1.0541871136392105</v>
          </cell>
          <cell r="R250">
            <v>0.99467137876946754</v>
          </cell>
          <cell r="S250">
            <v>1.0475453940001105</v>
          </cell>
          <cell r="T250">
            <v>1.0516281061343089</v>
          </cell>
          <cell r="U250">
            <v>1.1121713278918359</v>
          </cell>
          <cell r="V250">
            <v>1</v>
          </cell>
          <cell r="W250">
            <v>0.97256459342588486</v>
          </cell>
          <cell r="X250">
            <v>0.96013873696892849</v>
          </cell>
          <cell r="Y250">
            <v>0.97447449124424512</v>
          </cell>
          <cell r="Z250">
            <v>1.0417799861109709</v>
          </cell>
        </row>
        <row r="251">
          <cell r="C251">
            <v>1.1262210895781346</v>
          </cell>
          <cell r="D251">
            <v>1.1348904811261626</v>
          </cell>
          <cell r="E251">
            <v>1.0998825269849317</v>
          </cell>
          <cell r="F251">
            <v>1.06315517595103</v>
          </cell>
          <cell r="G251">
            <v>1.1221412921641043</v>
          </cell>
          <cell r="H251">
            <v>1.1089792427381397</v>
          </cell>
          <cell r="I251">
            <v>1.0760307419490802</v>
          </cell>
          <cell r="J251">
            <v>1.0725508717319472</v>
          </cell>
          <cell r="K251">
            <v>1.0592636806510913</v>
          </cell>
          <cell r="L251">
            <v>1.0592636806510913</v>
          </cell>
          <cell r="M251">
            <v>1.0877971954638759</v>
          </cell>
          <cell r="N251">
            <v>1.1017432044680644</v>
          </cell>
          <cell r="O251">
            <v>1.0285442476120346</v>
          </cell>
          <cell r="P251">
            <v>1.0632480274990852</v>
          </cell>
          <cell r="Q251">
            <v>1.0839250377456249</v>
          </cell>
          <cell r="R251">
            <v>1.0227304031968827</v>
          </cell>
          <cell r="S251">
            <v>1.0770959595702572</v>
          </cell>
          <cell r="T251">
            <v>1.0812938423245706</v>
          </cell>
          <cell r="U251">
            <v>1.1435449484894185</v>
          </cell>
          <cell r="V251">
            <v>1.0282093413224855</v>
          </cell>
          <cell r="W251">
            <v>1</v>
          </cell>
          <cell r="X251">
            <v>0.9872236183170251</v>
          </cell>
          <cell r="Y251">
            <v>1.0019637747778094</v>
          </cell>
          <cell r="Z251">
            <v>1.0711679133221095</v>
          </cell>
        </row>
        <row r="252">
          <cell r="C252">
            <v>1.140796339028098</v>
          </cell>
          <cell r="D252">
            <v>1.1495779275022546</v>
          </cell>
          <cell r="E252">
            <v>1.1141169098648214</v>
          </cell>
          <cell r="F252">
            <v>1.0769142433640817</v>
          </cell>
          <cell r="G252">
            <v>1.1366637419767984</v>
          </cell>
          <cell r="H252">
            <v>1.1233313528587152</v>
          </cell>
          <cell r="I252">
            <v>1.0899564414630289</v>
          </cell>
          <cell r="J252">
            <v>1.0864315357045289</v>
          </cell>
          <cell r="K252">
            <v>1.0729723853820241</v>
          </cell>
          <cell r="L252">
            <v>1.0729723853820241</v>
          </cell>
          <cell r="M252">
            <v>1.1018751732442384</v>
          </cell>
          <cell r="N252">
            <v>1.1160016677338687</v>
          </cell>
          <cell r="O252">
            <v>1.0418553897296856</v>
          </cell>
          <cell r="P252">
            <v>1.0770082965718175</v>
          </cell>
          <cell r="Q252">
            <v>1.0979529031056328</v>
          </cell>
          <cell r="R252">
            <v>1.0359663041088785</v>
          </cell>
          <cell r="S252">
            <v>1.0910354448432287</v>
          </cell>
          <cell r="T252">
            <v>1.0952876554634221</v>
          </cell>
          <cell r="U252">
            <v>1.1583443986468669</v>
          </cell>
          <cell r="V252">
            <v>1.0415161491733058</v>
          </cell>
          <cell r="W252">
            <v>1.0129417301672294</v>
          </cell>
          <cell r="X252">
            <v>1</v>
          </cell>
          <cell r="Y252">
            <v>1.0149309195883225</v>
          </cell>
          <cell r="Z252">
            <v>1.0850306794201185</v>
          </cell>
        </row>
        <row r="253">
          <cell r="C253">
            <v>1.1240137796677128</v>
          </cell>
          <cell r="D253">
            <v>1.1326661798504944</v>
          </cell>
          <cell r="E253">
            <v>1.0977268387061561</v>
          </cell>
          <cell r="F253">
            <v>1.0610714705596918</v>
          </cell>
          <cell r="G253">
            <v>1.119941978354402</v>
          </cell>
          <cell r="H253">
            <v>1.1068057255703296</v>
          </cell>
          <cell r="I253">
            <v>1.073921801402147</v>
          </cell>
          <cell r="J253">
            <v>1.0704487514728671</v>
          </cell>
          <cell r="K253">
            <v>1.0571876023022773</v>
          </cell>
          <cell r="L253">
            <v>1.0571876023022773</v>
          </cell>
          <cell r="M253">
            <v>1.0856651935396571</v>
          </cell>
          <cell r="N253">
            <v>1.0995838693992519</v>
          </cell>
          <cell r="O253">
            <v>1.0265283770764262</v>
          </cell>
          <cell r="P253">
            <v>1.0611641401255907</v>
          </cell>
          <cell r="Q253">
            <v>1.0818006249637027</v>
          </cell>
          <cell r="R253">
            <v>1.0207259273656659</v>
          </cell>
          <cell r="S253">
            <v>1.0749849312756927</v>
          </cell>
          <cell r="T253">
            <v>1.0791745864907671</v>
          </cell>
          <cell r="U253">
            <v>1.1413036850988005</v>
          </cell>
          <cell r="V253">
            <v>1.0261941271783963</v>
          </cell>
          <cell r="W253">
            <v>0.99804007407528783</v>
          </cell>
          <cell r="X253">
            <v>0.98528873315399745</v>
          </cell>
          <cell r="Y253">
            <v>1</v>
          </cell>
          <cell r="Z253">
            <v>1.0690685035590697</v>
          </cell>
        </row>
        <row r="254">
          <cell r="C254">
            <v>1.0513954680413118</v>
          </cell>
          <cell r="D254">
            <v>1.0594888691226987</v>
          </cell>
          <cell r="E254">
            <v>1.0268068276744466</v>
          </cell>
          <cell r="F254">
            <v>0.99251962528803839</v>
          </cell>
          <cell r="G254">
            <v>1.0475867305284627</v>
          </cell>
          <cell r="H254">
            <v>1.0352991617334417</v>
          </cell>
          <cell r="I254">
            <v>1.0045397444849606</v>
          </cell>
          <cell r="J254">
            <v>1.0012910752764697</v>
          </cell>
          <cell r="K254">
            <v>0.98888667918169959</v>
          </cell>
          <cell r="L254">
            <v>0.98888667918169959</v>
          </cell>
          <cell r="M254">
            <v>1.0155244401320729</v>
          </cell>
          <cell r="N254">
            <v>1.0285438825843176</v>
          </cell>
          <cell r="O254">
            <v>0.96020823142668421</v>
          </cell>
          <cell r="P254">
            <v>0.99260630782109449</v>
          </cell>
          <cell r="Q254">
            <v>1.0119095468272108</v>
          </cell>
          <cell r="R254">
            <v>0.95478065621383001</v>
          </cell>
          <cell r="S254">
            <v>1.0055341895275434</v>
          </cell>
          <cell r="T254">
            <v>1.0094531668438953</v>
          </cell>
          <cell r="U254">
            <v>1.0675683375754224</v>
          </cell>
          <cell r="V254">
            <v>0.95989557616005072</v>
          </cell>
          <cell r="W254">
            <v>0.93356045075940519</v>
          </cell>
          <cell r="X254">
            <v>0.92163292611637293</v>
          </cell>
          <cell r="Y254">
            <v>0.93539375322616702</v>
          </cell>
          <cell r="Z254">
            <v>1</v>
          </cell>
        </row>
        <row r="259">
          <cell r="C259">
            <v>1</v>
          </cell>
          <cell r="D259">
            <v>1.0076977705605525</v>
          </cell>
          <cell r="E259">
            <v>0.97661332855783334</v>
          </cell>
          <cell r="F259">
            <v>0.94400219085692305</v>
          </cell>
          <cell r="G259">
            <v>0.99637744537748052</v>
          </cell>
          <cell r="H259">
            <v>0.98469053101602522</v>
          </cell>
          <cell r="I259">
            <v>0.95543472938528007</v>
          </cell>
          <cell r="J259">
            <v>0.95234486519312878</v>
          </cell>
          <cell r="K259">
            <v>0.94054683441230502</v>
          </cell>
          <cell r="L259">
            <v>0.94054683441230502</v>
          </cell>
          <cell r="M259">
            <v>0.96588245907501902</v>
          </cell>
          <cell r="N259">
            <v>0.97826547084175153</v>
          </cell>
          <cell r="O259">
            <v>0.913270278038668</v>
          </cell>
          <cell r="P259">
            <v>0.94408463607919291</v>
          </cell>
          <cell r="Q259">
            <v>0.96244427295500823</v>
          </cell>
          <cell r="R259">
            <v>0.90810801951860276</v>
          </cell>
          <cell r="S259">
            <v>0.95638056287306883</v>
          </cell>
          <cell r="T259">
            <v>0.96010796843593738</v>
          </cell>
          <cell r="U259">
            <v>1.0153822895624991</v>
          </cell>
          <cell r="V259">
            <v>0.91297290633017469</v>
          </cell>
          <cell r="W259">
            <v>0.88792512345385477</v>
          </cell>
          <cell r="X259">
            <v>0.87658065317070577</v>
          </cell>
          <cell r="Y259">
            <v>0.88966880841587681</v>
          </cell>
          <cell r="Z259">
            <v>0.95111690167634211</v>
          </cell>
        </row>
        <row r="260">
          <cell r="C260">
            <v>0.99236103245889828</v>
          </cell>
          <cell r="D260">
            <v>1</v>
          </cell>
          <cell r="E260">
            <v>0.96915301104077278</v>
          </cell>
          <cell r="F260">
            <v>0.9367909887622381</v>
          </cell>
          <cell r="G260">
            <v>0.98876615041355609</v>
          </cell>
          <cell r="H260">
            <v>0.97716851201156363</v>
          </cell>
          <cell r="I260">
            <v>0.94813619449986464</v>
          </cell>
          <cell r="J260">
            <v>0.94506993367998371</v>
          </cell>
          <cell r="K260">
            <v>0.93336202767334342</v>
          </cell>
          <cell r="L260">
            <v>0.93336202767334342</v>
          </cell>
          <cell r="M260">
            <v>0.95850411432162552</v>
          </cell>
          <cell r="N260">
            <v>0.97079253266341092</v>
          </cell>
          <cell r="O260">
            <v>0.90629383602847768</v>
          </cell>
          <cell r="P260">
            <v>0.93687280418813113</v>
          </cell>
          <cell r="Q260">
            <v>0.95509219239378562</v>
          </cell>
          <cell r="R260">
            <v>0.90117101183368598</v>
          </cell>
          <cell r="S260">
            <v>0.94907480279634093</v>
          </cell>
          <cell r="T260">
            <v>0.95277373482910221</v>
          </cell>
          <cell r="U260">
            <v>1.0076258172107215</v>
          </cell>
          <cell r="V260">
            <v>0.90599873593281322</v>
          </cell>
          <cell r="W260">
            <v>0.88114229225686214</v>
          </cell>
          <cell r="X260">
            <v>0.86988448201397706</v>
          </cell>
          <cell r="Y260">
            <v>0.88287265726605735</v>
          </cell>
          <cell r="Z260">
            <v>0.94385135053664326</v>
          </cell>
        </row>
        <row r="261">
          <cell r="C261">
            <v>1.0239467051680544</v>
          </cell>
          <cell r="D261">
            <v>1.0318288119706718</v>
          </cell>
          <cell r="E261">
            <v>1</v>
          </cell>
          <cell r="F261">
            <v>0.9666079329993712</v>
          </cell>
          <cell r="G261">
            <v>1.0202374022980343</v>
          </cell>
          <cell r="H261">
            <v>1.008270624844041</v>
          </cell>
          <cell r="I261">
            <v>0.97831424315718918</v>
          </cell>
          <cell r="J261">
            <v>0.9751503868982192</v>
          </cell>
          <cell r="K261">
            <v>0.96306983215272324</v>
          </cell>
          <cell r="L261">
            <v>0.96306983215272324</v>
          </cell>
          <cell r="M261">
            <v>0.98901216154948379</v>
          </cell>
          <cell r="N261">
            <v>1.001691705648087</v>
          </cell>
          <cell r="O261">
            <v>0.935140092125607</v>
          </cell>
          <cell r="P261">
            <v>0.96669235251307117</v>
          </cell>
          <cell r="Q261">
            <v>0.98549164220014418</v>
          </cell>
          <cell r="R261">
            <v>0.92985421452276051</v>
          </cell>
          <cell r="S261">
            <v>0.97928272624064816</v>
          </cell>
          <cell r="T261">
            <v>0.98309939088557241</v>
          </cell>
          <cell r="U261">
            <v>1.0396973498835163</v>
          </cell>
          <cell r="V261">
            <v>0.93483559934448501</v>
          </cell>
          <cell r="W261">
            <v>0.9091880045965125</v>
          </cell>
          <cell r="X261">
            <v>0.89757187162820518</v>
          </cell>
          <cell r="Y261">
            <v>0.91097344506822608</v>
          </cell>
          <cell r="Z261">
            <v>0.97389301770113879</v>
          </cell>
        </row>
        <row r="262">
          <cell r="C262">
            <v>1.0593195754050577</v>
          </cell>
          <cell r="D262">
            <v>1.0674739744468278</v>
          </cell>
          <cell r="E262">
            <v>1.0345456165428042</v>
          </cell>
          <cell r="F262">
            <v>1</v>
          </cell>
          <cell r="G262">
            <v>1.0554821323804489</v>
          </cell>
          <cell r="H262">
            <v>1.0431019552212766</v>
          </cell>
          <cell r="I262">
            <v>1.0121107118596611</v>
          </cell>
          <cell r="J262">
            <v>1.0088375582355722</v>
          </cell>
          <cell r="K262">
            <v>0.99633967327821404</v>
          </cell>
          <cell r="L262">
            <v>0.99633967327821404</v>
          </cell>
          <cell r="M262">
            <v>1.0231781964385422</v>
          </cell>
          <cell r="N262">
            <v>1.0362957632055132</v>
          </cell>
          <cell r="O262">
            <v>0.96744508316198075</v>
          </cell>
          <cell r="P262">
            <v>1.000087335837849</v>
          </cell>
          <cell r="Q262">
            <v>1.0195360585777287</v>
          </cell>
          <cell r="R262">
            <v>0.96197660165837418</v>
          </cell>
          <cell r="S262">
            <v>1.0131126517883495</v>
          </cell>
          <cell r="T262">
            <v>1.0170611654665698</v>
          </cell>
          <cell r="U262">
            <v>1.0756143358531618</v>
          </cell>
          <cell r="V262">
            <v>0.96713007149000219</v>
          </cell>
          <cell r="W262">
            <v>0.94059646476862091</v>
          </cell>
          <cell r="X262">
            <v>0.92857904532508018</v>
          </cell>
          <cell r="Y262">
            <v>0.9424435843822303</v>
          </cell>
          <cell r="Z262">
            <v>1.0075367524443568</v>
          </cell>
        </row>
        <row r="263">
          <cell r="C263">
            <v>1.0036357252357786</v>
          </cell>
          <cell r="D263">
            <v>1.0113614827750175</v>
          </cell>
          <cell r="E263">
            <v>0.98016402628206878</v>
          </cell>
          <cell r="F263">
            <v>0.94743432344485179</v>
          </cell>
          <cell r="G263">
            <v>1</v>
          </cell>
          <cell r="H263">
            <v>0.98827059522907235</v>
          </cell>
          <cell r="I263">
            <v>0.95890842754204542</v>
          </cell>
          <cell r="J263">
            <v>0.95580732945267566</v>
          </cell>
          <cell r="K263">
            <v>0.94396640427360945</v>
          </cell>
          <cell r="L263">
            <v>0.94396640427360945</v>
          </cell>
          <cell r="M263">
            <v>0.96939414230627396</v>
          </cell>
          <cell r="N263">
            <v>0.98182217530138172</v>
          </cell>
          <cell r="O263">
            <v>0.91659067783561965</v>
          </cell>
          <cell r="P263">
            <v>0.94751706841529681</v>
          </cell>
          <cell r="Q263">
            <v>0.96594345588622121</v>
          </cell>
          <cell r="R263">
            <v>0.91140965076197944</v>
          </cell>
          <cell r="S263">
            <v>0.95985769982051461</v>
          </cell>
          <cell r="T263">
            <v>0.96359865720585203</v>
          </cell>
          <cell r="U263">
            <v>1.019073940576624</v>
          </cell>
          <cell r="V263">
            <v>0.91629222496530138</v>
          </cell>
          <cell r="W263">
            <v>0.89115337523267779</v>
          </cell>
          <cell r="X263">
            <v>0.8797676595726337</v>
          </cell>
          <cell r="Y263">
            <v>0.89290339975411948</v>
          </cell>
          <cell r="Z263">
            <v>0.95457490139794221</v>
          </cell>
        </row>
        <row r="264">
          <cell r="C264">
            <v>1.01554749284344</v>
          </cell>
          <cell r="D264">
            <v>1.0233649444366932</v>
          </cell>
          <cell r="E264">
            <v>0.99179721729439441</v>
          </cell>
          <cell r="F264">
            <v>0.95867905816346277</v>
          </cell>
          <cell r="G264">
            <v>1.011868616578852</v>
          </cell>
          <cell r="H264">
            <v>1</v>
          </cell>
          <cell r="I264">
            <v>0.97028934400277167</v>
          </cell>
          <cell r="J264">
            <v>0.96715144016920584</v>
          </cell>
          <cell r="K264">
            <v>0.95516997958925043</v>
          </cell>
          <cell r="L264">
            <v>0.95516997958925043</v>
          </cell>
          <cell r="M264">
            <v>0.9808995096950921</v>
          </cell>
          <cell r="N264">
            <v>0.99347504624864813</v>
          </cell>
          <cell r="O264">
            <v>0.92746934115060065</v>
          </cell>
          <cell r="P264">
            <v>0.95876278520223579</v>
          </cell>
          <cell r="Q264">
            <v>0.97740786840098604</v>
          </cell>
          <cell r="R264">
            <v>0.92222682245313869</v>
          </cell>
          <cell r="S264">
            <v>0.97124988282994307</v>
          </cell>
          <cell r="T264">
            <v>0.9750352402041248</v>
          </cell>
          <cell r="U264">
            <v>1.0311689384428278</v>
          </cell>
          <cell r="V264">
            <v>0.92716734605759765</v>
          </cell>
          <cell r="W264">
            <v>0.90173013295626414</v>
          </cell>
          <cell r="X264">
            <v>0.89020928460257531</v>
          </cell>
          <cell r="Y264">
            <v>0.90350092784775449</v>
          </cell>
          <cell r="Z264">
            <v>0.96590438489842978</v>
          </cell>
        </row>
        <row r="265">
          <cell r="C265">
            <v>1.046643971842423</v>
          </cell>
          <cell r="D265">
            <v>1.0547007969962514</v>
          </cell>
          <cell r="E265">
            <v>1.0221664531560199</v>
          </cell>
          <cell r="F265">
            <v>0.98803420246643892</v>
          </cell>
          <cell r="G265">
            <v>1.042852446884093</v>
          </cell>
          <cell r="H265">
            <v>1.0306204084182371</v>
          </cell>
          <cell r="I265">
            <v>1</v>
          </cell>
          <cell r="J265">
            <v>0.99676601226947315</v>
          </cell>
          <cell r="K265">
            <v>0.98441767447311257</v>
          </cell>
          <cell r="L265">
            <v>0.98441767447311257</v>
          </cell>
          <cell r="M265">
            <v>1.0109350532992043</v>
          </cell>
          <cell r="N265">
            <v>1.0238956579181089</v>
          </cell>
          <cell r="O265">
            <v>0.95586883117202537</v>
          </cell>
          <cell r="P265">
            <v>0.98812049326133489</v>
          </cell>
          <cell r="Q265">
            <v>1.0073364965226228</v>
          </cell>
          <cell r="R265">
            <v>0.9504657844109069</v>
          </cell>
          <cell r="S265">
            <v>1.0009899509183608</v>
          </cell>
          <cell r="T265">
            <v>1.0048912174813491</v>
          </cell>
          <cell r="U265">
            <v>1.0627437524861472</v>
          </cell>
          <cell r="V265">
            <v>0.95555758886593434</v>
          </cell>
          <cell r="W265">
            <v>0.92934147791041632</v>
          </cell>
          <cell r="X265">
            <v>0.91746785647481288</v>
          </cell>
          <cell r="Y265">
            <v>0.93116649526470896</v>
          </cell>
          <cell r="Z265">
            <v>0.9954807716569859</v>
          </cell>
        </row>
        <row r="266">
          <cell r="C266">
            <v>1.0500397876321905</v>
          </cell>
          <cell r="D266">
            <v>1.0581227529968344</v>
          </cell>
          <cell r="E266">
            <v>1.025482852117634</v>
          </cell>
          <cell r="F266">
            <v>0.99123986001172593</v>
          </cell>
          <cell r="G266">
            <v>1.046235961145674</v>
          </cell>
          <cell r="H266">
            <v>1.033964236071496</v>
          </cell>
          <cell r="I266">
            <v>1.0032444803401388</v>
          </cell>
          <cell r="J266">
            <v>1</v>
          </cell>
          <cell r="K266">
            <v>0.98761159826442568</v>
          </cell>
          <cell r="L266">
            <v>0.98761159826442568</v>
          </cell>
          <cell r="M266">
            <v>1.0142150122047908</v>
          </cell>
          <cell r="N266">
            <v>1.0272176672505775</v>
          </cell>
          <cell r="O266">
            <v>0.95897012880251442</v>
          </cell>
          <cell r="P266">
            <v>0.9913264307754095</v>
          </cell>
          <cell r="Q266">
            <v>1.0106047799814948</v>
          </cell>
          <cell r="R266">
            <v>0.95354955196240265</v>
          </cell>
          <cell r="S266">
            <v>1.0042376431347919</v>
          </cell>
          <cell r="T266">
            <v>1.0081515672804455</v>
          </cell>
          <cell r="U266">
            <v>1.0661918036976936</v>
          </cell>
          <cell r="V266">
            <v>0.95865787667688029</v>
          </cell>
          <cell r="W266">
            <v>0.93235670806477211</v>
          </cell>
          <cell r="X266">
            <v>0.92044456289785459</v>
          </cell>
          <cell r="Y266">
            <v>0.93418764665199117</v>
          </cell>
          <cell r="Z266">
            <v>0.99871058944961311</v>
          </cell>
        </row>
        <row r="267">
          <cell r="C267">
            <v>1.0632112760496866</v>
          </cell>
          <cell r="D267">
            <v>1.0713956325101093</v>
          </cell>
          <cell r="E267">
            <v>1.0383463032631057</v>
          </cell>
          <cell r="F267">
            <v>1.0036737739346888</v>
          </cell>
          <cell r="G267">
            <v>1.0593597351269179</v>
          </cell>
          <cell r="H267">
            <v>1.0469340759955916</v>
          </cell>
          <cell r="I267">
            <v>1.0158289778119105</v>
          </cell>
          <cell r="J267">
            <v>1.0125437993613533</v>
          </cell>
          <cell r="K267">
            <v>1</v>
          </cell>
          <cell r="L267">
            <v>1</v>
          </cell>
          <cell r="M267">
            <v>1.0269371218271601</v>
          </cell>
          <cell r="N267">
            <v>1.0401028795690062</v>
          </cell>
          <cell r="O267">
            <v>0.97099925769174422</v>
          </cell>
          <cell r="P267">
            <v>1.0037614306246627</v>
          </cell>
          <cell r="Q267">
            <v>1.023281603575207</v>
          </cell>
          <cell r="R267">
            <v>0.96551068622332725</v>
          </cell>
          <cell r="S267">
            <v>1.0168345986413929</v>
          </cell>
          <cell r="T267">
            <v>1.0207976182662453</v>
          </cell>
          <cell r="U267">
            <v>1.079565899763997</v>
          </cell>
          <cell r="V267">
            <v>0.97068308873809594</v>
          </cell>
          <cell r="W267">
            <v>0.94405200354394847</v>
          </cell>
          <cell r="X267">
            <v>0.93199043481809374</v>
          </cell>
          <cell r="Y267">
            <v>0.94590590905744854</v>
          </cell>
          <cell r="Z267">
            <v>1.011238214703728</v>
          </cell>
        </row>
        <row r="268">
          <cell r="C268">
            <v>1.0632112760496866</v>
          </cell>
          <cell r="D268">
            <v>1.0713956325101093</v>
          </cell>
          <cell r="E268">
            <v>1.0383463032631057</v>
          </cell>
          <cell r="F268">
            <v>1.0036737739346888</v>
          </cell>
          <cell r="G268">
            <v>1.0593597351269179</v>
          </cell>
          <cell r="H268">
            <v>1.0469340759955916</v>
          </cell>
          <cell r="I268">
            <v>1.0158289778119105</v>
          </cell>
          <cell r="J268">
            <v>1.0125437993613533</v>
          </cell>
          <cell r="K268">
            <v>1</v>
          </cell>
          <cell r="L268">
            <v>1</v>
          </cell>
          <cell r="M268">
            <v>1.0269371218271601</v>
          </cell>
          <cell r="N268">
            <v>1.0401028795690062</v>
          </cell>
          <cell r="O268">
            <v>0.97099925769174422</v>
          </cell>
          <cell r="P268">
            <v>1.0037614306246627</v>
          </cell>
          <cell r="Q268">
            <v>1.023281603575207</v>
          </cell>
          <cell r="R268">
            <v>0.96551068622332725</v>
          </cell>
          <cell r="S268">
            <v>1.0168345986413929</v>
          </cell>
          <cell r="T268">
            <v>1.0207976182662453</v>
          </cell>
          <cell r="U268">
            <v>1.079565899763997</v>
          </cell>
          <cell r="V268">
            <v>0.97068308873809594</v>
          </cell>
          <cell r="W268">
            <v>0.94405200354394847</v>
          </cell>
          <cell r="X268">
            <v>0.93199043481809374</v>
          </cell>
          <cell r="Y268">
            <v>0.94590590905744854</v>
          </cell>
          <cell r="Z268">
            <v>1.011238214703728</v>
          </cell>
        </row>
        <row r="269">
          <cell r="C269">
            <v>1.035322663336959</v>
          </cell>
          <cell r="D269">
            <v>1.0432923396554672</v>
          </cell>
          <cell r="E269">
            <v>1.0111099123728686</v>
          </cell>
          <cell r="F269">
            <v>0.97734686243391389</v>
          </cell>
          <cell r="G269">
            <v>1.0315721504370885</v>
          </cell>
          <cell r="H269">
            <v>1.0194724231341956</v>
          </cell>
          <cell r="I269">
            <v>0.98918322867179487</v>
          </cell>
          <cell r="J269">
            <v>0.98598422224702731</v>
          </cell>
          <cell r="K269">
            <v>0.97376945359689338</v>
          </cell>
          <cell r="L269">
            <v>0.97376945359689338</v>
          </cell>
          <cell r="M269">
            <v>1</v>
          </cell>
          <cell r="N269">
            <v>1.0128204127224665</v>
          </cell>
          <cell r="O269">
            <v>0.94552941660547873</v>
          </cell>
          <cell r="P269">
            <v>0.97743221984101369</v>
          </cell>
          <cell r="Q269">
            <v>0.99644036798918223</v>
          </cell>
          <cell r="R269">
            <v>0.94018481336565096</v>
          </cell>
          <cell r="S269">
            <v>0.99016247151744563</v>
          </cell>
          <cell r="T269">
            <v>0.99402153897213164</v>
          </cell>
          <cell r="U269">
            <v>1.0512482963350258</v>
          </cell>
          <cell r="V269">
            <v>0.94522154093624045</v>
          </cell>
          <cell r="W269">
            <v>0.91928900365804311</v>
          </cell>
          <cell r="X269">
            <v>0.90754381647034621</v>
          </cell>
          <cell r="Y269">
            <v>0.92109428021694428</v>
          </cell>
          <cell r="Z269">
            <v>0.98471288378834709</v>
          </cell>
        </row>
        <row r="270">
          <cell r="C270">
            <v>1.0222174141948881</v>
          </cell>
          <cell r="D270">
            <v>1.0300862093123617</v>
          </cell>
          <cell r="E270">
            <v>0.99831115138665105</v>
          </cell>
          <cell r="F270">
            <v>0.96497547853207311</v>
          </cell>
          <cell r="G270">
            <v>1.0185143757758766</v>
          </cell>
          <cell r="H270">
            <v>1.0065678083973926</v>
          </cell>
          <cell r="I270">
            <v>0.97666201850421364</v>
          </cell>
          <cell r="J270">
            <v>0.97350350551949949</v>
          </cell>
          <cell r="K270">
            <v>0.96144335300213402</v>
          </cell>
          <cell r="L270">
            <v>0.96144335300213402</v>
          </cell>
          <cell r="M270">
            <v>0.98734186973186577</v>
          </cell>
          <cell r="N270">
            <v>1</v>
          </cell>
          <cell r="O270">
            <v>0.93356078207773363</v>
          </cell>
          <cell r="P270">
            <v>0.96505975547399458</v>
          </cell>
          <cell r="Q270">
            <v>0.98382729600674756</v>
          </cell>
          <cell r="R270">
            <v>0.92828383152194704</v>
          </cell>
          <cell r="S270">
            <v>0.97762886596636012</v>
          </cell>
          <cell r="T270">
            <v>0.98143908484249121</v>
          </cell>
          <cell r="U270">
            <v>1.0379414584558628</v>
          </cell>
          <cell r="V270">
            <v>0.9332568035388229</v>
          </cell>
          <cell r="W270">
            <v>0.90765252369567628</v>
          </cell>
          <cell r="X270">
            <v>0.89605600861742485</v>
          </cell>
          <cell r="Y270">
            <v>0.90943494882872489</v>
          </cell>
          <cell r="Z270">
            <v>0.97224825982864405</v>
          </cell>
        </row>
        <row r="271">
          <cell r="C271">
            <v>1.0949661059238587</v>
          </cell>
          <cell r="D271">
            <v>1.1033949037788424</v>
          </cell>
          <cell r="E271">
            <v>1.0693584933643088</v>
          </cell>
          <cell r="F271">
            <v>1.0336504029061964</v>
          </cell>
          <cell r="G271">
            <v>1.090999531395342</v>
          </cell>
          <cell r="H271">
            <v>1.0782027562867138</v>
          </cell>
          <cell r="I271">
            <v>1.0461686450994159</v>
          </cell>
          <cell r="J271">
            <v>1.0427853485371024</v>
          </cell>
          <cell r="K271">
            <v>1.0298669047154538</v>
          </cell>
          <cell r="L271">
            <v>1.0298669047154538</v>
          </cell>
          <cell r="M271">
            <v>1.0576085549935343</v>
          </cell>
          <cell r="N271">
            <v>1.0711675331673629</v>
          </cell>
          <cell r="O271">
            <v>1</v>
          </cell>
          <cell r="P271">
            <v>1.0337406776301772</v>
          </cell>
          <cell r="Q271">
            <v>1.0538438577262648</v>
          </cell>
          <cell r="R271">
            <v>0.99434750189051191</v>
          </cell>
          <cell r="S271">
            <v>1.0472043007103924</v>
          </cell>
          <cell r="T271">
            <v>1.0512856834647655</v>
          </cell>
          <cell r="U271">
            <v>1.1118091916263015</v>
          </cell>
          <cell r="V271">
            <v>0.99967438805833919</v>
          </cell>
          <cell r="W271">
            <v>0.97224791478022887</v>
          </cell>
          <cell r="X271">
            <v>0.95982610433052029</v>
          </cell>
          <cell r="Y271">
            <v>0.97415719071305218</v>
          </cell>
          <cell r="Z271">
            <v>1.0414407701069099</v>
          </cell>
        </row>
        <row r="272">
          <cell r="C272">
            <v>1.0592270669216957</v>
          </cell>
          <cell r="D272">
            <v>1.067380753854386</v>
          </cell>
          <cell r="E272">
            <v>1.0344552715249482</v>
          </cell>
          <cell r="F272">
            <v>0.99991267178903342</v>
          </cell>
          <cell r="G272">
            <v>1.0553899590141207</v>
          </cell>
          <cell r="H272">
            <v>1.0430108629936714</v>
          </cell>
          <cell r="I272">
            <v>1.0120223260418943</v>
          </cell>
          <cell r="J272">
            <v>1.0087494582564556</v>
          </cell>
          <cell r="K272">
            <v>0.99625266471703156</v>
          </cell>
          <cell r="L272">
            <v>0.99625266471703156</v>
          </cell>
          <cell r="M272">
            <v>1.0230888441171471</v>
          </cell>
          <cell r="N272">
            <v>1.0362052653504801</v>
          </cell>
          <cell r="O272">
            <v>0.9673605979136598</v>
          </cell>
          <cell r="P272">
            <v>1</v>
          </cell>
          <cell r="Q272">
            <v>1.0194470243177172</v>
          </cell>
          <cell r="R272">
            <v>0.96189259396275961</v>
          </cell>
          <cell r="S272">
            <v>1.0130241784729612</v>
          </cell>
          <cell r="T272">
            <v>1.016972347334546</v>
          </cell>
          <cell r="U272">
            <v>1.0755204043775217</v>
          </cell>
          <cell r="V272">
            <v>0.96704561375108689</v>
          </cell>
          <cell r="W272">
            <v>0.94051432416211123</v>
          </cell>
          <cell r="X272">
            <v>0.92849795417831082</v>
          </cell>
          <cell r="Y272">
            <v>0.94236128247006923</v>
          </cell>
          <cell r="Z272">
            <v>1.0074487660622826</v>
          </cell>
        </row>
        <row r="273">
          <cell r="C273">
            <v>1.0390211964477527</v>
          </cell>
          <cell r="D273">
            <v>1.0470193432255583</v>
          </cell>
          <cell r="E273">
            <v>1.0147219491049821</v>
          </cell>
          <cell r="F273">
            <v>0.98083828579345989</v>
          </cell>
          <cell r="G273">
            <v>1.0352572854096651</v>
          </cell>
          <cell r="H273">
            <v>1.0231143336670434</v>
          </cell>
          <cell r="I273">
            <v>0.9927169356536284</v>
          </cell>
          <cell r="J273">
            <v>0.98950650126383843</v>
          </cell>
          <cell r="K273">
            <v>0.97724809720621941</v>
          </cell>
          <cell r="L273">
            <v>0.97724809720621941</v>
          </cell>
          <cell r="M273">
            <v>1.0035723482560237</v>
          </cell>
          <cell r="N273">
            <v>1.0164385599575207</v>
          </cell>
          <cell r="O273">
            <v>0.94890717696790849</v>
          </cell>
          <cell r="P273">
            <v>0.98092394812694417</v>
          </cell>
          <cell r="Q273">
            <v>1</v>
          </cell>
          <cell r="R273">
            <v>0.94354348094401774</v>
          </cell>
          <cell r="S273">
            <v>0.9936996766957511</v>
          </cell>
          <cell r="T273">
            <v>0.9975725300833288</v>
          </cell>
          <cell r="U273">
            <v>1.0550037213530861</v>
          </cell>
          <cell r="V273">
            <v>0.94859820145956009</v>
          </cell>
          <cell r="W273">
            <v>0.92257302412704267</v>
          </cell>
          <cell r="X273">
            <v>0.91078587904037922</v>
          </cell>
          <cell r="Y273">
            <v>0.92438474976251073</v>
          </cell>
          <cell r="Z273">
            <v>0.98823062114143245</v>
          </cell>
        </row>
        <row r="274">
          <cell r="C274">
            <v>1.1011905836159339</v>
          </cell>
          <cell r="D274">
            <v>1.1096672960720504</v>
          </cell>
          <cell r="E274">
            <v>1.0754374012417003</v>
          </cell>
          <cell r="F274">
            <v>1.0395263234844552</v>
          </cell>
          <cell r="G274">
            <v>1.0972014605769811</v>
          </cell>
          <cell r="H274">
            <v>1.0843319405306207</v>
          </cell>
          <cell r="I274">
            <v>1.0521157272587083</v>
          </cell>
          <cell r="J274">
            <v>1.0487131979056594</v>
          </cell>
          <cell r="K274">
            <v>1.0357213175046052</v>
          </cell>
          <cell r="L274">
            <v>1.0357213175046052</v>
          </cell>
          <cell r="M274">
            <v>1.0636206688132135</v>
          </cell>
          <cell r="N274">
            <v>1.0772567247675446</v>
          </cell>
          <cell r="O274">
            <v>1.0056846304724869</v>
          </cell>
          <cell r="P274">
            <v>1.0396171113868828</v>
          </cell>
          <cell r="Q274">
            <v>1.0598345706331387</v>
          </cell>
          <cell r="R274">
            <v>1</v>
          </cell>
          <cell r="S274">
            <v>1.0531572701891301</v>
          </cell>
          <cell r="T274">
            <v>1.0572618540962784</v>
          </cell>
          <cell r="U274">
            <v>1.1181294160366113</v>
          </cell>
          <cell r="V274">
            <v>1.0053571675472603</v>
          </cell>
          <cell r="W274">
            <v>0.97777478490340042</v>
          </cell>
          <cell r="X274">
            <v>0.9652823610514859</v>
          </cell>
          <cell r="Y274">
            <v>0.97969491436437184</v>
          </cell>
          <cell r="Z274">
            <v>1.04736097604395</v>
          </cell>
        </row>
        <row r="275">
          <cell r="C275">
            <v>1.045608870380943</v>
          </cell>
          <cell r="D275">
            <v>1.053657727561214</v>
          </cell>
          <cell r="E275">
            <v>1.0211555592723289</v>
          </cell>
          <cell r="F275">
            <v>0.98705706441904273</v>
          </cell>
          <cell r="G275">
            <v>1.0418210951341971</v>
          </cell>
          <cell r="H275">
            <v>1.029601153810477</v>
          </cell>
          <cell r="I275">
            <v>0.99901102811526465</v>
          </cell>
          <cell r="J275">
            <v>0.99578023870767896</v>
          </cell>
          <cell r="K275">
            <v>0.98344411307022206</v>
          </cell>
          <cell r="L275">
            <v>0.98344411307022206</v>
          </cell>
          <cell r="M275">
            <v>1.0099352669541981</v>
          </cell>
          <cell r="N275">
            <v>1.0228830538995253</v>
          </cell>
          <cell r="O275">
            <v>0.95492350377250135</v>
          </cell>
          <cell r="P275">
            <v>0.98714326987476864</v>
          </cell>
          <cell r="Q275">
            <v>1.0063402690490941</v>
          </cell>
          <cell r="R275">
            <v>0.94952580047272162</v>
          </cell>
          <cell r="S275">
            <v>1</v>
          </cell>
          <cell r="T275">
            <v>1.0038974083200425</v>
          </cell>
          <cell r="U275">
            <v>1.0616927287942601</v>
          </cell>
          <cell r="V275">
            <v>0.95461256927630045</v>
          </cell>
          <cell r="W275">
            <v>0.92842238531744448</v>
          </cell>
          <cell r="X275">
            <v>0.91656050655961085</v>
          </cell>
          <cell r="Y275">
            <v>0.93024559778088456</v>
          </cell>
          <cell r="Z275">
            <v>0.99449626916202249</v>
          </cell>
        </row>
        <row r="276">
          <cell r="C276">
            <v>1.0415495265902737</v>
          </cell>
          <cell r="D276">
            <v>1.0495671358734178</v>
          </cell>
          <cell r="E276">
            <v>1.0171911500211628</v>
          </cell>
          <cell r="F276">
            <v>0.98322503498720937</v>
          </cell>
          <cell r="G276">
            <v>1.0377764565381411</v>
          </cell>
          <cell r="H276">
            <v>1.0256039564176662</v>
          </cell>
          <cell r="I276">
            <v>0.99513259007914467</v>
          </cell>
          <cell r="J276">
            <v>0.99191434349258134</v>
          </cell>
          <cell r="K276">
            <v>0.97962611011811673</v>
          </cell>
          <cell r="L276">
            <v>0.97962611011811673</v>
          </cell>
          <cell r="M276">
            <v>1.0060144179914354</v>
          </cell>
          <cell r="N276">
            <v>1.0189119380348375</v>
          </cell>
          <cell r="O276">
            <v>0.9512162257401422</v>
          </cell>
          <cell r="P276">
            <v>0.98331090576943414</v>
          </cell>
          <cell r="Q276">
            <v>1.0024333768658089</v>
          </cell>
          <cell r="R276">
            <v>0.94583947782243172</v>
          </cell>
          <cell r="S276">
            <v>0.99611772250058439</v>
          </cell>
          <cell r="T276">
            <v>1</v>
          </cell>
          <cell r="U276">
            <v>1.0575709430019691</v>
          </cell>
          <cell r="V276">
            <v>0.95090649837793972</v>
          </cell>
          <cell r="W276">
            <v>0.92481799198097281</v>
          </cell>
          <cell r="X276">
            <v>0.91300216432814141</v>
          </cell>
          <cell r="Y276">
            <v>0.92663412622768937</v>
          </cell>
          <cell r="Z276">
            <v>0.9906353586730019</v>
          </cell>
        </row>
        <row r="277">
          <cell r="C277">
            <v>0.9848507407302457</v>
          </cell>
          <cell r="D277">
            <v>0.99243189576877744</v>
          </cell>
          <cell r="E277">
            <v>0.96181836003721299</v>
          </cell>
          <cell r="F277">
            <v>0.92970125691641547</v>
          </cell>
          <cell r="G277">
            <v>0.98128306512692165</v>
          </cell>
          <cell r="H277">
            <v>0.9697731988611914</v>
          </cell>
          <cell r="I277">
            <v>0.94096060095449496</v>
          </cell>
          <cell r="J277">
            <v>0.93791754591609899</v>
          </cell>
          <cell r="K277">
            <v>0.9262982465624463</v>
          </cell>
          <cell r="L277">
            <v>0.9262982465624463</v>
          </cell>
          <cell r="M277">
            <v>0.95125005527838369</v>
          </cell>
          <cell r="N277">
            <v>0.96344547358932164</v>
          </cell>
          <cell r="O277">
            <v>0.89943490981329965</v>
          </cell>
          <cell r="P277">
            <v>0.92978245315463759</v>
          </cell>
          <cell r="Q277">
            <v>0.9478639551313226</v>
          </cell>
          <cell r="R277">
            <v>0.89435085568597239</v>
          </cell>
          <cell r="S277">
            <v>0.94189210576555127</v>
          </cell>
          <cell r="T277">
            <v>0.94556304389514434</v>
          </cell>
          <cell r="U277">
            <v>1</v>
          </cell>
          <cell r="V277">
            <v>0.89914204306591772</v>
          </cell>
          <cell r="W277">
            <v>0.87447371554652376</v>
          </cell>
          <cell r="X277">
            <v>0.86330110558497219</v>
          </cell>
          <cell r="Y277">
            <v>0.87619098497297132</v>
          </cell>
          <cell r="Z277">
            <v>0.93670818513700183</v>
          </cell>
        </row>
        <row r="278">
          <cell r="C278">
            <v>1.0953227560932155</v>
          </cell>
          <cell r="D278">
            <v>1.1037542993593732</v>
          </cell>
          <cell r="E278">
            <v>1.0697068026733352</v>
          </cell>
          <cell r="F278">
            <v>1.0339870814474386</v>
          </cell>
          <cell r="G278">
            <v>1.0913548895799792</v>
          </cell>
          <cell r="H278">
            <v>1.0785539463313647</v>
          </cell>
          <cell r="I278">
            <v>1.0465094010574605</v>
          </cell>
          <cell r="J278">
            <v>1.0431250024945597</v>
          </cell>
          <cell r="K278">
            <v>1.0302023509032352</v>
          </cell>
          <cell r="L278">
            <v>1.0302023509032352</v>
          </cell>
          <cell r="M278">
            <v>1.0579530371361423</v>
          </cell>
          <cell r="N278">
            <v>1.0715164317132144</v>
          </cell>
          <cell r="O278">
            <v>1.000325717999331</v>
          </cell>
          <cell r="P278">
            <v>1.0340773855755219</v>
          </cell>
          <cell r="Q278">
            <v>1.0541871136392105</v>
          </cell>
          <cell r="R278">
            <v>0.99467137876946754</v>
          </cell>
          <cell r="S278">
            <v>1.0475453940001105</v>
          </cell>
          <cell r="T278">
            <v>1.0516281061343089</v>
          </cell>
          <cell r="U278">
            <v>1.1121713278918359</v>
          </cell>
          <cell r="V278">
            <v>1</v>
          </cell>
          <cell r="W278">
            <v>0.97256459342588486</v>
          </cell>
          <cell r="X278">
            <v>0.96013873696892849</v>
          </cell>
          <cell r="Y278">
            <v>0.97447449124424512</v>
          </cell>
          <cell r="Z278">
            <v>1.0417799861109709</v>
          </cell>
        </row>
        <row r="279">
          <cell r="C279">
            <v>1.1262210895781346</v>
          </cell>
          <cell r="D279">
            <v>1.1348904811261626</v>
          </cell>
          <cell r="E279">
            <v>1.0998825269849317</v>
          </cell>
          <cell r="F279">
            <v>1.06315517595103</v>
          </cell>
          <cell r="G279">
            <v>1.1221412921641043</v>
          </cell>
          <cell r="H279">
            <v>1.1089792427381397</v>
          </cell>
          <cell r="I279">
            <v>1.0760307419490802</v>
          </cell>
          <cell r="J279">
            <v>1.0725508717319472</v>
          </cell>
          <cell r="K279">
            <v>1.0592636806510913</v>
          </cell>
          <cell r="L279">
            <v>1.0592636806510913</v>
          </cell>
          <cell r="M279">
            <v>1.0877971954638759</v>
          </cell>
          <cell r="N279">
            <v>1.1017432044680644</v>
          </cell>
          <cell r="O279">
            <v>1.0285442476120346</v>
          </cell>
          <cell r="P279">
            <v>1.0632480274990852</v>
          </cell>
          <cell r="Q279">
            <v>1.0839250377456249</v>
          </cell>
          <cell r="R279">
            <v>1.0227304031968827</v>
          </cell>
          <cell r="S279">
            <v>1.0770959595702572</v>
          </cell>
          <cell r="T279">
            <v>1.0812938423245706</v>
          </cell>
          <cell r="U279">
            <v>1.1435449484894185</v>
          </cell>
          <cell r="V279">
            <v>1.0282093413224855</v>
          </cell>
          <cell r="W279">
            <v>1</v>
          </cell>
          <cell r="X279">
            <v>0.9872236183170251</v>
          </cell>
          <cell r="Y279">
            <v>1.0019637747778094</v>
          </cell>
          <cell r="Z279">
            <v>1.0711679133221095</v>
          </cell>
        </row>
        <row r="280">
          <cell r="C280">
            <v>1.140796339028098</v>
          </cell>
          <cell r="D280">
            <v>1.1495779275022546</v>
          </cell>
          <cell r="E280">
            <v>1.1141169098648214</v>
          </cell>
          <cell r="F280">
            <v>1.0769142433640817</v>
          </cell>
          <cell r="G280">
            <v>1.1366637419767984</v>
          </cell>
          <cell r="H280">
            <v>1.1233313528587152</v>
          </cell>
          <cell r="I280">
            <v>1.0899564414630289</v>
          </cell>
          <cell r="J280">
            <v>1.0864315357045289</v>
          </cell>
          <cell r="K280">
            <v>1.0729723853820241</v>
          </cell>
          <cell r="L280">
            <v>1.0729723853820241</v>
          </cell>
          <cell r="M280">
            <v>1.1018751732442384</v>
          </cell>
          <cell r="N280">
            <v>1.1160016677338687</v>
          </cell>
          <cell r="O280">
            <v>1.0418553897296856</v>
          </cell>
          <cell r="P280">
            <v>1.0770082965718175</v>
          </cell>
          <cell r="Q280">
            <v>1.0979529031056328</v>
          </cell>
          <cell r="R280">
            <v>1.0359663041088785</v>
          </cell>
          <cell r="S280">
            <v>1.0910354448432287</v>
          </cell>
          <cell r="T280">
            <v>1.0952876554634221</v>
          </cell>
          <cell r="U280">
            <v>1.1583443986468669</v>
          </cell>
          <cell r="V280">
            <v>1.0415161491733058</v>
          </cell>
          <cell r="W280">
            <v>1.0129417301672294</v>
          </cell>
          <cell r="X280">
            <v>1</v>
          </cell>
          <cell r="Y280">
            <v>1.0149309195883225</v>
          </cell>
          <cell r="Z280">
            <v>1.0850306794201185</v>
          </cell>
        </row>
        <row r="281">
          <cell r="C281">
            <v>1.1240137796677128</v>
          </cell>
          <cell r="D281">
            <v>1.1326661798504944</v>
          </cell>
          <cell r="E281">
            <v>1.0977268387061561</v>
          </cell>
          <cell r="F281">
            <v>1.0610714705596918</v>
          </cell>
          <cell r="G281">
            <v>1.119941978354402</v>
          </cell>
          <cell r="H281">
            <v>1.1068057255703296</v>
          </cell>
          <cell r="I281">
            <v>1.073921801402147</v>
          </cell>
          <cell r="J281">
            <v>1.0704487514728671</v>
          </cell>
          <cell r="K281">
            <v>1.0571876023022773</v>
          </cell>
          <cell r="L281">
            <v>1.0571876023022773</v>
          </cell>
          <cell r="M281">
            <v>1.0856651935396571</v>
          </cell>
          <cell r="N281">
            <v>1.0995838693992519</v>
          </cell>
          <cell r="O281">
            <v>1.0265283770764262</v>
          </cell>
          <cell r="P281">
            <v>1.0611641401255907</v>
          </cell>
          <cell r="Q281">
            <v>1.0818006249637027</v>
          </cell>
          <cell r="R281">
            <v>1.0207259273656659</v>
          </cell>
          <cell r="S281">
            <v>1.0749849312756927</v>
          </cell>
          <cell r="T281">
            <v>1.0791745864907671</v>
          </cell>
          <cell r="U281">
            <v>1.1413036850988005</v>
          </cell>
          <cell r="V281">
            <v>1.0261941271783963</v>
          </cell>
          <cell r="W281">
            <v>0.99804007407528783</v>
          </cell>
          <cell r="X281">
            <v>0.98528873315399745</v>
          </cell>
          <cell r="Y281">
            <v>1</v>
          </cell>
          <cell r="Z281">
            <v>1.0690685035590697</v>
          </cell>
        </row>
        <row r="282">
          <cell r="C282">
            <v>1.0513954680413118</v>
          </cell>
          <cell r="D282">
            <v>1.0594888691226987</v>
          </cell>
          <cell r="E282">
            <v>1.0268068276744466</v>
          </cell>
          <cell r="F282">
            <v>0.99251962528803839</v>
          </cell>
          <cell r="G282">
            <v>1.0475867305284627</v>
          </cell>
          <cell r="H282">
            <v>1.0352991617334417</v>
          </cell>
          <cell r="I282">
            <v>1.0045397444849606</v>
          </cell>
          <cell r="J282">
            <v>1.0012910752764697</v>
          </cell>
          <cell r="K282">
            <v>0.98888667918169959</v>
          </cell>
          <cell r="L282">
            <v>0.98888667918169959</v>
          </cell>
          <cell r="M282">
            <v>1.0155244401320729</v>
          </cell>
          <cell r="N282">
            <v>1.0285438825843176</v>
          </cell>
          <cell r="O282">
            <v>0.96020823142668421</v>
          </cell>
          <cell r="P282">
            <v>0.99260630782109449</v>
          </cell>
          <cell r="Q282">
            <v>1.0119095468272108</v>
          </cell>
          <cell r="R282">
            <v>0.95478065621383001</v>
          </cell>
          <cell r="S282">
            <v>1.0055341895275434</v>
          </cell>
          <cell r="T282">
            <v>1.0094531668438953</v>
          </cell>
          <cell r="U282">
            <v>1.0675683375754224</v>
          </cell>
          <cell r="V282">
            <v>0.95989557616005072</v>
          </cell>
          <cell r="W282">
            <v>0.93356045075940519</v>
          </cell>
          <cell r="X282">
            <v>0.92163292611637293</v>
          </cell>
          <cell r="Y282">
            <v>0.93539375322616702</v>
          </cell>
          <cell r="Z282">
            <v>1</v>
          </cell>
        </row>
        <row r="287">
          <cell r="C287">
            <v>1</v>
          </cell>
          <cell r="D287">
            <v>1.0076977705605525</v>
          </cell>
          <cell r="E287">
            <v>0.97661332855783334</v>
          </cell>
          <cell r="F287">
            <v>0.94400219085692305</v>
          </cell>
          <cell r="G287">
            <v>0.99637744537748052</v>
          </cell>
          <cell r="H287">
            <v>0.98469053101602522</v>
          </cell>
          <cell r="I287">
            <v>0.95543472938528007</v>
          </cell>
          <cell r="J287">
            <v>0.95234486519312878</v>
          </cell>
          <cell r="K287">
            <v>0.94054683441230502</v>
          </cell>
          <cell r="L287">
            <v>0.94054683441230502</v>
          </cell>
          <cell r="M287">
            <v>0.96588245907501902</v>
          </cell>
          <cell r="N287">
            <v>0.97826547084175153</v>
          </cell>
          <cell r="O287">
            <v>0.913270278038668</v>
          </cell>
          <cell r="P287">
            <v>0.94408463607919291</v>
          </cell>
          <cell r="Q287">
            <v>0.96244427295500823</v>
          </cell>
          <cell r="R287">
            <v>0.90810801951860276</v>
          </cell>
          <cell r="S287">
            <v>0.95638056287306883</v>
          </cell>
          <cell r="T287">
            <v>0.96010796843593738</v>
          </cell>
          <cell r="U287">
            <v>1.0153822895624991</v>
          </cell>
          <cell r="V287">
            <v>0.91297290633017469</v>
          </cell>
          <cell r="W287">
            <v>0.88792512345385477</v>
          </cell>
          <cell r="X287">
            <v>0.87658065317070577</v>
          </cell>
          <cell r="Y287">
            <v>0.88966880841587681</v>
          </cell>
          <cell r="Z287">
            <v>0.95111690167634211</v>
          </cell>
        </row>
        <row r="288">
          <cell r="C288">
            <v>0.99236103245889828</v>
          </cell>
          <cell r="D288">
            <v>1</v>
          </cell>
          <cell r="E288">
            <v>0.96915301104077278</v>
          </cell>
          <cell r="F288">
            <v>0.9367909887622381</v>
          </cell>
          <cell r="G288">
            <v>0.98876615041355609</v>
          </cell>
          <cell r="H288">
            <v>0.97716851201156363</v>
          </cell>
          <cell r="I288">
            <v>0.94813619449986464</v>
          </cell>
          <cell r="J288">
            <v>0.94506993367998371</v>
          </cell>
          <cell r="K288">
            <v>0.93336202767334342</v>
          </cell>
          <cell r="L288">
            <v>0.93336202767334342</v>
          </cell>
          <cell r="M288">
            <v>0.95850411432162552</v>
          </cell>
          <cell r="N288">
            <v>0.97079253266341092</v>
          </cell>
          <cell r="O288">
            <v>0.90629383602847768</v>
          </cell>
          <cell r="P288">
            <v>0.93687280418813113</v>
          </cell>
          <cell r="Q288">
            <v>0.95509219239378562</v>
          </cell>
          <cell r="R288">
            <v>0.90117101183368598</v>
          </cell>
          <cell r="S288">
            <v>0.94907480279634093</v>
          </cell>
          <cell r="T288">
            <v>0.95277373482910221</v>
          </cell>
          <cell r="U288">
            <v>1.0076258172107215</v>
          </cell>
          <cell r="V288">
            <v>0.90599873593281322</v>
          </cell>
          <cell r="W288">
            <v>0.88114229225686214</v>
          </cell>
          <cell r="X288">
            <v>0.86988448201397706</v>
          </cell>
          <cell r="Y288">
            <v>0.88287265726605735</v>
          </cell>
          <cell r="Z288">
            <v>0.94385135053664326</v>
          </cell>
        </row>
        <row r="289">
          <cell r="C289">
            <v>1.0239467051680544</v>
          </cell>
          <cell r="D289">
            <v>1.0318288119706718</v>
          </cell>
          <cell r="E289">
            <v>1</v>
          </cell>
          <cell r="F289">
            <v>0.9666079329993712</v>
          </cell>
          <cell r="G289">
            <v>1.0202374022980343</v>
          </cell>
          <cell r="H289">
            <v>1.008270624844041</v>
          </cell>
          <cell r="I289">
            <v>0.97831424315718918</v>
          </cell>
          <cell r="J289">
            <v>0.9751503868982192</v>
          </cell>
          <cell r="K289">
            <v>0.96306983215272324</v>
          </cell>
          <cell r="L289">
            <v>0.96306983215272324</v>
          </cell>
          <cell r="M289">
            <v>0.98901216154948379</v>
          </cell>
          <cell r="N289">
            <v>1.001691705648087</v>
          </cell>
          <cell r="O289">
            <v>0.935140092125607</v>
          </cell>
          <cell r="P289">
            <v>0.96669235251307117</v>
          </cell>
          <cell r="Q289">
            <v>0.98549164220014418</v>
          </cell>
          <cell r="R289">
            <v>0.92985421452276051</v>
          </cell>
          <cell r="S289">
            <v>0.97928272624064816</v>
          </cell>
          <cell r="T289">
            <v>0.98309939088557241</v>
          </cell>
          <cell r="U289">
            <v>1.0396973498835163</v>
          </cell>
          <cell r="V289">
            <v>0.93483559934448501</v>
          </cell>
          <cell r="W289">
            <v>0.9091880045965125</v>
          </cell>
          <cell r="X289">
            <v>0.89757187162820518</v>
          </cell>
          <cell r="Y289">
            <v>0.91097344506822608</v>
          </cell>
          <cell r="Z289">
            <v>0.97389301770113879</v>
          </cell>
        </row>
        <row r="290">
          <cell r="C290">
            <v>1.0593195754050577</v>
          </cell>
          <cell r="D290">
            <v>1.0674739744468278</v>
          </cell>
          <cell r="E290">
            <v>1.0345456165428042</v>
          </cell>
          <cell r="F290">
            <v>1</v>
          </cell>
          <cell r="G290">
            <v>1.0554821323804489</v>
          </cell>
          <cell r="H290">
            <v>1.0431019552212766</v>
          </cell>
          <cell r="I290">
            <v>1.0121107118596611</v>
          </cell>
          <cell r="J290">
            <v>1.0088375582355722</v>
          </cell>
          <cell r="K290">
            <v>0.99633967327821404</v>
          </cell>
          <cell r="L290">
            <v>0.99633967327821404</v>
          </cell>
          <cell r="M290">
            <v>1.0231781964385422</v>
          </cell>
          <cell r="N290">
            <v>1.0362957632055132</v>
          </cell>
          <cell r="O290">
            <v>0.96744508316198075</v>
          </cell>
          <cell r="P290">
            <v>1.000087335837849</v>
          </cell>
          <cell r="Q290">
            <v>1.0195360585777287</v>
          </cell>
          <cell r="R290">
            <v>0.96197660165837418</v>
          </cell>
          <cell r="S290">
            <v>1.0131126517883495</v>
          </cell>
          <cell r="T290">
            <v>1.0170611654665698</v>
          </cell>
          <cell r="U290">
            <v>1.0756143358531618</v>
          </cell>
          <cell r="V290">
            <v>0.96713007149000219</v>
          </cell>
          <cell r="W290">
            <v>0.94059646476862091</v>
          </cell>
          <cell r="X290">
            <v>0.92857904532508018</v>
          </cell>
          <cell r="Y290">
            <v>0.9424435843822303</v>
          </cell>
          <cell r="Z290">
            <v>1.0075367524443568</v>
          </cell>
        </row>
        <row r="291">
          <cell r="C291">
            <v>1.0036357252357786</v>
          </cell>
          <cell r="D291">
            <v>1.0113614827750175</v>
          </cell>
          <cell r="E291">
            <v>0.98016402628206878</v>
          </cell>
          <cell r="F291">
            <v>0.94743432344485179</v>
          </cell>
          <cell r="G291">
            <v>1</v>
          </cell>
          <cell r="H291">
            <v>0.98827059522907235</v>
          </cell>
          <cell r="I291">
            <v>0.95890842754204542</v>
          </cell>
          <cell r="J291">
            <v>0.95580732945267566</v>
          </cell>
          <cell r="K291">
            <v>0.94396640427360945</v>
          </cell>
          <cell r="L291">
            <v>0.94396640427360945</v>
          </cell>
          <cell r="M291">
            <v>0.96939414230627396</v>
          </cell>
          <cell r="N291">
            <v>0.98182217530138172</v>
          </cell>
          <cell r="O291">
            <v>0.91659067783561965</v>
          </cell>
          <cell r="P291">
            <v>0.94751706841529681</v>
          </cell>
          <cell r="Q291">
            <v>0.96594345588622121</v>
          </cell>
          <cell r="R291">
            <v>0.91140965076197944</v>
          </cell>
          <cell r="S291">
            <v>0.95985769982051461</v>
          </cell>
          <cell r="T291">
            <v>0.96359865720585203</v>
          </cell>
          <cell r="U291">
            <v>1.019073940576624</v>
          </cell>
          <cell r="V291">
            <v>0.91629222496530138</v>
          </cell>
          <cell r="W291">
            <v>0.89115337523267779</v>
          </cell>
          <cell r="X291">
            <v>0.8797676595726337</v>
          </cell>
          <cell r="Y291">
            <v>0.89290339975411948</v>
          </cell>
          <cell r="Z291">
            <v>0.95457490139794221</v>
          </cell>
        </row>
        <row r="292">
          <cell r="C292">
            <v>1.01554749284344</v>
          </cell>
          <cell r="D292">
            <v>1.0233649444366932</v>
          </cell>
          <cell r="E292">
            <v>0.99179721729439441</v>
          </cell>
          <cell r="F292">
            <v>0.95867905816346277</v>
          </cell>
          <cell r="G292">
            <v>1.011868616578852</v>
          </cell>
          <cell r="H292">
            <v>1</v>
          </cell>
          <cell r="I292">
            <v>0.97028934400277167</v>
          </cell>
          <cell r="J292">
            <v>0.96715144016920584</v>
          </cell>
          <cell r="K292">
            <v>0.95516997958925043</v>
          </cell>
          <cell r="L292">
            <v>0.95516997958925043</v>
          </cell>
          <cell r="M292">
            <v>0.9808995096950921</v>
          </cell>
          <cell r="N292">
            <v>0.99347504624864813</v>
          </cell>
          <cell r="O292">
            <v>0.92746934115060065</v>
          </cell>
          <cell r="P292">
            <v>0.95876278520223579</v>
          </cell>
          <cell r="Q292">
            <v>0.97740786840098604</v>
          </cell>
          <cell r="R292">
            <v>0.92222682245313869</v>
          </cell>
          <cell r="S292">
            <v>0.97124988282994307</v>
          </cell>
          <cell r="T292">
            <v>0.9750352402041248</v>
          </cell>
          <cell r="U292">
            <v>1.0311689384428278</v>
          </cell>
          <cell r="V292">
            <v>0.92716734605759765</v>
          </cell>
          <cell r="W292">
            <v>0.90173013295626414</v>
          </cell>
          <cell r="X292">
            <v>0.89020928460257531</v>
          </cell>
          <cell r="Y292">
            <v>0.90350092784775449</v>
          </cell>
          <cell r="Z292">
            <v>0.96590438489842978</v>
          </cell>
        </row>
        <row r="293">
          <cell r="C293">
            <v>1.046643971842423</v>
          </cell>
          <cell r="D293">
            <v>1.0547007969962514</v>
          </cell>
          <cell r="E293">
            <v>1.0221664531560199</v>
          </cell>
          <cell r="F293">
            <v>0.98803420246643892</v>
          </cell>
          <cell r="G293">
            <v>1.042852446884093</v>
          </cell>
          <cell r="H293">
            <v>1.0306204084182371</v>
          </cell>
          <cell r="I293">
            <v>1</v>
          </cell>
          <cell r="J293">
            <v>0.99676601226947315</v>
          </cell>
          <cell r="K293">
            <v>0.98441767447311257</v>
          </cell>
          <cell r="L293">
            <v>0.98441767447311257</v>
          </cell>
          <cell r="M293">
            <v>1.0109350532992043</v>
          </cell>
          <cell r="N293">
            <v>1.0238956579181089</v>
          </cell>
          <cell r="O293">
            <v>0.95586883117202537</v>
          </cell>
          <cell r="P293">
            <v>0.98812049326133489</v>
          </cell>
          <cell r="Q293">
            <v>1.0073364965226228</v>
          </cell>
          <cell r="R293">
            <v>0.9504657844109069</v>
          </cell>
          <cell r="S293">
            <v>1.0009899509183608</v>
          </cell>
          <cell r="T293">
            <v>1.0048912174813491</v>
          </cell>
          <cell r="U293">
            <v>1.0627437524861472</v>
          </cell>
          <cell r="V293">
            <v>0.95555758886593434</v>
          </cell>
          <cell r="W293">
            <v>0.92934147791041632</v>
          </cell>
          <cell r="X293">
            <v>0.91746785647481288</v>
          </cell>
          <cell r="Y293">
            <v>0.93116649526470896</v>
          </cell>
          <cell r="Z293">
            <v>0.9954807716569859</v>
          </cell>
        </row>
        <row r="294">
          <cell r="C294">
            <v>1.0500397876321905</v>
          </cell>
          <cell r="D294">
            <v>1.0581227529968344</v>
          </cell>
          <cell r="E294">
            <v>1.025482852117634</v>
          </cell>
          <cell r="F294">
            <v>0.99123986001172593</v>
          </cell>
          <cell r="G294">
            <v>1.046235961145674</v>
          </cell>
          <cell r="H294">
            <v>1.033964236071496</v>
          </cell>
          <cell r="I294">
            <v>1.0032444803401388</v>
          </cell>
          <cell r="J294">
            <v>1</v>
          </cell>
          <cell r="K294">
            <v>0.98761159826442568</v>
          </cell>
          <cell r="L294">
            <v>0.98761159826442568</v>
          </cell>
          <cell r="M294">
            <v>1.0142150122047908</v>
          </cell>
          <cell r="N294">
            <v>1.0272176672505775</v>
          </cell>
          <cell r="O294">
            <v>0.95897012880251442</v>
          </cell>
          <cell r="P294">
            <v>0.9913264307754095</v>
          </cell>
          <cell r="Q294">
            <v>1.0106047799814948</v>
          </cell>
          <cell r="R294">
            <v>0.95354955196240265</v>
          </cell>
          <cell r="S294">
            <v>1.0042376431347919</v>
          </cell>
          <cell r="T294">
            <v>1.0081515672804455</v>
          </cell>
          <cell r="U294">
            <v>1.0661918036976936</v>
          </cell>
          <cell r="V294">
            <v>0.95865787667688029</v>
          </cell>
          <cell r="W294">
            <v>0.93235670806477211</v>
          </cell>
          <cell r="X294">
            <v>0.92044456289785459</v>
          </cell>
          <cell r="Y294">
            <v>0.93418764665199117</v>
          </cell>
          <cell r="Z294">
            <v>0.99871058944961311</v>
          </cell>
        </row>
        <row r="295">
          <cell r="C295">
            <v>1.0632112760496866</v>
          </cell>
          <cell r="D295">
            <v>1.0713956325101093</v>
          </cell>
          <cell r="E295">
            <v>1.0383463032631057</v>
          </cell>
          <cell r="F295">
            <v>1.0036737739346888</v>
          </cell>
          <cell r="G295">
            <v>1.0593597351269179</v>
          </cell>
          <cell r="H295">
            <v>1.0469340759955916</v>
          </cell>
          <cell r="I295">
            <v>1.0158289778119105</v>
          </cell>
          <cell r="J295">
            <v>1.0125437993613533</v>
          </cell>
          <cell r="K295">
            <v>1</v>
          </cell>
          <cell r="L295">
            <v>1</v>
          </cell>
          <cell r="M295">
            <v>1.0269371218271601</v>
          </cell>
          <cell r="N295">
            <v>1.0401028795690062</v>
          </cell>
          <cell r="O295">
            <v>0.97099925769174422</v>
          </cell>
          <cell r="P295">
            <v>1.0037614306246627</v>
          </cell>
          <cell r="Q295">
            <v>1.023281603575207</v>
          </cell>
          <cell r="R295">
            <v>0.96551068622332725</v>
          </cell>
          <cell r="S295">
            <v>1.0168345986413929</v>
          </cell>
          <cell r="T295">
            <v>1.0207976182662453</v>
          </cell>
          <cell r="U295">
            <v>1.079565899763997</v>
          </cell>
          <cell r="V295">
            <v>0.97068308873809594</v>
          </cell>
          <cell r="W295">
            <v>0.94405200354394847</v>
          </cell>
          <cell r="X295">
            <v>0.93199043481809374</v>
          </cell>
          <cell r="Y295">
            <v>0.94590590905744854</v>
          </cell>
          <cell r="Z295">
            <v>1.011238214703728</v>
          </cell>
        </row>
        <row r="296">
          <cell r="C296">
            <v>1.0632112760496866</v>
          </cell>
          <cell r="D296">
            <v>1.0713956325101093</v>
          </cell>
          <cell r="E296">
            <v>1.0383463032631057</v>
          </cell>
          <cell r="F296">
            <v>1.0036737739346888</v>
          </cell>
          <cell r="G296">
            <v>1.0593597351269179</v>
          </cell>
          <cell r="H296">
            <v>1.0469340759955916</v>
          </cell>
          <cell r="I296">
            <v>1.0158289778119105</v>
          </cell>
          <cell r="J296">
            <v>1.0125437993613533</v>
          </cell>
          <cell r="K296">
            <v>1</v>
          </cell>
          <cell r="L296">
            <v>1</v>
          </cell>
          <cell r="M296">
            <v>1.0269371218271601</v>
          </cell>
          <cell r="N296">
            <v>1.0401028795690062</v>
          </cell>
          <cell r="O296">
            <v>0.97099925769174422</v>
          </cell>
          <cell r="P296">
            <v>1.0037614306246627</v>
          </cell>
          <cell r="Q296">
            <v>1.023281603575207</v>
          </cell>
          <cell r="R296">
            <v>0.96551068622332725</v>
          </cell>
          <cell r="S296">
            <v>1.0168345986413929</v>
          </cell>
          <cell r="T296">
            <v>1.0207976182662453</v>
          </cell>
          <cell r="U296">
            <v>1.079565899763997</v>
          </cell>
          <cell r="V296">
            <v>0.97068308873809594</v>
          </cell>
          <cell r="W296">
            <v>0.94405200354394847</v>
          </cell>
          <cell r="X296">
            <v>0.93199043481809374</v>
          </cell>
          <cell r="Y296">
            <v>0.94590590905744854</v>
          </cell>
          <cell r="Z296">
            <v>1.011238214703728</v>
          </cell>
        </row>
        <row r="297">
          <cell r="C297">
            <v>1.035322663336959</v>
          </cell>
          <cell r="D297">
            <v>1.0432923396554672</v>
          </cell>
          <cell r="E297">
            <v>1.0111099123728686</v>
          </cell>
          <cell r="F297">
            <v>0.97734686243391389</v>
          </cell>
          <cell r="G297">
            <v>1.0315721504370885</v>
          </cell>
          <cell r="H297">
            <v>1.0194724231341956</v>
          </cell>
          <cell r="I297">
            <v>0.98918322867179487</v>
          </cell>
          <cell r="J297">
            <v>0.98598422224702731</v>
          </cell>
          <cell r="K297">
            <v>0.97376945359689338</v>
          </cell>
          <cell r="L297">
            <v>0.97376945359689338</v>
          </cell>
          <cell r="M297">
            <v>1</v>
          </cell>
          <cell r="N297">
            <v>1.0128204127224665</v>
          </cell>
          <cell r="O297">
            <v>0.94552941660547873</v>
          </cell>
          <cell r="P297">
            <v>0.97743221984101369</v>
          </cell>
          <cell r="Q297">
            <v>0.99644036798918223</v>
          </cell>
          <cell r="R297">
            <v>0.94018481336565096</v>
          </cell>
          <cell r="S297">
            <v>0.99016247151744563</v>
          </cell>
          <cell r="T297">
            <v>0.99402153897213164</v>
          </cell>
          <cell r="U297">
            <v>1.0512482963350258</v>
          </cell>
          <cell r="V297">
            <v>0.94522154093624045</v>
          </cell>
          <cell r="W297">
            <v>0.91928900365804311</v>
          </cell>
          <cell r="X297">
            <v>0.90754381647034621</v>
          </cell>
          <cell r="Y297">
            <v>0.92109428021694428</v>
          </cell>
          <cell r="Z297">
            <v>0.98471288378834709</v>
          </cell>
        </row>
        <row r="298">
          <cell r="C298">
            <v>1.0222174141948881</v>
          </cell>
          <cell r="D298">
            <v>1.0300862093123617</v>
          </cell>
          <cell r="E298">
            <v>0.99831115138665105</v>
          </cell>
          <cell r="F298">
            <v>0.96497547853207311</v>
          </cell>
          <cell r="G298">
            <v>1.0185143757758766</v>
          </cell>
          <cell r="H298">
            <v>1.0065678083973926</v>
          </cell>
          <cell r="I298">
            <v>0.97666201850421364</v>
          </cell>
          <cell r="J298">
            <v>0.97350350551949949</v>
          </cell>
          <cell r="K298">
            <v>0.96144335300213402</v>
          </cell>
          <cell r="L298">
            <v>0.96144335300213402</v>
          </cell>
          <cell r="M298">
            <v>0.98734186973186577</v>
          </cell>
          <cell r="N298">
            <v>1</v>
          </cell>
          <cell r="O298">
            <v>0.93356078207773363</v>
          </cell>
          <cell r="P298">
            <v>0.96505975547399458</v>
          </cell>
          <cell r="Q298">
            <v>0.98382729600674756</v>
          </cell>
          <cell r="R298">
            <v>0.92828383152194704</v>
          </cell>
          <cell r="S298">
            <v>0.97762886596636012</v>
          </cell>
          <cell r="T298">
            <v>0.98143908484249121</v>
          </cell>
          <cell r="U298">
            <v>1.0379414584558628</v>
          </cell>
          <cell r="V298">
            <v>0.9332568035388229</v>
          </cell>
          <cell r="W298">
            <v>0.90765252369567628</v>
          </cell>
          <cell r="X298">
            <v>0.89605600861742485</v>
          </cell>
          <cell r="Y298">
            <v>0.90943494882872489</v>
          </cell>
          <cell r="Z298">
            <v>0.97224825982864405</v>
          </cell>
        </row>
        <row r="299">
          <cell r="C299">
            <v>1.0949661059238587</v>
          </cell>
          <cell r="D299">
            <v>1.1033949037788424</v>
          </cell>
          <cell r="E299">
            <v>1.0693584933643088</v>
          </cell>
          <cell r="F299">
            <v>1.0336504029061964</v>
          </cell>
          <cell r="G299">
            <v>1.090999531395342</v>
          </cell>
          <cell r="H299">
            <v>1.0782027562867138</v>
          </cell>
          <cell r="I299">
            <v>1.0461686450994159</v>
          </cell>
          <cell r="J299">
            <v>1.0427853485371024</v>
          </cell>
          <cell r="K299">
            <v>1.0298669047154538</v>
          </cell>
          <cell r="L299">
            <v>1.0298669047154538</v>
          </cell>
          <cell r="M299">
            <v>1.0576085549935343</v>
          </cell>
          <cell r="N299">
            <v>1.0711675331673629</v>
          </cell>
          <cell r="O299">
            <v>1</v>
          </cell>
          <cell r="P299">
            <v>1.0337406776301772</v>
          </cell>
          <cell r="Q299">
            <v>1.0538438577262648</v>
          </cell>
          <cell r="R299">
            <v>0.99434750189051191</v>
          </cell>
          <cell r="S299">
            <v>1.0472043007103924</v>
          </cell>
          <cell r="T299">
            <v>1.0512856834647655</v>
          </cell>
          <cell r="U299">
            <v>1.1118091916263015</v>
          </cell>
          <cell r="V299">
            <v>0.99967438805833919</v>
          </cell>
          <cell r="W299">
            <v>0.97224791478022887</v>
          </cell>
          <cell r="X299">
            <v>0.95982610433052029</v>
          </cell>
          <cell r="Y299">
            <v>0.97415719071305218</v>
          </cell>
          <cell r="Z299">
            <v>1.0414407701069099</v>
          </cell>
        </row>
        <row r="300">
          <cell r="C300">
            <v>1.0592270669216957</v>
          </cell>
          <cell r="D300">
            <v>1.067380753854386</v>
          </cell>
          <cell r="E300">
            <v>1.0344552715249482</v>
          </cell>
          <cell r="F300">
            <v>0.99991267178903342</v>
          </cell>
          <cell r="G300">
            <v>1.0553899590141207</v>
          </cell>
          <cell r="H300">
            <v>1.0430108629936714</v>
          </cell>
          <cell r="I300">
            <v>1.0120223260418943</v>
          </cell>
          <cell r="J300">
            <v>1.0087494582564556</v>
          </cell>
          <cell r="K300">
            <v>0.99625266471703156</v>
          </cell>
          <cell r="L300">
            <v>0.99625266471703156</v>
          </cell>
          <cell r="M300">
            <v>1.0230888441171471</v>
          </cell>
          <cell r="N300">
            <v>1.0362052653504801</v>
          </cell>
          <cell r="O300">
            <v>0.9673605979136598</v>
          </cell>
          <cell r="P300">
            <v>1</v>
          </cell>
          <cell r="Q300">
            <v>1.0194470243177172</v>
          </cell>
          <cell r="R300">
            <v>0.96189259396275961</v>
          </cell>
          <cell r="S300">
            <v>1.0130241784729612</v>
          </cell>
          <cell r="T300">
            <v>1.016972347334546</v>
          </cell>
          <cell r="U300">
            <v>1.0755204043775217</v>
          </cell>
          <cell r="V300">
            <v>0.96704561375108689</v>
          </cell>
          <cell r="W300">
            <v>0.94051432416211123</v>
          </cell>
          <cell r="X300">
            <v>0.92849795417831082</v>
          </cell>
          <cell r="Y300">
            <v>0.94236128247006923</v>
          </cell>
          <cell r="Z300">
            <v>1.0074487660622826</v>
          </cell>
        </row>
        <row r="301">
          <cell r="C301">
            <v>1.0390211964477527</v>
          </cell>
          <cell r="D301">
            <v>1.0470193432255583</v>
          </cell>
          <cell r="E301">
            <v>1.0147219491049821</v>
          </cell>
          <cell r="F301">
            <v>0.98083828579345989</v>
          </cell>
          <cell r="G301">
            <v>1.0352572854096651</v>
          </cell>
          <cell r="H301">
            <v>1.0231143336670434</v>
          </cell>
          <cell r="I301">
            <v>0.9927169356536284</v>
          </cell>
          <cell r="J301">
            <v>0.98950650126383843</v>
          </cell>
          <cell r="K301">
            <v>0.97724809720621941</v>
          </cell>
          <cell r="L301">
            <v>0.97724809720621941</v>
          </cell>
          <cell r="M301">
            <v>1.0035723482560237</v>
          </cell>
          <cell r="N301">
            <v>1.0164385599575207</v>
          </cell>
          <cell r="O301">
            <v>0.94890717696790849</v>
          </cell>
          <cell r="P301">
            <v>0.98092394812694417</v>
          </cell>
          <cell r="Q301">
            <v>1</v>
          </cell>
          <cell r="R301">
            <v>0.94354348094401774</v>
          </cell>
          <cell r="S301">
            <v>0.9936996766957511</v>
          </cell>
          <cell r="T301">
            <v>0.9975725300833288</v>
          </cell>
          <cell r="U301">
            <v>1.0550037213530861</v>
          </cell>
          <cell r="V301">
            <v>0.94859820145956009</v>
          </cell>
          <cell r="W301">
            <v>0.92257302412704267</v>
          </cell>
          <cell r="X301">
            <v>0.91078587904037922</v>
          </cell>
          <cell r="Y301">
            <v>0.92438474976251073</v>
          </cell>
          <cell r="Z301">
            <v>0.98823062114143245</v>
          </cell>
        </row>
        <row r="302">
          <cell r="C302">
            <v>1.1011905836159339</v>
          </cell>
          <cell r="D302">
            <v>1.1096672960720504</v>
          </cell>
          <cell r="E302">
            <v>1.0754374012417003</v>
          </cell>
          <cell r="F302">
            <v>1.0395263234844552</v>
          </cell>
          <cell r="G302">
            <v>1.0972014605769811</v>
          </cell>
          <cell r="H302">
            <v>1.0843319405306207</v>
          </cell>
          <cell r="I302">
            <v>1.0521157272587083</v>
          </cell>
          <cell r="J302">
            <v>1.0487131979056594</v>
          </cell>
          <cell r="K302">
            <v>1.0357213175046052</v>
          </cell>
          <cell r="L302">
            <v>1.0357213175046052</v>
          </cell>
          <cell r="M302">
            <v>1.0636206688132135</v>
          </cell>
          <cell r="N302">
            <v>1.0772567247675446</v>
          </cell>
          <cell r="O302">
            <v>1.0056846304724869</v>
          </cell>
          <cell r="P302">
            <v>1.0396171113868828</v>
          </cell>
          <cell r="Q302">
            <v>1.0598345706331387</v>
          </cell>
          <cell r="R302">
            <v>1</v>
          </cell>
          <cell r="S302">
            <v>1.0531572701891301</v>
          </cell>
          <cell r="T302">
            <v>1.0572618540962784</v>
          </cell>
          <cell r="U302">
            <v>1.1181294160366113</v>
          </cell>
          <cell r="V302">
            <v>1.0053571675472603</v>
          </cell>
          <cell r="W302">
            <v>0.97777478490340042</v>
          </cell>
          <cell r="X302">
            <v>0.9652823610514859</v>
          </cell>
          <cell r="Y302">
            <v>0.97969491436437184</v>
          </cell>
          <cell r="Z302">
            <v>1.04736097604395</v>
          </cell>
        </row>
        <row r="303">
          <cell r="C303">
            <v>1.045608870380943</v>
          </cell>
          <cell r="D303">
            <v>1.053657727561214</v>
          </cell>
          <cell r="E303">
            <v>1.0211555592723289</v>
          </cell>
          <cell r="F303">
            <v>0.98705706441904273</v>
          </cell>
          <cell r="G303">
            <v>1.0418210951341971</v>
          </cell>
          <cell r="H303">
            <v>1.029601153810477</v>
          </cell>
          <cell r="I303">
            <v>0.99901102811526465</v>
          </cell>
          <cell r="J303">
            <v>0.99578023870767896</v>
          </cell>
          <cell r="K303">
            <v>0.98344411307022206</v>
          </cell>
          <cell r="L303">
            <v>0.98344411307022206</v>
          </cell>
          <cell r="M303">
            <v>1.0099352669541981</v>
          </cell>
          <cell r="N303">
            <v>1.0228830538995253</v>
          </cell>
          <cell r="O303">
            <v>0.95492350377250135</v>
          </cell>
          <cell r="P303">
            <v>0.98714326987476864</v>
          </cell>
          <cell r="Q303">
            <v>1.0063402690490941</v>
          </cell>
          <cell r="R303">
            <v>0.94952580047272162</v>
          </cell>
          <cell r="S303">
            <v>1</v>
          </cell>
          <cell r="T303">
            <v>1.0038974083200425</v>
          </cell>
          <cell r="U303">
            <v>1.0616927287942601</v>
          </cell>
          <cell r="V303">
            <v>0.95461256927630045</v>
          </cell>
          <cell r="W303">
            <v>0.92842238531744448</v>
          </cell>
          <cell r="X303">
            <v>0.91656050655961085</v>
          </cell>
          <cell r="Y303">
            <v>0.93024559778088456</v>
          </cell>
          <cell r="Z303">
            <v>0.99449626916202249</v>
          </cell>
        </row>
        <row r="304">
          <cell r="C304">
            <v>1.0415495265902737</v>
          </cell>
          <cell r="D304">
            <v>1.0495671358734178</v>
          </cell>
          <cell r="E304">
            <v>1.0171911500211628</v>
          </cell>
          <cell r="F304">
            <v>0.98322503498720937</v>
          </cell>
          <cell r="G304">
            <v>1.0377764565381411</v>
          </cell>
          <cell r="H304">
            <v>1.0256039564176662</v>
          </cell>
          <cell r="I304">
            <v>0.99513259007914467</v>
          </cell>
          <cell r="J304">
            <v>0.99191434349258134</v>
          </cell>
          <cell r="K304">
            <v>0.97962611011811673</v>
          </cell>
          <cell r="L304">
            <v>0.97962611011811673</v>
          </cell>
          <cell r="M304">
            <v>1.0060144179914354</v>
          </cell>
          <cell r="N304">
            <v>1.0189119380348375</v>
          </cell>
          <cell r="O304">
            <v>0.9512162257401422</v>
          </cell>
          <cell r="P304">
            <v>0.98331090576943414</v>
          </cell>
          <cell r="Q304">
            <v>1.0024333768658089</v>
          </cell>
          <cell r="R304">
            <v>0.94583947782243172</v>
          </cell>
          <cell r="S304">
            <v>0.99611772250058439</v>
          </cell>
          <cell r="T304">
            <v>1</v>
          </cell>
          <cell r="U304">
            <v>1.0575709430019691</v>
          </cell>
          <cell r="V304">
            <v>0.95090649837793972</v>
          </cell>
          <cell r="W304">
            <v>0.92481799198097281</v>
          </cell>
          <cell r="X304">
            <v>0.91300216432814141</v>
          </cell>
          <cell r="Y304">
            <v>0.92663412622768937</v>
          </cell>
          <cell r="Z304">
            <v>0.9906353586730019</v>
          </cell>
        </row>
        <row r="305">
          <cell r="C305">
            <v>0.9848507407302457</v>
          </cell>
          <cell r="D305">
            <v>0.99243189576877744</v>
          </cell>
          <cell r="E305">
            <v>0.96181836003721299</v>
          </cell>
          <cell r="F305">
            <v>0.92970125691641547</v>
          </cell>
          <cell r="G305">
            <v>0.98128306512692165</v>
          </cell>
          <cell r="H305">
            <v>0.9697731988611914</v>
          </cell>
          <cell r="I305">
            <v>0.94096060095449496</v>
          </cell>
          <cell r="J305">
            <v>0.93791754591609899</v>
          </cell>
          <cell r="K305">
            <v>0.9262982465624463</v>
          </cell>
          <cell r="L305">
            <v>0.9262982465624463</v>
          </cell>
          <cell r="M305">
            <v>0.95125005527838369</v>
          </cell>
          <cell r="N305">
            <v>0.96344547358932164</v>
          </cell>
          <cell r="O305">
            <v>0.89943490981329965</v>
          </cell>
          <cell r="P305">
            <v>0.92978245315463759</v>
          </cell>
          <cell r="Q305">
            <v>0.9478639551313226</v>
          </cell>
          <cell r="R305">
            <v>0.89435085568597239</v>
          </cell>
          <cell r="S305">
            <v>0.94189210576555127</v>
          </cell>
          <cell r="T305">
            <v>0.94556304389514434</v>
          </cell>
          <cell r="U305">
            <v>1</v>
          </cell>
          <cell r="V305">
            <v>0.89914204306591772</v>
          </cell>
          <cell r="W305">
            <v>0.87447371554652376</v>
          </cell>
          <cell r="X305">
            <v>0.86330110558497219</v>
          </cell>
          <cell r="Y305">
            <v>0.87619098497297132</v>
          </cell>
          <cell r="Z305">
            <v>0.93670818513700183</v>
          </cell>
        </row>
        <row r="306">
          <cell r="C306">
            <v>1.0953227560932155</v>
          </cell>
          <cell r="D306">
            <v>1.1037542993593732</v>
          </cell>
          <cell r="E306">
            <v>1.0697068026733352</v>
          </cell>
          <cell r="F306">
            <v>1.0339870814474386</v>
          </cell>
          <cell r="G306">
            <v>1.0913548895799792</v>
          </cell>
          <cell r="H306">
            <v>1.0785539463313647</v>
          </cell>
          <cell r="I306">
            <v>1.0465094010574605</v>
          </cell>
          <cell r="J306">
            <v>1.0431250024945597</v>
          </cell>
          <cell r="K306">
            <v>1.0302023509032352</v>
          </cell>
          <cell r="L306">
            <v>1.0302023509032352</v>
          </cell>
          <cell r="M306">
            <v>1.0579530371361423</v>
          </cell>
          <cell r="N306">
            <v>1.0715164317132144</v>
          </cell>
          <cell r="O306">
            <v>1.000325717999331</v>
          </cell>
          <cell r="P306">
            <v>1.0340773855755219</v>
          </cell>
          <cell r="Q306">
            <v>1.0541871136392105</v>
          </cell>
          <cell r="R306">
            <v>0.99467137876946754</v>
          </cell>
          <cell r="S306">
            <v>1.0475453940001105</v>
          </cell>
          <cell r="T306">
            <v>1.0516281061343089</v>
          </cell>
          <cell r="U306">
            <v>1.1121713278918359</v>
          </cell>
          <cell r="V306">
            <v>1</v>
          </cell>
          <cell r="W306">
            <v>0.97256459342588486</v>
          </cell>
          <cell r="X306">
            <v>0.96013873696892849</v>
          </cell>
          <cell r="Y306">
            <v>0.97447449124424512</v>
          </cell>
          <cell r="Z306">
            <v>1.0417799861109709</v>
          </cell>
        </row>
        <row r="307">
          <cell r="C307">
            <v>1.1262210895781346</v>
          </cell>
          <cell r="D307">
            <v>1.1348904811261626</v>
          </cell>
          <cell r="E307">
            <v>1.0998825269849317</v>
          </cell>
          <cell r="F307">
            <v>1.06315517595103</v>
          </cell>
          <cell r="G307">
            <v>1.1221412921641043</v>
          </cell>
          <cell r="H307">
            <v>1.1089792427381397</v>
          </cell>
          <cell r="I307">
            <v>1.0760307419490802</v>
          </cell>
          <cell r="J307">
            <v>1.0725508717319472</v>
          </cell>
          <cell r="K307">
            <v>1.0592636806510913</v>
          </cell>
          <cell r="L307">
            <v>1.0592636806510913</v>
          </cell>
          <cell r="M307">
            <v>1.0877971954638759</v>
          </cell>
          <cell r="N307">
            <v>1.1017432044680644</v>
          </cell>
          <cell r="O307">
            <v>1.0285442476120346</v>
          </cell>
          <cell r="P307">
            <v>1.0632480274990852</v>
          </cell>
          <cell r="Q307">
            <v>1.0839250377456249</v>
          </cell>
          <cell r="R307">
            <v>1.0227304031968827</v>
          </cell>
          <cell r="S307">
            <v>1.0770959595702572</v>
          </cell>
          <cell r="T307">
            <v>1.0812938423245706</v>
          </cell>
          <cell r="U307">
            <v>1.1435449484894185</v>
          </cell>
          <cell r="V307">
            <v>1.0282093413224855</v>
          </cell>
          <cell r="W307">
            <v>1</v>
          </cell>
          <cell r="X307">
            <v>0.9872236183170251</v>
          </cell>
          <cell r="Y307">
            <v>1.0019637747778094</v>
          </cell>
          <cell r="Z307">
            <v>1.0711679133221095</v>
          </cell>
        </row>
        <row r="308">
          <cell r="C308">
            <v>1.140796339028098</v>
          </cell>
          <cell r="D308">
            <v>1.1495779275022546</v>
          </cell>
          <cell r="E308">
            <v>1.1141169098648214</v>
          </cell>
          <cell r="F308">
            <v>1.0769142433640817</v>
          </cell>
          <cell r="G308">
            <v>1.1366637419767984</v>
          </cell>
          <cell r="H308">
            <v>1.1233313528587152</v>
          </cell>
          <cell r="I308">
            <v>1.0899564414630289</v>
          </cell>
          <cell r="J308">
            <v>1.0864315357045289</v>
          </cell>
          <cell r="K308">
            <v>1.0729723853820241</v>
          </cell>
          <cell r="L308">
            <v>1.0729723853820241</v>
          </cell>
          <cell r="M308">
            <v>1.1018751732442384</v>
          </cell>
          <cell r="N308">
            <v>1.1160016677338687</v>
          </cell>
          <cell r="O308">
            <v>1.0418553897296856</v>
          </cell>
          <cell r="P308">
            <v>1.0770082965718175</v>
          </cell>
          <cell r="Q308">
            <v>1.0979529031056328</v>
          </cell>
          <cell r="R308">
            <v>1.0359663041088785</v>
          </cell>
          <cell r="S308">
            <v>1.0910354448432287</v>
          </cell>
          <cell r="T308">
            <v>1.0952876554634221</v>
          </cell>
          <cell r="U308">
            <v>1.1583443986468669</v>
          </cell>
          <cell r="V308">
            <v>1.0415161491733058</v>
          </cell>
          <cell r="W308">
            <v>1.0129417301672294</v>
          </cell>
          <cell r="X308">
            <v>1</v>
          </cell>
          <cell r="Y308">
            <v>1.0149309195883225</v>
          </cell>
          <cell r="Z308">
            <v>1.0850306794201185</v>
          </cell>
        </row>
        <row r="309">
          <cell r="C309">
            <v>1.1240137796677128</v>
          </cell>
          <cell r="D309">
            <v>1.1326661798504944</v>
          </cell>
          <cell r="E309">
            <v>1.0977268387061561</v>
          </cell>
          <cell r="F309">
            <v>1.0610714705596918</v>
          </cell>
          <cell r="G309">
            <v>1.119941978354402</v>
          </cell>
          <cell r="H309">
            <v>1.1068057255703296</v>
          </cell>
          <cell r="I309">
            <v>1.073921801402147</v>
          </cell>
          <cell r="J309">
            <v>1.0704487514728671</v>
          </cell>
          <cell r="K309">
            <v>1.0571876023022773</v>
          </cell>
          <cell r="L309">
            <v>1.0571876023022773</v>
          </cell>
          <cell r="M309">
            <v>1.0856651935396571</v>
          </cell>
          <cell r="N309">
            <v>1.0995838693992519</v>
          </cell>
          <cell r="O309">
            <v>1.0265283770764262</v>
          </cell>
          <cell r="P309">
            <v>1.0611641401255907</v>
          </cell>
          <cell r="Q309">
            <v>1.0818006249637027</v>
          </cell>
          <cell r="R309">
            <v>1.0207259273656659</v>
          </cell>
          <cell r="S309">
            <v>1.0749849312756927</v>
          </cell>
          <cell r="T309">
            <v>1.0791745864907671</v>
          </cell>
          <cell r="U309">
            <v>1.1413036850988005</v>
          </cell>
          <cell r="V309">
            <v>1.0261941271783963</v>
          </cell>
          <cell r="W309">
            <v>0.99804007407528783</v>
          </cell>
          <cell r="X309">
            <v>0.98528873315399745</v>
          </cell>
          <cell r="Y309">
            <v>1</v>
          </cell>
          <cell r="Z309">
            <v>1.0690685035590697</v>
          </cell>
        </row>
        <row r="310">
          <cell r="C310">
            <v>1.0513954680413118</v>
          </cell>
          <cell r="D310">
            <v>1.0594888691226987</v>
          </cell>
          <cell r="E310">
            <v>1.0268068276744466</v>
          </cell>
          <cell r="F310">
            <v>0.99251962528803839</v>
          </cell>
          <cell r="G310">
            <v>1.0475867305284627</v>
          </cell>
          <cell r="H310">
            <v>1.0352991617334417</v>
          </cell>
          <cell r="I310">
            <v>1.0045397444849606</v>
          </cell>
          <cell r="J310">
            <v>1.0012910752764697</v>
          </cell>
          <cell r="K310">
            <v>0.98888667918169959</v>
          </cell>
          <cell r="L310">
            <v>0.98888667918169959</v>
          </cell>
          <cell r="M310">
            <v>1.0155244401320729</v>
          </cell>
          <cell r="N310">
            <v>1.0285438825843176</v>
          </cell>
          <cell r="O310">
            <v>0.96020823142668421</v>
          </cell>
          <cell r="P310">
            <v>0.99260630782109449</v>
          </cell>
          <cell r="Q310">
            <v>1.0119095468272108</v>
          </cell>
          <cell r="R310">
            <v>0.95478065621383001</v>
          </cell>
          <cell r="S310">
            <v>1.0055341895275434</v>
          </cell>
          <cell r="T310">
            <v>1.0094531668438953</v>
          </cell>
          <cell r="U310">
            <v>1.0675683375754224</v>
          </cell>
          <cell r="V310">
            <v>0.95989557616005072</v>
          </cell>
          <cell r="W310">
            <v>0.93356045075940519</v>
          </cell>
          <cell r="X310">
            <v>0.92163292611637293</v>
          </cell>
          <cell r="Y310">
            <v>0.93539375322616702</v>
          </cell>
          <cell r="Z310">
            <v>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21">
          <cell r="CI121">
            <v>1199.7543236906586</v>
          </cell>
          <cell r="CJ121">
            <v>1191.4317316890103</v>
          </cell>
          <cell r="CK121">
            <v>1182.2822067277068</v>
          </cell>
          <cell r="CL121">
            <v>1172.3121923497815</v>
          </cell>
          <cell r="CM121">
            <v>1161.5272149454943</v>
          </cell>
          <cell r="CN121">
            <v>1149.9370549992736</v>
          </cell>
          <cell r="CO121">
            <v>1137.3457205901232</v>
          </cell>
          <cell r="CP121">
            <v>1120.6225832505331</v>
          </cell>
          <cell r="CQ121">
            <v>1099.25214556526</v>
          </cell>
          <cell r="CR121">
            <v>1072.7851363817817</v>
          </cell>
          <cell r="CS121">
            <v>1041.275360144969</v>
          </cell>
          <cell r="CT121">
            <v>1004.5680149449518</v>
          </cell>
          <cell r="CU121">
            <v>962.58538264741287</v>
          </cell>
          <cell r="CV121">
            <v>915.64115926059048</v>
          </cell>
          <cell r="CW121">
            <v>863.6525549269835</v>
          </cell>
          <cell r="CX121">
            <v>806.65870170252219</v>
          </cell>
          <cell r="CY121">
            <v>744.69918021680769</v>
          </cell>
        </row>
        <row r="122">
          <cell r="CI122">
            <v>523.89563381579148</v>
          </cell>
          <cell r="CJ122">
            <v>498.02966004278494</v>
          </cell>
          <cell r="CK122">
            <v>470.80876729539506</v>
          </cell>
          <cell r="CL122">
            <v>442.55105848463927</v>
          </cell>
          <cell r="CM122">
            <v>413.5738120365624</v>
          </cell>
          <cell r="CN122">
            <v>384.20199303976267</v>
          </cell>
          <cell r="CO122">
            <v>354.26038809150862</v>
          </cell>
          <cell r="CP122">
            <v>317.25322146835742</v>
          </cell>
          <cell r="CQ122">
            <v>274.33042828926426</v>
          </cell>
          <cell r="CR122">
            <v>227.5227748367596</v>
          </cell>
          <cell r="CS122">
            <v>180.20992513851954</v>
          </cell>
          <cell r="CT122">
            <v>135.26996664065339</v>
          </cell>
          <cell r="CU122">
            <v>95.30791020732164</v>
          </cell>
          <cell r="CV122">
            <v>62.471902953696969</v>
          </cell>
          <cell r="CW122">
            <v>37.428380999435639</v>
          </cell>
          <cell r="CX122">
            <v>19.998711339241364</v>
          </cell>
          <cell r="CY122">
            <v>9.164206445952372</v>
          </cell>
        </row>
        <row r="123">
          <cell r="CI123">
            <v>37.620475054826763</v>
          </cell>
          <cell r="CJ123">
            <v>36.421934203006273</v>
          </cell>
          <cell r="CK123">
            <v>35.137373375210984</v>
          </cell>
          <cell r="CL123">
            <v>33.776536059315944</v>
          </cell>
          <cell r="CM123">
            <v>32.3294395251895</v>
          </cell>
          <cell r="CN123">
            <v>30.807111904188588</v>
          </cell>
          <cell r="CO123">
            <v>29.185274929890667</v>
          </cell>
          <cell r="CP123">
            <v>27.095746559865738</v>
          </cell>
          <cell r="CQ123">
            <v>24.553256812234881</v>
          </cell>
          <cell r="CR123">
            <v>21.617708183454472</v>
          </cell>
          <cell r="CS123">
            <v>18.437776275964726</v>
          </cell>
          <cell r="CT123">
            <v>15.155282748380943</v>
          </cell>
          <cell r="CU123">
            <v>11.928950872539534</v>
          </cell>
          <cell r="CV123">
            <v>8.9373795521463695</v>
          </cell>
          <cell r="CW123">
            <v>6.2994456083400969</v>
          </cell>
          <cell r="CX123">
            <v>4.109546380401115</v>
          </cell>
          <cell r="CY123">
            <v>2.417532562778919</v>
          </cell>
        </row>
        <row r="124">
          <cell r="CI124">
            <v>76.914032837743079</v>
          </cell>
          <cell r="CJ124">
            <v>71.853051671076059</v>
          </cell>
          <cell r="CK124">
            <v>66.619006597167754</v>
          </cell>
          <cell r="CL124">
            <v>61.290130282102147</v>
          </cell>
          <cell r="CM124">
            <v>55.941662807390294</v>
          </cell>
          <cell r="CN124">
            <v>50.646756649941807</v>
          </cell>
          <cell r="CO124">
            <v>45.386436393741405</v>
          </cell>
          <cell r="CP124">
            <v>39.067639295761545</v>
          </cell>
          <cell r="CQ124">
            <v>32.023236378296147</v>
          </cell>
          <cell r="CR124">
            <v>24.741194145954637</v>
          </cell>
          <cell r="CS124">
            <v>17.884417982336963</v>
          </cell>
          <cell r="CT124">
            <v>11.940485657483102</v>
          </cell>
          <cell r="CU124">
            <v>7.2392337665049782</v>
          </cell>
          <cell r="CV124">
            <v>3.9152485709122073</v>
          </cell>
          <cell r="CW124">
            <v>1.8234729666718015</v>
          </cell>
          <cell r="CX124">
            <v>0.69176980912311015</v>
          </cell>
          <cell r="CY124">
            <v>0.19229481966596779</v>
          </cell>
        </row>
        <row r="125">
          <cell r="CI125">
            <v>15.086243563814918</v>
          </cell>
          <cell r="CJ125">
            <v>14.809675636991896</v>
          </cell>
          <cell r="CK125">
            <v>14.509116905897983</v>
          </cell>
          <cell r="CL125">
            <v>14.185769017428305</v>
          </cell>
          <cell r="CM125">
            <v>13.840876906823317</v>
          </cell>
          <cell r="CN125">
            <v>13.475889345656997</v>
          </cell>
          <cell r="CO125">
            <v>13.085938789521936</v>
          </cell>
          <cell r="CP125">
            <v>12.578358474090775</v>
          </cell>
          <cell r="CQ125">
            <v>11.946466923839754</v>
          </cell>
          <cell r="CR125">
            <v>11.189600884988486</v>
          </cell>
          <cell r="CS125">
            <v>10.325617337061503</v>
          </cell>
          <cell r="CT125">
            <v>9.3695100409793852</v>
          </cell>
          <cell r="CU125">
            <v>8.3417304910749444</v>
          </cell>
          <cell r="CV125">
            <v>7.274608191070401</v>
          </cell>
          <cell r="CW125">
            <v>6.1917865608950517</v>
          </cell>
          <cell r="CX125">
            <v>5.1211532859991493</v>
          </cell>
          <cell r="CY125">
            <v>4.0909771652026983</v>
          </cell>
        </row>
        <row r="126">
          <cell r="CI126">
            <v>220.57206984001303</v>
          </cell>
          <cell r="CJ126">
            <v>211.94565901991834</v>
          </cell>
          <cell r="CK126">
            <v>202.76936655228502</v>
          </cell>
          <cell r="CL126">
            <v>193.12907179643989</v>
          </cell>
          <cell r="CM126">
            <v>183.11208852965905</v>
          </cell>
          <cell r="CN126">
            <v>172.81082748333006</v>
          </cell>
          <cell r="CO126">
            <v>162.14285279054326</v>
          </cell>
          <cell r="CP126">
            <v>148.72581584159639</v>
          </cell>
          <cell r="CQ126">
            <v>132.78671349109783</v>
          </cell>
          <cell r="CR126">
            <v>114.8396634054439</v>
          </cell>
          <cell r="CS126">
            <v>95.92312325635217</v>
          </cell>
          <cell r="CT126">
            <v>76.974710512980266</v>
          </cell>
          <cell r="CU126">
            <v>58.961543545613445</v>
          </cell>
          <cell r="CV126">
            <v>42.870440917775987</v>
          </cell>
          <cell r="CW126">
            <v>29.25711680252995</v>
          </cell>
          <cell r="CX126">
            <v>18.464787100264722</v>
          </cell>
          <cell r="CY126">
            <v>10.540742208577171</v>
          </cell>
        </row>
        <row r="127">
          <cell r="CI127">
            <v>287.72947245237492</v>
          </cell>
          <cell r="CJ127">
            <v>279.92641060242471</v>
          </cell>
          <cell r="CK127">
            <v>271.52237897885237</v>
          </cell>
          <cell r="CL127">
            <v>262.57090239249084</v>
          </cell>
          <cell r="CM127">
            <v>253.12731566019463</v>
          </cell>
          <cell r="CN127">
            <v>243.25285300025365</v>
          </cell>
          <cell r="CO127">
            <v>232.83999247844</v>
          </cell>
          <cell r="CP127">
            <v>219.47965390469483</v>
          </cell>
          <cell r="CQ127">
            <v>203.16894459837511</v>
          </cell>
          <cell r="CR127">
            <v>184.12763305345896</v>
          </cell>
          <cell r="CS127">
            <v>163.0961524654434</v>
          </cell>
          <cell r="CT127">
            <v>140.75557870516249</v>
          </cell>
          <cell r="CU127">
            <v>117.91491557675357</v>
          </cell>
          <cell r="CV127">
            <v>95.600434779032668</v>
          </cell>
          <cell r="CW127">
            <v>74.549703693282339</v>
          </cell>
          <cell r="CX127">
            <v>55.480582360887752</v>
          </cell>
          <cell r="CY127">
            <v>38.970672000732193</v>
          </cell>
        </row>
        <row r="128">
          <cell r="CI128">
            <v>226.36516405464164</v>
          </cell>
          <cell r="CJ128">
            <v>219.58080276415086</v>
          </cell>
          <cell r="CK128">
            <v>212.29534498326669</v>
          </cell>
          <cell r="CL128">
            <v>204.56056087696803</v>
          </cell>
          <cell r="CM128">
            <v>196.42980433650735</v>
          </cell>
          <cell r="CN128">
            <v>187.96142084052599</v>
          </cell>
          <cell r="CO128">
            <v>179.06941984648506</v>
          </cell>
          <cell r="CP128">
            <v>167.714083861186</v>
          </cell>
          <cell r="CQ128">
            <v>153.93987100527414</v>
          </cell>
          <cell r="CR128">
            <v>137.99542892271643</v>
          </cell>
          <cell r="CS128">
            <v>120.5759863799436</v>
          </cell>
          <cell r="CT128">
            <v>102.32316075340117</v>
          </cell>
          <cell r="CU128">
            <v>83.973175752239754</v>
          </cell>
          <cell r="CV128">
            <v>66.411041423923578</v>
          </cell>
          <cell r="CW128">
            <v>50.250113945559804</v>
          </cell>
          <cell r="CX128">
            <v>36.045138541545924</v>
          </cell>
          <cell r="CY128">
            <v>24.191025126279669</v>
          </cell>
        </row>
        <row r="129">
          <cell r="CI129">
            <v>703.10102778722398</v>
          </cell>
          <cell r="CJ129">
            <v>680.16072192772208</v>
          </cell>
          <cell r="CK129">
            <v>655.59349584559686</v>
          </cell>
          <cell r="CL129">
            <v>629.59043587777421</v>
          </cell>
          <cell r="CM129">
            <v>602.34779095029342</v>
          </cell>
          <cell r="CN129">
            <v>574.07800295591596</v>
          </cell>
          <cell r="CO129">
            <v>544.51260111590227</v>
          </cell>
          <cell r="CP129">
            <v>506.92292415797652</v>
          </cell>
          <cell r="CQ129">
            <v>461.59964917236778</v>
          </cell>
          <cell r="CR129">
            <v>409.55144187563434</v>
          </cell>
          <cell r="CS129">
            <v>353.27066187555948</v>
          </cell>
          <cell r="CT129">
            <v>295.05243823080053</v>
          </cell>
          <cell r="CU129">
            <v>237.44970764988176</v>
          </cell>
          <cell r="CV129">
            <v>183.38791375444197</v>
          </cell>
          <cell r="CW129">
            <v>134.80553256755258</v>
          </cell>
          <cell r="CX129">
            <v>93.320326827479491</v>
          </cell>
          <cell r="CY129">
            <v>59.909999796986597</v>
          </cell>
        </row>
        <row r="130">
          <cell r="CI130">
            <v>123.43712609572799</v>
          </cell>
          <cell r="CJ130">
            <v>119.86970578362198</v>
          </cell>
          <cell r="CK130">
            <v>116.03456756077092</v>
          </cell>
          <cell r="CL130">
            <v>111.9579101421282</v>
          </cell>
          <cell r="CM130">
            <v>107.66676762181835</v>
          </cell>
          <cell r="CN130">
            <v>103.19083116660057</v>
          </cell>
          <cell r="CO130">
            <v>98.483432302546888</v>
          </cell>
          <cell r="CP130">
            <v>92.461292371528728</v>
          </cell>
          <cell r="CQ130">
            <v>85.138675370693647</v>
          </cell>
          <cell r="CR130">
            <v>76.635244170164171</v>
          </cell>
          <cell r="CS130">
            <v>67.306843280220619</v>
          </cell>
          <cell r="CT130">
            <v>57.481729050547514</v>
          </cell>
          <cell r="CU130">
            <v>47.541401526661822</v>
          </cell>
          <cell r="CV130">
            <v>37.953627233585607</v>
          </cell>
          <cell r="CW130">
            <v>29.047510506492671</v>
          </cell>
          <cell r="CX130">
            <v>21.12940185124836</v>
          </cell>
          <cell r="CY130">
            <v>14.428724812473092</v>
          </cell>
        </row>
        <row r="131">
          <cell r="CI131">
            <v>74.483219401367094</v>
          </cell>
          <cell r="CJ131">
            <v>71.759650544794937</v>
          </cell>
          <cell r="CK131">
            <v>68.85480304626563</v>
          </cell>
          <cell r="CL131">
            <v>65.794090738418404</v>
          </cell>
          <cell r="CM131">
            <v>62.603460434723964</v>
          </cell>
          <cell r="CN131">
            <v>59.310609904136108</v>
          </cell>
          <cell r="CO131">
            <v>55.887319693464832</v>
          </cell>
          <cell r="CP131">
            <v>51.563452075947474</v>
          </cell>
          <cell r="CQ131">
            <v>46.396674268869013</v>
          </cell>
          <cell r="CR131">
            <v>40.533597169995716</v>
          </cell>
          <cell r="CS131">
            <v>34.291000967168458</v>
          </cell>
          <cell r="CT131">
            <v>27.957702010559121</v>
          </cell>
          <cell r="CU131">
            <v>21.840627323406242</v>
          </cell>
          <cell r="CV131">
            <v>16.267712954165532</v>
          </cell>
          <cell r="CW131">
            <v>11.437869703857068</v>
          </cell>
          <cell r="CX131">
            <v>7.4930321403339715</v>
          </cell>
          <cell r="CY131">
            <v>4.4865369092434939</v>
          </cell>
        </row>
        <row r="132">
          <cell r="CI132">
            <v>43.008387570524029</v>
          </cell>
          <cell r="CJ132">
            <v>41.305901850236978</v>
          </cell>
          <cell r="CK132">
            <v>39.495789511968262</v>
          </cell>
          <cell r="CL132">
            <v>37.59519501707792</v>
          </cell>
          <cell r="CM132">
            <v>35.62153503277321</v>
          </cell>
          <cell r="CN132">
            <v>33.593213943813872</v>
          </cell>
          <cell r="CO132">
            <v>31.494209868838112</v>
          </cell>
          <cell r="CP132">
            <v>28.856419841497633</v>
          </cell>
          <cell r="CQ132">
            <v>25.726230225486937</v>
          </cell>
          <cell r="CR132">
            <v>22.206857180488925</v>
          </cell>
          <cell r="CS132">
            <v>18.504420891493982</v>
          </cell>
          <cell r="CT132">
            <v>14.804642409300396</v>
          </cell>
          <cell r="CU132">
            <v>11.298006860975702</v>
          </cell>
          <cell r="CV132">
            <v>8.1771813067785413</v>
          </cell>
          <cell r="CW132">
            <v>5.5489682986703546</v>
          </cell>
          <cell r="CX132">
            <v>3.4771740578637269</v>
          </cell>
          <cell r="CY132">
            <v>1.9668165721242894</v>
          </cell>
        </row>
        <row r="133">
          <cell r="CI133">
            <v>393.45610105173319</v>
          </cell>
          <cell r="CJ133">
            <v>375.41093285839679</v>
          </cell>
          <cell r="CK133">
            <v>356.35041617147601</v>
          </cell>
          <cell r="CL133">
            <v>336.48259369885005</v>
          </cell>
          <cell r="CM133">
            <v>316.01640706996841</v>
          </cell>
          <cell r="CN133">
            <v>295.16823226324578</v>
          </cell>
          <cell r="CO133">
            <v>273.80014378220631</v>
          </cell>
          <cell r="CP133">
            <v>247.23100301407629</v>
          </cell>
          <cell r="CQ133">
            <v>216.15927102235582</v>
          </cell>
          <cell r="CR133">
            <v>181.89848268917984</v>
          </cell>
          <cell r="CS133">
            <v>146.76154536197407</v>
          </cell>
          <cell r="CT133">
            <v>112.76405703396557</v>
          </cell>
          <cell r="CU133">
            <v>81.8185405948377</v>
          </cell>
          <cell r="CV133">
            <v>55.633471687948628</v>
          </cell>
          <cell r="CW133">
            <v>34.916444860816483</v>
          </cell>
          <cell r="CX133">
            <v>19.812210035276941</v>
          </cell>
          <cell r="CY133">
            <v>9.8416264617025622</v>
          </cell>
        </row>
        <row r="134">
          <cell r="CI134">
            <v>73.975593318371679</v>
          </cell>
          <cell r="CJ134">
            <v>71.860906963778149</v>
          </cell>
          <cell r="CK134">
            <v>69.586787356204795</v>
          </cell>
          <cell r="CL134">
            <v>67.168584985459191</v>
          </cell>
          <cell r="CM134">
            <v>64.622145371186846</v>
          </cell>
          <cell r="CN134">
            <v>61.964894022250839</v>
          </cell>
          <cell r="CO134">
            <v>59.168910383178137</v>
          </cell>
          <cell r="CP134">
            <v>55.590169414100487</v>
          </cell>
          <cell r="CQ134">
            <v>51.235518113431951</v>
          </cell>
          <cell r="CR134">
            <v>46.173922180021847</v>
          </cell>
          <cell r="CS134">
            <v>40.614566637266364</v>
          </cell>
          <cell r="CT134">
            <v>34.750360388875819</v>
          </cell>
          <cell r="CU134">
            <v>28.806354777322998</v>
          </cell>
          <cell r="CV134">
            <v>23.060122820717233</v>
          </cell>
          <cell r="CW134">
            <v>17.707757625009897</v>
          </cell>
          <cell r="CX134">
            <v>12.933287993098361</v>
          </cell>
          <cell r="CY134">
            <v>8.8764332441615998</v>
          </cell>
        </row>
        <row r="135">
          <cell r="CI135">
            <v>251.03037241002679</v>
          </cell>
          <cell r="CJ135">
            <v>237.87144129967351</v>
          </cell>
          <cell r="CK135">
            <v>224.06760661019635</v>
          </cell>
          <cell r="CL135">
            <v>209.78913349164264</v>
          </cell>
          <cell r="CM135">
            <v>195.20478581781521</v>
          </cell>
          <cell r="CN135">
            <v>180.48577710510466</v>
          </cell>
          <cell r="CO135">
            <v>165.55203196718165</v>
          </cell>
          <cell r="CP135">
            <v>147.19053665430923</v>
          </cell>
          <cell r="CQ135">
            <v>126.04726874703991</v>
          </cell>
          <cell r="CR135">
            <v>103.21302582845109</v>
          </cell>
          <cell r="CS135">
            <v>80.425402591053242</v>
          </cell>
          <cell r="CT135">
            <v>59.131390644149548</v>
          </cell>
          <cell r="CU135">
            <v>40.58434128635141</v>
          </cell>
          <cell r="CV135">
            <v>25.738999992351165</v>
          </cell>
          <cell r="CW135">
            <v>14.783993764801098</v>
          </cell>
          <cell r="CX135">
            <v>7.4744516242443835</v>
          </cell>
          <cell r="CY135">
            <v>3.1751621970743793</v>
          </cell>
        </row>
        <row r="136">
          <cell r="CI136">
            <v>443.17274858668139</v>
          </cell>
          <cell r="CJ136">
            <v>415.41622950307863</v>
          </cell>
          <cell r="CK136">
            <v>386.61317700533624</v>
          </cell>
          <cell r="CL136">
            <v>357.17730160958291</v>
          </cell>
          <cell r="CM136">
            <v>327.50949206129667</v>
          </cell>
          <cell r="CN136">
            <v>298.00354196187487</v>
          </cell>
          <cell r="CO136">
            <v>268.54272483118905</v>
          </cell>
          <cell r="CP136">
            <v>232.95628578248801</v>
          </cell>
          <cell r="CQ136">
            <v>192.97430848745793</v>
          </cell>
          <cell r="CR136">
            <v>151.20567361544585</v>
          </cell>
          <cell r="CS136">
            <v>111.31877968592866</v>
          </cell>
          <cell r="CT136">
            <v>76.103568483389381</v>
          </cell>
          <cell r="CU136">
            <v>47.582921907913637</v>
          </cell>
          <cell r="CV136">
            <v>26.786893458581705</v>
          </cell>
          <cell r="CW136">
            <v>13.164892072642393</v>
          </cell>
          <cell r="CX136">
            <v>5.3878702548733797</v>
          </cell>
          <cell r="CY136">
            <v>1.6850546356381599</v>
          </cell>
        </row>
        <row r="137">
          <cell r="CI137">
            <v>3261.4680708376309</v>
          </cell>
          <cell r="CJ137">
            <v>3108.6553608029667</v>
          </cell>
          <cell r="CK137">
            <v>2947.411931489738</v>
          </cell>
          <cell r="CL137">
            <v>2779.5332561025771</v>
          </cell>
          <cell r="CM137">
            <v>2606.8191147557895</v>
          </cell>
          <cell r="CN137">
            <v>2431.1275131989119</v>
          </cell>
          <cell r="CO137">
            <v>2251.3292495018554</v>
          </cell>
          <cell r="CP137">
            <v>2028.1444832998823</v>
          </cell>
          <cell r="CQ137">
            <v>1767.7432012052616</v>
          </cell>
          <cell r="CR137">
            <v>1481.5071338078376</v>
          </cell>
          <cell r="CS137">
            <v>1189.1455736219887</v>
          </cell>
          <cell r="CT137">
            <v>907.72795931281371</v>
          </cell>
          <cell r="CU137">
            <v>653.2416338156894</v>
          </cell>
          <cell r="CV137">
            <v>439.66312748110317</v>
          </cell>
          <cell r="CW137">
            <v>272.40277508012059</v>
          </cell>
          <cell r="CX137">
            <v>152.02066965031185</v>
          </cell>
          <cell r="CY137">
            <v>73.862929787420825</v>
          </cell>
        </row>
        <row r="138">
          <cell r="CI138">
            <v>111.68528246571482</v>
          </cell>
          <cell r="CJ138">
            <v>101.8212362655229</v>
          </cell>
          <cell r="CK138">
            <v>91.865792599572359</v>
          </cell>
          <cell r="CL138">
            <v>82.002513391614201</v>
          </cell>
          <cell r="CM138">
            <v>72.397543865580801</v>
          </cell>
          <cell r="CN138">
            <v>63.199896774529421</v>
          </cell>
          <cell r="CO138">
            <v>54.389267488105176</v>
          </cell>
          <cell r="CP138">
            <v>44.225574261460395</v>
          </cell>
          <cell r="CQ138">
            <v>33.521958442003161</v>
          </cell>
          <cell r="CR138">
            <v>23.290268558161841</v>
          </cell>
          <cell r="CS138">
            <v>14.626560200465217</v>
          </cell>
          <cell r="CT138">
            <v>8.1016992550253981</v>
          </cell>
          <cell r="CU138">
            <v>3.8201823772097736</v>
          </cell>
          <cell r="CV138">
            <v>1.4657805308527707</v>
          </cell>
          <cell r="CW138">
            <v>0.41465468309310394</v>
          </cell>
          <cell r="CX138">
            <v>6.9232848875680431E-2</v>
          </cell>
          <cell r="CY138">
            <v>2.1371998929066577E-3</v>
          </cell>
        </row>
        <row r="139">
          <cell r="CI139">
            <v>17.848726209560891</v>
          </cell>
          <cell r="CJ139">
            <v>16.597498644568798</v>
          </cell>
          <cell r="CK139">
            <v>15.309442421189656</v>
          </cell>
          <cell r="CL139">
            <v>14.004784067031634</v>
          </cell>
          <cell r="CM139">
            <v>12.70277151960185</v>
          </cell>
          <cell r="CN139">
            <v>11.421853542508575</v>
          </cell>
          <cell r="CO139">
            <v>10.157999064611325</v>
          </cell>
          <cell r="CP139">
            <v>8.6513349938055715</v>
          </cell>
          <cell r="CQ139">
            <v>6.9894151027584766</v>
          </cell>
          <cell r="CR139">
            <v>5.2961352376226518</v>
          </cell>
          <cell r="CS139">
            <v>3.7324176553001349</v>
          </cell>
          <cell r="CT139">
            <v>2.4108505576015191</v>
          </cell>
          <cell r="CU139">
            <v>1.3995930516144948</v>
          </cell>
          <cell r="CV139">
            <v>0.71494370889030534</v>
          </cell>
          <cell r="CW139">
            <v>0.30800636995729724</v>
          </cell>
          <cell r="CX139">
            <v>0.10435242148849849</v>
          </cell>
          <cell r="CY139">
            <v>2.4082172264638671E-2</v>
          </cell>
        </row>
        <row r="140">
          <cell r="CI140">
            <v>251.11416114237164</v>
          </cell>
          <cell r="CJ140">
            <v>228.08422342888863</v>
          </cell>
          <cell r="CK140">
            <v>204.92735076206148</v>
          </cell>
          <cell r="CL140">
            <v>182.08031642327111</v>
          </cell>
          <cell r="CM140">
            <v>159.93437051123612</v>
          </cell>
          <cell r="CN140">
            <v>138.83560126041326</v>
          </cell>
          <cell r="CO140">
            <v>118.7375563294631</v>
          </cell>
          <cell r="CP140">
            <v>95.697217950858715</v>
          </cell>
          <cell r="CQ140">
            <v>71.64701463060355</v>
          </cell>
          <cell r="CR140">
            <v>48.939035202730174</v>
          </cell>
          <cell r="CS140">
            <v>30.035321151804279</v>
          </cell>
          <cell r="CT140">
            <v>16.122226310766731</v>
          </cell>
          <cell r="CU140">
            <v>7.2749627768109963</v>
          </cell>
          <cell r="CV140">
            <v>2.6192125153230403</v>
          </cell>
          <cell r="CW140">
            <v>0.66883396509696968</v>
          </cell>
          <cell r="CX140">
            <v>9.0279914092184499E-2</v>
          </cell>
          <cell r="CY140">
            <v>-5.7233860699673622E-4</v>
          </cell>
        </row>
        <row r="141">
          <cell r="CI141">
            <v>588.75791242036053</v>
          </cell>
          <cell r="CJ141">
            <v>562.02985871334931</v>
          </cell>
          <cell r="CK141">
            <v>533.7841113726322</v>
          </cell>
          <cell r="CL141">
            <v>504.32602229722187</v>
          </cell>
          <cell r="CM141">
            <v>473.96253616716376</v>
          </cell>
          <cell r="CN141">
            <v>443.01198754031566</v>
          </cell>
          <cell r="CO141">
            <v>411.26683156502099</v>
          </cell>
          <cell r="CP141">
            <v>371.76352478586716</v>
          </cell>
          <cell r="CQ141">
            <v>325.51528193849418</v>
          </cell>
          <cell r="CR141">
            <v>274.44587727979882</v>
          </cell>
          <cell r="CS141">
            <v>221.97027074542405</v>
          </cell>
          <cell r="CT141">
            <v>171.07290596801809</v>
          </cell>
          <cell r="CU141">
            <v>124.60274217554897</v>
          </cell>
          <cell r="CV141">
            <v>85.130161526620867</v>
          </cell>
          <cell r="CW141">
            <v>53.751049325394675</v>
          </cell>
          <cell r="CX141">
            <v>30.735487219495138</v>
          </cell>
          <cell r="CY141">
            <v>15.424835238486585</v>
          </cell>
        </row>
        <row r="142">
          <cell r="CI142">
            <v>137.31816217187631</v>
          </cell>
          <cell r="CJ142">
            <v>128.44241408002983</v>
          </cell>
          <cell r="CK142">
            <v>119.25171498030036</v>
          </cell>
          <cell r="CL142">
            <v>109.88149106909248</v>
          </cell>
          <cell r="CM142">
            <v>100.46235206162318</v>
          </cell>
          <cell r="CN142">
            <v>91.12176687340758</v>
          </cell>
          <cell r="CO142">
            <v>81.825030276521744</v>
          </cell>
          <cell r="CP142">
            <v>70.634714351583028</v>
          </cell>
          <cell r="CQ142">
            <v>58.123684516262365</v>
          </cell>
          <cell r="CR142">
            <v>45.14026898993653</v>
          </cell>
          <cell r="CS142">
            <v>32.851417229073789</v>
          </cell>
          <cell r="CT142">
            <v>22.126325819584558</v>
          </cell>
          <cell r="CU142">
            <v>13.568790885910911</v>
          </cell>
          <cell r="CV142">
            <v>7.4487337460310883</v>
          </cell>
          <cell r="CW142">
            <v>3.539550288703178</v>
          </cell>
          <cell r="CX142">
            <v>1.3816611305063846</v>
          </cell>
          <cell r="CY142">
            <v>0.40171651759542726</v>
          </cell>
        </row>
        <row r="143">
          <cell r="CI143">
            <v>131.12780336758556</v>
          </cell>
          <cell r="CJ143">
            <v>123.31301762681733</v>
          </cell>
          <cell r="CK143">
            <v>115.17732901897688</v>
          </cell>
          <cell r="CL143">
            <v>106.83288044712793</v>
          </cell>
          <cell r="CM143">
            <v>98.389100548192872</v>
          </cell>
          <cell r="CN143">
            <v>89.954528775573834</v>
          </cell>
          <cell r="CO143">
            <v>81.492456490036844</v>
          </cell>
          <cell r="CP143">
            <v>71.216579750094226</v>
          </cell>
          <cell r="CQ143">
            <v>59.586002160803019</v>
          </cell>
          <cell r="CR143">
            <v>47.313718873689538</v>
          </cell>
          <cell r="CS143">
            <v>35.437462840919864</v>
          </cell>
          <cell r="CT143">
            <v>24.770155274976659</v>
          </cell>
          <cell r="CU143">
            <v>15.937049921017898</v>
          </cell>
          <cell r="CV143">
            <v>9.3092778523950717</v>
          </cell>
          <cell r="CW143">
            <v>4.8045879682697121</v>
          </cell>
          <cell r="CX143">
            <v>2.1038496933066364</v>
          </cell>
          <cell r="CY143">
            <v>0.72803481169762829</v>
          </cell>
        </row>
        <row r="202">
          <cell r="Y202">
            <v>581.24862850519014</v>
          </cell>
          <cell r="Z202">
            <v>574.47647604175859</v>
          </cell>
          <cell r="AA202">
            <v>570.49138240197692</v>
          </cell>
          <cell r="AB202">
            <v>566.11032975358398</v>
          </cell>
          <cell r="AC202">
            <v>561.3364034481574</v>
          </cell>
          <cell r="AD202">
            <v>556.17224967845414</v>
          </cell>
          <cell r="AE202">
            <v>550.62255161845201</v>
          </cell>
          <cell r="AF202">
            <v>544.59346276484337</v>
          </cell>
          <cell r="AG202">
            <v>536.58594921185443</v>
          </cell>
          <cell r="AH202">
            <v>526.35317614283144</v>
          </cell>
          <cell r="AI202">
            <v>513.68001975835</v>
          </cell>
          <cell r="AJ202">
            <v>498.59224315613307</v>
          </cell>
          <cell r="AK202">
            <v>481.01572278112383</v>
          </cell>
          <cell r="AL202">
            <v>460.91324498128921</v>
          </cell>
          <cell r="AM202">
            <v>438.43501632292578</v>
          </cell>
          <cell r="AN202">
            <v>413.5413946687641</v>
          </cell>
          <cell r="AO202">
            <v>386.25111755960506</v>
          </cell>
          <cell r="AP202">
            <v>356.58313732607485</v>
          </cell>
          <cell r="AS202">
            <v>0.47882842736883524</v>
          </cell>
          <cell r="AT202">
            <v>0.47882842736883524</v>
          </cell>
          <cell r="AU202">
            <v>0.47882842736883524</v>
          </cell>
          <cell r="AV202">
            <v>0.47882842736883524</v>
          </cell>
          <cell r="AW202">
            <v>0.47882842736883524</v>
          </cell>
          <cell r="AX202">
            <v>0.47882842736883524</v>
          </cell>
          <cell r="AY202">
            <v>0.47882842736883524</v>
          </cell>
          <cell r="AZ202">
            <v>0.47882842736883524</v>
          </cell>
          <cell r="BA202">
            <v>0.47882842736883524</v>
          </cell>
          <cell r="BB202">
            <v>0.47882842736883524</v>
          </cell>
          <cell r="BC202">
            <v>0.47882842736883524</v>
          </cell>
          <cell r="BD202">
            <v>0.47882842736883524</v>
          </cell>
          <cell r="BE202">
            <v>0.47882842736883524</v>
          </cell>
          <cell r="BF202">
            <v>0.47882842736883524</v>
          </cell>
          <cell r="BG202">
            <v>0.47882842736883524</v>
          </cell>
          <cell r="BH202">
            <v>0.47882842736883524</v>
          </cell>
          <cell r="BI202">
            <v>0.47882842736883524</v>
          </cell>
        </row>
        <row r="203">
          <cell r="Y203">
            <v>1323.5183470204013</v>
          </cell>
          <cell r="Z203">
            <v>1154.9395275177706</v>
          </cell>
          <cell r="AA203">
            <v>1075.9590671692022</v>
          </cell>
          <cell r="AB203">
            <v>996.80718371291835</v>
          </cell>
          <cell r="AC203">
            <v>918.23972449700773</v>
          </cell>
          <cell r="AD203">
            <v>840.09503113376581</v>
          </cell>
          <cell r="AE203">
            <v>763.26237310159013</v>
          </cell>
          <cell r="AF203">
            <v>687.59292229785626</v>
          </cell>
          <cell r="AG203">
            <v>600.98642451397461</v>
          </cell>
          <cell r="AH203">
            <v>506.68403273616946</v>
          </cell>
          <cell r="AI203">
            <v>409.30501843849987</v>
          </cell>
          <cell r="AJ203">
            <v>315.43780380386448</v>
          </cell>
          <cell r="AK203">
            <v>230.14560298126236</v>
          </cell>
          <cell r="AL203">
            <v>157.45246927342833</v>
          </cell>
          <cell r="AM203">
            <v>100.10989327230588</v>
          </cell>
          <cell r="AN203">
            <v>58.118859319145642</v>
          </cell>
          <cell r="AO203">
            <v>30.060306845708077</v>
          </cell>
          <cell r="AP203">
            <v>13.320261037713383</v>
          </cell>
          <cell r="AS203">
            <v>2.204522147103563</v>
          </cell>
          <cell r="AT203">
            <v>2.1604317041614918</v>
          </cell>
          <cell r="AU203">
            <v>2.1172230700782619</v>
          </cell>
          <cell r="AV203">
            <v>2.0748786086766966</v>
          </cell>
          <cell r="AW203">
            <v>2.0313061578944858</v>
          </cell>
          <cell r="AX203">
            <v>1.9866174224208071</v>
          </cell>
          <cell r="AY203">
            <v>1.9409252217051285</v>
          </cell>
          <cell r="AZ203">
            <v>1.8943430163842054</v>
          </cell>
          <cell r="BA203">
            <v>1.8469844409746003</v>
          </cell>
          <cell r="BB203">
            <v>1.7989628455092608</v>
          </cell>
          <cell r="BC203">
            <v>1.7503908486805106</v>
          </cell>
          <cell r="BD203">
            <v>1.7013799049174563</v>
          </cell>
          <cell r="BE203">
            <v>1.6520398876748501</v>
          </cell>
          <cell r="BF203">
            <v>1.6024786910446045</v>
          </cell>
          <cell r="BG203">
            <v>1.5528018516222217</v>
          </cell>
          <cell r="BH203">
            <v>1.5031121923703106</v>
          </cell>
          <cell r="BI203">
            <v>1.4535094900220902</v>
          </cell>
        </row>
        <row r="204">
          <cell r="Y204">
            <v>496.83233250215335</v>
          </cell>
          <cell r="Z204">
            <v>446.99976579956257</v>
          </cell>
          <cell r="AA204">
            <v>398.13820405471711</v>
          </cell>
          <cell r="AB204">
            <v>345.6866839511959</v>
          </cell>
          <cell r="AC204">
            <v>299.068708378363</v>
          </cell>
          <cell r="AD204">
            <v>257.34381436478134</v>
          </cell>
          <cell r="AE204">
            <v>220.21296327660954</v>
          </cell>
          <cell r="AF204">
            <v>187.13202909181206</v>
          </cell>
          <cell r="AG204">
            <v>155.66589360334132</v>
          </cell>
          <cell r="AH204">
            <v>126.24799488079466</v>
          </cell>
          <cell r="AI204">
            <v>99.371661594932263</v>
          </cell>
          <cell r="AJ204">
            <v>75.685537849570153</v>
          </cell>
          <cell r="AK204">
            <v>55.492368078647161</v>
          </cell>
          <cell r="AL204">
            <v>38.917879497792107</v>
          </cell>
          <cell r="AM204">
            <v>25.950583508652699</v>
          </cell>
          <cell r="AN204">
            <v>16.260766632464115</v>
          </cell>
          <cell r="AO204">
            <v>9.4198836508477033</v>
          </cell>
          <cell r="AP204">
            <v>4.9152725547690554</v>
          </cell>
          <cell r="AS204">
            <v>11.881821405713797</v>
          </cell>
          <cell r="AT204">
            <v>10.931275693256694</v>
          </cell>
          <cell r="AU204">
            <v>9.8381481239310258</v>
          </cell>
          <cell r="AV204">
            <v>8.854333311537923</v>
          </cell>
          <cell r="AW204">
            <v>7.9600456470725929</v>
          </cell>
          <cell r="AX204">
            <v>7.1481209910711883</v>
          </cell>
          <cell r="AY204">
            <v>6.411864528990856</v>
          </cell>
          <cell r="AZ204">
            <v>5.7450306179758073</v>
          </cell>
          <cell r="BA204">
            <v>5.1418024030883478</v>
          </cell>
          <cell r="BB204">
            <v>4.5967713483609831</v>
          </cell>
          <cell r="BC204">
            <v>4.1049168140863577</v>
          </cell>
          <cell r="BD204">
            <v>3.661585798165031</v>
          </cell>
          <cell r="BE204">
            <v>3.2624729461650426</v>
          </cell>
          <cell r="BF204">
            <v>2.9036009220868881</v>
          </cell>
          <cell r="BG204">
            <v>2.5813012197352436</v>
          </cell>
          <cell r="BH204">
            <v>2.2921954831248965</v>
          </cell>
          <cell r="BI204">
            <v>2.0331773935317834</v>
          </cell>
        </row>
        <row r="205">
          <cell r="Y205">
            <v>169.85144597855836</v>
          </cell>
          <cell r="Z205">
            <v>151.56117946760236</v>
          </cell>
          <cell r="AA205">
            <v>141.6035694616173</v>
          </cell>
          <cell r="AB205">
            <v>131.30272085468627</v>
          </cell>
          <cell r="AC205">
            <v>120.79977289724921</v>
          </cell>
          <cell r="AD205">
            <v>110.25821174670639</v>
          </cell>
          <cell r="AE205">
            <v>99.822217266224669</v>
          </cell>
          <cell r="AF205">
            <v>89.275481082788431</v>
          </cell>
          <cell r="AG205">
            <v>76.538971546252455</v>
          </cell>
          <cell r="AH205">
            <v>62.361572606558234</v>
          </cell>
          <cell r="AI205">
            <v>47.795187182966806</v>
          </cell>
          <cell r="AJ205">
            <v>33.927339815536968</v>
          </cell>
          <cell r="AK205">
            <v>21.790744104685665</v>
          </cell>
          <cell r="AL205">
            <v>12.31284982721097</v>
          </cell>
          <cell r="AM205">
            <v>5.9400510283703385</v>
          </cell>
          <cell r="AN205">
            <v>2.3293902686642785</v>
          </cell>
          <cell r="AO205">
            <v>0.6910528857546856</v>
          </cell>
          <cell r="AP205">
            <v>0.13677201934061681</v>
          </cell>
          <cell r="AS205">
            <v>1.9705270140669129</v>
          </cell>
          <cell r="AT205">
            <v>1.9707384191535851</v>
          </cell>
          <cell r="AU205">
            <v>1.9709498469205404</v>
          </cell>
          <cell r="AV205">
            <v>1.9709498469205404</v>
          </cell>
          <cell r="AW205">
            <v>1.9709498469205404</v>
          </cell>
          <cell r="AX205">
            <v>1.9709498469205404</v>
          </cell>
          <cell r="AY205">
            <v>1.9670079472266992</v>
          </cell>
          <cell r="AZ205">
            <v>1.9591399154377924</v>
          </cell>
          <cell r="BA205">
            <v>1.9473850759451656</v>
          </cell>
          <cell r="BB205">
            <v>1.9318059953376043</v>
          </cell>
          <cell r="BC205">
            <v>1.8970334874215273</v>
          </cell>
          <cell r="BD205">
            <v>1.8249462148995093</v>
          </cell>
          <cell r="BE205">
            <v>1.7008498722863425</v>
          </cell>
          <cell r="BF205">
            <v>1.5171580860794174</v>
          </cell>
          <cell r="BG205">
            <v>1.2774471084788692</v>
          </cell>
          <cell r="BH205">
            <v>0.99896363883047545</v>
          </cell>
          <cell r="BI205">
            <v>0.71126211084729829</v>
          </cell>
        </row>
        <row r="206">
          <cell r="Y206">
            <v>4.2</v>
          </cell>
          <cell r="Z206">
            <v>4.0848253329883075</v>
          </cell>
          <cell r="AA206">
            <v>4.023262737300362</v>
          </cell>
          <cell r="AB206">
            <v>3.954706891005177</v>
          </cell>
          <cell r="AC206">
            <v>3.8665729176547248</v>
          </cell>
          <cell r="AD206">
            <v>3.7725666996809473</v>
          </cell>
          <cell r="AE206">
            <v>3.673083124447718</v>
          </cell>
          <cell r="AF206">
            <v>3.559661868916856</v>
          </cell>
          <cell r="AG206">
            <v>3.4079025539505965</v>
          </cell>
          <cell r="AH206">
            <v>3.2172815596688915</v>
          </cell>
          <cell r="AI206">
            <v>2.9893437149492561</v>
          </cell>
          <cell r="AJ206">
            <v>2.7088737886057124</v>
          </cell>
          <cell r="AK206">
            <v>2.3646381808369692</v>
          </cell>
          <cell r="AL206">
            <v>1.9620943328869778</v>
          </cell>
          <cell r="AM206">
            <v>1.5262939780519231</v>
          </cell>
          <cell r="AN206">
            <v>1.0938471816974009</v>
          </cell>
          <cell r="AO206">
            <v>0.70748168795250899</v>
          </cell>
          <cell r="AP206">
            <v>0.40239676167190547</v>
          </cell>
          <cell r="AS206">
            <v>0.27076490683114501</v>
          </cell>
          <cell r="AT206">
            <v>0.27166447368036734</v>
          </cell>
          <cell r="AU206">
            <v>0.27256702917581299</v>
          </cell>
          <cell r="AV206">
            <v>0.27256702917581299</v>
          </cell>
          <cell r="AW206">
            <v>0.27256702917581299</v>
          </cell>
          <cell r="AX206">
            <v>0.27256702917581299</v>
          </cell>
          <cell r="AY206">
            <v>0.27202189511746139</v>
          </cell>
          <cell r="AZ206">
            <v>0.27093380753699153</v>
          </cell>
          <cell r="BA206">
            <v>0.26930820469176958</v>
          </cell>
          <cell r="BB206">
            <v>0.26715373905423545</v>
          </cell>
          <cell r="BC206">
            <v>0.2623449717512592</v>
          </cell>
          <cell r="BD206">
            <v>0.25237586282471136</v>
          </cell>
          <cell r="BE206">
            <v>0.23521430415263098</v>
          </cell>
          <cell r="BF206">
            <v>0.20981115930414682</v>
          </cell>
          <cell r="BG206">
            <v>0.17666099613409159</v>
          </cell>
          <cell r="BH206">
            <v>0.13814889897685959</v>
          </cell>
          <cell r="BI206">
            <v>9.8362016071523992E-2</v>
          </cell>
        </row>
        <row r="207">
          <cell r="Y207">
            <v>558.16999553323978</v>
          </cell>
          <cell r="Z207">
            <v>531.91991178857518</v>
          </cell>
          <cell r="AA207">
            <v>521.14137940985222</v>
          </cell>
          <cell r="AB207">
            <v>508.35684951647465</v>
          </cell>
          <cell r="AC207">
            <v>493.3875339890829</v>
          </cell>
          <cell r="AD207">
            <v>468.01774192061538</v>
          </cell>
          <cell r="AE207">
            <v>441.68866134188124</v>
          </cell>
          <cell r="AF207">
            <v>413.59344965183345</v>
          </cell>
          <cell r="AG207">
            <v>377.85183915844829</v>
          </cell>
          <cell r="AH207">
            <v>335.33291717212495</v>
          </cell>
          <cell r="AI207">
            <v>287.69025287066086</v>
          </cell>
          <cell r="AJ207">
            <v>235.9761089994204</v>
          </cell>
          <cell r="AK207">
            <v>182.16622606979948</v>
          </cell>
          <cell r="AL207">
            <v>130.048262306119</v>
          </cell>
          <cell r="AM207">
            <v>84.344839047099029</v>
          </cell>
          <cell r="AN207">
            <v>48.466781483806777</v>
          </cell>
          <cell r="AO207">
            <v>23.920139756857886</v>
          </cell>
          <cell r="AP207">
            <v>9.7223352798794043</v>
          </cell>
          <cell r="AS207">
            <v>2.4115469931183546</v>
          </cell>
          <cell r="AT207">
            <v>2.458844318018687</v>
          </cell>
          <cell r="AU207">
            <v>2.5070692785608348</v>
          </cell>
          <cell r="AV207">
            <v>2.5547035948534909</v>
          </cell>
          <cell r="AW207">
            <v>2.5559084912343706</v>
          </cell>
          <cell r="AX207">
            <v>2.5559084912343706</v>
          </cell>
          <cell r="AY207">
            <v>2.5507966742519019</v>
          </cell>
          <cell r="AZ207">
            <v>2.5405934875548941</v>
          </cell>
          <cell r="BA207">
            <v>2.5253499266295649</v>
          </cell>
          <cell r="BB207">
            <v>2.5051471272165284</v>
          </cell>
          <cell r="BC207">
            <v>2.4600544789266308</v>
          </cell>
          <cell r="BD207">
            <v>2.3665724087274187</v>
          </cell>
          <cell r="BE207">
            <v>2.205645484933954</v>
          </cell>
          <cell r="BF207">
            <v>1.9674357725610867</v>
          </cell>
          <cell r="BG207">
            <v>1.6565809204964348</v>
          </cell>
          <cell r="BH207">
            <v>1.2954462798282116</v>
          </cell>
          <cell r="BI207">
            <v>0.92235775123768637</v>
          </cell>
        </row>
        <row r="208">
          <cell r="Y208">
            <v>820.30555400377796</v>
          </cell>
          <cell r="Z208">
            <v>801.12414100856518</v>
          </cell>
          <cell r="AA208">
            <v>797.1754900663052</v>
          </cell>
          <cell r="AB208">
            <v>790.25379110155723</v>
          </cell>
          <cell r="AC208">
            <v>775.66393093055365</v>
          </cell>
          <cell r="AD208">
            <v>768.30694314892287</v>
          </cell>
          <cell r="AE208">
            <v>738.33539226469543</v>
          </cell>
          <cell r="AF208">
            <v>705.31620513793462</v>
          </cell>
          <cell r="AG208">
            <v>662.18584157073087</v>
          </cell>
          <cell r="AH208">
            <v>609.29741135195127</v>
          </cell>
          <cell r="AI208">
            <v>547.77555928349261</v>
          </cell>
          <cell r="AJ208">
            <v>476.47364563614872</v>
          </cell>
          <cell r="AK208">
            <v>395.58139448588247</v>
          </cell>
          <cell r="AL208">
            <v>308.8551853966004</v>
          </cell>
          <cell r="AM208">
            <v>223.36281511138495</v>
          </cell>
          <cell r="AN208">
            <v>146.65910159508314</v>
          </cell>
          <cell r="AO208">
            <v>85.351441980564914</v>
          </cell>
          <cell r="AP208">
            <v>42.686224098145125</v>
          </cell>
          <cell r="AS208">
            <v>2.7842964232354319</v>
          </cell>
          <cell r="AT208">
            <v>2.8478037793958699</v>
          </cell>
          <cell r="AU208">
            <v>2.9104554625425791</v>
          </cell>
          <cell r="AV208">
            <v>2.9541122944807174</v>
          </cell>
          <cell r="AW208">
            <v>3.0352589215630927</v>
          </cell>
          <cell r="AX208">
            <v>3.0352589215630927</v>
          </cell>
          <cell r="AY208">
            <v>3.0291884037199663</v>
          </cell>
          <cell r="AZ208">
            <v>3.0170716501050863</v>
          </cell>
          <cell r="BA208">
            <v>2.9989692202044558</v>
          </cell>
          <cell r="BB208">
            <v>2.9749774664428199</v>
          </cell>
          <cell r="BC208">
            <v>2.921427872046849</v>
          </cell>
          <cell r="BD208">
            <v>2.8104136129090684</v>
          </cell>
          <cell r="BE208">
            <v>2.6193054872312516</v>
          </cell>
          <cell r="BF208">
            <v>2.3364204946102762</v>
          </cell>
          <cell r="BG208">
            <v>1.9672660564618523</v>
          </cell>
          <cell r="BH208">
            <v>1.5384020561531682</v>
          </cell>
          <cell r="BI208">
            <v>1.0953422639810553</v>
          </cell>
        </row>
        <row r="209">
          <cell r="Y209">
            <v>653.6588003529464</v>
          </cell>
          <cell r="Z209">
            <v>635.23979687084932</v>
          </cell>
          <cell r="AA209">
            <v>628.52512854489532</v>
          </cell>
          <cell r="AB209">
            <v>618.00174509682574</v>
          </cell>
          <cell r="AC209">
            <v>601.44027861758013</v>
          </cell>
          <cell r="AD209">
            <v>582.05584163829019</v>
          </cell>
          <cell r="AE209">
            <v>556.96254126201347</v>
          </cell>
          <cell r="AF209">
            <v>529.55276022403882</v>
          </cell>
          <cell r="AG209">
            <v>493.98832189674272</v>
          </cell>
          <cell r="AH209">
            <v>450.69698274209389</v>
          </cell>
          <cell r="AI209">
            <v>400.78356605855691</v>
          </cell>
          <cell r="AJ209">
            <v>343.88839140835478</v>
          </cell>
          <cell r="AK209">
            <v>280.74091516646024</v>
          </cell>
          <cell r="AL209">
            <v>214.72779013132137</v>
          </cell>
          <cell r="AM209">
            <v>151.47913682530182</v>
          </cell>
          <cell r="AN209">
            <v>96.507635092948732</v>
          </cell>
          <cell r="AO209">
            <v>54.134991720627632</v>
          </cell>
          <cell r="AP209">
            <v>25.868166152604182</v>
          </cell>
          <cell r="AS209">
            <v>2.8062612881437472</v>
          </cell>
          <cell r="AT209">
            <v>2.862386513906622</v>
          </cell>
          <cell r="AU209">
            <v>2.9110470846430343</v>
          </cell>
          <cell r="AV209">
            <v>2.9401575554894648</v>
          </cell>
          <cell r="AW209">
            <v>2.9631747768844696</v>
          </cell>
          <cell r="AX209">
            <v>2.9631747768844696</v>
          </cell>
          <cell r="AY209">
            <v>2.9572484273307005</v>
          </cell>
          <cell r="AZ209">
            <v>2.9454194336213777</v>
          </cell>
          <cell r="BA209">
            <v>2.9277469170196495</v>
          </cell>
          <cell r="BB209">
            <v>2.9043249416834924</v>
          </cell>
          <cell r="BC209">
            <v>2.8520470927331893</v>
          </cell>
          <cell r="BD209">
            <v>2.743669303209328</v>
          </cell>
          <cell r="BE209">
            <v>2.5570997905910935</v>
          </cell>
          <cell r="BF209">
            <v>2.2809330132072549</v>
          </cell>
          <cell r="BG209">
            <v>1.9205455971205083</v>
          </cell>
          <cell r="BH209">
            <v>1.5018666569482371</v>
          </cell>
          <cell r="BI209">
            <v>1.0693290597471443</v>
          </cell>
        </row>
        <row r="210">
          <cell r="Y210">
            <v>1806.7514390135939</v>
          </cell>
          <cell r="Z210">
            <v>1879.6929356788958</v>
          </cell>
          <cell r="AA210">
            <v>1931.6114769447422</v>
          </cell>
          <cell r="AB210">
            <v>1960.5198147990429</v>
          </cell>
          <cell r="AC210">
            <v>1901.5865439388328</v>
          </cell>
          <cell r="AD210">
            <v>1837.2469668705055</v>
          </cell>
          <cell r="AE210">
            <v>1751.0200676819131</v>
          </cell>
          <cell r="AF210">
            <v>1657.5196781218121</v>
          </cell>
          <cell r="AG210">
            <v>1536.9227112090884</v>
          </cell>
          <cell r="AH210">
            <v>1391.11153350327</v>
          </cell>
          <cell r="AI210">
            <v>1224.3810875822319</v>
          </cell>
          <cell r="AJ210">
            <v>1037.1157106498683</v>
          </cell>
          <cell r="AK210">
            <v>833.2856848739068</v>
          </cell>
          <cell r="AL210">
            <v>625.00323432021264</v>
          </cell>
          <cell r="AM210">
            <v>430.57240207464622</v>
          </cell>
          <cell r="AN210">
            <v>266.49881848078064</v>
          </cell>
          <cell r="AO210">
            <v>144.26818750149909</v>
          </cell>
          <cell r="AP210">
            <v>65.943749373405737</v>
          </cell>
          <cell r="AS210">
            <v>2.6734322115764821</v>
          </cell>
          <cell r="AT210">
            <v>2.8399338783782442</v>
          </cell>
          <cell r="AU210">
            <v>2.990450373932291</v>
          </cell>
          <cell r="AV210">
            <v>3.0203548776716138</v>
          </cell>
          <cell r="AW210">
            <v>3.0501431141168038</v>
          </cell>
          <cell r="AX210">
            <v>3.0501431141168038</v>
          </cell>
          <cell r="AY210">
            <v>3.0440428278885703</v>
          </cell>
          <cell r="AZ210">
            <v>3.0318666565770158</v>
          </cell>
          <cell r="BA210">
            <v>3.0136754566375537</v>
          </cell>
          <cell r="BB210">
            <v>2.9895660529844532</v>
          </cell>
          <cell r="BC210">
            <v>2.9357538640307328</v>
          </cell>
          <cell r="BD210">
            <v>2.8241952171975648</v>
          </cell>
          <cell r="BE210">
            <v>2.6321499424281303</v>
          </cell>
          <cell r="BF210">
            <v>2.3478777486458919</v>
          </cell>
          <cell r="BG210">
            <v>1.9769130643598407</v>
          </cell>
          <cell r="BH210">
            <v>1.545946016329395</v>
          </cell>
          <cell r="BI210">
            <v>1.1007135636265288</v>
          </cell>
        </row>
        <row r="211">
          <cell r="Y211">
            <v>396.91979598081855</v>
          </cell>
          <cell r="Z211">
            <v>382.36500213281187</v>
          </cell>
          <cell r="AA211">
            <v>375.7701555311146</v>
          </cell>
          <cell r="AB211">
            <v>368.11265315808453</v>
          </cell>
          <cell r="AC211">
            <v>355.17970386599347</v>
          </cell>
          <cell r="AD211">
            <v>341.56631355104764</v>
          </cell>
          <cell r="AE211">
            <v>327.36667564543575</v>
          </cell>
          <cell r="AF211">
            <v>311.80787176151006</v>
          </cell>
          <cell r="AG211">
            <v>291.57024169601141</v>
          </cell>
          <cell r="AH211">
            <v>266.86800603466804</v>
          </cell>
          <cell r="AI211">
            <v>238.29220688375582</v>
          </cell>
          <cell r="AJ211">
            <v>205.51901233100634</v>
          </cell>
          <cell r="AK211">
            <v>168.84868279044625</v>
          </cell>
          <cell r="AL211">
            <v>130.15346865185637</v>
          </cell>
          <cell r="AM211">
            <v>92.683389588411274</v>
          </cell>
          <cell r="AN211">
            <v>59.726852590547217</v>
          </cell>
          <cell r="AO211">
            <v>33.974624692248369</v>
          </cell>
          <cell r="AP211">
            <v>16.518682629292236</v>
          </cell>
          <cell r="AS211">
            <v>3.0976499066924164</v>
          </cell>
          <cell r="AT211">
            <v>3.1348217055727252</v>
          </cell>
          <cell r="AU211">
            <v>3.1724395660395981</v>
          </cell>
          <cell r="AV211">
            <v>3.1724395660395981</v>
          </cell>
          <cell r="AW211">
            <v>3.1724395660395981</v>
          </cell>
          <cell r="AX211">
            <v>3.1724395660395981</v>
          </cell>
          <cell r="AY211">
            <v>3.1660946869075191</v>
          </cell>
          <cell r="AZ211">
            <v>3.1534303081598889</v>
          </cell>
          <cell r="BA211">
            <v>3.1345097263109296</v>
          </cell>
          <cell r="BB211">
            <v>3.1094336485004423</v>
          </cell>
          <cell r="BC211">
            <v>3.0534638428274343</v>
          </cell>
          <cell r="BD211">
            <v>2.9374322167999916</v>
          </cell>
          <cell r="BE211">
            <v>2.7376868260575922</v>
          </cell>
          <cell r="BF211">
            <v>2.4420166488433721</v>
          </cell>
          <cell r="BG211">
            <v>2.0561780183261189</v>
          </cell>
          <cell r="BH211">
            <v>1.6079312103310246</v>
          </cell>
          <cell r="BI211">
            <v>1.1448470217556892</v>
          </cell>
        </row>
        <row r="212">
          <cell r="Y212">
            <v>324.28402483758845</v>
          </cell>
          <cell r="Z212">
            <v>308.62477895591331</v>
          </cell>
          <cell r="AA212">
            <v>301.25235234114274</v>
          </cell>
          <cell r="AB212">
            <v>292.86141191078588</v>
          </cell>
          <cell r="AC212">
            <v>282.64165971186316</v>
          </cell>
          <cell r="AD212">
            <v>268.83277245951899</v>
          </cell>
          <cell r="AE212">
            <v>254.69256149856503</v>
          </cell>
          <cell r="AF212">
            <v>239.51222996631284</v>
          </cell>
          <cell r="AG212">
            <v>220.09781734699604</v>
          </cell>
          <cell r="AH212">
            <v>196.85524319346422</v>
          </cell>
          <cell r="AI212">
            <v>170.6031142126327</v>
          </cell>
          <cell r="AJ212">
            <v>141.73054521643715</v>
          </cell>
          <cell r="AK212">
            <v>111.16289254269877</v>
          </cell>
          <cell r="AL212">
            <v>80.935562243405357</v>
          </cell>
          <cell r="AM212">
            <v>53.773169404810943</v>
          </cell>
          <cell r="AN212">
            <v>31.834378123753364</v>
          </cell>
          <cell r="AO212">
            <v>16.308558434100778</v>
          </cell>
          <cell r="AP212">
            <v>6.9526315865628945</v>
          </cell>
          <cell r="AS212">
            <v>4.1435477874933087</v>
          </cell>
          <cell r="AT212">
            <v>4.1980744060771347</v>
          </cell>
          <cell r="AU212">
            <v>4.2533185624538552</v>
          </cell>
          <cell r="AV212">
            <v>4.2958517480783938</v>
          </cell>
          <cell r="AW212">
            <v>4.2942158563236035</v>
          </cell>
          <cell r="AX212">
            <v>4.2942158563236035</v>
          </cell>
          <cell r="AY212">
            <v>4.285627424610956</v>
          </cell>
          <cell r="AZ212">
            <v>4.2684849149125119</v>
          </cell>
          <cell r="BA212">
            <v>4.2428740054230367</v>
          </cell>
          <cell r="BB212">
            <v>4.2089310133796527</v>
          </cell>
          <cell r="BC212">
            <v>4.1331702551388192</v>
          </cell>
          <cell r="BD212">
            <v>3.9761097854435441</v>
          </cell>
          <cell r="BE212">
            <v>3.705734320033383</v>
          </cell>
          <cell r="BF212">
            <v>3.3055150134697771</v>
          </cell>
          <cell r="BG212">
            <v>2.783243641341552</v>
          </cell>
          <cell r="BH212">
            <v>2.1764965275290931</v>
          </cell>
          <cell r="BI212">
            <v>1.5496655276007136</v>
          </cell>
        </row>
        <row r="213">
          <cell r="Y213">
            <v>256.41998245933939</v>
          </cell>
          <cell r="Z213">
            <v>241.97836219947411</v>
          </cell>
          <cell r="AA213">
            <v>237.04764917663718</v>
          </cell>
          <cell r="AB213">
            <v>231.19291213965636</v>
          </cell>
          <cell r="AC213">
            <v>226.44953461891356</v>
          </cell>
          <cell r="AD213">
            <v>215.87510423415179</v>
          </cell>
          <cell r="AE213">
            <v>203.58298863339024</v>
          </cell>
          <cell r="AF213">
            <v>190.48079203461043</v>
          </cell>
          <cell r="AG213">
            <v>173.82901030585276</v>
          </cell>
          <cell r="AH213">
            <v>154.04313399164309</v>
          </cell>
          <cell r="AI213">
            <v>131.90612598249839</v>
          </cell>
          <cell r="AJ213">
            <v>107.93563525649557</v>
          </cell>
          <cell r="AK213">
            <v>83.073469299348901</v>
          </cell>
          <cell r="AL213">
            <v>59.085671058434983</v>
          </cell>
          <cell r="AM213">
            <v>38.145983776957209</v>
          </cell>
          <cell r="AN213">
            <v>21.79563506921361</v>
          </cell>
          <cell r="AO213">
            <v>10.680472544958809</v>
          </cell>
          <cell r="AP213">
            <v>4.3013807751872708</v>
          </cell>
          <cell r="AS213">
            <v>5.6263063060126193</v>
          </cell>
          <cell r="AT213">
            <v>5.7388324321328721</v>
          </cell>
          <cell r="AU213">
            <v>5.8536090807755299</v>
          </cell>
          <cell r="AV213">
            <v>6.0233637441180194</v>
          </cell>
          <cell r="AW213">
            <v>6.0602414813269059</v>
          </cell>
          <cell r="AX213">
            <v>6.0602414813269059</v>
          </cell>
          <cell r="AY213">
            <v>6.0481209983642517</v>
          </cell>
          <cell r="AZ213">
            <v>6.0239285143707946</v>
          </cell>
          <cell r="BA213">
            <v>5.98778494328457</v>
          </cell>
          <cell r="BB213">
            <v>5.9398826637382935</v>
          </cell>
          <cell r="BC213">
            <v>5.8329647757910044</v>
          </cell>
          <cell r="BD213">
            <v>5.6113121143109463</v>
          </cell>
          <cell r="BE213">
            <v>5.2297428905378016</v>
          </cell>
          <cell r="BF213">
            <v>4.6649306583597188</v>
          </cell>
          <cell r="BG213">
            <v>3.9278716143388825</v>
          </cell>
          <cell r="BH213">
            <v>3.0715956024130056</v>
          </cell>
          <cell r="BI213">
            <v>2.1869760689180593</v>
          </cell>
        </row>
        <row r="214">
          <cell r="Y214">
            <v>1807.5334262544441</v>
          </cell>
          <cell r="Z214">
            <v>1697.9697965305343</v>
          </cell>
          <cell r="AA214">
            <v>1646.6590774034373</v>
          </cell>
          <cell r="AB214">
            <v>1588.6826274012337</v>
          </cell>
          <cell r="AC214">
            <v>1521.1093439158185</v>
          </cell>
          <cell r="AD214">
            <v>1428.9920607144431</v>
          </cell>
          <cell r="AE214">
            <v>1334.7188659920016</v>
          </cell>
          <cell r="AF214">
            <v>1235.6184884331562</v>
          </cell>
          <cell r="AG214">
            <v>1111.253125152256</v>
          </cell>
          <cell r="AH214">
            <v>965.76245111098251</v>
          </cell>
          <cell r="AI214">
            <v>806.18961136895086</v>
          </cell>
          <cell r="AJ214">
            <v>638.7514293885913</v>
          </cell>
          <cell r="AK214">
            <v>472.134105319387</v>
          </cell>
          <cell r="AL214">
            <v>319.27309475928303</v>
          </cell>
          <cell r="AM214">
            <v>193.64737294994518</v>
          </cell>
          <cell r="AN214">
            <v>102.3334361805482</v>
          </cell>
          <cell r="AO214">
            <v>45.407460689372648</v>
          </cell>
          <cell r="AP214">
            <v>16.059838115439064</v>
          </cell>
          <cell r="AS214">
            <v>4.3155253965861835</v>
          </cell>
          <cell r="AT214">
            <v>4.3862842908321724</v>
          </cell>
          <cell r="AU214">
            <v>4.4582033731560422</v>
          </cell>
          <cell r="AV214">
            <v>4.5206182203802268</v>
          </cell>
          <cell r="AW214">
            <v>4.5218919927725576</v>
          </cell>
          <cell r="AX214">
            <v>4.5218919927725576</v>
          </cell>
          <cell r="AY214">
            <v>4.5128482087870125</v>
          </cell>
          <cell r="AZ214">
            <v>4.4947968159518643</v>
          </cell>
          <cell r="BA214">
            <v>4.4678280350561534</v>
          </cell>
          <cell r="BB214">
            <v>4.4320854107757039</v>
          </cell>
          <cell r="BC214">
            <v>4.3523078733817409</v>
          </cell>
          <cell r="BD214">
            <v>4.1869201741932347</v>
          </cell>
          <cell r="BE214">
            <v>3.9022096023480946</v>
          </cell>
          <cell r="BF214">
            <v>3.4807709652945</v>
          </cell>
          <cell r="BG214">
            <v>2.9308091527779685</v>
          </cell>
          <cell r="BH214">
            <v>2.2918927574723709</v>
          </cell>
          <cell r="BI214">
            <v>1.6318276433203274</v>
          </cell>
        </row>
        <row r="215">
          <cell r="Y215">
            <v>238.37982129321796</v>
          </cell>
          <cell r="Z215">
            <v>239.75298834722713</v>
          </cell>
          <cell r="AA215">
            <v>240.21153538088345</v>
          </cell>
          <cell r="AB215">
            <v>237.06171352532618</v>
          </cell>
          <cell r="AC215">
            <v>232.94243440324783</v>
          </cell>
          <cell r="AD215">
            <v>224.11528091775858</v>
          </cell>
          <cell r="AE215">
            <v>214.89969964735687</v>
          </cell>
          <cell r="AF215">
            <v>204.79257663395563</v>
          </cell>
          <cell r="AG215">
            <v>191.63638708709607</v>
          </cell>
          <cell r="AH215">
            <v>175.56481923271951</v>
          </cell>
          <cell r="AI215">
            <v>156.95487166912389</v>
          </cell>
          <cell r="AJ215">
            <v>135.57241891522969</v>
          </cell>
          <cell r="AK215">
            <v>111.58964764444126</v>
          </cell>
          <cell r="AL215">
            <v>86.212216488948073</v>
          </cell>
          <cell r="AM215">
            <v>61.561185720806201</v>
          </cell>
          <cell r="AN215">
            <v>39.80347785498271</v>
          </cell>
          <cell r="AO215">
            <v>22.733858523774611</v>
          </cell>
          <cell r="AP215">
            <v>11.109197545546289</v>
          </cell>
          <cell r="AS215">
            <v>3.2409741861128811</v>
          </cell>
          <cell r="AT215">
            <v>3.342728968087799</v>
          </cell>
          <cell r="AU215">
            <v>3.4067058206300174</v>
          </cell>
          <cell r="AV215">
            <v>3.4680265254013576</v>
          </cell>
          <cell r="AW215">
            <v>3.4680879074882145</v>
          </cell>
          <cell r="AX215">
            <v>3.4680879074882145</v>
          </cell>
          <cell r="AY215">
            <v>3.4611517316732381</v>
          </cell>
          <cell r="AZ215">
            <v>3.447307124746545</v>
          </cell>
          <cell r="BA215">
            <v>3.4266232819980655</v>
          </cell>
          <cell r="BB215">
            <v>3.3992102957420811</v>
          </cell>
          <cell r="BC215">
            <v>3.3380245104187236</v>
          </cell>
          <cell r="BD215">
            <v>3.2111795790228119</v>
          </cell>
          <cell r="BE215">
            <v>2.9928193676492607</v>
          </cell>
          <cell r="BF215">
            <v>2.6695948759431403</v>
          </cell>
          <cell r="BG215">
            <v>2.2477988855441238</v>
          </cell>
          <cell r="BH215">
            <v>1.7577787284955044</v>
          </cell>
          <cell r="BI215">
            <v>1.2515384546887987</v>
          </cell>
        </row>
        <row r="216">
          <cell r="Y216">
            <v>1454.7414738190216</v>
          </cell>
          <cell r="Z216">
            <v>1390.2523720942966</v>
          </cell>
          <cell r="AA216">
            <v>1338.9759549401645</v>
          </cell>
          <cell r="AB216">
            <v>1281.9546116544968</v>
          </cell>
          <cell r="AC216">
            <v>1215.8668233626979</v>
          </cell>
          <cell r="AD216">
            <v>1136.891019761782</v>
          </cell>
          <cell r="AE216">
            <v>1051.1661295898073</v>
          </cell>
          <cell r="AF216">
            <v>962.26221310588255</v>
          </cell>
          <cell r="AG216">
            <v>852.11486870173997</v>
          </cell>
          <cell r="AH216">
            <v>725.33407224532755</v>
          </cell>
          <cell r="AI216">
            <v>589.18383298958508</v>
          </cell>
          <cell r="AJ216">
            <v>450.83854822973825</v>
          </cell>
          <cell r="AK216">
            <v>318.8753614492926</v>
          </cell>
          <cell r="AL216">
            <v>203.97516114012046</v>
          </cell>
          <cell r="AM216">
            <v>115.39189554690599</v>
          </cell>
          <cell r="AN216">
            <v>55.806848772120006</v>
          </cell>
          <cell r="AO216">
            <v>22.063876493883093</v>
          </cell>
          <cell r="AP216">
            <v>6.6734189665480628</v>
          </cell>
          <cell r="AS216">
            <v>5.5381839207229184</v>
          </cell>
          <cell r="AT216">
            <v>5.6289899603933762</v>
          </cell>
          <cell r="AU216">
            <v>5.7212848882912137</v>
          </cell>
          <cell r="AV216">
            <v>5.7956615918389991</v>
          </cell>
          <cell r="AW216">
            <v>5.824093989287964</v>
          </cell>
          <cell r="AX216">
            <v>5.824093989287964</v>
          </cell>
          <cell r="AY216">
            <v>5.812445801309388</v>
          </cell>
          <cell r="AZ216">
            <v>5.7891960181041506</v>
          </cell>
          <cell r="BA216">
            <v>5.7544608419955257</v>
          </cell>
          <cell r="BB216">
            <v>5.7084251552595617</v>
          </cell>
          <cell r="BC216">
            <v>5.6056735024648896</v>
          </cell>
          <cell r="BD216">
            <v>5.3926579093712235</v>
          </cell>
          <cell r="BE216">
            <v>5.0259571715339799</v>
          </cell>
          <cell r="BF216">
            <v>4.4831537970083097</v>
          </cell>
          <cell r="BG216">
            <v>3.7748154970809962</v>
          </cell>
          <cell r="BH216">
            <v>2.9519057187173381</v>
          </cell>
          <cell r="BI216">
            <v>2.1017568717267441</v>
          </cell>
        </row>
        <row r="217">
          <cell r="Y217">
            <v>1106.8633126575778</v>
          </cell>
          <cell r="Z217">
            <v>1025.9305717826117</v>
          </cell>
          <cell r="AA217">
            <v>993.41040754720859</v>
          </cell>
          <cell r="AB217">
            <v>955.04144717631368</v>
          </cell>
          <cell r="AC217">
            <v>911.44347678247561</v>
          </cell>
          <cell r="AD217">
            <v>858.72549342866228</v>
          </cell>
          <cell r="AE217">
            <v>781.36128819987061</v>
          </cell>
          <cell r="AF217">
            <v>702.70719016745932</v>
          </cell>
          <cell r="AG217">
            <v>607.14829228197061</v>
          </cell>
          <cell r="AH217">
            <v>499.92657347773638</v>
          </cell>
          <cell r="AI217">
            <v>388.58540815255094</v>
          </cell>
          <cell r="AJ217">
            <v>280.93013351751551</v>
          </cell>
          <cell r="AK217">
            <v>184.76086297683582</v>
          </cell>
          <cell r="AL217">
            <v>107.66436425194212</v>
          </cell>
          <cell r="AM217">
            <v>54.063987982809671</v>
          </cell>
          <cell r="AN217">
            <v>22.372531185108318</v>
          </cell>
          <cell r="AO217">
            <v>7.1601430838380828</v>
          </cell>
          <cell r="AP217">
            <v>1.5944046511607466</v>
          </cell>
          <cell r="AS217">
            <v>2.3149676397170142</v>
          </cell>
          <cell r="AT217">
            <v>2.3913615718276757</v>
          </cell>
          <cell r="AU217">
            <v>2.4702765036979888</v>
          </cell>
          <cell r="AV217">
            <v>2.551795628320022</v>
          </cell>
          <cell r="AW217">
            <v>2.6219865812864538</v>
          </cell>
          <cell r="AX217">
            <v>2.6219865812864538</v>
          </cell>
          <cell r="AY217">
            <v>2.6167426081238809</v>
          </cell>
          <cell r="AZ217">
            <v>2.6062756376913856</v>
          </cell>
          <cell r="BA217">
            <v>2.5906379838652374</v>
          </cell>
          <cell r="BB217">
            <v>2.5699128799943156</v>
          </cell>
          <cell r="BC217">
            <v>2.5236544481544181</v>
          </cell>
          <cell r="BD217">
            <v>2.42775557912455</v>
          </cell>
          <cell r="BE217">
            <v>2.2626681997440805</v>
          </cell>
          <cell r="BF217">
            <v>2.0183000341717197</v>
          </cell>
          <cell r="BG217">
            <v>1.6994086287725876</v>
          </cell>
          <cell r="BH217">
            <v>1.3289375477001633</v>
          </cell>
          <cell r="BI217">
            <v>0.94620353396251589</v>
          </cell>
        </row>
        <row r="218">
          <cell r="Y218">
            <v>1567.5846848129866</v>
          </cell>
          <cell r="Z218">
            <v>1494.0237712727744</v>
          </cell>
          <cell r="AA218">
            <v>1456.7753593386615</v>
          </cell>
          <cell r="AB218">
            <v>1418.506371680138</v>
          </cell>
          <cell r="AC218">
            <v>1365.8030251507134</v>
          </cell>
          <cell r="AD218">
            <v>1294.7114069302518</v>
          </cell>
          <cell r="AE218">
            <v>1207.4518347758394</v>
          </cell>
          <cell r="AF218">
            <v>1115.9163289464072</v>
          </cell>
          <cell r="AG218">
            <v>1001.2691785042909</v>
          </cell>
          <cell r="AH218">
            <v>867.47609781602182</v>
          </cell>
          <cell r="AI218">
            <v>721.19674975098951</v>
          </cell>
          <cell r="AJ218">
            <v>568.45556855617872</v>
          </cell>
          <cell r="AK218">
            <v>417.43829327114207</v>
          </cell>
          <cell r="AL218">
            <v>279.97957004821359</v>
          </cell>
          <cell r="AM218">
            <v>168.08826141382428</v>
          </cell>
          <cell r="AN218">
            <v>87.68816044986076</v>
          </cell>
          <cell r="AO218">
            <v>38.268269707720584</v>
          </cell>
          <cell r="AP218">
            <v>13.238619760106909</v>
          </cell>
          <cell r="AS218">
            <v>0.45808321247464173</v>
          </cell>
          <cell r="AT218">
            <v>0.46861912636155845</v>
          </cell>
          <cell r="AU218">
            <v>0.48127184277332047</v>
          </cell>
          <cell r="AV218">
            <v>0.49137855147156018</v>
          </cell>
          <cell r="AW218">
            <v>0.49666330878179943</v>
          </cell>
          <cell r="AX218">
            <v>0.49666330878179943</v>
          </cell>
          <cell r="AY218">
            <v>0.49566998216423586</v>
          </cell>
          <cell r="AZ218">
            <v>0.49368730223557888</v>
          </cell>
          <cell r="BA218">
            <v>0.4907251784221654</v>
          </cell>
          <cell r="BB218">
            <v>0.48679937699478809</v>
          </cell>
          <cell r="BC218">
            <v>0.47803698820888191</v>
          </cell>
          <cell r="BD218">
            <v>0.45987158265694439</v>
          </cell>
          <cell r="BE218">
            <v>0.42860031503627216</v>
          </cell>
          <cell r="BF218">
            <v>0.38231148101235474</v>
          </cell>
          <cell r="BG218">
            <v>0.32190626701240266</v>
          </cell>
          <cell r="BH218">
            <v>0.2517307008036988</v>
          </cell>
          <cell r="BI218">
            <v>0.17923225897223349</v>
          </cell>
        </row>
        <row r="219">
          <cell r="Y219">
            <v>3920.9383887896388</v>
          </cell>
          <cell r="Z219">
            <v>3470.0767222026993</v>
          </cell>
          <cell r="AA219">
            <v>3242.6894693742729</v>
          </cell>
          <cell r="AB219">
            <v>2995.8549234374523</v>
          </cell>
          <cell r="AC219">
            <v>2674.2014249998056</v>
          </cell>
          <cell r="AD219">
            <v>2360.9717186012585</v>
          </cell>
          <cell r="AE219">
            <v>2061.0252908610305</v>
          </cell>
          <cell r="AF219">
            <v>1770.1525831888443</v>
          </cell>
          <cell r="AG219">
            <v>1433.6076594688275</v>
          </cell>
          <cell r="AH219">
            <v>1080.1214718467047</v>
          </cell>
          <cell r="AI219">
            <v>744.43945883066351</v>
          </cell>
          <cell r="AJ219">
            <v>459.10135984060787</v>
          </cell>
          <cell r="AK219">
            <v>244.63442206855464</v>
          </cell>
          <cell r="AL219">
            <v>107.5081670253121</v>
          </cell>
          <cell r="AM219">
            <v>36.795199656837653</v>
          </cell>
          <cell r="AN219">
            <v>8.7643735810824595</v>
          </cell>
          <cell r="AO219">
            <v>1.1443352136635694</v>
          </cell>
          <cell r="AP219">
            <v>2.515163354816875E-2</v>
          </cell>
          <cell r="AS219">
            <v>31.070134270090104</v>
          </cell>
          <cell r="AT219">
            <v>31.846887626842353</v>
          </cell>
          <cell r="AU219">
            <v>32.61121292988657</v>
          </cell>
          <cell r="AV219">
            <v>32.61121292988657</v>
          </cell>
          <cell r="AW219">
            <v>32.61121292988657</v>
          </cell>
          <cell r="AX219">
            <v>32.61121292988657</v>
          </cell>
          <cell r="AY219">
            <v>32.545990504026797</v>
          </cell>
          <cell r="AZ219">
            <v>32.415806542010692</v>
          </cell>
          <cell r="BA219">
            <v>32.221311702758626</v>
          </cell>
          <cell r="BB219">
            <v>31.963541209136558</v>
          </cell>
          <cell r="BC219">
            <v>31.388197467372098</v>
          </cell>
          <cell r="BD219">
            <v>30.195445963611956</v>
          </cell>
          <cell r="BE219">
            <v>28.14215563808634</v>
          </cell>
          <cell r="BF219">
            <v>25.102802829173012</v>
          </cell>
          <cell r="BG219">
            <v>21.136559982163671</v>
          </cell>
          <cell r="BH219">
            <v>16.528789906051987</v>
          </cell>
          <cell r="BI219">
            <v>11.768498413109011</v>
          </cell>
        </row>
        <row r="220">
          <cell r="Y220">
            <v>133.66592608149202</v>
          </cell>
          <cell r="Z220">
            <v>120.12140484544638</v>
          </cell>
          <cell r="AA220">
            <v>113.37619016384534</v>
          </cell>
          <cell r="AB220">
            <v>108.61511944917807</v>
          </cell>
          <cell r="AC220">
            <v>101.04812988894496</v>
          </cell>
          <cell r="AD220">
            <v>91.806222340785681</v>
          </cell>
          <cell r="AE220">
            <v>82.548696105359824</v>
          </cell>
          <cell r="AF220">
            <v>73.267663217093386</v>
          </cell>
          <cell r="AG220">
            <v>62.150787994164887</v>
          </cell>
          <cell r="AH220">
            <v>49.910363039507068</v>
          </cell>
          <cell r="AI220">
            <v>37.516354702306351</v>
          </cell>
          <cell r="AJ220">
            <v>25.963503158456678</v>
          </cell>
          <cell r="AK220">
            <v>16.133121970100508</v>
          </cell>
          <cell r="AL220">
            <v>8.7290265984982902</v>
          </cell>
          <cell r="AM220">
            <v>3.9774134907050804</v>
          </cell>
          <cell r="AN220">
            <v>1.4427818932764416</v>
          </cell>
          <cell r="AO220">
            <v>0.38225244268315633</v>
          </cell>
          <cell r="AP220">
            <v>6.2809218587169799E-2</v>
          </cell>
          <cell r="AS220">
            <v>6.7299707236868178</v>
          </cell>
          <cell r="AT220">
            <v>6.8309202845421195</v>
          </cell>
          <cell r="AU220">
            <v>7.094648940241278</v>
          </cell>
          <cell r="AV220">
            <v>7.2152579722253787</v>
          </cell>
          <cell r="AW220">
            <v>7.2272592008065351</v>
          </cell>
          <cell r="AX220">
            <v>7.2272592008065351</v>
          </cell>
          <cell r="AY220">
            <v>7.2128046824049221</v>
          </cell>
          <cell r="AZ220">
            <v>7.1839534636753024</v>
          </cell>
          <cell r="BA220">
            <v>7.1408497428932503</v>
          </cell>
          <cell r="BB220">
            <v>7.0837229449501038</v>
          </cell>
          <cell r="BC220">
            <v>6.956215931941002</v>
          </cell>
          <cell r="BD220">
            <v>6.6918797265272438</v>
          </cell>
          <cell r="BE220">
            <v>6.2368319051233909</v>
          </cell>
          <cell r="BF220">
            <v>5.5632540593700641</v>
          </cell>
          <cell r="BG220">
            <v>4.6842599179895936</v>
          </cell>
          <cell r="BH220">
            <v>3.6630912558678612</v>
          </cell>
          <cell r="BI220">
            <v>2.6081209741779161</v>
          </cell>
        </row>
        <row r="221">
          <cell r="Y221">
            <v>786.25921376206281</v>
          </cell>
          <cell r="Z221">
            <v>692.89862380992395</v>
          </cell>
          <cell r="AA221">
            <v>651.37950540481972</v>
          </cell>
          <cell r="AB221">
            <v>602.80381785229952</v>
          </cell>
          <cell r="AC221">
            <v>535.59814972254242</v>
          </cell>
          <cell r="AD221">
            <v>470.45476746496701</v>
          </cell>
          <cell r="AE221">
            <v>408.39170653588724</v>
          </cell>
          <cell r="AF221">
            <v>348.57378045274322</v>
          </cell>
          <cell r="AG221">
            <v>279.81130741476335</v>
          </cell>
          <cell r="AH221">
            <v>208.23341988238147</v>
          </cell>
          <cell r="AI221">
            <v>141.0975290010563</v>
          </cell>
          <cell r="AJ221">
            <v>85.036969104157336</v>
          </cell>
          <cell r="AK221">
            <v>43.911227521330389</v>
          </cell>
          <cell r="AL221">
            <v>18.46703841362207</v>
          </cell>
          <cell r="AM221">
            <v>5.930646913132497</v>
          </cell>
          <cell r="AN221">
            <v>1.2751513718960317</v>
          </cell>
          <cell r="AO221">
            <v>0.13459883877282525</v>
          </cell>
          <cell r="AP221">
            <v>-6.0755165991035944E-4</v>
          </cell>
          <cell r="AS221">
            <v>2.7592972879656843</v>
          </cell>
          <cell r="AT221">
            <v>2.8558726930444829</v>
          </cell>
          <cell r="AU221">
            <v>2.9415488738358175</v>
          </cell>
          <cell r="AV221">
            <v>2.9415488738358175</v>
          </cell>
          <cell r="AW221">
            <v>2.9415488738358175</v>
          </cell>
          <cell r="AX221">
            <v>2.9415488738358175</v>
          </cell>
          <cell r="AY221">
            <v>2.9356657760881459</v>
          </cell>
          <cell r="AZ221">
            <v>2.9239231129837933</v>
          </cell>
          <cell r="BA221">
            <v>2.9063795743058907</v>
          </cell>
          <cell r="BB221">
            <v>2.8831285377114435</v>
          </cell>
          <cell r="BC221">
            <v>2.8312322240326373</v>
          </cell>
          <cell r="BD221">
            <v>2.723645399519397</v>
          </cell>
          <cell r="BE221">
            <v>2.5384375123520777</v>
          </cell>
          <cell r="BF221">
            <v>2.2642862610180532</v>
          </cell>
          <cell r="BG221">
            <v>1.9065290317772006</v>
          </cell>
          <cell r="BH221">
            <v>1.4909057028497705</v>
          </cell>
          <cell r="BI221">
            <v>1.0615248604290362</v>
          </cell>
        </row>
        <row r="222">
          <cell r="Y222">
            <v>422.2974887072686</v>
          </cell>
          <cell r="Z222">
            <v>398.43151739847178</v>
          </cell>
          <cell r="AA222">
            <v>391.75409255246279</v>
          </cell>
          <cell r="AB222">
            <v>385.08814197367019</v>
          </cell>
          <cell r="AC222">
            <v>368.20221197762447</v>
          </cell>
          <cell r="AD222">
            <v>352.19143841086088</v>
          </cell>
          <cell r="AE222">
            <v>329.19274672386564</v>
          </cell>
          <cell r="AF222">
            <v>304.99239208775606</v>
          </cell>
          <cell r="AG222">
            <v>274.59424845619083</v>
          </cell>
          <cell r="AH222">
            <v>238.99148393014718</v>
          </cell>
          <cell r="AI222">
            <v>199.88464216603927</v>
          </cell>
          <cell r="AJ222">
            <v>158.75558600036194</v>
          </cell>
          <cell r="AK222">
            <v>117.70380659283899</v>
          </cell>
          <cell r="AL222">
            <v>79.90110548562113</v>
          </cell>
          <cell r="AM222">
            <v>48.693781183840514</v>
          </cell>
          <cell r="AN222">
            <v>25.887438540235021</v>
          </cell>
          <cell r="AO222">
            <v>11.575746004458846</v>
          </cell>
          <cell r="AP222">
            <v>4.1362750883897439</v>
          </cell>
          <cell r="AS222">
            <v>0.67673233597920668</v>
          </cell>
          <cell r="AT222">
            <v>0.69703430605858285</v>
          </cell>
          <cell r="AU222">
            <v>0.72143050677063325</v>
          </cell>
          <cell r="AV222">
            <v>0.73008767285188081</v>
          </cell>
          <cell r="AW222">
            <v>0.74307864342814867</v>
          </cell>
          <cell r="AX222">
            <v>0.74307864342814867</v>
          </cell>
          <cell r="AY222">
            <v>0.74159248614129236</v>
          </cell>
          <cell r="AZ222">
            <v>0.73862611619672724</v>
          </cell>
          <cell r="BA222">
            <v>0.73419435949954692</v>
          </cell>
          <cell r="BB222">
            <v>0.72832080462355053</v>
          </cell>
          <cell r="BC222">
            <v>0.71521103014032661</v>
          </cell>
          <cell r="BD222">
            <v>0.68803301099499414</v>
          </cell>
          <cell r="BE222">
            <v>0.64124676624733445</v>
          </cell>
          <cell r="BF222">
            <v>0.5719921154926223</v>
          </cell>
          <cell r="BG222">
            <v>0.48161736124478788</v>
          </cell>
          <cell r="BH222">
            <v>0.37662477649342402</v>
          </cell>
          <cell r="BI222">
            <v>0.26815684086331781</v>
          </cell>
        </row>
        <row r="223">
          <cell r="Y223">
            <v>1299.6451110609175</v>
          </cell>
          <cell r="Z223">
            <v>1181.0311666752646</v>
          </cell>
          <cell r="AA223">
            <v>1122.8065822122583</v>
          </cell>
          <cell r="AB223">
            <v>1059.5567876353607</v>
          </cell>
          <cell r="AC223">
            <v>976.30193173309067</v>
          </cell>
          <cell r="AD223">
            <v>892.61246302655059</v>
          </cell>
          <cell r="AE223">
            <v>809.62094849533355</v>
          </cell>
          <cell r="AF223">
            <v>725.56499258559893</v>
          </cell>
          <cell r="AG223">
            <v>623.83204159301795</v>
          </cell>
          <cell r="AH223">
            <v>510.25704013794962</v>
          </cell>
          <cell r="AI223">
            <v>393.10782025658295</v>
          </cell>
          <cell r="AJ223">
            <v>280.93971570575457</v>
          </cell>
          <cell r="AK223">
            <v>182.0301822482937</v>
          </cell>
          <cell r="AL223">
            <v>104.03780058774707</v>
          </cell>
          <cell r="AM223">
            <v>50.944501635711646</v>
          </cell>
          <cell r="AN223">
            <v>20.383325787253934</v>
          </cell>
          <cell r="AO223">
            <v>6.2220751460248751</v>
          </cell>
          <cell r="AP223">
            <v>1.2880519954853245</v>
          </cell>
          <cell r="AS223">
            <v>8.6006916200714176</v>
          </cell>
          <cell r="AT223">
            <v>8.7417119201190072</v>
          </cell>
          <cell r="AU223">
            <v>8.8850444441020642</v>
          </cell>
          <cell r="AV223">
            <v>8.8850444441020642</v>
          </cell>
          <cell r="AW223">
            <v>8.8850444441020642</v>
          </cell>
          <cell r="AX223">
            <v>8.8850444441020642</v>
          </cell>
          <cell r="AY223">
            <v>8.8672743552138602</v>
          </cell>
          <cell r="AZ223">
            <v>8.831805257793004</v>
          </cell>
          <cell r="BA223">
            <v>8.778814426246246</v>
          </cell>
          <cell r="BB223">
            <v>8.7085839108362766</v>
          </cell>
          <cell r="BC223">
            <v>8.551829400441223</v>
          </cell>
          <cell r="BD223">
            <v>8.2268598832244564</v>
          </cell>
          <cell r="BE223">
            <v>7.6674334111651925</v>
          </cell>
          <cell r="BF223">
            <v>6.8393506027593514</v>
          </cell>
          <cell r="BG223">
            <v>5.758733207523373</v>
          </cell>
          <cell r="BH223">
            <v>4.5033293682832767</v>
          </cell>
          <cell r="BI223">
            <v>3.2063705102176918</v>
          </cell>
        </row>
        <row r="224">
          <cell r="Y224">
            <v>280.44734179922801</v>
          </cell>
          <cell r="Z224">
            <v>261.852276303228</v>
          </cell>
          <cell r="AA224">
            <v>257.3278453781864</v>
          </cell>
          <cell r="AB224">
            <v>255.55598776832764</v>
          </cell>
          <cell r="AC224">
            <v>250.78968150748412</v>
          </cell>
          <cell r="AD224">
            <v>242.98428011306765</v>
          </cell>
          <cell r="AE224">
            <v>222.15404242603881</v>
          </cell>
          <cell r="AF224">
            <v>201.25588875749497</v>
          </cell>
          <cell r="AG224">
            <v>175.87831646265977</v>
          </cell>
          <cell r="AH224">
            <v>147.15513973792847</v>
          </cell>
          <cell r="AI224">
            <v>116.84718994218585</v>
          </cell>
          <cell r="AJ224">
            <v>87.517279347591852</v>
          </cell>
          <cell r="AK224">
            <v>61.173019310518093</v>
          </cell>
          <cell r="AL224">
            <v>39.358552732045297</v>
          </cell>
          <cell r="AM224">
            <v>22.990434557624255</v>
          </cell>
          <cell r="AN224">
            <v>11.865535330695376</v>
          </cell>
          <cell r="AO224">
            <v>5.1957218873427395</v>
          </cell>
          <cell r="AP224">
            <v>1.7979736945654001</v>
          </cell>
          <cell r="AS224">
            <v>1.996924142541971</v>
          </cell>
          <cell r="AT224">
            <v>2.0867857289563596</v>
          </cell>
          <cell r="AU224">
            <v>2.2188046028244122</v>
          </cell>
          <cell r="AV224">
            <v>2.3474952697882281</v>
          </cell>
          <cell r="AW224">
            <v>2.4696259927089108</v>
          </cell>
          <cell r="AX224">
            <v>2.4696259927089108</v>
          </cell>
          <cell r="AY224">
            <v>2.4696259927089108</v>
          </cell>
          <cell r="AZ224">
            <v>2.4696259927089108</v>
          </cell>
          <cell r="BA224">
            <v>2.4696259927089108</v>
          </cell>
          <cell r="BB224">
            <v>2.4696259927089108</v>
          </cell>
          <cell r="BC224">
            <v>2.4696259927089108</v>
          </cell>
          <cell r="BD224">
            <v>2.4696259927089108</v>
          </cell>
          <cell r="BE224">
            <v>2.4696259927089108</v>
          </cell>
          <cell r="BF224">
            <v>2.4696259927089108</v>
          </cell>
          <cell r="BG224">
            <v>2.4696259927089108</v>
          </cell>
          <cell r="BH224">
            <v>2.4696259927089108</v>
          </cell>
          <cell r="BI224">
            <v>2.4696259927089108</v>
          </cell>
        </row>
        <row r="240">
          <cell r="Y240">
            <v>581.24862850519014</v>
          </cell>
          <cell r="Z240">
            <v>582.99237439070566</v>
          </cell>
          <cell r="AA240">
            <v>591.73726000656609</v>
          </cell>
          <cell r="AB240">
            <v>608.85492611509119</v>
          </cell>
          <cell r="AC240">
            <v>623.40597341181262</v>
          </cell>
          <cell r="AD240">
            <v>636.4664776949752</v>
          </cell>
          <cell r="AE240">
            <v>649.16173256173249</v>
          </cell>
          <cell r="AF240">
            <v>10.269016866646844</v>
          </cell>
          <cell r="AG240">
            <v>11.661211243948237</v>
          </cell>
          <cell r="AH240">
            <v>11.845416187265004</v>
          </cell>
          <cell r="AI240">
            <v>11.341872253594167</v>
          </cell>
          <cell r="AJ240">
            <v>10.830774349221649</v>
          </cell>
          <cell r="AK240">
            <v>10.739660954282257</v>
          </cell>
          <cell r="AL240" t="e">
            <v>#REF!</v>
          </cell>
          <cell r="AM240" t="e">
            <v>#REF!</v>
          </cell>
          <cell r="AN240" t="e">
            <v>#REF!</v>
          </cell>
          <cell r="AO240" t="e">
            <v>#REF!</v>
          </cell>
          <cell r="AP240" t="e">
            <v>#REF!</v>
          </cell>
          <cell r="AR240">
            <v>0.47882842736883524</v>
          </cell>
          <cell r="AS240">
            <v>0.48840499591621195</v>
          </cell>
          <cell r="AT240">
            <v>0.49817309583453617</v>
          </cell>
          <cell r="AU240">
            <v>0.5081365577512269</v>
          </cell>
          <cell r="AV240">
            <v>0.51829928890625143</v>
          </cell>
          <cell r="AW240">
            <v>0.52866527468437652</v>
          </cell>
          <cell r="AX240">
            <v>0.53923858017806403</v>
          </cell>
          <cell r="AY240">
            <v>0.55002335178162531</v>
          </cell>
          <cell r="AZ240">
            <v>0.56102381881725782</v>
          </cell>
          <cell r="BA240">
            <v>0.57224429519360298</v>
          </cell>
          <cell r="BB240">
            <v>0.58368918109747503</v>
          </cell>
          <cell r="BC240">
            <v>0.59536296471942451</v>
          </cell>
          <cell r="BD240">
            <v>0.60727022401381303</v>
          </cell>
          <cell r="BE240">
            <v>0.61941562849408927</v>
          </cell>
          <cell r="BF240">
            <v>0.63180394106397109</v>
          </cell>
          <cell r="BG240">
            <v>0.64444001988525057</v>
          </cell>
          <cell r="BH240">
            <v>0.65732882028295558</v>
          </cell>
          <cell r="BI240">
            <v>0.67047539668861467</v>
          </cell>
        </row>
        <row r="241">
          <cell r="Y241">
            <v>1323.5183470204013</v>
          </cell>
          <cell r="Z241">
            <v>2791.3001938660263</v>
          </cell>
          <cell r="AA241">
            <v>2880.6218000697399</v>
          </cell>
          <cell r="AB241">
            <v>2961.057410910571</v>
          </cell>
          <cell r="AC241">
            <v>3019.9226628053543</v>
          </cell>
          <cell r="AD241">
            <v>3080.1650626415658</v>
          </cell>
          <cell r="AE241">
            <v>3123.087133342392</v>
          </cell>
          <cell r="AF241">
            <v>69.981057294890419</v>
          </cell>
          <cell r="AG241">
            <v>34.619280897917449</v>
          </cell>
          <cell r="AH241">
            <v>39.474164641130351</v>
          </cell>
          <cell r="AI241">
            <v>55.155430082093488</v>
          </cell>
          <cell r="AJ241">
            <v>49.597655248742072</v>
          </cell>
          <cell r="AK241">
            <v>50.254653296811227</v>
          </cell>
          <cell r="AL241" t="e">
            <v>#REF!</v>
          </cell>
          <cell r="AM241" t="e">
            <v>#REF!</v>
          </cell>
          <cell r="AN241" t="e">
            <v>#REF!</v>
          </cell>
          <cell r="AO241" t="e">
            <v>#REF!</v>
          </cell>
          <cell r="AP241" t="e">
            <v>#REF!</v>
          </cell>
          <cell r="AR241">
            <v>1.990680034736596</v>
          </cell>
          <cell r="AS241">
            <v>2.0304936354313279</v>
          </cell>
          <cell r="AT241">
            <v>2.0711035081399545</v>
          </cell>
          <cell r="AU241">
            <v>2.1125255783027534</v>
          </cell>
          <cell r="AV241">
            <v>2.1547760898688084</v>
          </cell>
          <cell r="AW241">
            <v>2.1978716116661845</v>
          </cell>
          <cell r="AX241">
            <v>2.2418290438995081</v>
          </cell>
          <cell r="AY241">
            <v>2.2866656247774984</v>
          </cell>
          <cell r="AZ241">
            <v>2.3323989372730485</v>
          </cell>
          <cell r="BA241">
            <v>2.3790469160185097</v>
          </cell>
          <cell r="BB241">
            <v>2.42662785433888</v>
          </cell>
          <cell r="BC241">
            <v>2.4751604114256578</v>
          </cell>
          <cell r="BD241">
            <v>2.524663619654171</v>
          </cell>
          <cell r="BE241">
            <v>2.5751568920472545</v>
          </cell>
          <cell r="BF241">
            <v>2.6266600298881997</v>
          </cell>
          <cell r="BG241">
            <v>2.6791932304859638</v>
          </cell>
          <cell r="BH241">
            <v>2.7327770950956833</v>
          </cell>
          <cell r="BI241">
            <v>2.7874326369975972</v>
          </cell>
        </row>
        <row r="242">
          <cell r="Y242">
            <v>496.83233250215335</v>
          </cell>
          <cell r="Z242">
            <v>510.74363781221365</v>
          </cell>
          <cell r="AA242">
            <v>516.36181782814788</v>
          </cell>
          <cell r="AB242">
            <v>528.18595677883832</v>
          </cell>
          <cell r="AC242">
            <v>536.56329077601788</v>
          </cell>
          <cell r="AD242">
            <v>554.25550255617964</v>
          </cell>
          <cell r="AE242">
            <v>573.64066824022848</v>
          </cell>
          <cell r="AF242">
            <v>3.4651109653313759</v>
          </cell>
          <cell r="AG242">
            <v>1.9828836021058813</v>
          </cell>
          <cell r="AH242">
            <v>0.88697118875496572</v>
          </cell>
          <cell r="AI242">
            <v>0.98682545709342684</v>
          </cell>
          <cell r="AJ242">
            <v>0.77124557346284106</v>
          </cell>
          <cell r="AK242">
            <v>0.78299279358203422</v>
          </cell>
          <cell r="AL242" t="e">
            <v>#REF!</v>
          </cell>
          <cell r="AM242" t="e">
            <v>#REF!</v>
          </cell>
          <cell r="AN242" t="e">
            <v>#REF!</v>
          </cell>
          <cell r="AO242" t="e">
            <v>#REF!</v>
          </cell>
          <cell r="AP242" t="e">
            <v>#REF!</v>
          </cell>
          <cell r="AR242">
            <v>7.8008447341311413</v>
          </cell>
          <cell r="AS242">
            <v>7.8008447341311413</v>
          </cell>
          <cell r="AT242">
            <v>7.8008447341311413</v>
          </cell>
          <cell r="AU242">
            <v>7.8008447341311413</v>
          </cell>
          <cell r="AV242">
            <v>7.8008447341311413</v>
          </cell>
          <cell r="AW242">
            <v>7.8008447341311413</v>
          </cell>
          <cell r="AX242">
            <v>7.8008447341311413</v>
          </cell>
          <cell r="AY242">
            <v>7.8008447341311413</v>
          </cell>
          <cell r="AZ242">
            <v>7.8008447341311413</v>
          </cell>
          <cell r="BA242">
            <v>7.8008447341311413</v>
          </cell>
          <cell r="BB242">
            <v>7.8008447341311413</v>
          </cell>
          <cell r="BC242">
            <v>7.8008447341311413</v>
          </cell>
          <cell r="BD242">
            <v>7.8008447341311413</v>
          </cell>
          <cell r="BE242">
            <v>7.8008447341311413</v>
          </cell>
          <cell r="BF242">
            <v>7.8008447341311413</v>
          </cell>
          <cell r="BG242">
            <v>7.8008447341311413</v>
          </cell>
          <cell r="BH242">
            <v>7.8008447341311413</v>
          </cell>
          <cell r="BI242">
            <v>7.8008447341311413</v>
          </cell>
        </row>
        <row r="243">
          <cell r="Y243">
            <v>169.85144597855836</v>
          </cell>
          <cell r="Z243">
            <v>179.0234240614005</v>
          </cell>
          <cell r="AA243">
            <v>182.42486911856707</v>
          </cell>
          <cell r="AB243">
            <v>188.80183855686005</v>
          </cell>
          <cell r="AC243">
            <v>196.15966405369616</v>
          </cell>
          <cell r="AD243">
            <v>203.4138173717393</v>
          </cell>
          <cell r="AE243">
            <v>208.49021726530702</v>
          </cell>
          <cell r="AF243">
            <v>19.285456611114078</v>
          </cell>
          <cell r="AG243">
            <v>7.8390813318833654</v>
          </cell>
          <cell r="AH243">
            <v>8.4412593093751802</v>
          </cell>
          <cell r="AI243">
            <v>8.8255160456766255</v>
          </cell>
          <cell r="AJ243">
            <v>9.3168389895155403</v>
          </cell>
          <cell r="AK243">
            <v>9.8108149426461857</v>
          </cell>
          <cell r="AL243" t="e">
            <v>#REF!</v>
          </cell>
          <cell r="AM243" t="e">
            <v>#REF!</v>
          </cell>
          <cell r="AN243" t="e">
            <v>#REF!</v>
          </cell>
          <cell r="AO243" t="e">
            <v>#REF!</v>
          </cell>
          <cell r="AP243" t="e">
            <v>#REF!</v>
          </cell>
          <cell r="AR243">
            <v>1.9709498469205404</v>
          </cell>
          <cell r="AS243">
            <v>2.0103688438589513</v>
          </cell>
          <cell r="AT243">
            <v>2.0505762207361302</v>
          </cell>
          <cell r="AU243">
            <v>2.0915877451508527</v>
          </cell>
          <cell r="AV243">
            <v>2.1334195000538698</v>
          </cell>
          <cell r="AW243">
            <v>2.1760878900549474</v>
          </cell>
          <cell r="AX243">
            <v>2.2196096478560463</v>
          </cell>
          <cell r="AY243">
            <v>2.2640018408131675</v>
          </cell>
          <cell r="AZ243">
            <v>2.3092818776294308</v>
          </cell>
          <cell r="BA243">
            <v>2.3554675151820197</v>
          </cell>
          <cell r="BB243">
            <v>2.4025768654856603</v>
          </cell>
          <cell r="BC243">
            <v>2.4506284027953735</v>
          </cell>
          <cell r="BD243">
            <v>2.499640970851281</v>
          </cell>
          <cell r="BE243">
            <v>2.5496337902683068</v>
          </cell>
          <cell r="BF243">
            <v>2.6006264660736731</v>
          </cell>
          <cell r="BG243">
            <v>2.6526389953951468</v>
          </cell>
          <cell r="BH243">
            <v>2.7056917753030496</v>
          </cell>
          <cell r="BI243">
            <v>2.7598056108091105</v>
          </cell>
        </row>
        <row r="244">
          <cell r="Y244">
            <v>4.2</v>
          </cell>
          <cell r="Z244">
            <v>4.6191644910206602</v>
          </cell>
          <cell r="AA244">
            <v>4.7577394257512795</v>
          </cell>
          <cell r="AB244">
            <v>4.8858091622858444</v>
          </cell>
          <cell r="AC244">
            <v>5.0271217965181112</v>
          </cell>
          <cell r="AD244">
            <v>5.1022207423223636</v>
          </cell>
          <cell r="AE244">
            <v>5.1784321160107414</v>
          </cell>
          <cell r="AF244">
            <v>0.21840925001241152</v>
          </cell>
          <cell r="AG244">
            <v>0.2382069022195609</v>
          </cell>
          <cell r="AH244">
            <v>0.2592654540991346</v>
          </cell>
          <cell r="AI244">
            <v>0.28407710642263201</v>
          </cell>
          <cell r="AJ244">
            <v>0.30818862368725297</v>
          </cell>
          <cell r="AK244">
            <v>0.33363347404264498</v>
          </cell>
          <cell r="AL244" t="e">
            <v>#REF!</v>
          </cell>
          <cell r="AM244" t="e">
            <v>#REF!</v>
          </cell>
          <cell r="AN244" t="e">
            <v>#REF!</v>
          </cell>
          <cell r="AO244" t="e">
            <v>#REF!</v>
          </cell>
          <cell r="AP244" t="e">
            <v>#REF!</v>
          </cell>
          <cell r="AR244">
            <v>0.27256702917581299</v>
          </cell>
          <cell r="AS244">
            <v>0.27801836975932925</v>
          </cell>
          <cell r="AT244">
            <v>0.28357873715451587</v>
          </cell>
          <cell r="AU244">
            <v>0.28925031189760619</v>
          </cell>
          <cell r="AV244">
            <v>0.29503531813555833</v>
          </cell>
          <cell r="AW244">
            <v>0.30093602449826951</v>
          </cell>
          <cell r="AX244">
            <v>0.30695474498823488</v>
          </cell>
          <cell r="AY244">
            <v>0.3130938398879996</v>
          </cell>
          <cell r="AZ244">
            <v>0.31935571668575963</v>
          </cell>
          <cell r="BA244">
            <v>0.32574283101947482</v>
          </cell>
          <cell r="BB244">
            <v>0.3322576876398643</v>
          </cell>
          <cell r="BC244">
            <v>0.33890284139266158</v>
          </cell>
          <cell r="BD244">
            <v>0.34568089822051484</v>
          </cell>
          <cell r="BE244">
            <v>0.35259451618492516</v>
          </cell>
          <cell r="BF244">
            <v>0.35964640650862367</v>
          </cell>
          <cell r="BG244">
            <v>0.36683933463879614</v>
          </cell>
          <cell r="BH244">
            <v>0.37417612133157208</v>
          </cell>
          <cell r="BI244">
            <v>0.38165964375820355</v>
          </cell>
        </row>
        <row r="245">
          <cell r="Y245">
            <v>558.16999553323978</v>
          </cell>
          <cell r="Z245">
            <v>586.07849530990177</v>
          </cell>
          <cell r="AA245">
            <v>600.73045769264922</v>
          </cell>
          <cell r="AB245">
            <v>617.50465599734537</v>
          </cell>
          <cell r="AC245">
            <v>636.60573751987818</v>
          </cell>
          <cell r="AD245">
            <v>656.32102123600794</v>
          </cell>
          <cell r="AE245">
            <v>677.30321526099101</v>
          </cell>
          <cell r="AF245">
            <v>44.340676445563574</v>
          </cell>
          <cell r="AG245">
            <v>30.980797043227252</v>
          </cell>
          <cell r="AH245">
            <v>29.946357860250878</v>
          </cell>
          <cell r="AI245">
            <v>30.176462736238811</v>
          </cell>
          <cell r="AJ245">
            <v>29.632721876394466</v>
          </cell>
          <cell r="AK245">
            <v>29.885129244099094</v>
          </cell>
          <cell r="AL245" t="e">
            <v>#REF!</v>
          </cell>
          <cell r="AM245" t="e">
            <v>#REF!</v>
          </cell>
          <cell r="AN245" t="e">
            <v>#REF!</v>
          </cell>
          <cell r="AO245" t="e">
            <v>#REF!</v>
          </cell>
          <cell r="AP245" t="e">
            <v>#REF!</v>
          </cell>
          <cell r="AR245">
            <v>2.5559084912343706</v>
          </cell>
          <cell r="AS245">
            <v>2.607026661059058</v>
          </cell>
          <cell r="AT245">
            <v>2.6591671942802391</v>
          </cell>
          <cell r="AU245">
            <v>2.7123505381658437</v>
          </cell>
          <cell r="AV245">
            <v>2.7665975489291608</v>
          </cell>
          <cell r="AW245">
            <v>2.821929499907744</v>
          </cell>
          <cell r="AX245">
            <v>2.8783680899058988</v>
          </cell>
          <cell r="AY245">
            <v>2.9359354517040166</v>
          </cell>
          <cell r="AZ245">
            <v>2.9946541607380968</v>
          </cell>
          <cell r="BA245">
            <v>3.0545472439528587</v>
          </cell>
          <cell r="BB245">
            <v>3.115638188831916</v>
          </cell>
          <cell r="BC245">
            <v>3.1779509526085543</v>
          </cell>
          <cell r="BD245">
            <v>3.2415099716607254</v>
          </cell>
          <cell r="BE245">
            <v>3.30634017109394</v>
          </cell>
          <cell r="BF245">
            <v>3.3724669745158189</v>
          </cell>
          <cell r="BG245">
            <v>3.4399163140061355</v>
          </cell>
          <cell r="BH245">
            <v>3.5087146402862581</v>
          </cell>
          <cell r="BI245">
            <v>3.5788889330919833</v>
          </cell>
        </row>
        <row r="246">
          <cell r="Y246">
            <v>820.30555400377796</v>
          </cell>
          <cell r="Z246">
            <v>849.83655394791401</v>
          </cell>
          <cell r="AA246">
            <v>875.33165056635153</v>
          </cell>
          <cell r="AB246">
            <v>890.97809851083503</v>
          </cell>
          <cell r="AC246">
            <v>911.37635670847237</v>
          </cell>
          <cell r="AD246">
            <v>951.47168362073614</v>
          </cell>
          <cell r="AE246">
            <v>994.28245161110522</v>
          </cell>
          <cell r="AF246">
            <v>33.51368362298669</v>
          </cell>
          <cell r="AG246">
            <v>38.759714013170054</v>
          </cell>
          <cell r="AH246">
            <v>41.99087345615547</v>
          </cell>
          <cell r="AI246">
            <v>43.830129175518579</v>
          </cell>
          <cell r="AJ246">
            <v>46.498170864621969</v>
          </cell>
          <cell r="AK246">
            <v>50.206730018871831</v>
          </cell>
          <cell r="AL246" t="e">
            <v>#REF!</v>
          </cell>
          <cell r="AM246" t="e">
            <v>#REF!</v>
          </cell>
          <cell r="AN246" t="e">
            <v>#REF!</v>
          </cell>
          <cell r="AO246" t="e">
            <v>#REF!</v>
          </cell>
          <cell r="AP246" t="e">
            <v>#REF!</v>
          </cell>
          <cell r="AR246">
            <v>3.0352589215630927</v>
          </cell>
          <cell r="AS246">
            <v>3.0959640999943545</v>
          </cell>
          <cell r="AT246">
            <v>3.1578833819942416</v>
          </cell>
          <cell r="AU246">
            <v>3.2210410496341266</v>
          </cell>
          <cell r="AV246">
            <v>3.2854618706268091</v>
          </cell>
          <cell r="AW246">
            <v>3.3511711080393454</v>
          </cell>
          <cell r="AX246">
            <v>3.4181945302001324</v>
          </cell>
          <cell r="AY246">
            <v>3.4865584208041351</v>
          </cell>
          <cell r="AZ246">
            <v>3.556289589220218</v>
          </cell>
          <cell r="BA246">
            <v>3.6274153810046226</v>
          </cell>
          <cell r="BB246">
            <v>3.6999636886247149</v>
          </cell>
          <cell r="BC246">
            <v>3.7739629623972091</v>
          </cell>
          <cell r="BD246">
            <v>3.8494422216451532</v>
          </cell>
          <cell r="BE246">
            <v>3.9264310660780564</v>
          </cell>
          <cell r="BF246">
            <v>4.0049596873996176</v>
          </cell>
          <cell r="BG246">
            <v>4.0850588811476101</v>
          </cell>
          <cell r="BH246">
            <v>4.1667600587705627</v>
          </cell>
          <cell r="BI246">
            <v>4.250095259945974</v>
          </cell>
        </row>
        <row r="247">
          <cell r="Y247">
            <v>653.6588003529464</v>
          </cell>
          <cell r="Z247">
            <v>702.02955157906445</v>
          </cell>
          <cell r="AA247">
            <v>735.72697005485952</v>
          </cell>
          <cell r="AB247">
            <v>776.230899493876</v>
          </cell>
          <cell r="AC247">
            <v>815.84106664401088</v>
          </cell>
          <cell r="AD247">
            <v>853.36819429132629</v>
          </cell>
          <cell r="AE247">
            <v>893.47486774387096</v>
          </cell>
          <cell r="AF247">
            <v>36.985554037239744</v>
          </cell>
          <cell r="AG247">
            <v>41.564283905635769</v>
          </cell>
          <cell r="AH247">
            <v>46.055063009363977</v>
          </cell>
          <cell r="AI247">
            <v>49.257843803896293</v>
          </cell>
          <cell r="AJ247">
            <v>53.198402226909636</v>
          </cell>
          <cell r="AK247">
            <v>56.964116396113674</v>
          </cell>
          <cell r="AL247" t="e">
            <v>#REF!</v>
          </cell>
          <cell r="AM247" t="e">
            <v>#REF!</v>
          </cell>
          <cell r="AN247" t="e">
            <v>#REF!</v>
          </cell>
          <cell r="AO247" t="e">
            <v>#REF!</v>
          </cell>
          <cell r="AP247" t="e">
            <v>#REF!</v>
          </cell>
          <cell r="AR247">
            <v>2.9631747768844696</v>
          </cell>
          <cell r="AS247">
            <v>3.0224382724221592</v>
          </cell>
          <cell r="AT247">
            <v>3.0828870378706026</v>
          </cell>
          <cell r="AU247">
            <v>3.1445447786280147</v>
          </cell>
          <cell r="AV247">
            <v>3.2074356742005752</v>
          </cell>
          <cell r="AW247">
            <v>3.2715843876845869</v>
          </cell>
          <cell r="AX247">
            <v>3.3370160754382789</v>
          </cell>
          <cell r="AY247">
            <v>3.4037563969470446</v>
          </cell>
          <cell r="AZ247">
            <v>3.4718315248859857</v>
          </cell>
          <cell r="BA247">
            <v>3.5412681553837055</v>
          </cell>
          <cell r="BB247">
            <v>3.6120935184913798</v>
          </cell>
          <cell r="BC247">
            <v>3.6843353888612076</v>
          </cell>
          <cell r="BD247">
            <v>3.7580220966384319</v>
          </cell>
          <cell r="BE247">
            <v>3.8331825385712004</v>
          </cell>
          <cell r="BF247">
            <v>3.9098461893426246</v>
          </cell>
          <cell r="BG247">
            <v>3.9880431131294771</v>
          </cell>
          <cell r="BH247">
            <v>4.0678039753920672</v>
          </cell>
          <cell r="BI247">
            <v>4.1491600548999088</v>
          </cell>
        </row>
        <row r="248">
          <cell r="Y248">
            <v>1806.7514390135939</v>
          </cell>
          <cell r="Z248">
            <v>2018.1413573781842</v>
          </cell>
          <cell r="AA248">
            <v>2159.4112523946574</v>
          </cell>
          <cell r="AB248">
            <v>2332.5382565568093</v>
          </cell>
          <cell r="AC248">
            <v>2533.5963257962649</v>
          </cell>
          <cell r="AD248">
            <v>2756.7516109818534</v>
          </cell>
          <cell r="AE248">
            <v>3005.0806394647925</v>
          </cell>
          <cell r="AF248">
            <v>86.964292248861128</v>
          </cell>
          <cell r="AG248">
            <v>97.683054608892789</v>
          </cell>
          <cell r="AH248">
            <v>109.43084321808868</v>
          </cell>
          <cell r="AI248">
            <v>116.56516967784086</v>
          </cell>
          <cell r="AJ248">
            <v>127.5860707105401</v>
          </cell>
          <cell r="AK248">
            <v>137.84756727670057</v>
          </cell>
          <cell r="AL248" t="e">
            <v>#REF!</v>
          </cell>
          <cell r="AM248" t="e">
            <v>#REF!</v>
          </cell>
          <cell r="AN248" t="e">
            <v>#REF!</v>
          </cell>
          <cell r="AO248" t="e">
            <v>#REF!</v>
          </cell>
          <cell r="AP248" t="e">
            <v>#REF!</v>
          </cell>
          <cell r="AR248">
            <v>3.0501431141168038</v>
          </cell>
          <cell r="AS248">
            <v>3.1111459763991398</v>
          </cell>
          <cell r="AT248">
            <v>3.1733688959271227</v>
          </cell>
          <cell r="AU248">
            <v>3.2368362738456651</v>
          </cell>
          <cell r="AV248">
            <v>3.3015729993225786</v>
          </cell>
          <cell r="AW248">
            <v>3.3676044593090304</v>
          </cell>
          <cell r="AX248">
            <v>3.4349565484952111</v>
          </cell>
          <cell r="AY248">
            <v>3.5036556794651155</v>
          </cell>
          <cell r="AZ248">
            <v>3.5737287930544177</v>
          </cell>
          <cell r="BA248">
            <v>3.6452033689155061</v>
          </cell>
          <cell r="BB248">
            <v>3.7181074362938165</v>
          </cell>
          <cell r="BC248">
            <v>3.7924695850196928</v>
          </cell>
          <cell r="BD248">
            <v>3.8683189767200865</v>
          </cell>
          <cell r="BE248">
            <v>3.9456853562544882</v>
          </cell>
          <cell r="BF248">
            <v>4.0245990633795783</v>
          </cell>
          <cell r="BG248">
            <v>4.1050910446471702</v>
          </cell>
          <cell r="BH248">
            <v>4.1871928655401138</v>
          </cell>
          <cell r="BI248">
            <v>4.2709367228509159</v>
          </cell>
        </row>
        <row r="249">
          <cell r="Y249">
            <v>396.91979598081855</v>
          </cell>
          <cell r="Z249">
            <v>408.8273898602431</v>
          </cell>
          <cell r="AA249">
            <v>425.99814023437341</v>
          </cell>
          <cell r="AB249">
            <v>449.02254019876358</v>
          </cell>
          <cell r="AC249">
            <v>475.54509274146562</v>
          </cell>
          <cell r="AD249">
            <v>504.56608527677793</v>
          </cell>
          <cell r="AE249">
            <v>535.86268911306593</v>
          </cell>
          <cell r="AF249">
            <v>20.245313016175473</v>
          </cell>
          <cell r="AG249">
            <v>22.970259489908418</v>
          </cell>
          <cell r="AH249">
            <v>25.002105498325207</v>
          </cell>
          <cell r="AI249">
            <v>27.430770536051686</v>
          </cell>
          <cell r="AJ249">
            <v>29.896285094929155</v>
          </cell>
          <cell r="AK249">
            <v>32.317807206541815</v>
          </cell>
          <cell r="AL249" t="e">
            <v>#REF!</v>
          </cell>
          <cell r="AM249" t="e">
            <v>#REF!</v>
          </cell>
          <cell r="AN249" t="e">
            <v>#REF!</v>
          </cell>
          <cell r="AO249" t="e">
            <v>#REF!</v>
          </cell>
          <cell r="AP249" t="e">
            <v>#REF!</v>
          </cell>
          <cell r="AR249">
            <v>3.1724395660395981</v>
          </cell>
          <cell r="AS249">
            <v>3.2358883573603903</v>
          </cell>
          <cell r="AT249">
            <v>3.3006061245075982</v>
          </cell>
          <cell r="AU249">
            <v>3.3666182469977501</v>
          </cell>
          <cell r="AV249">
            <v>3.4339506119377052</v>
          </cell>
          <cell r="AW249">
            <v>3.5026296241764592</v>
          </cell>
          <cell r="AX249">
            <v>3.5726822166599885</v>
          </cell>
          <cell r="AY249">
            <v>3.6441358609931882</v>
          </cell>
          <cell r="AZ249">
            <v>3.717018578213052</v>
          </cell>
          <cell r="BA249">
            <v>3.791358949777313</v>
          </cell>
          <cell r="BB249">
            <v>3.8671861287728593</v>
          </cell>
          <cell r="BC249">
            <v>3.9445298513483165</v>
          </cell>
          <cell r="BD249">
            <v>4.0234204483752825</v>
          </cell>
          <cell r="BE249">
            <v>4.1038888573427883</v>
          </cell>
          <cell r="BF249">
            <v>4.1859666344896445</v>
          </cell>
          <cell r="BG249">
            <v>4.2696859671794378</v>
          </cell>
          <cell r="BH249">
            <v>4.3550796865230268</v>
          </cell>
          <cell r="BI249">
            <v>4.4421812802534877</v>
          </cell>
        </row>
        <row r="250">
          <cell r="Y250">
            <v>324.28402483758845</v>
          </cell>
          <cell r="Z250">
            <v>341.47107815398061</v>
          </cell>
          <cell r="AA250">
            <v>355.1299212801398</v>
          </cell>
          <cell r="AB250">
            <v>376.46506053548762</v>
          </cell>
          <cell r="AC250">
            <v>403.24113796607423</v>
          </cell>
          <cell r="AD250">
            <v>433.10181951666436</v>
          </cell>
          <cell r="AE250">
            <v>465.60681496536051</v>
          </cell>
          <cell r="AF250">
            <v>35.867345054832313</v>
          </cell>
          <cell r="AG250">
            <v>42.650858915228788</v>
          </cell>
          <cell r="AH250">
            <v>46.905609969230284</v>
          </cell>
          <cell r="AI250">
            <v>53.635576764793889</v>
          </cell>
          <cell r="AJ250">
            <v>61.302348600784327</v>
          </cell>
          <cell r="AK250">
            <v>67.7184072911773</v>
          </cell>
          <cell r="AL250" t="e">
            <v>#REF!</v>
          </cell>
          <cell r="AM250" t="e">
            <v>#REF!</v>
          </cell>
          <cell r="AN250" t="e">
            <v>#REF!</v>
          </cell>
          <cell r="AO250" t="e">
            <v>#REF!</v>
          </cell>
          <cell r="AP250" t="e">
            <v>#REF!</v>
          </cell>
          <cell r="AR250">
            <v>4.2942158563236035</v>
          </cell>
          <cell r="AS250">
            <v>4.3801001734500753</v>
          </cell>
          <cell r="AT250">
            <v>4.4677021769190768</v>
          </cell>
          <cell r="AU250">
            <v>4.5570562204574587</v>
          </cell>
          <cell r="AV250">
            <v>4.6481973448666078</v>
          </cell>
          <cell r="AW250">
            <v>4.7411612917639401</v>
          </cell>
          <cell r="AX250">
            <v>4.8359845175992193</v>
          </cell>
          <cell r="AY250">
            <v>4.932704207951204</v>
          </cell>
          <cell r="AZ250">
            <v>5.0313582921102284</v>
          </cell>
          <cell r="BA250">
            <v>5.1319854579524335</v>
          </cell>
          <cell r="BB250">
            <v>5.2346251671114823</v>
          </cell>
          <cell r="BC250">
            <v>5.3393176704537124</v>
          </cell>
          <cell r="BD250">
            <v>5.4461040238627865</v>
          </cell>
          <cell r="BE250">
            <v>5.5550261043400422</v>
          </cell>
          <cell r="BF250">
            <v>5.6661266264268431</v>
          </cell>
          <cell r="BG250">
            <v>5.77944915895538</v>
          </cell>
          <cell r="BH250">
            <v>5.8950381421344877</v>
          </cell>
          <cell r="BI250">
            <v>6.0129389049771778</v>
          </cell>
        </row>
        <row r="251">
          <cell r="Y251">
            <v>256.41998245933939</v>
          </cell>
          <cell r="Z251">
            <v>237.18848377488894</v>
          </cell>
          <cell r="AA251">
            <v>232.44471409939123</v>
          </cell>
          <cell r="AB251">
            <v>231.22767921517485</v>
          </cell>
          <cell r="AC251">
            <v>234.89508360811158</v>
          </cell>
          <cell r="AD251">
            <v>242.87567217119542</v>
          </cell>
          <cell r="AE251">
            <v>251.37028363459018</v>
          </cell>
          <cell r="AF251">
            <v>4.3772141686263746</v>
          </cell>
          <cell r="AG251">
            <v>4.7632622209323046</v>
          </cell>
          <cell r="AH251">
            <v>5.2564247157068076</v>
          </cell>
          <cell r="AI251">
            <v>5.633671813658224</v>
          </cell>
          <cell r="AJ251">
            <v>6.0135007445910951</v>
          </cell>
          <cell r="AK251">
            <v>6.4062945588961826</v>
          </cell>
          <cell r="AL251" t="e">
            <v>#REF!</v>
          </cell>
          <cell r="AM251" t="e">
            <v>#REF!</v>
          </cell>
          <cell r="AN251" t="e">
            <v>#REF!</v>
          </cell>
          <cell r="AO251" t="e">
            <v>#REF!</v>
          </cell>
          <cell r="AP251" t="e">
            <v>#REF!</v>
          </cell>
          <cell r="AR251">
            <v>6.0602414813269059</v>
          </cell>
          <cell r="AS251">
            <v>6.1814463109534445</v>
          </cell>
          <cell r="AT251">
            <v>6.3050752371725132</v>
          </cell>
          <cell r="AU251">
            <v>6.4311767419159631</v>
          </cell>
          <cell r="AV251">
            <v>6.5598002767542827</v>
          </cell>
          <cell r="AW251">
            <v>6.690996282289368</v>
          </cell>
          <cell r="AX251">
            <v>6.8248162079351555</v>
          </cell>
          <cell r="AY251">
            <v>6.9613125320938591</v>
          </cell>
          <cell r="AZ251">
            <v>7.100538782735736</v>
          </cell>
          <cell r="BA251">
            <v>7.2425495583904507</v>
          </cell>
          <cell r="BB251">
            <v>7.3874005495582598</v>
          </cell>
          <cell r="BC251">
            <v>7.5351485605494251</v>
          </cell>
          <cell r="BD251">
            <v>7.6858515317604139</v>
          </cell>
          <cell r="BE251">
            <v>7.8395685623956224</v>
          </cell>
          <cell r="BF251">
            <v>7.9963599336435349</v>
          </cell>
          <cell r="BG251">
            <v>8.1562871323164057</v>
          </cell>
          <cell r="BH251">
            <v>8.3194128749627332</v>
          </cell>
          <cell r="BI251">
            <v>8.4858011324619884</v>
          </cell>
        </row>
        <row r="252">
          <cell r="Y252">
            <v>1807.5334262544441</v>
          </cell>
          <cell r="Z252">
            <v>1879.8347633046219</v>
          </cell>
          <cell r="AA252">
            <v>1977.5861709964618</v>
          </cell>
          <cell r="AB252">
            <v>2082.4838890483943</v>
          </cell>
          <cell r="AC252">
            <v>2197.1206223637987</v>
          </cell>
          <cell r="AD252">
            <v>2313.593245442351</v>
          </cell>
          <cell r="AE252">
            <v>2438.5538228749624</v>
          </cell>
          <cell r="AF252">
            <v>46.720226944240018</v>
          </cell>
          <cell r="AG252">
            <v>49.729150980236405</v>
          </cell>
          <cell r="AH252">
            <v>53.87608367379886</v>
          </cell>
          <cell r="AI252">
            <v>56.870520299716532</v>
          </cell>
          <cell r="AJ252">
            <v>58.832964017046891</v>
          </cell>
          <cell r="AK252">
            <v>61.520587436870002</v>
          </cell>
          <cell r="AL252" t="e">
            <v>#REF!</v>
          </cell>
          <cell r="AM252" t="e">
            <v>#REF!</v>
          </cell>
          <cell r="AN252" t="e">
            <v>#REF!</v>
          </cell>
          <cell r="AO252" t="e">
            <v>#REF!</v>
          </cell>
          <cell r="AP252" t="e">
            <v>#REF!</v>
          </cell>
          <cell r="AR252">
            <v>4.5218919927725576</v>
          </cell>
          <cell r="AS252">
            <v>4.6123298326280091</v>
          </cell>
          <cell r="AT252">
            <v>4.7045764292805696</v>
          </cell>
          <cell r="AU252">
            <v>4.7986679578661811</v>
          </cell>
          <cell r="AV252">
            <v>4.8946413170235044</v>
          </cell>
          <cell r="AW252">
            <v>4.9925341433639749</v>
          </cell>
          <cell r="AX252">
            <v>5.0923848262312541</v>
          </cell>
          <cell r="AY252">
            <v>5.194232522755879</v>
          </cell>
          <cell r="AZ252">
            <v>5.2981171732109971</v>
          </cell>
          <cell r="BA252">
            <v>5.4040795166752167</v>
          </cell>
          <cell r="BB252">
            <v>5.5121611070087209</v>
          </cell>
          <cell r="BC252">
            <v>5.6224043291488952</v>
          </cell>
          <cell r="BD252">
            <v>5.734852415731873</v>
          </cell>
          <cell r="BE252">
            <v>5.8495494640465102</v>
          </cell>
          <cell r="BF252">
            <v>5.9665404533274407</v>
          </cell>
          <cell r="BG252">
            <v>6.0858712623939892</v>
          </cell>
          <cell r="BH252">
            <v>6.2075886876418691</v>
          </cell>
          <cell r="BI252">
            <v>6.3317404613947064</v>
          </cell>
        </row>
        <row r="253">
          <cell r="Y253">
            <v>238.37982129321796</v>
          </cell>
          <cell r="Z253">
            <v>226.52200618219209</v>
          </cell>
          <cell r="AA253">
            <v>235.5828864294798</v>
          </cell>
          <cell r="AB253">
            <v>245.94853343237693</v>
          </cell>
          <cell r="AC253">
            <v>257.01621743683387</v>
          </cell>
          <cell r="AD253">
            <v>269.09597965636505</v>
          </cell>
          <cell r="AE253">
            <v>282.01258667987059</v>
          </cell>
          <cell r="AF253">
            <v>11.593549393993669</v>
          </cell>
          <cell r="AG253">
            <v>12.828098254318489</v>
          </cell>
          <cell r="AH253">
            <v>14.244385929886144</v>
          </cell>
          <cell r="AI253">
            <v>15.29151611781888</v>
          </cell>
          <cell r="AJ253">
            <v>16.180583199368552</v>
          </cell>
          <cell r="AK253">
            <v>17.005484060132879</v>
          </cell>
          <cell r="AL253" t="e">
            <v>#REF!</v>
          </cell>
          <cell r="AM253" t="e">
            <v>#REF!</v>
          </cell>
          <cell r="AN253" t="e">
            <v>#REF!</v>
          </cell>
          <cell r="AO253" t="e">
            <v>#REF!</v>
          </cell>
          <cell r="AP253" t="e">
            <v>#REF!</v>
          </cell>
          <cell r="AR253">
            <v>3.4680879074882145</v>
          </cell>
          <cell r="AS253">
            <v>3.537449665637979</v>
          </cell>
          <cell r="AT253">
            <v>3.6081986589507387</v>
          </cell>
          <cell r="AU253">
            <v>3.6803626321297536</v>
          </cell>
          <cell r="AV253">
            <v>3.7539698847723488</v>
          </cell>
          <cell r="AW253">
            <v>3.8290492824677957</v>
          </cell>
          <cell r="AX253">
            <v>3.9056302681171515</v>
          </cell>
          <cell r="AY253">
            <v>3.9837428734794944</v>
          </cell>
          <cell r="AZ253">
            <v>4.0634177309490846</v>
          </cell>
          <cell r="BA253">
            <v>4.1446860855680665</v>
          </cell>
          <cell r="BB253">
            <v>4.2275798072794277</v>
          </cell>
          <cell r="BC253">
            <v>4.312131403425016</v>
          </cell>
          <cell r="BD253">
            <v>4.3983740314935167</v>
          </cell>
          <cell r="BE253">
            <v>4.4863415121233867</v>
          </cell>
          <cell r="BF253">
            <v>4.5760683423658541</v>
          </cell>
          <cell r="BG253">
            <v>4.6675897092131713</v>
          </cell>
          <cell r="BH253">
            <v>4.7609415033974347</v>
          </cell>
          <cell r="BI253">
            <v>4.8561603334653833</v>
          </cell>
        </row>
        <row r="254">
          <cell r="Y254">
            <v>1454.7414738190216</v>
          </cell>
          <cell r="Z254">
            <v>1582.0343892623193</v>
          </cell>
          <cell r="AA254">
            <v>1740.2378281885517</v>
          </cell>
          <cell r="AB254">
            <v>1914.2616110074066</v>
          </cell>
          <cell r="AC254">
            <v>2086.5451559980734</v>
          </cell>
          <cell r="AD254">
            <v>2274.3342200379006</v>
          </cell>
          <cell r="AE254">
            <v>2479.0242998413119</v>
          </cell>
          <cell r="AF254">
            <v>18.612919484782907</v>
          </cell>
          <cell r="AG254">
            <v>21.379977167803851</v>
          </cell>
          <cell r="AH254">
            <v>23.906810135509318</v>
          </cell>
          <cell r="AI254">
            <v>26.391141698335225</v>
          </cell>
          <cell r="AJ254">
            <v>28.706386090864353</v>
          </cell>
          <cell r="AK254">
            <v>30.436337675044289</v>
          </cell>
          <cell r="AL254" t="e">
            <v>#REF!</v>
          </cell>
          <cell r="AM254" t="e">
            <v>#REF!</v>
          </cell>
          <cell r="AN254" t="e">
            <v>#REF!</v>
          </cell>
          <cell r="AO254" t="e">
            <v>#REF!</v>
          </cell>
          <cell r="AP254" t="e">
            <v>#REF!</v>
          </cell>
          <cell r="AR254">
            <v>5.824093989287964</v>
          </cell>
          <cell r="AS254">
            <v>5.9405758690737231</v>
          </cell>
          <cell r="AT254">
            <v>6.0593873864551977</v>
          </cell>
          <cell r="AU254">
            <v>6.180575134184302</v>
          </cell>
          <cell r="AV254">
            <v>6.3041866368679882</v>
          </cell>
          <cell r="AW254">
            <v>6.4302703696053483</v>
          </cell>
          <cell r="AX254">
            <v>6.5588757769974553</v>
          </cell>
          <cell r="AY254">
            <v>6.6900532925374048</v>
          </cell>
          <cell r="AZ254">
            <v>6.8238543583881528</v>
          </cell>
          <cell r="BA254">
            <v>6.9603314455559158</v>
          </cell>
          <cell r="BB254">
            <v>7.0995380744670342</v>
          </cell>
          <cell r="BC254">
            <v>7.241528835956375</v>
          </cell>
          <cell r="BD254">
            <v>7.3863594126755023</v>
          </cell>
          <cell r="BE254">
            <v>7.5340866009290126</v>
          </cell>
          <cell r="BF254">
            <v>7.6847683329475931</v>
          </cell>
          <cell r="BG254">
            <v>7.8384636996065451</v>
          </cell>
          <cell r="BH254">
            <v>7.995232973598676</v>
          </cell>
          <cell r="BI254">
            <v>8.15513763307065</v>
          </cell>
        </row>
        <row r="255">
          <cell r="Y255">
            <v>1106.8633126575778</v>
          </cell>
          <cell r="Z255">
            <v>1136.1966441959519</v>
          </cell>
          <cell r="AA255">
            <v>1158.9205770798712</v>
          </cell>
          <cell r="AB255">
            <v>1170.50978285067</v>
          </cell>
          <cell r="AC255">
            <v>1207.9660959018915</v>
          </cell>
          <cell r="AD255">
            <v>1247.8289770666538</v>
          </cell>
          <cell r="AE255">
            <v>1290.2551622869198</v>
          </cell>
          <cell r="AF255">
            <v>34.749449698658324</v>
          </cell>
          <cell r="AG255">
            <v>36.310176041439199</v>
          </cell>
          <cell r="AH255">
            <v>38.761816281527089</v>
          </cell>
          <cell r="AI255">
            <v>40.751392804920513</v>
          </cell>
          <cell r="AJ255">
            <v>42.497070614816352</v>
          </cell>
          <cell r="AK255">
            <v>44.678143920206672</v>
          </cell>
          <cell r="AL255" t="e">
            <v>#REF!</v>
          </cell>
          <cell r="AM255" t="e">
            <v>#REF!</v>
          </cell>
          <cell r="AN255" t="e">
            <v>#REF!</v>
          </cell>
          <cell r="AO255" t="e">
            <v>#REF!</v>
          </cell>
          <cell r="AP255" t="e">
            <v>#REF!</v>
          </cell>
          <cell r="AR255">
            <v>2.6219865812864538</v>
          </cell>
          <cell r="AS255">
            <v>2.6744263129121828</v>
          </cell>
          <cell r="AT255">
            <v>2.7279148391704267</v>
          </cell>
          <cell r="AU255">
            <v>2.7824731359538353</v>
          </cell>
          <cell r="AV255">
            <v>2.8381225986729119</v>
          </cell>
          <cell r="AW255">
            <v>2.8948850506463701</v>
          </cell>
          <cell r="AX255">
            <v>2.9527827516592975</v>
          </cell>
          <cell r="AY255">
            <v>3.0118384066924837</v>
          </cell>
          <cell r="AZ255">
            <v>3.0720751748263333</v>
          </cell>
          <cell r="BA255">
            <v>3.1335166783228598</v>
          </cell>
          <cell r="BB255">
            <v>3.1961870118893172</v>
          </cell>
          <cell r="BC255">
            <v>3.2601107521271038</v>
          </cell>
          <cell r="BD255">
            <v>3.325312967169646</v>
          </cell>
          <cell r="BE255">
            <v>3.3918192265130389</v>
          </cell>
          <cell r="BF255">
            <v>3.4596556110432997</v>
          </cell>
          <cell r="BG255">
            <v>3.5288487232641659</v>
          </cell>
          <cell r="BH255">
            <v>3.5994256977294494</v>
          </cell>
          <cell r="BI255">
            <v>3.6714142116840387</v>
          </cell>
        </row>
        <row r="256">
          <cell r="Y256">
            <v>1567.5846848129866</v>
          </cell>
          <cell r="Z256">
            <v>1717.8499667010312</v>
          </cell>
          <cell r="AA256">
            <v>1836.1616458369363</v>
          </cell>
          <cell r="AB256">
            <v>1951.8210815476132</v>
          </cell>
          <cell r="AC256">
            <v>2075.4101108515183</v>
          </cell>
          <cell r="AD256">
            <v>2207.5184093910061</v>
          </cell>
          <cell r="AE256">
            <v>2363.1356597294421</v>
          </cell>
          <cell r="AF256">
            <v>79.732248299766894</v>
          </cell>
          <cell r="AG256">
            <v>89.434125647012095</v>
          </cell>
          <cell r="AH256">
            <v>98.501548034823116</v>
          </cell>
          <cell r="AI256">
            <v>106.98771014434146</v>
          </cell>
          <cell r="AJ256">
            <v>113.67247729718603</v>
          </cell>
          <cell r="AK256">
            <v>120.81129447013593</v>
          </cell>
          <cell r="AL256" t="e">
            <v>#REF!</v>
          </cell>
          <cell r="AM256" t="e">
            <v>#REF!</v>
          </cell>
          <cell r="AN256" t="e">
            <v>#REF!</v>
          </cell>
          <cell r="AO256" t="e">
            <v>#REF!</v>
          </cell>
          <cell r="AP256" t="e">
            <v>#REF!</v>
          </cell>
          <cell r="AR256">
            <v>0.49666330878179943</v>
          </cell>
          <cell r="AS256">
            <v>0.50659657495743537</v>
          </cell>
          <cell r="AT256">
            <v>0.51672850645658408</v>
          </cell>
          <cell r="AU256">
            <v>0.52706307658571572</v>
          </cell>
          <cell r="AV256">
            <v>0.53760433811743003</v>
          </cell>
          <cell r="AW256">
            <v>0.54835642487977865</v>
          </cell>
          <cell r="AX256">
            <v>0.55932355337737427</v>
          </cell>
          <cell r="AY256">
            <v>0.57051002444492172</v>
          </cell>
          <cell r="AZ256">
            <v>0.58192022493382012</v>
          </cell>
          <cell r="BA256">
            <v>0.59355862943249649</v>
          </cell>
          <cell r="BB256">
            <v>0.60542980202114638</v>
          </cell>
          <cell r="BC256">
            <v>0.61753839806156929</v>
          </cell>
          <cell r="BD256">
            <v>0.62988916602280065</v>
          </cell>
          <cell r="BE256">
            <v>0.64248694934325667</v>
          </cell>
          <cell r="BF256">
            <v>0.65533668833012182</v>
          </cell>
          <cell r="BG256">
            <v>0.66844342209672425</v>
          </cell>
          <cell r="BH256">
            <v>0.68181229053865877</v>
          </cell>
          <cell r="BI256">
            <v>0.69544853634943193</v>
          </cell>
        </row>
        <row r="257">
          <cell r="Y257">
            <v>3920.9383887896388</v>
          </cell>
          <cell r="Z257">
            <v>4502.5562510939453</v>
          </cell>
          <cell r="AA257">
            <v>4742.1555672974764</v>
          </cell>
          <cell r="AB257">
            <v>4984.2217512032585</v>
          </cell>
          <cell r="AC257">
            <v>5241.8114997087096</v>
          </cell>
          <cell r="AD257">
            <v>5525.8922163397119</v>
          </cell>
          <cell r="AE257">
            <v>5831.7405098640966</v>
          </cell>
          <cell r="AF257">
            <v>253.92916490379869</v>
          </cell>
          <cell r="AG257">
            <v>276.6907786533061</v>
          </cell>
          <cell r="AH257">
            <v>299.65004816163275</v>
          </cell>
          <cell r="AI257">
            <v>321.43151888671656</v>
          </cell>
          <cell r="AJ257">
            <v>335.21565867000925</v>
          </cell>
          <cell r="AK257">
            <v>354.87634813294551</v>
          </cell>
          <cell r="AL257" t="e">
            <v>#REF!</v>
          </cell>
          <cell r="AM257" t="e">
            <v>#REF!</v>
          </cell>
          <cell r="AN257" t="e">
            <v>#REF!</v>
          </cell>
          <cell r="AO257" t="e">
            <v>#REF!</v>
          </cell>
          <cell r="AP257" t="e">
            <v>#REF!</v>
          </cell>
          <cell r="AR257">
            <v>32.61121292988657</v>
          </cell>
          <cell r="AS257">
            <v>33.263437188484303</v>
          </cell>
          <cell r="AT257">
            <v>33.92870593225399</v>
          </cell>
          <cell r="AU257">
            <v>34.607280050899071</v>
          </cell>
          <cell r="AV257">
            <v>35.299425651917055</v>
          </cell>
          <cell r="AW257">
            <v>36.005414164955397</v>
          </cell>
          <cell r="AX257">
            <v>36.725522448254509</v>
          </cell>
          <cell r="AY257">
            <v>37.460032897219598</v>
          </cell>
          <cell r="AZ257">
            <v>38.209233555163991</v>
          </cell>
          <cell r="BA257">
            <v>38.97341822626727</v>
          </cell>
          <cell r="BB257">
            <v>39.752886590792613</v>
          </cell>
          <cell r="BC257">
            <v>40.547944322608465</v>
          </cell>
          <cell r="BD257">
            <v>41.358903209060635</v>
          </cell>
          <cell r="BE257">
            <v>42.186081273241847</v>
          </cell>
          <cell r="BF257">
            <v>43.029802898706684</v>
          </cell>
          <cell r="BG257">
            <v>43.890398956680819</v>
          </cell>
          <cell r="BH257">
            <v>44.768206935814433</v>
          </cell>
          <cell r="BI257">
            <v>45.663571074530722</v>
          </cell>
        </row>
        <row r="258">
          <cell r="Y258">
            <v>133.66592608149202</v>
          </cell>
          <cell r="Z258">
            <v>165.20119899549024</v>
          </cell>
          <cell r="AA258">
            <v>174.12206374124662</v>
          </cell>
          <cell r="AB258">
            <v>184.56938756572151</v>
          </cell>
          <cell r="AC258">
            <v>193.79785694400758</v>
          </cell>
          <cell r="AD258">
            <v>205.42572836064807</v>
          </cell>
          <cell r="AE258">
            <v>217.75127206228692</v>
          </cell>
          <cell r="AF258">
            <v>8.1140665271678056</v>
          </cell>
          <cell r="AG258">
            <v>9.2228331234312666</v>
          </cell>
          <cell r="AH258">
            <v>10.173826674037315</v>
          </cell>
          <cell r="AI258">
            <v>11.000700603941528</v>
          </cell>
          <cell r="AJ258">
            <v>11.633360345654804</v>
          </cell>
          <cell r="AK258">
            <v>12.200477228704269</v>
          </cell>
          <cell r="AL258" t="e">
            <v>#REF!</v>
          </cell>
          <cell r="AM258" t="e">
            <v>#REF!</v>
          </cell>
          <cell r="AN258" t="e">
            <v>#REF!</v>
          </cell>
          <cell r="AO258" t="e">
            <v>#REF!</v>
          </cell>
          <cell r="AP258" t="e">
            <v>#REF!</v>
          </cell>
          <cell r="AR258">
            <v>7.2272592008065351</v>
          </cell>
          <cell r="AS258">
            <v>7.3718043848226662</v>
          </cell>
          <cell r="AT258">
            <v>7.5192404725191198</v>
          </cell>
          <cell r="AU258">
            <v>7.6696252819695019</v>
          </cell>
          <cell r="AV258">
            <v>7.823017787608892</v>
          </cell>
          <cell r="AW258">
            <v>7.97947814336107</v>
          </cell>
          <cell r="AX258">
            <v>8.1390677062282908</v>
          </cell>
          <cell r="AY258">
            <v>8.3018490603528576</v>
          </cell>
          <cell r="AZ258">
            <v>8.4678860415599146</v>
          </cell>
          <cell r="BA258">
            <v>8.6372437623911136</v>
          </cell>
          <cell r="BB258">
            <v>8.809988637638936</v>
          </cell>
          <cell r="BC258">
            <v>8.9861884103917156</v>
          </cell>
          <cell r="BD258">
            <v>9.1659121785995499</v>
          </cell>
          <cell r="BE258">
            <v>9.3492304221715408</v>
          </cell>
          <cell r="BF258">
            <v>9.5362150306149722</v>
          </cell>
          <cell r="BG258">
            <v>9.7269393312272712</v>
          </cell>
          <cell r="BH258">
            <v>9.9214781178518159</v>
          </cell>
          <cell r="BI258">
            <v>10.119907680208852</v>
          </cell>
        </row>
        <row r="259">
          <cell r="Y259">
            <v>786.25921376206281</v>
          </cell>
          <cell r="Z259">
            <v>834.00259384669255</v>
          </cell>
          <cell r="AA259">
            <v>875.70272353902726</v>
          </cell>
          <cell r="AB259">
            <v>919.48785971597886</v>
          </cell>
          <cell r="AC259">
            <v>956.26737410461794</v>
          </cell>
          <cell r="AD259">
            <v>994.51806906880267</v>
          </cell>
          <cell r="AE259">
            <v>1034.2987918315548</v>
          </cell>
          <cell r="AF259">
            <v>0.92261485771780705</v>
          </cell>
          <cell r="AG259">
            <v>1.0813860081852658</v>
          </cell>
          <cell r="AH259">
            <v>1.2280300039058003</v>
          </cell>
          <cell r="AI259">
            <v>1.32237761905423</v>
          </cell>
          <cell r="AJ259">
            <v>1.3998647969871911</v>
          </cell>
          <cell r="AK259">
            <v>1.4190295583739219</v>
          </cell>
          <cell r="AL259" t="e">
            <v>#REF!</v>
          </cell>
          <cell r="AM259" t="e">
            <v>#REF!</v>
          </cell>
          <cell r="AN259" t="e">
            <v>#REF!</v>
          </cell>
          <cell r="AO259" t="e">
            <v>#REF!</v>
          </cell>
          <cell r="AP259" t="e">
            <v>#REF!</v>
          </cell>
          <cell r="AR259">
            <v>2.9415488738358175</v>
          </cell>
          <cell r="AS259">
            <v>3.0003798513125339</v>
          </cell>
          <cell r="AT259">
            <v>3.0603874483387847</v>
          </cell>
          <cell r="AU259">
            <v>3.1215951973055605</v>
          </cell>
          <cell r="AV259">
            <v>3.1840271012516719</v>
          </cell>
          <cell r="AW259">
            <v>3.2477076432767054</v>
          </cell>
          <cell r="AX259">
            <v>3.3126617961422395</v>
          </cell>
          <cell r="AY259">
            <v>3.3789150320650845</v>
          </cell>
          <cell r="AZ259">
            <v>3.4464933327063862</v>
          </cell>
          <cell r="BA259">
            <v>3.5154231993605141</v>
          </cell>
          <cell r="BB259">
            <v>3.5857316633477243</v>
          </cell>
          <cell r="BC259">
            <v>3.6574462966146788</v>
          </cell>
          <cell r="BD259">
            <v>3.7305952225469725</v>
          </cell>
          <cell r="BE259">
            <v>3.805207126997912</v>
          </cell>
          <cell r="BF259">
            <v>3.8813112695378704</v>
          </cell>
          <cell r="BG259">
            <v>3.958937494928628</v>
          </cell>
          <cell r="BH259">
            <v>4.0381162448272008</v>
          </cell>
          <cell r="BI259">
            <v>4.1188785697237451</v>
          </cell>
        </row>
        <row r="260">
          <cell r="Y260">
            <v>422.2974887072686</v>
          </cell>
          <cell r="Z260">
            <v>414.16959864639796</v>
          </cell>
          <cell r="AA260">
            <v>447.30316653810979</v>
          </cell>
          <cell r="AB260">
            <v>483.08741986115854</v>
          </cell>
          <cell r="AC260">
            <v>516.90353925143972</v>
          </cell>
          <cell r="AD260">
            <v>553.08678699904033</v>
          </cell>
          <cell r="AE260">
            <v>591.80286208897314</v>
          </cell>
          <cell r="AF260">
            <v>9.0502947789523613</v>
          </cell>
          <cell r="AG260">
            <v>10.565851201110149</v>
          </cell>
          <cell r="AH260">
            <v>11.905018633522984</v>
          </cell>
          <cell r="AI260">
            <v>12.954963049824238</v>
          </cell>
          <cell r="AJ260">
            <v>13.729143804414356</v>
          </cell>
          <cell r="AK260">
            <v>14.278181862474327</v>
          </cell>
          <cell r="AL260" t="e">
            <v>#REF!</v>
          </cell>
          <cell r="AM260" t="e">
            <v>#REF!</v>
          </cell>
          <cell r="AN260" t="e">
            <v>#REF!</v>
          </cell>
          <cell r="AO260" t="e">
            <v>#REF!</v>
          </cell>
          <cell r="AP260" t="e">
            <v>#REF!</v>
          </cell>
          <cell r="AR260">
            <v>0.74307864342814867</v>
          </cell>
          <cell r="AS260">
            <v>0.7579402162967116</v>
          </cell>
          <cell r="AT260">
            <v>0.77309902062264579</v>
          </cell>
          <cell r="AU260">
            <v>0.78856100103509874</v>
          </cell>
          <cell r="AV260">
            <v>0.80433222105580071</v>
          </cell>
          <cell r="AW260">
            <v>0.82041886547691678</v>
          </cell>
          <cell r="AX260">
            <v>0.83682724278645515</v>
          </cell>
          <cell r="AY260">
            <v>0.85356378764218421</v>
          </cell>
          <cell r="AZ260">
            <v>0.87063506339502794</v>
          </cell>
          <cell r="BA260">
            <v>0.88804776466292856</v>
          </cell>
          <cell r="BB260">
            <v>0.90580871995618717</v>
          </cell>
          <cell r="BC260">
            <v>0.92392489435531089</v>
          </cell>
          <cell r="BD260">
            <v>0.94240339224241709</v>
          </cell>
          <cell r="BE260">
            <v>0.96125146008726547</v>
          </cell>
          <cell r="BF260">
            <v>0.98047648928901077</v>
          </cell>
          <cell r="BG260">
            <v>1.0000860190747909</v>
          </cell>
          <cell r="BH260">
            <v>1.0200877394562866</v>
          </cell>
          <cell r="BI260">
            <v>1.0404894942454124</v>
          </cell>
        </row>
        <row r="261">
          <cell r="Y261">
            <v>1299.6451110609175</v>
          </cell>
          <cell r="Z261">
            <v>1419.2393340977217</v>
          </cell>
          <cell r="AA261">
            <v>1504.3936941435848</v>
          </cell>
          <cell r="AB261">
            <v>1594.6573157922001</v>
          </cell>
          <cell r="AC261">
            <v>1674.3901815818103</v>
          </cell>
          <cell r="AD261">
            <v>1758.1096906609005</v>
          </cell>
          <cell r="AE261">
            <v>1846.0151751939457</v>
          </cell>
          <cell r="AF261">
            <v>28.366971854524596</v>
          </cell>
          <cell r="AG261">
            <v>31.165491840933402</v>
          </cell>
          <cell r="AH261">
            <v>35.302796556682409</v>
          </cell>
          <cell r="AI261">
            <v>37.871361298151321</v>
          </cell>
          <cell r="AJ261">
            <v>40.318269535206888</v>
          </cell>
          <cell r="AK261">
            <v>41.433935601558709</v>
          </cell>
          <cell r="AL261" t="e">
            <v>#REF!</v>
          </cell>
          <cell r="AM261" t="e">
            <v>#REF!</v>
          </cell>
          <cell r="AN261" t="e">
            <v>#REF!</v>
          </cell>
          <cell r="AO261" t="e">
            <v>#REF!</v>
          </cell>
          <cell r="AP261" t="e">
            <v>#REF!</v>
          </cell>
          <cell r="AR261">
            <v>8.8850444441020642</v>
          </cell>
          <cell r="AS261">
            <v>9.0627453329841057</v>
          </cell>
          <cell r="AT261">
            <v>9.2440002396437873</v>
          </cell>
          <cell r="AU261">
            <v>9.4288802444366624</v>
          </cell>
          <cell r="AV261">
            <v>9.6174578493253957</v>
          </cell>
          <cell r="AW261">
            <v>9.8098070063119032</v>
          </cell>
          <cell r="AX261">
            <v>10.006003146438141</v>
          </cell>
          <cell r="AY261">
            <v>10.206123209366904</v>
          </cell>
          <cell r="AZ261">
            <v>10.410245673554243</v>
          </cell>
          <cell r="BA261">
            <v>10.618450587025329</v>
          </cell>
          <cell r="BB261">
            <v>10.830819598765835</v>
          </cell>
          <cell r="BC261">
            <v>11.047435990741151</v>
          </cell>
          <cell r="BD261">
            <v>11.268384710555974</v>
          </cell>
          <cell r="BE261">
            <v>11.493752404767093</v>
          </cell>
          <cell r="BF261">
            <v>11.723627452862436</v>
          </cell>
          <cell r="BG261">
            <v>11.958100001919686</v>
          </cell>
          <cell r="BH261">
            <v>12.19726200195808</v>
          </cell>
          <cell r="BI261">
            <v>12.441207241997242</v>
          </cell>
        </row>
        <row r="262">
          <cell r="Y262">
            <v>280.44734179922801</v>
          </cell>
          <cell r="Z262">
            <v>283.1222986465678</v>
          </cell>
          <cell r="AA262">
            <v>302.94085955182754</v>
          </cell>
          <cell r="AB262">
            <v>324.14671972045545</v>
          </cell>
          <cell r="AC262">
            <v>343.59552290368288</v>
          </cell>
          <cell r="AD262">
            <v>364.21125427790383</v>
          </cell>
          <cell r="AE262">
            <v>386.06392953457811</v>
          </cell>
          <cell r="AF262">
            <v>20.941749802534762</v>
          </cell>
          <cell r="AG262">
            <v>23.143512817894067</v>
          </cell>
          <cell r="AH262">
            <v>26.579682757603571</v>
          </cell>
          <cell r="AI262">
            <v>28.15545314503288</v>
          </cell>
          <cell r="AJ262">
            <v>30.518894989990116</v>
          </cell>
          <cell r="AK262">
            <v>32.735101048601045</v>
          </cell>
          <cell r="AL262" t="e">
            <v>#REF!</v>
          </cell>
          <cell r="AM262" t="e">
            <v>#REF!</v>
          </cell>
          <cell r="AN262" t="e">
            <v>#REF!</v>
          </cell>
          <cell r="AO262" t="e">
            <v>#REF!</v>
          </cell>
          <cell r="AP262" t="e">
            <v>#REF!</v>
          </cell>
          <cell r="AR262">
            <v>2.4696259927089108</v>
          </cell>
          <cell r="AS262">
            <v>2.5190185125630893</v>
          </cell>
          <cell r="AT262">
            <v>2.569398882814351</v>
          </cell>
          <cell r="AU262">
            <v>2.6207868604706381</v>
          </cell>
          <cell r="AV262">
            <v>2.6732025976800511</v>
          </cell>
          <cell r="AW262">
            <v>2.726666649633652</v>
          </cell>
          <cell r="AX262">
            <v>2.7811999826263252</v>
          </cell>
          <cell r="AY262">
            <v>2.8368239822788519</v>
          </cell>
          <cell r="AZ262">
            <v>2.8935604619244288</v>
          </cell>
          <cell r="BA262">
            <v>2.9514316711629176</v>
          </cell>
          <cell r="BB262">
            <v>3.010460304586176</v>
          </cell>
          <cell r="BC262">
            <v>3.0706695106778996</v>
          </cell>
          <cell r="BD262">
            <v>3.1320829008914575</v>
          </cell>
          <cell r="BE262">
            <v>3.1947245589092867</v>
          </cell>
          <cell r="BF262">
            <v>3.2586190500874723</v>
          </cell>
          <cell r="BG262">
            <v>3.323791431089222</v>
          </cell>
          <cell r="BH262">
            <v>3.3902672597110066</v>
          </cell>
          <cell r="BI262">
            <v>3.4580726049052268</v>
          </cell>
        </row>
        <row r="263">
          <cell r="AR263">
            <v>0</v>
          </cell>
          <cell r="AS263">
            <v>2.5374561306290095</v>
          </cell>
          <cell r="AT263">
            <v>2.6072262620981528</v>
          </cell>
          <cell r="AU263">
            <v>2.5734827451661433</v>
          </cell>
          <cell r="AV263">
            <v>2.6130902071063375</v>
          </cell>
          <cell r="AW263">
            <v>2.6430580326492072</v>
          </cell>
          <cell r="AX263">
            <v>2.6530880596493307</v>
          </cell>
          <cell r="AY263">
            <v>2.4770643707219815</v>
          </cell>
          <cell r="AZ263">
            <v>2.4152257741400667</v>
          </cell>
          <cell r="BA263">
            <v>2.3295027922403362</v>
          </cell>
          <cell r="BB263">
            <v>2.213421656367772</v>
          </cell>
          <cell r="BC263">
            <v>2.0583707381436858</v>
          </cell>
          <cell r="BD263">
            <v>1.8400454863373217</v>
          </cell>
          <cell r="BE263" t="e">
            <v>#REF!</v>
          </cell>
          <cell r="BF263" t="e">
            <v>#REF!</v>
          </cell>
          <cell r="BG263" t="e">
            <v>#REF!</v>
          </cell>
          <cell r="BH263" t="e">
            <v>#REF!</v>
          </cell>
          <cell r="BI263" t="e">
            <v>#REF!</v>
          </cell>
        </row>
        <row r="277">
          <cell r="Z277">
            <v>8.5158983489470756</v>
          </cell>
          <cell r="AA277">
            <v>21.245877604589168</v>
          </cell>
          <cell r="AB277">
            <v>42.744596361507206</v>
          </cell>
          <cell r="AC277">
            <v>62.069569963655226</v>
          </cell>
          <cell r="AD277">
            <v>80.29422801652106</v>
          </cell>
          <cell r="AE277">
            <v>98.539180943280485</v>
          </cell>
          <cell r="AF277">
            <v>-534.32444589819647</v>
          </cell>
          <cell r="AG277">
            <v>-524.92473796790614</v>
          </cell>
          <cell r="AH277">
            <v>-514.50775995556648</v>
          </cell>
          <cell r="AI277">
            <v>-502.33814750475585</v>
          </cell>
          <cell r="AJ277">
            <v>-487.76146880691141</v>
          </cell>
          <cell r="AK277">
            <v>-470.27606182684156</v>
          </cell>
          <cell r="AL277" t="e">
            <v>#REF!</v>
          </cell>
          <cell r="AM277" t="e">
            <v>#REF!</v>
          </cell>
          <cell r="AN277" t="e">
            <v>#REF!</v>
          </cell>
          <cell r="AO277" t="e">
            <v>#REF!</v>
          </cell>
          <cell r="AP277" t="e">
            <v>#REF!</v>
          </cell>
        </row>
        <row r="278">
          <cell r="Z278">
            <v>1636.3606663482558</v>
          </cell>
          <cell r="AA278">
            <v>1804.6627329005378</v>
          </cell>
          <cell r="AB278">
            <v>1964.2502271976527</v>
          </cell>
          <cell r="AC278">
            <v>2101.6829383083468</v>
          </cell>
          <cell r="AD278">
            <v>2240.0700315078002</v>
          </cell>
          <cell r="AE278">
            <v>2359.8247602408019</v>
          </cell>
          <cell r="AF278">
            <v>-617.61186500296583</v>
          </cell>
          <cell r="AG278">
            <v>-566.36714361605721</v>
          </cell>
          <cell r="AH278">
            <v>-467.2098680950391</v>
          </cell>
          <cell r="AI278">
            <v>-354.14958835640641</v>
          </cell>
          <cell r="AJ278">
            <v>-265.84014855512243</v>
          </cell>
          <cell r="AK278">
            <v>-179.89094968445113</v>
          </cell>
          <cell r="AL278" t="e">
            <v>#REF!</v>
          </cell>
          <cell r="AM278" t="e">
            <v>#REF!</v>
          </cell>
          <cell r="AN278" t="e">
            <v>#REF!</v>
          </cell>
          <cell r="AO278" t="e">
            <v>#REF!</v>
          </cell>
          <cell r="AP278" t="e">
            <v>#REF!</v>
          </cell>
        </row>
        <row r="279">
          <cell r="Z279">
            <v>63.743872012651082</v>
          </cell>
          <cell r="AA279">
            <v>118.22361377343077</v>
          </cell>
          <cell r="AB279">
            <v>182.49927282764241</v>
          </cell>
          <cell r="AC279">
            <v>237.49458239765488</v>
          </cell>
          <cell r="AD279">
            <v>296.9116881913983</v>
          </cell>
          <cell r="AE279">
            <v>353.42770496361891</v>
          </cell>
          <cell r="AF279">
            <v>-183.66691812648068</v>
          </cell>
          <cell r="AG279">
            <v>-153.68301000123543</v>
          </cell>
          <cell r="AH279">
            <v>-125.36102369203969</v>
          </cell>
          <cell r="AI279">
            <v>-98.384836137838832</v>
          </cell>
          <cell r="AJ279">
            <v>-74.914292276107318</v>
          </cell>
          <cell r="AK279">
            <v>-54.709375285065128</v>
          </cell>
          <cell r="AL279" t="e">
            <v>#REF!</v>
          </cell>
          <cell r="AM279" t="e">
            <v>#REF!</v>
          </cell>
          <cell r="AN279" t="e">
            <v>#REF!</v>
          </cell>
          <cell r="AO279" t="e">
            <v>#REF!</v>
          </cell>
          <cell r="AP279" t="e">
            <v>#REF!</v>
          </cell>
        </row>
        <row r="280">
          <cell r="Z280">
            <v>27.462244593798147</v>
          </cell>
          <cell r="AA280">
            <v>40.821299656949776</v>
          </cell>
          <cell r="AB280">
            <v>57.499117702173777</v>
          </cell>
          <cell r="AC280">
            <v>75.359891156446949</v>
          </cell>
          <cell r="AD280">
            <v>93.155605625032905</v>
          </cell>
          <cell r="AE280">
            <v>108.66799999908235</v>
          </cell>
          <cell r="AF280">
            <v>-69.99002447167436</v>
          </cell>
          <cell r="AG280">
            <v>-68.699890214369091</v>
          </cell>
          <cell r="AH280">
            <v>-53.920313297183057</v>
          </cell>
          <cell r="AI280">
            <v>-38.969671137290177</v>
          </cell>
          <cell r="AJ280">
            <v>-24.610500826021429</v>
          </cell>
          <cell r="AK280">
            <v>-11.979929162039479</v>
          </cell>
          <cell r="AL280" t="e">
            <v>#REF!</v>
          </cell>
          <cell r="AM280" t="e">
            <v>#REF!</v>
          </cell>
          <cell r="AN280" t="e">
            <v>#REF!</v>
          </cell>
          <cell r="AO280" t="e">
            <v>#REF!</v>
          </cell>
          <cell r="AP280" t="e">
            <v>#REF!</v>
          </cell>
        </row>
        <row r="281">
          <cell r="Z281">
            <v>0.53433915803235266</v>
          </cell>
          <cell r="AA281">
            <v>0.73447668845091751</v>
          </cell>
          <cell r="AB281">
            <v>0.93110227128066736</v>
          </cell>
          <cell r="AC281">
            <v>1.1605488788633864</v>
          </cell>
          <cell r="AD281">
            <v>1.3296540426414163</v>
          </cell>
          <cell r="AE281">
            <v>1.5053489915630234</v>
          </cell>
          <cell r="AF281">
            <v>-3.3412526189044445</v>
          </cell>
          <cell r="AG281">
            <v>-3.1696956517310357</v>
          </cell>
          <cell r="AH281">
            <v>-2.9580161055697571</v>
          </cell>
          <cell r="AI281">
            <v>-2.7052666085266242</v>
          </cell>
          <cell r="AJ281">
            <v>-2.4006851649184595</v>
          </cell>
          <cell r="AK281">
            <v>-2.0310047067943242</v>
          </cell>
          <cell r="AL281" t="e">
            <v>#REF!</v>
          </cell>
          <cell r="AM281" t="e">
            <v>#REF!</v>
          </cell>
          <cell r="AN281" t="e">
            <v>#REF!</v>
          </cell>
          <cell r="AO281" t="e">
            <v>#REF!</v>
          </cell>
          <cell r="AP281" t="e">
            <v>#REF!</v>
          </cell>
        </row>
        <row r="282">
          <cell r="Z282">
            <v>54.158583521326591</v>
          </cell>
          <cell r="AA282">
            <v>79.589078282797004</v>
          </cell>
          <cell r="AB282">
            <v>109.14780648087071</v>
          </cell>
          <cell r="AC282">
            <v>143.21820353079528</v>
          </cell>
          <cell r="AD282">
            <v>188.30327931539256</v>
          </cell>
          <cell r="AE282">
            <v>235.61455391910977</v>
          </cell>
          <cell r="AF282">
            <v>-369.25277320626986</v>
          </cell>
          <cell r="AG282">
            <v>-346.87104211522103</v>
          </cell>
          <cell r="AH282">
            <v>-305.38655931187407</v>
          </cell>
          <cell r="AI282">
            <v>-257.51379013442204</v>
          </cell>
          <cell r="AJ282">
            <v>-206.34338712302593</v>
          </cell>
          <cell r="AK282">
            <v>-152.28109682570039</v>
          </cell>
          <cell r="AL282" t="e">
            <v>#REF!</v>
          </cell>
          <cell r="AM282" t="e">
            <v>#REF!</v>
          </cell>
          <cell r="AN282" t="e">
            <v>#REF!</v>
          </cell>
          <cell r="AO282" t="e">
            <v>#REF!</v>
          </cell>
          <cell r="AP282" t="e">
            <v>#REF!</v>
          </cell>
        </row>
        <row r="283">
          <cell r="Z283">
            <v>48.712412939348837</v>
          </cell>
          <cell r="AA283">
            <v>78.156160500046326</v>
          </cell>
          <cell r="AB283">
            <v>100.7243074092778</v>
          </cell>
          <cell r="AC283">
            <v>135.71242577791872</v>
          </cell>
          <cell r="AD283">
            <v>183.16474047181327</v>
          </cell>
          <cell r="AE283">
            <v>255.94705934640979</v>
          </cell>
          <cell r="AF283">
            <v>-671.8025215149479</v>
          </cell>
          <cell r="AG283">
            <v>-623.42612755756079</v>
          </cell>
          <cell r="AH283">
            <v>-567.30653789579583</v>
          </cell>
          <cell r="AI283">
            <v>-503.94543010797406</v>
          </cell>
          <cell r="AJ283">
            <v>-429.97547477152676</v>
          </cell>
          <cell r="AK283">
            <v>-345.37466446701063</v>
          </cell>
          <cell r="AL283" t="e">
            <v>#REF!</v>
          </cell>
          <cell r="AM283" t="e">
            <v>#REF!</v>
          </cell>
          <cell r="AN283" t="e">
            <v>#REF!</v>
          </cell>
          <cell r="AO283" t="e">
            <v>#REF!</v>
          </cell>
          <cell r="AP283" t="e">
            <v>#REF!</v>
          </cell>
        </row>
        <row r="284">
          <cell r="Z284">
            <v>66.789754708215128</v>
          </cell>
          <cell r="AA284">
            <v>107.2018415099642</v>
          </cell>
          <cell r="AB284">
            <v>158.22915439705025</v>
          </cell>
          <cell r="AC284">
            <v>214.40078802643075</v>
          </cell>
          <cell r="AD284">
            <v>271.3123526530361</v>
          </cell>
          <cell r="AE284">
            <v>336.51232648185749</v>
          </cell>
          <cell r="AF284">
            <v>-492.56720618679907</v>
          </cell>
          <cell r="AG284">
            <v>-452.42403799110696</v>
          </cell>
          <cell r="AH284">
            <v>-404.64191973272989</v>
          </cell>
          <cell r="AI284">
            <v>-351.52572225466065</v>
          </cell>
          <cell r="AJ284">
            <v>-290.68998918144513</v>
          </cell>
          <cell r="AK284">
            <v>-223.77679877034657</v>
          </cell>
          <cell r="AL284" t="e">
            <v>#REF!</v>
          </cell>
          <cell r="AM284" t="e">
            <v>#REF!</v>
          </cell>
          <cell r="AN284" t="e">
            <v>#REF!</v>
          </cell>
          <cell r="AO284" t="e">
            <v>#REF!</v>
          </cell>
          <cell r="AP284" t="e">
            <v>#REF!</v>
          </cell>
        </row>
        <row r="285">
          <cell r="Z285">
            <v>138.44842169928847</v>
          </cell>
          <cell r="AA285">
            <v>227.79977544991516</v>
          </cell>
          <cell r="AB285">
            <v>372.01844175776637</v>
          </cell>
          <cell r="AC285">
            <v>632.00978185743202</v>
          </cell>
          <cell r="AD285">
            <v>919.50464411134794</v>
          </cell>
          <cell r="AE285">
            <v>1254.0605717828794</v>
          </cell>
          <cell r="AF285">
            <v>-1570.5553858729511</v>
          </cell>
          <cell r="AG285">
            <v>-1439.2396566001958</v>
          </cell>
          <cell r="AH285">
            <v>-1281.6806902851813</v>
          </cell>
          <cell r="AI285">
            <v>-1107.815917904391</v>
          </cell>
          <cell r="AJ285">
            <v>-909.52963993932826</v>
          </cell>
          <cell r="AK285">
            <v>-695.4381175972062</v>
          </cell>
          <cell r="AL285" t="e">
            <v>#REF!</v>
          </cell>
          <cell r="AM285" t="e">
            <v>#REF!</v>
          </cell>
          <cell r="AN285" t="e">
            <v>#REF!</v>
          </cell>
          <cell r="AO285" t="e">
            <v>#REF!</v>
          </cell>
          <cell r="AP285" t="e">
            <v>#REF!</v>
          </cell>
        </row>
        <row r="286">
          <cell r="Z286">
            <v>26.462387727431235</v>
          </cell>
          <cell r="AA286">
            <v>50.227984703258812</v>
          </cell>
          <cell r="AB286">
            <v>80.909887040679052</v>
          </cell>
          <cell r="AC286">
            <v>120.36538887547215</v>
          </cell>
          <cell r="AD286">
            <v>162.99977172573028</v>
          </cell>
          <cell r="AE286">
            <v>208.49601346763018</v>
          </cell>
          <cell r="AF286">
            <v>-291.56255874533457</v>
          </cell>
          <cell r="AG286">
            <v>-268.59998220610299</v>
          </cell>
          <cell r="AH286">
            <v>-241.86590053634285</v>
          </cell>
          <cell r="AI286">
            <v>-210.86143634770414</v>
          </cell>
          <cell r="AJ286">
            <v>-175.6227272360772</v>
          </cell>
          <cell r="AK286">
            <v>-136.53087558390445</v>
          </cell>
          <cell r="AL286" t="e">
            <v>#REF!</v>
          </cell>
          <cell r="AM286" t="e">
            <v>#REF!</v>
          </cell>
          <cell r="AN286" t="e">
            <v>#REF!</v>
          </cell>
          <cell r="AO286" t="e">
            <v>#REF!</v>
          </cell>
          <cell r="AP286" t="e">
            <v>#REF!</v>
          </cell>
        </row>
        <row r="287">
          <cell r="Z287">
            <v>32.8462991980673</v>
          </cell>
          <cell r="AA287">
            <v>53.877568938997058</v>
          </cell>
          <cell r="AB287">
            <v>83.603648624701748</v>
          </cell>
          <cell r="AC287">
            <v>120.59947825421108</v>
          </cell>
          <cell r="AD287">
            <v>164.26904705714537</v>
          </cell>
          <cell r="AE287">
            <v>210.91425346679549</v>
          </cell>
          <cell r="AF287">
            <v>-203.64488491148052</v>
          </cell>
          <cell r="AG287">
            <v>-177.44695843176726</v>
          </cell>
          <cell r="AH287">
            <v>-149.94963322423393</v>
          </cell>
          <cell r="AI287">
            <v>-116.96753744783882</v>
          </cell>
          <cell r="AJ287">
            <v>-80.428196615652823</v>
          </cell>
          <cell r="AK287">
            <v>-43.444485251521471</v>
          </cell>
          <cell r="AL287" t="e">
            <v>#REF!</v>
          </cell>
          <cell r="AM287" t="e">
            <v>#REF!</v>
          </cell>
          <cell r="AN287" t="e">
            <v>#REF!</v>
          </cell>
          <cell r="AO287" t="e">
            <v>#REF!</v>
          </cell>
          <cell r="AP287" t="e">
            <v>#REF!</v>
          </cell>
        </row>
        <row r="288">
          <cell r="Z288">
            <v>-4.7898784245851687</v>
          </cell>
          <cell r="AA288">
            <v>-4.6029350772459452</v>
          </cell>
          <cell r="AB288">
            <v>3.47670755184879E-2</v>
          </cell>
          <cell r="AC288">
            <v>8.4455489891980164</v>
          </cell>
          <cell r="AD288">
            <v>27.000567937043627</v>
          </cell>
          <cell r="AE288">
            <v>47.787295001199936</v>
          </cell>
          <cell r="AF288">
            <v>-186.10357786598405</v>
          </cell>
          <cell r="AG288">
            <v>-169.06574808492047</v>
          </cell>
          <cell r="AH288">
            <v>-148.78670927593629</v>
          </cell>
          <cell r="AI288">
            <v>-126.27245416884017</v>
          </cell>
          <cell r="AJ288">
            <v>-101.92213451190447</v>
          </cell>
          <cell r="AK288">
            <v>-76.667174740452722</v>
          </cell>
          <cell r="AL288" t="e">
            <v>#REF!</v>
          </cell>
          <cell r="AM288" t="e">
            <v>#REF!</v>
          </cell>
          <cell r="AN288" t="e">
            <v>#REF!</v>
          </cell>
          <cell r="AO288" t="e">
            <v>#REF!</v>
          </cell>
          <cell r="AP288" t="e">
            <v>#REF!</v>
          </cell>
        </row>
        <row r="289">
          <cell r="Z289">
            <v>181.86496677408763</v>
          </cell>
          <cell r="AA289">
            <v>330.92709359302444</v>
          </cell>
          <cell r="AB289">
            <v>493.80126164716057</v>
          </cell>
          <cell r="AC289">
            <v>676.0112784479802</v>
          </cell>
          <cell r="AD289">
            <v>884.60118472790782</v>
          </cell>
          <cell r="AE289">
            <v>1103.8349568829608</v>
          </cell>
          <cell r="AF289">
            <v>-1188.8982614889162</v>
          </cell>
          <cell r="AG289">
            <v>-1061.5239741720195</v>
          </cell>
          <cell r="AH289">
            <v>-911.88636743718371</v>
          </cell>
          <cell r="AI289">
            <v>-749.31909106923433</v>
          </cell>
          <cell r="AJ289">
            <v>-579.91846537154447</v>
          </cell>
          <cell r="AK289">
            <v>-410.61351788251699</v>
          </cell>
          <cell r="AL289" t="e">
            <v>#REF!</v>
          </cell>
          <cell r="AM289" t="e">
            <v>#REF!</v>
          </cell>
          <cell r="AN289" t="e">
            <v>#REF!</v>
          </cell>
          <cell r="AO289" t="e">
            <v>#REF!</v>
          </cell>
          <cell r="AP289" t="e">
            <v>#REF!</v>
          </cell>
        </row>
        <row r="290">
          <cell r="Z290">
            <v>-13.230982165035044</v>
          </cell>
          <cell r="AA290">
            <v>-4.6286489514036475</v>
          </cell>
          <cell r="AB290">
            <v>8.8868199070507501</v>
          </cell>
          <cell r="AC290">
            <v>24.073783033586039</v>
          </cell>
          <cell r="AD290">
            <v>44.980698738606463</v>
          </cell>
          <cell r="AE290">
            <v>67.112887032513726</v>
          </cell>
          <cell r="AF290">
            <v>-193.19902723996196</v>
          </cell>
          <cell r="AG290">
            <v>-178.80828883277758</v>
          </cell>
          <cell r="AH290">
            <v>-161.32043330283338</v>
          </cell>
          <cell r="AI290">
            <v>-141.66335555130502</v>
          </cell>
          <cell r="AJ290">
            <v>-119.39183571586113</v>
          </cell>
          <cell r="AK290">
            <v>-94.584163584308385</v>
          </cell>
          <cell r="AL290" t="e">
            <v>#REF!</v>
          </cell>
          <cell r="AM290" t="e">
            <v>#REF!</v>
          </cell>
          <cell r="AN290" t="e">
            <v>#REF!</v>
          </cell>
          <cell r="AO290" t="e">
            <v>#REF!</v>
          </cell>
          <cell r="AP290" t="e">
            <v>#REF!</v>
          </cell>
        </row>
        <row r="291">
          <cell r="Z291">
            <v>191.78201716802278</v>
          </cell>
          <cell r="AA291">
            <v>401.26187324838725</v>
          </cell>
          <cell r="AB291">
            <v>632.30699935290977</v>
          </cell>
          <cell r="AC291">
            <v>870.67833263537545</v>
          </cell>
          <cell r="AD291">
            <v>1137.4432002761187</v>
          </cell>
          <cell r="AE291">
            <v>1427.8581702515046</v>
          </cell>
          <cell r="AF291">
            <v>-943.64929362109967</v>
          </cell>
          <cell r="AG291">
            <v>-830.73489153393609</v>
          </cell>
          <cell r="AH291">
            <v>-701.42726210981823</v>
          </cell>
          <cell r="AI291">
            <v>-562.79269129124987</v>
          </cell>
          <cell r="AJ291">
            <v>-422.13216213887392</v>
          </cell>
          <cell r="AK291">
            <v>-288.43902377424831</v>
          </cell>
          <cell r="AL291" t="e">
            <v>#REF!</v>
          </cell>
          <cell r="AM291" t="e">
            <v>#REF!</v>
          </cell>
          <cell r="AN291" t="e">
            <v>#REF!</v>
          </cell>
          <cell r="AO291" t="e">
            <v>#REF!</v>
          </cell>
          <cell r="AP291" t="e">
            <v>#REF!</v>
          </cell>
        </row>
        <row r="292">
          <cell r="Z292">
            <v>110.26607241334023</v>
          </cell>
          <cell r="AA292">
            <v>165.51016953266264</v>
          </cell>
          <cell r="AB292">
            <v>215.46833567435635</v>
          </cell>
          <cell r="AC292">
            <v>296.52261911941594</v>
          </cell>
          <cell r="AD292">
            <v>389.10348363799153</v>
          </cell>
          <cell r="AE292">
            <v>508.8938740870492</v>
          </cell>
          <cell r="AF292">
            <v>-667.95774046880103</v>
          </cell>
          <cell r="AG292">
            <v>-570.83811624053146</v>
          </cell>
          <cell r="AH292">
            <v>-461.16475719620928</v>
          </cell>
          <cell r="AI292">
            <v>-347.83401534763044</v>
          </cell>
          <cell r="AJ292">
            <v>-238.43306290269916</v>
          </cell>
          <cell r="AK292">
            <v>-140.08271905662914</v>
          </cell>
          <cell r="AL292" t="e">
            <v>#REF!</v>
          </cell>
          <cell r="AM292" t="e">
            <v>#REF!</v>
          </cell>
          <cell r="AN292" t="e">
            <v>#REF!</v>
          </cell>
          <cell r="AO292" t="e">
            <v>#REF!</v>
          </cell>
          <cell r="AP292" t="e">
            <v>#REF!</v>
          </cell>
        </row>
        <row r="293">
          <cell r="Z293">
            <v>223.82619542825682</v>
          </cell>
          <cell r="AA293">
            <v>379.38628649827479</v>
          </cell>
          <cell r="AB293">
            <v>533.31470986747513</v>
          </cell>
          <cell r="AC293">
            <v>709.60708570080487</v>
          </cell>
          <cell r="AD293">
            <v>912.80700246075435</v>
          </cell>
          <cell r="AE293">
            <v>1155.6838249536027</v>
          </cell>
          <cell r="AF293">
            <v>-1036.1840806466403</v>
          </cell>
          <cell r="AG293">
            <v>-911.83505285727881</v>
          </cell>
          <cell r="AH293">
            <v>-768.97454978119868</v>
          </cell>
          <cell r="AI293">
            <v>-614.20903960664805</v>
          </cell>
          <cell r="AJ293">
            <v>-454.78309125899267</v>
          </cell>
          <cell r="AK293">
            <v>-296.62699880100615</v>
          </cell>
          <cell r="AL293" t="e">
            <v>#REF!</v>
          </cell>
          <cell r="AM293" t="e">
            <v>#REF!</v>
          </cell>
          <cell r="AN293" t="e">
            <v>#REF!</v>
          </cell>
          <cell r="AO293" t="e">
            <v>#REF!</v>
          </cell>
          <cell r="AP293" t="e">
            <v>#REF!</v>
          </cell>
        </row>
        <row r="294">
          <cell r="Z294">
            <v>1032.479528891246</v>
          </cell>
          <cell r="AA294">
            <v>1499.4660979232035</v>
          </cell>
          <cell r="AB294">
            <v>1988.3668277658062</v>
          </cell>
          <cell r="AC294">
            <v>2567.610074708904</v>
          </cell>
          <cell r="AD294">
            <v>3164.9204977384534</v>
          </cell>
          <cell r="AE294">
            <v>3770.7152190030661</v>
          </cell>
          <cell r="AF294">
            <v>-1516.2234182850457</v>
          </cell>
          <cell r="AG294">
            <v>-1156.9168808155214</v>
          </cell>
          <cell r="AH294">
            <v>-780.47142368507195</v>
          </cell>
          <cell r="AI294">
            <v>-423.00793994394695</v>
          </cell>
          <cell r="AJ294">
            <v>-123.88570117059862</v>
          </cell>
          <cell r="AK294">
            <v>110.24192606439087</v>
          </cell>
          <cell r="AL294" t="e">
            <v>#REF!</v>
          </cell>
          <cell r="AM294" t="e">
            <v>#REF!</v>
          </cell>
          <cell r="AN294" t="e">
            <v>#REF!</v>
          </cell>
          <cell r="AO294" t="e">
            <v>#REF!</v>
          </cell>
          <cell r="AP294" t="e">
            <v>#REF!</v>
          </cell>
        </row>
        <row r="295">
          <cell r="Z295">
            <v>45.079794150043867</v>
          </cell>
          <cell r="AA295">
            <v>60.745873577401284</v>
          </cell>
          <cell r="AB295">
            <v>75.954268116543446</v>
          </cell>
          <cell r="AC295">
            <v>92.749727055062621</v>
          </cell>
          <cell r="AD295">
            <v>113.61950601986238</v>
          </cell>
          <cell r="AE295">
            <v>135.20257595692709</v>
          </cell>
          <cell r="AF295">
            <v>-65.153596689925578</v>
          </cell>
          <cell r="AG295">
            <v>-52.927954870733622</v>
          </cell>
          <cell r="AH295">
            <v>-39.736536365469753</v>
          </cell>
          <cell r="AI295">
            <v>-26.515654098364823</v>
          </cell>
          <cell r="AJ295">
            <v>-14.330142812801874</v>
          </cell>
          <cell r="AK295">
            <v>-3.9326447413962384</v>
          </cell>
          <cell r="AL295" t="e">
            <v>#REF!</v>
          </cell>
          <cell r="AM295" t="e">
            <v>#REF!</v>
          </cell>
          <cell r="AN295" t="e">
            <v>#REF!</v>
          </cell>
          <cell r="AO295" t="e">
            <v>#REF!</v>
          </cell>
          <cell r="AP295" t="e">
            <v>#REF!</v>
          </cell>
        </row>
        <row r="296">
          <cell r="Z296">
            <v>141.1039700367686</v>
          </cell>
          <cell r="AA296">
            <v>224.32321813420754</v>
          </cell>
          <cell r="AB296">
            <v>316.68404186367934</v>
          </cell>
          <cell r="AC296">
            <v>420.66922438207553</v>
          </cell>
          <cell r="AD296">
            <v>524.06330160383573</v>
          </cell>
          <cell r="AE296">
            <v>625.90708529566757</v>
          </cell>
          <cell r="AF296">
            <v>-347.65116559502542</v>
          </cell>
          <cell r="AG296">
            <v>-278.72992140657806</v>
          </cell>
          <cell r="AH296">
            <v>-207.00538987847568</v>
          </cell>
          <cell r="AI296">
            <v>-139.77515138200206</v>
          </cell>
          <cell r="AJ296">
            <v>-83.637104307170148</v>
          </cell>
          <cell r="AK296">
            <v>-42.492197962956467</v>
          </cell>
          <cell r="AL296" t="e">
            <v>#REF!</v>
          </cell>
          <cell r="AM296" t="e">
            <v>#REF!</v>
          </cell>
          <cell r="AN296" t="e">
            <v>#REF!</v>
          </cell>
          <cell r="AO296" t="e">
            <v>#REF!</v>
          </cell>
          <cell r="AP296" t="e">
            <v>#REF!</v>
          </cell>
        </row>
        <row r="297">
          <cell r="Z297">
            <v>15.738081247926175</v>
          </cell>
          <cell r="AA297">
            <v>55.549073985646999</v>
          </cell>
          <cell r="AB297">
            <v>97.999277887488347</v>
          </cell>
          <cell r="AC297">
            <v>148.70132727381525</v>
          </cell>
          <cell r="AD297">
            <v>200.89534858817944</v>
          </cell>
          <cell r="AE297">
            <v>262.6101153651075</v>
          </cell>
          <cell r="AF297">
            <v>-295.94209730880368</v>
          </cell>
          <cell r="AG297">
            <v>-264.02839725508068</v>
          </cell>
          <cell r="AH297">
            <v>-227.0864652966242</v>
          </cell>
          <cell r="AI297">
            <v>-186.92967911621503</v>
          </cell>
          <cell r="AJ297">
            <v>-145.0264421959476</v>
          </cell>
          <cell r="AK297">
            <v>-103.42562473036466</v>
          </cell>
          <cell r="AL297" t="e">
            <v>#REF!</v>
          </cell>
          <cell r="AM297" t="e">
            <v>#REF!</v>
          </cell>
          <cell r="AN297" t="e">
            <v>#REF!</v>
          </cell>
          <cell r="AO297" t="e">
            <v>#REF!</v>
          </cell>
          <cell r="AP297" t="e">
            <v>#REF!</v>
          </cell>
        </row>
        <row r="298">
          <cell r="Z298">
            <v>238.20816742245711</v>
          </cell>
          <cell r="AA298">
            <v>381.58711193132649</v>
          </cell>
          <cell r="AB298">
            <v>535.10052815683935</v>
          </cell>
          <cell r="AC298">
            <v>698.08824984871967</v>
          </cell>
          <cell r="AD298">
            <v>865.49722763434988</v>
          </cell>
          <cell r="AE298">
            <v>1036.3942266986121</v>
          </cell>
          <cell r="AF298">
            <v>-697.19802073107428</v>
          </cell>
          <cell r="AG298">
            <v>-592.66654975208451</v>
          </cell>
          <cell r="AH298">
            <v>-474.95424358126718</v>
          </cell>
          <cell r="AI298">
            <v>-355.23645895843163</v>
          </cell>
          <cell r="AJ298">
            <v>-240.62144617054767</v>
          </cell>
          <cell r="AK298">
            <v>-140.59624664673498</v>
          </cell>
          <cell r="AL298" t="e">
            <v>#REF!</v>
          </cell>
          <cell r="AM298" t="e">
            <v>#REF!</v>
          </cell>
          <cell r="AN298" t="e">
            <v>#REF!</v>
          </cell>
          <cell r="AO298" t="e">
            <v>#REF!</v>
          </cell>
          <cell r="AP298" t="e">
            <v>#REF!</v>
          </cell>
        </row>
        <row r="299">
          <cell r="Z299">
            <v>21.270022343339804</v>
          </cell>
          <cell r="AA299">
            <v>45.613014173641147</v>
          </cell>
          <cell r="AB299">
            <v>68.590731952127811</v>
          </cell>
          <cell r="AC299">
            <v>92.805841396198758</v>
          </cell>
          <cell r="AD299">
            <v>121.22697416483618</v>
          </cell>
          <cell r="AE299">
            <v>163.90988710853929</v>
          </cell>
          <cell r="AF299">
            <v>-180.31413895496021</v>
          </cell>
          <cell r="AG299">
            <v>-152.73480364476569</v>
          </cell>
          <cell r="AH299">
            <v>-120.5754569803249</v>
          </cell>
          <cell r="AI299">
            <v>-88.69173679715297</v>
          </cell>
          <cell r="AJ299">
            <v>-56.998384357601736</v>
          </cell>
          <cell r="AK299">
            <v>-28.437918261917048</v>
          </cell>
          <cell r="AL299" t="e">
            <v>#REF!</v>
          </cell>
          <cell r="AM299" t="e">
            <v>#REF!</v>
          </cell>
          <cell r="AN299" t="e">
            <v>#REF!</v>
          </cell>
          <cell r="AO299" t="e">
            <v>#REF!</v>
          </cell>
          <cell r="AP299" t="e">
            <v>#REF!</v>
          </cell>
        </row>
        <row r="305">
          <cell r="F305">
            <v>17.784863767888599</v>
          </cell>
          <cell r="G305">
            <v>17.696725104532462</v>
          </cell>
          <cell r="H305">
            <v>17.609023240922426</v>
          </cell>
          <cell r="I305">
            <v>17.52175601235561</v>
          </cell>
          <cell r="J305">
            <v>17.426261493956673</v>
          </cell>
          <cell r="K305">
            <v>17.322679128959557</v>
          </cell>
          <cell r="L305">
            <v>17.211159582908031</v>
          </cell>
          <cell r="M305">
            <v>17.09186437855135</v>
          </cell>
          <cell r="N305">
            <v>16.964965506125449</v>
          </cell>
          <cell r="O305">
            <v>16.830645010335544</v>
          </cell>
          <cell r="P305">
            <v>16.689094555427687</v>
          </cell>
          <cell r="Q305">
            <v>16.540514969803006</v>
          </cell>
          <cell r="R305">
            <v>16.385115771687776</v>
          </cell>
          <cell r="S305">
            <v>16.223114677425958</v>
          </cell>
          <cell r="T305">
            <v>16.054737094007152</v>
          </cell>
          <cell r="U305">
            <v>15.880215597482925</v>
          </cell>
          <cell r="V305">
            <v>15.699789398957215</v>
          </cell>
          <cell r="W305">
            <v>15.513703799862437</v>
          </cell>
          <cell r="X305">
            <v>0.47882842736883524</v>
          </cell>
        </row>
        <row r="306">
          <cell r="F306">
            <v>822.01088964293388</v>
          </cell>
          <cell r="G306">
            <v>793.01668092002194</v>
          </cell>
          <cell r="H306">
            <v>765.04516441452461</v>
          </cell>
          <cell r="I306">
            <v>738.06026742718109</v>
          </cell>
          <cell r="J306">
            <v>709.47492894811671</v>
          </cell>
          <cell r="K306">
            <v>679.55209440625288</v>
          </cell>
          <cell r="L306">
            <v>648.55816707615452</v>
          </cell>
          <cell r="M306">
            <v>616.75912710385933</v>
          </cell>
          <cell r="N306">
            <v>584.41682804103107</v>
          </cell>
          <cell r="O306">
            <v>551.78554046613272</v>
          </cell>
          <cell r="P306">
            <v>519.10880294951869</v>
          </cell>
          <cell r="Q306">
            <v>486.6166300737479</v>
          </cell>
          <cell r="R306">
            <v>454.52311584318915</v>
          </cell>
          <cell r="S306">
            <v>423.02445900869066</v>
          </cell>
          <cell r="T306">
            <v>392.29742498691149</v>
          </cell>
          <cell r="U306">
            <v>362.49824754117583</v>
          </cell>
          <cell r="V306">
            <v>333.7619625480063</v>
          </cell>
          <cell r="W306">
            <v>306.20215629217245</v>
          </cell>
          <cell r="X306">
            <v>1.990680034736596</v>
          </cell>
        </row>
        <row r="307">
          <cell r="F307">
            <v>8.1714063265163652</v>
          </cell>
          <cell r="G307">
            <v>7.9854225728379218</v>
          </cell>
          <cell r="H307">
            <v>7.8036718673338266</v>
          </cell>
          <cell r="I307">
            <v>7.6260578645088861</v>
          </cell>
          <cell r="J307">
            <v>7.4353480460219297</v>
          </cell>
          <cell r="K307">
            <v>7.2327360845728492</v>
          </cell>
          <cell r="L307">
            <v>7.0194655017155467</v>
          </cell>
          <cell r="M307">
            <v>6.7968170346229249</v>
          </cell>
          <cell r="N307">
            <v>6.5660959394814995</v>
          </cell>
          <cell r="O307">
            <v>6.3286194057469913</v>
          </cell>
          <cell r="P307">
            <v>6.0857042484130801</v>
          </cell>
          <cell r="Q307">
            <v>5.8386550355705946</v>
          </cell>
          <cell r="R307">
            <v>5.5887527961561378</v>
          </cell>
          <cell r="S307">
            <v>5.3372444382459108</v>
          </cell>
          <cell r="T307">
            <v>5.0853329919177552</v>
          </cell>
          <cell r="U307">
            <v>4.8341687729830367</v>
          </cell>
          <cell r="V307">
            <v>4.5848415451960829</v>
          </cell>
          <cell r="W307">
            <v>4.3383737393024377</v>
          </cell>
          <cell r="X307">
            <v>7.8008447341311413</v>
          </cell>
        </row>
        <row r="308">
          <cell r="F308">
            <v>13.933507560684925</v>
          </cell>
          <cell r="G308">
            <v>13.278510680173641</v>
          </cell>
          <cell r="H308">
            <v>12.654304389297522</v>
          </cell>
          <cell r="I308">
            <v>12.059441260689676</v>
          </cell>
          <cell r="J308">
            <v>11.437338826300632</v>
          </cell>
          <cell r="K308">
            <v>10.795224504833818</v>
          </cell>
          <cell r="L308">
            <v>10.140217284836069</v>
          </cell>
          <cell r="M308">
            <v>9.4792010517831429</v>
          </cell>
          <cell r="N308">
            <v>8.8187107691868558</v>
          </cell>
          <cell r="O308">
            <v>8.1648339066931683</v>
          </cell>
          <cell r="P308">
            <v>7.5231288633363338</v>
          </cell>
          <cell r="Q308">
            <v>6.898561466528724</v>
          </cell>
          <cell r="R308">
            <v>6.2954599662643949</v>
          </cell>
          <cell r="S308">
            <v>5.7174883163324823</v>
          </cell>
          <cell r="T308">
            <v>5.1676369634838437</v>
          </cell>
          <cell r="U308">
            <v>4.6482298704425444</v>
          </cell>
          <cell r="V308">
            <v>4.1609460933376754</v>
          </cell>
          <cell r="W308">
            <v>3.7068539271770056</v>
          </cell>
          <cell r="X308">
            <v>1.9709498469205404</v>
          </cell>
        </row>
        <row r="309">
          <cell r="F309">
            <v>1.9603954287797944</v>
          </cell>
          <cell r="G309">
            <v>1.9347202180637384</v>
          </cell>
          <cell r="H309">
            <v>1.9093812744270868</v>
          </cell>
          <cell r="I309">
            <v>1.8843741937950322</v>
          </cell>
          <cell r="J309">
            <v>1.8572445211503499</v>
          </cell>
          <cell r="K309">
            <v>1.8280937867831641</v>
          </cell>
          <cell r="L309">
            <v>1.7970299208121103</v>
          </cell>
          <cell r="M309">
            <v>1.7641665886551283</v>
          </cell>
          <cell r="N309">
            <v>1.729622499904923</v>
          </cell>
          <cell r="O309">
            <v>1.6935206964732812</v>
          </cell>
          <cell r="P309">
            <v>1.6559878259544001</v>
          </cell>
          <cell r="Q309">
            <v>1.6171534061796686</v>
          </cell>
          <cell r="R309">
            <v>1.5771490868959837</v>
          </cell>
          <cell r="S309">
            <v>1.5361079143983398</v>
          </cell>
          <cell r="T309">
            <v>1.494163604787647</v>
          </cell>
          <cell r="U309">
            <v>1.4514498313096851</v>
          </cell>
          <cell r="V309">
            <v>1.4080995309646664</v>
          </cell>
          <cell r="W309">
            <v>1.3642442352634325</v>
          </cell>
          <cell r="X309">
            <v>0.27256702917581299</v>
          </cell>
        </row>
        <row r="310">
          <cell r="F310">
            <v>21.18956281379652</v>
          </cell>
          <cell r="G310">
            <v>20.597522539873239</v>
          </cell>
          <cell r="H310">
            <v>20.022023979860112</v>
          </cell>
          <cell r="I310">
            <v>19.462604955234607</v>
          </cell>
          <cell r="J310">
            <v>18.865280069976347</v>
          </cell>
          <cell r="K310">
            <v>18.234541411048646</v>
          </cell>
          <cell r="L310">
            <v>17.575016160721233</v>
          </cell>
          <cell r="M310">
            <v>16.891410624462182</v>
          </cell>
          <cell r="N310">
            <v>16.188455105896672</v>
          </cell>
          <cell r="O310">
            <v>15.47085051566664</v>
          </cell>
          <cell r="P310">
            <v>14.743217534166451</v>
          </cell>
          <cell r="Q310">
            <v>14.010049065713206</v>
          </cell>
          <cell r="R310">
            <v>13.27566662641239</v>
          </cell>
          <cell r="S310">
            <v>12.544181202718891</v>
          </cell>
          <cell r="T310">
            <v>11.81945900553646</v>
          </cell>
          <cell r="U310">
            <v>11.105092428755915</v>
          </cell>
          <cell r="V310">
            <v>10.404376404465307</v>
          </cell>
          <cell r="W310">
            <v>9.7202902325947456</v>
          </cell>
          <cell r="X310">
            <v>2.5559084912343706</v>
          </cell>
        </row>
        <row r="311">
          <cell r="F311">
            <v>16.048849273874467</v>
          </cell>
          <cell r="G311">
            <v>15.737910963452563</v>
          </cell>
          <cell r="H311">
            <v>15.43299692500419</v>
          </cell>
          <cell r="I311">
            <v>15.13399044131698</v>
          </cell>
          <cell r="J311">
            <v>14.811769998320212</v>
          </cell>
          <cell r="K311">
            <v>14.468076032075125</v>
          </cell>
          <cell r="L311">
            <v>14.104734763737305</v>
          </cell>
          <cell r="M311">
            <v>13.723642105588784</v>
          </cell>
          <cell r="N311">
            <v>13.326747283301538</v>
          </cell>
          <cell r="O311">
            <v>12.91603637098291</v>
          </cell>
          <cell r="P311">
            <v>12.493515931611896</v>
          </cell>
          <cell r="Q311">
            <v>12.061196948674219</v>
          </cell>
          <cell r="R311">
            <v>11.621079225341825</v>
          </cell>
          <cell r="S311">
            <v>11.175136415661083</v>
          </cell>
          <cell r="T311">
            <v>10.725301838196248</v>
          </cell>
          <cell r="U311">
            <v>10.273455206733885</v>
          </cell>
          <cell r="V311">
            <v>9.8214103953279164</v>
          </cell>
          <cell r="W311">
            <v>9.3709043365078379</v>
          </cell>
          <cell r="X311">
            <v>3.0352589215630927</v>
          </cell>
        </row>
        <row r="312">
          <cell r="F312">
            <v>22.539930897508167</v>
          </cell>
          <cell r="G312">
            <v>22.057315036138611</v>
          </cell>
          <cell r="H312">
            <v>21.585032749911967</v>
          </cell>
          <cell r="I312">
            <v>21.122862780507116</v>
          </cell>
          <cell r="J312">
            <v>20.625897261348232</v>
          </cell>
          <cell r="K312">
            <v>20.097078513410985</v>
          </cell>
          <cell r="L312">
            <v>19.539480585257536</v>
          </cell>
          <cell r="M312">
            <v>18.956279649067554</v>
          </cell>
          <cell r="N312">
            <v>18.350724097943719</v>
          </cell>
          <cell r="O312">
            <v>17.726104734799176</v>
          </cell>
          <cell r="P312">
            <v>17.085725430545011</v>
          </cell>
          <cell r="Q312">
            <v>16.432874610658899</v>
          </cell>
          <cell r="R312">
            <v>15.770797905074541</v>
          </cell>
          <cell r="S312">
            <v>15.102672267327597</v>
          </cell>
          <cell r="T312">
            <v>14.431581835750638</v>
          </cell>
          <cell r="U312">
            <v>13.760495773012819</v>
          </cell>
          <cell r="V312">
            <v>13.092248281274841</v>
          </cell>
          <cell r="W312">
            <v>12.4295209495229</v>
          </cell>
          <cell r="X312">
            <v>2.9631747768844696</v>
          </cell>
        </row>
        <row r="313">
          <cell r="F313">
            <v>45.390795290396547</v>
          </cell>
          <cell r="G313">
            <v>44.33276305555701</v>
          </cell>
          <cell r="H313">
            <v>43.299392918017112</v>
          </cell>
          <cell r="I313">
            <v>42.290110019069154</v>
          </cell>
          <cell r="J313">
            <v>41.207049881511487</v>
          </cell>
          <cell r="K313">
            <v>40.057139468923651</v>
          </cell>
          <cell r="L313">
            <v>38.847586508192563</v>
          </cell>
          <cell r="M313">
            <v>37.585804732905515</v>
          </cell>
          <cell r="N313">
            <v>36.279338907644906</v>
          </cell>
          <cell r="O313">
            <v>34.935790682043887</v>
          </cell>
          <cell r="P313">
            <v>33.562746277192645</v>
          </cell>
          <cell r="Q313">
            <v>32.167706943669728</v>
          </cell>
          <cell r="R313">
            <v>30.758023051999245</v>
          </cell>
          <cell r="S313">
            <v>29.340832584876885</v>
          </cell>
          <cell r="T313">
            <v>27.923004698456346</v>
          </cell>
          <cell r="U313">
            <v>26.511088909885363</v>
          </cell>
          <cell r="V313">
            <v>25.111270352748253</v>
          </cell>
          <cell r="W313">
            <v>23.729331423742245</v>
          </cell>
          <cell r="X313">
            <v>3.0501431141168038</v>
          </cell>
        </row>
        <row r="314">
          <cell r="F314">
            <v>8.3413370614546594</v>
          </cell>
          <cell r="G314">
            <v>8.1691130161721439</v>
          </cell>
          <cell r="H314">
            <v>8.0004448902290513</v>
          </cell>
          <cell r="I314">
            <v>7.8352592643631196</v>
          </cell>
          <cell r="J314">
            <v>7.6574915912890198</v>
          </cell>
          <cell r="K314">
            <v>7.4681599155390295</v>
          </cell>
          <cell r="L314">
            <v>7.268329589861187</v>
          </cell>
          <cell r="M314">
            <v>7.0591033396809069</v>
          </cell>
          <cell r="N314">
            <v>6.8416111990160973</v>
          </cell>
          <cell r="O314">
            <v>6.6170004452913922</v>
          </cell>
          <cell r="P314">
            <v>6.386425656977698</v>
          </cell>
          <cell r="Q314">
            <v>6.1510390125324825</v>
          </cell>
          <cell r="R314">
            <v>5.9119809418921516</v>
          </cell>
          <cell r="S314">
            <v>5.6703712329596403</v>
          </cell>
          <cell r="T314">
            <v>5.4273006853538197</v>
          </cell>
          <cell r="U314">
            <v>5.1838233923782511</v>
          </cell>
          <cell r="V314">
            <v>4.9409497199758059</v>
          </cell>
          <cell r="W314">
            <v>4.6996400386213448</v>
          </cell>
          <cell r="X314">
            <v>3.1724395660395981</v>
          </cell>
        </row>
        <row r="315">
          <cell r="F315">
            <v>7.6489632326466053</v>
          </cell>
          <cell r="G315">
            <v>7.4491463730973679</v>
          </cell>
          <cell r="H315">
            <v>7.2545494075580415</v>
          </cell>
          <cell r="I315">
            <v>7.0650359746948705</v>
          </cell>
          <cell r="J315">
            <v>6.8622842870466103</v>
          </cell>
          <cell r="K315">
            <v>6.6477308481134969</v>
          </cell>
          <cell r="L315">
            <v>6.4228612858648786</v>
          </cell>
          <cell r="M315">
            <v>6.1891933656267177</v>
          </cell>
          <cell r="N315">
            <v>5.9482601378646871</v>
          </cell>
          <cell r="O315">
            <v>5.7015934786596798</v>
          </cell>
          <cell r="P315">
            <v>5.4507082645119542</v>
          </cell>
          <cell r="Q315">
            <v>5.1970874025316709</v>
          </cell>
          <cell r="R315">
            <v>4.9421679127223639</v>
          </cell>
          <cell r="S315">
            <v>4.6873282316572045</v>
          </cell>
          <cell r="T315">
            <v>4.4338768771523958</v>
          </cell>
          <cell r="U315">
            <v>4.1830425823495352</v>
          </cell>
          <cell r="V315">
            <v>3.9359659757229073</v>
          </cell>
          <cell r="W315">
            <v>3.693692851701313</v>
          </cell>
          <cell r="X315">
            <v>4.2942158563236035</v>
          </cell>
        </row>
        <row r="316">
          <cell r="F316">
            <v>0.2</v>
          </cell>
          <cell r="G316">
            <v>0.19434399285942605</v>
          </cell>
          <cell r="H316">
            <v>0.18884793780272319</v>
          </cell>
          <cell r="I316">
            <v>0.18350731137924883</v>
          </cell>
          <cell r="J316">
            <v>0.1778069000509987</v>
          </cell>
          <cell r="K316">
            <v>0.1717900321757363</v>
          </cell>
          <cell r="L316">
            <v>0.16550130562307941</v>
          </cell>
          <cell r="M316">
            <v>0.15898604287367035</v>
          </cell>
          <cell r="N316">
            <v>0.15228975510655626</v>
          </cell>
          <cell r="O316">
            <v>0.14545762397292133</v>
          </cell>
          <cell r="P316">
            <v>0.13853400907729183</v>
          </cell>
          <cell r="Q316">
            <v>0.13156198835719662</v>
          </cell>
          <cell r="R316">
            <v>0.12458293759614598</v>
          </cell>
          <cell r="S316">
            <v>0.1176361542521876</v>
          </cell>
          <cell r="T316">
            <v>0.11075852966608866</v>
          </cell>
          <cell r="U316">
            <v>0.10398427256061711</v>
          </cell>
          <cell r="V316">
            <v>9.7344685586075036E-2</v>
          </cell>
          <cell r="W316">
            <v>9.0867995536284885E-2</v>
          </cell>
          <cell r="X316">
            <v>6.0602414813269059</v>
          </cell>
        </row>
        <row r="317">
          <cell r="F317">
            <v>40.218777242969651</v>
          </cell>
          <cell r="G317">
            <v>38.900996522839385</v>
          </cell>
          <cell r="H317">
            <v>37.626393297038597</v>
          </cell>
          <cell r="I317">
            <v>36.393552841563448</v>
          </cell>
          <cell r="J317">
            <v>35.084032536252757</v>
          </cell>
          <cell r="K317">
            <v>33.70914536271988</v>
          </cell>
          <cell r="L317">
            <v>32.280419135225252</v>
          </cell>
          <cell r="M317">
            <v>30.809437877571806</v>
          </cell>
          <cell r="N317">
            <v>29.307688746759208</v>
          </cell>
          <cell r="O317">
            <v>27.786417252467121</v>
          </cell>
          <cell r="P317">
            <v>26.256493212375258</v>
          </cell>
          <cell r="Q317">
            <v>24.728289525076288</v>
          </cell>
          <cell r="R317">
            <v>23.211575447645679</v>
          </cell>
          <cell r="S317">
            <v>21.715425647100396</v>
          </cell>
          <cell r="T317">
            <v>20.248145867369399</v>
          </cell>
          <cell r="U317">
            <v>18.817215628953594</v>
          </cell>
          <cell r="V317">
            <v>17.429247969261784</v>
          </cell>
          <cell r="W317">
            <v>16.089965848531467</v>
          </cell>
          <cell r="X317">
            <v>4.5218919927725576</v>
          </cell>
        </row>
        <row r="318">
          <cell r="F318">
            <v>-3.815065395680143</v>
          </cell>
          <cell r="G318">
            <v>-3.7371525388675257</v>
          </cell>
          <cell r="H318">
            <v>-3.6608308509149694</v>
          </cell>
          <cell r="I318">
            <v>-3.586067836308322</v>
          </cell>
          <cell r="J318">
            <v>-3.5055908160787324</v>
          </cell>
          <cell r="K318">
            <v>-3.4198560663957398</v>
          </cell>
          <cell r="L318">
            <v>-3.3293412939430418</v>
          </cell>
          <cell r="M318">
            <v>-3.2345412237874331</v>
          </cell>
          <cell r="N318">
            <v>-3.1359631264895165</v>
          </cell>
          <cell r="O318">
            <v>-3.0341223405810878</v>
          </cell>
          <cell r="P318">
            <v>-2.9295378450599774</v>
          </cell>
          <cell r="Q318">
            <v>-2.8227279342341935</v>
          </cell>
          <cell r="R318">
            <v>-2.7142060441507794</v>
          </cell>
          <cell r="S318">
            <v>-2.6044767760516025</v>
          </cell>
          <cell r="T318">
            <v>-2.4940321579006794</v>
          </cell>
          <cell r="U318">
            <v>-2.3833481801269936</v>
          </cell>
          <cell r="V318">
            <v>-2.2728816364308635</v>
          </cell>
          <cell r="W318">
            <v>-2.163067294922425</v>
          </cell>
          <cell r="X318">
            <v>3.4680879074882145</v>
          </cell>
        </row>
        <row r="319">
          <cell r="F319">
            <v>32.929073177864261</v>
          </cell>
          <cell r="G319">
            <v>31.695901657354572</v>
          </cell>
          <cell r="H319">
            <v>30.508911576291478</v>
          </cell>
          <cell r="I319">
            <v>29.366373471000319</v>
          </cell>
          <cell r="J319">
            <v>28.158938644819813</v>
          </cell>
          <cell r="K319">
            <v>26.89828592201938</v>
          </cell>
          <cell r="L319">
            <v>25.596187936140698</v>
          </cell>
          <cell r="M319">
            <v>24.264331748481794</v>
          </cell>
          <cell r="N319">
            <v>22.914149400309892</v>
          </cell>
          <cell r="O319">
            <v>21.556661689241214</v>
          </cell>
          <cell r="P319">
            <v>20.202337952572911</v>
          </cell>
          <cell r="Q319">
            <v>18.860974076747084</v>
          </cell>
          <cell r="R319">
            <v>17.541590354296911</v>
          </cell>
          <cell r="S319">
            <v>16.25235019935301</v>
          </cell>
          <cell r="T319">
            <v>15.000500131028799</v>
          </cell>
          <cell r="U319">
            <v>13.792330860086111</v>
          </cell>
          <cell r="V319">
            <v>12.633158785235949</v>
          </cell>
          <cell r="W319">
            <v>11.527326735455325</v>
          </cell>
          <cell r="X319">
            <v>5.824093989287964</v>
          </cell>
        </row>
        <row r="320">
          <cell r="F320">
            <v>42.054399973030826</v>
          </cell>
          <cell r="G320">
            <v>40.172688508975639</v>
          </cell>
          <cell r="H320">
            <v>38.375173657789198</v>
          </cell>
          <cell r="I320">
            <v>36.658088067380611</v>
          </cell>
          <cell r="J320">
            <v>34.857899410434811</v>
          </cell>
          <cell r="K320">
            <v>32.994728574003666</v>
          </cell>
          <cell r="L320">
            <v>31.088506107178947</v>
          </cell>
          <cell r="M320">
            <v>29.158628481900386</v>
          </cell>
          <cell r="N320">
            <v>27.223645267150676</v>
          </cell>
          <cell r="O320">
            <v>25.300983735286493</v>
          </cell>
          <cell r="P320">
            <v>23.406715872991928</v>
          </cell>
          <cell r="Q320">
            <v>21.555371143515373</v>
          </cell>
          <cell r="R320">
            <v>19.759796710905611</v>
          </cell>
          <cell r="S320">
            <v>18.031065256189549</v>
          </cell>
          <cell r="T320">
            <v>16.378429048116278</v>
          </cell>
          <cell r="U320">
            <v>14.809317626207639</v>
          </cell>
          <cell r="V320">
            <v>13.32937534943961</v>
          </cell>
          <cell r="W320">
            <v>11.942534186091162</v>
          </cell>
          <cell r="X320">
            <v>2.6219865812864538</v>
          </cell>
        </row>
        <row r="321">
          <cell r="F321">
            <v>450.65981615845726</v>
          </cell>
          <cell r="G321">
            <v>435.57483340816873</v>
          </cell>
          <cell r="H321">
            <v>420.99479184947847</v>
          </cell>
          <cell r="I321">
            <v>406.90278953352822</v>
          </cell>
          <cell r="J321">
            <v>391.94579148595585</v>
          </cell>
          <cell r="K321">
            <v>376.25539718240628</v>
          </cell>
          <cell r="L321">
            <v>359.96548895661999</v>
          </cell>
          <cell r="M321">
            <v>343.21035869831502</v>
          </cell>
          <cell r="N321">
            <v>326.12290568896555</v>
          </cell>
          <cell r="O321">
            <v>308.83293838084069</v>
          </cell>
          <cell r="P321">
            <v>291.4656090428644</v>
          </cell>
          <cell r="Q321">
            <v>274.14000572967984</v>
          </cell>
          <cell r="R321">
            <v>256.96792113873204</v>
          </cell>
          <cell r="S321">
            <v>240.05281277120923</v>
          </cell>
          <cell r="T321">
            <v>223.48896357293052</v>
          </cell>
          <cell r="U321">
            <v>207.36084706103051</v>
          </cell>
          <cell r="V321">
            <v>191.74269599004418</v>
          </cell>
          <cell r="W321">
            <v>176.69826900882722</v>
          </cell>
          <cell r="X321">
            <v>0.49666330878179943</v>
          </cell>
        </row>
        <row r="322">
          <cell r="F322">
            <v>31.660261490765631</v>
          </cell>
          <cell r="G322">
            <v>29.662593621352094</v>
          </cell>
          <cell r="H322">
            <v>27.790972623587145</v>
          </cell>
          <cell r="I322">
            <v>26.037445316616417</v>
          </cell>
          <cell r="J322">
            <v>24.23608448590138</v>
          </cell>
          <cell r="K322">
            <v>22.412794393956236</v>
          </cell>
          <cell r="L322">
            <v>20.592023201609187</v>
          </cell>
          <cell r="M322">
            <v>18.796262135419148</v>
          </cell>
          <cell r="N322">
            <v>17.045644623701971</v>
          </cell>
          <cell r="O322">
            <v>15.35765223190899</v>
          </cell>
          <cell r="P322">
            <v>13.746929027565846</v>
          </cell>
          <cell r="Q322">
            <v>12.225201175580032</v>
          </cell>
          <cell r="R322">
            <v>10.801294340750772</v>
          </cell>
          <cell r="S322">
            <v>9.4812380311724436</v>
          </cell>
          <cell r="T322">
            <v>8.2684434642423277</v>
          </cell>
          <cell r="U322">
            <v>7.163939920609681</v>
          </cell>
          <cell r="V322">
            <v>6.1666538532800006</v>
          </cell>
          <cell r="W322">
            <v>5.2737151681992254</v>
          </cell>
          <cell r="X322">
            <v>32.61121292988657</v>
          </cell>
        </row>
        <row r="323">
          <cell r="F323">
            <v>6.2374674683057068</v>
          </cell>
          <cell r="G323">
            <v>5.9250847458648845</v>
          </cell>
          <cell r="H323">
            <v>5.6283466685906118</v>
          </cell>
          <cell r="I323">
            <v>5.3464697266892784</v>
          </cell>
          <cell r="J323">
            <v>5.0526825376832356</v>
          </cell>
          <cell r="K323">
            <v>4.7505680063494902</v>
          </cell>
          <cell r="L323">
            <v>4.4436279958770752</v>
          </cell>
          <cell r="M323">
            <v>4.1352186345533442</v>
          </cell>
          <cell r="N323">
            <v>3.8284932477871032</v>
          </cell>
          <cell r="O323">
            <v>3.5263541165199155</v>
          </cell>
          <cell r="P323">
            <v>3.2314138780681718</v>
          </cell>
          <cell r="Q323">
            <v>2.945966994929297</v>
          </cell>
          <cell r="R323">
            <v>2.671971338732293</v>
          </cell>
          <cell r="S323">
            <v>2.4110395860723433</v>
          </cell>
          <cell r="T323">
            <v>2.1644398135947229</v>
          </cell>
          <cell r="U323">
            <v>1.9331044214398792</v>
          </cell>
          <cell r="V323">
            <v>1.7176463137128213</v>
          </cell>
          <cell r="W323">
            <v>1.5183811252554558</v>
          </cell>
          <cell r="X323">
            <v>7.2272592008065351</v>
          </cell>
        </row>
        <row r="324">
          <cell r="F324">
            <v>47.969276081674352</v>
          </cell>
          <cell r="G324">
            <v>44.826348607968342</v>
          </cell>
          <cell r="H324">
            <v>41.889344465024244</v>
          </cell>
          <cell r="I324">
            <v>39.144771639899716</v>
          </cell>
          <cell r="J324">
            <v>36.332976975223858</v>
          </cell>
          <cell r="K324">
            <v>33.495404235333019</v>
          </cell>
          <cell r="L324">
            <v>30.670897395531288</v>
          </cell>
          <cell r="M324">
            <v>27.894897045194057</v>
          </cell>
          <cell r="N324">
            <v>25.198811775684948</v>
          </cell>
          <cell r="O324">
            <v>22.609574135358312</v>
          </cell>
          <cell r="P324">
            <v>20.149381601838552</v>
          </cell>
          <cell r="Q324">
            <v>17.835614689605567</v>
          </cell>
          <cell r="R324">
            <v>15.680917183136453</v>
          </cell>
          <cell r="S324">
            <v>13.693417851324657</v>
          </cell>
          <cell r="T324">
            <v>11.877069022164038</v>
          </cell>
          <cell r="U324">
            <v>10.232075119585179</v>
          </cell>
          <cell r="V324">
            <v>8.7553836167346937</v>
          </cell>
          <cell r="W324">
            <v>7.4412116777629258</v>
          </cell>
          <cell r="X324">
            <v>2.9415488738358175</v>
          </cell>
        </row>
        <row r="325">
          <cell r="F325">
            <v>21.179563411107448</v>
          </cell>
          <cell r="G325">
            <v>20.49265755610206</v>
          </cell>
          <cell r="H325">
            <v>19.828029764363702</v>
          </cell>
          <cell r="I325">
            <v>19.184957502958181</v>
          </cell>
          <cell r="J325">
            <v>18.501640958329119</v>
          </cell>
          <cell r="K325">
            <v>17.783931792992323</v>
          </cell>
          <cell r="L325">
            <v>17.03779730375312</v>
          </cell>
          <cell r="M325">
            <v>16.269238969244263</v>
          </cell>
          <cell r="N325">
            <v>15.484213731289813</v>
          </cell>
          <cell r="O325">
            <v>14.688559414519828</v>
          </cell>
          <cell r="P325">
            <v>13.88792553460291</v>
          </cell>
          <cell r="Q325">
            <v>13.087710566259076</v>
          </cell>
          <cell r="R325">
            <v>12.293006544199761</v>
          </cell>
          <cell r="S325">
            <v>11.508551659949704</v>
          </cell>
          <cell r="T325">
            <v>10.738691301818559</v>
          </cell>
          <cell r="U325">
            <v>9.987347770603364</v>
          </cell>
          <cell r="V325">
            <v>9.2579986960053109</v>
          </cell>
          <cell r="W325">
            <v>8.5536639837312851</v>
          </cell>
          <cell r="X325">
            <v>0.74307864342814867</v>
          </cell>
        </row>
        <row r="326">
          <cell r="F326">
            <v>26.810014167186395</v>
          </cell>
          <cell r="G326">
            <v>25.572005557150437</v>
          </cell>
          <cell r="H326">
            <v>24.391164590106587</v>
          </cell>
          <cell r="I326">
            <v>23.264851430290559</v>
          </cell>
          <cell r="J326">
            <v>22.085884913948224</v>
          </cell>
          <cell r="K326">
            <v>20.867772854857108</v>
          </cell>
          <cell r="L326">
            <v>19.623848006705728</v>
          </cell>
          <cell r="M326">
            <v>18.367033443800693</v>
          </cell>
          <cell r="N326">
            <v>17.109630743087703</v>
          </cell>
          <cell r="O326">
            <v>15.863135409689905</v>
          </cell>
          <cell r="P326">
            <v>14.638082845870134</v>
          </cell>
          <cell r="Q326">
            <v>13.443926973987551</v>
          </cell>
          <cell r="R326">
            <v>12.288952439301379</v>
          </cell>
          <cell r="S326">
            <v>11.18022018630095</v>
          </cell>
          <cell r="T326">
            <v>10.123545164686394</v>
          </cell>
          <cell r="U326">
            <v>9.123504012761309</v>
          </cell>
          <cell r="V326">
            <v>8.1834698127836916</v>
          </cell>
          <cell r="W326">
            <v>7.3056704315299266</v>
          </cell>
          <cell r="X326">
            <v>8.8850444441020642</v>
          </cell>
        </row>
        <row r="327">
          <cell r="F327">
            <v>8.6126492052381192</v>
          </cell>
          <cell r="G327">
            <v>8.2459510845436714</v>
          </cell>
          <cell r="H327">
            <v>7.8948657571392431</v>
          </cell>
          <cell r="I327">
            <v>7.5587284819188403</v>
          </cell>
          <cell r="J327">
            <v>7.2054837047480014</v>
          </cell>
          <cell r="K327">
            <v>6.8389264799353695</v>
          </cell>
          <cell r="L327">
            <v>6.4628359064129119</v>
          </cell>
          <cell r="M327">
            <v>6.0809120610594398</v>
          </cell>
          <cell r="N327">
            <v>5.6967179311723743</v>
          </cell>
          <cell r="O327">
            <v>5.3136275387442646</v>
          </cell>
          <cell r="P327">
            <v>4.9347811991593122</v>
          </cell>
          <cell r="Q327">
            <v>4.5630485899800162</v>
          </cell>
          <cell r="R327">
            <v>4.201000032737487</v>
          </cell>
          <cell r="S327">
            <v>3.8508861227075899</v>
          </cell>
          <cell r="T327">
            <v>3.5146255882714641</v>
          </cell>
          <cell r="U327">
            <v>3.1938010310496527</v>
          </cell>
          <cell r="V327">
            <v>2.8896619974032394</v>
          </cell>
          <cell r="W327">
            <v>2.6031346661761163</v>
          </cell>
          <cell r="X327">
            <v>2.4696259927089108</v>
          </cell>
        </row>
        <row r="335">
          <cell r="G335">
            <v>26.064391974045197</v>
          </cell>
          <cell r="H335">
            <v>25.935221422065453</v>
          </cell>
          <cell r="I335">
            <v>25.806691016670189</v>
          </cell>
          <cell r="J335">
            <v>25.678797585405288</v>
          </cell>
          <cell r="K335">
            <v>25.538846749042033</v>
          </cell>
          <cell r="L335">
            <v>25.387042866925256</v>
          </cell>
          <cell r="M335">
            <v>25.223606745120225</v>
          </cell>
          <cell r="N335">
            <v>25.048775101338371</v>
          </cell>
          <cell r="O335">
            <v>24.862799993789611</v>
          </cell>
          <cell r="P335">
            <v>24.665948215889724</v>
          </cell>
          <cell r="Q335">
            <v>24.458500658856188</v>
          </cell>
          <cell r="R335">
            <v>24.240751644323101</v>
          </cell>
          <cell r="S335">
            <v>24.013008229192714</v>
          </cell>
          <cell r="T335">
            <v>23.775589485019474</v>
          </cell>
          <cell r="U335">
            <v>23.528825754290526</v>
          </cell>
          <cell r="V335">
            <v>23.273057886025072</v>
          </cell>
          <cell r="W335">
            <v>23.008636453163046</v>
          </cell>
          <cell r="X335">
            <v>0.48840499591621195</v>
          </cell>
        </row>
        <row r="336">
          <cell r="G336">
            <v>82.887266236877608</v>
          </cell>
          <cell r="H336">
            <v>79.96364231896635</v>
          </cell>
          <cell r="I336">
            <v>77.143141319706487</v>
          </cell>
          <cell r="J336">
            <v>74.422125857324673</v>
          </cell>
          <cell r="K336">
            <v>71.53973027006586</v>
          </cell>
          <cell r="L336">
            <v>68.522468595696978</v>
          </cell>
          <cell r="M336">
            <v>65.397203543001353</v>
          </cell>
          <cell r="N336">
            <v>62.190755154701215</v>
          </cell>
          <cell r="O336">
            <v>58.929527369388254</v>
          </cell>
          <cell r="P336">
            <v>55.639159498413214</v>
          </cell>
          <cell r="Q336">
            <v>52.344208693724163</v>
          </cell>
          <cell r="R336">
            <v>49.067868419280181</v>
          </cell>
          <cell r="S336">
            <v>45.831726791447423</v>
          </cell>
          <cell r="T336">
            <v>42.655567463096894</v>
          </cell>
          <cell r="U336">
            <v>39.557214531617944</v>
          </cell>
          <cell r="V336">
            <v>36.552421790176815</v>
          </cell>
          <cell r="W336">
            <v>33.654805548228644</v>
          </cell>
          <cell r="X336">
            <v>2.0304936354313279</v>
          </cell>
        </row>
        <row r="337">
          <cell r="G337">
            <v>6.9838259339291469</v>
          </cell>
          <cell r="H337">
            <v>6.8248718799599883</v>
          </cell>
          <cell r="I337">
            <v>6.669535669779072</v>
          </cell>
          <cell r="J337">
            <v>6.517734960134689</v>
          </cell>
          <cell r="K337">
            <v>6.3547416976552382</v>
          </cell>
          <cell r="L337">
            <v>6.1815760742177384</v>
          </cell>
          <cell r="M337">
            <v>5.9993008858367931</v>
          </cell>
          <cell r="N337">
            <v>5.8090107354638745</v>
          </cell>
          <cell r="O337">
            <v>5.6118211816260635</v>
          </cell>
          <cell r="P337">
            <v>5.4088579818139566</v>
          </cell>
          <cell r="Q337">
            <v>5.201246573478044</v>
          </cell>
          <cell r="R337">
            <v>4.9901019270531881</v>
          </cell>
          <cell r="S337">
            <v>4.7765188948514714</v>
          </cell>
          <cell r="T337">
            <v>4.5615631672341168</v>
          </cell>
          <cell r="U337">
            <v>4.3462629335141028</v>
          </cell>
          <cell r="V337">
            <v>4.1316013298952381</v>
          </cell>
          <cell r="W337">
            <v>3.9185097407763889</v>
          </cell>
          <cell r="X337">
            <v>7.8008447341311413</v>
          </cell>
        </row>
        <row r="338">
          <cell r="G338">
            <v>6.6450766504660912</v>
          </cell>
          <cell r="H338">
            <v>6.3326998524590499</v>
          </cell>
          <cell r="I338">
            <v>6.0350074996534477</v>
          </cell>
          <cell r="J338">
            <v>5.7513092945231881</v>
          </cell>
          <cell r="K338">
            <v>5.4546202990959998</v>
          </cell>
          <cell r="L338">
            <v>5.1483873662953199</v>
          </cell>
          <cell r="M338">
            <v>4.8360056372484959</v>
          </cell>
          <cell r="N338">
            <v>4.5207581292747658</v>
          </cell>
          <cell r="O338">
            <v>4.2057614541285542</v>
          </cell>
          <cell r="P338">
            <v>3.8939188077372791</v>
          </cell>
          <cell r="Q338">
            <v>3.5878810651570316</v>
          </cell>
          <cell r="R338">
            <v>3.2900164960890672</v>
          </cell>
          <cell r="S338">
            <v>3.0023893010118097</v>
          </cell>
          <cell r="T338">
            <v>2.7267468686331302</v>
          </cell>
          <cell r="U338">
            <v>2.4645153831203706</v>
          </cell>
          <cell r="V338">
            <v>2.2168031734687221</v>
          </cell>
          <cell r="W338">
            <v>1.9844110040678886</v>
          </cell>
          <cell r="X338">
            <v>2.0103688438589513</v>
          </cell>
        </row>
        <row r="339">
          <cell r="G339">
            <v>0.7198716062964361</v>
          </cell>
          <cell r="H339">
            <v>0.71044348026184778</v>
          </cell>
          <cell r="I339">
            <v>0.70113883396968368</v>
          </cell>
          <cell r="J339">
            <v>0.6919560502113139</v>
          </cell>
          <cell r="K339">
            <v>0.68199383506924949</v>
          </cell>
          <cell r="L339">
            <v>0.67128947121206162</v>
          </cell>
          <cell r="M339">
            <v>0.65988259137237615</v>
          </cell>
          <cell r="N339">
            <v>0.64781493432686621</v>
          </cell>
          <cell r="O339">
            <v>0.63513009111024277</v>
          </cell>
          <cell r="P339">
            <v>0.62187324361661733</v>
          </cell>
          <cell r="Q339">
            <v>0.60809089777317682</v>
          </cell>
          <cell r="R339">
            <v>0.593830613479295</v>
          </cell>
          <cell r="S339">
            <v>0.57914073348938588</v>
          </cell>
          <cell r="T339">
            <v>0.5640701133805861</v>
          </cell>
          <cell r="U339">
            <v>0.54866785468768631</v>
          </cell>
          <cell r="V339">
            <v>0.53298304320875867</v>
          </cell>
          <cell r="W339">
            <v>0.5170644943870929</v>
          </cell>
          <cell r="X339">
            <v>0.27801836975932925</v>
          </cell>
        </row>
        <row r="340">
          <cell r="G340">
            <v>9.7545971206676221</v>
          </cell>
          <cell r="H340">
            <v>9.4820518868617061</v>
          </cell>
          <cell r="I340">
            <v>9.217121616908365</v>
          </cell>
          <cell r="J340">
            <v>8.9595935473199901</v>
          </cell>
          <cell r="K340">
            <v>8.6846155472052526</v>
          </cell>
          <cell r="L340">
            <v>8.3942555449562235</v>
          </cell>
          <cell r="M340">
            <v>8.0906436599737468</v>
          </cell>
          <cell r="N340">
            <v>7.7759464359553601</v>
          </cell>
          <cell r="O340">
            <v>7.4523414641297068</v>
          </cell>
          <cell r="P340">
            <v>7.121992804690727</v>
          </cell>
          <cell r="Q340">
            <v>6.787027583906502</v>
          </cell>
          <cell r="R340">
            <v>6.449514106437217</v>
          </cell>
          <cell r="S340">
            <v>6.1114417785264035</v>
          </cell>
          <cell r="T340">
            <v>5.7747030892729789</v>
          </cell>
          <cell r="U340">
            <v>5.4410778455602209</v>
          </cell>
          <cell r="V340">
            <v>5.1122198028436632</v>
          </cell>
          <cell r="W340">
            <v>4.7896457802923136</v>
          </cell>
          <cell r="X340">
            <v>2.607026661059058</v>
          </cell>
        </row>
        <row r="341">
          <cell r="G341">
            <v>9.5103646585408335</v>
          </cell>
          <cell r="H341">
            <v>9.3261061694766543</v>
          </cell>
          <cell r="I341">
            <v>9.1454175951330114</v>
          </cell>
          <cell r="J341">
            <v>8.968229770223811</v>
          </cell>
          <cell r="K341">
            <v>8.7772856183384587</v>
          </cell>
          <cell r="L341">
            <v>8.5736165019955202</v>
          </cell>
          <cell r="M341">
            <v>8.3583046189800481</v>
          </cell>
          <cell r="N341">
            <v>8.1324734652421267</v>
          </cell>
          <cell r="O341">
            <v>7.8972781296374066</v>
          </cell>
          <cell r="P341">
            <v>7.6538955369832014</v>
          </cell>
          <cell r="Q341">
            <v>7.4035147535679959</v>
          </cell>
          <cell r="R341">
            <v>7.1473274652220438</v>
          </cell>
          <cell r="S341">
            <v>6.8865187324494315</v>
          </cell>
          <cell r="T341">
            <v>6.6222581200812867</v>
          </cell>
          <cell r="U341">
            <v>6.3556912906030254</v>
          </cell>
          <cell r="V341">
            <v>6.0879321409214509</v>
          </cell>
          <cell r="W341">
            <v>5.8200555520702801</v>
          </cell>
          <cell r="X341">
            <v>3.0959640999943545</v>
          </cell>
        </row>
        <row r="342">
          <cell r="G342">
            <v>13.370690535017321</v>
          </cell>
          <cell r="H342">
            <v>13.08440273054244</v>
          </cell>
          <cell r="I342">
            <v>12.804244804459133</v>
          </cell>
          <cell r="J342">
            <v>12.530085506296695</v>
          </cell>
          <cell r="K342">
            <v>12.235285482576025</v>
          </cell>
          <cell r="L342">
            <v>11.92159011856025</v>
          </cell>
          <cell r="M342">
            <v>11.590822940337409</v>
          </cell>
          <cell r="N342">
            <v>11.244868053741431</v>
          </cell>
          <cell r="O342">
            <v>10.885652406069068</v>
          </cell>
          <cell r="P342">
            <v>10.515128102123285</v>
          </cell>
          <cell r="Q342">
            <v>10.135254998645461</v>
          </cell>
          <cell r="R342">
            <v>9.7479837901434614</v>
          </cell>
          <cell r="S342">
            <v>9.3552397848017748</v>
          </cell>
          <cell r="T342">
            <v>8.9589075519548178</v>
          </cell>
          <cell r="U342">
            <v>8.5608166029440245</v>
          </cell>
          <cell r="V342">
            <v>8.1627282455292924</v>
          </cell>
          <cell r="W342">
            <v>7.7663237288757925</v>
          </cell>
          <cell r="X342">
            <v>3.0224382724221592</v>
          </cell>
        </row>
        <row r="343">
          <cell r="G343">
            <v>28.719756137589698</v>
          </cell>
          <cell r="H343">
            <v>28.050315834200049</v>
          </cell>
          <cell r="I343">
            <v>27.39647978307687</v>
          </cell>
          <cell r="J343">
            <v>26.757884258451689</v>
          </cell>
          <cell r="K343">
            <v>26.072608249648614</v>
          </cell>
          <cell r="L343">
            <v>25.345034599125132</v>
          </cell>
          <cell r="M343">
            <v>24.579723794468528</v>
          </cell>
          <cell r="N343">
            <v>23.781366668243734</v>
          </cell>
          <cell r="O343">
            <v>22.95473695921288</v>
          </cell>
          <cell r="P343">
            <v>22.10464439856289</v>
          </cell>
          <cell r="Q343">
            <v>21.235888955501672</v>
          </cell>
          <cell r="R343">
            <v>20.353216836522506</v>
          </cell>
          <cell r="S343">
            <v>19.461278782984362</v>
          </cell>
          <cell r="T343">
            <v>18.564591153788264</v>
          </cell>
          <cell r="U343">
            <v>17.66750021535989</v>
          </cell>
          <cell r="V343">
            <v>16.774149991484201</v>
          </cell>
          <cell r="W343">
            <v>15.888453952438235</v>
          </cell>
          <cell r="X343">
            <v>3.1111459763991398</v>
          </cell>
        </row>
        <row r="344">
          <cell r="G344">
            <v>7.3443810018259956</v>
          </cell>
          <cell r="H344">
            <v>7.1927411631632543</v>
          </cell>
          <cell r="I344">
            <v>7.0442322405932307</v>
          </cell>
          <cell r="J344">
            <v>6.8987895899190814</v>
          </cell>
          <cell r="K344">
            <v>6.7422686974955646</v>
          </cell>
          <cell r="L344">
            <v>6.5755659312390948</v>
          </cell>
          <cell r="M344">
            <v>6.3996193130069923</v>
          </cell>
          <cell r="N344">
            <v>6.2153997705540034</v>
          </cell>
          <cell r="O344">
            <v>6.0239022763061767</v>
          </cell>
          <cell r="P344">
            <v>5.8261369851654461</v>
          </cell>
          <cell r="Q344">
            <v>5.6231204804594457</v>
          </cell>
          <cell r="R344">
            <v>5.4158672323518191</v>
          </cell>
          <cell r="S344">
            <v>5.2053813666676145</v>
          </cell>
          <cell r="T344">
            <v>4.9926488343329014</v>
          </cell>
          <cell r="U344">
            <v>4.7786300626674976</v>
          </cell>
          <cell r="V344">
            <v>4.5642531598123162</v>
          </cell>
          <cell r="W344">
            <v>4.3504077328388675</v>
          </cell>
          <cell r="X344">
            <v>3.2358883573603903</v>
          </cell>
        </row>
        <row r="345">
          <cell r="G345">
            <v>4.8015499436315512</v>
          </cell>
          <cell r="H345">
            <v>4.6761171756179305</v>
          </cell>
          <cell r="I345">
            <v>4.5539611368847011</v>
          </cell>
          <cell r="J345">
            <v>4.4349962281506947</v>
          </cell>
          <cell r="K345">
            <v>4.3077211550736525</v>
          </cell>
          <cell r="L345">
            <v>4.1730376664384492</v>
          </cell>
          <cell r="M345">
            <v>4.0318783483584593</v>
          </cell>
          <cell r="N345">
            <v>3.8851959608082933</v>
          </cell>
          <cell r="O345">
            <v>3.7339528588357052</v>
          </cell>
          <cell r="P345">
            <v>3.5791106602817218</v>
          </cell>
          <cell r="Q345">
            <v>3.4216203116933701</v>
          </cell>
          <cell r="R345">
            <v>3.2624126911955194</v>
          </cell>
          <cell r="S345">
            <v>3.1023898718021328</v>
          </cell>
          <cell r="T345">
            <v>2.9424171514429953</v>
          </cell>
          <cell r="U345">
            <v>2.7833159373409599</v>
          </cell>
          <cell r="V345">
            <v>2.6258575527940118</v>
          </cell>
          <cell r="W345">
            <v>2.4707580143941819</v>
          </cell>
          <cell r="X345">
            <v>4.3801001734500753</v>
          </cell>
        </row>
        <row r="346">
          <cell r="G346">
            <v>0.2</v>
          </cell>
          <cell r="H346">
            <v>0.19434399285942605</v>
          </cell>
          <cell r="I346">
            <v>0.18884793780272319</v>
          </cell>
          <cell r="J346">
            <v>0.18350731137924883</v>
          </cell>
          <cell r="K346">
            <v>0.1778069000509987</v>
          </cell>
          <cell r="L346">
            <v>0.1717900321757363</v>
          </cell>
          <cell r="M346">
            <v>0.16550130562307941</v>
          </cell>
          <cell r="N346">
            <v>0.15898604287367035</v>
          </cell>
          <cell r="O346">
            <v>0.15228975510655626</v>
          </cell>
          <cell r="P346">
            <v>0.14545762397292133</v>
          </cell>
          <cell r="Q346">
            <v>0.13853400907729183</v>
          </cell>
          <cell r="R346">
            <v>0.13156198835719662</v>
          </cell>
          <cell r="S346">
            <v>0.12458293759614598</v>
          </cell>
          <cell r="T346">
            <v>0.1176361542521876</v>
          </cell>
          <cell r="U346">
            <v>0.11075852966608866</v>
          </cell>
          <cell r="V346">
            <v>0.10398427256061711</v>
          </cell>
          <cell r="W346">
            <v>9.7344685586075036E-2</v>
          </cell>
          <cell r="X346">
            <v>6.1814463109534445</v>
          </cell>
        </row>
        <row r="347">
          <cell r="G347">
            <v>32.318184567907259</v>
          </cell>
          <cell r="H347">
            <v>31.25926921909107</v>
          </cell>
          <cell r="I347">
            <v>30.235049560362373</v>
          </cell>
          <cell r="J347">
            <v>29.244388776666039</v>
          </cell>
          <cell r="K347">
            <v>28.192111163480995</v>
          </cell>
          <cell r="L347">
            <v>27.08730737579123</v>
          </cell>
          <cell r="M347">
            <v>25.939240699416761</v>
          </cell>
          <cell r="N347">
            <v>24.757219587895115</v>
          </cell>
          <cell r="O347">
            <v>23.550474656514098</v>
          </cell>
          <cell r="P347">
            <v>22.328042342537625</v>
          </cell>
          <cell r="Q347">
            <v>21.098657192316274</v>
          </cell>
          <cell r="R347">
            <v>19.870654448097646</v>
          </cell>
          <cell r="S347">
            <v>18.651884290193006</v>
          </cell>
          <cell r="T347">
            <v>17.449638754403818</v>
          </cell>
          <cell r="U347">
            <v>16.270592001002239</v>
          </cell>
          <cell r="V347">
            <v>15.120754270492785</v>
          </cell>
          <cell r="W347">
            <v>14.005439532572767</v>
          </cell>
          <cell r="X347">
            <v>4.6123298326280091</v>
          </cell>
        </row>
        <row r="348">
          <cell r="G348">
            <v>2.4317895734864021</v>
          </cell>
          <cell r="H348">
            <v>2.3821265524928434</v>
          </cell>
          <cell r="I348">
            <v>2.3334777704289595</v>
          </cell>
          <cell r="J348">
            <v>2.2858225140842792</v>
          </cell>
          <cell r="K348">
            <v>2.234525050370769</v>
          </cell>
          <cell r="L348">
            <v>2.179876217718872</v>
          </cell>
          <cell r="M348">
            <v>2.1221805147445001</v>
          </cell>
          <cell r="N348">
            <v>2.0617532878793394</v>
          </cell>
          <cell r="O348">
            <v>1.9989178802727903</v>
          </cell>
          <cell r="P348">
            <v>1.93400277774055</v>
          </cell>
          <cell r="Q348">
            <v>1.8673387865951951</v>
          </cell>
          <cell r="R348">
            <v>1.7992562767160039</v>
          </cell>
          <cell r="S348">
            <v>1.7300825212415356</v>
          </cell>
          <cell r="T348">
            <v>1.6601391618506276</v>
          </cell>
          <cell r="U348">
            <v>1.5897398257943658</v>
          </cell>
          <cell r="V348">
            <v>1.5191879177178167</v>
          </cell>
          <cell r="W348">
            <v>1.4487746059346152</v>
          </cell>
          <cell r="X348">
            <v>3.537449665637979</v>
          </cell>
        </row>
        <row r="349">
          <cell r="G349">
            <v>35.262550415508343</v>
          </cell>
          <cell r="H349">
            <v>33.941991750584435</v>
          </cell>
          <cell r="I349">
            <v>32.670887114565332</v>
          </cell>
          <cell r="J349">
            <v>31.447384487514412</v>
          </cell>
          <cell r="K349">
            <v>30.154386315301899</v>
          </cell>
          <cell r="L349">
            <v>28.804399027348676</v>
          </cell>
          <cell r="M349">
            <v>27.410029510023659</v>
          </cell>
          <cell r="N349">
            <v>25.983793013482973</v>
          </cell>
          <cell r="O349">
            <v>24.537931696179143</v>
          </cell>
          <cell r="P349">
            <v>23.084247330651031</v>
          </cell>
          <cell r="Q349">
            <v>21.633951150578493</v>
          </cell>
          <cell r="R349">
            <v>20.19753321554089</v>
          </cell>
          <cell r="S349">
            <v>18.784653029724563</v>
          </cell>
          <cell r="T349">
            <v>17.404052497306061</v>
          </cell>
          <cell r="U349">
            <v>16.063491652835822</v>
          </cell>
          <cell r="V349">
            <v>14.769706990359401</v>
          </cell>
          <cell r="W349">
            <v>13.528391648476937</v>
          </cell>
          <cell r="X349">
            <v>5.9405758690737231</v>
          </cell>
        </row>
        <row r="350">
          <cell r="G350">
            <v>20.656428951735492</v>
          </cell>
          <cell r="H350">
            <v>19.732163258018574</v>
          </cell>
          <cell r="I350">
            <v>18.84925355446714</v>
          </cell>
          <cell r="J350">
            <v>18.00584937975368</v>
          </cell>
          <cell r="K350">
            <v>17.121626346830421</v>
          </cell>
          <cell r="L350">
            <v>16.206467504179795</v>
          </cell>
          <cell r="M350">
            <v>15.270162409411631</v>
          </cell>
          <cell r="N350">
            <v>14.322238290230873</v>
          </cell>
          <cell r="O350">
            <v>13.371806389551978</v>
          </cell>
          <cell r="P350">
            <v>12.427426696662375</v>
          </cell>
          <cell r="Q350">
            <v>11.496993506838324</v>
          </cell>
          <cell r="R350">
            <v>10.587643453238062</v>
          </cell>
          <cell r="S350">
            <v>9.7056868513476076</v>
          </cell>
          <cell r="T350">
            <v>8.8565624198048223</v>
          </cell>
          <cell r="U350">
            <v>8.0448147207050074</v>
          </cell>
          <cell r="V350">
            <v>7.2740930215534751</v>
          </cell>
          <cell r="W350">
            <v>6.5471697385597114</v>
          </cell>
          <cell r="X350">
            <v>2.6744263129121828</v>
          </cell>
        </row>
        <row r="351">
          <cell r="G351">
            <v>307.0689751171102</v>
          </cell>
          <cell r="H351">
            <v>296.79042347637181</v>
          </cell>
          <cell r="I351">
            <v>286.85592686037506</v>
          </cell>
          <cell r="J351">
            <v>277.25396867960558</v>
          </cell>
          <cell r="K351">
            <v>267.06262279825506</v>
          </cell>
          <cell r="L351">
            <v>256.37155799677242</v>
          </cell>
          <cell r="M351">
            <v>245.27199854129799</v>
          </cell>
          <cell r="N351">
            <v>233.85544775976047</v>
          </cell>
          <cell r="O351">
            <v>222.21246008965988</v>
          </cell>
          <cell r="P351">
            <v>210.43148395033737</v>
          </cell>
          <cell r="Q351">
            <v>198.59779514756525</v>
          </cell>
          <cell r="R351">
            <v>186.79253747445915</v>
          </cell>
          <cell r="S351">
            <v>175.09188383971707</v>
          </cell>
          <cell r="T351">
            <v>163.56632774579683</v>
          </cell>
          <cell r="U351">
            <v>152.28011136940387</v>
          </cell>
          <cell r="V351">
            <v>141.2907929737803</v>
          </cell>
          <cell r="W351">
            <v>130.64895300794299</v>
          </cell>
          <cell r="X351">
            <v>0.50659657495743537</v>
          </cell>
        </row>
        <row r="352">
          <cell r="G352">
            <v>14.039035304313854</v>
          </cell>
          <cell r="H352">
            <v>13.15321413845993</v>
          </cell>
          <cell r="I352">
            <v>12.323285640504185</v>
          </cell>
          <cell r="J352">
            <v>11.545723150162129</v>
          </cell>
          <cell r="K352">
            <v>10.746949952865805</v>
          </cell>
          <cell r="L352">
            <v>9.9384527148284789</v>
          </cell>
          <cell r="M352">
            <v>9.1310724265167877</v>
          </cell>
          <cell r="N352">
            <v>8.3347823196360391</v>
          </cell>
          <cell r="O352">
            <v>7.558510112960934</v>
          </cell>
          <cell r="P352">
            <v>6.8100076159519682</v>
          </cell>
          <cell r="Q352">
            <v>6.0957684130367786</v>
          </cell>
          <cell r="R352">
            <v>5.4209922099464265</v>
          </cell>
          <cell r="S352">
            <v>4.7895925504694397</v>
          </cell>
          <cell r="T352">
            <v>4.2042430852018278</v>
          </cell>
          <cell r="U352">
            <v>3.6664564422526511</v>
          </cell>
          <cell r="V352">
            <v>3.1766890331198754</v>
          </cell>
          <cell r="W352">
            <v>2.7344648173841537</v>
          </cell>
          <cell r="X352">
            <v>33.263437188484303</v>
          </cell>
        </row>
        <row r="353">
          <cell r="G353">
            <v>2.125134988607579</v>
          </cell>
          <cell r="H353">
            <v>2.0187047015289346</v>
          </cell>
          <cell r="I353">
            <v>1.9176046198576489</v>
          </cell>
          <cell r="J353">
            <v>1.8215677980609744</v>
          </cell>
          <cell r="K353">
            <v>1.7214730981312607</v>
          </cell>
          <cell r="L353">
            <v>1.6185412328563755</v>
          </cell>
          <cell r="M353">
            <v>1.5139653037676923</v>
          </cell>
          <cell r="N353">
            <v>1.4088887598188049</v>
          </cell>
          <cell r="O353">
            <v>1.3043859540529599</v>
          </cell>
          <cell r="P353">
            <v>1.2014457074631351</v>
          </cell>
          <cell r="Q353">
            <v>1.1009581580743895</v>
          </cell>
          <cell r="R353">
            <v>1.0037050402297241</v>
          </cell>
          <cell r="S353">
            <v>0.91035341015398263</v>
          </cell>
          <cell r="T353">
            <v>0.82145271447356394</v>
          </cell>
          <cell r="U353">
            <v>0.73743499296435489</v>
          </cell>
          <cell r="V353">
            <v>0.6586179188121345</v>
          </cell>
          <cell r="W353">
            <v>0.58521031137585466</v>
          </cell>
          <cell r="X353">
            <v>7.3718043848226662</v>
          </cell>
        </row>
        <row r="354">
          <cell r="G354">
            <v>27.736237483741995</v>
          </cell>
          <cell r="H354">
            <v>25.918970476075192</v>
          </cell>
          <cell r="I354">
            <v>24.220770064196302</v>
          </cell>
          <cell r="J354">
            <v>22.633835053139084</v>
          </cell>
          <cell r="K354">
            <v>21.008031811035078</v>
          </cell>
          <cell r="L354">
            <v>19.367323469783457</v>
          </cell>
          <cell r="M354">
            <v>17.734169941474889</v>
          </cell>
          <cell r="N354">
            <v>16.129063271930651</v>
          </cell>
          <cell r="O354">
            <v>14.570164171927534</v>
          </cell>
          <cell r="P354">
            <v>13.07304526665852</v>
          </cell>
          <cell r="Q354">
            <v>11.650541323733661</v>
          </cell>
          <cell r="R354">
            <v>10.312701902299588</v>
          </cell>
          <cell r="S354">
            <v>9.0668377445145332</v>
          </cell>
          <cell r="T354">
            <v>7.9176489726837627</v>
          </cell>
          <cell r="U354">
            <v>6.8674208559796677</v>
          </cell>
          <cell r="V354">
            <v>5.9162715940322856</v>
          </cell>
          <cell r="W354">
            <v>5.0624361902303088</v>
          </cell>
          <cell r="X354">
            <v>3.0003798513125339</v>
          </cell>
        </row>
        <row r="355">
          <cell r="G355">
            <v>52.525241281214683</v>
          </cell>
          <cell r="H355">
            <v>50.821717224967365</v>
          </cell>
          <cell r="I355">
            <v>49.173442685703257</v>
          </cell>
          <cell r="J355">
            <v>47.578625784337525</v>
          </cell>
          <cell r="K355">
            <v>45.884003204947412</v>
          </cell>
          <cell r="L355">
            <v>44.104087049580194</v>
          </cell>
          <cell r="M355">
            <v>42.253676192906369</v>
          </cell>
          <cell r="N355">
            <v>40.347654280405791</v>
          </cell>
          <cell r="O355">
            <v>38.400794506432561</v>
          </cell>
          <cell r="P355">
            <v>36.427574655126932</v>
          </cell>
          <cell r="Q355">
            <v>34.44200550508031</v>
          </cell>
          <cell r="R355">
            <v>32.457475254232158</v>
          </cell>
          <cell r="S355">
            <v>30.486612130399962</v>
          </cell>
          <cell r="T355">
            <v>28.541166831567569</v>
          </cell>
          <cell r="U355">
            <v>26.631915905154521</v>
          </cell>
          <cell r="V355">
            <v>24.768586643066847</v>
          </cell>
          <cell r="W355">
            <v>22.959803554488051</v>
          </cell>
          <cell r="X355">
            <v>0.7579402162967116</v>
          </cell>
        </row>
        <row r="356">
          <cell r="G356">
            <v>15.820696625672339</v>
          </cell>
          <cell r="H356">
            <v>15.09014279167544</v>
          </cell>
          <cell r="I356">
            <v>14.393323812533257</v>
          </cell>
          <cell r="J356">
            <v>13.728681910599423</v>
          </cell>
          <cell r="K356">
            <v>13.032969052315794</v>
          </cell>
          <cell r="L356">
            <v>12.31415625263662</v>
          </cell>
          <cell r="M356">
            <v>11.580111222857218</v>
          </cell>
          <cell r="N356">
            <v>10.838459920830536</v>
          </cell>
          <cell r="O356">
            <v>10.09646155633027</v>
          </cell>
          <cell r="P356">
            <v>9.3608996729225655</v>
          </cell>
          <cell r="Q356">
            <v>8.6379912536343753</v>
          </cell>
          <cell r="R356">
            <v>7.9333150958745433</v>
          </cell>
          <cell r="S356">
            <v>7.2517600019570141</v>
          </cell>
          <cell r="T356">
            <v>6.5974926634754532</v>
          </cell>
          <cell r="U356">
            <v>5.9739445055132494</v>
          </cell>
          <cell r="V356">
            <v>5.383816220644273</v>
          </cell>
          <cell r="W356">
            <v>4.829098278204512</v>
          </cell>
          <cell r="X356">
            <v>9.0627453329841057</v>
          </cell>
        </row>
        <row r="357">
          <cell r="G357">
            <v>9.6636811952336412</v>
          </cell>
          <cell r="H357">
            <v>9.2522336082208962</v>
          </cell>
          <cell r="I357">
            <v>8.8583040987852666</v>
          </cell>
          <cell r="J357">
            <v>8.4811468051166834</v>
          </cell>
          <cell r="K357">
            <v>8.0847943206355808</v>
          </cell>
          <cell r="L357">
            <v>7.6735048235265513</v>
          </cell>
          <cell r="M357">
            <v>7.2515185895065715</v>
          </cell>
          <cell r="N357">
            <v>6.8229872288993185</v>
          </cell>
          <cell r="O357">
            <v>6.3919085329214607</v>
          </cell>
          <cell r="P357">
            <v>5.9620682673814862</v>
          </cell>
          <cell r="Q357">
            <v>5.5369899714370057</v>
          </cell>
          <cell r="R357">
            <v>5.1198935195350401</v>
          </cell>
          <cell r="S357">
            <v>4.7136628986178186</v>
          </cell>
          <cell r="T357">
            <v>4.3208233520485821</v>
          </cell>
          <cell r="U357">
            <v>3.9435277574070069</v>
          </cell>
          <cell r="V357">
            <v>3.5835518467768632</v>
          </cell>
          <cell r="W357">
            <v>3.2422976530732761</v>
          </cell>
          <cell r="X357">
            <v>2.5190185125630893</v>
          </cell>
        </row>
        <row r="767">
          <cell r="F767">
            <v>17.784863767888599</v>
          </cell>
          <cell r="G767">
            <v>26.064391974045197</v>
          </cell>
          <cell r="H767">
            <v>43.450768264721091</v>
          </cell>
          <cell r="I767">
            <v>38.447948728462805</v>
          </cell>
          <cell r="J767">
            <v>35.763912644329672</v>
          </cell>
          <cell r="K767">
            <v>35.291369077681452</v>
          </cell>
          <cell r="L767">
            <v>-1149.6605073220665</v>
          </cell>
          <cell r="M767">
            <v>12.150673316886074</v>
          </cell>
          <cell r="N767">
            <v>13.838968858656026</v>
          </cell>
          <cell r="O767">
            <v>16.739521318340898</v>
          </cell>
          <cell r="P767">
            <v>20.116486147154053</v>
          </cell>
          <cell r="Q767">
            <v>24.210321106815552</v>
          </cell>
          <cell r="R767" t="e">
            <v>#REF!</v>
          </cell>
          <cell r="S767" t="e">
            <v>#REF!</v>
          </cell>
          <cell r="T767" t="e">
            <v>#REF!</v>
          </cell>
          <cell r="U767" t="e">
            <v>#REF!</v>
          </cell>
          <cell r="V767" t="e">
            <v>#REF!</v>
          </cell>
        </row>
        <row r="768">
          <cell r="F768">
            <v>822.01088964293388</v>
          </cell>
          <cell r="G768">
            <v>82.887266236877608</v>
          </cell>
          <cell r="H768">
            <v>134.67430518806566</v>
          </cell>
          <cell r="I768">
            <v>97.852694534627815</v>
          </cell>
          <cell r="J768">
            <v>100.98450804815491</v>
          </cell>
          <cell r="K768">
            <v>95.110241783761609</v>
          </cell>
          <cell r="L768">
            <v>-1258.7531923219831</v>
          </cell>
          <cell r="M768">
            <v>21.850831795193034</v>
          </cell>
          <cell r="N768">
            <v>44.713267055707014</v>
          </cell>
          <cell r="O768">
            <v>53.329766731723595</v>
          </cell>
          <cell r="P768">
            <v>42.254959233665723</v>
          </cell>
          <cell r="Q768">
            <v>40.166092582283277</v>
          </cell>
          <cell r="R768" t="e">
            <v>#REF!</v>
          </cell>
          <cell r="S768" t="e">
            <v>#REF!</v>
          </cell>
          <cell r="T768" t="e">
            <v>#REF!</v>
          </cell>
          <cell r="U768" t="e">
            <v>#REF!</v>
          </cell>
          <cell r="V768" t="e">
            <v>#REF!</v>
          </cell>
        </row>
        <row r="769">
          <cell r="F769">
            <v>8.1714063265163652</v>
          </cell>
          <cell r="G769">
            <v>6.9838259339291469</v>
          </cell>
          <cell r="H769">
            <v>8.7662652827014735</v>
          </cell>
          <cell r="I769">
            <v>7.5823903552214702</v>
          </cell>
          <cell r="J769">
            <v>8.3268225968953757</v>
          </cell>
          <cell r="K769">
            <v>8.1591783910449873</v>
          </cell>
          <cell r="L769">
            <v>-67.724075183699895</v>
          </cell>
          <cell r="M769">
            <v>3.4639725844390665</v>
          </cell>
          <cell r="N769">
            <v>3.4126337950264003</v>
          </cell>
          <cell r="O769">
            <v>3.4090875248212087</v>
          </cell>
          <cell r="P769">
            <v>2.9765480198527805</v>
          </cell>
          <cell r="Q769">
            <v>2.5728032314755236</v>
          </cell>
          <cell r="R769" t="e">
            <v>#REF!</v>
          </cell>
          <cell r="S769" t="e">
            <v>#REF!</v>
          </cell>
          <cell r="T769" t="e">
            <v>#REF!</v>
          </cell>
          <cell r="U769" t="e">
            <v>#REF!</v>
          </cell>
          <cell r="V769" t="e">
            <v>#REF!</v>
          </cell>
        </row>
        <row r="770">
          <cell r="F770">
            <v>13.933507560684925</v>
          </cell>
          <cell r="G770">
            <v>6.6450766504660912</v>
          </cell>
          <cell r="H770">
            <v>9.6690167972348728</v>
          </cell>
          <cell r="I770">
            <v>9.8316389511521418</v>
          </cell>
          <cell r="J770">
            <v>10.052918254885846</v>
          </cell>
          <cell r="K770">
            <v>9.2598901116097085</v>
          </cell>
          <cell r="L770">
            <v>-76.448782029588713</v>
          </cell>
          <cell r="M770">
            <v>-0.54784199728477245</v>
          </cell>
          <cell r="N770">
            <v>5.3490119457510987</v>
          </cell>
          <cell r="O770">
            <v>5.7497851174882397</v>
          </cell>
          <cell r="P770">
            <v>5.5231776240178814</v>
          </cell>
          <cell r="Q770">
            <v>4.8435252553219437</v>
          </cell>
          <cell r="R770" t="e">
            <v>#REF!</v>
          </cell>
          <cell r="S770" t="e">
            <v>#REF!</v>
          </cell>
          <cell r="T770" t="e">
            <v>#REF!</v>
          </cell>
          <cell r="U770" t="e">
            <v>#REF!</v>
          </cell>
          <cell r="V770" t="e">
            <v>#REF!</v>
          </cell>
        </row>
        <row r="771">
          <cell r="F771">
            <v>1.9603954287797944</v>
          </cell>
          <cell r="G771">
            <v>0.7198716062964361</v>
          </cell>
          <cell r="H771">
            <v>0.75164856750689235</v>
          </cell>
          <cell r="I771">
            <v>0.83540519125560253</v>
          </cell>
          <cell r="J771">
            <v>0.62695083496758075</v>
          </cell>
          <cell r="K771">
            <v>0.64689842973420997</v>
          </cell>
          <cell r="L771">
            <v>-15.408115116224229</v>
          </cell>
          <cell r="M771">
            <v>0.41299704714206048</v>
          </cell>
          <cell r="N771">
            <v>0.53980226187578617</v>
          </cell>
          <cell r="O771">
            <v>0.66644882199780864</v>
          </cell>
          <cell r="P771">
            <v>0.80325035496059749</v>
          </cell>
          <cell r="Q771">
            <v>0.97554391132961149</v>
          </cell>
          <cell r="R771" t="e">
            <v>#REF!</v>
          </cell>
          <cell r="S771" t="e">
            <v>#REF!</v>
          </cell>
          <cell r="T771" t="e">
            <v>#REF!</v>
          </cell>
          <cell r="U771" t="e">
            <v>#REF!</v>
          </cell>
          <cell r="V771" t="e">
            <v>#REF!</v>
          </cell>
        </row>
        <row r="772">
          <cell r="F772">
            <v>21.18956281379652</v>
          </cell>
          <cell r="G772">
            <v>9.7545971206676221</v>
          </cell>
          <cell r="H772">
            <v>12.505187105188773</v>
          </cell>
          <cell r="I772">
            <v>13.68554922105421</v>
          </cell>
          <cell r="J772">
            <v>17.792053689365414</v>
          </cell>
          <cell r="K772">
            <v>18.746622220075533</v>
          </cell>
          <cell r="L772">
            <v>-203.57814889603054</v>
          </cell>
          <cell r="M772">
            <v>4.3388670328136731</v>
          </cell>
          <cell r="N772">
            <v>10.854559562470893</v>
          </cell>
          <cell r="O772">
            <v>13.234841920006852</v>
          </cell>
          <cell r="P772">
            <v>14.111555072294728</v>
          </cell>
          <cell r="Q772">
            <v>14.877322446944948</v>
          </cell>
          <cell r="R772" t="e">
            <v>#REF!</v>
          </cell>
          <cell r="S772" t="e">
            <v>#REF!</v>
          </cell>
          <cell r="T772" t="e">
            <v>#REF!</v>
          </cell>
          <cell r="U772" t="e">
            <v>#REF!</v>
          </cell>
          <cell r="V772" t="e">
            <v>#REF!</v>
          </cell>
        </row>
        <row r="773">
          <cell r="F773">
            <v>16.048849273874467</v>
          </cell>
          <cell r="G773">
            <v>9.5103646585408335</v>
          </cell>
          <cell r="H773">
            <v>7.9191891807526771</v>
          </cell>
          <cell r="I773">
            <v>11.46821792744365</v>
          </cell>
          <cell r="J773">
            <v>15.270217698915012</v>
          </cell>
          <cell r="K773">
            <v>22.844679645386904</v>
          </cell>
          <cell r="L773">
            <v>-264.55585772543321</v>
          </cell>
          <cell r="M773">
            <v>10.121590585265769</v>
          </cell>
          <cell r="N773">
            <v>12.401968579874803</v>
          </cell>
          <cell r="O773">
            <v>14.52660280587228</v>
          </cell>
          <cell r="P773">
            <v>17.044227238252287</v>
          </cell>
          <cell r="Q773">
            <v>19.545967691344227</v>
          </cell>
          <cell r="R773" t="e">
            <v>#REF!</v>
          </cell>
          <cell r="S773" t="e">
            <v>#REF!</v>
          </cell>
          <cell r="T773" t="e">
            <v>#REF!</v>
          </cell>
          <cell r="U773" t="e">
            <v>#REF!</v>
          </cell>
          <cell r="V773" t="e">
            <v>#REF!</v>
          </cell>
        </row>
        <row r="774">
          <cell r="F774">
            <v>22.539930897508167</v>
          </cell>
          <cell r="G774">
            <v>13.370690535017321</v>
          </cell>
          <cell r="H774">
            <v>17.750287161837377</v>
          </cell>
          <cell r="I774">
            <v>18.940602319535586</v>
          </cell>
          <cell r="J774">
            <v>19.216178249005946</v>
          </cell>
          <cell r="K774">
            <v>21.808294892183543</v>
          </cell>
          <cell r="L774">
            <v>-241.27234144352445</v>
          </cell>
          <cell r="M774">
            <v>8.8261519412363967</v>
          </cell>
          <cell r="N774">
            <v>11.19480218706229</v>
          </cell>
          <cell r="O774">
            <v>12.904737582801785</v>
          </cell>
          <cell r="P774">
            <v>14.768840404215354</v>
          </cell>
          <cell r="Q774">
            <v>16.188078835136249</v>
          </cell>
          <cell r="R774" t="e">
            <v>#REF!</v>
          </cell>
          <cell r="S774" t="e">
            <v>#REF!</v>
          </cell>
          <cell r="T774" t="e">
            <v>#REF!</v>
          </cell>
          <cell r="U774" t="e">
            <v>#REF!</v>
          </cell>
          <cell r="V774" t="e">
            <v>#REF!</v>
          </cell>
        </row>
        <row r="775">
          <cell r="F775">
            <v>45.390795290396547</v>
          </cell>
          <cell r="G775">
            <v>28.719756137589698</v>
          </cell>
          <cell r="H775">
            <v>48.113054096893862</v>
          </cell>
          <cell r="I775">
            <v>83.001685686638112</v>
          </cell>
          <cell r="J775">
            <v>91.630086534166821</v>
          </cell>
          <cell r="K775">
            <v>105.93829162893566</v>
          </cell>
          <cell r="L775">
            <v>-797.40799876968958</v>
          </cell>
          <cell r="M775">
            <v>27.296333891401421</v>
          </cell>
          <cell r="N775">
            <v>35.312852570914941</v>
          </cell>
          <cell r="O775">
            <v>40.669494537775748</v>
          </cell>
          <cell r="P775">
            <v>46.41891705422173</v>
          </cell>
          <cell r="Q775">
            <v>49.93787949626541</v>
          </cell>
          <cell r="R775" t="e">
            <v>#REF!</v>
          </cell>
          <cell r="S775" t="e">
            <v>#REF!</v>
          </cell>
          <cell r="T775" t="e">
            <v>#REF!</v>
          </cell>
          <cell r="U775" t="e">
            <v>#REF!</v>
          </cell>
          <cell r="V775" t="e">
            <v>#REF!</v>
          </cell>
        </row>
        <row r="776">
          <cell r="F776">
            <v>8.3413370614546594</v>
          </cell>
          <cell r="G776">
            <v>7.3443810018259956</v>
          </cell>
          <cell r="H776">
            <v>9.7721601793434552</v>
          </cell>
          <cell r="I776">
            <v>12.215834914217448</v>
          </cell>
          <cell r="J776">
            <v>13.154035820043505</v>
          </cell>
          <cell r="K776">
            <v>13.991298913040293</v>
          </cell>
          <cell r="L776">
            <v>-135.96039742204076</v>
          </cell>
          <cell r="M776">
            <v>4.6973014588137376</v>
          </cell>
          <cell r="N776">
            <v>5.8030516363719249</v>
          </cell>
          <cell r="O776">
            <v>7.0325760985359853</v>
          </cell>
          <cell r="P776">
            <v>7.9782170514473405</v>
          </cell>
          <cell r="Q776">
            <v>8.824582647528711</v>
          </cell>
          <cell r="R776" t="e">
            <v>#REF!</v>
          </cell>
          <cell r="S776" t="e">
            <v>#REF!</v>
          </cell>
          <cell r="T776" t="e">
            <v>#REF!</v>
          </cell>
          <cell r="U776" t="e">
            <v>#REF!</v>
          </cell>
          <cell r="V776" t="e">
            <v>#REF!</v>
          </cell>
        </row>
        <row r="777">
          <cell r="F777">
            <v>7.6489632326466053</v>
          </cell>
          <cell r="G777">
            <v>4.8015499436315512</v>
          </cell>
          <cell r="H777">
            <v>7.1556215276489059</v>
          </cell>
          <cell r="I777">
            <v>8.5976206044099897</v>
          </cell>
          <cell r="J777">
            <v>10.089533667853528</v>
          </cell>
          <cell r="K777">
            <v>10.785967999891605</v>
          </cell>
          <cell r="L777">
            <v>-82.846321196198048</v>
          </cell>
          <cell r="M777">
            <v>4.2816255349516537</v>
          </cell>
          <cell r="N777">
            <v>4.6550348251047025</v>
          </cell>
          <cell r="O777">
            <v>5.8362134009654225</v>
          </cell>
          <cell r="P777">
            <v>6.4463833042719285</v>
          </cell>
          <cell r="Q777">
            <v>6.4890938847120507</v>
          </cell>
          <cell r="R777" t="e">
            <v>#REF!</v>
          </cell>
          <cell r="S777" t="e">
            <v>#REF!</v>
          </cell>
          <cell r="T777" t="e">
            <v>#REF!</v>
          </cell>
          <cell r="U777" t="e">
            <v>#REF!</v>
          </cell>
          <cell r="V777" t="e">
            <v>#REF!</v>
          </cell>
        </row>
        <row r="778">
          <cell r="F778">
            <v>0.2</v>
          </cell>
          <cell r="G778">
            <v>0.2</v>
          </cell>
          <cell r="H778">
            <v>0.3</v>
          </cell>
          <cell r="I778">
            <v>0.67298208532715653</v>
          </cell>
          <cell r="J778">
            <v>2.8654767313417189</v>
          </cell>
          <cell r="K778">
            <v>3.2221587362995936</v>
          </cell>
          <cell r="L778">
            <v>-33.401723432383285</v>
          </cell>
          <cell r="M778">
            <v>1.6639834857585174</v>
          </cell>
          <cell r="N778">
            <v>2.1546912849352085</v>
          </cell>
          <cell r="O778">
            <v>2.5085607808328572</v>
          </cell>
          <cell r="P778">
            <v>2.7231858695313038</v>
          </cell>
          <cell r="Q778">
            <v>2.8217559111343555</v>
          </cell>
          <cell r="R778" t="e">
            <v>#REF!</v>
          </cell>
          <cell r="S778" t="e">
            <v>#REF!</v>
          </cell>
          <cell r="T778" t="e">
            <v>#REF!</v>
          </cell>
          <cell r="U778" t="e">
            <v>#REF!</v>
          </cell>
          <cell r="V778" t="e">
            <v>#REF!</v>
          </cell>
        </row>
        <row r="779">
          <cell r="F779">
            <v>40.218777242969651</v>
          </cell>
          <cell r="G779">
            <v>32.318184567907259</v>
          </cell>
          <cell r="H779">
            <v>38.150238988136266</v>
          </cell>
          <cell r="I779">
            <v>41.342633029572866</v>
          </cell>
          <cell r="J779">
            <v>47.249432141057461</v>
          </cell>
          <cell r="K779">
            <v>50.008854557780943</v>
          </cell>
          <cell r="L779">
            <v>-433.89314885301366</v>
          </cell>
          <cell r="M779">
            <v>17.567264823705838</v>
          </cell>
          <cell r="N779">
            <v>22.547036958299351</v>
          </cell>
          <cell r="O779">
            <v>25.854952084837517</v>
          </cell>
          <cell r="P779">
            <v>26.797759549308072</v>
          </cell>
          <cell r="Q779">
            <v>26.606470368939338</v>
          </cell>
          <cell r="R779" t="e">
            <v>#REF!</v>
          </cell>
          <cell r="S779" t="e">
            <v>#REF!</v>
          </cell>
          <cell r="T779" t="e">
            <v>#REF!</v>
          </cell>
          <cell r="U779" t="e">
            <v>#REF!</v>
          </cell>
          <cell r="V779" t="e">
            <v>#REF!</v>
          </cell>
        </row>
        <row r="780">
          <cell r="F780">
            <v>-3.815065395680143</v>
          </cell>
          <cell r="G780">
            <v>2.4317895734864021</v>
          </cell>
          <cell r="H780">
            <v>3.6462100841397165</v>
          </cell>
          <cell r="I780">
            <v>4.1757986931210009</v>
          </cell>
          <cell r="J780">
            <v>5.693558900408255</v>
          </cell>
          <cell r="K780">
            <v>6.0114357370026967</v>
          </cell>
          <cell r="L780">
            <v>-65.003227596375822</v>
          </cell>
          <cell r="M780">
            <v>2.5783051204243224</v>
          </cell>
          <cell r="N780">
            <v>3.3663934392657717</v>
          </cell>
          <cell r="O780">
            <v>3.9274030824627504</v>
          </cell>
          <cell r="P780">
            <v>4.4631333965738378</v>
          </cell>
          <cell r="Q780">
            <v>4.9788365207621146</v>
          </cell>
          <cell r="R780" t="e">
            <v>#REF!</v>
          </cell>
          <cell r="S780" t="e">
            <v>#REF!</v>
          </cell>
          <cell r="T780" t="e">
            <v>#REF!</v>
          </cell>
          <cell r="U780" t="e">
            <v>#REF!</v>
          </cell>
          <cell r="V780" t="e">
            <v>#REF!</v>
          </cell>
        </row>
        <row r="781">
          <cell r="F781">
            <v>32.929073177864261</v>
          </cell>
          <cell r="G781">
            <v>35.262550415508343</v>
          </cell>
          <cell r="H781">
            <v>41.750962192217621</v>
          </cell>
          <cell r="I781">
            <v>42.399096700288844</v>
          </cell>
          <cell r="J781">
            <v>47.587160941651376</v>
          </cell>
          <cell r="K781">
            <v>52.081316275333485</v>
          </cell>
          <cell r="L781">
            <v>-345.91350681777197</v>
          </cell>
          <cell r="M781">
            <v>12.319317521647914</v>
          </cell>
          <cell r="N781">
            <v>15.520709425762059</v>
          </cell>
          <cell r="O781">
            <v>17.785715430377575</v>
          </cell>
          <cell r="P781">
            <v>17.886245556922066</v>
          </cell>
          <cell r="Q781">
            <v>16.829488498704954</v>
          </cell>
          <cell r="R781" t="e">
            <v>#REF!</v>
          </cell>
          <cell r="S781" t="e">
            <v>#REF!</v>
          </cell>
          <cell r="T781" t="e">
            <v>#REF!</v>
          </cell>
          <cell r="U781" t="e">
            <v>#REF!</v>
          </cell>
          <cell r="V781" t="e">
            <v>#REF!</v>
          </cell>
        </row>
        <row r="782">
          <cell r="F782">
            <v>42.054399973030826</v>
          </cell>
          <cell r="G782">
            <v>20.656428951735492</v>
          </cell>
          <cell r="H782">
            <v>22.756182770005289</v>
          </cell>
          <cell r="I782">
            <v>32.59522906962102</v>
          </cell>
          <cell r="J782">
            <v>37.443070106849035</v>
          </cell>
          <cell r="K782">
            <v>47.741613427012261</v>
          </cell>
          <cell r="L782">
            <v>-382.59670227432275</v>
          </cell>
          <cell r="M782">
            <v>22.786694462697277</v>
          </cell>
          <cell r="N782">
            <v>28.142492247672124</v>
          </cell>
          <cell r="O782">
            <v>30.782381895679297</v>
          </cell>
          <cell r="P782">
            <v>29.617060144479677</v>
          </cell>
          <cell r="Q782">
            <v>26.438350366263091</v>
          </cell>
          <cell r="R782" t="e">
            <v>#REF!</v>
          </cell>
          <cell r="S782" t="e">
            <v>#REF!</v>
          </cell>
          <cell r="T782" t="e">
            <v>#REF!</v>
          </cell>
          <cell r="U782" t="e">
            <v>#REF!</v>
          </cell>
          <cell r="V782" t="e">
            <v>#REF!</v>
          </cell>
        </row>
        <row r="783">
          <cell r="F783">
            <v>450.65981615845726</v>
          </cell>
          <cell r="G783">
            <v>307.0689751171102</v>
          </cell>
          <cell r="H783">
            <v>336.48043291940979</v>
          </cell>
          <cell r="I783">
            <v>368.35074023394253</v>
          </cell>
          <cell r="J783">
            <v>423.39047774449176</v>
          </cell>
          <cell r="K783">
            <v>501.8077611154269</v>
          </cell>
          <cell r="L783">
            <v>-3768.4615378539529</v>
          </cell>
          <cell r="M783">
            <v>162.98676929557664</v>
          </cell>
          <cell r="N783">
            <v>202.08992777904749</v>
          </cell>
          <cell r="O783">
            <v>230.65602515909831</v>
          </cell>
          <cell r="P783">
            <v>236.10629913453323</v>
          </cell>
          <cell r="Q783">
            <v>232.80379207567097</v>
          </cell>
          <cell r="R783" t="e">
            <v>#REF!</v>
          </cell>
          <cell r="S783" t="e">
            <v>#REF!</v>
          </cell>
          <cell r="T783" t="e">
            <v>#REF!</v>
          </cell>
          <cell r="U783" t="e">
            <v>#REF!</v>
          </cell>
          <cell r="V783" t="e">
            <v>#REF!</v>
          </cell>
        </row>
        <row r="784">
          <cell r="F784">
            <v>31.660261490765631</v>
          </cell>
          <cell r="G784">
            <v>14.039035304313854</v>
          </cell>
          <cell r="H784">
            <v>18.997140385341908</v>
          </cell>
          <cell r="I784">
            <v>20.362861502768386</v>
          </cell>
          <cell r="J784">
            <v>21.657208865639006</v>
          </cell>
          <cell r="K784">
            <v>22.702671451509886</v>
          </cell>
          <cell r="L784">
            <v>-134.22824876839152</v>
          </cell>
          <cell r="M784">
            <v>7.7295186866582828</v>
          </cell>
          <cell r="N784">
            <v>8.9248801803958742</v>
          </cell>
          <cell r="O784">
            <v>9.2287378816241432</v>
          </cell>
          <cell r="P784">
            <v>7.8223180720063095</v>
          </cell>
          <cell r="Q784">
            <v>6.2722198180718065</v>
          </cell>
          <cell r="R784" t="e">
            <v>#REF!</v>
          </cell>
          <cell r="S784" t="e">
            <v>#REF!</v>
          </cell>
          <cell r="T784" t="e">
            <v>#REF!</v>
          </cell>
          <cell r="U784" t="e">
            <v>#REF!</v>
          </cell>
          <cell r="V784" t="e">
            <v>#REF!</v>
          </cell>
        </row>
        <row r="785">
          <cell r="F785">
            <v>6.2374674683057068</v>
          </cell>
          <cell r="G785">
            <v>2.125134988607579</v>
          </cell>
          <cell r="H785">
            <v>2.7124084905635586</v>
          </cell>
          <cell r="I785">
            <v>2.6858384837963154</v>
          </cell>
          <cell r="J785">
            <v>3.2855535556345838</v>
          </cell>
          <cell r="K785">
            <v>3.4705676904006983</v>
          </cell>
          <cell r="L785">
            <v>-23.233114372347881</v>
          </cell>
          <cell r="M785">
            <v>1.1812828133584081</v>
          </cell>
          <cell r="N785">
            <v>1.3860183670064556</v>
          </cell>
          <cell r="O785">
            <v>1.4875617198791311</v>
          </cell>
          <cell r="P785">
            <v>1.3684193170690926</v>
          </cell>
          <cell r="Q785">
            <v>1.1722939827637007</v>
          </cell>
          <cell r="R785" t="e">
            <v>#REF!</v>
          </cell>
          <cell r="S785" t="e">
            <v>#REF!</v>
          </cell>
          <cell r="T785" t="e">
            <v>#REF!</v>
          </cell>
          <cell r="U785" t="e">
            <v>#REF!</v>
          </cell>
          <cell r="V785" t="e">
            <v>#REF!</v>
          </cell>
        </row>
        <row r="786">
          <cell r="F786">
            <v>47.969276081674352</v>
          </cell>
          <cell r="G786">
            <v>27.736237483741995</v>
          </cell>
          <cell r="H786">
            <v>37.804929276679765</v>
          </cell>
          <cell r="I786">
            <v>39.958477750604843</v>
          </cell>
          <cell r="J786">
            <v>41.357326741372397</v>
          </cell>
          <cell r="K786">
            <v>42.47710562990158</v>
          </cell>
          <cell r="L786">
            <v>-275.03130864672863</v>
          </cell>
          <cell r="M786">
            <v>14.865946659297629</v>
          </cell>
          <cell r="N786">
            <v>17.275974225608756</v>
          </cell>
          <cell r="O786">
            <v>17.677125533328983</v>
          </cell>
          <cell r="P786">
            <v>14.718499697171239</v>
          </cell>
          <cell r="Q786">
            <v>10.757498735621109</v>
          </cell>
          <cell r="R786" t="e">
            <v>#REF!</v>
          </cell>
          <cell r="S786" t="e">
            <v>#REF!</v>
          </cell>
          <cell r="T786" t="e">
            <v>#REF!</v>
          </cell>
          <cell r="U786" t="e">
            <v>#REF!</v>
          </cell>
          <cell r="V786" t="e">
            <v>#REF!</v>
          </cell>
        </row>
        <row r="787">
          <cell r="F787">
            <v>21.179563411107448</v>
          </cell>
          <cell r="G787">
            <v>52.525241281214683</v>
          </cell>
          <cell r="H787">
            <v>57.878315569760062</v>
          </cell>
          <cell r="I787">
            <v>68.327509658877332</v>
          </cell>
          <cell r="J787">
            <v>70.943542853160068</v>
          </cell>
          <cell r="K787">
            <v>83.411757236605169</v>
          </cell>
          <cell r="L787">
            <v>-643.84060713817428</v>
          </cell>
          <cell r="M787">
            <v>26.645376190773607</v>
          </cell>
          <cell r="N787">
            <v>33.554262634020432</v>
          </cell>
          <cell r="O787">
            <v>38.523809974304363</v>
          </cell>
          <cell r="P787">
            <v>40.02210464316304</v>
          </cell>
          <cell r="Q787">
            <v>39.457164760829208</v>
          </cell>
          <cell r="R787" t="e">
            <v>#REF!</v>
          </cell>
          <cell r="S787" t="e">
            <v>#REF!</v>
          </cell>
          <cell r="T787" t="e">
            <v>#REF!</v>
          </cell>
          <cell r="U787" t="e">
            <v>#REF!</v>
          </cell>
          <cell r="V787" t="e">
            <v>#REF!</v>
          </cell>
        </row>
        <row r="788">
          <cell r="F788">
            <v>26.810014167186395</v>
          </cell>
          <cell r="G788">
            <v>15.820696625672339</v>
          </cell>
          <cell r="H788">
            <v>19.647968505246638</v>
          </cell>
          <cell r="I788">
            <v>19.906617278547991</v>
          </cell>
          <cell r="J788">
            <v>20.855262045759915</v>
          </cell>
          <cell r="K788">
            <v>21.731757121214581</v>
          </cell>
          <cell r="L788">
            <v>-164.75155893002639</v>
          </cell>
          <cell r="M788">
            <v>7.5912965447360605</v>
          </cell>
          <cell r="N788">
            <v>9.4106209735877133</v>
          </cell>
          <cell r="O788">
            <v>10.219280159569029</v>
          </cell>
          <cell r="P788">
            <v>9.7185508554154243</v>
          </cell>
          <cell r="Q788">
            <v>8.4161664348808252</v>
          </cell>
          <cell r="R788" t="e">
            <v>#REF!</v>
          </cell>
          <cell r="S788" t="e">
            <v>#REF!</v>
          </cell>
          <cell r="T788" t="e">
            <v>#REF!</v>
          </cell>
          <cell r="U788" t="e">
            <v>#REF!</v>
          </cell>
          <cell r="V788" t="e">
            <v>#REF!</v>
          </cell>
        </row>
        <row r="789">
          <cell r="F789">
            <v>8.6126492052381192</v>
          </cell>
          <cell r="G789">
            <v>9.6636811952336412</v>
          </cell>
          <cell r="H789">
            <v>10.036128956138255</v>
          </cell>
          <cell r="I789">
            <v>10.353942316665655</v>
          </cell>
          <cell r="J789">
            <v>12.139032063705752</v>
          </cell>
          <cell r="K789">
            <v>17.633535700695386</v>
          </cell>
          <cell r="L789">
            <v>-118.71465291595604</v>
          </cell>
          <cell r="M789">
            <v>7.1482017938241906</v>
          </cell>
          <cell r="N789">
            <v>9.089992665334222</v>
          </cell>
          <cell r="O789">
            <v>9.4467258991983751</v>
          </cell>
          <cell r="P789">
            <v>9.3881168443944887</v>
          </cell>
          <cell r="Q789">
            <v>8.4270492761750582</v>
          </cell>
          <cell r="R789" t="e">
            <v>#REF!</v>
          </cell>
          <cell r="S789" t="e">
            <v>#REF!</v>
          </cell>
          <cell r="T789" t="e">
            <v>#REF!</v>
          </cell>
          <cell r="U789" t="e">
            <v>#REF!</v>
          </cell>
          <cell r="V789" t="e">
            <v>#REF!</v>
          </cell>
        </row>
        <row r="1293">
          <cell r="F1293">
            <v>28.725968283737075</v>
          </cell>
          <cell r="G1293">
            <v>42.67272676048924</v>
          </cell>
          <cell r="H1293">
            <v>73.429720522629395</v>
          </cell>
          <cell r="I1293">
            <v>62.559694257193769</v>
          </cell>
          <cell r="J1293">
            <v>56.136164826154499</v>
          </cell>
          <cell r="K1293">
            <v>54.387006937420011</v>
          </cell>
          <cell r="L1293">
            <v>-2141.8816311449054</v>
          </cell>
          <cell r="M1293">
            <v>20.640024843969513</v>
          </cell>
          <cell r="N1293">
            <v>18.475419179350865</v>
          </cell>
          <cell r="O1293">
            <v>20.091498181510815</v>
          </cell>
          <cell r="P1293">
            <v>18.563247864563891</v>
          </cell>
          <cell r="Q1293">
            <v>29.163711400822706</v>
          </cell>
          <cell r="R1293" t="e">
            <v>#REF!</v>
          </cell>
          <cell r="S1293" t="e">
            <v>#REF!</v>
          </cell>
          <cell r="T1293" t="e">
            <v>#REF!</v>
          </cell>
          <cell r="U1293" t="e">
            <v>#REF!</v>
          </cell>
          <cell r="V1293" t="e">
            <v>#REF!</v>
          </cell>
        </row>
        <row r="1294">
          <cell r="F1294">
            <v>2354.9670539783801</v>
          </cell>
          <cell r="G1294">
            <v>104.46910973732383</v>
          </cell>
          <cell r="H1294">
            <v>245.98380410009258</v>
          </cell>
          <cell r="I1294">
            <v>124.23457071736175</v>
          </cell>
          <cell r="J1294">
            <v>124.61149730970055</v>
          </cell>
          <cell r="K1294">
            <v>92.986585027062915</v>
          </cell>
          <cell r="L1294">
            <v>-3876.9554094552336</v>
          </cell>
          <cell r="M1294">
            <v>-6.6616098093409164</v>
          </cell>
          <cell r="N1294">
            <v>33.660075396939646</v>
          </cell>
          <cell r="O1294">
            <v>36.858011271988744</v>
          </cell>
          <cell r="P1294">
            <v>-7.7166988788926574</v>
          </cell>
          <cell r="Q1294">
            <v>0.66567102767805864</v>
          </cell>
          <cell r="R1294" t="e">
            <v>#REF!</v>
          </cell>
          <cell r="S1294" t="e">
            <v>#REF!</v>
          </cell>
          <cell r="T1294" t="e">
            <v>#REF!</v>
          </cell>
          <cell r="U1294" t="e">
            <v>#REF!</v>
          </cell>
          <cell r="V1294" t="e">
            <v>#REF!</v>
          </cell>
        </row>
        <row r="1295">
          <cell r="F1295">
            <v>19.521628349409582</v>
          </cell>
          <cell r="G1295">
            <v>15.690204456968573</v>
          </cell>
          <cell r="H1295">
            <v>19.722099463468467</v>
          </cell>
          <cell r="I1295">
            <v>15.930972185673809</v>
          </cell>
          <cell r="J1295">
            <v>17.273935248645074</v>
          </cell>
          <cell r="K1295">
            <v>16.154789611863279</v>
          </cell>
          <cell r="L1295">
            <v>-182.75808116336628</v>
          </cell>
          <cell r="M1295">
            <v>7.0161577022045662</v>
          </cell>
          <cell r="N1295">
            <v>5.4618983825311602</v>
          </cell>
          <cell r="O1295">
            <v>4.2411855803811989</v>
          </cell>
          <cell r="P1295">
            <v>2.400562373963453</v>
          </cell>
          <cell r="Q1295">
            <v>1.6007543958420207</v>
          </cell>
          <cell r="R1295" t="e">
            <v>#REF!</v>
          </cell>
          <cell r="S1295" t="e">
            <v>#REF!</v>
          </cell>
          <cell r="T1295" t="e">
            <v>#REF!</v>
          </cell>
          <cell r="U1295" t="e">
            <v>#REF!</v>
          </cell>
          <cell r="V1295" t="e">
            <v>#REF!</v>
          </cell>
        </row>
        <row r="1296">
          <cell r="F1296">
            <v>10.883774338164841</v>
          </cell>
          <cell r="G1296">
            <v>4.1652187330717396</v>
          </cell>
          <cell r="H1296">
            <v>6.158474135878393</v>
          </cell>
          <cell r="I1296">
            <v>5.7836137633558877</v>
          </cell>
          <cell r="J1296">
            <v>5.6135202294733944</v>
          </cell>
          <cell r="K1296">
            <v>4.5929380889781797</v>
          </cell>
          <cell r="L1296">
            <v>-65.123344165875352</v>
          </cell>
          <cell r="M1296">
            <v>-0.62964352871549067</v>
          </cell>
          <cell r="N1296">
            <v>3.4748748116666306</v>
          </cell>
          <cell r="O1296">
            <v>3.1264007790863246</v>
          </cell>
          <cell r="P1296">
            <v>1.9716323133805886</v>
          </cell>
          <cell r="Q1296">
            <v>1.6624679450727164</v>
          </cell>
          <cell r="R1296" t="e">
            <v>#REF!</v>
          </cell>
          <cell r="S1296" t="e">
            <v>#REF!</v>
          </cell>
          <cell r="T1296" t="e">
            <v>#REF!</v>
          </cell>
          <cell r="U1296" t="e">
            <v>#REF!</v>
          </cell>
          <cell r="V1296" t="e">
            <v>#REF!</v>
          </cell>
        </row>
        <row r="1297">
          <cell r="F1297">
            <v>0.47144822408087039</v>
          </cell>
          <cell r="G1297">
            <v>0.19374616969513392</v>
          </cell>
          <cell r="H1297">
            <v>0.19430353069068884</v>
          </cell>
          <cell r="I1297">
            <v>0.20607363517722055</v>
          </cell>
          <cell r="J1297">
            <v>0.16088307782946587</v>
          </cell>
          <cell r="K1297">
            <v>0.1620686492308252</v>
          </cell>
          <cell r="L1297">
            <v>-3.3065277047463155</v>
          </cell>
          <cell r="M1297">
            <v>0.15104305074254043</v>
          </cell>
          <cell r="N1297">
            <v>0.16423809087645935</v>
          </cell>
          <cell r="O1297">
            <v>0.18462470669401521</v>
          </cell>
          <cell r="P1297">
            <v>0.15747239214736242</v>
          </cell>
          <cell r="Q1297">
            <v>0.18326683892269868</v>
          </cell>
          <cell r="R1297" t="e">
            <v>#REF!</v>
          </cell>
          <cell r="S1297" t="e">
            <v>#REF!</v>
          </cell>
          <cell r="T1297" t="e">
            <v>#REF!</v>
          </cell>
          <cell r="U1297" t="e">
            <v>#REF!</v>
          </cell>
          <cell r="V1297" t="e">
            <v>#REF!</v>
          </cell>
        </row>
        <row r="1298">
          <cell r="F1298">
            <v>16.993377542132492</v>
          </cell>
          <cell r="G1298">
            <v>4.782233834788542</v>
          </cell>
          <cell r="H1298">
            <v>15.675498459228294</v>
          </cell>
          <cell r="I1298">
            <v>4.0599749836785861</v>
          </cell>
          <cell r="J1298">
            <v>6.3208510778443454</v>
          </cell>
          <cell r="K1298">
            <v>8.4683363329415755</v>
          </cell>
          <cell r="L1298">
            <v>-205.08207687113651</v>
          </cell>
          <cell r="M1298">
            <v>1.0791664085527373</v>
          </cell>
          <cell r="N1298">
            <v>4.904582680159308</v>
          </cell>
          <cell r="O1298">
            <v>5.3532612134653164</v>
          </cell>
          <cell r="P1298">
            <v>5.6531530206889329</v>
          </cell>
          <cell r="Q1298">
            <v>8.0193847963689322</v>
          </cell>
          <cell r="R1298" t="e">
            <v>#REF!</v>
          </cell>
          <cell r="S1298" t="e">
            <v>#REF!</v>
          </cell>
          <cell r="T1298" t="e">
            <v>#REF!</v>
          </cell>
          <cell r="U1298" t="e">
            <v>#REF!</v>
          </cell>
          <cell r="V1298" t="e">
            <v>#REF!</v>
          </cell>
        </row>
        <row r="1299">
          <cell r="F1299">
            <v>14.753726699400602</v>
          </cell>
          <cell r="G1299">
            <v>6.9190728605177014</v>
          </cell>
          <cell r="H1299">
            <v>4.4905383875815801</v>
          </cell>
          <cell r="I1299">
            <v>7.5736167120572304</v>
          </cell>
          <cell r="J1299">
            <v>10.937363211883557</v>
          </cell>
          <cell r="K1299">
            <v>11.263506438789513</v>
          </cell>
          <cell r="L1299">
            <v>-280.18194371387483</v>
          </cell>
          <cell r="M1299">
            <v>8.9111195194352035</v>
          </cell>
          <cell r="N1299">
            <v>8.5887244677444414</v>
          </cell>
          <cell r="O1299">
            <v>8.8152545776372904</v>
          </cell>
          <cell r="P1299">
            <v>10.116818369998015</v>
          </cell>
          <cell r="Q1299">
            <v>14.176034488939102</v>
          </cell>
          <cell r="R1299" t="e">
            <v>#REF!</v>
          </cell>
          <cell r="S1299" t="e">
            <v>#REF!</v>
          </cell>
          <cell r="T1299" t="e">
            <v>#REF!</v>
          </cell>
          <cell r="U1299" t="e">
            <v>#REF!</v>
          </cell>
          <cell r="V1299" t="e">
            <v>#REF!</v>
          </cell>
        </row>
        <row r="1300">
          <cell r="F1300">
            <v>20.745147738163439</v>
          </cell>
          <cell r="G1300">
            <v>10.575961218309658</v>
          </cell>
          <cell r="H1300">
            <v>20.23655564458744</v>
          </cell>
          <cell r="I1300">
            <v>16.657387426697369</v>
          </cell>
          <cell r="J1300">
            <v>9.2006824910854519</v>
          </cell>
          <cell r="K1300">
            <v>13.073103021558616</v>
          </cell>
          <cell r="L1300">
            <v>-248.35815799488054</v>
          </cell>
          <cell r="M1300">
            <v>7.1973307736686252</v>
          </cell>
          <cell r="N1300">
            <v>7.2809965649710477</v>
          </cell>
          <cell r="O1300">
            <v>7.3163511126178378</v>
          </cell>
          <cell r="P1300">
            <v>8.4900983701725465</v>
          </cell>
          <cell r="Q1300">
            <v>11.22900200630113</v>
          </cell>
          <cell r="R1300" t="e">
            <v>#REF!</v>
          </cell>
          <cell r="S1300" t="e">
            <v>#REF!</v>
          </cell>
          <cell r="T1300" t="e">
            <v>#REF!</v>
          </cell>
          <cell r="U1300" t="e">
            <v>#REF!</v>
          </cell>
          <cell r="V1300" t="e">
            <v>#REF!</v>
          </cell>
        </row>
        <row r="1301">
          <cell r="F1301">
            <v>30.573874192560652</v>
          </cell>
          <cell r="G1301">
            <v>12.992401425788444</v>
          </cell>
          <cell r="H1301">
            <v>34.526969645750683</v>
          </cell>
          <cell r="I1301">
            <v>21.411502084581002</v>
          </cell>
          <cell r="J1301">
            <v>29.294141191237884</v>
          </cell>
          <cell r="K1301">
            <v>35.305604926789698</v>
          </cell>
          <cell r="L1301">
            <v>-660.52615452050907</v>
          </cell>
          <cell r="M1301">
            <v>14.089845564358939</v>
          </cell>
          <cell r="N1301">
            <v>14.144964518635334</v>
          </cell>
          <cell r="O1301">
            <v>13.290667686742495</v>
          </cell>
          <cell r="P1301">
            <v>15.062582020924424</v>
          </cell>
          <cell r="Q1301">
            <v>20.137404195089616</v>
          </cell>
          <cell r="R1301" t="e">
            <v>#REF!</v>
          </cell>
          <cell r="S1301" t="e">
            <v>#REF!</v>
          </cell>
          <cell r="T1301" t="e">
            <v>#REF!</v>
          </cell>
          <cell r="U1301" t="e">
            <v>#REF!</v>
          </cell>
          <cell r="V1301" t="e">
            <v>#REF!</v>
          </cell>
        </row>
        <row r="1302">
          <cell r="F1302">
            <v>7.3302010600677363</v>
          </cell>
          <cell r="G1302">
            <v>6.336286915026335</v>
          </cell>
          <cell r="H1302">
            <v>9.6375138690165869</v>
          </cell>
          <cell r="I1302">
            <v>8.9245915127864777</v>
          </cell>
          <cell r="J1302">
            <v>9.2370161966240403</v>
          </cell>
          <cell r="K1302">
            <v>7.4696796877569014</v>
          </cell>
          <cell r="L1302">
            <v>-90.427733951854492</v>
          </cell>
          <cell r="M1302">
            <v>4.7414996862082432</v>
          </cell>
          <cell r="N1302">
            <v>4.8365684363913317</v>
          </cell>
          <cell r="O1302">
            <v>4.9854754833281163</v>
          </cell>
          <cell r="P1302">
            <v>4.297829029730849</v>
          </cell>
          <cell r="Q1302">
            <v>4.3659408304898264</v>
          </cell>
          <cell r="R1302" t="e">
            <v>#REF!</v>
          </cell>
          <cell r="S1302" t="e">
            <v>#REF!</v>
          </cell>
          <cell r="T1302" t="e">
            <v>#REF!</v>
          </cell>
          <cell r="U1302" t="e">
            <v>#REF!</v>
          </cell>
          <cell r="V1302" t="e">
            <v>#REF!</v>
          </cell>
        </row>
        <row r="1303">
          <cell r="F1303">
            <v>7.6645598718673114</v>
          </cell>
          <cell r="G1303">
            <v>4.103964403324099</v>
          </cell>
          <cell r="H1303">
            <v>6.3704145295417902</v>
          </cell>
          <cell r="I1303">
            <v>7.594397322000404</v>
          </cell>
          <cell r="J1303">
            <v>9.9000613524330099</v>
          </cell>
          <cell r="K1303">
            <v>8.2879799449629736</v>
          </cell>
          <cell r="L1303">
            <v>-93.986369812085215</v>
          </cell>
          <cell r="M1303">
            <v>4.1006039362734157</v>
          </cell>
          <cell r="N1303">
            <v>3.6085679169608795</v>
          </cell>
          <cell r="O1303">
            <v>4.310702211460665</v>
          </cell>
          <cell r="P1303">
            <v>4.3820650089251814</v>
          </cell>
          <cell r="Q1303">
            <v>5.1259592665561797</v>
          </cell>
          <cell r="R1303" t="e">
            <v>#REF!</v>
          </cell>
          <cell r="S1303" t="e">
            <v>#REF!</v>
          </cell>
          <cell r="T1303" t="e">
            <v>#REF!</v>
          </cell>
          <cell r="U1303" t="e">
            <v>#REF!</v>
          </cell>
          <cell r="V1303" t="e">
            <v>#REF!</v>
          </cell>
        </row>
        <row r="1304">
          <cell r="F1304">
            <v>0</v>
          </cell>
          <cell r="G1304">
            <v>0</v>
          </cell>
          <cell r="H1304">
            <v>0</v>
          </cell>
          <cell r="I1304">
            <v>-0.39879285088464655</v>
          </cell>
          <cell r="J1304">
            <v>2.7547750889981941</v>
          </cell>
          <cell r="K1304">
            <v>1.9392548438461503</v>
          </cell>
          <cell r="L1304">
            <v>-42.442770099150685</v>
          </cell>
          <cell r="M1304">
            <v>2.0077794413297028</v>
          </cell>
          <cell r="N1304">
            <v>2.0437116558113431</v>
          </cell>
          <cell r="O1304">
            <v>2.1313809698487418</v>
          </cell>
          <cell r="P1304">
            <v>1.9130513461247816</v>
          </cell>
          <cell r="Q1304">
            <v>2.0004475408581328</v>
          </cell>
          <cell r="R1304" t="e">
            <v>#REF!</v>
          </cell>
          <cell r="S1304" t="e">
            <v>#REF!</v>
          </cell>
          <cell r="T1304" t="e">
            <v>#REF!</v>
          </cell>
          <cell r="U1304" t="e">
            <v>#REF!</v>
          </cell>
          <cell r="V1304" t="e">
            <v>#REF!</v>
          </cell>
        </row>
        <row r="1305">
          <cell r="F1305">
            <v>17.131118035509246</v>
          </cell>
          <cell r="G1305">
            <v>11.286758605442543</v>
          </cell>
          <cell r="H1305">
            <v>14.392124078859041</v>
          </cell>
          <cell r="I1305">
            <v>13.043480514812728</v>
          </cell>
          <cell r="J1305">
            <v>16.318497671446245</v>
          </cell>
          <cell r="K1305">
            <v>16.793248609024609</v>
          </cell>
          <cell r="L1305">
            <v>-254.75307840810783</v>
          </cell>
          <cell r="M1305">
            <v>5.4588230276350203</v>
          </cell>
          <cell r="N1305">
            <v>5.2373417121975478</v>
          </cell>
          <cell r="O1305">
            <v>4.9191454898347047</v>
          </cell>
          <cell r="P1305">
            <v>4.0754788207487707</v>
          </cell>
          <cell r="Q1305">
            <v>5.8620021191792979</v>
          </cell>
          <cell r="R1305" t="e">
            <v>#REF!</v>
          </cell>
          <cell r="S1305" t="e">
            <v>#REF!</v>
          </cell>
          <cell r="T1305" t="e">
            <v>#REF!</v>
          </cell>
          <cell r="U1305" t="e">
            <v>#REF!</v>
          </cell>
          <cell r="V1305" t="e">
            <v>#REF!</v>
          </cell>
        </row>
        <row r="1306">
          <cell r="F1306">
            <v>-4.454494483719472</v>
          </cell>
          <cell r="G1306">
            <v>3.5554011676522776</v>
          </cell>
          <cell r="H1306">
            <v>6.874955030304875</v>
          </cell>
          <cell r="I1306">
            <v>3.2880965009134826</v>
          </cell>
          <cell r="J1306">
            <v>6.9415495825425531</v>
          </cell>
          <cell r="K1306">
            <v>6.882905351129974</v>
          </cell>
          <cell r="L1306">
            <v>-85.119763691946147</v>
          </cell>
          <cell r="M1306">
            <v>4.057818055460416</v>
          </cell>
          <cell r="N1306">
            <v>4.3447304320369255</v>
          </cell>
          <cell r="O1306">
            <v>4.6177529224788998</v>
          </cell>
          <cell r="P1306">
            <v>3.8775905507980326</v>
          </cell>
          <cell r="Q1306">
            <v>4.2411837156121344</v>
          </cell>
          <cell r="R1306" t="e">
            <v>#REF!</v>
          </cell>
          <cell r="S1306" t="e">
            <v>#REF!</v>
          </cell>
          <cell r="T1306" t="e">
            <v>#REF!</v>
          </cell>
          <cell r="U1306" t="e">
            <v>#REF!</v>
          </cell>
          <cell r="V1306" t="e">
            <v>#REF!</v>
          </cell>
        </row>
        <row r="1307">
          <cell r="F1307">
            <v>18.822823043747519</v>
          </cell>
          <cell r="G1307">
            <v>19.003073858920288</v>
          </cell>
          <cell r="H1307">
            <v>25.285605881105624</v>
          </cell>
          <cell r="I1307">
            <v>18.298537026445274</v>
          </cell>
          <cell r="J1307">
            <v>23.792075953350974</v>
          </cell>
          <cell r="K1307">
            <v>25.735986739634555</v>
          </cell>
          <cell r="L1307">
            <v>-264.903682015068</v>
          </cell>
          <cell r="M1307">
            <v>4.9693989896000517</v>
          </cell>
          <cell r="N1307">
            <v>4.619350701156236</v>
          </cell>
          <cell r="O1307">
            <v>4.4703044426068743</v>
          </cell>
          <cell r="P1307">
            <v>3.4105359906101853</v>
          </cell>
          <cell r="Q1307">
            <v>4.881872000958996</v>
          </cell>
          <cell r="R1307" t="e">
            <v>#REF!</v>
          </cell>
          <cell r="S1307" t="e">
            <v>#REF!</v>
          </cell>
          <cell r="T1307" t="e">
            <v>#REF!</v>
          </cell>
          <cell r="U1307" t="e">
            <v>#REF!</v>
          </cell>
          <cell r="V1307" t="e">
            <v>#REF!</v>
          </cell>
        </row>
        <row r="1308">
          <cell r="F1308">
            <v>86.463834689493979</v>
          </cell>
          <cell r="G1308">
            <v>27.253110906638767</v>
          </cell>
          <cell r="H1308">
            <v>28.805044554663255</v>
          </cell>
          <cell r="I1308">
            <v>43.362274966903783</v>
          </cell>
          <cell r="J1308">
            <v>52.724978575881607</v>
          </cell>
          <cell r="K1308">
            <v>70.927323422820564</v>
          </cell>
          <cell r="L1308">
            <v>-946.37488756503785</v>
          </cell>
          <cell r="M1308">
            <v>50.361392183290718</v>
          </cell>
          <cell r="N1308">
            <v>48.806274507807075</v>
          </cell>
          <cell r="O1308">
            <v>45.513178736721557</v>
          </cell>
          <cell r="P1308">
            <v>29.33415693909933</v>
          </cell>
          <cell r="Q1308">
            <v>26.630650940119182</v>
          </cell>
          <cell r="R1308" t="e">
            <v>#REF!</v>
          </cell>
          <cell r="S1308" t="e">
            <v>#REF!</v>
          </cell>
          <cell r="T1308" t="e">
            <v>#REF!</v>
          </cell>
          <cell r="U1308" t="e">
            <v>#REF!</v>
          </cell>
          <cell r="V1308" t="e">
            <v>#REF!</v>
          </cell>
        </row>
        <row r="1309">
          <cell r="F1309">
            <v>505.3799257562132</v>
          </cell>
          <cell r="G1309">
            <v>255.98278798097726</v>
          </cell>
          <cell r="H1309">
            <v>331.18938793477264</v>
          </cell>
          <cell r="I1309">
            <v>336.60010603598676</v>
          </cell>
          <cell r="J1309">
            <v>242.4709890836964</v>
          </cell>
          <cell r="K1309">
            <v>348.97233468351055</v>
          </cell>
          <cell r="L1309">
            <v>-5797.3804554245062</v>
          </cell>
          <cell r="M1309">
            <v>91.120544002290444</v>
          </cell>
          <cell r="N1309">
            <v>75.352399382554722</v>
          </cell>
          <cell r="O1309">
            <v>57.559331442093935</v>
          </cell>
          <cell r="P1309">
            <v>28.184945329328912</v>
          </cell>
          <cell r="Q1309">
            <v>42.097386843979308</v>
          </cell>
          <cell r="R1309" t="e">
            <v>#REF!</v>
          </cell>
          <cell r="S1309" t="e">
            <v>#REF!</v>
          </cell>
          <cell r="T1309" t="e">
            <v>#REF!</v>
          </cell>
          <cell r="U1309" t="e">
            <v>#REF!</v>
          </cell>
          <cell r="V1309" t="e">
            <v>#REF!</v>
          </cell>
        </row>
        <row r="1310">
          <cell r="F1310">
            <v>92.189040108131053</v>
          </cell>
          <cell r="G1310">
            <v>16.909265503923621</v>
          </cell>
          <cell r="H1310">
            <v>54.801297129205182</v>
          </cell>
          <cell r="I1310">
            <v>25.930734463789804</v>
          </cell>
          <cell r="J1310">
            <v>27.048040962198371</v>
          </cell>
          <cell r="K1310">
            <v>27.732650918389083</v>
          </cell>
          <cell r="L1310">
            <v>-555.88533609274396</v>
          </cell>
          <cell r="M1310">
            <v>11.782577990152276</v>
          </cell>
          <cell r="N1310">
            <v>9.3569369771275888</v>
          </cell>
          <cell r="O1310">
            <v>7.70147569419305</v>
          </cell>
          <cell r="P1310">
            <v>0.42345143729335177</v>
          </cell>
          <cell r="Q1310">
            <v>5.5092791364872014</v>
          </cell>
          <cell r="R1310" t="e">
            <v>#REF!</v>
          </cell>
          <cell r="S1310" t="e">
            <v>#REF!</v>
          </cell>
          <cell r="T1310" t="e">
            <v>#REF!</v>
          </cell>
          <cell r="U1310" t="e">
            <v>#REF!</v>
          </cell>
          <cell r="V1310" t="e">
            <v>#REF!</v>
          </cell>
        </row>
        <row r="1311">
          <cell r="F1311">
            <v>5.292617572582575</v>
          </cell>
          <cell r="G1311">
            <v>1.3884926469854868</v>
          </cell>
          <cell r="H1311">
            <v>1.7590628414898806</v>
          </cell>
          <cell r="I1311">
            <v>1.5921571861881567</v>
          </cell>
          <cell r="J1311">
            <v>2.0110613546181844</v>
          </cell>
          <cell r="K1311">
            <v>2.031061683656314</v>
          </cell>
          <cell r="L1311">
            <v>-21.210371754228124</v>
          </cell>
          <cell r="M1311">
            <v>0.95366761864704941</v>
          </cell>
          <cell r="N1311">
            <v>0.89526048559507387</v>
          </cell>
          <cell r="O1311">
            <v>0.79995887678941813</v>
          </cell>
          <cell r="P1311">
            <v>0.49838285544931793</v>
          </cell>
          <cell r="Q1311">
            <v>0.42233031818531508</v>
          </cell>
          <cell r="R1311" t="e">
            <v>#REF!</v>
          </cell>
          <cell r="S1311" t="e">
            <v>#REF!</v>
          </cell>
          <cell r="T1311" t="e">
            <v>#REF!</v>
          </cell>
          <cell r="U1311" t="e">
            <v>#REF!</v>
          </cell>
          <cell r="V1311" t="e">
            <v>#REF!</v>
          </cell>
        </row>
        <row r="1312">
          <cell r="F1312">
            <v>0</v>
          </cell>
          <cell r="G1312">
            <v>144.27194560220005</v>
          </cell>
          <cell r="H1312">
            <v>74.768274433773058</v>
          </cell>
          <cell r="I1312">
            <v>44.597205865932665</v>
          </cell>
          <cell r="J1312">
            <v>42.092703146490749</v>
          </cell>
          <cell r="K1312">
            <v>40.967709748232721</v>
          </cell>
          <cell r="L1312">
            <v>-1256.8337800104152</v>
          </cell>
          <cell r="M1312">
            <v>11.860954325716648</v>
          </cell>
          <cell r="N1312">
            <v>3.9702030019000176</v>
          </cell>
          <cell r="O1312">
            <v>-2.3848347885045769</v>
          </cell>
          <cell r="P1312">
            <v>-7.183964252296164</v>
          </cell>
          <cell r="Q1312">
            <v>1.7512109742181305</v>
          </cell>
          <cell r="R1312" t="e">
            <v>#REF!</v>
          </cell>
          <cell r="S1312" t="e">
            <v>#REF!</v>
          </cell>
          <cell r="T1312" t="e">
            <v>#REF!</v>
          </cell>
          <cell r="U1312" t="e">
            <v>#REF!</v>
          </cell>
          <cell r="V1312" t="e">
            <v>#REF!</v>
          </cell>
        </row>
        <row r="1313">
          <cell r="F1313">
            <v>30.488049470175611</v>
          </cell>
          <cell r="G1313">
            <v>399.05721920163342</v>
          </cell>
          <cell r="H1313">
            <v>444.83209094755239</v>
          </cell>
          <cell r="I1313">
            <v>498.26271169999382</v>
          </cell>
          <cell r="J1313">
            <v>510.84523945595106</v>
          </cell>
          <cell r="K1313">
            <v>542.61356996862173</v>
          </cell>
          <cell r="L1313">
            <v>-8658.356260658913</v>
          </cell>
          <cell r="M1313">
            <v>129.42294540198782</v>
          </cell>
          <cell r="N1313">
            <v>108.30946517311895</v>
          </cell>
          <cell r="O1313">
            <v>82.003768484619286</v>
          </cell>
          <cell r="P1313">
            <v>34.955896709721856</v>
          </cell>
          <cell r="Q1313">
            <v>55.048606978839075</v>
          </cell>
          <cell r="R1313" t="e">
            <v>#REF!</v>
          </cell>
          <cell r="S1313" t="e">
            <v>#REF!</v>
          </cell>
          <cell r="T1313" t="e">
            <v>#REF!</v>
          </cell>
          <cell r="U1313" t="e">
            <v>#REF!</v>
          </cell>
          <cell r="V1313" t="e">
            <v>#REF!</v>
          </cell>
        </row>
        <row r="1314">
          <cell r="F1314">
            <v>87.757148664372949</v>
          </cell>
          <cell r="G1314">
            <v>32.621343589323601</v>
          </cell>
          <cell r="H1314">
            <v>60.497552727277139</v>
          </cell>
          <cell r="I1314">
            <v>32.913648984961128</v>
          </cell>
          <cell r="J1314">
            <v>33.209976579005001</v>
          </cell>
          <cell r="K1314">
            <v>41.175877281848386</v>
          </cell>
          <cell r="L1314">
            <v>-767.66342357149415</v>
          </cell>
          <cell r="M1314">
            <v>10.472132797365475</v>
          </cell>
          <cell r="N1314">
            <v>8.2414691486928859</v>
          </cell>
          <cell r="O1314">
            <v>4.884579070868881</v>
          </cell>
          <cell r="P1314">
            <v>-1.8018059388087977</v>
          </cell>
          <cell r="Q1314">
            <v>-0.14990638010519497</v>
          </cell>
          <cell r="R1314" t="e">
            <v>#REF!</v>
          </cell>
          <cell r="S1314" t="e">
            <v>#REF!</v>
          </cell>
          <cell r="T1314" t="e">
            <v>#REF!</v>
          </cell>
          <cell r="U1314" t="e">
            <v>#REF!</v>
          </cell>
          <cell r="V1314" t="e">
            <v>#REF!</v>
          </cell>
        </row>
        <row r="1315">
          <cell r="F1315">
            <v>6.2943029771823831</v>
          </cell>
          <cell r="G1315">
            <v>6.6707804309081666</v>
          </cell>
          <cell r="H1315">
            <v>5.8790805425281292</v>
          </cell>
          <cell r="I1315">
            <v>5.1982624737518677</v>
          </cell>
          <cell r="J1315">
            <v>-5.3729778340818957</v>
          </cell>
          <cell r="K1315">
            <v>-8.2955920577363873</v>
          </cell>
          <cell r="L1315">
            <v>-220.13453864746936</v>
          </cell>
          <cell r="M1315">
            <v>5.1128929317548</v>
          </cell>
          <cell r="N1315">
            <v>4.8724224576170059</v>
          </cell>
          <cell r="O1315">
            <v>3.125155808839736</v>
          </cell>
          <cell r="P1315">
            <v>2.4860122607575477</v>
          </cell>
          <cell r="Q1315">
            <v>3.6453234225393132</v>
          </cell>
          <cell r="R1315" t="e">
            <v>#REF!</v>
          </cell>
          <cell r="S1315" t="e">
            <v>#REF!</v>
          </cell>
          <cell r="T1315" t="e">
            <v>#REF!</v>
          </cell>
          <cell r="U1315" t="e">
            <v>#REF!</v>
          </cell>
          <cell r="V1315" t="e">
            <v>#REF!</v>
          </cell>
        </row>
        <row r="1331">
          <cell r="F1331">
            <v>46.51083205162567</v>
          </cell>
          <cell r="G1331">
            <v>68.737118734534434</v>
          </cell>
          <cell r="H1331">
            <v>116.88048878735049</v>
          </cell>
          <cell r="I1331">
            <v>101.00764298565657</v>
          </cell>
          <cell r="J1331">
            <v>91.900077470484177</v>
          </cell>
          <cell r="K1331">
            <v>89.678376015101463</v>
          </cell>
          <cell r="L1331">
            <v>-3291.5421384669717</v>
          </cell>
          <cell r="M1331">
            <v>32.790698160855584</v>
          </cell>
          <cell r="N1331">
            <v>32.314388038006889</v>
          </cell>
          <cell r="O1331">
            <v>36.831019499851713</v>
          </cell>
          <cell r="P1331">
            <v>38.67973401171794</v>
          </cell>
          <cell r="Q1331">
            <v>53.374032507638262</v>
          </cell>
          <cell r="R1331" t="e">
            <v>#REF!</v>
          </cell>
          <cell r="S1331" t="e">
            <v>#REF!</v>
          </cell>
          <cell r="T1331" t="e">
            <v>#REF!</v>
          </cell>
          <cell r="U1331" t="e">
            <v>#REF!</v>
          </cell>
          <cell r="V1331" t="e">
            <v>#REF!</v>
          </cell>
        </row>
        <row r="1332">
          <cell r="F1332">
            <v>3176.9779436213139</v>
          </cell>
          <cell r="G1332">
            <v>187.35637597420146</v>
          </cell>
          <cell r="H1332">
            <v>380.65810928815824</v>
          </cell>
          <cell r="I1332">
            <v>222.08726525198955</v>
          </cell>
          <cell r="J1332">
            <v>225.59600535785546</v>
          </cell>
          <cell r="K1332">
            <v>188.09682681082452</v>
          </cell>
          <cell r="L1332">
            <v>-5135.7086017772162</v>
          </cell>
          <cell r="M1332">
            <v>15.189221985852118</v>
          </cell>
          <cell r="N1332">
            <v>78.373342452646654</v>
          </cell>
          <cell r="O1332">
            <v>90.187778003712339</v>
          </cell>
          <cell r="P1332">
            <v>34.538260354773065</v>
          </cell>
          <cell r="Q1332">
            <v>40.831763609961335</v>
          </cell>
          <cell r="R1332" t="e">
            <v>#REF!</v>
          </cell>
          <cell r="S1332" t="e">
            <v>#REF!</v>
          </cell>
          <cell r="T1332" t="e">
            <v>#REF!</v>
          </cell>
          <cell r="U1332" t="e">
            <v>#REF!</v>
          </cell>
          <cell r="V1332" t="e">
            <v>#REF!</v>
          </cell>
        </row>
        <row r="1333">
          <cell r="F1333">
            <v>27.693034675925947</v>
          </cell>
          <cell r="G1333">
            <v>22.67403039089772</v>
          </cell>
          <cell r="H1333">
            <v>28.488364746169943</v>
          </cell>
          <cell r="I1333">
            <v>23.51336254089528</v>
          </cell>
          <cell r="J1333">
            <v>25.60075784554045</v>
          </cell>
          <cell r="K1333">
            <v>24.313968002908268</v>
          </cell>
          <cell r="L1333">
            <v>-250.48215634706617</v>
          </cell>
          <cell r="M1333">
            <v>10.480130286643632</v>
          </cell>
          <cell r="N1333">
            <v>8.8745321775575601</v>
          </cell>
          <cell r="O1333">
            <v>7.6502731052024071</v>
          </cell>
          <cell r="P1333">
            <v>5.377110393816233</v>
          </cell>
          <cell r="Q1333">
            <v>4.1735576273175443</v>
          </cell>
          <cell r="R1333" t="e">
            <v>#REF!</v>
          </cell>
          <cell r="S1333" t="e">
            <v>#REF!</v>
          </cell>
          <cell r="T1333" t="e">
            <v>#REF!</v>
          </cell>
          <cell r="U1333" t="e">
            <v>#REF!</v>
          </cell>
          <cell r="V1333" t="e">
            <v>#REF!</v>
          </cell>
        </row>
        <row r="1334">
          <cell r="F1334">
            <v>24.817281898849764</v>
          </cell>
          <cell r="G1334">
            <v>10.810295383537831</v>
          </cell>
          <cell r="H1334">
            <v>15.827490933113266</v>
          </cell>
          <cell r="I1334">
            <v>15.61525271450803</v>
          </cell>
          <cell r="J1334">
            <v>15.66643848435924</v>
          </cell>
          <cell r="K1334">
            <v>13.852828200587888</v>
          </cell>
          <cell r="L1334">
            <v>-141.57212619546408</v>
          </cell>
          <cell r="M1334">
            <v>-1.1774855260002632</v>
          </cell>
          <cell r="N1334">
            <v>8.8238867574177284</v>
          </cell>
          <cell r="O1334">
            <v>8.8761858965745652</v>
          </cell>
          <cell r="P1334">
            <v>7.49480993739847</v>
          </cell>
          <cell r="Q1334">
            <v>6.5059932003946601</v>
          </cell>
          <cell r="R1334" t="e">
            <v>#REF!</v>
          </cell>
          <cell r="S1334" t="e">
            <v>#REF!</v>
          </cell>
          <cell r="T1334" t="e">
            <v>#REF!</v>
          </cell>
          <cell r="U1334" t="e">
            <v>#REF!</v>
          </cell>
          <cell r="V1334" t="e">
            <v>#REF!</v>
          </cell>
        </row>
        <row r="1335">
          <cell r="F1335">
            <v>2.4318436528606648</v>
          </cell>
          <cell r="G1335">
            <v>0.91361777599157001</v>
          </cell>
          <cell r="H1335">
            <v>0.94595209819758119</v>
          </cell>
          <cell r="I1335">
            <v>1.0414788264328232</v>
          </cell>
          <cell r="J1335">
            <v>0.78783391279704662</v>
          </cell>
          <cell r="K1335">
            <v>0.80896707896503517</v>
          </cell>
          <cell r="L1335">
            <v>-18.714642820970546</v>
          </cell>
          <cell r="M1335">
            <v>0.56404009788460097</v>
          </cell>
          <cell r="N1335">
            <v>0.70404035275224552</v>
          </cell>
          <cell r="O1335">
            <v>0.85107352869182384</v>
          </cell>
          <cell r="P1335">
            <v>0.96072274710795991</v>
          </cell>
          <cell r="Q1335">
            <v>1.1588107502523102</v>
          </cell>
          <cell r="R1335" t="e">
            <v>#REF!</v>
          </cell>
          <cell r="S1335" t="e">
            <v>#REF!</v>
          </cell>
          <cell r="T1335" t="e">
            <v>#REF!</v>
          </cell>
          <cell r="U1335" t="e">
            <v>#REF!</v>
          </cell>
          <cell r="V1335" t="e">
            <v>#REF!</v>
          </cell>
        </row>
        <row r="1336">
          <cell r="F1336">
            <v>38.182940355929013</v>
          </cell>
          <cell r="G1336">
            <v>14.536830955456164</v>
          </cell>
          <cell r="H1336">
            <v>28.180685564417068</v>
          </cell>
          <cell r="I1336">
            <v>17.745524204732796</v>
          </cell>
          <cell r="J1336">
            <v>24.112904767209759</v>
          </cell>
          <cell r="K1336">
            <v>27.214958553017109</v>
          </cell>
          <cell r="L1336">
            <v>-408.66022576716705</v>
          </cell>
          <cell r="M1336">
            <v>5.4180334413664104</v>
          </cell>
          <cell r="N1336">
            <v>15.759142242630201</v>
          </cell>
          <cell r="O1336">
            <v>18.588103133472167</v>
          </cell>
          <cell r="P1336">
            <v>19.76470809298366</v>
          </cell>
          <cell r="Q1336">
            <v>22.89670724331388</v>
          </cell>
          <cell r="R1336" t="e">
            <v>#REF!</v>
          </cell>
          <cell r="S1336" t="e">
            <v>#REF!</v>
          </cell>
          <cell r="T1336" t="e">
            <v>#REF!</v>
          </cell>
          <cell r="U1336" t="e">
            <v>#REF!</v>
          </cell>
          <cell r="V1336" t="e">
            <v>#REF!</v>
          </cell>
        </row>
        <row r="1337">
          <cell r="F1337">
            <v>30.802575973275069</v>
          </cell>
          <cell r="G1337">
            <v>16.429437519058535</v>
          </cell>
          <cell r="H1337">
            <v>12.409727568334258</v>
          </cell>
          <cell r="I1337">
            <v>19.04183463950088</v>
          </cell>
          <cell r="J1337">
            <v>26.207580910798569</v>
          </cell>
          <cell r="K1337">
            <v>34.108186084176417</v>
          </cell>
          <cell r="L1337">
            <v>-544.73780143930799</v>
          </cell>
          <cell r="M1337">
            <v>19.032710104700975</v>
          </cell>
          <cell r="N1337">
            <v>20.990693047619246</v>
          </cell>
          <cell r="O1337">
            <v>23.34185738350957</v>
          </cell>
          <cell r="P1337">
            <v>27.161045608250301</v>
          </cell>
          <cell r="Q1337">
            <v>33.722002180283326</v>
          </cell>
          <cell r="R1337" t="e">
            <v>#REF!</v>
          </cell>
          <cell r="S1337" t="e">
            <v>#REF!</v>
          </cell>
          <cell r="T1337" t="e">
            <v>#REF!</v>
          </cell>
          <cell r="U1337" t="e">
            <v>#REF!</v>
          </cell>
          <cell r="V1337" t="e">
            <v>#REF!</v>
          </cell>
        </row>
        <row r="1338">
          <cell r="F1338">
            <v>43.28507863567161</v>
          </cell>
          <cell r="G1338">
            <v>23.946651753326979</v>
          </cell>
          <cell r="H1338">
            <v>37.986842806424818</v>
          </cell>
          <cell r="I1338">
            <v>35.597989746232955</v>
          </cell>
          <cell r="J1338">
            <v>28.416860740091398</v>
          </cell>
          <cell r="K1338">
            <v>34.881397913742163</v>
          </cell>
          <cell r="L1338">
            <v>-489.63049943840497</v>
          </cell>
          <cell r="M1338">
            <v>16.023482714905022</v>
          </cell>
          <cell r="N1338">
            <v>18.475798752033338</v>
          </cell>
          <cell r="O1338">
            <v>20.221088695419624</v>
          </cell>
          <cell r="P1338">
            <v>23.2589387743879</v>
          </cell>
          <cell r="Q1338">
            <v>27.417080841437379</v>
          </cell>
          <cell r="R1338" t="e">
            <v>#REF!</v>
          </cell>
          <cell r="S1338" t="e">
            <v>#REF!</v>
          </cell>
          <cell r="T1338" t="e">
            <v>#REF!</v>
          </cell>
          <cell r="U1338" t="e">
            <v>#REF!</v>
          </cell>
          <cell r="V1338" t="e">
            <v>#REF!</v>
          </cell>
        </row>
        <row r="1339">
          <cell r="F1339">
            <v>75.964669482957191</v>
          </cell>
          <cell r="G1339">
            <v>41.712157563378142</v>
          </cell>
          <cell r="H1339">
            <v>82.640023742644544</v>
          </cell>
          <cell r="I1339">
            <v>104.41318777121911</v>
          </cell>
          <cell r="J1339">
            <v>120.92422772540471</v>
          </cell>
          <cell r="K1339">
            <v>141.24389655572537</v>
          </cell>
          <cell r="L1339">
            <v>-1457.9341532901985</v>
          </cell>
          <cell r="M1339">
            <v>41.386179455760356</v>
          </cell>
          <cell r="N1339">
            <v>49.457817089550275</v>
          </cell>
          <cell r="O1339">
            <v>53.960162224518243</v>
          </cell>
          <cell r="P1339">
            <v>61.481499075146154</v>
          </cell>
          <cell r="Q1339">
            <v>70.075283691355025</v>
          </cell>
          <cell r="R1339" t="e">
            <v>#REF!</v>
          </cell>
          <cell r="S1339" t="e">
            <v>#REF!</v>
          </cell>
          <cell r="T1339" t="e">
            <v>#REF!</v>
          </cell>
          <cell r="U1339" t="e">
            <v>#REF!</v>
          </cell>
          <cell r="V1339" t="e">
            <v>#REF!</v>
          </cell>
        </row>
        <row r="1340">
          <cell r="F1340">
            <v>15.671538121522396</v>
          </cell>
          <cell r="G1340">
            <v>13.680667916852331</v>
          </cell>
          <cell r="H1340">
            <v>19.409674048360042</v>
          </cell>
          <cell r="I1340">
            <v>21.140426427003923</v>
          </cell>
          <cell r="J1340">
            <v>22.391052016667544</v>
          </cell>
          <cell r="K1340">
            <v>21.460978600797194</v>
          </cell>
          <cell r="L1340">
            <v>-226.38813137389525</v>
          </cell>
          <cell r="M1340">
            <v>9.43880114502198</v>
          </cell>
          <cell r="N1340">
            <v>10.639620072763257</v>
          </cell>
          <cell r="O1340">
            <v>12.018051581864102</v>
          </cell>
          <cell r="P1340">
            <v>12.27604608117819</v>
          </cell>
          <cell r="Q1340">
            <v>13.190523478018537</v>
          </cell>
          <cell r="R1340" t="e">
            <v>#REF!</v>
          </cell>
          <cell r="S1340" t="e">
            <v>#REF!</v>
          </cell>
          <cell r="T1340" t="e">
            <v>#REF!</v>
          </cell>
          <cell r="U1340" t="e">
            <v>#REF!</v>
          </cell>
          <cell r="V1340" t="e">
            <v>#REF!</v>
          </cell>
        </row>
        <row r="1341">
          <cell r="F1341">
            <v>15.313523104513916</v>
          </cell>
          <cell r="G1341">
            <v>8.9055143469556501</v>
          </cell>
          <cell r="H1341">
            <v>13.526036057190696</v>
          </cell>
          <cell r="I1341">
            <v>16.192017926410394</v>
          </cell>
          <cell r="J1341">
            <v>19.989595020286536</v>
          </cell>
          <cell r="K1341">
            <v>19.073947944854581</v>
          </cell>
          <cell r="L1341">
            <v>-176.83269100828326</v>
          </cell>
          <cell r="M1341">
            <v>8.3822294712250702</v>
          </cell>
          <cell r="N1341">
            <v>8.2636027420655829</v>
          </cell>
          <cell r="O1341">
            <v>10.146915612426088</v>
          </cell>
          <cell r="P1341">
            <v>10.828448313197111</v>
          </cell>
          <cell r="Q1341">
            <v>11.615053151268231</v>
          </cell>
          <cell r="R1341" t="e">
            <v>#REF!</v>
          </cell>
          <cell r="S1341" t="e">
            <v>#REF!</v>
          </cell>
          <cell r="T1341" t="e">
            <v>#REF!</v>
          </cell>
          <cell r="U1341" t="e">
            <v>#REF!</v>
          </cell>
          <cell r="V1341" t="e">
            <v>#REF!</v>
          </cell>
        </row>
        <row r="1342">
          <cell r="F1342">
            <v>0.2</v>
          </cell>
          <cell r="G1342">
            <v>0.2</v>
          </cell>
          <cell r="H1342">
            <v>0.3</v>
          </cell>
          <cell r="I1342">
            <v>0.27418923444250998</v>
          </cell>
          <cell r="J1342">
            <v>5.620251820339913</v>
          </cell>
          <cell r="K1342">
            <v>5.1614135801457444</v>
          </cell>
          <cell r="L1342">
            <v>-75.844493531533971</v>
          </cell>
          <cell r="M1342">
            <v>3.6717629270882202</v>
          </cell>
          <cell r="N1342">
            <v>4.1984029407465515</v>
          </cell>
          <cell r="O1342">
            <v>4.639941750681599</v>
          </cell>
          <cell r="P1342">
            <v>4.6362372156560854</v>
          </cell>
          <cell r="Q1342">
            <v>4.8222034519924879</v>
          </cell>
          <cell r="R1342" t="e">
            <v>#REF!</v>
          </cell>
          <cell r="S1342" t="e">
            <v>#REF!</v>
          </cell>
          <cell r="T1342" t="e">
            <v>#REF!</v>
          </cell>
          <cell r="U1342" t="e">
            <v>#REF!</v>
          </cell>
          <cell r="V1342" t="e">
            <v>#REF!</v>
          </cell>
        </row>
        <row r="1343">
          <cell r="F1343">
            <v>57.349895278478897</v>
          </cell>
          <cell r="G1343">
            <v>43.604943173349803</v>
          </cell>
          <cell r="H1343">
            <v>52.542363066995307</v>
          </cell>
          <cell r="I1343">
            <v>54.386113544385594</v>
          </cell>
          <cell r="J1343">
            <v>63.567929812503706</v>
          </cell>
          <cell r="K1343">
            <v>66.802103166805551</v>
          </cell>
          <cell r="L1343">
            <v>-688.64622726112145</v>
          </cell>
          <cell r="M1343">
            <v>23.026087851340858</v>
          </cell>
          <cell r="N1343">
            <v>27.784378670496899</v>
          </cell>
          <cell r="O1343">
            <v>30.774097574672222</v>
          </cell>
          <cell r="P1343">
            <v>30.873238370056843</v>
          </cell>
          <cell r="Q1343">
            <v>32.468472488118636</v>
          </cell>
          <cell r="R1343" t="e">
            <v>#REF!</v>
          </cell>
          <cell r="S1343" t="e">
            <v>#REF!</v>
          </cell>
          <cell r="T1343" t="e">
            <v>#REF!</v>
          </cell>
          <cell r="U1343" t="e">
            <v>#REF!</v>
          </cell>
          <cell r="V1343" t="e">
            <v>#REF!</v>
          </cell>
        </row>
        <row r="1344">
          <cell r="F1344">
            <v>-8.2695598793996155</v>
          </cell>
          <cell r="G1344">
            <v>5.9871907411386793</v>
          </cell>
          <cell r="H1344">
            <v>10.521165114444592</v>
          </cell>
          <cell r="I1344">
            <v>7.4638951940344835</v>
          </cell>
          <cell r="J1344">
            <v>12.635108482950809</v>
          </cell>
          <cell r="K1344">
            <v>12.89434108813267</v>
          </cell>
          <cell r="L1344">
            <v>-150.12299128832197</v>
          </cell>
          <cell r="M1344">
            <v>6.6361231758847383</v>
          </cell>
          <cell r="N1344">
            <v>7.7111238713026973</v>
          </cell>
          <cell r="O1344">
            <v>8.5451560049416493</v>
          </cell>
          <cell r="P1344">
            <v>8.3407239473718704</v>
          </cell>
          <cell r="Q1344">
            <v>9.2200202363742498</v>
          </cell>
          <cell r="R1344" t="e">
            <v>#REF!</v>
          </cell>
          <cell r="S1344" t="e">
            <v>#REF!</v>
          </cell>
          <cell r="T1344" t="e">
            <v>#REF!</v>
          </cell>
          <cell r="U1344" t="e">
            <v>#REF!</v>
          </cell>
          <cell r="V1344" t="e">
            <v>#REF!</v>
          </cell>
        </row>
        <row r="1345">
          <cell r="F1345">
            <v>51.75189622161178</v>
          </cell>
          <cell r="G1345">
            <v>54.265624274428632</v>
          </cell>
          <cell r="H1345">
            <v>67.036568073323252</v>
          </cell>
          <cell r="I1345">
            <v>60.697633726734118</v>
          </cell>
          <cell r="J1345">
            <v>71.37923689500235</v>
          </cell>
          <cell r="K1345">
            <v>77.817303014968047</v>
          </cell>
          <cell r="L1345">
            <v>-610.81718883283997</v>
          </cell>
          <cell r="M1345">
            <v>17.288716511247966</v>
          </cell>
          <cell r="N1345">
            <v>20.140060126918293</v>
          </cell>
          <cell r="O1345">
            <v>22.256019872984449</v>
          </cell>
          <cell r="P1345">
            <v>21.296781547532252</v>
          </cell>
          <cell r="Q1345">
            <v>21.71136049966395</v>
          </cell>
          <cell r="R1345" t="e">
            <v>#REF!</v>
          </cell>
          <cell r="S1345" t="e">
            <v>#REF!</v>
          </cell>
          <cell r="T1345" t="e">
            <v>#REF!</v>
          </cell>
          <cell r="U1345" t="e">
            <v>#REF!</v>
          </cell>
          <cell r="V1345" t="e">
            <v>#REF!</v>
          </cell>
        </row>
        <row r="1346">
          <cell r="F1346">
            <v>128.5182346625248</v>
          </cell>
          <cell r="G1346">
            <v>47.909539858374259</v>
          </cell>
          <cell r="H1346">
            <v>51.561227324668543</v>
          </cell>
          <cell r="I1346">
            <v>75.957504036524796</v>
          </cell>
          <cell r="J1346">
            <v>90.168048682730642</v>
          </cell>
          <cell r="K1346">
            <v>118.66893684983282</v>
          </cell>
          <cell r="L1346">
            <v>-1328.9715898393606</v>
          </cell>
          <cell r="M1346">
            <v>73.148086645988002</v>
          </cell>
          <cell r="N1346">
            <v>76.948766755479198</v>
          </cell>
          <cell r="O1346">
            <v>76.29556063240085</v>
          </cell>
          <cell r="P1346">
            <v>58.95121708357901</v>
          </cell>
          <cell r="Q1346">
            <v>53.069001306382276</v>
          </cell>
          <cell r="R1346" t="e">
            <v>#REF!</v>
          </cell>
          <cell r="S1346" t="e">
            <v>#REF!</v>
          </cell>
          <cell r="T1346" t="e">
            <v>#REF!</v>
          </cell>
          <cell r="U1346" t="e">
            <v>#REF!</v>
          </cell>
          <cell r="V1346" t="e">
            <v>#REF!</v>
          </cell>
        </row>
        <row r="1347">
          <cell r="F1347">
            <v>956.03974191467046</v>
          </cell>
          <cell r="G1347">
            <v>563.05176309808746</v>
          </cell>
          <cell r="H1347">
            <v>667.66982085418249</v>
          </cell>
          <cell r="I1347">
            <v>704.95084626992934</v>
          </cell>
          <cell r="J1347">
            <v>665.86146682818821</v>
          </cell>
          <cell r="K1347">
            <v>850.78009579893751</v>
          </cell>
          <cell r="L1347">
            <v>-9565.84199327846</v>
          </cell>
          <cell r="M1347">
            <v>254.10731329786708</v>
          </cell>
          <cell r="N1347">
            <v>277.44232716160218</v>
          </cell>
          <cell r="O1347">
            <v>288.21535660119224</v>
          </cell>
          <cell r="P1347">
            <v>264.29124446386214</v>
          </cell>
          <cell r="Q1347">
            <v>274.90117891965031</v>
          </cell>
          <cell r="R1347" t="e">
            <v>#REF!</v>
          </cell>
          <cell r="S1347" t="e">
            <v>#REF!</v>
          </cell>
          <cell r="T1347" t="e">
            <v>#REF!</v>
          </cell>
          <cell r="U1347" t="e">
            <v>#REF!</v>
          </cell>
          <cell r="V1347" t="e">
            <v>#REF!</v>
          </cell>
        </row>
        <row r="1348">
          <cell r="F1348">
            <v>123.84930159889669</v>
          </cell>
          <cell r="G1348">
            <v>30.948300808237477</v>
          </cell>
          <cell r="H1348">
            <v>73.798437514547089</v>
          </cell>
          <cell r="I1348">
            <v>46.293595966558186</v>
          </cell>
          <cell r="J1348">
            <v>48.705249827837378</v>
          </cell>
          <cell r="K1348">
            <v>50.435322369898969</v>
          </cell>
          <cell r="L1348">
            <v>-690.11358486113545</v>
          </cell>
          <cell r="M1348">
            <v>19.512096676810557</v>
          </cell>
          <cell r="N1348">
            <v>18.281817157523463</v>
          </cell>
          <cell r="O1348">
            <v>16.930213575817191</v>
          </cell>
          <cell r="P1348">
            <v>8.2457695092996612</v>
          </cell>
          <cell r="Q1348">
            <v>11.781498954559009</v>
          </cell>
          <cell r="R1348" t="e">
            <v>#REF!</v>
          </cell>
          <cell r="S1348" t="e">
            <v>#REF!</v>
          </cell>
          <cell r="T1348" t="e">
            <v>#REF!</v>
          </cell>
          <cell r="U1348" t="e">
            <v>#REF!</v>
          </cell>
          <cell r="V1348" t="e">
            <v>#REF!</v>
          </cell>
        </row>
        <row r="1349">
          <cell r="F1349">
            <v>11.530085040888281</v>
          </cell>
          <cell r="G1349">
            <v>3.5136276355930658</v>
          </cell>
          <cell r="H1349">
            <v>4.4714713320534392</v>
          </cell>
          <cell r="I1349">
            <v>4.2779956699844721</v>
          </cell>
          <cell r="J1349">
            <v>5.2966149102527682</v>
          </cell>
          <cell r="K1349">
            <v>5.5016293740570124</v>
          </cell>
          <cell r="L1349">
            <v>-44.443486126576005</v>
          </cell>
          <cell r="M1349">
            <v>2.1349504320054575</v>
          </cell>
          <cell r="N1349">
            <v>2.2812788526015293</v>
          </cell>
          <cell r="O1349">
            <v>2.287520596668549</v>
          </cell>
          <cell r="P1349">
            <v>1.8668021725184105</v>
          </cell>
          <cell r="Q1349">
            <v>1.5946243009490157</v>
          </cell>
          <cell r="R1349" t="e">
            <v>#REF!</v>
          </cell>
          <cell r="S1349" t="e">
            <v>#REF!</v>
          </cell>
          <cell r="T1349" t="e">
            <v>#REF!</v>
          </cell>
          <cell r="U1349" t="e">
            <v>#REF!</v>
          </cell>
          <cell r="V1349" t="e">
            <v>#REF!</v>
          </cell>
        </row>
        <row r="1350">
          <cell r="F1350">
            <v>47.969276081674352</v>
          </cell>
          <cell r="G1350">
            <v>172.00818308594205</v>
          </cell>
          <cell r="H1350">
            <v>112.57320371045282</v>
          </cell>
          <cell r="I1350">
            <v>84.555683616537507</v>
          </cell>
          <cell r="J1350">
            <v>83.450029887863138</v>
          </cell>
          <cell r="K1350">
            <v>83.444815378134308</v>
          </cell>
          <cell r="L1350">
            <v>-1531.8650886571438</v>
          </cell>
          <cell r="M1350">
            <v>26.726900985014275</v>
          </cell>
          <cell r="N1350">
            <v>21.246177227508774</v>
          </cell>
          <cell r="O1350">
            <v>15.292290744824406</v>
          </cell>
          <cell r="P1350">
            <v>7.5345354448750754</v>
          </cell>
          <cell r="Q1350">
            <v>12.508709709839239</v>
          </cell>
          <cell r="R1350" t="e">
            <v>#REF!</v>
          </cell>
          <cell r="S1350" t="e">
            <v>#REF!</v>
          </cell>
          <cell r="T1350" t="e">
            <v>#REF!</v>
          </cell>
          <cell r="U1350" t="e">
            <v>#REF!</v>
          </cell>
          <cell r="V1350" t="e">
            <v>#REF!</v>
          </cell>
        </row>
        <row r="1351">
          <cell r="F1351">
            <v>51.667612881283063</v>
          </cell>
          <cell r="G1351">
            <v>451.58246048284809</v>
          </cell>
          <cell r="H1351">
            <v>502.71040651731244</v>
          </cell>
          <cell r="I1351">
            <v>566.59022135887119</v>
          </cell>
          <cell r="J1351">
            <v>581.78878230911118</v>
          </cell>
          <cell r="K1351">
            <v>626.02532720522686</v>
          </cell>
          <cell r="L1351">
            <v>-9302.1968677970872</v>
          </cell>
          <cell r="M1351">
            <v>156.06832159276144</v>
          </cell>
          <cell r="N1351">
            <v>141.86372780713938</v>
          </cell>
          <cell r="O1351">
            <v>120.52757845892364</v>
          </cell>
          <cell r="P1351">
            <v>74.978001352884888</v>
          </cell>
          <cell r="Q1351">
            <v>94.50577173966829</v>
          </cell>
          <cell r="R1351" t="e">
            <v>#REF!</v>
          </cell>
          <cell r="S1351" t="e">
            <v>#REF!</v>
          </cell>
          <cell r="T1351" t="e">
            <v>#REF!</v>
          </cell>
          <cell r="U1351" t="e">
            <v>#REF!</v>
          </cell>
          <cell r="V1351" t="e">
            <v>#REF!</v>
          </cell>
        </row>
        <row r="1352">
          <cell r="F1352">
            <v>114.56716283155934</v>
          </cell>
          <cell r="G1352">
            <v>48.442040214995941</v>
          </cell>
          <cell r="H1352">
            <v>80.145521232523777</v>
          </cell>
          <cell r="I1352">
            <v>52.820266263509119</v>
          </cell>
          <cell r="J1352">
            <v>54.065238624764916</v>
          </cell>
          <cell r="K1352">
            <v>62.907634403062971</v>
          </cell>
          <cell r="L1352">
            <v>-932.41498250152051</v>
          </cell>
          <cell r="M1352">
            <v>18.063429342101536</v>
          </cell>
          <cell r="N1352">
            <v>17.652090122280597</v>
          </cell>
          <cell r="O1352">
            <v>15.10385923043791</v>
          </cell>
          <cell r="P1352">
            <v>7.9167449166066266</v>
          </cell>
          <cell r="Q1352">
            <v>8.2662600547756302</v>
          </cell>
          <cell r="R1352" t="e">
            <v>#REF!</v>
          </cell>
          <cell r="S1352" t="e">
            <v>#REF!</v>
          </cell>
          <cell r="T1352" t="e">
            <v>#REF!</v>
          </cell>
          <cell r="U1352" t="e">
            <v>#REF!</v>
          </cell>
          <cell r="V1352" t="e">
            <v>#REF!</v>
          </cell>
        </row>
        <row r="1353">
          <cell r="F1353">
            <v>14.906952182420502</v>
          </cell>
          <cell r="G1353">
            <v>16.33446162614181</v>
          </cell>
          <cell r="H1353">
            <v>15.915209498666384</v>
          </cell>
          <cell r="I1353">
            <v>15.552204790417523</v>
          </cell>
          <cell r="J1353">
            <v>6.7660542296238564</v>
          </cell>
          <cell r="K1353">
            <v>9.337943642958999</v>
          </cell>
          <cell r="L1353">
            <v>-338.84919156342539</v>
          </cell>
          <cell r="M1353">
            <v>12.261094725578991</v>
          </cell>
          <cell r="N1353">
            <v>13.962415122951228</v>
          </cell>
          <cell r="O1353">
            <v>12.571881708038111</v>
          </cell>
          <cell r="P1353">
            <v>11.874129105152036</v>
          </cell>
          <cell r="Q1353">
            <v>12.072372698714371</v>
          </cell>
          <cell r="R1353" t="e">
            <v>#REF!</v>
          </cell>
          <cell r="S1353" t="e">
            <v>#REF!</v>
          </cell>
          <cell r="T1353" t="e">
            <v>#REF!</v>
          </cell>
          <cell r="U1353" t="e">
            <v>#REF!</v>
          </cell>
          <cell r="V1353" t="e">
            <v>#REF!</v>
          </cell>
        </row>
      </sheetData>
      <sheetData sheetId="23">
        <row r="4">
          <cell r="Y4">
            <v>1</v>
          </cell>
          <cell r="Z4" t="e">
            <v>#REF!</v>
          </cell>
          <cell r="AA4" t="e">
            <v>#REF!</v>
          </cell>
          <cell r="AB4" t="e">
            <v>#REF!</v>
          </cell>
          <cell r="AC4" t="e">
            <v>#REF!</v>
          </cell>
          <cell r="AD4" t="e">
            <v>#REF!</v>
          </cell>
          <cell r="AE4" t="e">
            <v>#REF!</v>
          </cell>
          <cell r="AF4" t="e">
            <v>#REF!</v>
          </cell>
          <cell r="AG4" t="e">
            <v>#REF!</v>
          </cell>
          <cell r="AH4" t="e">
            <v>#REF!</v>
          </cell>
          <cell r="AI4" t="e">
            <v>#REF!</v>
          </cell>
          <cell r="AJ4" t="e">
            <v>#REF!</v>
          </cell>
          <cell r="AK4" t="e">
            <v>#REF!</v>
          </cell>
          <cell r="AL4" t="e">
            <v>#REF!</v>
          </cell>
          <cell r="AM4" t="e">
            <v>#REF!</v>
          </cell>
          <cell r="AN4" t="e">
            <v>#REF!</v>
          </cell>
          <cell r="AO4" t="e">
            <v>#REF!</v>
          </cell>
          <cell r="AP4" t="e">
            <v>#REF!</v>
          </cell>
        </row>
        <row r="5">
          <cell r="Y5">
            <v>1</v>
          </cell>
          <cell r="Z5" t="e">
            <v>#REF!</v>
          </cell>
          <cell r="AA5" t="e">
            <v>#REF!</v>
          </cell>
          <cell r="AB5" t="e">
            <v>#REF!</v>
          </cell>
          <cell r="AC5" t="e">
            <v>#REF!</v>
          </cell>
          <cell r="AD5" t="e">
            <v>#REF!</v>
          </cell>
          <cell r="AE5" t="e">
            <v>#REF!</v>
          </cell>
          <cell r="AF5" t="e">
            <v>#REF!</v>
          </cell>
          <cell r="AG5" t="e">
            <v>#REF!</v>
          </cell>
          <cell r="AH5" t="e">
            <v>#REF!</v>
          </cell>
          <cell r="AI5" t="e">
            <v>#REF!</v>
          </cell>
          <cell r="AJ5" t="e">
            <v>#REF!</v>
          </cell>
          <cell r="AK5" t="e">
            <v>#REF!</v>
          </cell>
          <cell r="AL5" t="e">
            <v>#REF!</v>
          </cell>
          <cell r="AM5" t="e">
            <v>#REF!</v>
          </cell>
          <cell r="AN5" t="e">
            <v>#REF!</v>
          </cell>
          <cell r="AO5" t="e">
            <v>#REF!</v>
          </cell>
          <cell r="AP5" t="e">
            <v>#REF!</v>
          </cell>
        </row>
        <row r="6">
          <cell r="Y6">
            <v>1</v>
          </cell>
          <cell r="Z6" t="e">
            <v>#REF!</v>
          </cell>
          <cell r="AA6" t="e">
            <v>#REF!</v>
          </cell>
          <cell r="AB6" t="e">
            <v>#REF!</v>
          </cell>
          <cell r="AC6" t="e">
            <v>#REF!</v>
          </cell>
          <cell r="AD6" t="e">
            <v>#REF!</v>
          </cell>
          <cell r="AE6" t="e">
            <v>#REF!</v>
          </cell>
          <cell r="AF6" t="e">
            <v>#REF!</v>
          </cell>
          <cell r="AG6" t="e">
            <v>#REF!</v>
          </cell>
          <cell r="AH6" t="e">
            <v>#REF!</v>
          </cell>
          <cell r="AI6" t="e">
            <v>#REF!</v>
          </cell>
          <cell r="AJ6" t="e">
            <v>#REF!</v>
          </cell>
          <cell r="AK6" t="e">
            <v>#REF!</v>
          </cell>
          <cell r="AL6" t="e">
            <v>#REF!</v>
          </cell>
          <cell r="AM6" t="e">
            <v>#REF!</v>
          </cell>
          <cell r="AN6" t="e">
            <v>#REF!</v>
          </cell>
          <cell r="AO6" t="e">
            <v>#REF!</v>
          </cell>
          <cell r="AP6" t="e">
            <v>#REF!</v>
          </cell>
        </row>
        <row r="7">
          <cell r="Y7">
            <v>1</v>
          </cell>
          <cell r="Z7" t="e">
            <v>#REF!</v>
          </cell>
          <cell r="AA7" t="e">
            <v>#REF!</v>
          </cell>
          <cell r="AB7" t="e">
            <v>#REF!</v>
          </cell>
          <cell r="AC7" t="e">
            <v>#REF!</v>
          </cell>
          <cell r="AD7" t="e">
            <v>#REF!</v>
          </cell>
          <cell r="AE7" t="e">
            <v>#REF!</v>
          </cell>
          <cell r="AF7" t="e">
            <v>#REF!</v>
          </cell>
          <cell r="AG7" t="e">
            <v>#REF!</v>
          </cell>
          <cell r="AH7" t="e">
            <v>#REF!</v>
          </cell>
          <cell r="AI7" t="e">
            <v>#REF!</v>
          </cell>
          <cell r="AJ7" t="e">
            <v>#REF!</v>
          </cell>
          <cell r="AK7" t="e">
            <v>#REF!</v>
          </cell>
          <cell r="AL7" t="e">
            <v>#REF!</v>
          </cell>
          <cell r="AM7" t="e">
            <v>#REF!</v>
          </cell>
          <cell r="AN7" t="e">
            <v>#REF!</v>
          </cell>
          <cell r="AO7" t="e">
            <v>#REF!</v>
          </cell>
          <cell r="AP7" t="e">
            <v>#REF!</v>
          </cell>
        </row>
        <row r="8">
          <cell r="Y8">
            <v>1</v>
          </cell>
          <cell r="Z8" t="e">
            <v>#REF!</v>
          </cell>
          <cell r="AA8" t="e">
            <v>#REF!</v>
          </cell>
          <cell r="AB8" t="e">
            <v>#REF!</v>
          </cell>
          <cell r="AC8" t="e">
            <v>#REF!</v>
          </cell>
          <cell r="AD8" t="e">
            <v>#REF!</v>
          </cell>
          <cell r="AE8" t="e">
            <v>#REF!</v>
          </cell>
          <cell r="AF8" t="e">
            <v>#REF!</v>
          </cell>
          <cell r="AG8" t="e">
            <v>#REF!</v>
          </cell>
          <cell r="AH8" t="e">
            <v>#REF!</v>
          </cell>
          <cell r="AI8" t="e">
            <v>#REF!</v>
          </cell>
          <cell r="AJ8" t="e">
            <v>#REF!</v>
          </cell>
          <cell r="AK8" t="e">
            <v>#REF!</v>
          </cell>
          <cell r="AL8" t="e">
            <v>#REF!</v>
          </cell>
          <cell r="AM8" t="e">
            <v>#REF!</v>
          </cell>
          <cell r="AN8" t="e">
            <v>#REF!</v>
          </cell>
          <cell r="AO8" t="e">
            <v>#REF!</v>
          </cell>
          <cell r="AP8" t="e">
            <v>#REF!</v>
          </cell>
        </row>
        <row r="9">
          <cell r="Y9">
            <v>1</v>
          </cell>
          <cell r="Z9" t="e">
            <v>#REF!</v>
          </cell>
          <cell r="AA9" t="e">
            <v>#REF!</v>
          </cell>
          <cell r="AB9" t="e">
            <v>#REF!</v>
          </cell>
          <cell r="AC9" t="e">
            <v>#REF!</v>
          </cell>
          <cell r="AD9" t="e">
            <v>#REF!</v>
          </cell>
          <cell r="AE9" t="e">
            <v>#REF!</v>
          </cell>
          <cell r="AF9" t="e">
            <v>#REF!</v>
          </cell>
          <cell r="AG9" t="e">
            <v>#REF!</v>
          </cell>
          <cell r="AH9" t="e">
            <v>#REF!</v>
          </cell>
          <cell r="AI9" t="e">
            <v>#REF!</v>
          </cell>
          <cell r="AJ9" t="e">
            <v>#REF!</v>
          </cell>
          <cell r="AK9" t="e">
            <v>#REF!</v>
          </cell>
          <cell r="AL9" t="e">
            <v>#REF!</v>
          </cell>
          <cell r="AM9" t="e">
            <v>#REF!</v>
          </cell>
          <cell r="AN9" t="e">
            <v>#REF!</v>
          </cell>
          <cell r="AO9" t="e">
            <v>#REF!</v>
          </cell>
          <cell r="AP9" t="e">
            <v>#REF!</v>
          </cell>
        </row>
        <row r="10">
          <cell r="Y10">
            <v>1</v>
          </cell>
          <cell r="Z10" t="e">
            <v>#REF!</v>
          </cell>
          <cell r="AA10" t="e">
            <v>#REF!</v>
          </cell>
          <cell r="AB10" t="e">
            <v>#REF!</v>
          </cell>
          <cell r="AC10" t="e">
            <v>#REF!</v>
          </cell>
          <cell r="AD10" t="e">
            <v>#REF!</v>
          </cell>
          <cell r="AE10" t="e">
            <v>#REF!</v>
          </cell>
          <cell r="AF10" t="e">
            <v>#REF!</v>
          </cell>
          <cell r="AG10" t="e">
            <v>#REF!</v>
          </cell>
          <cell r="AH10" t="e">
            <v>#REF!</v>
          </cell>
          <cell r="AI10" t="e">
            <v>#REF!</v>
          </cell>
          <cell r="AJ10" t="e">
            <v>#REF!</v>
          </cell>
          <cell r="AK10" t="e">
            <v>#REF!</v>
          </cell>
          <cell r="AL10" t="e">
            <v>#REF!</v>
          </cell>
          <cell r="AM10" t="e">
            <v>#REF!</v>
          </cell>
          <cell r="AN10" t="e">
            <v>#REF!</v>
          </cell>
          <cell r="AO10" t="e">
            <v>#REF!</v>
          </cell>
          <cell r="AP10" t="e">
            <v>#REF!</v>
          </cell>
        </row>
        <row r="11">
          <cell r="Y11">
            <v>1</v>
          </cell>
          <cell r="Z11" t="e">
            <v>#REF!</v>
          </cell>
          <cell r="AA11" t="e">
            <v>#REF!</v>
          </cell>
          <cell r="AB11" t="e">
            <v>#REF!</v>
          </cell>
          <cell r="AC11" t="e">
            <v>#REF!</v>
          </cell>
          <cell r="AD11" t="e">
            <v>#REF!</v>
          </cell>
          <cell r="AE11" t="e">
            <v>#REF!</v>
          </cell>
          <cell r="AF11" t="e">
            <v>#REF!</v>
          </cell>
          <cell r="AG11" t="e">
            <v>#REF!</v>
          </cell>
          <cell r="AH11" t="e">
            <v>#REF!</v>
          </cell>
          <cell r="AI11" t="e">
            <v>#REF!</v>
          </cell>
          <cell r="AJ11" t="e">
            <v>#REF!</v>
          </cell>
          <cell r="AK11" t="e">
            <v>#REF!</v>
          </cell>
          <cell r="AL11" t="e">
            <v>#REF!</v>
          </cell>
          <cell r="AM11" t="e">
            <v>#REF!</v>
          </cell>
          <cell r="AN11" t="e">
            <v>#REF!</v>
          </cell>
          <cell r="AO11" t="e">
            <v>#REF!</v>
          </cell>
          <cell r="AP11" t="e">
            <v>#REF!</v>
          </cell>
        </row>
        <row r="12">
          <cell r="Y12">
            <v>1</v>
          </cell>
          <cell r="Z12" t="e">
            <v>#REF!</v>
          </cell>
          <cell r="AA12" t="e">
            <v>#REF!</v>
          </cell>
          <cell r="AB12" t="e">
            <v>#REF!</v>
          </cell>
          <cell r="AC12" t="e">
            <v>#REF!</v>
          </cell>
          <cell r="AD12" t="e">
            <v>#REF!</v>
          </cell>
          <cell r="AE12" t="e">
            <v>#REF!</v>
          </cell>
          <cell r="AF12" t="e">
            <v>#REF!</v>
          </cell>
          <cell r="AG12" t="e">
            <v>#REF!</v>
          </cell>
          <cell r="AH12" t="e">
            <v>#REF!</v>
          </cell>
          <cell r="AI12" t="e">
            <v>#REF!</v>
          </cell>
          <cell r="AJ12" t="e">
            <v>#REF!</v>
          </cell>
          <cell r="AK12" t="e">
            <v>#REF!</v>
          </cell>
          <cell r="AL12" t="e">
            <v>#REF!</v>
          </cell>
          <cell r="AM12" t="e">
            <v>#REF!</v>
          </cell>
          <cell r="AN12" t="e">
            <v>#REF!</v>
          </cell>
          <cell r="AO12" t="e">
            <v>#REF!</v>
          </cell>
          <cell r="AP12" t="e">
            <v>#REF!</v>
          </cell>
        </row>
        <row r="13">
          <cell r="Y13">
            <v>1</v>
          </cell>
          <cell r="Z13" t="e">
            <v>#REF!</v>
          </cell>
          <cell r="AA13" t="e">
            <v>#REF!</v>
          </cell>
          <cell r="AB13" t="e">
            <v>#REF!</v>
          </cell>
          <cell r="AC13" t="e">
            <v>#REF!</v>
          </cell>
          <cell r="AD13" t="e">
            <v>#REF!</v>
          </cell>
          <cell r="AE13" t="e">
            <v>#REF!</v>
          </cell>
          <cell r="AF13" t="e">
            <v>#REF!</v>
          </cell>
          <cell r="AG13" t="e">
            <v>#REF!</v>
          </cell>
          <cell r="AH13" t="e">
            <v>#REF!</v>
          </cell>
          <cell r="AI13" t="e">
            <v>#REF!</v>
          </cell>
          <cell r="AJ13" t="e">
            <v>#REF!</v>
          </cell>
          <cell r="AK13" t="e">
            <v>#REF!</v>
          </cell>
          <cell r="AL13" t="e">
            <v>#REF!</v>
          </cell>
          <cell r="AM13" t="e">
            <v>#REF!</v>
          </cell>
          <cell r="AN13" t="e">
            <v>#REF!</v>
          </cell>
          <cell r="AO13" t="e">
            <v>#REF!</v>
          </cell>
          <cell r="AP13" t="e">
            <v>#REF!</v>
          </cell>
        </row>
        <row r="14">
          <cell r="Y14">
            <v>1</v>
          </cell>
          <cell r="Z14" t="e">
            <v>#REF!</v>
          </cell>
          <cell r="AA14" t="e">
            <v>#REF!</v>
          </cell>
          <cell r="AB14" t="e">
            <v>#REF!</v>
          </cell>
          <cell r="AC14" t="e">
            <v>#REF!</v>
          </cell>
          <cell r="AD14" t="e">
            <v>#REF!</v>
          </cell>
          <cell r="AE14" t="e">
            <v>#REF!</v>
          </cell>
          <cell r="AF14" t="e">
            <v>#REF!</v>
          </cell>
          <cell r="AG14" t="e">
            <v>#REF!</v>
          </cell>
          <cell r="AH14" t="e">
            <v>#REF!</v>
          </cell>
          <cell r="AI14" t="e">
            <v>#REF!</v>
          </cell>
          <cell r="AJ14" t="e">
            <v>#REF!</v>
          </cell>
          <cell r="AK14" t="e">
            <v>#REF!</v>
          </cell>
          <cell r="AL14" t="e">
            <v>#REF!</v>
          </cell>
          <cell r="AM14" t="e">
            <v>#REF!</v>
          </cell>
          <cell r="AN14" t="e">
            <v>#REF!</v>
          </cell>
          <cell r="AO14" t="e">
            <v>#REF!</v>
          </cell>
          <cell r="AP14" t="e">
            <v>#REF!</v>
          </cell>
        </row>
        <row r="15">
          <cell r="Y15">
            <v>1</v>
          </cell>
          <cell r="Z15" t="e">
            <v>#REF!</v>
          </cell>
          <cell r="AA15" t="e">
            <v>#REF!</v>
          </cell>
          <cell r="AB15" t="e">
            <v>#REF!</v>
          </cell>
          <cell r="AC15" t="e">
            <v>#REF!</v>
          </cell>
          <cell r="AD15" t="e">
            <v>#REF!</v>
          </cell>
          <cell r="AE15" t="e">
            <v>#REF!</v>
          </cell>
          <cell r="AF15" t="e">
            <v>#REF!</v>
          </cell>
          <cell r="AG15" t="e">
            <v>#REF!</v>
          </cell>
          <cell r="AH15" t="e">
            <v>#REF!</v>
          </cell>
          <cell r="AI15" t="e">
            <v>#REF!</v>
          </cell>
          <cell r="AJ15" t="e">
            <v>#REF!</v>
          </cell>
          <cell r="AK15" t="e">
            <v>#REF!</v>
          </cell>
          <cell r="AL15" t="e">
            <v>#REF!</v>
          </cell>
          <cell r="AM15" t="e">
            <v>#REF!</v>
          </cell>
          <cell r="AN15" t="e">
            <v>#REF!</v>
          </cell>
          <cell r="AO15" t="e">
            <v>#REF!</v>
          </cell>
          <cell r="AP15" t="e">
            <v>#REF!</v>
          </cell>
        </row>
        <row r="16">
          <cell r="Y16">
            <v>1</v>
          </cell>
          <cell r="Z16" t="e">
            <v>#REF!</v>
          </cell>
          <cell r="AA16" t="e">
            <v>#REF!</v>
          </cell>
          <cell r="AB16" t="e">
            <v>#REF!</v>
          </cell>
          <cell r="AC16" t="e">
            <v>#REF!</v>
          </cell>
          <cell r="AD16" t="e">
            <v>#REF!</v>
          </cell>
          <cell r="AE16" t="e">
            <v>#REF!</v>
          </cell>
          <cell r="AF16" t="e">
            <v>#REF!</v>
          </cell>
          <cell r="AG16" t="e">
            <v>#REF!</v>
          </cell>
          <cell r="AH16" t="e">
            <v>#REF!</v>
          </cell>
          <cell r="AI16" t="e">
            <v>#REF!</v>
          </cell>
          <cell r="AJ16" t="e">
            <v>#REF!</v>
          </cell>
          <cell r="AK16" t="e">
            <v>#REF!</v>
          </cell>
          <cell r="AL16" t="e">
            <v>#REF!</v>
          </cell>
          <cell r="AM16" t="e">
            <v>#REF!</v>
          </cell>
          <cell r="AN16" t="e">
            <v>#REF!</v>
          </cell>
          <cell r="AO16" t="e">
            <v>#REF!</v>
          </cell>
          <cell r="AP16" t="e">
            <v>#REF!</v>
          </cell>
        </row>
        <row r="17">
          <cell r="Y17">
            <v>1</v>
          </cell>
          <cell r="Z17" t="e">
            <v>#REF!</v>
          </cell>
          <cell r="AA17" t="e">
            <v>#REF!</v>
          </cell>
          <cell r="AB17" t="e">
            <v>#REF!</v>
          </cell>
          <cell r="AC17" t="e">
            <v>#REF!</v>
          </cell>
          <cell r="AD17" t="e">
            <v>#REF!</v>
          </cell>
          <cell r="AE17" t="e">
            <v>#REF!</v>
          </cell>
          <cell r="AF17" t="e">
            <v>#REF!</v>
          </cell>
          <cell r="AG17" t="e">
            <v>#REF!</v>
          </cell>
          <cell r="AH17" t="e">
            <v>#REF!</v>
          </cell>
          <cell r="AI17" t="e">
            <v>#REF!</v>
          </cell>
          <cell r="AJ17" t="e">
            <v>#REF!</v>
          </cell>
          <cell r="AK17" t="e">
            <v>#REF!</v>
          </cell>
          <cell r="AL17" t="e">
            <v>#REF!</v>
          </cell>
          <cell r="AM17" t="e">
            <v>#REF!</v>
          </cell>
          <cell r="AN17" t="e">
            <v>#REF!</v>
          </cell>
          <cell r="AO17" t="e">
            <v>#REF!</v>
          </cell>
          <cell r="AP17" t="e">
            <v>#REF!</v>
          </cell>
        </row>
        <row r="18">
          <cell r="Y18">
            <v>1</v>
          </cell>
          <cell r="Z18" t="e">
            <v>#REF!</v>
          </cell>
          <cell r="AA18" t="e">
            <v>#REF!</v>
          </cell>
          <cell r="AB18" t="e">
            <v>#REF!</v>
          </cell>
          <cell r="AC18" t="e">
            <v>#REF!</v>
          </cell>
          <cell r="AD18" t="e">
            <v>#REF!</v>
          </cell>
          <cell r="AE18" t="e">
            <v>#REF!</v>
          </cell>
          <cell r="AF18" t="e">
            <v>#REF!</v>
          </cell>
          <cell r="AG18" t="e">
            <v>#REF!</v>
          </cell>
          <cell r="AH18" t="e">
            <v>#REF!</v>
          </cell>
          <cell r="AI18" t="e">
            <v>#REF!</v>
          </cell>
          <cell r="AJ18" t="e">
            <v>#REF!</v>
          </cell>
          <cell r="AK18" t="e">
            <v>#REF!</v>
          </cell>
          <cell r="AL18" t="e">
            <v>#REF!</v>
          </cell>
          <cell r="AM18" t="e">
            <v>#REF!</v>
          </cell>
          <cell r="AN18" t="e">
            <v>#REF!</v>
          </cell>
          <cell r="AO18" t="e">
            <v>#REF!</v>
          </cell>
          <cell r="AP18" t="e">
            <v>#REF!</v>
          </cell>
        </row>
        <row r="19">
          <cell r="Y19">
            <v>1</v>
          </cell>
          <cell r="Z19" t="e">
            <v>#REF!</v>
          </cell>
          <cell r="AA19" t="e">
            <v>#REF!</v>
          </cell>
          <cell r="AB19" t="e">
            <v>#REF!</v>
          </cell>
          <cell r="AC19" t="e">
            <v>#REF!</v>
          </cell>
          <cell r="AD19" t="e">
            <v>#REF!</v>
          </cell>
          <cell r="AE19" t="e">
            <v>#REF!</v>
          </cell>
          <cell r="AF19" t="e">
            <v>#REF!</v>
          </cell>
          <cell r="AG19" t="e">
            <v>#REF!</v>
          </cell>
          <cell r="AH19" t="e">
            <v>#REF!</v>
          </cell>
          <cell r="AI19" t="e">
            <v>#REF!</v>
          </cell>
          <cell r="AJ19" t="e">
            <v>#REF!</v>
          </cell>
          <cell r="AK19" t="e">
            <v>#REF!</v>
          </cell>
          <cell r="AL19" t="e">
            <v>#REF!</v>
          </cell>
          <cell r="AM19" t="e">
            <v>#REF!</v>
          </cell>
          <cell r="AN19" t="e">
            <v>#REF!</v>
          </cell>
          <cell r="AO19" t="e">
            <v>#REF!</v>
          </cell>
          <cell r="AP19" t="e">
            <v>#REF!</v>
          </cell>
        </row>
        <row r="20">
          <cell r="Y20">
            <v>1</v>
          </cell>
          <cell r="Z20" t="e">
            <v>#REF!</v>
          </cell>
          <cell r="AA20" t="e">
            <v>#REF!</v>
          </cell>
          <cell r="AB20" t="e">
            <v>#REF!</v>
          </cell>
          <cell r="AC20" t="e">
            <v>#REF!</v>
          </cell>
          <cell r="AD20" t="e">
            <v>#REF!</v>
          </cell>
          <cell r="AE20" t="e">
            <v>#REF!</v>
          </cell>
          <cell r="AF20" t="e">
            <v>#REF!</v>
          </cell>
          <cell r="AG20" t="e">
            <v>#REF!</v>
          </cell>
          <cell r="AH20" t="e">
            <v>#REF!</v>
          </cell>
          <cell r="AI20" t="e">
            <v>#REF!</v>
          </cell>
          <cell r="AJ20" t="e">
            <v>#REF!</v>
          </cell>
          <cell r="AK20" t="e">
            <v>#REF!</v>
          </cell>
          <cell r="AL20" t="e">
            <v>#REF!</v>
          </cell>
          <cell r="AM20" t="e">
            <v>#REF!</v>
          </cell>
          <cell r="AN20" t="e">
            <v>#REF!</v>
          </cell>
          <cell r="AO20" t="e">
            <v>#REF!</v>
          </cell>
          <cell r="AP20" t="e">
            <v>#REF!</v>
          </cell>
        </row>
        <row r="21">
          <cell r="Y21">
            <v>1</v>
          </cell>
          <cell r="Z21" t="e">
            <v>#REF!</v>
          </cell>
          <cell r="AA21" t="e">
            <v>#REF!</v>
          </cell>
          <cell r="AB21" t="e">
            <v>#REF!</v>
          </cell>
          <cell r="AC21" t="e">
            <v>#REF!</v>
          </cell>
          <cell r="AD21" t="e">
            <v>#REF!</v>
          </cell>
          <cell r="AE21" t="e">
            <v>#REF!</v>
          </cell>
          <cell r="AF21" t="e">
            <v>#REF!</v>
          </cell>
          <cell r="AG21" t="e">
            <v>#REF!</v>
          </cell>
          <cell r="AH21" t="e">
            <v>#REF!</v>
          </cell>
          <cell r="AI21" t="e">
            <v>#REF!</v>
          </cell>
          <cell r="AJ21" t="e">
            <v>#REF!</v>
          </cell>
          <cell r="AK21" t="e">
            <v>#REF!</v>
          </cell>
          <cell r="AL21" t="e">
            <v>#REF!</v>
          </cell>
          <cell r="AM21" t="e">
            <v>#REF!</v>
          </cell>
          <cell r="AN21" t="e">
            <v>#REF!</v>
          </cell>
          <cell r="AO21" t="e">
            <v>#REF!</v>
          </cell>
          <cell r="AP21" t="e">
            <v>#REF!</v>
          </cell>
        </row>
        <row r="22">
          <cell r="Y22">
            <v>1</v>
          </cell>
          <cell r="Z22" t="e">
            <v>#REF!</v>
          </cell>
          <cell r="AA22" t="e">
            <v>#REF!</v>
          </cell>
          <cell r="AB22" t="e">
            <v>#REF!</v>
          </cell>
          <cell r="AC22" t="e">
            <v>#REF!</v>
          </cell>
          <cell r="AD22" t="e">
            <v>#REF!</v>
          </cell>
          <cell r="AE22" t="e">
            <v>#REF!</v>
          </cell>
          <cell r="AF22" t="e">
            <v>#REF!</v>
          </cell>
          <cell r="AG22" t="e">
            <v>#REF!</v>
          </cell>
          <cell r="AH22" t="e">
            <v>#REF!</v>
          </cell>
          <cell r="AI22" t="e">
            <v>#REF!</v>
          </cell>
          <cell r="AJ22" t="e">
            <v>#REF!</v>
          </cell>
          <cell r="AK22" t="e">
            <v>#REF!</v>
          </cell>
          <cell r="AL22" t="e">
            <v>#REF!</v>
          </cell>
          <cell r="AM22" t="e">
            <v>#REF!</v>
          </cell>
          <cell r="AN22" t="e">
            <v>#REF!</v>
          </cell>
          <cell r="AO22" t="e">
            <v>#REF!</v>
          </cell>
          <cell r="AP22" t="e">
            <v>#REF!</v>
          </cell>
        </row>
        <row r="23">
          <cell r="Y23">
            <v>1</v>
          </cell>
          <cell r="Z23" t="e">
            <v>#REF!</v>
          </cell>
          <cell r="AA23" t="e">
            <v>#REF!</v>
          </cell>
          <cell r="AB23" t="e">
            <v>#REF!</v>
          </cell>
          <cell r="AC23" t="e">
            <v>#REF!</v>
          </cell>
          <cell r="AD23" t="e">
            <v>#REF!</v>
          </cell>
          <cell r="AE23" t="e">
            <v>#REF!</v>
          </cell>
          <cell r="AF23" t="e">
            <v>#REF!</v>
          </cell>
          <cell r="AG23" t="e">
            <v>#REF!</v>
          </cell>
          <cell r="AH23" t="e">
            <v>#REF!</v>
          </cell>
          <cell r="AI23" t="e">
            <v>#REF!</v>
          </cell>
          <cell r="AJ23" t="e">
            <v>#REF!</v>
          </cell>
          <cell r="AK23" t="e">
            <v>#REF!</v>
          </cell>
          <cell r="AL23" t="e">
            <v>#REF!</v>
          </cell>
          <cell r="AM23" t="e">
            <v>#REF!</v>
          </cell>
          <cell r="AN23" t="e">
            <v>#REF!</v>
          </cell>
          <cell r="AO23" t="e">
            <v>#REF!</v>
          </cell>
          <cell r="AP23" t="e">
            <v>#REF!</v>
          </cell>
        </row>
        <row r="24">
          <cell r="Y24">
            <v>1</v>
          </cell>
          <cell r="Z24" t="e">
            <v>#REF!</v>
          </cell>
          <cell r="AA24" t="e">
            <v>#REF!</v>
          </cell>
          <cell r="AB24" t="e">
            <v>#REF!</v>
          </cell>
          <cell r="AC24" t="e">
            <v>#REF!</v>
          </cell>
          <cell r="AD24" t="e">
            <v>#REF!</v>
          </cell>
          <cell r="AE24" t="e">
            <v>#REF!</v>
          </cell>
          <cell r="AF24" t="e">
            <v>#REF!</v>
          </cell>
          <cell r="AG24" t="e">
            <v>#REF!</v>
          </cell>
          <cell r="AH24" t="e">
            <v>#REF!</v>
          </cell>
          <cell r="AI24" t="e">
            <v>#REF!</v>
          </cell>
          <cell r="AJ24" t="e">
            <v>#REF!</v>
          </cell>
          <cell r="AK24" t="e">
            <v>#REF!</v>
          </cell>
          <cell r="AL24" t="e">
            <v>#REF!</v>
          </cell>
          <cell r="AM24" t="e">
            <v>#REF!</v>
          </cell>
          <cell r="AN24" t="e">
            <v>#REF!</v>
          </cell>
          <cell r="AO24" t="e">
            <v>#REF!</v>
          </cell>
          <cell r="AP24" t="e">
            <v>#REF!</v>
          </cell>
        </row>
        <row r="25">
          <cell r="Y25">
            <v>1</v>
          </cell>
          <cell r="Z25" t="e">
            <v>#REF!</v>
          </cell>
          <cell r="AA25" t="e">
            <v>#REF!</v>
          </cell>
          <cell r="AB25" t="e">
            <v>#REF!</v>
          </cell>
          <cell r="AC25" t="e">
            <v>#REF!</v>
          </cell>
          <cell r="AD25" t="e">
            <v>#REF!</v>
          </cell>
          <cell r="AE25" t="e">
            <v>#REF!</v>
          </cell>
          <cell r="AF25" t="e">
            <v>#REF!</v>
          </cell>
          <cell r="AG25" t="e">
            <v>#REF!</v>
          </cell>
          <cell r="AH25" t="e">
            <v>#REF!</v>
          </cell>
          <cell r="AI25" t="e">
            <v>#REF!</v>
          </cell>
          <cell r="AJ25" t="e">
            <v>#REF!</v>
          </cell>
          <cell r="AK25" t="e">
            <v>#REF!</v>
          </cell>
          <cell r="AL25" t="e">
            <v>#REF!</v>
          </cell>
          <cell r="AM25" t="e">
            <v>#REF!</v>
          </cell>
          <cell r="AN25" t="e">
            <v>#REF!</v>
          </cell>
          <cell r="AO25" t="e">
            <v>#REF!</v>
          </cell>
          <cell r="AP25" t="e">
            <v>#REF!</v>
          </cell>
        </row>
        <row r="26">
          <cell r="Y26">
            <v>1</v>
          </cell>
          <cell r="Z26" t="e">
            <v>#REF!</v>
          </cell>
          <cell r="AA26" t="e">
            <v>#REF!</v>
          </cell>
          <cell r="AB26" t="e">
            <v>#REF!</v>
          </cell>
          <cell r="AC26" t="e">
            <v>#REF!</v>
          </cell>
          <cell r="AD26" t="e">
            <v>#REF!</v>
          </cell>
          <cell r="AE26" t="e">
            <v>#REF!</v>
          </cell>
          <cell r="AF26" t="e">
            <v>#REF!</v>
          </cell>
          <cell r="AG26" t="e">
            <v>#REF!</v>
          </cell>
          <cell r="AH26" t="e">
            <v>#REF!</v>
          </cell>
          <cell r="AI26" t="e">
            <v>#REF!</v>
          </cell>
          <cell r="AJ26" t="e">
            <v>#REF!</v>
          </cell>
          <cell r="AK26" t="e">
            <v>#REF!</v>
          </cell>
          <cell r="AL26" t="e">
            <v>#REF!</v>
          </cell>
          <cell r="AM26" t="e">
            <v>#REF!</v>
          </cell>
          <cell r="AN26" t="e">
            <v>#REF!</v>
          </cell>
          <cell r="AO26" t="e">
            <v>#REF!</v>
          </cell>
          <cell r="AP26" t="e">
            <v>#REF!</v>
          </cell>
        </row>
        <row r="27">
          <cell r="Y27">
            <v>1</v>
          </cell>
          <cell r="Z27" t="e">
            <v>#REF!</v>
          </cell>
          <cell r="AA27" t="e">
            <v>#REF!</v>
          </cell>
          <cell r="AB27" t="e">
            <v>#REF!</v>
          </cell>
          <cell r="AC27" t="e">
            <v>#REF!</v>
          </cell>
          <cell r="AD27" t="e">
            <v>#REF!</v>
          </cell>
          <cell r="AE27" t="e">
            <v>#REF!</v>
          </cell>
          <cell r="AF27" t="e">
            <v>#REF!</v>
          </cell>
          <cell r="AG27" t="e">
            <v>#REF!</v>
          </cell>
          <cell r="AH27" t="e">
            <v>#REF!</v>
          </cell>
          <cell r="AI27" t="e">
            <v>#REF!</v>
          </cell>
          <cell r="AJ27" t="e">
            <v>#REF!</v>
          </cell>
          <cell r="AK27" t="e">
            <v>#REF!</v>
          </cell>
          <cell r="AL27" t="e">
            <v>#REF!</v>
          </cell>
          <cell r="AM27" t="e">
            <v>#REF!</v>
          </cell>
          <cell r="AN27" t="e">
            <v>#REF!</v>
          </cell>
          <cell r="AO27" t="e">
            <v>#REF!</v>
          </cell>
          <cell r="AP27" t="e">
            <v>#REF!</v>
          </cell>
        </row>
        <row r="36">
          <cell r="Y36">
            <v>1</v>
          </cell>
          <cell r="Z36">
            <v>1</v>
          </cell>
          <cell r="AA36" t="e">
            <v>#REF!</v>
          </cell>
          <cell r="AB36" t="e">
            <v>#REF!</v>
          </cell>
          <cell r="AC36" t="e">
            <v>#REF!</v>
          </cell>
          <cell r="AD36" t="e">
            <v>#REF!</v>
          </cell>
          <cell r="AE36" t="e">
            <v>#REF!</v>
          </cell>
          <cell r="AF36" t="e">
            <v>#REF!</v>
          </cell>
          <cell r="AG36" t="e">
            <v>#REF!</v>
          </cell>
          <cell r="AH36" t="e">
            <v>#REF!</v>
          </cell>
          <cell r="AI36" t="e">
            <v>#REF!</v>
          </cell>
          <cell r="AJ36" t="e">
            <v>#REF!</v>
          </cell>
          <cell r="AK36" t="e">
            <v>#REF!</v>
          </cell>
          <cell r="AL36" t="e">
            <v>#REF!</v>
          </cell>
          <cell r="AM36" t="e">
            <v>#REF!</v>
          </cell>
          <cell r="AN36" t="e">
            <v>#REF!</v>
          </cell>
          <cell r="AO36" t="e">
            <v>#REF!</v>
          </cell>
          <cell r="AP36" t="e">
            <v>#REF!</v>
          </cell>
        </row>
        <row r="37">
          <cell r="Y37">
            <v>1</v>
          </cell>
          <cell r="Z37">
            <v>1</v>
          </cell>
          <cell r="AA37" t="e">
            <v>#REF!</v>
          </cell>
          <cell r="AB37" t="e">
            <v>#REF!</v>
          </cell>
          <cell r="AC37" t="e">
            <v>#REF!</v>
          </cell>
          <cell r="AD37" t="e">
            <v>#REF!</v>
          </cell>
          <cell r="AE37" t="e">
            <v>#REF!</v>
          </cell>
          <cell r="AF37" t="e">
            <v>#REF!</v>
          </cell>
          <cell r="AG37" t="e">
            <v>#REF!</v>
          </cell>
          <cell r="AH37" t="e">
            <v>#REF!</v>
          </cell>
          <cell r="AI37" t="e">
            <v>#REF!</v>
          </cell>
          <cell r="AJ37" t="e">
            <v>#REF!</v>
          </cell>
          <cell r="AK37" t="e">
            <v>#REF!</v>
          </cell>
          <cell r="AL37" t="e">
            <v>#REF!</v>
          </cell>
          <cell r="AM37" t="e">
            <v>#REF!</v>
          </cell>
          <cell r="AN37" t="e">
            <v>#REF!</v>
          </cell>
          <cell r="AO37" t="e">
            <v>#REF!</v>
          </cell>
          <cell r="AP37" t="e">
            <v>#REF!</v>
          </cell>
        </row>
        <row r="38">
          <cell r="Y38">
            <v>1</v>
          </cell>
          <cell r="Z38">
            <v>1</v>
          </cell>
          <cell r="AA38" t="e">
            <v>#REF!</v>
          </cell>
          <cell r="AB38" t="e">
            <v>#REF!</v>
          </cell>
          <cell r="AC38" t="e">
            <v>#REF!</v>
          </cell>
          <cell r="AD38" t="e">
            <v>#REF!</v>
          </cell>
          <cell r="AE38" t="e">
            <v>#REF!</v>
          </cell>
          <cell r="AF38" t="e">
            <v>#REF!</v>
          </cell>
          <cell r="AG38" t="e">
            <v>#REF!</v>
          </cell>
          <cell r="AH38" t="e">
            <v>#REF!</v>
          </cell>
          <cell r="AI38" t="e">
            <v>#REF!</v>
          </cell>
          <cell r="AJ38" t="e">
            <v>#REF!</v>
          </cell>
          <cell r="AK38" t="e">
            <v>#REF!</v>
          </cell>
          <cell r="AL38" t="e">
            <v>#REF!</v>
          </cell>
          <cell r="AM38" t="e">
            <v>#REF!</v>
          </cell>
          <cell r="AN38" t="e">
            <v>#REF!</v>
          </cell>
          <cell r="AO38" t="e">
            <v>#REF!</v>
          </cell>
          <cell r="AP38" t="e">
            <v>#REF!</v>
          </cell>
        </row>
        <row r="39">
          <cell r="Y39">
            <v>1</v>
          </cell>
          <cell r="Z39">
            <v>1</v>
          </cell>
          <cell r="AA39" t="e">
            <v>#REF!</v>
          </cell>
          <cell r="AB39" t="e">
            <v>#REF!</v>
          </cell>
          <cell r="AC39" t="e">
            <v>#REF!</v>
          </cell>
          <cell r="AD39" t="e">
            <v>#REF!</v>
          </cell>
          <cell r="AE39" t="e">
            <v>#REF!</v>
          </cell>
          <cell r="AF39" t="e">
            <v>#REF!</v>
          </cell>
          <cell r="AG39" t="e">
            <v>#REF!</v>
          </cell>
          <cell r="AH39" t="e">
            <v>#REF!</v>
          </cell>
          <cell r="AI39" t="e">
            <v>#REF!</v>
          </cell>
          <cell r="AJ39" t="e">
            <v>#REF!</v>
          </cell>
          <cell r="AK39" t="e">
            <v>#REF!</v>
          </cell>
          <cell r="AL39" t="e">
            <v>#REF!</v>
          </cell>
          <cell r="AM39" t="e">
            <v>#REF!</v>
          </cell>
          <cell r="AN39" t="e">
            <v>#REF!</v>
          </cell>
          <cell r="AO39" t="e">
            <v>#REF!</v>
          </cell>
          <cell r="AP39" t="e">
            <v>#REF!</v>
          </cell>
        </row>
        <row r="40">
          <cell r="Y40">
            <v>1</v>
          </cell>
          <cell r="Z40">
            <v>1</v>
          </cell>
          <cell r="AA40" t="e">
            <v>#REF!</v>
          </cell>
          <cell r="AB40" t="e">
            <v>#REF!</v>
          </cell>
          <cell r="AC40" t="e">
            <v>#REF!</v>
          </cell>
          <cell r="AD40" t="e">
            <v>#REF!</v>
          </cell>
          <cell r="AE40" t="e">
            <v>#REF!</v>
          </cell>
          <cell r="AF40" t="e">
            <v>#REF!</v>
          </cell>
          <cell r="AG40" t="e">
            <v>#REF!</v>
          </cell>
          <cell r="AH40" t="e">
            <v>#REF!</v>
          </cell>
          <cell r="AI40" t="e">
            <v>#REF!</v>
          </cell>
          <cell r="AJ40" t="e">
            <v>#REF!</v>
          </cell>
          <cell r="AK40" t="e">
            <v>#REF!</v>
          </cell>
          <cell r="AL40" t="e">
            <v>#REF!</v>
          </cell>
          <cell r="AM40" t="e">
            <v>#REF!</v>
          </cell>
          <cell r="AN40" t="e">
            <v>#REF!</v>
          </cell>
          <cell r="AO40" t="e">
            <v>#REF!</v>
          </cell>
          <cell r="AP40" t="e">
            <v>#REF!</v>
          </cell>
        </row>
        <row r="41">
          <cell r="Y41">
            <v>1</v>
          </cell>
          <cell r="Z41">
            <v>1</v>
          </cell>
          <cell r="AA41" t="e">
            <v>#REF!</v>
          </cell>
          <cell r="AB41" t="e">
            <v>#REF!</v>
          </cell>
          <cell r="AC41" t="e">
            <v>#REF!</v>
          </cell>
          <cell r="AD41" t="e">
            <v>#REF!</v>
          </cell>
          <cell r="AE41" t="e">
            <v>#REF!</v>
          </cell>
          <cell r="AF41" t="e">
            <v>#REF!</v>
          </cell>
          <cell r="AG41" t="e">
            <v>#REF!</v>
          </cell>
          <cell r="AH41" t="e">
            <v>#REF!</v>
          </cell>
          <cell r="AI41" t="e">
            <v>#REF!</v>
          </cell>
          <cell r="AJ41" t="e">
            <v>#REF!</v>
          </cell>
          <cell r="AK41" t="e">
            <v>#REF!</v>
          </cell>
          <cell r="AL41" t="e">
            <v>#REF!</v>
          </cell>
          <cell r="AM41" t="e">
            <v>#REF!</v>
          </cell>
          <cell r="AN41" t="e">
            <v>#REF!</v>
          </cell>
          <cell r="AO41" t="e">
            <v>#REF!</v>
          </cell>
          <cell r="AP41" t="e">
            <v>#REF!</v>
          </cell>
        </row>
        <row r="42">
          <cell r="Y42">
            <v>1</v>
          </cell>
          <cell r="Z42">
            <v>1</v>
          </cell>
          <cell r="AA42" t="e">
            <v>#REF!</v>
          </cell>
          <cell r="AB42" t="e">
            <v>#REF!</v>
          </cell>
          <cell r="AC42" t="e">
            <v>#REF!</v>
          </cell>
          <cell r="AD42" t="e">
            <v>#REF!</v>
          </cell>
          <cell r="AE42" t="e">
            <v>#REF!</v>
          </cell>
          <cell r="AF42" t="e">
            <v>#REF!</v>
          </cell>
          <cell r="AG42" t="e">
            <v>#REF!</v>
          </cell>
          <cell r="AH42" t="e">
            <v>#REF!</v>
          </cell>
          <cell r="AI42" t="e">
            <v>#REF!</v>
          </cell>
          <cell r="AJ42" t="e">
            <v>#REF!</v>
          </cell>
          <cell r="AK42" t="e">
            <v>#REF!</v>
          </cell>
          <cell r="AL42" t="e">
            <v>#REF!</v>
          </cell>
          <cell r="AM42" t="e">
            <v>#REF!</v>
          </cell>
          <cell r="AN42" t="e">
            <v>#REF!</v>
          </cell>
          <cell r="AO42" t="e">
            <v>#REF!</v>
          </cell>
          <cell r="AP42" t="e">
            <v>#REF!</v>
          </cell>
        </row>
        <row r="43">
          <cell r="Y43">
            <v>1</v>
          </cell>
          <cell r="Z43">
            <v>1</v>
          </cell>
          <cell r="AA43" t="e">
            <v>#REF!</v>
          </cell>
          <cell r="AB43" t="e">
            <v>#REF!</v>
          </cell>
          <cell r="AC43" t="e">
            <v>#REF!</v>
          </cell>
          <cell r="AD43" t="e">
            <v>#REF!</v>
          </cell>
          <cell r="AE43" t="e">
            <v>#REF!</v>
          </cell>
          <cell r="AF43" t="e">
            <v>#REF!</v>
          </cell>
          <cell r="AG43" t="e">
            <v>#REF!</v>
          </cell>
          <cell r="AH43" t="e">
            <v>#REF!</v>
          </cell>
          <cell r="AI43" t="e">
            <v>#REF!</v>
          </cell>
          <cell r="AJ43" t="e">
            <v>#REF!</v>
          </cell>
          <cell r="AK43" t="e">
            <v>#REF!</v>
          </cell>
          <cell r="AL43" t="e">
            <v>#REF!</v>
          </cell>
          <cell r="AM43" t="e">
            <v>#REF!</v>
          </cell>
          <cell r="AN43" t="e">
            <v>#REF!</v>
          </cell>
          <cell r="AO43" t="e">
            <v>#REF!</v>
          </cell>
          <cell r="AP43" t="e">
            <v>#REF!</v>
          </cell>
        </row>
        <row r="44">
          <cell r="Y44">
            <v>1</v>
          </cell>
          <cell r="Z44">
            <v>1</v>
          </cell>
          <cell r="AA44" t="e">
            <v>#REF!</v>
          </cell>
          <cell r="AB44" t="e">
            <v>#REF!</v>
          </cell>
          <cell r="AC44" t="e">
            <v>#REF!</v>
          </cell>
          <cell r="AD44" t="e">
            <v>#REF!</v>
          </cell>
          <cell r="AE44" t="e">
            <v>#REF!</v>
          </cell>
          <cell r="AF44" t="e">
            <v>#REF!</v>
          </cell>
          <cell r="AG44" t="e">
            <v>#REF!</v>
          </cell>
          <cell r="AH44" t="e">
            <v>#REF!</v>
          </cell>
          <cell r="AI44" t="e">
            <v>#REF!</v>
          </cell>
          <cell r="AJ44" t="e">
            <v>#REF!</v>
          </cell>
          <cell r="AK44" t="e">
            <v>#REF!</v>
          </cell>
          <cell r="AL44" t="e">
            <v>#REF!</v>
          </cell>
          <cell r="AM44" t="e">
            <v>#REF!</v>
          </cell>
          <cell r="AN44" t="e">
            <v>#REF!</v>
          </cell>
          <cell r="AO44" t="e">
            <v>#REF!</v>
          </cell>
          <cell r="AP44" t="e">
            <v>#REF!</v>
          </cell>
        </row>
        <row r="45">
          <cell r="Y45">
            <v>1</v>
          </cell>
          <cell r="Z45">
            <v>1</v>
          </cell>
          <cell r="AA45" t="e">
            <v>#REF!</v>
          </cell>
          <cell r="AB45" t="e">
            <v>#REF!</v>
          </cell>
          <cell r="AC45" t="e">
            <v>#REF!</v>
          </cell>
          <cell r="AD45" t="e">
            <v>#REF!</v>
          </cell>
          <cell r="AE45" t="e">
            <v>#REF!</v>
          </cell>
          <cell r="AF45" t="e">
            <v>#REF!</v>
          </cell>
          <cell r="AG45" t="e">
            <v>#REF!</v>
          </cell>
          <cell r="AH45" t="e">
            <v>#REF!</v>
          </cell>
          <cell r="AI45" t="e">
            <v>#REF!</v>
          </cell>
          <cell r="AJ45" t="e">
            <v>#REF!</v>
          </cell>
          <cell r="AK45" t="e">
            <v>#REF!</v>
          </cell>
          <cell r="AL45" t="e">
            <v>#REF!</v>
          </cell>
          <cell r="AM45" t="e">
            <v>#REF!</v>
          </cell>
          <cell r="AN45" t="e">
            <v>#REF!</v>
          </cell>
          <cell r="AO45" t="e">
            <v>#REF!</v>
          </cell>
          <cell r="AP45" t="e">
            <v>#REF!</v>
          </cell>
        </row>
        <row r="46">
          <cell r="Y46">
            <v>1</v>
          </cell>
          <cell r="Z46">
            <v>1</v>
          </cell>
          <cell r="AA46" t="e">
            <v>#REF!</v>
          </cell>
          <cell r="AB46" t="e">
            <v>#REF!</v>
          </cell>
          <cell r="AC46" t="e">
            <v>#REF!</v>
          </cell>
          <cell r="AD46" t="e">
            <v>#REF!</v>
          </cell>
          <cell r="AE46" t="e">
            <v>#REF!</v>
          </cell>
          <cell r="AF46" t="e">
            <v>#REF!</v>
          </cell>
          <cell r="AG46" t="e">
            <v>#REF!</v>
          </cell>
          <cell r="AH46" t="e">
            <v>#REF!</v>
          </cell>
          <cell r="AI46" t="e">
            <v>#REF!</v>
          </cell>
          <cell r="AJ46" t="e">
            <v>#REF!</v>
          </cell>
          <cell r="AK46" t="e">
            <v>#REF!</v>
          </cell>
          <cell r="AL46" t="e">
            <v>#REF!</v>
          </cell>
          <cell r="AM46" t="e">
            <v>#REF!</v>
          </cell>
          <cell r="AN46" t="e">
            <v>#REF!</v>
          </cell>
          <cell r="AO46" t="e">
            <v>#REF!</v>
          </cell>
          <cell r="AP46" t="e">
            <v>#REF!</v>
          </cell>
        </row>
        <row r="47">
          <cell r="Y47">
            <v>1</v>
          </cell>
          <cell r="Z47">
            <v>1</v>
          </cell>
          <cell r="AA47" t="e">
            <v>#REF!</v>
          </cell>
          <cell r="AB47" t="e">
            <v>#REF!</v>
          </cell>
          <cell r="AC47" t="e">
            <v>#REF!</v>
          </cell>
          <cell r="AD47" t="e">
            <v>#REF!</v>
          </cell>
          <cell r="AE47" t="e">
            <v>#REF!</v>
          </cell>
          <cell r="AF47" t="e">
            <v>#REF!</v>
          </cell>
          <cell r="AG47" t="e">
            <v>#REF!</v>
          </cell>
          <cell r="AH47" t="e">
            <v>#REF!</v>
          </cell>
          <cell r="AI47" t="e">
            <v>#REF!</v>
          </cell>
          <cell r="AJ47" t="e">
            <v>#REF!</v>
          </cell>
          <cell r="AK47" t="e">
            <v>#REF!</v>
          </cell>
          <cell r="AL47" t="e">
            <v>#REF!</v>
          </cell>
          <cell r="AM47" t="e">
            <v>#REF!</v>
          </cell>
          <cell r="AN47" t="e">
            <v>#REF!</v>
          </cell>
          <cell r="AO47" t="e">
            <v>#REF!</v>
          </cell>
          <cell r="AP47" t="e">
            <v>#REF!</v>
          </cell>
        </row>
        <row r="48">
          <cell r="Y48">
            <v>1</v>
          </cell>
          <cell r="Z48">
            <v>1</v>
          </cell>
          <cell r="AA48" t="e">
            <v>#REF!</v>
          </cell>
          <cell r="AB48" t="e">
            <v>#REF!</v>
          </cell>
          <cell r="AC48" t="e">
            <v>#REF!</v>
          </cell>
          <cell r="AD48" t="e">
            <v>#REF!</v>
          </cell>
          <cell r="AE48" t="e">
            <v>#REF!</v>
          </cell>
          <cell r="AF48" t="e">
            <v>#REF!</v>
          </cell>
          <cell r="AG48" t="e">
            <v>#REF!</v>
          </cell>
          <cell r="AH48" t="e">
            <v>#REF!</v>
          </cell>
          <cell r="AI48" t="e">
            <v>#REF!</v>
          </cell>
          <cell r="AJ48" t="e">
            <v>#REF!</v>
          </cell>
          <cell r="AK48" t="e">
            <v>#REF!</v>
          </cell>
          <cell r="AL48" t="e">
            <v>#REF!</v>
          </cell>
          <cell r="AM48" t="e">
            <v>#REF!</v>
          </cell>
          <cell r="AN48" t="e">
            <v>#REF!</v>
          </cell>
          <cell r="AO48" t="e">
            <v>#REF!</v>
          </cell>
          <cell r="AP48" t="e">
            <v>#REF!</v>
          </cell>
        </row>
        <row r="49">
          <cell r="Y49">
            <v>1</v>
          </cell>
          <cell r="Z49">
            <v>1</v>
          </cell>
          <cell r="AA49" t="e">
            <v>#REF!</v>
          </cell>
          <cell r="AB49" t="e">
            <v>#REF!</v>
          </cell>
          <cell r="AC49" t="e">
            <v>#REF!</v>
          </cell>
          <cell r="AD49" t="e">
            <v>#REF!</v>
          </cell>
          <cell r="AE49" t="e">
            <v>#REF!</v>
          </cell>
          <cell r="AF49" t="e">
            <v>#REF!</v>
          </cell>
          <cell r="AG49" t="e">
            <v>#REF!</v>
          </cell>
          <cell r="AH49" t="e">
            <v>#REF!</v>
          </cell>
          <cell r="AI49" t="e">
            <v>#REF!</v>
          </cell>
          <cell r="AJ49" t="e">
            <v>#REF!</v>
          </cell>
          <cell r="AK49" t="e">
            <v>#REF!</v>
          </cell>
          <cell r="AL49" t="e">
            <v>#REF!</v>
          </cell>
          <cell r="AM49" t="e">
            <v>#REF!</v>
          </cell>
          <cell r="AN49" t="e">
            <v>#REF!</v>
          </cell>
          <cell r="AO49" t="e">
            <v>#REF!</v>
          </cell>
          <cell r="AP49" t="e">
            <v>#REF!</v>
          </cell>
        </row>
        <row r="50">
          <cell r="Y50">
            <v>1</v>
          </cell>
          <cell r="Z50">
            <v>1</v>
          </cell>
          <cell r="AA50" t="e">
            <v>#REF!</v>
          </cell>
          <cell r="AB50" t="e">
            <v>#REF!</v>
          </cell>
          <cell r="AC50" t="e">
            <v>#REF!</v>
          </cell>
          <cell r="AD50" t="e">
            <v>#REF!</v>
          </cell>
          <cell r="AE50" t="e">
            <v>#REF!</v>
          </cell>
          <cell r="AF50" t="e">
            <v>#REF!</v>
          </cell>
          <cell r="AG50" t="e">
            <v>#REF!</v>
          </cell>
          <cell r="AH50" t="e">
            <v>#REF!</v>
          </cell>
          <cell r="AI50" t="e">
            <v>#REF!</v>
          </cell>
          <cell r="AJ50" t="e">
            <v>#REF!</v>
          </cell>
          <cell r="AK50" t="e">
            <v>#REF!</v>
          </cell>
          <cell r="AL50" t="e">
            <v>#REF!</v>
          </cell>
          <cell r="AM50" t="e">
            <v>#REF!</v>
          </cell>
          <cell r="AN50" t="e">
            <v>#REF!</v>
          </cell>
          <cell r="AO50" t="e">
            <v>#REF!</v>
          </cell>
          <cell r="AP50" t="e">
            <v>#REF!</v>
          </cell>
        </row>
        <row r="51">
          <cell r="Y51">
            <v>1</v>
          </cell>
          <cell r="Z51">
            <v>1</v>
          </cell>
          <cell r="AA51" t="e">
            <v>#REF!</v>
          </cell>
          <cell r="AB51" t="e">
            <v>#REF!</v>
          </cell>
          <cell r="AC51" t="e">
            <v>#REF!</v>
          </cell>
          <cell r="AD51" t="e">
            <v>#REF!</v>
          </cell>
          <cell r="AE51" t="e">
            <v>#REF!</v>
          </cell>
          <cell r="AF51" t="e">
            <v>#REF!</v>
          </cell>
          <cell r="AG51" t="e">
            <v>#REF!</v>
          </cell>
          <cell r="AH51" t="e">
            <v>#REF!</v>
          </cell>
          <cell r="AI51" t="e">
            <v>#REF!</v>
          </cell>
          <cell r="AJ51" t="e">
            <v>#REF!</v>
          </cell>
          <cell r="AK51" t="e">
            <v>#REF!</v>
          </cell>
          <cell r="AL51" t="e">
            <v>#REF!</v>
          </cell>
          <cell r="AM51" t="e">
            <v>#REF!</v>
          </cell>
          <cell r="AN51" t="e">
            <v>#REF!</v>
          </cell>
          <cell r="AO51" t="e">
            <v>#REF!</v>
          </cell>
          <cell r="AP51" t="e">
            <v>#REF!</v>
          </cell>
        </row>
        <row r="52">
          <cell r="Y52">
            <v>1</v>
          </cell>
          <cell r="Z52">
            <v>1</v>
          </cell>
          <cell r="AA52" t="e">
            <v>#REF!</v>
          </cell>
          <cell r="AB52" t="e">
            <v>#REF!</v>
          </cell>
          <cell r="AC52" t="e">
            <v>#REF!</v>
          </cell>
          <cell r="AD52" t="e">
            <v>#REF!</v>
          </cell>
          <cell r="AE52" t="e">
            <v>#REF!</v>
          </cell>
          <cell r="AF52" t="e">
            <v>#REF!</v>
          </cell>
          <cell r="AG52" t="e">
            <v>#REF!</v>
          </cell>
          <cell r="AH52" t="e">
            <v>#REF!</v>
          </cell>
          <cell r="AI52" t="e">
            <v>#REF!</v>
          </cell>
          <cell r="AJ52" t="e">
            <v>#REF!</v>
          </cell>
          <cell r="AK52" t="e">
            <v>#REF!</v>
          </cell>
          <cell r="AL52" t="e">
            <v>#REF!</v>
          </cell>
          <cell r="AM52" t="e">
            <v>#REF!</v>
          </cell>
          <cell r="AN52" t="e">
            <v>#REF!</v>
          </cell>
          <cell r="AO52" t="e">
            <v>#REF!</v>
          </cell>
          <cell r="AP52" t="e">
            <v>#REF!</v>
          </cell>
        </row>
        <row r="53">
          <cell r="Y53">
            <v>1</v>
          </cell>
          <cell r="Z53">
            <v>1</v>
          </cell>
          <cell r="AA53" t="e">
            <v>#REF!</v>
          </cell>
          <cell r="AB53" t="e">
            <v>#REF!</v>
          </cell>
          <cell r="AC53" t="e">
            <v>#REF!</v>
          </cell>
          <cell r="AD53" t="e">
            <v>#REF!</v>
          </cell>
          <cell r="AE53" t="e">
            <v>#REF!</v>
          </cell>
          <cell r="AF53" t="e">
            <v>#REF!</v>
          </cell>
          <cell r="AG53" t="e">
            <v>#REF!</v>
          </cell>
          <cell r="AH53" t="e">
            <v>#REF!</v>
          </cell>
          <cell r="AI53" t="e">
            <v>#REF!</v>
          </cell>
          <cell r="AJ53" t="e">
            <v>#REF!</v>
          </cell>
          <cell r="AK53" t="e">
            <v>#REF!</v>
          </cell>
          <cell r="AL53" t="e">
            <v>#REF!</v>
          </cell>
          <cell r="AM53" t="e">
            <v>#REF!</v>
          </cell>
          <cell r="AN53" t="e">
            <v>#REF!</v>
          </cell>
          <cell r="AO53" t="e">
            <v>#REF!</v>
          </cell>
          <cell r="AP53" t="e">
            <v>#REF!</v>
          </cell>
        </row>
        <row r="54">
          <cell r="Y54">
            <v>1</v>
          </cell>
          <cell r="Z54">
            <v>1</v>
          </cell>
          <cell r="AA54" t="e">
            <v>#REF!</v>
          </cell>
          <cell r="AB54" t="e">
            <v>#REF!</v>
          </cell>
          <cell r="AC54" t="e">
            <v>#REF!</v>
          </cell>
          <cell r="AD54" t="e">
            <v>#REF!</v>
          </cell>
          <cell r="AE54" t="e">
            <v>#REF!</v>
          </cell>
          <cell r="AF54" t="e">
            <v>#REF!</v>
          </cell>
          <cell r="AG54" t="e">
            <v>#REF!</v>
          </cell>
          <cell r="AH54" t="e">
            <v>#REF!</v>
          </cell>
          <cell r="AI54" t="e">
            <v>#REF!</v>
          </cell>
          <cell r="AJ54" t="e">
            <v>#REF!</v>
          </cell>
          <cell r="AK54" t="e">
            <v>#REF!</v>
          </cell>
          <cell r="AL54" t="e">
            <v>#REF!</v>
          </cell>
          <cell r="AM54" t="e">
            <v>#REF!</v>
          </cell>
          <cell r="AN54" t="e">
            <v>#REF!</v>
          </cell>
          <cell r="AO54" t="e">
            <v>#REF!</v>
          </cell>
          <cell r="AP54" t="e">
            <v>#REF!</v>
          </cell>
        </row>
        <row r="55">
          <cell r="Y55">
            <v>1</v>
          </cell>
          <cell r="Z55">
            <v>1</v>
          </cell>
          <cell r="AA55" t="e">
            <v>#REF!</v>
          </cell>
          <cell r="AB55" t="e">
            <v>#REF!</v>
          </cell>
          <cell r="AC55" t="e">
            <v>#REF!</v>
          </cell>
          <cell r="AD55" t="e">
            <v>#REF!</v>
          </cell>
          <cell r="AE55" t="e">
            <v>#REF!</v>
          </cell>
          <cell r="AF55" t="e">
            <v>#REF!</v>
          </cell>
          <cell r="AG55" t="e">
            <v>#REF!</v>
          </cell>
          <cell r="AH55" t="e">
            <v>#REF!</v>
          </cell>
          <cell r="AI55" t="e">
            <v>#REF!</v>
          </cell>
          <cell r="AJ55" t="e">
            <v>#REF!</v>
          </cell>
          <cell r="AK55" t="e">
            <v>#REF!</v>
          </cell>
          <cell r="AL55" t="e">
            <v>#REF!</v>
          </cell>
          <cell r="AM55" t="e">
            <v>#REF!</v>
          </cell>
          <cell r="AN55" t="e">
            <v>#REF!</v>
          </cell>
          <cell r="AO55" t="e">
            <v>#REF!</v>
          </cell>
          <cell r="AP55" t="e">
            <v>#REF!</v>
          </cell>
        </row>
        <row r="56">
          <cell r="Y56">
            <v>1</v>
          </cell>
          <cell r="Z56">
            <v>1</v>
          </cell>
          <cell r="AA56" t="e">
            <v>#REF!</v>
          </cell>
          <cell r="AB56" t="e">
            <v>#REF!</v>
          </cell>
          <cell r="AC56" t="e">
            <v>#REF!</v>
          </cell>
          <cell r="AD56" t="e">
            <v>#REF!</v>
          </cell>
          <cell r="AE56" t="e">
            <v>#REF!</v>
          </cell>
          <cell r="AF56" t="e">
            <v>#REF!</v>
          </cell>
          <cell r="AG56" t="e">
            <v>#REF!</v>
          </cell>
          <cell r="AH56" t="e">
            <v>#REF!</v>
          </cell>
          <cell r="AI56" t="e">
            <v>#REF!</v>
          </cell>
          <cell r="AJ56" t="e">
            <v>#REF!</v>
          </cell>
          <cell r="AK56" t="e">
            <v>#REF!</v>
          </cell>
          <cell r="AL56" t="e">
            <v>#REF!</v>
          </cell>
          <cell r="AM56" t="e">
            <v>#REF!</v>
          </cell>
          <cell r="AN56" t="e">
            <v>#REF!</v>
          </cell>
          <cell r="AO56" t="e">
            <v>#REF!</v>
          </cell>
          <cell r="AP56" t="e">
            <v>#REF!</v>
          </cell>
        </row>
        <row r="57">
          <cell r="Y57">
            <v>1</v>
          </cell>
          <cell r="Z57">
            <v>1</v>
          </cell>
          <cell r="AA57" t="e">
            <v>#REF!</v>
          </cell>
          <cell r="AB57" t="e">
            <v>#REF!</v>
          </cell>
          <cell r="AC57" t="e">
            <v>#REF!</v>
          </cell>
          <cell r="AD57" t="e">
            <v>#REF!</v>
          </cell>
          <cell r="AE57" t="e">
            <v>#REF!</v>
          </cell>
          <cell r="AF57" t="e">
            <v>#REF!</v>
          </cell>
          <cell r="AG57" t="e">
            <v>#REF!</v>
          </cell>
          <cell r="AH57" t="e">
            <v>#REF!</v>
          </cell>
          <cell r="AI57" t="e">
            <v>#REF!</v>
          </cell>
          <cell r="AJ57" t="e">
            <v>#REF!</v>
          </cell>
          <cell r="AK57" t="e">
            <v>#REF!</v>
          </cell>
          <cell r="AL57" t="e">
            <v>#REF!</v>
          </cell>
          <cell r="AM57" t="e">
            <v>#REF!</v>
          </cell>
          <cell r="AN57" t="e">
            <v>#REF!</v>
          </cell>
          <cell r="AO57" t="e">
            <v>#REF!</v>
          </cell>
          <cell r="AP57" t="e">
            <v>#REF!</v>
          </cell>
        </row>
        <row r="58">
          <cell r="Y58">
            <v>1</v>
          </cell>
          <cell r="Z58">
            <v>1</v>
          </cell>
          <cell r="AA58" t="e">
            <v>#REF!</v>
          </cell>
          <cell r="AB58" t="e">
            <v>#REF!</v>
          </cell>
          <cell r="AC58" t="e">
            <v>#REF!</v>
          </cell>
          <cell r="AD58" t="e">
            <v>#REF!</v>
          </cell>
          <cell r="AE58" t="e">
            <v>#REF!</v>
          </cell>
          <cell r="AF58" t="e">
            <v>#REF!</v>
          </cell>
          <cell r="AG58" t="e">
            <v>#REF!</v>
          </cell>
          <cell r="AH58" t="e">
            <v>#REF!</v>
          </cell>
          <cell r="AI58" t="e">
            <v>#REF!</v>
          </cell>
          <cell r="AJ58" t="e">
            <v>#REF!</v>
          </cell>
          <cell r="AK58" t="e">
            <v>#REF!</v>
          </cell>
          <cell r="AL58" t="e">
            <v>#REF!</v>
          </cell>
          <cell r="AM58" t="e">
            <v>#REF!</v>
          </cell>
          <cell r="AN58" t="e">
            <v>#REF!</v>
          </cell>
          <cell r="AO58" t="e">
            <v>#REF!</v>
          </cell>
          <cell r="AP58" t="e">
            <v>#REF!</v>
          </cell>
        </row>
      </sheetData>
      <sheetData sheetId="24"/>
      <sheetData sheetId="25"/>
      <sheetData sheetId="26"/>
      <sheetData sheetId="27"/>
      <sheetData sheetId="28">
        <row r="2">
          <cell r="B2" t="str">
            <v>Выпуски</v>
          </cell>
        </row>
        <row r="3">
          <cell r="B3" t="str">
            <v>Годовые индексы изменения физического объема выпусков</v>
          </cell>
        </row>
        <row r="4">
          <cell r="B4" t="str">
            <v>Отраслевая структура выпусков по годам в прогнозируемом периоде</v>
          </cell>
        </row>
        <row r="5">
          <cell r="B5" t="str">
            <v xml:space="preserve">Объем отраслевых ресурсов отечественного производства </v>
          </cell>
        </row>
        <row r="6">
          <cell r="B6" t="str">
            <v xml:space="preserve">Динамика отраслевых ресурсов отечественного производства </v>
          </cell>
        </row>
        <row r="7">
          <cell r="B7" t="str">
            <v xml:space="preserve">Отраслевая структура ресурсов отечественного производства </v>
          </cell>
        </row>
        <row r="8">
          <cell r="B8" t="str">
            <v>Объем отраслевых ресурсов отечественного производства в конечном использовании</v>
          </cell>
        </row>
        <row r="9">
          <cell r="B9" t="str">
            <v>Динамика отраслевых ресурсов отечественного производства в конечном использовании</v>
          </cell>
        </row>
        <row r="10">
          <cell r="B10" t="str">
            <v>Отраслевая структура ресурсов отечественного производства в конечном использовании</v>
          </cell>
        </row>
        <row r="11">
          <cell r="B11" t="str">
            <v>Конечное потребление домашних хозяйств</v>
          </cell>
        </row>
        <row r="12">
          <cell r="B12" t="str">
            <v>Динамика конечного потребления домашних хозяйств</v>
          </cell>
        </row>
        <row r="13">
          <cell r="B13" t="str">
            <v>Отраслевая структура конечного потребления домашних хозяйств</v>
          </cell>
        </row>
        <row r="14">
          <cell r="B14" t="str">
            <v>Конечное потребление ОГУ</v>
          </cell>
        </row>
        <row r="15">
          <cell r="B15" t="str">
            <v>Динамика конечного потребления ОГУ</v>
          </cell>
        </row>
        <row r="16">
          <cell r="B16" t="str">
            <v>Отраслевая структура конечного потребления ОГУ</v>
          </cell>
        </row>
        <row r="17">
          <cell r="B17" t="str">
            <v>Изменение запасов материальных оборотных средств</v>
          </cell>
        </row>
        <row r="18">
          <cell r="B18" t="str">
            <v>Динамика изменения запасов материальных оборотных средств</v>
          </cell>
        </row>
        <row r="19">
          <cell r="B19" t="str">
            <v>Отраслевая структура изменения запасов материальных оборотных средств</v>
          </cell>
        </row>
        <row r="20">
          <cell r="B20" t="str">
            <v>Экспорт</v>
          </cell>
        </row>
        <row r="21">
          <cell r="B21" t="str">
            <v>Динамика экспорта</v>
          </cell>
        </row>
        <row r="22">
          <cell r="B22" t="str">
            <v>Отраслевая структура экспорта</v>
          </cell>
        </row>
        <row r="23">
          <cell r="B23" t="str">
            <v>Импорт</v>
          </cell>
        </row>
        <row r="24">
          <cell r="B24" t="str">
            <v>Динамика импорта</v>
          </cell>
        </row>
        <row r="25">
          <cell r="B25" t="str">
            <v>Отраслевая структура импорта</v>
          </cell>
        </row>
        <row r="26">
          <cell r="B26" t="str">
            <v>Сальдо</v>
          </cell>
        </row>
        <row r="27">
          <cell r="B27" t="str">
            <v>Динамика отраслевой потребности в инвестициях</v>
          </cell>
        </row>
        <row r="28">
          <cell r="B28" t="str">
            <v>Динамика основных фондов</v>
          </cell>
        </row>
        <row r="29">
          <cell r="B29" t="str">
            <v>Коэффициенты выбытия основных фондов</v>
          </cell>
        </row>
        <row r="30">
          <cell r="B30" t="str">
            <v>Коэффициенты обновления основных фондов</v>
          </cell>
        </row>
        <row r="31">
          <cell r="B31" t="str">
            <v>Динамика фондоотдачи</v>
          </cell>
        </row>
      </sheetData>
      <sheetData sheetId="2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Свод"/>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П1.2 МПОКХ"/>
      <sheetName val="1.2.2"/>
      <sheetName val="1.3 (3)"/>
      <sheetName val="1.3"/>
      <sheetName val="1.4"/>
      <sheetName val="1.5"/>
      <sheetName val="1.6"/>
      <sheetName val="1.6 (2)"/>
      <sheetName val="1.13"/>
      <sheetName val="1.15"/>
      <sheetName val="1.16"/>
      <sheetName val="1.16 (ЮСК)"/>
      <sheetName val="1.17"/>
      <sheetName val="1.18.2."/>
      <sheetName val="1.21.3"/>
      <sheetName val="1.24."/>
      <sheetName val="1.25."/>
      <sheetName val="1.27"/>
      <sheetName val="2.1усл.ед"/>
      <sheetName val="2.2усл.ед"/>
      <sheetName val="распр затрат"/>
      <sheetName val="Лист2"/>
      <sheetName val="ГСМ"/>
      <sheetName val="усл.ед."/>
      <sheetName val="POYS2008"/>
      <sheetName val="Лист1 "/>
      <sheetName val="P2.1"/>
      <sheetName val="P2.2"/>
      <sheetName val="TEHSHEET"/>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F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6">
          <cell r="A6">
            <v>1</v>
          </cell>
          <cell r="B6">
            <v>2</v>
          </cell>
          <cell r="C6">
            <v>3</v>
          </cell>
          <cell r="D6">
            <v>4</v>
          </cell>
          <cell r="F6">
            <v>5</v>
          </cell>
          <cell r="G6">
            <v>6</v>
          </cell>
          <cell r="H6" t="str">
            <v>7 = 5 * 6 /100</v>
          </cell>
        </row>
        <row r="7">
          <cell r="H7">
            <v>0</v>
          </cell>
        </row>
        <row r="8">
          <cell r="H8">
            <v>0</v>
          </cell>
        </row>
        <row r="9">
          <cell r="H9">
            <v>0</v>
          </cell>
        </row>
        <row r="10">
          <cell r="H10">
            <v>0</v>
          </cell>
        </row>
        <row r="11">
          <cell r="F11">
            <v>230</v>
          </cell>
          <cell r="H11">
            <v>0</v>
          </cell>
        </row>
        <row r="12">
          <cell r="F12">
            <v>170</v>
          </cell>
          <cell r="H12">
            <v>0</v>
          </cell>
        </row>
        <row r="13">
          <cell r="F13">
            <v>290</v>
          </cell>
          <cell r="H13">
            <v>0</v>
          </cell>
        </row>
        <row r="14">
          <cell r="F14">
            <v>210</v>
          </cell>
          <cell r="H14">
            <v>0</v>
          </cell>
        </row>
        <row r="15">
          <cell r="F15">
            <v>260</v>
          </cell>
          <cell r="H15">
            <v>0</v>
          </cell>
        </row>
        <row r="16">
          <cell r="F16">
            <v>210</v>
          </cell>
          <cell r="H16">
            <v>0</v>
          </cell>
        </row>
        <row r="17">
          <cell r="F17">
            <v>140</v>
          </cell>
          <cell r="H17">
            <v>0</v>
          </cell>
        </row>
        <row r="18">
          <cell r="F18">
            <v>270</v>
          </cell>
          <cell r="H18">
            <v>0</v>
          </cell>
        </row>
        <row r="19">
          <cell r="F19">
            <v>180</v>
          </cell>
          <cell r="H19">
            <v>0</v>
          </cell>
        </row>
        <row r="20">
          <cell r="F20">
            <v>180</v>
          </cell>
          <cell r="G20">
            <v>251.99700000000001</v>
          </cell>
          <cell r="H20">
            <v>453.59460000000001</v>
          </cell>
        </row>
        <row r="21">
          <cell r="F21">
            <v>160</v>
          </cell>
          <cell r="H21">
            <v>0</v>
          </cell>
        </row>
        <row r="22">
          <cell r="F22">
            <v>130</v>
          </cell>
          <cell r="G22">
            <v>1605.2560000000001</v>
          </cell>
          <cell r="H22">
            <v>2086.8328000000001</v>
          </cell>
        </row>
        <row r="23">
          <cell r="F23">
            <v>190</v>
          </cell>
          <cell r="H23">
            <v>0</v>
          </cell>
        </row>
        <row r="24">
          <cell r="F24">
            <v>160</v>
          </cell>
          <cell r="G24">
            <v>125.77</v>
          </cell>
          <cell r="H24">
            <v>201.232</v>
          </cell>
        </row>
        <row r="25">
          <cell r="F25">
            <v>3000</v>
          </cell>
          <cell r="H25">
            <v>0</v>
          </cell>
        </row>
        <row r="26">
          <cell r="F26">
            <v>2300</v>
          </cell>
          <cell r="H26">
            <v>0</v>
          </cell>
        </row>
        <row r="27">
          <cell r="H27">
            <v>2741.6594</v>
          </cell>
        </row>
        <row r="28">
          <cell r="F28">
            <v>170</v>
          </cell>
          <cell r="G28">
            <v>484.08</v>
          </cell>
          <cell r="H28">
            <v>822.93599999999992</v>
          </cell>
        </row>
        <row r="29">
          <cell r="F29">
            <v>140</v>
          </cell>
          <cell r="H29">
            <v>0</v>
          </cell>
        </row>
        <row r="30">
          <cell r="F30">
            <v>120</v>
          </cell>
          <cell r="G30">
            <v>1533.655</v>
          </cell>
          <cell r="H30">
            <v>1840.386</v>
          </cell>
        </row>
        <row r="31">
          <cell r="F31">
            <v>180</v>
          </cell>
          <cell r="H31">
            <v>0</v>
          </cell>
        </row>
        <row r="32">
          <cell r="F32">
            <v>150</v>
          </cell>
          <cell r="G32">
            <v>17.794</v>
          </cell>
          <cell r="H32">
            <v>26.690999999999999</v>
          </cell>
        </row>
        <row r="33">
          <cell r="F33">
            <v>160</v>
          </cell>
          <cell r="G33">
            <v>335.76</v>
          </cell>
          <cell r="H33">
            <v>537.21600000000001</v>
          </cell>
        </row>
        <row r="34">
          <cell r="F34">
            <v>140</v>
          </cell>
          <cell r="G34">
            <v>3133.66</v>
          </cell>
          <cell r="H34">
            <v>4387.1239999999998</v>
          </cell>
        </row>
        <row r="35">
          <cell r="F35">
            <v>110</v>
          </cell>
          <cell r="G35">
            <v>9559.77</v>
          </cell>
          <cell r="H35">
            <v>10515.746999999999</v>
          </cell>
        </row>
        <row r="36">
          <cell r="F36">
            <v>470</v>
          </cell>
          <cell r="H36">
            <v>0</v>
          </cell>
        </row>
        <row r="37">
          <cell r="F37">
            <v>350</v>
          </cell>
          <cell r="H37">
            <v>0</v>
          </cell>
        </row>
        <row r="38">
          <cell r="H38">
            <v>2690.0129999999999</v>
          </cell>
        </row>
        <row r="39">
          <cell r="H39">
            <v>15440.087</v>
          </cell>
        </row>
        <row r="40">
          <cell r="F40">
            <v>260</v>
          </cell>
          <cell r="G40">
            <v>214.4</v>
          </cell>
          <cell r="H40">
            <v>557.44000000000005</v>
          </cell>
        </row>
        <row r="41">
          <cell r="F41">
            <v>220</v>
          </cell>
          <cell r="G41">
            <v>1443.6</v>
          </cell>
          <cell r="H41">
            <v>3175.92</v>
          </cell>
        </row>
        <row r="42">
          <cell r="F42">
            <v>150</v>
          </cell>
          <cell r="G42">
            <v>2145.87</v>
          </cell>
          <cell r="H42">
            <v>3218.8049999999998</v>
          </cell>
        </row>
        <row r="43">
          <cell r="F43">
            <v>270</v>
          </cell>
          <cell r="H43">
            <v>0</v>
          </cell>
        </row>
        <row r="44">
          <cell r="H44">
            <v>6952.165</v>
          </cell>
        </row>
      </sheetData>
      <sheetData sheetId="28" refreshError="1">
        <row r="6">
          <cell r="A6">
            <v>1</v>
          </cell>
          <cell r="B6">
            <v>2</v>
          </cell>
          <cell r="D6">
            <v>3</v>
          </cell>
          <cell r="E6">
            <v>4</v>
          </cell>
          <cell r="F6">
            <v>5</v>
          </cell>
          <cell r="G6">
            <v>6</v>
          </cell>
          <cell r="H6" t="str">
            <v>7=5*6</v>
          </cell>
        </row>
        <row r="7">
          <cell r="H7">
            <v>0</v>
          </cell>
        </row>
        <row r="8">
          <cell r="H8">
            <v>0</v>
          </cell>
        </row>
        <row r="9">
          <cell r="H9">
            <v>0</v>
          </cell>
        </row>
        <row r="10">
          <cell r="F10">
            <v>250</v>
          </cell>
          <cell r="H10">
            <v>0</v>
          </cell>
        </row>
        <row r="11">
          <cell r="F11">
            <v>210</v>
          </cell>
          <cell r="H11">
            <v>0</v>
          </cell>
        </row>
        <row r="12">
          <cell r="F12">
            <v>105</v>
          </cell>
          <cell r="G12">
            <v>44</v>
          </cell>
          <cell r="H12">
            <v>4620</v>
          </cell>
        </row>
        <row r="13">
          <cell r="F13">
            <v>75</v>
          </cell>
          <cell r="G13">
            <v>70</v>
          </cell>
          <cell r="H13">
            <v>5250</v>
          </cell>
        </row>
        <row r="14">
          <cell r="H14">
            <v>0</v>
          </cell>
        </row>
        <row r="15">
          <cell r="H15">
            <v>0</v>
          </cell>
        </row>
        <row r="16">
          <cell r="H16">
            <v>0</v>
          </cell>
        </row>
        <row r="17">
          <cell r="F17">
            <v>18</v>
          </cell>
          <cell r="H17">
            <v>0</v>
          </cell>
        </row>
        <row r="18">
          <cell r="F18">
            <v>14</v>
          </cell>
          <cell r="H18">
            <v>0</v>
          </cell>
        </row>
        <row r="19">
          <cell r="F19">
            <v>7.8</v>
          </cell>
          <cell r="G19">
            <v>67</v>
          </cell>
          <cell r="H19">
            <v>522.6</v>
          </cell>
        </row>
        <row r="20">
          <cell r="F20">
            <v>2.1</v>
          </cell>
          <cell r="G20">
            <v>88</v>
          </cell>
          <cell r="H20">
            <v>184.8</v>
          </cell>
        </row>
        <row r="21">
          <cell r="F21">
            <v>1</v>
          </cell>
          <cell r="G21">
            <v>161</v>
          </cell>
          <cell r="H21">
            <v>161</v>
          </cell>
        </row>
        <row r="22">
          <cell r="H22">
            <v>0</v>
          </cell>
        </row>
        <row r="23">
          <cell r="H23">
            <v>0</v>
          </cell>
        </row>
        <row r="24">
          <cell r="H24">
            <v>0</v>
          </cell>
        </row>
        <row r="25">
          <cell r="F25">
            <v>66</v>
          </cell>
          <cell r="H25">
            <v>0</v>
          </cell>
        </row>
        <row r="26">
          <cell r="F26">
            <v>43</v>
          </cell>
          <cell r="H26">
            <v>0</v>
          </cell>
        </row>
        <row r="27">
          <cell r="F27">
            <v>26</v>
          </cell>
          <cell r="H27">
            <v>0</v>
          </cell>
        </row>
        <row r="28">
          <cell r="F28">
            <v>11</v>
          </cell>
          <cell r="H28">
            <v>0</v>
          </cell>
        </row>
        <row r="29">
          <cell r="F29">
            <v>5.5</v>
          </cell>
          <cell r="H29">
            <v>0</v>
          </cell>
        </row>
        <row r="30">
          <cell r="F30">
            <v>23</v>
          </cell>
          <cell r="H30">
            <v>0</v>
          </cell>
        </row>
        <row r="31">
          <cell r="F31">
            <v>14</v>
          </cell>
          <cell r="G31">
            <v>85</v>
          </cell>
          <cell r="H31">
            <v>1190</v>
          </cell>
        </row>
        <row r="32">
          <cell r="F32">
            <v>6.4</v>
          </cell>
          <cell r="G32">
            <v>213</v>
          </cell>
          <cell r="H32">
            <v>1363.2</v>
          </cell>
        </row>
        <row r="33">
          <cell r="F33">
            <v>3.1</v>
          </cell>
          <cell r="G33">
            <v>1031</v>
          </cell>
          <cell r="H33">
            <v>3196.1</v>
          </cell>
        </row>
        <row r="34">
          <cell r="H34">
            <v>0</v>
          </cell>
        </row>
        <row r="35">
          <cell r="F35">
            <v>24</v>
          </cell>
          <cell r="H35">
            <v>0</v>
          </cell>
        </row>
        <row r="36">
          <cell r="F36">
            <v>19</v>
          </cell>
          <cell r="H36">
            <v>0</v>
          </cell>
        </row>
        <row r="37">
          <cell r="F37">
            <v>9.5</v>
          </cell>
          <cell r="G37">
            <v>38</v>
          </cell>
          <cell r="H37">
            <v>361</v>
          </cell>
        </row>
        <row r="38">
          <cell r="F38">
            <v>4.7</v>
          </cell>
          <cell r="G38">
            <v>12</v>
          </cell>
          <cell r="H38">
            <v>56.400000000000006</v>
          </cell>
        </row>
        <row r="39">
          <cell r="F39">
            <v>2.2999999999999998</v>
          </cell>
          <cell r="H39">
            <v>0</v>
          </cell>
        </row>
        <row r="40">
          <cell r="F40">
            <v>26</v>
          </cell>
          <cell r="H40">
            <v>0</v>
          </cell>
        </row>
        <row r="41">
          <cell r="F41">
            <v>48</v>
          </cell>
          <cell r="H41">
            <v>0</v>
          </cell>
        </row>
        <row r="42">
          <cell r="F42">
            <v>2.4</v>
          </cell>
          <cell r="G42">
            <v>23.34</v>
          </cell>
          <cell r="H42">
            <v>56.015999999999998</v>
          </cell>
        </row>
        <row r="43">
          <cell r="F43">
            <v>2.5</v>
          </cell>
          <cell r="H43">
            <v>0</v>
          </cell>
        </row>
        <row r="44">
          <cell r="F44">
            <v>2.5</v>
          </cell>
          <cell r="G44">
            <v>216</v>
          </cell>
          <cell r="H44">
            <v>540</v>
          </cell>
        </row>
        <row r="45">
          <cell r="F45">
            <v>2.2999999999999998</v>
          </cell>
          <cell r="G45">
            <v>3322</v>
          </cell>
          <cell r="H45">
            <v>7640.5999999999995</v>
          </cell>
        </row>
        <row r="46">
          <cell r="F46">
            <v>3</v>
          </cell>
          <cell r="G46">
            <v>1</v>
          </cell>
          <cell r="H46">
            <v>3</v>
          </cell>
        </row>
        <row r="47">
          <cell r="F47">
            <v>3.5</v>
          </cell>
          <cell r="H47">
            <v>0</v>
          </cell>
        </row>
        <row r="48">
          <cell r="H48">
            <v>6693.6</v>
          </cell>
        </row>
        <row r="49">
          <cell r="H49">
            <v>6910.4159999999993</v>
          </cell>
        </row>
        <row r="50">
          <cell r="H50">
            <v>11540.699999999999</v>
          </cell>
        </row>
        <row r="51">
          <cell r="H51">
            <v>0</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цразвитие"/>
      <sheetName val="НВВ"/>
      <sheetName val="Лист1"/>
      <sheetName val="1.2"/>
      <sheetName val="1,3"/>
      <sheetName val="1.4"/>
      <sheetName val="1.5"/>
      <sheetName val="1.6"/>
      <sheetName val="1.13"/>
      <sheetName val="реестр"/>
      <sheetName val="1.15"/>
      <sheetName val="1.16"/>
      <sheetName val="1.17"/>
      <sheetName val="1.18.2."/>
      <sheetName val="табл. П1.20.3"/>
      <sheetName val="1.21.3"/>
      <sheetName val="1.24."/>
      <sheetName val="1.25."/>
      <sheetName val="трансляция цен"/>
      <sheetName val="1.27"/>
      <sheetName val="POYS2008"/>
      <sheetName val="2.1усл.ед"/>
      <sheetName val="2.2усл.ед"/>
      <sheetName val="распр затрат"/>
      <sheetName val="Лист2"/>
      <sheetName val="ГСМ"/>
      <sheetName val="усл.ед."/>
      <sheetName val="P2.1"/>
      <sheetName val="P2.2"/>
      <sheetName val="своб.цена"/>
      <sheetName val="потери "/>
      <sheetName val="2007 (без Элиста, МЭС)"/>
      <sheetName val="TEH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1">
          <cell r="F11">
            <v>230</v>
          </cell>
        </row>
        <row r="12">
          <cell r="F12">
            <v>170</v>
          </cell>
        </row>
        <row r="13">
          <cell r="F13">
            <v>290</v>
          </cell>
        </row>
        <row r="14">
          <cell r="F14">
            <v>210</v>
          </cell>
        </row>
        <row r="15">
          <cell r="F15">
            <v>260</v>
          </cell>
        </row>
        <row r="16">
          <cell r="F16">
            <v>210</v>
          </cell>
        </row>
        <row r="17">
          <cell r="F17">
            <v>140</v>
          </cell>
        </row>
        <row r="18">
          <cell r="F18">
            <v>270</v>
          </cell>
        </row>
        <row r="19">
          <cell r="F19">
            <v>180</v>
          </cell>
        </row>
        <row r="20">
          <cell r="F20">
            <v>180</v>
          </cell>
          <cell r="G20">
            <v>251.99699999999999</v>
          </cell>
        </row>
        <row r="21">
          <cell r="F21">
            <v>160</v>
          </cell>
        </row>
        <row r="22">
          <cell r="F22">
            <v>130</v>
          </cell>
          <cell r="G22">
            <v>1606.4890000000003</v>
          </cell>
        </row>
        <row r="23">
          <cell r="F23">
            <v>190</v>
          </cell>
        </row>
        <row r="24">
          <cell r="F24">
            <v>160</v>
          </cell>
          <cell r="G24">
            <v>125.77000000000001</v>
          </cell>
        </row>
        <row r="25">
          <cell r="F25">
            <v>3000</v>
          </cell>
        </row>
        <row r="26">
          <cell r="F26">
            <v>2300</v>
          </cell>
        </row>
        <row r="28">
          <cell r="F28">
            <v>170</v>
          </cell>
          <cell r="G28">
            <v>452.09199999999998</v>
          </cell>
        </row>
        <row r="29">
          <cell r="F29">
            <v>140</v>
          </cell>
        </row>
        <row r="30">
          <cell r="F30">
            <v>120</v>
          </cell>
          <cell r="G30">
            <v>1517.508</v>
          </cell>
        </row>
        <row r="31">
          <cell r="F31">
            <v>180</v>
          </cell>
        </row>
        <row r="32">
          <cell r="F32">
            <v>150</v>
          </cell>
          <cell r="G32">
            <v>21.85</v>
          </cell>
        </row>
        <row r="33">
          <cell r="F33">
            <v>160</v>
          </cell>
          <cell r="G33">
            <v>213.66</v>
          </cell>
        </row>
        <row r="34">
          <cell r="F34">
            <v>140</v>
          </cell>
          <cell r="G34">
            <v>2525.42</v>
          </cell>
        </row>
        <row r="35">
          <cell r="F35">
            <v>110</v>
          </cell>
          <cell r="G35">
            <v>9062.1200000000008</v>
          </cell>
        </row>
        <row r="36">
          <cell r="F36">
            <v>470</v>
          </cell>
        </row>
        <row r="37">
          <cell r="F37">
            <v>350</v>
          </cell>
          <cell r="G37">
            <v>0.6</v>
          </cell>
        </row>
        <row r="40">
          <cell r="F40">
            <v>260</v>
          </cell>
          <cell r="G40">
            <v>165.96</v>
          </cell>
        </row>
        <row r="41">
          <cell r="F41">
            <v>220</v>
          </cell>
          <cell r="G41">
            <v>989.67</v>
          </cell>
        </row>
        <row r="42">
          <cell r="F42">
            <v>150</v>
          </cell>
          <cell r="G42">
            <v>1471.29</v>
          </cell>
        </row>
        <row r="43">
          <cell r="F43">
            <v>270</v>
          </cell>
        </row>
      </sheetData>
      <sheetData sheetId="28" refreshError="1"/>
      <sheetData sheetId="29" refreshError="1"/>
      <sheetData sheetId="30" refreshError="1"/>
      <sheetData sheetId="31" refreshError="1"/>
      <sheetData sheetId="3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Форма 3.1"/>
      <sheetName val="Форма 3.1 (кварталы)"/>
      <sheetName val="Форма 16"/>
      <sheetName val="Субабоненты"/>
      <sheetName val="Субабоненты (кварталы)"/>
      <sheetName val="Комментарии"/>
      <sheetName val="Проверка"/>
      <sheetName val="TEHSHEET"/>
      <sheetName val="modProv"/>
      <sheetName val="et_union_hor"/>
      <sheetName val="modReestr"/>
      <sheetName val="modfrmReestr"/>
      <sheetName val="AllSheetsInThisWorkbook"/>
      <sheetName val="REESTR_ORG"/>
      <sheetName val="modClassifierValidate"/>
      <sheetName val="modHyp"/>
      <sheetName val="modList00"/>
      <sheetName val="modList03"/>
      <sheetName val="modList04"/>
      <sheetName val="modInstruction"/>
      <sheetName val="modUpdTemplMain"/>
      <sheetName val="modfrmCheckUpdates"/>
    </sheetNames>
    <sheetDataSet>
      <sheetData sheetId="0">
        <row r="3">
          <cell r="B3" t="str">
            <v>Версия 1.0.1</v>
          </cell>
        </row>
      </sheetData>
      <sheetData sheetId="1" refreshError="1"/>
      <sheetData sheetId="2">
        <row r="7">
          <cell r="F7" t="str">
            <v>Краснодарский край</v>
          </cell>
        </row>
      </sheetData>
      <sheetData sheetId="3" refreshError="1"/>
      <sheetData sheetId="4" refreshError="1"/>
      <sheetData sheetId="5" refreshError="1"/>
      <sheetData sheetId="6">
        <row r="13">
          <cell r="H13">
            <v>765.84900000000005</v>
          </cell>
        </row>
      </sheetData>
      <sheetData sheetId="7" refreshError="1"/>
      <sheetData sheetId="8" refreshError="1"/>
      <sheetData sheetId="9" refreshError="1"/>
      <sheetData sheetId="10">
        <row r="2">
          <cell r="B2" t="str">
            <v>2008</v>
          </cell>
        </row>
        <row r="3">
          <cell r="B3" t="str">
            <v>2009</v>
          </cell>
        </row>
        <row r="4">
          <cell r="B4" t="str">
            <v>2010</v>
          </cell>
        </row>
        <row r="5">
          <cell r="B5" t="str">
            <v>2011</v>
          </cell>
        </row>
        <row r="6">
          <cell r="B6" t="str">
            <v>2012</v>
          </cell>
        </row>
        <row r="7">
          <cell r="B7" t="str">
            <v>2013</v>
          </cell>
        </row>
        <row r="8">
          <cell r="B8" t="str">
            <v>2014</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йтинг"/>
      <sheetName val="Лист1"/>
      <sheetName val="РЧА"/>
      <sheetName val="РЧА новый"/>
      <sheetName val="доляКТ"/>
      <sheetName val="Лист4"/>
      <sheetName val="Дт_Кт"/>
      <sheetName val="Исходные"/>
      <sheetName val="FES"/>
      <sheetName val="Прилож.1"/>
      <sheetName val="SHPZ"/>
      <sheetName val="P2.1"/>
      <sheetName val="P2.2"/>
      <sheetName val="эл ст"/>
      <sheetName val="TEHSHEET"/>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Adj2002"/>
      <sheetName val="ИТОГИ  по Н,Р,Э,Q"/>
      <sheetName val="Объекты"/>
      <sheetName val="план"/>
      <sheetName val="Россия-экспорт"/>
      <sheetName val="35"/>
      <sheetName val="Таб1.1"/>
      <sheetName val="XLR_NoRangeSheet"/>
      <sheetName val="Списки"/>
      <sheetName val="Pile径1m･27"/>
      <sheetName val="РЧА_новый"/>
      <sheetName val="Прилож_1"/>
      <sheetName val="P2_1"/>
      <sheetName val="P2_2"/>
      <sheetName val="эл_ст"/>
      <sheetName val="услуги_непроизводств_"/>
      <sheetName val="другие_затраты_с-ст"/>
      <sheetName val="налоги_в_с-ст"/>
      <sheetName val="%_за_кредит"/>
      <sheetName val="поощрение_(ДВ)"/>
      <sheetName val="другие_из_прибыли"/>
      <sheetName val="ИТОГИ__по_Н,Р,Э,Q"/>
      <sheetName val="Таб1_1"/>
      <sheetName val="Огл. Графиков"/>
      <sheetName val="рабочий"/>
      <sheetName val="Текущие цены"/>
      <sheetName val="окраска"/>
    </sheetNames>
    <sheetDataSet>
      <sheetData sheetId="0" refreshError="1">
        <row r="14">
          <cell r="A14" t="str">
            <v>Показатели деловой активности</v>
          </cell>
        </row>
      </sheetData>
      <sheetData sheetId="1" refreshError="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PZ"/>
      <sheetName val="неосновн"/>
      <sheetName val="непром"/>
      <sheetName val="эл ст"/>
      <sheetName val="P2.1"/>
      <sheetName val="Рейтинг"/>
      <sheetName val="ИТ-бюджет"/>
      <sheetName val="Свод"/>
      <sheetName val="06 нас-е Прейскурант"/>
      <sheetName val="топография"/>
      <sheetName val="ТЭП ПД "/>
      <sheetName val="Исходные данные тариф электрика"/>
      <sheetName val="Лизинг ДГУ"/>
      <sheetName val="расшифровка"/>
    </sheetNames>
    <sheetDataSet>
      <sheetData sheetId="0" refreshError="1">
        <row r="1">
          <cell r="A1" t="str">
            <v>GOD</v>
          </cell>
          <cell r="B1" t="str">
            <v>MES</v>
          </cell>
          <cell r="C1" t="str">
            <v>NPP</v>
          </cell>
          <cell r="D1" t="str">
            <v>DEN</v>
          </cell>
          <cell r="E1" t="str">
            <v>CXO</v>
          </cell>
          <cell r="F1" t="str">
            <v>PXO</v>
          </cell>
          <cell r="G1" t="str">
            <v>OXO</v>
          </cell>
          <cell r="H1" t="str">
            <v>DEB</v>
          </cell>
          <cell r="I1" t="str">
            <v>KRE</v>
          </cell>
          <cell r="J1" t="str">
            <v>SUM</v>
          </cell>
          <cell r="K1" t="str">
            <v>KDV</v>
          </cell>
          <cell r="L1" t="str">
            <v>SUMV</v>
          </cell>
          <cell r="M1" t="str">
            <v>TSUD</v>
          </cell>
          <cell r="N1" t="str">
            <v>SUBD</v>
          </cell>
          <cell r="O1" t="str">
            <v>TDGD</v>
          </cell>
          <cell r="P1" t="str">
            <v>NDGD</v>
          </cell>
          <cell r="Q1" t="str">
            <v>NSFD</v>
          </cell>
          <cell r="R1" t="str">
            <v>TNED</v>
          </cell>
          <cell r="S1" t="str">
            <v>OBED</v>
          </cell>
          <cell r="T1" t="str">
            <v>KWOD</v>
          </cell>
          <cell r="U1" t="str">
            <v>PDRD</v>
          </cell>
          <cell r="V1" t="str">
            <v>TSUK</v>
          </cell>
          <cell r="W1" t="str">
            <v>SUBK</v>
          </cell>
          <cell r="X1" t="str">
            <v>TDGK</v>
          </cell>
          <cell r="Y1" t="str">
            <v>NDGK</v>
          </cell>
          <cell r="Z1" t="str">
            <v>NSFK</v>
          </cell>
          <cell r="AA1" t="str">
            <v>TNEK</v>
          </cell>
          <cell r="AB1" t="str">
            <v>OBEK</v>
          </cell>
          <cell r="AC1" t="str">
            <v>KWOK</v>
          </cell>
          <cell r="AD1" t="str">
            <v>PDRK</v>
          </cell>
          <cell r="AE1" t="str">
            <v>CHK</v>
          </cell>
          <cell r="AF1" t="str">
            <v>VDC</v>
          </cell>
          <cell r="AG1" t="str">
            <v>NDC</v>
          </cell>
          <cell r="AH1" t="str">
            <v>NDO</v>
          </cell>
          <cell r="AI1" t="str">
            <v>DPU</v>
          </cell>
          <cell r="AJ1" t="str">
            <v>HAP</v>
          </cell>
          <cell r="AK1" t="str">
            <v>REE</v>
          </cell>
          <cell r="AL1" t="str">
            <v>DOU</v>
          </cell>
          <cell r="AM1" t="str">
            <v>NCX</v>
          </cell>
          <cell r="AN1" t="str">
            <v>NZP</v>
          </cell>
          <cell r="AO1" t="str">
            <v>MAD</v>
          </cell>
          <cell r="AP1" t="str">
            <v>MADZ</v>
          </cell>
          <cell r="AQ1" t="str">
            <v>MAN</v>
          </cell>
          <cell r="AR1" t="str">
            <v>MAV</v>
          </cell>
          <cell r="AS1" t="str">
            <v>MMOD</v>
          </cell>
          <cell r="AT1" t="str">
            <v>MMOK</v>
          </cell>
          <cell r="AU1" t="str">
            <v>DPR</v>
          </cell>
          <cell r="AV1" t="str">
            <v>NCD</v>
          </cell>
          <cell r="AW1" t="str">
            <v>APM</v>
          </cell>
          <cell r="AX1" t="str">
            <v>NAP</v>
          </cell>
          <cell r="AY1" t="str">
            <v>INA</v>
          </cell>
          <cell r="AZ1" t="str">
            <v>NIA</v>
          </cell>
          <cell r="BA1" t="str">
            <v>ALG</v>
          </cell>
          <cell r="BB1" t="str">
            <v>IDL</v>
          </cell>
          <cell r="BC1" t="str">
            <v>DPK</v>
          </cell>
        </row>
        <row r="2">
          <cell r="A2">
            <v>2006</v>
          </cell>
          <cell r="B2">
            <v>1</v>
          </cell>
          <cell r="C2">
            <v>1</v>
          </cell>
          <cell r="D2">
            <v>20</v>
          </cell>
          <cell r="E2">
            <v>792030</v>
          </cell>
          <cell r="F2">
            <v>0</v>
          </cell>
          <cell r="G2" t="str">
            <v>Затраты по ШПЗ (неосновные)</v>
          </cell>
          <cell r="H2">
            <v>2030</v>
          </cell>
          <cell r="I2">
            <v>7920</v>
          </cell>
          <cell r="J2">
            <v>13.34</v>
          </cell>
          <cell r="K2">
            <v>1</v>
          </cell>
          <cell r="L2">
            <v>0</v>
          </cell>
          <cell r="M2">
            <v>0</v>
          </cell>
          <cell r="N2">
            <v>0</v>
          </cell>
          <cell r="R2">
            <v>0</v>
          </cell>
          <cell r="S2">
            <v>0</v>
          </cell>
          <cell r="T2">
            <v>0</v>
          </cell>
          <cell r="U2">
            <v>42</v>
          </cell>
          <cell r="V2">
            <v>0</v>
          </cell>
          <cell r="W2">
            <v>0</v>
          </cell>
          <cell r="AA2">
            <v>0</v>
          </cell>
          <cell r="AB2">
            <v>0</v>
          </cell>
          <cell r="AC2">
            <v>0</v>
          </cell>
          <cell r="AD2">
            <v>42</v>
          </cell>
          <cell r="AE2">
            <v>110000</v>
          </cell>
          <cell r="AF2">
            <v>0</v>
          </cell>
          <cell r="AI2">
            <v>2223</v>
          </cell>
          <cell r="AK2">
            <v>0</v>
          </cell>
          <cell r="AM2">
            <v>128</v>
          </cell>
          <cell r="AN2">
            <v>1</v>
          </cell>
          <cell r="AO2">
            <v>393216</v>
          </cell>
          <cell r="AQ2">
            <v>0</v>
          </cell>
          <cell r="AR2">
            <v>0</v>
          </cell>
          <cell r="AS2" t="str">
            <v>Ы</v>
          </cell>
          <cell r="AT2" t="str">
            <v>Ы</v>
          </cell>
          <cell r="AU2">
            <v>0</v>
          </cell>
          <cell r="AV2">
            <v>0</v>
          </cell>
          <cell r="AW2">
            <v>23</v>
          </cell>
          <cell r="AX2">
            <v>1</v>
          </cell>
          <cell r="AY2">
            <v>0</v>
          </cell>
          <cell r="AZ2">
            <v>0</v>
          </cell>
          <cell r="BA2">
            <v>0</v>
          </cell>
          <cell r="BB2">
            <v>0</v>
          </cell>
          <cell r="BC2">
            <v>38828</v>
          </cell>
        </row>
        <row r="3">
          <cell r="A3">
            <v>2006</v>
          </cell>
          <cell r="B3">
            <v>1</v>
          </cell>
          <cell r="C3">
            <v>2</v>
          </cell>
          <cell r="D3">
            <v>20</v>
          </cell>
          <cell r="E3">
            <v>792030</v>
          </cell>
          <cell r="F3">
            <v>0</v>
          </cell>
          <cell r="G3" t="str">
            <v>Затраты по ШПЗ (неосновные)</v>
          </cell>
          <cell r="H3">
            <v>2030</v>
          </cell>
          <cell r="I3">
            <v>7920</v>
          </cell>
          <cell r="J3">
            <v>2.2000000000000002</v>
          </cell>
          <cell r="K3">
            <v>1</v>
          </cell>
          <cell r="L3">
            <v>0</v>
          </cell>
          <cell r="M3">
            <v>0</v>
          </cell>
          <cell r="N3">
            <v>0</v>
          </cell>
          <cell r="R3">
            <v>0</v>
          </cell>
          <cell r="S3">
            <v>0</v>
          </cell>
          <cell r="T3">
            <v>0</v>
          </cell>
          <cell r="U3">
            <v>42</v>
          </cell>
          <cell r="V3">
            <v>0</v>
          </cell>
          <cell r="W3">
            <v>0</v>
          </cell>
          <cell r="AA3">
            <v>0</v>
          </cell>
          <cell r="AB3">
            <v>0</v>
          </cell>
          <cell r="AC3">
            <v>0</v>
          </cell>
          <cell r="AD3">
            <v>42</v>
          </cell>
          <cell r="AE3">
            <v>114020</v>
          </cell>
          <cell r="AF3">
            <v>0</v>
          </cell>
          <cell r="AI3">
            <v>2223</v>
          </cell>
          <cell r="AK3">
            <v>0</v>
          </cell>
          <cell r="AM3">
            <v>129</v>
          </cell>
          <cell r="AN3">
            <v>1</v>
          </cell>
          <cell r="AO3">
            <v>393216</v>
          </cell>
          <cell r="AQ3">
            <v>0</v>
          </cell>
          <cell r="AR3">
            <v>0</v>
          </cell>
          <cell r="AS3" t="str">
            <v>Ы</v>
          </cell>
          <cell r="AT3" t="str">
            <v>Ы</v>
          </cell>
          <cell r="AU3">
            <v>0</v>
          </cell>
          <cell r="AV3">
            <v>0</v>
          </cell>
          <cell r="AW3">
            <v>23</v>
          </cell>
          <cell r="AX3">
            <v>1</v>
          </cell>
          <cell r="AY3">
            <v>0</v>
          </cell>
          <cell r="AZ3">
            <v>0</v>
          </cell>
          <cell r="BA3">
            <v>0</v>
          </cell>
          <cell r="BB3">
            <v>0</v>
          </cell>
          <cell r="BC3">
            <v>38828</v>
          </cell>
        </row>
        <row r="4">
          <cell r="A4">
            <v>2006</v>
          </cell>
          <cell r="B4">
            <v>1</v>
          </cell>
          <cell r="C4">
            <v>3</v>
          </cell>
          <cell r="D4">
            <v>20</v>
          </cell>
          <cell r="E4">
            <v>792030</v>
          </cell>
          <cell r="F4">
            <v>0</v>
          </cell>
          <cell r="G4" t="str">
            <v>Затраты по ШПЗ (неосновные)</v>
          </cell>
          <cell r="H4">
            <v>2030</v>
          </cell>
          <cell r="I4">
            <v>7920</v>
          </cell>
          <cell r="J4">
            <v>4.55</v>
          </cell>
          <cell r="K4">
            <v>1</v>
          </cell>
          <cell r="L4">
            <v>0</v>
          </cell>
          <cell r="M4">
            <v>0</v>
          </cell>
          <cell r="N4">
            <v>0</v>
          </cell>
          <cell r="R4">
            <v>0</v>
          </cell>
          <cell r="S4">
            <v>0</v>
          </cell>
          <cell r="T4">
            <v>0</v>
          </cell>
          <cell r="U4">
            <v>42</v>
          </cell>
          <cell r="V4">
            <v>0</v>
          </cell>
          <cell r="W4">
            <v>0</v>
          </cell>
          <cell r="AA4">
            <v>0</v>
          </cell>
          <cell r="AB4">
            <v>0</v>
          </cell>
          <cell r="AC4">
            <v>0</v>
          </cell>
          <cell r="AD4">
            <v>42</v>
          </cell>
          <cell r="AE4">
            <v>117000</v>
          </cell>
          <cell r="AF4">
            <v>0</v>
          </cell>
          <cell r="AI4">
            <v>2223</v>
          </cell>
          <cell r="AK4">
            <v>0</v>
          </cell>
          <cell r="AM4">
            <v>130</v>
          </cell>
          <cell r="AN4">
            <v>1</v>
          </cell>
          <cell r="AO4">
            <v>393216</v>
          </cell>
          <cell r="AQ4">
            <v>0</v>
          </cell>
          <cell r="AR4">
            <v>0</v>
          </cell>
          <cell r="AS4" t="str">
            <v>Ы</v>
          </cell>
          <cell r="AT4" t="str">
            <v>Ы</v>
          </cell>
          <cell r="AU4">
            <v>0</v>
          </cell>
          <cell r="AV4">
            <v>0</v>
          </cell>
          <cell r="AW4">
            <v>23</v>
          </cell>
          <cell r="AX4">
            <v>1</v>
          </cell>
          <cell r="AY4">
            <v>0</v>
          </cell>
          <cell r="AZ4">
            <v>0</v>
          </cell>
          <cell r="BA4">
            <v>0</v>
          </cell>
          <cell r="BB4">
            <v>0</v>
          </cell>
          <cell r="BC4">
            <v>38828</v>
          </cell>
        </row>
        <row r="5">
          <cell r="A5">
            <v>2006</v>
          </cell>
          <cell r="B5">
            <v>1</v>
          </cell>
          <cell r="C5">
            <v>4</v>
          </cell>
          <cell r="D5">
            <v>20</v>
          </cell>
          <cell r="E5">
            <v>792030</v>
          </cell>
          <cell r="F5">
            <v>0</v>
          </cell>
          <cell r="G5" t="str">
            <v>Затраты по ШПЗ (неосновные)</v>
          </cell>
          <cell r="H5">
            <v>2030</v>
          </cell>
          <cell r="I5">
            <v>7920</v>
          </cell>
          <cell r="J5">
            <v>44.18</v>
          </cell>
          <cell r="K5">
            <v>1</v>
          </cell>
          <cell r="L5">
            <v>0</v>
          </cell>
          <cell r="M5">
            <v>0</v>
          </cell>
          <cell r="N5">
            <v>0</v>
          </cell>
          <cell r="R5">
            <v>0</v>
          </cell>
          <cell r="S5">
            <v>0</v>
          </cell>
          <cell r="T5">
            <v>0</v>
          </cell>
          <cell r="U5">
            <v>42</v>
          </cell>
          <cell r="V5">
            <v>0</v>
          </cell>
          <cell r="W5">
            <v>0</v>
          </cell>
          <cell r="AA5">
            <v>0</v>
          </cell>
          <cell r="AB5">
            <v>0</v>
          </cell>
          <cell r="AC5">
            <v>0</v>
          </cell>
          <cell r="AD5">
            <v>42</v>
          </cell>
          <cell r="AE5">
            <v>118000</v>
          </cell>
          <cell r="AF5">
            <v>0</v>
          </cell>
          <cell r="AI5">
            <v>2223</v>
          </cell>
          <cell r="AK5">
            <v>0</v>
          </cell>
          <cell r="AM5">
            <v>131</v>
          </cell>
          <cell r="AN5">
            <v>1</v>
          </cell>
          <cell r="AO5">
            <v>393216</v>
          </cell>
          <cell r="AQ5">
            <v>0</v>
          </cell>
          <cell r="AR5">
            <v>0</v>
          </cell>
          <cell r="AS5" t="str">
            <v>Ы</v>
          </cell>
          <cell r="AT5" t="str">
            <v>Ы</v>
          </cell>
          <cell r="AU5">
            <v>0</v>
          </cell>
          <cell r="AV5">
            <v>0</v>
          </cell>
          <cell r="AW5">
            <v>23</v>
          </cell>
          <cell r="AX5">
            <v>1</v>
          </cell>
          <cell r="AY5">
            <v>0</v>
          </cell>
          <cell r="AZ5">
            <v>0</v>
          </cell>
          <cell r="BA5">
            <v>0</v>
          </cell>
          <cell r="BB5">
            <v>0</v>
          </cell>
          <cell r="BC5">
            <v>38828</v>
          </cell>
        </row>
        <row r="6">
          <cell r="A6">
            <v>2006</v>
          </cell>
          <cell r="B6">
            <v>1</v>
          </cell>
          <cell r="C6">
            <v>5</v>
          </cell>
          <cell r="D6">
            <v>20</v>
          </cell>
          <cell r="E6">
            <v>792030</v>
          </cell>
          <cell r="F6">
            <v>0</v>
          </cell>
          <cell r="G6" t="str">
            <v>Затраты по ШПЗ (неосновные)</v>
          </cell>
          <cell r="H6">
            <v>2030</v>
          </cell>
          <cell r="I6">
            <v>7920</v>
          </cell>
          <cell r="J6">
            <v>1</v>
          </cell>
          <cell r="K6">
            <v>1</v>
          </cell>
          <cell r="L6">
            <v>0</v>
          </cell>
          <cell r="M6">
            <v>0</v>
          </cell>
          <cell r="N6">
            <v>0</v>
          </cell>
          <cell r="R6">
            <v>0</v>
          </cell>
          <cell r="S6">
            <v>0</v>
          </cell>
          <cell r="T6">
            <v>0</v>
          </cell>
          <cell r="U6">
            <v>42</v>
          </cell>
          <cell r="V6">
            <v>0</v>
          </cell>
          <cell r="W6">
            <v>0</v>
          </cell>
          <cell r="AA6">
            <v>0</v>
          </cell>
          <cell r="AB6">
            <v>0</v>
          </cell>
          <cell r="AC6">
            <v>0</v>
          </cell>
          <cell r="AD6">
            <v>42</v>
          </cell>
          <cell r="AE6">
            <v>130000</v>
          </cell>
          <cell r="AF6">
            <v>0</v>
          </cell>
          <cell r="AI6">
            <v>2223</v>
          </cell>
          <cell r="AK6">
            <v>0</v>
          </cell>
          <cell r="AM6">
            <v>132</v>
          </cell>
          <cell r="AN6">
            <v>1</v>
          </cell>
          <cell r="AO6">
            <v>393216</v>
          </cell>
          <cell r="AQ6">
            <v>0</v>
          </cell>
          <cell r="AR6">
            <v>0</v>
          </cell>
          <cell r="AS6" t="str">
            <v>Ы</v>
          </cell>
          <cell r="AT6" t="str">
            <v>Ы</v>
          </cell>
          <cell r="AU6">
            <v>0</v>
          </cell>
          <cell r="AV6">
            <v>0</v>
          </cell>
          <cell r="AW6">
            <v>23</v>
          </cell>
          <cell r="AX6">
            <v>1</v>
          </cell>
          <cell r="AY6">
            <v>0</v>
          </cell>
          <cell r="AZ6">
            <v>0</v>
          </cell>
          <cell r="BA6">
            <v>0</v>
          </cell>
          <cell r="BB6">
            <v>0</v>
          </cell>
          <cell r="BC6">
            <v>38828</v>
          </cell>
        </row>
        <row r="7">
          <cell r="A7">
            <v>2006</v>
          </cell>
          <cell r="B7">
            <v>1</v>
          </cell>
          <cell r="C7">
            <v>6</v>
          </cell>
          <cell r="D7">
            <v>20</v>
          </cell>
          <cell r="E7">
            <v>792030</v>
          </cell>
          <cell r="F7">
            <v>0</v>
          </cell>
          <cell r="G7" t="str">
            <v>Затраты по ШПЗ (неосновные)</v>
          </cell>
          <cell r="H7">
            <v>2030</v>
          </cell>
          <cell r="I7">
            <v>7920</v>
          </cell>
          <cell r="J7">
            <v>3.77</v>
          </cell>
          <cell r="K7">
            <v>1</v>
          </cell>
          <cell r="L7">
            <v>0</v>
          </cell>
          <cell r="M7">
            <v>0</v>
          </cell>
          <cell r="N7">
            <v>0</v>
          </cell>
          <cell r="R7">
            <v>0</v>
          </cell>
          <cell r="S7">
            <v>0</v>
          </cell>
          <cell r="T7">
            <v>0</v>
          </cell>
          <cell r="U7">
            <v>42</v>
          </cell>
          <cell r="V7">
            <v>0</v>
          </cell>
          <cell r="W7">
            <v>0</v>
          </cell>
          <cell r="AA7">
            <v>0</v>
          </cell>
          <cell r="AB7">
            <v>0</v>
          </cell>
          <cell r="AC7">
            <v>0</v>
          </cell>
          <cell r="AD7">
            <v>42</v>
          </cell>
          <cell r="AE7">
            <v>131000</v>
          </cell>
          <cell r="AF7">
            <v>0</v>
          </cell>
          <cell r="AI7">
            <v>2223</v>
          </cell>
          <cell r="AK7">
            <v>0</v>
          </cell>
          <cell r="AM7">
            <v>133</v>
          </cell>
          <cell r="AN7">
            <v>1</v>
          </cell>
          <cell r="AO7">
            <v>393216</v>
          </cell>
          <cell r="AQ7">
            <v>0</v>
          </cell>
          <cell r="AR7">
            <v>0</v>
          </cell>
          <cell r="AS7" t="str">
            <v>Ы</v>
          </cell>
          <cell r="AT7" t="str">
            <v>Ы</v>
          </cell>
          <cell r="AU7">
            <v>0</v>
          </cell>
          <cell r="AV7">
            <v>0</v>
          </cell>
          <cell r="AW7">
            <v>23</v>
          </cell>
          <cell r="AX7">
            <v>1</v>
          </cell>
          <cell r="AY7">
            <v>0</v>
          </cell>
          <cell r="AZ7">
            <v>0</v>
          </cell>
          <cell r="BA7">
            <v>0</v>
          </cell>
          <cell r="BB7">
            <v>0</v>
          </cell>
          <cell r="BC7">
            <v>38828</v>
          </cell>
        </row>
        <row r="8">
          <cell r="A8">
            <v>2006</v>
          </cell>
          <cell r="B8">
            <v>1</v>
          </cell>
          <cell r="C8">
            <v>7</v>
          </cell>
          <cell r="D8">
            <v>20</v>
          </cell>
          <cell r="E8">
            <v>792030</v>
          </cell>
          <cell r="F8">
            <v>0</v>
          </cell>
          <cell r="G8" t="str">
            <v>Затраты по ШПЗ (неосновные)</v>
          </cell>
          <cell r="H8">
            <v>2030</v>
          </cell>
          <cell r="I8">
            <v>7920</v>
          </cell>
          <cell r="J8">
            <v>51.24</v>
          </cell>
          <cell r="K8">
            <v>1</v>
          </cell>
          <cell r="L8">
            <v>0</v>
          </cell>
          <cell r="M8">
            <v>0</v>
          </cell>
          <cell r="N8">
            <v>0</v>
          </cell>
          <cell r="R8">
            <v>0</v>
          </cell>
          <cell r="S8">
            <v>0</v>
          </cell>
          <cell r="T8">
            <v>0</v>
          </cell>
          <cell r="U8">
            <v>42</v>
          </cell>
          <cell r="V8">
            <v>0</v>
          </cell>
          <cell r="W8">
            <v>0</v>
          </cell>
          <cell r="AA8">
            <v>0</v>
          </cell>
          <cell r="AB8">
            <v>0</v>
          </cell>
          <cell r="AC8">
            <v>0</v>
          </cell>
          <cell r="AD8">
            <v>42</v>
          </cell>
          <cell r="AE8">
            <v>132000</v>
          </cell>
          <cell r="AF8">
            <v>0</v>
          </cell>
          <cell r="AI8">
            <v>2223</v>
          </cell>
          <cell r="AK8">
            <v>0</v>
          </cell>
          <cell r="AM8">
            <v>134</v>
          </cell>
          <cell r="AN8">
            <v>1</v>
          </cell>
          <cell r="AO8">
            <v>393216</v>
          </cell>
          <cell r="AQ8">
            <v>0</v>
          </cell>
          <cell r="AR8">
            <v>0</v>
          </cell>
          <cell r="AS8" t="str">
            <v>Ы</v>
          </cell>
          <cell r="AT8" t="str">
            <v>Ы</v>
          </cell>
          <cell r="AU8">
            <v>0</v>
          </cell>
          <cell r="AV8">
            <v>0</v>
          </cell>
          <cell r="AW8">
            <v>23</v>
          </cell>
          <cell r="AX8">
            <v>1</v>
          </cell>
          <cell r="AY8">
            <v>0</v>
          </cell>
          <cell r="AZ8">
            <v>0</v>
          </cell>
          <cell r="BA8">
            <v>0</v>
          </cell>
          <cell r="BB8">
            <v>0</v>
          </cell>
          <cell r="BC8">
            <v>38828</v>
          </cell>
        </row>
        <row r="9">
          <cell r="A9">
            <v>2006</v>
          </cell>
          <cell r="B9">
            <v>1</v>
          </cell>
          <cell r="C9">
            <v>8</v>
          </cell>
          <cell r="D9">
            <v>20</v>
          </cell>
          <cell r="E9">
            <v>792030</v>
          </cell>
          <cell r="F9">
            <v>0</v>
          </cell>
          <cell r="G9" t="str">
            <v>Затраты по ШПЗ (неосновные)</v>
          </cell>
          <cell r="H9">
            <v>2030</v>
          </cell>
          <cell r="I9">
            <v>7920</v>
          </cell>
          <cell r="J9">
            <v>5.05</v>
          </cell>
          <cell r="K9">
            <v>1</v>
          </cell>
          <cell r="L9">
            <v>0</v>
          </cell>
          <cell r="M9">
            <v>0</v>
          </cell>
          <cell r="N9">
            <v>0</v>
          </cell>
          <cell r="R9">
            <v>0</v>
          </cell>
          <cell r="S9">
            <v>0</v>
          </cell>
          <cell r="T9">
            <v>0</v>
          </cell>
          <cell r="U9">
            <v>42</v>
          </cell>
          <cell r="V9">
            <v>0</v>
          </cell>
          <cell r="W9">
            <v>0</v>
          </cell>
          <cell r="AA9">
            <v>0</v>
          </cell>
          <cell r="AB9">
            <v>0</v>
          </cell>
          <cell r="AC9">
            <v>0</v>
          </cell>
          <cell r="AD9">
            <v>42</v>
          </cell>
          <cell r="AE9">
            <v>135000</v>
          </cell>
          <cell r="AF9">
            <v>0</v>
          </cell>
          <cell r="AI9">
            <v>2223</v>
          </cell>
          <cell r="AK9">
            <v>0</v>
          </cell>
          <cell r="AM9">
            <v>135</v>
          </cell>
          <cell r="AN9">
            <v>1</v>
          </cell>
          <cell r="AO9">
            <v>393216</v>
          </cell>
          <cell r="AQ9">
            <v>0</v>
          </cell>
          <cell r="AR9">
            <v>0</v>
          </cell>
          <cell r="AS9" t="str">
            <v>Ы</v>
          </cell>
          <cell r="AT9" t="str">
            <v>Ы</v>
          </cell>
          <cell r="AU9">
            <v>0</v>
          </cell>
          <cell r="AV9">
            <v>0</v>
          </cell>
          <cell r="AW9">
            <v>23</v>
          </cell>
          <cell r="AX9">
            <v>1</v>
          </cell>
          <cell r="AY9">
            <v>0</v>
          </cell>
          <cell r="AZ9">
            <v>0</v>
          </cell>
          <cell r="BA9">
            <v>0</v>
          </cell>
          <cell r="BB9">
            <v>0</v>
          </cell>
          <cell r="BC9">
            <v>38828</v>
          </cell>
        </row>
        <row r="10">
          <cell r="A10">
            <v>2006</v>
          </cell>
          <cell r="B10">
            <v>1</v>
          </cell>
          <cell r="C10">
            <v>9</v>
          </cell>
          <cell r="D10">
            <v>20</v>
          </cell>
          <cell r="E10">
            <v>792030</v>
          </cell>
          <cell r="F10">
            <v>0</v>
          </cell>
          <cell r="G10" t="str">
            <v>Затраты по ШПЗ (неосновные)</v>
          </cell>
          <cell r="H10">
            <v>2030</v>
          </cell>
          <cell r="I10">
            <v>7920</v>
          </cell>
          <cell r="J10">
            <v>23011.13</v>
          </cell>
          <cell r="K10">
            <v>1</v>
          </cell>
          <cell r="L10">
            <v>0</v>
          </cell>
          <cell r="M10">
            <v>0</v>
          </cell>
          <cell r="N10">
            <v>0</v>
          </cell>
          <cell r="R10">
            <v>0</v>
          </cell>
          <cell r="S10">
            <v>0</v>
          </cell>
          <cell r="T10">
            <v>0</v>
          </cell>
          <cell r="U10">
            <v>42</v>
          </cell>
          <cell r="V10">
            <v>0</v>
          </cell>
          <cell r="W10">
            <v>0</v>
          </cell>
          <cell r="AA10">
            <v>0</v>
          </cell>
          <cell r="AB10">
            <v>0</v>
          </cell>
          <cell r="AC10">
            <v>0</v>
          </cell>
          <cell r="AD10">
            <v>42</v>
          </cell>
          <cell r="AE10">
            <v>143000</v>
          </cell>
          <cell r="AF10">
            <v>0</v>
          </cell>
          <cell r="AI10">
            <v>2223</v>
          </cell>
          <cell r="AK10">
            <v>0</v>
          </cell>
          <cell r="AM10">
            <v>136</v>
          </cell>
          <cell r="AN10">
            <v>1</v>
          </cell>
          <cell r="AO10">
            <v>393216</v>
          </cell>
          <cell r="AQ10">
            <v>0</v>
          </cell>
          <cell r="AR10">
            <v>0</v>
          </cell>
          <cell r="AS10" t="str">
            <v>Ы</v>
          </cell>
          <cell r="AT10" t="str">
            <v>Ы</v>
          </cell>
          <cell r="AU10">
            <v>0</v>
          </cell>
          <cell r="AV10">
            <v>0</v>
          </cell>
          <cell r="AW10">
            <v>23</v>
          </cell>
          <cell r="AX10">
            <v>1</v>
          </cell>
          <cell r="AY10">
            <v>0</v>
          </cell>
          <cell r="AZ10">
            <v>0</v>
          </cell>
          <cell r="BA10">
            <v>0</v>
          </cell>
          <cell r="BB10">
            <v>0</v>
          </cell>
          <cell r="BC10">
            <v>38828</v>
          </cell>
        </row>
        <row r="11">
          <cell r="A11">
            <v>2006</v>
          </cell>
          <cell r="B11">
            <v>1</v>
          </cell>
          <cell r="C11">
            <v>10</v>
          </cell>
          <cell r="D11">
            <v>20</v>
          </cell>
          <cell r="E11">
            <v>792030</v>
          </cell>
          <cell r="F11">
            <v>0</v>
          </cell>
          <cell r="G11" t="str">
            <v>Затраты по ШПЗ (неосновные)</v>
          </cell>
          <cell r="H11">
            <v>2030</v>
          </cell>
          <cell r="I11">
            <v>7920</v>
          </cell>
          <cell r="J11">
            <v>11.97</v>
          </cell>
          <cell r="K11">
            <v>1</v>
          </cell>
          <cell r="L11">
            <v>0</v>
          </cell>
          <cell r="M11">
            <v>0</v>
          </cell>
          <cell r="N11">
            <v>0</v>
          </cell>
          <cell r="R11">
            <v>0</v>
          </cell>
          <cell r="S11">
            <v>0</v>
          </cell>
          <cell r="T11">
            <v>0</v>
          </cell>
          <cell r="U11">
            <v>42</v>
          </cell>
          <cell r="V11">
            <v>0</v>
          </cell>
          <cell r="W11">
            <v>0</v>
          </cell>
          <cell r="AA11">
            <v>0</v>
          </cell>
          <cell r="AB11">
            <v>0</v>
          </cell>
          <cell r="AC11">
            <v>0</v>
          </cell>
          <cell r="AD11">
            <v>42</v>
          </cell>
          <cell r="AE11">
            <v>410000</v>
          </cell>
          <cell r="AF11">
            <v>0</v>
          </cell>
          <cell r="AI11">
            <v>2223</v>
          </cell>
          <cell r="AK11">
            <v>0</v>
          </cell>
          <cell r="AM11">
            <v>137</v>
          </cell>
          <cell r="AN11">
            <v>1</v>
          </cell>
          <cell r="AO11">
            <v>393216</v>
          </cell>
          <cell r="AQ11">
            <v>0</v>
          </cell>
          <cell r="AR11">
            <v>0</v>
          </cell>
          <cell r="AS11" t="str">
            <v>Ы</v>
          </cell>
          <cell r="AT11" t="str">
            <v>Ы</v>
          </cell>
          <cell r="AU11">
            <v>0</v>
          </cell>
          <cell r="AV11">
            <v>0</v>
          </cell>
          <cell r="AW11">
            <v>23</v>
          </cell>
          <cell r="AX11">
            <v>1</v>
          </cell>
          <cell r="AY11">
            <v>0</v>
          </cell>
          <cell r="AZ11">
            <v>0</v>
          </cell>
          <cell r="BA11">
            <v>0</v>
          </cell>
          <cell r="BB11">
            <v>0</v>
          </cell>
          <cell r="BC11">
            <v>38828</v>
          </cell>
        </row>
        <row r="12">
          <cell r="A12">
            <v>2006</v>
          </cell>
          <cell r="B12">
            <v>1</v>
          </cell>
          <cell r="C12">
            <v>11</v>
          </cell>
          <cell r="D12">
            <v>20</v>
          </cell>
          <cell r="E12">
            <v>792030</v>
          </cell>
          <cell r="F12">
            <v>0</v>
          </cell>
          <cell r="G12" t="str">
            <v>Затраты по ШПЗ (неосновные)</v>
          </cell>
          <cell r="H12">
            <v>2030</v>
          </cell>
          <cell r="I12">
            <v>7920</v>
          </cell>
          <cell r="J12">
            <v>190.18</v>
          </cell>
          <cell r="K12">
            <v>1</v>
          </cell>
          <cell r="L12">
            <v>0</v>
          </cell>
          <cell r="M12">
            <v>0</v>
          </cell>
          <cell r="N12">
            <v>0</v>
          </cell>
          <cell r="R12">
            <v>0</v>
          </cell>
          <cell r="S12">
            <v>0</v>
          </cell>
          <cell r="T12">
            <v>0</v>
          </cell>
          <cell r="U12">
            <v>42</v>
          </cell>
          <cell r="V12">
            <v>0</v>
          </cell>
          <cell r="W12">
            <v>0</v>
          </cell>
          <cell r="AA12">
            <v>0</v>
          </cell>
          <cell r="AB12">
            <v>0</v>
          </cell>
          <cell r="AC12">
            <v>0</v>
          </cell>
          <cell r="AD12">
            <v>42</v>
          </cell>
          <cell r="AE12">
            <v>420000</v>
          </cell>
          <cell r="AF12">
            <v>0</v>
          </cell>
          <cell r="AI12">
            <v>2223</v>
          </cell>
          <cell r="AK12">
            <v>0</v>
          </cell>
          <cell r="AM12">
            <v>138</v>
          </cell>
          <cell r="AN12">
            <v>1</v>
          </cell>
          <cell r="AO12">
            <v>393216</v>
          </cell>
          <cell r="AQ12">
            <v>0</v>
          </cell>
          <cell r="AR12">
            <v>0</v>
          </cell>
          <cell r="AS12" t="str">
            <v>Ы</v>
          </cell>
          <cell r="AT12" t="str">
            <v>Ы</v>
          </cell>
          <cell r="AU12">
            <v>0</v>
          </cell>
          <cell r="AV12">
            <v>0</v>
          </cell>
          <cell r="AW12">
            <v>23</v>
          </cell>
          <cell r="AX12">
            <v>1</v>
          </cell>
          <cell r="AY12">
            <v>0</v>
          </cell>
          <cell r="AZ12">
            <v>0</v>
          </cell>
          <cell r="BA12">
            <v>0</v>
          </cell>
          <cell r="BB12">
            <v>0</v>
          </cell>
          <cell r="BC12">
            <v>38828</v>
          </cell>
        </row>
        <row r="13">
          <cell r="A13">
            <v>2006</v>
          </cell>
          <cell r="B13">
            <v>1</v>
          </cell>
          <cell r="C13">
            <v>12</v>
          </cell>
          <cell r="D13">
            <v>20</v>
          </cell>
          <cell r="E13">
            <v>792030</v>
          </cell>
          <cell r="F13">
            <v>0</v>
          </cell>
          <cell r="G13" t="str">
            <v>Затраты по ШПЗ (неосновные)</v>
          </cell>
          <cell r="H13">
            <v>2030</v>
          </cell>
          <cell r="I13">
            <v>7920</v>
          </cell>
          <cell r="J13">
            <v>28.88</v>
          </cell>
          <cell r="K13">
            <v>1</v>
          </cell>
          <cell r="L13">
            <v>0</v>
          </cell>
          <cell r="M13">
            <v>0</v>
          </cell>
          <cell r="N13">
            <v>0</v>
          </cell>
          <cell r="R13">
            <v>0</v>
          </cell>
          <cell r="S13">
            <v>0</v>
          </cell>
          <cell r="T13">
            <v>0</v>
          </cell>
          <cell r="U13">
            <v>42</v>
          </cell>
          <cell r="V13">
            <v>0</v>
          </cell>
          <cell r="W13">
            <v>0</v>
          </cell>
          <cell r="AA13">
            <v>0</v>
          </cell>
          <cell r="AB13">
            <v>0</v>
          </cell>
          <cell r="AC13">
            <v>0</v>
          </cell>
          <cell r="AD13">
            <v>42</v>
          </cell>
          <cell r="AE13">
            <v>430000</v>
          </cell>
          <cell r="AF13">
            <v>0</v>
          </cell>
          <cell r="AI13">
            <v>2223</v>
          </cell>
          <cell r="AK13">
            <v>0</v>
          </cell>
          <cell r="AM13">
            <v>139</v>
          </cell>
          <cell r="AN13">
            <v>1</v>
          </cell>
          <cell r="AO13">
            <v>393216</v>
          </cell>
          <cell r="AQ13">
            <v>0</v>
          </cell>
          <cell r="AR13">
            <v>0</v>
          </cell>
          <cell r="AS13" t="str">
            <v>Ы</v>
          </cell>
          <cell r="AT13" t="str">
            <v>Ы</v>
          </cell>
          <cell r="AU13">
            <v>0</v>
          </cell>
          <cell r="AV13">
            <v>0</v>
          </cell>
          <cell r="AW13">
            <v>23</v>
          </cell>
          <cell r="AX13">
            <v>1</v>
          </cell>
          <cell r="AY13">
            <v>0</v>
          </cell>
          <cell r="AZ13">
            <v>0</v>
          </cell>
          <cell r="BA13">
            <v>0</v>
          </cell>
          <cell r="BB13">
            <v>0</v>
          </cell>
          <cell r="BC13">
            <v>38828</v>
          </cell>
        </row>
        <row r="14">
          <cell r="A14">
            <v>2006</v>
          </cell>
          <cell r="B14">
            <v>1</v>
          </cell>
          <cell r="C14">
            <v>13</v>
          </cell>
          <cell r="D14">
            <v>20</v>
          </cell>
          <cell r="E14">
            <v>792030</v>
          </cell>
          <cell r="F14">
            <v>0</v>
          </cell>
          <cell r="G14" t="str">
            <v>Затраты по ШПЗ (неосновные)</v>
          </cell>
          <cell r="H14">
            <v>2030</v>
          </cell>
          <cell r="I14">
            <v>7920</v>
          </cell>
          <cell r="J14">
            <v>18.309999999999999</v>
          </cell>
          <cell r="K14">
            <v>1</v>
          </cell>
          <cell r="L14">
            <v>0</v>
          </cell>
          <cell r="M14">
            <v>0</v>
          </cell>
          <cell r="N14">
            <v>0</v>
          </cell>
          <cell r="R14">
            <v>0</v>
          </cell>
          <cell r="S14">
            <v>0</v>
          </cell>
          <cell r="T14">
            <v>0</v>
          </cell>
          <cell r="U14">
            <v>42</v>
          </cell>
          <cell r="V14">
            <v>0</v>
          </cell>
          <cell r="W14">
            <v>0</v>
          </cell>
          <cell r="AA14">
            <v>0</v>
          </cell>
          <cell r="AB14">
            <v>0</v>
          </cell>
          <cell r="AC14">
            <v>0</v>
          </cell>
          <cell r="AD14">
            <v>42</v>
          </cell>
          <cell r="AE14">
            <v>450000</v>
          </cell>
          <cell r="AF14">
            <v>0</v>
          </cell>
          <cell r="AI14">
            <v>2223</v>
          </cell>
          <cell r="AK14">
            <v>0</v>
          </cell>
          <cell r="AM14">
            <v>140</v>
          </cell>
          <cell r="AN14">
            <v>1</v>
          </cell>
          <cell r="AO14">
            <v>393216</v>
          </cell>
          <cell r="AQ14">
            <v>0</v>
          </cell>
          <cell r="AR14">
            <v>0</v>
          </cell>
          <cell r="AS14" t="str">
            <v>Ы</v>
          </cell>
          <cell r="AT14" t="str">
            <v>Ы</v>
          </cell>
          <cell r="AU14">
            <v>0</v>
          </cell>
          <cell r="AV14">
            <v>0</v>
          </cell>
          <cell r="AW14">
            <v>23</v>
          </cell>
          <cell r="AX14">
            <v>1</v>
          </cell>
          <cell r="AY14">
            <v>0</v>
          </cell>
          <cell r="AZ14">
            <v>0</v>
          </cell>
          <cell r="BA14">
            <v>0</v>
          </cell>
          <cell r="BB14">
            <v>0</v>
          </cell>
          <cell r="BC14">
            <v>38828</v>
          </cell>
        </row>
        <row r="15">
          <cell r="A15">
            <v>2006</v>
          </cell>
          <cell r="B15">
            <v>1</v>
          </cell>
          <cell r="C15">
            <v>14</v>
          </cell>
          <cell r="D15">
            <v>20</v>
          </cell>
          <cell r="E15">
            <v>792030</v>
          </cell>
          <cell r="F15">
            <v>0</v>
          </cell>
          <cell r="G15" t="str">
            <v>Затраты по ШПЗ (неосновные)</v>
          </cell>
          <cell r="H15">
            <v>2030</v>
          </cell>
          <cell r="I15">
            <v>7920</v>
          </cell>
          <cell r="J15">
            <v>4.5599999999999996</v>
          </cell>
          <cell r="K15">
            <v>1</v>
          </cell>
          <cell r="L15">
            <v>0</v>
          </cell>
          <cell r="M15">
            <v>0</v>
          </cell>
          <cell r="N15">
            <v>0</v>
          </cell>
          <cell r="R15">
            <v>0</v>
          </cell>
          <cell r="S15">
            <v>0</v>
          </cell>
          <cell r="T15">
            <v>0</v>
          </cell>
          <cell r="U15">
            <v>42</v>
          </cell>
          <cell r="V15">
            <v>0</v>
          </cell>
          <cell r="W15">
            <v>0</v>
          </cell>
          <cell r="AA15">
            <v>0</v>
          </cell>
          <cell r="AB15">
            <v>0</v>
          </cell>
          <cell r="AC15">
            <v>0</v>
          </cell>
          <cell r="AD15">
            <v>42</v>
          </cell>
          <cell r="AE15">
            <v>460000</v>
          </cell>
          <cell r="AF15">
            <v>0</v>
          </cell>
          <cell r="AI15">
            <v>2223</v>
          </cell>
          <cell r="AK15">
            <v>0</v>
          </cell>
          <cell r="AM15">
            <v>141</v>
          </cell>
          <cell r="AN15">
            <v>1</v>
          </cell>
          <cell r="AO15">
            <v>393216</v>
          </cell>
          <cell r="AQ15">
            <v>0</v>
          </cell>
          <cell r="AR15">
            <v>0</v>
          </cell>
          <cell r="AS15" t="str">
            <v>Ы</v>
          </cell>
          <cell r="AT15" t="str">
            <v>Ы</v>
          </cell>
          <cell r="AU15">
            <v>0</v>
          </cell>
          <cell r="AV15">
            <v>0</v>
          </cell>
          <cell r="AW15">
            <v>23</v>
          </cell>
          <cell r="AX15">
            <v>1</v>
          </cell>
          <cell r="AY15">
            <v>0</v>
          </cell>
          <cell r="AZ15">
            <v>0</v>
          </cell>
          <cell r="BA15">
            <v>0</v>
          </cell>
          <cell r="BB15">
            <v>0</v>
          </cell>
          <cell r="BC15">
            <v>38828</v>
          </cell>
        </row>
        <row r="16">
          <cell r="A16">
            <v>2006</v>
          </cell>
          <cell r="B16">
            <v>1</v>
          </cell>
          <cell r="C16">
            <v>15</v>
          </cell>
          <cell r="D16">
            <v>20</v>
          </cell>
          <cell r="E16">
            <v>792030</v>
          </cell>
          <cell r="F16">
            <v>0</v>
          </cell>
          <cell r="G16" t="str">
            <v>Затраты по ШПЗ (неосновные)</v>
          </cell>
          <cell r="H16">
            <v>2030</v>
          </cell>
          <cell r="I16">
            <v>7920</v>
          </cell>
          <cell r="J16">
            <v>0.18</v>
          </cell>
          <cell r="K16">
            <v>1</v>
          </cell>
          <cell r="L16">
            <v>0</v>
          </cell>
          <cell r="M16">
            <v>0</v>
          </cell>
          <cell r="N16">
            <v>0</v>
          </cell>
          <cell r="R16">
            <v>0</v>
          </cell>
          <cell r="S16">
            <v>0</v>
          </cell>
          <cell r="T16">
            <v>0</v>
          </cell>
          <cell r="U16">
            <v>42</v>
          </cell>
          <cell r="V16">
            <v>0</v>
          </cell>
          <cell r="W16">
            <v>0</v>
          </cell>
          <cell r="AA16">
            <v>0</v>
          </cell>
          <cell r="AB16">
            <v>0</v>
          </cell>
          <cell r="AC16">
            <v>0</v>
          </cell>
          <cell r="AD16">
            <v>42</v>
          </cell>
          <cell r="AE16">
            <v>465000</v>
          </cell>
          <cell r="AF16">
            <v>0</v>
          </cell>
          <cell r="AI16">
            <v>2223</v>
          </cell>
          <cell r="AK16">
            <v>0</v>
          </cell>
          <cell r="AM16">
            <v>142</v>
          </cell>
          <cell r="AN16">
            <v>1</v>
          </cell>
          <cell r="AO16">
            <v>393216</v>
          </cell>
          <cell r="AQ16">
            <v>0</v>
          </cell>
          <cell r="AR16">
            <v>0</v>
          </cell>
          <cell r="AS16" t="str">
            <v>Ы</v>
          </cell>
          <cell r="AT16" t="str">
            <v>Ы</v>
          </cell>
          <cell r="AU16">
            <v>0</v>
          </cell>
          <cell r="AV16">
            <v>0</v>
          </cell>
          <cell r="AW16">
            <v>23</v>
          </cell>
          <cell r="AX16">
            <v>1</v>
          </cell>
          <cell r="AY16">
            <v>0</v>
          </cell>
          <cell r="AZ16">
            <v>0</v>
          </cell>
          <cell r="BA16">
            <v>0</v>
          </cell>
          <cell r="BB16">
            <v>0</v>
          </cell>
          <cell r="BC16">
            <v>38828</v>
          </cell>
        </row>
        <row r="17">
          <cell r="A17">
            <v>2006</v>
          </cell>
          <cell r="B17">
            <v>1</v>
          </cell>
          <cell r="C17">
            <v>16</v>
          </cell>
          <cell r="D17">
            <v>20</v>
          </cell>
          <cell r="E17">
            <v>792030</v>
          </cell>
          <cell r="F17">
            <v>0</v>
          </cell>
          <cell r="G17" t="str">
            <v>Затраты по ШПЗ (неосновные)</v>
          </cell>
          <cell r="H17">
            <v>2030</v>
          </cell>
          <cell r="I17">
            <v>7920</v>
          </cell>
          <cell r="J17">
            <v>363.45</v>
          </cell>
          <cell r="K17">
            <v>1</v>
          </cell>
          <cell r="L17">
            <v>0</v>
          </cell>
          <cell r="M17">
            <v>0</v>
          </cell>
          <cell r="N17">
            <v>0</v>
          </cell>
          <cell r="R17">
            <v>0</v>
          </cell>
          <cell r="S17">
            <v>0</v>
          </cell>
          <cell r="T17">
            <v>0</v>
          </cell>
          <cell r="U17">
            <v>42</v>
          </cell>
          <cell r="V17">
            <v>0</v>
          </cell>
          <cell r="W17">
            <v>0</v>
          </cell>
          <cell r="AA17">
            <v>0</v>
          </cell>
          <cell r="AB17">
            <v>0</v>
          </cell>
          <cell r="AC17">
            <v>0</v>
          </cell>
          <cell r="AD17">
            <v>42</v>
          </cell>
          <cell r="AE17">
            <v>502100</v>
          </cell>
          <cell r="AF17">
            <v>0</v>
          </cell>
          <cell r="AI17">
            <v>2223</v>
          </cell>
          <cell r="AK17">
            <v>0</v>
          </cell>
          <cell r="AM17">
            <v>143</v>
          </cell>
          <cell r="AN17">
            <v>1</v>
          </cell>
          <cell r="AO17">
            <v>393216</v>
          </cell>
          <cell r="AQ17">
            <v>0</v>
          </cell>
          <cell r="AR17">
            <v>0</v>
          </cell>
          <cell r="AS17" t="str">
            <v>Ы</v>
          </cell>
          <cell r="AT17" t="str">
            <v>Ы</v>
          </cell>
          <cell r="AU17">
            <v>0</v>
          </cell>
          <cell r="AV17">
            <v>0</v>
          </cell>
          <cell r="AW17">
            <v>23</v>
          </cell>
          <cell r="AX17">
            <v>1</v>
          </cell>
          <cell r="AY17">
            <v>0</v>
          </cell>
          <cell r="AZ17">
            <v>0</v>
          </cell>
          <cell r="BA17">
            <v>0</v>
          </cell>
          <cell r="BB17">
            <v>0</v>
          </cell>
          <cell r="BC17">
            <v>38828</v>
          </cell>
        </row>
        <row r="18">
          <cell r="A18">
            <v>2006</v>
          </cell>
          <cell r="B18">
            <v>1</v>
          </cell>
          <cell r="C18">
            <v>17</v>
          </cell>
          <cell r="D18">
            <v>20</v>
          </cell>
          <cell r="E18">
            <v>792030</v>
          </cell>
          <cell r="F18">
            <v>0</v>
          </cell>
          <cell r="G18" t="str">
            <v>Затраты по ШПЗ (неосновные)</v>
          </cell>
          <cell r="H18">
            <v>2030</v>
          </cell>
          <cell r="I18">
            <v>7920</v>
          </cell>
          <cell r="J18">
            <v>98.73</v>
          </cell>
          <cell r="K18">
            <v>1</v>
          </cell>
          <cell r="L18">
            <v>0</v>
          </cell>
          <cell r="M18">
            <v>0</v>
          </cell>
          <cell r="N18">
            <v>0</v>
          </cell>
          <cell r="R18">
            <v>0</v>
          </cell>
          <cell r="S18">
            <v>0</v>
          </cell>
          <cell r="T18">
            <v>0</v>
          </cell>
          <cell r="U18">
            <v>42</v>
          </cell>
          <cell r="V18">
            <v>0</v>
          </cell>
          <cell r="W18">
            <v>0</v>
          </cell>
          <cell r="AA18">
            <v>0</v>
          </cell>
          <cell r="AB18">
            <v>0</v>
          </cell>
          <cell r="AC18">
            <v>0</v>
          </cell>
          <cell r="AD18">
            <v>42</v>
          </cell>
          <cell r="AE18">
            <v>503000</v>
          </cell>
          <cell r="AF18">
            <v>0</v>
          </cell>
          <cell r="AI18">
            <v>2223</v>
          </cell>
          <cell r="AK18">
            <v>0</v>
          </cell>
          <cell r="AM18">
            <v>144</v>
          </cell>
          <cell r="AN18">
            <v>1</v>
          </cell>
          <cell r="AO18">
            <v>393216</v>
          </cell>
          <cell r="AQ18">
            <v>0</v>
          </cell>
          <cell r="AR18">
            <v>0</v>
          </cell>
          <cell r="AS18" t="str">
            <v>Ы</v>
          </cell>
          <cell r="AT18" t="str">
            <v>Ы</v>
          </cell>
          <cell r="AU18">
            <v>0</v>
          </cell>
          <cell r="AV18">
            <v>0</v>
          </cell>
          <cell r="AW18">
            <v>23</v>
          </cell>
          <cell r="AX18">
            <v>1</v>
          </cell>
          <cell r="AY18">
            <v>0</v>
          </cell>
          <cell r="AZ18">
            <v>0</v>
          </cell>
          <cell r="BA18">
            <v>0</v>
          </cell>
          <cell r="BB18">
            <v>0</v>
          </cell>
          <cell r="BC18">
            <v>38828</v>
          </cell>
        </row>
        <row r="19">
          <cell r="A19">
            <v>2006</v>
          </cell>
          <cell r="B19">
            <v>1</v>
          </cell>
          <cell r="C19">
            <v>18</v>
          </cell>
          <cell r="D19">
            <v>20</v>
          </cell>
          <cell r="E19">
            <v>792030</v>
          </cell>
          <cell r="F19">
            <v>0</v>
          </cell>
          <cell r="G19" t="str">
            <v>Затраты по ШПЗ (неосновные)</v>
          </cell>
          <cell r="H19">
            <v>2030</v>
          </cell>
          <cell r="I19">
            <v>7920</v>
          </cell>
          <cell r="J19">
            <v>6.01</v>
          </cell>
          <cell r="K19">
            <v>1</v>
          </cell>
          <cell r="L19">
            <v>0</v>
          </cell>
          <cell r="M19">
            <v>0</v>
          </cell>
          <cell r="N19">
            <v>0</v>
          </cell>
          <cell r="R19">
            <v>0</v>
          </cell>
          <cell r="S19">
            <v>0</v>
          </cell>
          <cell r="T19">
            <v>0</v>
          </cell>
          <cell r="U19">
            <v>42</v>
          </cell>
          <cell r="V19">
            <v>0</v>
          </cell>
          <cell r="W19">
            <v>0</v>
          </cell>
          <cell r="AA19">
            <v>0</v>
          </cell>
          <cell r="AB19">
            <v>0</v>
          </cell>
          <cell r="AC19">
            <v>0</v>
          </cell>
          <cell r="AD19">
            <v>42</v>
          </cell>
          <cell r="AE19">
            <v>504900</v>
          </cell>
          <cell r="AF19">
            <v>0</v>
          </cell>
          <cell r="AI19">
            <v>2223</v>
          </cell>
          <cell r="AK19">
            <v>0</v>
          </cell>
          <cell r="AM19">
            <v>145</v>
          </cell>
          <cell r="AN19">
            <v>1</v>
          </cell>
          <cell r="AO19">
            <v>393216</v>
          </cell>
          <cell r="AQ19">
            <v>0</v>
          </cell>
          <cell r="AR19">
            <v>0</v>
          </cell>
          <cell r="AS19" t="str">
            <v>Ы</v>
          </cell>
          <cell r="AT19" t="str">
            <v>Ы</v>
          </cell>
          <cell r="AU19">
            <v>0</v>
          </cell>
          <cell r="AV19">
            <v>0</v>
          </cell>
          <cell r="AW19">
            <v>23</v>
          </cell>
          <cell r="AX19">
            <v>1</v>
          </cell>
          <cell r="AY19">
            <v>0</v>
          </cell>
          <cell r="AZ19">
            <v>0</v>
          </cell>
          <cell r="BA19">
            <v>0</v>
          </cell>
          <cell r="BB19">
            <v>0</v>
          </cell>
          <cell r="BC19">
            <v>38828</v>
          </cell>
        </row>
        <row r="20">
          <cell r="A20">
            <v>2006</v>
          </cell>
          <cell r="B20">
            <v>1</v>
          </cell>
          <cell r="C20">
            <v>19</v>
          </cell>
          <cell r="D20">
            <v>20</v>
          </cell>
          <cell r="E20">
            <v>792030</v>
          </cell>
          <cell r="F20">
            <v>0</v>
          </cell>
          <cell r="G20" t="str">
            <v>Затраты по ШПЗ (неосновные)</v>
          </cell>
          <cell r="H20">
            <v>2030</v>
          </cell>
          <cell r="I20">
            <v>7920</v>
          </cell>
          <cell r="J20">
            <v>29.97</v>
          </cell>
          <cell r="K20">
            <v>1</v>
          </cell>
          <cell r="L20">
            <v>0</v>
          </cell>
          <cell r="M20">
            <v>0</v>
          </cell>
          <cell r="N20">
            <v>0</v>
          </cell>
          <cell r="R20">
            <v>0</v>
          </cell>
          <cell r="S20">
            <v>0</v>
          </cell>
          <cell r="T20">
            <v>0</v>
          </cell>
          <cell r="U20">
            <v>42</v>
          </cell>
          <cell r="V20">
            <v>0</v>
          </cell>
          <cell r="W20">
            <v>0</v>
          </cell>
          <cell r="AA20">
            <v>0</v>
          </cell>
          <cell r="AB20">
            <v>0</v>
          </cell>
          <cell r="AC20">
            <v>0</v>
          </cell>
          <cell r="AD20">
            <v>42</v>
          </cell>
          <cell r="AE20">
            <v>505100</v>
          </cell>
          <cell r="AF20">
            <v>0</v>
          </cell>
          <cell r="AI20">
            <v>2223</v>
          </cell>
          <cell r="AK20">
            <v>0</v>
          </cell>
          <cell r="AM20">
            <v>146</v>
          </cell>
          <cell r="AN20">
            <v>1</v>
          </cell>
          <cell r="AO20">
            <v>393216</v>
          </cell>
          <cell r="AQ20">
            <v>0</v>
          </cell>
          <cell r="AR20">
            <v>0</v>
          </cell>
          <cell r="AS20" t="str">
            <v>Ы</v>
          </cell>
          <cell r="AT20" t="str">
            <v>Ы</v>
          </cell>
          <cell r="AU20">
            <v>0</v>
          </cell>
          <cell r="AV20">
            <v>0</v>
          </cell>
          <cell r="AW20">
            <v>23</v>
          </cell>
          <cell r="AX20">
            <v>1</v>
          </cell>
          <cell r="AY20">
            <v>0</v>
          </cell>
          <cell r="AZ20">
            <v>0</v>
          </cell>
          <cell r="BA20">
            <v>0</v>
          </cell>
          <cell r="BB20">
            <v>0</v>
          </cell>
          <cell r="BC20">
            <v>38828</v>
          </cell>
        </row>
        <row r="21">
          <cell r="A21">
            <v>2006</v>
          </cell>
          <cell r="B21">
            <v>1</v>
          </cell>
          <cell r="C21">
            <v>20</v>
          </cell>
          <cell r="D21">
            <v>20</v>
          </cell>
          <cell r="E21">
            <v>792030</v>
          </cell>
          <cell r="F21">
            <v>0</v>
          </cell>
          <cell r="G21" t="str">
            <v>Затраты по ШПЗ (неосновные)</v>
          </cell>
          <cell r="H21">
            <v>2030</v>
          </cell>
          <cell r="I21">
            <v>7920</v>
          </cell>
          <cell r="J21">
            <v>12.49</v>
          </cell>
          <cell r="K21">
            <v>1</v>
          </cell>
          <cell r="L21">
            <v>0</v>
          </cell>
          <cell r="M21">
            <v>0</v>
          </cell>
          <cell r="N21">
            <v>0</v>
          </cell>
          <cell r="R21">
            <v>0</v>
          </cell>
          <cell r="S21">
            <v>0</v>
          </cell>
          <cell r="T21">
            <v>0</v>
          </cell>
          <cell r="U21">
            <v>42</v>
          </cell>
          <cell r="V21">
            <v>0</v>
          </cell>
          <cell r="W21">
            <v>0</v>
          </cell>
          <cell r="AA21">
            <v>0</v>
          </cell>
          <cell r="AB21">
            <v>0</v>
          </cell>
          <cell r="AC21">
            <v>0</v>
          </cell>
          <cell r="AD21">
            <v>42</v>
          </cell>
          <cell r="AE21">
            <v>505200</v>
          </cell>
          <cell r="AF21">
            <v>0</v>
          </cell>
          <cell r="AI21">
            <v>2223</v>
          </cell>
          <cell r="AK21">
            <v>0</v>
          </cell>
          <cell r="AM21">
            <v>147</v>
          </cell>
          <cell r="AN21">
            <v>1</v>
          </cell>
          <cell r="AO21">
            <v>393216</v>
          </cell>
          <cell r="AQ21">
            <v>0</v>
          </cell>
          <cell r="AR21">
            <v>0</v>
          </cell>
          <cell r="AS21" t="str">
            <v>Ы</v>
          </cell>
          <cell r="AT21" t="str">
            <v>Ы</v>
          </cell>
          <cell r="AU21">
            <v>0</v>
          </cell>
          <cell r="AV21">
            <v>0</v>
          </cell>
          <cell r="AW21">
            <v>23</v>
          </cell>
          <cell r="AX21">
            <v>1</v>
          </cell>
          <cell r="AY21">
            <v>0</v>
          </cell>
          <cell r="AZ21">
            <v>0</v>
          </cell>
          <cell r="BA21">
            <v>0</v>
          </cell>
          <cell r="BB21">
            <v>0</v>
          </cell>
          <cell r="BC21">
            <v>38828</v>
          </cell>
        </row>
        <row r="22">
          <cell r="A22">
            <v>2006</v>
          </cell>
          <cell r="B22">
            <v>1</v>
          </cell>
          <cell r="C22">
            <v>21</v>
          </cell>
          <cell r="D22">
            <v>20</v>
          </cell>
          <cell r="E22">
            <v>792030</v>
          </cell>
          <cell r="F22">
            <v>0</v>
          </cell>
          <cell r="G22" t="str">
            <v>Затраты по ШПЗ (неосновные)</v>
          </cell>
          <cell r="H22">
            <v>2030</v>
          </cell>
          <cell r="I22">
            <v>7920</v>
          </cell>
          <cell r="J22">
            <v>0.24</v>
          </cell>
          <cell r="K22">
            <v>1</v>
          </cell>
          <cell r="L22">
            <v>0</v>
          </cell>
          <cell r="M22">
            <v>0</v>
          </cell>
          <cell r="N22">
            <v>0</v>
          </cell>
          <cell r="R22">
            <v>0</v>
          </cell>
          <cell r="S22">
            <v>0</v>
          </cell>
          <cell r="T22">
            <v>0</v>
          </cell>
          <cell r="U22">
            <v>42</v>
          </cell>
          <cell r="V22">
            <v>0</v>
          </cell>
          <cell r="W22">
            <v>0</v>
          </cell>
          <cell r="AA22">
            <v>0</v>
          </cell>
          <cell r="AB22">
            <v>0</v>
          </cell>
          <cell r="AC22">
            <v>0</v>
          </cell>
          <cell r="AD22">
            <v>42</v>
          </cell>
          <cell r="AE22">
            <v>505400</v>
          </cell>
          <cell r="AF22">
            <v>0</v>
          </cell>
          <cell r="AI22">
            <v>2223</v>
          </cell>
          <cell r="AK22">
            <v>0</v>
          </cell>
          <cell r="AM22">
            <v>148</v>
          </cell>
          <cell r="AN22">
            <v>1</v>
          </cell>
          <cell r="AO22">
            <v>393216</v>
          </cell>
          <cell r="AQ22">
            <v>0</v>
          </cell>
          <cell r="AR22">
            <v>0</v>
          </cell>
          <cell r="AS22" t="str">
            <v>Ы</v>
          </cell>
          <cell r="AT22" t="str">
            <v>Ы</v>
          </cell>
          <cell r="AU22">
            <v>0</v>
          </cell>
          <cell r="AV22">
            <v>0</v>
          </cell>
          <cell r="AW22">
            <v>23</v>
          </cell>
          <cell r="AX22">
            <v>1</v>
          </cell>
          <cell r="AY22">
            <v>0</v>
          </cell>
          <cell r="AZ22">
            <v>0</v>
          </cell>
          <cell r="BA22">
            <v>0</v>
          </cell>
          <cell r="BB22">
            <v>0</v>
          </cell>
          <cell r="BC22">
            <v>38828</v>
          </cell>
        </row>
        <row r="23">
          <cell r="A23">
            <v>2006</v>
          </cell>
          <cell r="B23">
            <v>1</v>
          </cell>
          <cell r="C23">
            <v>22</v>
          </cell>
          <cell r="D23">
            <v>20</v>
          </cell>
          <cell r="E23">
            <v>792030</v>
          </cell>
          <cell r="F23">
            <v>0</v>
          </cell>
          <cell r="G23" t="str">
            <v>Затраты по ШПЗ (неосновные)</v>
          </cell>
          <cell r="H23">
            <v>2030</v>
          </cell>
          <cell r="I23">
            <v>7920</v>
          </cell>
          <cell r="J23">
            <v>143.41999999999999</v>
          </cell>
          <cell r="K23">
            <v>1</v>
          </cell>
          <cell r="L23">
            <v>0</v>
          </cell>
          <cell r="M23">
            <v>0</v>
          </cell>
          <cell r="N23">
            <v>0</v>
          </cell>
          <cell r="R23">
            <v>0</v>
          </cell>
          <cell r="S23">
            <v>0</v>
          </cell>
          <cell r="T23">
            <v>0</v>
          </cell>
          <cell r="U23">
            <v>42</v>
          </cell>
          <cell r="V23">
            <v>0</v>
          </cell>
          <cell r="W23">
            <v>0</v>
          </cell>
          <cell r="AA23">
            <v>0</v>
          </cell>
          <cell r="AB23">
            <v>0</v>
          </cell>
          <cell r="AC23">
            <v>0</v>
          </cell>
          <cell r="AD23">
            <v>42</v>
          </cell>
          <cell r="AE23">
            <v>510100</v>
          </cell>
          <cell r="AF23">
            <v>0</v>
          </cell>
          <cell r="AI23">
            <v>2223</v>
          </cell>
          <cell r="AK23">
            <v>0</v>
          </cell>
          <cell r="AM23">
            <v>149</v>
          </cell>
          <cell r="AN23">
            <v>1</v>
          </cell>
          <cell r="AO23">
            <v>393216</v>
          </cell>
          <cell r="AQ23">
            <v>0</v>
          </cell>
          <cell r="AR23">
            <v>0</v>
          </cell>
          <cell r="AS23" t="str">
            <v>Ы</v>
          </cell>
          <cell r="AT23" t="str">
            <v>Ы</v>
          </cell>
          <cell r="AU23">
            <v>0</v>
          </cell>
          <cell r="AV23">
            <v>0</v>
          </cell>
          <cell r="AW23">
            <v>23</v>
          </cell>
          <cell r="AX23">
            <v>1</v>
          </cell>
          <cell r="AY23">
            <v>0</v>
          </cell>
          <cell r="AZ23">
            <v>0</v>
          </cell>
          <cell r="BA23">
            <v>0</v>
          </cell>
          <cell r="BB23">
            <v>0</v>
          </cell>
          <cell r="BC23">
            <v>38828</v>
          </cell>
        </row>
        <row r="24">
          <cell r="A24">
            <v>2006</v>
          </cell>
          <cell r="B24">
            <v>1</v>
          </cell>
          <cell r="C24">
            <v>23</v>
          </cell>
          <cell r="D24">
            <v>20</v>
          </cell>
          <cell r="E24">
            <v>792030</v>
          </cell>
          <cell r="F24">
            <v>0</v>
          </cell>
          <cell r="G24" t="str">
            <v>Затраты по ШПЗ (неосновные)</v>
          </cell>
          <cell r="H24">
            <v>2030</v>
          </cell>
          <cell r="I24">
            <v>7920</v>
          </cell>
          <cell r="J24">
            <v>0.08</v>
          </cell>
          <cell r="K24">
            <v>1</v>
          </cell>
          <cell r="L24">
            <v>0</v>
          </cell>
          <cell r="M24">
            <v>0</v>
          </cell>
          <cell r="N24">
            <v>0</v>
          </cell>
          <cell r="R24">
            <v>0</v>
          </cell>
          <cell r="S24">
            <v>0</v>
          </cell>
          <cell r="T24">
            <v>0</v>
          </cell>
          <cell r="U24">
            <v>42</v>
          </cell>
          <cell r="V24">
            <v>0</v>
          </cell>
          <cell r="W24">
            <v>0</v>
          </cell>
          <cell r="AA24">
            <v>0</v>
          </cell>
          <cell r="AB24">
            <v>0</v>
          </cell>
          <cell r="AC24">
            <v>0</v>
          </cell>
          <cell r="AD24">
            <v>42</v>
          </cell>
          <cell r="AE24">
            <v>510200</v>
          </cell>
          <cell r="AF24">
            <v>0</v>
          </cell>
          <cell r="AI24">
            <v>2223</v>
          </cell>
          <cell r="AK24">
            <v>0</v>
          </cell>
          <cell r="AM24">
            <v>150</v>
          </cell>
          <cell r="AN24">
            <v>1</v>
          </cell>
          <cell r="AO24">
            <v>393216</v>
          </cell>
          <cell r="AQ24">
            <v>0</v>
          </cell>
          <cell r="AR24">
            <v>0</v>
          </cell>
          <cell r="AS24" t="str">
            <v>Ы</v>
          </cell>
          <cell r="AT24" t="str">
            <v>Ы</v>
          </cell>
          <cell r="AU24">
            <v>0</v>
          </cell>
          <cell r="AV24">
            <v>0</v>
          </cell>
          <cell r="AW24">
            <v>23</v>
          </cell>
          <cell r="AX24">
            <v>1</v>
          </cell>
          <cell r="AY24">
            <v>0</v>
          </cell>
          <cell r="AZ24">
            <v>0</v>
          </cell>
          <cell r="BA24">
            <v>0</v>
          </cell>
          <cell r="BB24">
            <v>0</v>
          </cell>
          <cell r="BC24">
            <v>38828</v>
          </cell>
        </row>
        <row r="25">
          <cell r="A25">
            <v>2006</v>
          </cell>
          <cell r="B25">
            <v>1</v>
          </cell>
          <cell r="C25">
            <v>24</v>
          </cell>
          <cell r="D25">
            <v>20</v>
          </cell>
          <cell r="E25">
            <v>792030</v>
          </cell>
          <cell r="F25">
            <v>0</v>
          </cell>
          <cell r="G25" t="str">
            <v>Затраты по ШПЗ (неосновные)</v>
          </cell>
          <cell r="H25">
            <v>2030</v>
          </cell>
          <cell r="I25">
            <v>7920</v>
          </cell>
          <cell r="J25">
            <v>16.7</v>
          </cell>
          <cell r="K25">
            <v>1</v>
          </cell>
          <cell r="L25">
            <v>0</v>
          </cell>
          <cell r="M25">
            <v>0</v>
          </cell>
          <cell r="N25">
            <v>0</v>
          </cell>
          <cell r="R25">
            <v>0</v>
          </cell>
          <cell r="S25">
            <v>0</v>
          </cell>
          <cell r="T25">
            <v>0</v>
          </cell>
          <cell r="U25">
            <v>42</v>
          </cell>
          <cell r="V25">
            <v>0</v>
          </cell>
          <cell r="W25">
            <v>0</v>
          </cell>
          <cell r="AA25">
            <v>0</v>
          </cell>
          <cell r="AB25">
            <v>0</v>
          </cell>
          <cell r="AC25">
            <v>0</v>
          </cell>
          <cell r="AD25">
            <v>42</v>
          </cell>
          <cell r="AE25">
            <v>510300</v>
          </cell>
          <cell r="AF25">
            <v>0</v>
          </cell>
          <cell r="AI25">
            <v>2223</v>
          </cell>
          <cell r="AK25">
            <v>0</v>
          </cell>
          <cell r="AM25">
            <v>151</v>
          </cell>
          <cell r="AN25">
            <v>1</v>
          </cell>
          <cell r="AO25">
            <v>393216</v>
          </cell>
          <cell r="AQ25">
            <v>0</v>
          </cell>
          <cell r="AR25">
            <v>0</v>
          </cell>
          <cell r="AS25" t="str">
            <v>Ы</v>
          </cell>
          <cell r="AT25" t="str">
            <v>Ы</v>
          </cell>
          <cell r="AU25">
            <v>0</v>
          </cell>
          <cell r="AV25">
            <v>0</v>
          </cell>
          <cell r="AW25">
            <v>23</v>
          </cell>
          <cell r="AX25">
            <v>1</v>
          </cell>
          <cell r="AY25">
            <v>0</v>
          </cell>
          <cell r="AZ25">
            <v>0</v>
          </cell>
          <cell r="BA25">
            <v>0</v>
          </cell>
          <cell r="BB25">
            <v>0</v>
          </cell>
          <cell r="BC25">
            <v>38828</v>
          </cell>
        </row>
        <row r="26">
          <cell r="A26">
            <v>2006</v>
          </cell>
          <cell r="B26">
            <v>1</v>
          </cell>
          <cell r="C26">
            <v>25</v>
          </cell>
          <cell r="D26">
            <v>20</v>
          </cell>
          <cell r="E26">
            <v>792030</v>
          </cell>
          <cell r="F26">
            <v>0</v>
          </cell>
          <cell r="G26" t="str">
            <v>Затраты по ШПЗ (неосновные)</v>
          </cell>
          <cell r="H26">
            <v>2030</v>
          </cell>
          <cell r="I26">
            <v>7920</v>
          </cell>
          <cell r="J26">
            <v>2.38</v>
          </cell>
          <cell r="K26">
            <v>1</v>
          </cell>
          <cell r="L26">
            <v>0</v>
          </cell>
          <cell r="M26">
            <v>0</v>
          </cell>
          <cell r="N26">
            <v>0</v>
          </cell>
          <cell r="R26">
            <v>0</v>
          </cell>
          <cell r="S26">
            <v>0</v>
          </cell>
          <cell r="T26">
            <v>0</v>
          </cell>
          <cell r="U26">
            <v>42</v>
          </cell>
          <cell r="V26">
            <v>0</v>
          </cell>
          <cell r="W26">
            <v>0</v>
          </cell>
          <cell r="AA26">
            <v>0</v>
          </cell>
          <cell r="AB26">
            <v>0</v>
          </cell>
          <cell r="AC26">
            <v>0</v>
          </cell>
          <cell r="AD26">
            <v>42</v>
          </cell>
          <cell r="AE26">
            <v>510400</v>
          </cell>
          <cell r="AF26">
            <v>0</v>
          </cell>
          <cell r="AI26">
            <v>2223</v>
          </cell>
          <cell r="AK26">
            <v>0</v>
          </cell>
          <cell r="AM26">
            <v>152</v>
          </cell>
          <cell r="AN26">
            <v>1</v>
          </cell>
          <cell r="AO26">
            <v>393216</v>
          </cell>
          <cell r="AQ26">
            <v>0</v>
          </cell>
          <cell r="AR26">
            <v>0</v>
          </cell>
          <cell r="AS26" t="str">
            <v>Ы</v>
          </cell>
          <cell r="AT26" t="str">
            <v>Ы</v>
          </cell>
          <cell r="AU26">
            <v>0</v>
          </cell>
          <cell r="AV26">
            <v>0</v>
          </cell>
          <cell r="AW26">
            <v>23</v>
          </cell>
          <cell r="AX26">
            <v>1</v>
          </cell>
          <cell r="AY26">
            <v>0</v>
          </cell>
          <cell r="AZ26">
            <v>0</v>
          </cell>
          <cell r="BA26">
            <v>0</v>
          </cell>
          <cell r="BB26">
            <v>0</v>
          </cell>
          <cell r="BC26">
            <v>38828</v>
          </cell>
        </row>
        <row r="27">
          <cell r="A27">
            <v>2006</v>
          </cell>
          <cell r="B27">
            <v>1</v>
          </cell>
          <cell r="C27">
            <v>26</v>
          </cell>
          <cell r="D27">
            <v>20</v>
          </cell>
          <cell r="E27">
            <v>792030</v>
          </cell>
          <cell r="F27">
            <v>0</v>
          </cell>
          <cell r="G27" t="str">
            <v>Затраты по ШПЗ (неосновные)</v>
          </cell>
          <cell r="H27">
            <v>2030</v>
          </cell>
          <cell r="I27">
            <v>7920</v>
          </cell>
          <cell r="J27">
            <v>1.29</v>
          </cell>
          <cell r="K27">
            <v>1</v>
          </cell>
          <cell r="L27">
            <v>0</v>
          </cell>
          <cell r="M27">
            <v>0</v>
          </cell>
          <cell r="N27">
            <v>0</v>
          </cell>
          <cell r="R27">
            <v>0</v>
          </cell>
          <cell r="S27">
            <v>0</v>
          </cell>
          <cell r="T27">
            <v>0</v>
          </cell>
          <cell r="U27">
            <v>42</v>
          </cell>
          <cell r="V27">
            <v>0</v>
          </cell>
          <cell r="W27">
            <v>0</v>
          </cell>
          <cell r="AA27">
            <v>0</v>
          </cell>
          <cell r="AB27">
            <v>0</v>
          </cell>
          <cell r="AC27">
            <v>0</v>
          </cell>
          <cell r="AD27">
            <v>42</v>
          </cell>
          <cell r="AE27">
            <v>510500</v>
          </cell>
          <cell r="AF27">
            <v>0</v>
          </cell>
          <cell r="AI27">
            <v>2223</v>
          </cell>
          <cell r="AK27">
            <v>0</v>
          </cell>
          <cell r="AM27">
            <v>153</v>
          </cell>
          <cell r="AN27">
            <v>1</v>
          </cell>
          <cell r="AO27">
            <v>393216</v>
          </cell>
          <cell r="AQ27">
            <v>0</v>
          </cell>
          <cell r="AR27">
            <v>0</v>
          </cell>
          <cell r="AS27" t="str">
            <v>Ы</v>
          </cell>
          <cell r="AT27" t="str">
            <v>Ы</v>
          </cell>
          <cell r="AU27">
            <v>0</v>
          </cell>
          <cell r="AV27">
            <v>0</v>
          </cell>
          <cell r="AW27">
            <v>23</v>
          </cell>
          <cell r="AX27">
            <v>1</v>
          </cell>
          <cell r="AY27">
            <v>0</v>
          </cell>
          <cell r="AZ27">
            <v>0</v>
          </cell>
          <cell r="BA27">
            <v>0</v>
          </cell>
          <cell r="BB27">
            <v>0</v>
          </cell>
          <cell r="BC27">
            <v>38828</v>
          </cell>
        </row>
        <row r="28">
          <cell r="A28">
            <v>2006</v>
          </cell>
          <cell r="B28">
            <v>1</v>
          </cell>
          <cell r="C28">
            <v>27</v>
          </cell>
          <cell r="D28">
            <v>20</v>
          </cell>
          <cell r="E28">
            <v>792030</v>
          </cell>
          <cell r="F28">
            <v>0</v>
          </cell>
          <cell r="G28" t="str">
            <v>Затраты по ШПЗ (неосновные)</v>
          </cell>
          <cell r="H28">
            <v>2030</v>
          </cell>
          <cell r="I28">
            <v>7920</v>
          </cell>
          <cell r="J28">
            <v>62.91</v>
          </cell>
          <cell r="K28">
            <v>1</v>
          </cell>
          <cell r="L28">
            <v>0</v>
          </cell>
          <cell r="M28">
            <v>0</v>
          </cell>
          <cell r="N28">
            <v>0</v>
          </cell>
          <cell r="R28">
            <v>0</v>
          </cell>
          <cell r="S28">
            <v>0</v>
          </cell>
          <cell r="T28">
            <v>0</v>
          </cell>
          <cell r="U28">
            <v>42</v>
          </cell>
          <cell r="V28">
            <v>0</v>
          </cell>
          <cell r="W28">
            <v>0</v>
          </cell>
          <cell r="AA28">
            <v>0</v>
          </cell>
          <cell r="AB28">
            <v>0</v>
          </cell>
          <cell r="AC28">
            <v>0</v>
          </cell>
          <cell r="AD28">
            <v>42</v>
          </cell>
          <cell r="AE28">
            <v>510600</v>
          </cell>
          <cell r="AF28">
            <v>0</v>
          </cell>
          <cell r="AI28">
            <v>2223</v>
          </cell>
          <cell r="AK28">
            <v>0</v>
          </cell>
          <cell r="AM28">
            <v>154</v>
          </cell>
          <cell r="AN28">
            <v>1</v>
          </cell>
          <cell r="AO28">
            <v>393216</v>
          </cell>
          <cell r="AQ28">
            <v>0</v>
          </cell>
          <cell r="AR28">
            <v>0</v>
          </cell>
          <cell r="AS28" t="str">
            <v>Ы</v>
          </cell>
          <cell r="AT28" t="str">
            <v>Ы</v>
          </cell>
          <cell r="AU28">
            <v>0</v>
          </cell>
          <cell r="AV28">
            <v>0</v>
          </cell>
          <cell r="AW28">
            <v>23</v>
          </cell>
          <cell r="AX28">
            <v>1</v>
          </cell>
          <cell r="AY28">
            <v>0</v>
          </cell>
          <cell r="AZ28">
            <v>0</v>
          </cell>
          <cell r="BA28">
            <v>0</v>
          </cell>
          <cell r="BB28">
            <v>0</v>
          </cell>
          <cell r="BC28">
            <v>38828</v>
          </cell>
        </row>
        <row r="29">
          <cell r="A29">
            <v>2006</v>
          </cell>
          <cell r="B29">
            <v>1</v>
          </cell>
          <cell r="C29">
            <v>28</v>
          </cell>
          <cell r="D29">
            <v>20</v>
          </cell>
          <cell r="E29">
            <v>792030</v>
          </cell>
          <cell r="F29">
            <v>0</v>
          </cell>
          <cell r="G29" t="str">
            <v>Затраты по ШПЗ (неосновные)</v>
          </cell>
          <cell r="H29">
            <v>2030</v>
          </cell>
          <cell r="I29">
            <v>7920</v>
          </cell>
          <cell r="J29">
            <v>0.62</v>
          </cell>
          <cell r="K29">
            <v>1</v>
          </cell>
          <cell r="L29">
            <v>0</v>
          </cell>
          <cell r="M29">
            <v>0</v>
          </cell>
          <cell r="N29">
            <v>0</v>
          </cell>
          <cell r="R29">
            <v>0</v>
          </cell>
          <cell r="S29">
            <v>0</v>
          </cell>
          <cell r="T29">
            <v>0</v>
          </cell>
          <cell r="U29">
            <v>42</v>
          </cell>
          <cell r="V29">
            <v>0</v>
          </cell>
          <cell r="W29">
            <v>0</v>
          </cell>
          <cell r="AA29">
            <v>0</v>
          </cell>
          <cell r="AB29">
            <v>0</v>
          </cell>
          <cell r="AC29">
            <v>0</v>
          </cell>
          <cell r="AD29">
            <v>42</v>
          </cell>
          <cell r="AE29">
            <v>510630</v>
          </cell>
          <cell r="AF29">
            <v>0</v>
          </cell>
          <cell r="AI29">
            <v>2223</v>
          </cell>
          <cell r="AK29">
            <v>0</v>
          </cell>
          <cell r="AM29">
            <v>155</v>
          </cell>
          <cell r="AN29">
            <v>1</v>
          </cell>
          <cell r="AO29">
            <v>393216</v>
          </cell>
          <cell r="AQ29">
            <v>0</v>
          </cell>
          <cell r="AR29">
            <v>0</v>
          </cell>
          <cell r="AS29" t="str">
            <v>Ы</v>
          </cell>
          <cell r="AT29" t="str">
            <v>Ы</v>
          </cell>
          <cell r="AU29">
            <v>0</v>
          </cell>
          <cell r="AV29">
            <v>0</v>
          </cell>
          <cell r="AW29">
            <v>23</v>
          </cell>
          <cell r="AX29">
            <v>1</v>
          </cell>
          <cell r="AY29">
            <v>0</v>
          </cell>
          <cell r="AZ29">
            <v>0</v>
          </cell>
          <cell r="BA29">
            <v>0</v>
          </cell>
          <cell r="BB29">
            <v>0</v>
          </cell>
          <cell r="BC29">
            <v>38828</v>
          </cell>
        </row>
        <row r="30">
          <cell r="A30">
            <v>2006</v>
          </cell>
          <cell r="B30">
            <v>1</v>
          </cell>
          <cell r="C30">
            <v>84</v>
          </cell>
          <cell r="D30">
            <v>20</v>
          </cell>
          <cell r="E30">
            <v>792030</v>
          </cell>
          <cell r="F30">
            <v>0</v>
          </cell>
          <cell r="G30" t="str">
            <v>Затраты по ШПЗ (неосновные)</v>
          </cell>
          <cell r="H30">
            <v>2030</v>
          </cell>
          <cell r="I30">
            <v>7920</v>
          </cell>
          <cell r="J30">
            <v>44.14</v>
          </cell>
          <cell r="K30">
            <v>1</v>
          </cell>
          <cell r="L30">
            <v>0</v>
          </cell>
          <cell r="M30">
            <v>0</v>
          </cell>
          <cell r="N30">
            <v>0</v>
          </cell>
          <cell r="R30">
            <v>0</v>
          </cell>
          <cell r="S30">
            <v>0</v>
          </cell>
          <cell r="T30">
            <v>0</v>
          </cell>
          <cell r="U30">
            <v>32</v>
          </cell>
          <cell r="V30">
            <v>0</v>
          </cell>
          <cell r="W30">
            <v>0</v>
          </cell>
          <cell r="AA30">
            <v>0</v>
          </cell>
          <cell r="AB30">
            <v>0</v>
          </cell>
          <cell r="AC30">
            <v>0</v>
          </cell>
          <cell r="AD30">
            <v>32</v>
          </cell>
          <cell r="AE30">
            <v>110000</v>
          </cell>
          <cell r="AF30">
            <v>0</v>
          </cell>
          <cell r="AI30">
            <v>2223</v>
          </cell>
          <cell r="AK30">
            <v>0</v>
          </cell>
          <cell r="AM30">
            <v>211</v>
          </cell>
          <cell r="AN30">
            <v>1</v>
          </cell>
          <cell r="AO30">
            <v>393216</v>
          </cell>
          <cell r="AQ30">
            <v>0</v>
          </cell>
          <cell r="AR30">
            <v>0</v>
          </cell>
          <cell r="AS30" t="str">
            <v>Ы</v>
          </cell>
          <cell r="AT30" t="str">
            <v>Ы</v>
          </cell>
          <cell r="AU30">
            <v>0</v>
          </cell>
          <cell r="AV30">
            <v>0</v>
          </cell>
          <cell r="AW30">
            <v>23</v>
          </cell>
          <cell r="AX30">
            <v>1</v>
          </cell>
          <cell r="AY30">
            <v>0</v>
          </cell>
          <cell r="AZ30">
            <v>0</v>
          </cell>
          <cell r="BA30">
            <v>0</v>
          </cell>
          <cell r="BB30">
            <v>0</v>
          </cell>
          <cell r="BC30">
            <v>38828</v>
          </cell>
        </row>
        <row r="31">
          <cell r="A31">
            <v>2006</v>
          </cell>
          <cell r="B31">
            <v>1</v>
          </cell>
          <cell r="C31">
            <v>85</v>
          </cell>
          <cell r="D31">
            <v>20</v>
          </cell>
          <cell r="E31">
            <v>792030</v>
          </cell>
          <cell r="F31">
            <v>0</v>
          </cell>
          <cell r="G31" t="str">
            <v>Затраты по ШПЗ (неосновные)</v>
          </cell>
          <cell r="H31">
            <v>2030</v>
          </cell>
          <cell r="I31">
            <v>7920</v>
          </cell>
          <cell r="J31">
            <v>3.63</v>
          </cell>
          <cell r="K31">
            <v>1</v>
          </cell>
          <cell r="L31">
            <v>0</v>
          </cell>
          <cell r="M31">
            <v>0</v>
          </cell>
          <cell r="N31">
            <v>0</v>
          </cell>
          <cell r="R31">
            <v>0</v>
          </cell>
          <cell r="S31">
            <v>0</v>
          </cell>
          <cell r="T31">
            <v>0</v>
          </cell>
          <cell r="U31">
            <v>32</v>
          </cell>
          <cell r="V31">
            <v>0</v>
          </cell>
          <cell r="W31">
            <v>0</v>
          </cell>
          <cell r="AA31">
            <v>0</v>
          </cell>
          <cell r="AB31">
            <v>0</v>
          </cell>
          <cell r="AC31">
            <v>0</v>
          </cell>
          <cell r="AD31">
            <v>32</v>
          </cell>
          <cell r="AE31">
            <v>114020</v>
          </cell>
          <cell r="AF31">
            <v>0</v>
          </cell>
          <cell r="AI31">
            <v>2223</v>
          </cell>
          <cell r="AK31">
            <v>0</v>
          </cell>
          <cell r="AM31">
            <v>212</v>
          </cell>
          <cell r="AN31">
            <v>1</v>
          </cell>
          <cell r="AO31">
            <v>393216</v>
          </cell>
          <cell r="AQ31">
            <v>0</v>
          </cell>
          <cell r="AR31">
            <v>0</v>
          </cell>
          <cell r="AS31" t="str">
            <v>Ы</v>
          </cell>
          <cell r="AT31" t="str">
            <v>Ы</v>
          </cell>
          <cell r="AU31">
            <v>0</v>
          </cell>
          <cell r="AV31">
            <v>0</v>
          </cell>
          <cell r="AW31">
            <v>23</v>
          </cell>
          <cell r="AX31">
            <v>1</v>
          </cell>
          <cell r="AY31">
            <v>0</v>
          </cell>
          <cell r="AZ31">
            <v>0</v>
          </cell>
          <cell r="BA31">
            <v>0</v>
          </cell>
          <cell r="BB31">
            <v>0</v>
          </cell>
          <cell r="BC31">
            <v>38828</v>
          </cell>
        </row>
        <row r="32">
          <cell r="A32">
            <v>2006</v>
          </cell>
          <cell r="B32">
            <v>1</v>
          </cell>
          <cell r="C32">
            <v>86</v>
          </cell>
          <cell r="D32">
            <v>20</v>
          </cell>
          <cell r="E32">
            <v>792030</v>
          </cell>
          <cell r="F32">
            <v>0</v>
          </cell>
          <cell r="G32" t="str">
            <v>Затраты по ШПЗ (неосновные)</v>
          </cell>
          <cell r="H32">
            <v>2030</v>
          </cell>
          <cell r="I32">
            <v>7920</v>
          </cell>
          <cell r="J32">
            <v>5.03</v>
          </cell>
          <cell r="K32">
            <v>1</v>
          </cell>
          <cell r="L32">
            <v>0</v>
          </cell>
          <cell r="M32">
            <v>0</v>
          </cell>
          <cell r="N32">
            <v>0</v>
          </cell>
          <cell r="R32">
            <v>0</v>
          </cell>
          <cell r="S32">
            <v>0</v>
          </cell>
          <cell r="T32">
            <v>0</v>
          </cell>
          <cell r="U32">
            <v>32</v>
          </cell>
          <cell r="V32">
            <v>0</v>
          </cell>
          <cell r="W32">
            <v>0</v>
          </cell>
          <cell r="AA32">
            <v>0</v>
          </cell>
          <cell r="AB32">
            <v>0</v>
          </cell>
          <cell r="AC32">
            <v>0</v>
          </cell>
          <cell r="AD32">
            <v>32</v>
          </cell>
          <cell r="AE32">
            <v>117000</v>
          </cell>
          <cell r="AF32">
            <v>0</v>
          </cell>
          <cell r="AI32">
            <v>2223</v>
          </cell>
          <cell r="AK32">
            <v>0</v>
          </cell>
          <cell r="AM32">
            <v>213</v>
          </cell>
          <cell r="AN32">
            <v>1</v>
          </cell>
          <cell r="AO32">
            <v>393216</v>
          </cell>
          <cell r="AQ32">
            <v>0</v>
          </cell>
          <cell r="AR32">
            <v>0</v>
          </cell>
          <cell r="AS32" t="str">
            <v>Ы</v>
          </cell>
          <cell r="AT32" t="str">
            <v>Ы</v>
          </cell>
          <cell r="AU32">
            <v>0</v>
          </cell>
          <cell r="AV32">
            <v>0</v>
          </cell>
          <cell r="AW32">
            <v>23</v>
          </cell>
          <cell r="AX32">
            <v>1</v>
          </cell>
          <cell r="AY32">
            <v>0</v>
          </cell>
          <cell r="AZ32">
            <v>0</v>
          </cell>
          <cell r="BA32">
            <v>0</v>
          </cell>
          <cell r="BB32">
            <v>0</v>
          </cell>
          <cell r="BC32">
            <v>38828</v>
          </cell>
        </row>
        <row r="33">
          <cell r="A33">
            <v>2006</v>
          </cell>
          <cell r="B33">
            <v>1</v>
          </cell>
          <cell r="C33">
            <v>87</v>
          </cell>
          <cell r="D33">
            <v>20</v>
          </cell>
          <cell r="E33">
            <v>792030</v>
          </cell>
          <cell r="F33">
            <v>0</v>
          </cell>
          <cell r="G33" t="str">
            <v>Затраты по ШПЗ (неосновные)</v>
          </cell>
          <cell r="H33">
            <v>2030</v>
          </cell>
          <cell r="I33">
            <v>7920</v>
          </cell>
          <cell r="J33">
            <v>1.3</v>
          </cell>
          <cell r="K33">
            <v>1</v>
          </cell>
          <cell r="L33">
            <v>0</v>
          </cell>
          <cell r="M33">
            <v>0</v>
          </cell>
          <cell r="N33">
            <v>0</v>
          </cell>
          <cell r="R33">
            <v>0</v>
          </cell>
          <cell r="S33">
            <v>0</v>
          </cell>
          <cell r="T33">
            <v>0</v>
          </cell>
          <cell r="U33">
            <v>32</v>
          </cell>
          <cell r="V33">
            <v>0</v>
          </cell>
          <cell r="W33">
            <v>0</v>
          </cell>
          <cell r="AA33">
            <v>0</v>
          </cell>
          <cell r="AB33">
            <v>0</v>
          </cell>
          <cell r="AC33">
            <v>0</v>
          </cell>
          <cell r="AD33">
            <v>32</v>
          </cell>
          <cell r="AE33">
            <v>130000</v>
          </cell>
          <cell r="AF33">
            <v>0</v>
          </cell>
          <cell r="AI33">
            <v>2223</v>
          </cell>
          <cell r="AK33">
            <v>0</v>
          </cell>
          <cell r="AM33">
            <v>214</v>
          </cell>
          <cell r="AN33">
            <v>1</v>
          </cell>
          <cell r="AO33">
            <v>393216</v>
          </cell>
          <cell r="AQ33">
            <v>0</v>
          </cell>
          <cell r="AR33">
            <v>0</v>
          </cell>
          <cell r="AS33" t="str">
            <v>Ы</v>
          </cell>
          <cell r="AT33" t="str">
            <v>Ы</v>
          </cell>
          <cell r="AU33">
            <v>0</v>
          </cell>
          <cell r="AV33">
            <v>0</v>
          </cell>
          <cell r="AW33">
            <v>23</v>
          </cell>
          <cell r="AX33">
            <v>1</v>
          </cell>
          <cell r="AY33">
            <v>0</v>
          </cell>
          <cell r="AZ33">
            <v>0</v>
          </cell>
          <cell r="BA33">
            <v>0</v>
          </cell>
          <cell r="BB33">
            <v>0</v>
          </cell>
          <cell r="BC33">
            <v>38828</v>
          </cell>
        </row>
        <row r="34">
          <cell r="A34">
            <v>2006</v>
          </cell>
          <cell r="B34">
            <v>1</v>
          </cell>
          <cell r="C34">
            <v>88</v>
          </cell>
          <cell r="D34">
            <v>20</v>
          </cell>
          <cell r="E34">
            <v>792030</v>
          </cell>
          <cell r="F34">
            <v>0</v>
          </cell>
          <cell r="G34" t="str">
            <v>Затраты по ШПЗ (неосновные)</v>
          </cell>
          <cell r="H34">
            <v>2030</v>
          </cell>
          <cell r="I34">
            <v>7920</v>
          </cell>
          <cell r="J34">
            <v>1.05</v>
          </cell>
          <cell r="K34">
            <v>1</v>
          </cell>
          <cell r="L34">
            <v>0</v>
          </cell>
          <cell r="M34">
            <v>0</v>
          </cell>
          <cell r="N34">
            <v>0</v>
          </cell>
          <cell r="R34">
            <v>0</v>
          </cell>
          <cell r="S34">
            <v>0</v>
          </cell>
          <cell r="T34">
            <v>0</v>
          </cell>
          <cell r="U34">
            <v>32</v>
          </cell>
          <cell r="V34">
            <v>0</v>
          </cell>
          <cell r="W34">
            <v>0</v>
          </cell>
          <cell r="AA34">
            <v>0</v>
          </cell>
          <cell r="AB34">
            <v>0</v>
          </cell>
          <cell r="AC34">
            <v>0</v>
          </cell>
          <cell r="AD34">
            <v>32</v>
          </cell>
          <cell r="AE34">
            <v>132000</v>
          </cell>
          <cell r="AF34">
            <v>0</v>
          </cell>
          <cell r="AI34">
            <v>2223</v>
          </cell>
          <cell r="AK34">
            <v>0</v>
          </cell>
          <cell r="AM34">
            <v>215</v>
          </cell>
          <cell r="AN34">
            <v>1</v>
          </cell>
          <cell r="AO34">
            <v>393216</v>
          </cell>
          <cell r="AQ34">
            <v>0</v>
          </cell>
          <cell r="AR34">
            <v>0</v>
          </cell>
          <cell r="AS34" t="str">
            <v>Ы</v>
          </cell>
          <cell r="AT34" t="str">
            <v>Ы</v>
          </cell>
          <cell r="AU34">
            <v>0</v>
          </cell>
          <cell r="AV34">
            <v>0</v>
          </cell>
          <cell r="AW34">
            <v>23</v>
          </cell>
          <cell r="AX34">
            <v>1</v>
          </cell>
          <cell r="AY34">
            <v>0</v>
          </cell>
          <cell r="AZ34">
            <v>0</v>
          </cell>
          <cell r="BA34">
            <v>0</v>
          </cell>
          <cell r="BB34">
            <v>0</v>
          </cell>
          <cell r="BC34">
            <v>38828</v>
          </cell>
        </row>
        <row r="35">
          <cell r="A35">
            <v>2006</v>
          </cell>
          <cell r="B35">
            <v>1</v>
          </cell>
          <cell r="C35">
            <v>89</v>
          </cell>
          <cell r="D35">
            <v>20</v>
          </cell>
          <cell r="E35">
            <v>792030</v>
          </cell>
          <cell r="F35">
            <v>0</v>
          </cell>
          <cell r="G35" t="str">
            <v>Затраты по ШПЗ (неосновные)</v>
          </cell>
          <cell r="H35">
            <v>2030</v>
          </cell>
          <cell r="I35">
            <v>7920</v>
          </cell>
          <cell r="J35">
            <v>9.08</v>
          </cell>
          <cell r="K35">
            <v>1</v>
          </cell>
          <cell r="L35">
            <v>0</v>
          </cell>
          <cell r="M35">
            <v>0</v>
          </cell>
          <cell r="N35">
            <v>0</v>
          </cell>
          <cell r="R35">
            <v>0</v>
          </cell>
          <cell r="S35">
            <v>0</v>
          </cell>
          <cell r="T35">
            <v>0</v>
          </cell>
          <cell r="U35">
            <v>32</v>
          </cell>
          <cell r="V35">
            <v>0</v>
          </cell>
          <cell r="W35">
            <v>0</v>
          </cell>
          <cell r="AA35">
            <v>0</v>
          </cell>
          <cell r="AB35">
            <v>0</v>
          </cell>
          <cell r="AC35">
            <v>0</v>
          </cell>
          <cell r="AD35">
            <v>32</v>
          </cell>
          <cell r="AE35">
            <v>135000</v>
          </cell>
          <cell r="AF35">
            <v>0</v>
          </cell>
          <cell r="AI35">
            <v>2223</v>
          </cell>
          <cell r="AK35">
            <v>0</v>
          </cell>
          <cell r="AM35">
            <v>216</v>
          </cell>
          <cell r="AN35">
            <v>1</v>
          </cell>
          <cell r="AO35">
            <v>393216</v>
          </cell>
          <cell r="AQ35">
            <v>0</v>
          </cell>
          <cell r="AR35">
            <v>0</v>
          </cell>
          <cell r="AS35" t="str">
            <v>Ы</v>
          </cell>
          <cell r="AT35" t="str">
            <v>Ы</v>
          </cell>
          <cell r="AU35">
            <v>0</v>
          </cell>
          <cell r="AV35">
            <v>0</v>
          </cell>
          <cell r="AW35">
            <v>23</v>
          </cell>
          <cell r="AX35">
            <v>1</v>
          </cell>
          <cell r="AY35">
            <v>0</v>
          </cell>
          <cell r="AZ35">
            <v>0</v>
          </cell>
          <cell r="BA35">
            <v>0</v>
          </cell>
          <cell r="BB35">
            <v>0</v>
          </cell>
          <cell r="BC35">
            <v>38828</v>
          </cell>
        </row>
        <row r="36">
          <cell r="A36">
            <v>2006</v>
          </cell>
          <cell r="B36">
            <v>1</v>
          </cell>
          <cell r="C36">
            <v>90</v>
          </cell>
          <cell r="D36">
            <v>20</v>
          </cell>
          <cell r="E36">
            <v>792030</v>
          </cell>
          <cell r="F36">
            <v>0</v>
          </cell>
          <cell r="G36" t="str">
            <v>Затраты по ШПЗ (неосновные)</v>
          </cell>
          <cell r="H36">
            <v>2030</v>
          </cell>
          <cell r="I36">
            <v>7920</v>
          </cell>
          <cell r="J36">
            <v>37454.550000000003</v>
          </cell>
          <cell r="K36">
            <v>1</v>
          </cell>
          <cell r="L36">
            <v>0</v>
          </cell>
          <cell r="M36">
            <v>0</v>
          </cell>
          <cell r="N36">
            <v>0</v>
          </cell>
          <cell r="R36">
            <v>0</v>
          </cell>
          <cell r="S36">
            <v>0</v>
          </cell>
          <cell r="T36">
            <v>0</v>
          </cell>
          <cell r="U36">
            <v>32</v>
          </cell>
          <cell r="V36">
            <v>0</v>
          </cell>
          <cell r="W36">
            <v>0</v>
          </cell>
          <cell r="AA36">
            <v>0</v>
          </cell>
          <cell r="AB36">
            <v>0</v>
          </cell>
          <cell r="AC36">
            <v>0</v>
          </cell>
          <cell r="AD36">
            <v>32</v>
          </cell>
          <cell r="AE36">
            <v>143000</v>
          </cell>
          <cell r="AF36">
            <v>0</v>
          </cell>
          <cell r="AI36">
            <v>2223</v>
          </cell>
          <cell r="AK36">
            <v>0</v>
          </cell>
          <cell r="AM36">
            <v>217</v>
          </cell>
          <cell r="AN36">
            <v>1</v>
          </cell>
          <cell r="AO36">
            <v>393216</v>
          </cell>
          <cell r="AQ36">
            <v>0</v>
          </cell>
          <cell r="AR36">
            <v>0</v>
          </cell>
          <cell r="AS36" t="str">
            <v>Ы</v>
          </cell>
          <cell r="AT36" t="str">
            <v>Ы</v>
          </cell>
          <cell r="AU36">
            <v>0</v>
          </cell>
          <cell r="AV36">
            <v>0</v>
          </cell>
          <cell r="AW36">
            <v>23</v>
          </cell>
          <cell r="AX36">
            <v>1</v>
          </cell>
          <cell r="AY36">
            <v>0</v>
          </cell>
          <cell r="AZ36">
            <v>0</v>
          </cell>
          <cell r="BA36">
            <v>0</v>
          </cell>
          <cell r="BB36">
            <v>0</v>
          </cell>
          <cell r="BC36">
            <v>38828</v>
          </cell>
        </row>
        <row r="37">
          <cell r="A37">
            <v>2006</v>
          </cell>
          <cell r="B37">
            <v>1</v>
          </cell>
          <cell r="C37">
            <v>91</v>
          </cell>
          <cell r="D37">
            <v>20</v>
          </cell>
          <cell r="E37">
            <v>792030</v>
          </cell>
          <cell r="F37">
            <v>0</v>
          </cell>
          <cell r="G37" t="str">
            <v>Затраты по ШПЗ (неосновные)</v>
          </cell>
          <cell r="H37">
            <v>2030</v>
          </cell>
          <cell r="I37">
            <v>7920</v>
          </cell>
          <cell r="J37">
            <v>4.1399999999999997</v>
          </cell>
          <cell r="K37">
            <v>1</v>
          </cell>
          <cell r="L37">
            <v>0</v>
          </cell>
          <cell r="M37">
            <v>0</v>
          </cell>
          <cell r="N37">
            <v>0</v>
          </cell>
          <cell r="R37">
            <v>0</v>
          </cell>
          <cell r="S37">
            <v>0</v>
          </cell>
          <cell r="T37">
            <v>0</v>
          </cell>
          <cell r="U37">
            <v>32</v>
          </cell>
          <cell r="V37">
            <v>0</v>
          </cell>
          <cell r="W37">
            <v>0</v>
          </cell>
          <cell r="AA37">
            <v>0</v>
          </cell>
          <cell r="AB37">
            <v>0</v>
          </cell>
          <cell r="AC37">
            <v>0</v>
          </cell>
          <cell r="AD37">
            <v>32</v>
          </cell>
          <cell r="AE37">
            <v>410000</v>
          </cell>
          <cell r="AF37">
            <v>0</v>
          </cell>
          <cell r="AI37">
            <v>2223</v>
          </cell>
          <cell r="AK37">
            <v>0</v>
          </cell>
          <cell r="AM37">
            <v>218</v>
          </cell>
          <cell r="AN37">
            <v>1</v>
          </cell>
          <cell r="AO37">
            <v>393216</v>
          </cell>
          <cell r="AQ37">
            <v>0</v>
          </cell>
          <cell r="AR37">
            <v>0</v>
          </cell>
          <cell r="AS37" t="str">
            <v>Ы</v>
          </cell>
          <cell r="AT37" t="str">
            <v>Ы</v>
          </cell>
          <cell r="AU37">
            <v>0</v>
          </cell>
          <cell r="AV37">
            <v>0</v>
          </cell>
          <cell r="AW37">
            <v>23</v>
          </cell>
          <cell r="AX37">
            <v>1</v>
          </cell>
          <cell r="AY37">
            <v>0</v>
          </cell>
          <cell r="AZ37">
            <v>0</v>
          </cell>
          <cell r="BA37">
            <v>0</v>
          </cell>
          <cell r="BB37">
            <v>0</v>
          </cell>
          <cell r="BC37">
            <v>38828</v>
          </cell>
        </row>
        <row r="38">
          <cell r="A38">
            <v>2006</v>
          </cell>
          <cell r="B38">
            <v>1</v>
          </cell>
          <cell r="C38">
            <v>92</v>
          </cell>
          <cell r="D38">
            <v>20</v>
          </cell>
          <cell r="E38">
            <v>792030</v>
          </cell>
          <cell r="F38">
            <v>0</v>
          </cell>
          <cell r="G38" t="str">
            <v>Затраты по ШПЗ (неосновные)</v>
          </cell>
          <cell r="H38">
            <v>2030</v>
          </cell>
          <cell r="I38">
            <v>7920</v>
          </cell>
          <cell r="J38">
            <v>346.34</v>
          </cell>
          <cell r="K38">
            <v>1</v>
          </cell>
          <cell r="L38">
            <v>0</v>
          </cell>
          <cell r="M38">
            <v>0</v>
          </cell>
          <cell r="N38">
            <v>0</v>
          </cell>
          <cell r="R38">
            <v>0</v>
          </cell>
          <cell r="S38">
            <v>0</v>
          </cell>
          <cell r="T38">
            <v>0</v>
          </cell>
          <cell r="U38">
            <v>32</v>
          </cell>
          <cell r="V38">
            <v>0</v>
          </cell>
          <cell r="W38">
            <v>0</v>
          </cell>
          <cell r="AA38">
            <v>0</v>
          </cell>
          <cell r="AB38">
            <v>0</v>
          </cell>
          <cell r="AC38">
            <v>0</v>
          </cell>
          <cell r="AD38">
            <v>32</v>
          </cell>
          <cell r="AE38">
            <v>410100</v>
          </cell>
          <cell r="AF38">
            <v>0</v>
          </cell>
          <cell r="AI38">
            <v>2223</v>
          </cell>
          <cell r="AK38">
            <v>0</v>
          </cell>
          <cell r="AM38">
            <v>219</v>
          </cell>
          <cell r="AN38">
            <v>1</v>
          </cell>
          <cell r="AO38">
            <v>393216</v>
          </cell>
          <cell r="AQ38">
            <v>0</v>
          </cell>
          <cell r="AR38">
            <v>0</v>
          </cell>
          <cell r="AS38" t="str">
            <v>Ы</v>
          </cell>
          <cell r="AT38" t="str">
            <v>Ы</v>
          </cell>
          <cell r="AU38">
            <v>0</v>
          </cell>
          <cell r="AV38">
            <v>0</v>
          </cell>
          <cell r="AW38">
            <v>23</v>
          </cell>
          <cell r="AX38">
            <v>1</v>
          </cell>
          <cell r="AY38">
            <v>0</v>
          </cell>
          <cell r="AZ38">
            <v>0</v>
          </cell>
          <cell r="BA38">
            <v>0</v>
          </cell>
          <cell r="BB38">
            <v>0</v>
          </cell>
          <cell r="BC38">
            <v>38828</v>
          </cell>
        </row>
        <row r="39">
          <cell r="A39">
            <v>2006</v>
          </cell>
          <cell r="B39">
            <v>1</v>
          </cell>
          <cell r="C39">
            <v>93</v>
          </cell>
          <cell r="D39">
            <v>20</v>
          </cell>
          <cell r="E39">
            <v>792030</v>
          </cell>
          <cell r="F39">
            <v>0</v>
          </cell>
          <cell r="G39" t="str">
            <v>Затраты по ШПЗ (неосновные)</v>
          </cell>
          <cell r="H39">
            <v>2030</v>
          </cell>
          <cell r="I39">
            <v>7920</v>
          </cell>
          <cell r="J39">
            <v>68.12</v>
          </cell>
          <cell r="K39">
            <v>1</v>
          </cell>
          <cell r="L39">
            <v>0</v>
          </cell>
          <cell r="M39">
            <v>0</v>
          </cell>
          <cell r="N39">
            <v>0</v>
          </cell>
          <cell r="R39">
            <v>0</v>
          </cell>
          <cell r="S39">
            <v>0</v>
          </cell>
          <cell r="T39">
            <v>0</v>
          </cell>
          <cell r="U39">
            <v>32</v>
          </cell>
          <cell r="V39">
            <v>0</v>
          </cell>
          <cell r="W39">
            <v>0</v>
          </cell>
          <cell r="AA39">
            <v>0</v>
          </cell>
          <cell r="AB39">
            <v>0</v>
          </cell>
          <cell r="AC39">
            <v>0</v>
          </cell>
          <cell r="AD39">
            <v>32</v>
          </cell>
          <cell r="AE39">
            <v>410200</v>
          </cell>
          <cell r="AF39">
            <v>0</v>
          </cell>
          <cell r="AI39">
            <v>2223</v>
          </cell>
          <cell r="AK39">
            <v>0</v>
          </cell>
          <cell r="AM39">
            <v>220</v>
          </cell>
          <cell r="AN39">
            <v>1</v>
          </cell>
          <cell r="AO39">
            <v>393216</v>
          </cell>
          <cell r="AQ39">
            <v>0</v>
          </cell>
          <cell r="AR39">
            <v>0</v>
          </cell>
          <cell r="AS39" t="str">
            <v>Ы</v>
          </cell>
          <cell r="AT39" t="str">
            <v>Ы</v>
          </cell>
          <cell r="AU39">
            <v>0</v>
          </cell>
          <cell r="AV39">
            <v>0</v>
          </cell>
          <cell r="AW39">
            <v>23</v>
          </cell>
          <cell r="AX39">
            <v>1</v>
          </cell>
          <cell r="AY39">
            <v>0</v>
          </cell>
          <cell r="AZ39">
            <v>0</v>
          </cell>
          <cell r="BA39">
            <v>0</v>
          </cell>
          <cell r="BB39">
            <v>0</v>
          </cell>
          <cell r="BC39">
            <v>38828</v>
          </cell>
        </row>
        <row r="40">
          <cell r="A40">
            <v>2006</v>
          </cell>
          <cell r="B40">
            <v>1</v>
          </cell>
          <cell r="C40">
            <v>94</v>
          </cell>
          <cell r="D40">
            <v>20</v>
          </cell>
          <cell r="E40">
            <v>792030</v>
          </cell>
          <cell r="F40">
            <v>0</v>
          </cell>
          <cell r="G40" t="str">
            <v>Затраты по ШПЗ (неосновные)</v>
          </cell>
          <cell r="H40">
            <v>2030</v>
          </cell>
          <cell r="I40">
            <v>7920</v>
          </cell>
          <cell r="J40">
            <v>8.6999999999999993</v>
          </cell>
          <cell r="K40">
            <v>1</v>
          </cell>
          <cell r="L40">
            <v>0</v>
          </cell>
          <cell r="M40">
            <v>0</v>
          </cell>
          <cell r="N40">
            <v>0</v>
          </cell>
          <cell r="R40">
            <v>0</v>
          </cell>
          <cell r="S40">
            <v>0</v>
          </cell>
          <cell r="T40">
            <v>0</v>
          </cell>
          <cell r="U40">
            <v>32</v>
          </cell>
          <cell r="V40">
            <v>0</v>
          </cell>
          <cell r="W40">
            <v>0</v>
          </cell>
          <cell r="AA40">
            <v>0</v>
          </cell>
          <cell r="AB40">
            <v>0</v>
          </cell>
          <cell r="AC40">
            <v>0</v>
          </cell>
          <cell r="AD40">
            <v>32</v>
          </cell>
          <cell r="AE40">
            <v>420000</v>
          </cell>
          <cell r="AF40">
            <v>0</v>
          </cell>
          <cell r="AI40">
            <v>2223</v>
          </cell>
          <cell r="AK40">
            <v>0</v>
          </cell>
          <cell r="AM40">
            <v>221</v>
          </cell>
          <cell r="AN40">
            <v>1</v>
          </cell>
          <cell r="AO40">
            <v>393216</v>
          </cell>
          <cell r="AQ40">
            <v>0</v>
          </cell>
          <cell r="AR40">
            <v>0</v>
          </cell>
          <cell r="AS40" t="str">
            <v>Ы</v>
          </cell>
          <cell r="AT40" t="str">
            <v>Ы</v>
          </cell>
          <cell r="AU40">
            <v>0</v>
          </cell>
          <cell r="AV40">
            <v>0</v>
          </cell>
          <cell r="AW40">
            <v>23</v>
          </cell>
          <cell r="AX40">
            <v>1</v>
          </cell>
          <cell r="AY40">
            <v>0</v>
          </cell>
          <cell r="AZ40">
            <v>0</v>
          </cell>
          <cell r="BA40">
            <v>0</v>
          </cell>
          <cell r="BB40">
            <v>0</v>
          </cell>
          <cell r="BC40">
            <v>38828</v>
          </cell>
        </row>
        <row r="41">
          <cell r="A41">
            <v>2006</v>
          </cell>
          <cell r="B41">
            <v>1</v>
          </cell>
          <cell r="C41">
            <v>95</v>
          </cell>
          <cell r="D41">
            <v>20</v>
          </cell>
          <cell r="E41">
            <v>792030</v>
          </cell>
          <cell r="F41">
            <v>0</v>
          </cell>
          <cell r="G41" t="str">
            <v>Затраты по ШПЗ (неосновные)</v>
          </cell>
          <cell r="H41">
            <v>2030</v>
          </cell>
          <cell r="I41">
            <v>7920</v>
          </cell>
          <cell r="J41">
            <v>17.149999999999999</v>
          </cell>
          <cell r="K41">
            <v>1</v>
          </cell>
          <cell r="L41">
            <v>0</v>
          </cell>
          <cell r="M41">
            <v>0</v>
          </cell>
          <cell r="N41">
            <v>0</v>
          </cell>
          <cell r="R41">
            <v>0</v>
          </cell>
          <cell r="S41">
            <v>0</v>
          </cell>
          <cell r="T41">
            <v>0</v>
          </cell>
          <cell r="U41">
            <v>32</v>
          </cell>
          <cell r="V41">
            <v>0</v>
          </cell>
          <cell r="W41">
            <v>0</v>
          </cell>
          <cell r="AA41">
            <v>0</v>
          </cell>
          <cell r="AB41">
            <v>0</v>
          </cell>
          <cell r="AC41">
            <v>0</v>
          </cell>
          <cell r="AD41">
            <v>32</v>
          </cell>
          <cell r="AE41">
            <v>430000</v>
          </cell>
          <cell r="AF41">
            <v>0</v>
          </cell>
          <cell r="AI41">
            <v>2223</v>
          </cell>
          <cell r="AK41">
            <v>0</v>
          </cell>
          <cell r="AM41">
            <v>222</v>
          </cell>
          <cell r="AN41">
            <v>1</v>
          </cell>
          <cell r="AO41">
            <v>393216</v>
          </cell>
          <cell r="AQ41">
            <v>0</v>
          </cell>
          <cell r="AR41">
            <v>0</v>
          </cell>
          <cell r="AS41" t="str">
            <v>Ы</v>
          </cell>
          <cell r="AT41" t="str">
            <v>Ы</v>
          </cell>
          <cell r="AU41">
            <v>0</v>
          </cell>
          <cell r="AV41">
            <v>0</v>
          </cell>
          <cell r="AW41">
            <v>23</v>
          </cell>
          <cell r="AX41">
            <v>1</v>
          </cell>
          <cell r="AY41">
            <v>0</v>
          </cell>
          <cell r="AZ41">
            <v>0</v>
          </cell>
          <cell r="BA41">
            <v>0</v>
          </cell>
          <cell r="BB41">
            <v>0</v>
          </cell>
          <cell r="BC41">
            <v>38828</v>
          </cell>
        </row>
        <row r="42">
          <cell r="A42">
            <v>2006</v>
          </cell>
          <cell r="B42">
            <v>1</v>
          </cell>
          <cell r="C42">
            <v>96</v>
          </cell>
          <cell r="D42">
            <v>20</v>
          </cell>
          <cell r="E42">
            <v>792030</v>
          </cell>
          <cell r="F42">
            <v>0</v>
          </cell>
          <cell r="G42" t="str">
            <v>Затраты по ШПЗ (неосновные)</v>
          </cell>
          <cell r="H42">
            <v>2030</v>
          </cell>
          <cell r="I42">
            <v>7920</v>
          </cell>
          <cell r="J42">
            <v>1.53</v>
          </cell>
          <cell r="K42">
            <v>1</v>
          </cell>
          <cell r="L42">
            <v>0</v>
          </cell>
          <cell r="M42">
            <v>0</v>
          </cell>
          <cell r="N42">
            <v>0</v>
          </cell>
          <cell r="R42">
            <v>0</v>
          </cell>
          <cell r="S42">
            <v>0</v>
          </cell>
          <cell r="T42">
            <v>0</v>
          </cell>
          <cell r="U42">
            <v>32</v>
          </cell>
          <cell r="V42">
            <v>0</v>
          </cell>
          <cell r="W42">
            <v>0</v>
          </cell>
          <cell r="AA42">
            <v>0</v>
          </cell>
          <cell r="AB42">
            <v>0</v>
          </cell>
          <cell r="AC42">
            <v>0</v>
          </cell>
          <cell r="AD42">
            <v>32</v>
          </cell>
          <cell r="AE42">
            <v>430110</v>
          </cell>
          <cell r="AF42">
            <v>0</v>
          </cell>
          <cell r="AI42">
            <v>2223</v>
          </cell>
          <cell r="AK42">
            <v>0</v>
          </cell>
          <cell r="AM42">
            <v>223</v>
          </cell>
          <cell r="AN42">
            <v>1</v>
          </cell>
          <cell r="AO42">
            <v>393216</v>
          </cell>
          <cell r="AQ42">
            <v>0</v>
          </cell>
          <cell r="AR42">
            <v>0</v>
          </cell>
          <cell r="AS42" t="str">
            <v>Ы</v>
          </cell>
          <cell r="AT42" t="str">
            <v>Ы</v>
          </cell>
          <cell r="AU42">
            <v>0</v>
          </cell>
          <cell r="AV42">
            <v>0</v>
          </cell>
          <cell r="AW42">
            <v>23</v>
          </cell>
          <cell r="AX42">
            <v>1</v>
          </cell>
          <cell r="AY42">
            <v>0</v>
          </cell>
          <cell r="AZ42">
            <v>0</v>
          </cell>
          <cell r="BA42">
            <v>0</v>
          </cell>
          <cell r="BB42">
            <v>0</v>
          </cell>
          <cell r="BC42">
            <v>38828</v>
          </cell>
        </row>
        <row r="43">
          <cell r="A43">
            <v>2006</v>
          </cell>
          <cell r="B43">
            <v>1</v>
          </cell>
          <cell r="C43">
            <v>97</v>
          </cell>
          <cell r="D43">
            <v>20</v>
          </cell>
          <cell r="E43">
            <v>792030</v>
          </cell>
          <cell r="F43">
            <v>0</v>
          </cell>
          <cell r="G43" t="str">
            <v>Затраты по ШПЗ (неосновные)</v>
          </cell>
          <cell r="H43">
            <v>2030</v>
          </cell>
          <cell r="I43">
            <v>7920</v>
          </cell>
          <cell r="J43">
            <v>4.24</v>
          </cell>
          <cell r="K43">
            <v>1</v>
          </cell>
          <cell r="L43">
            <v>0</v>
          </cell>
          <cell r="M43">
            <v>0</v>
          </cell>
          <cell r="N43">
            <v>0</v>
          </cell>
          <cell r="R43">
            <v>0</v>
          </cell>
          <cell r="S43">
            <v>0</v>
          </cell>
          <cell r="T43">
            <v>0</v>
          </cell>
          <cell r="U43">
            <v>32</v>
          </cell>
          <cell r="V43">
            <v>0</v>
          </cell>
          <cell r="W43">
            <v>0</v>
          </cell>
          <cell r="AA43">
            <v>0</v>
          </cell>
          <cell r="AB43">
            <v>0</v>
          </cell>
          <cell r="AC43">
            <v>0</v>
          </cell>
          <cell r="AD43">
            <v>32</v>
          </cell>
          <cell r="AE43">
            <v>502100</v>
          </cell>
          <cell r="AF43">
            <v>0</v>
          </cell>
          <cell r="AI43">
            <v>2223</v>
          </cell>
          <cell r="AK43">
            <v>0</v>
          </cell>
          <cell r="AM43">
            <v>224</v>
          </cell>
          <cell r="AN43">
            <v>1</v>
          </cell>
          <cell r="AO43">
            <v>393216</v>
          </cell>
          <cell r="AQ43">
            <v>0</v>
          </cell>
          <cell r="AR43">
            <v>0</v>
          </cell>
          <cell r="AS43" t="str">
            <v>Ы</v>
          </cell>
          <cell r="AT43" t="str">
            <v>Ы</v>
          </cell>
          <cell r="AU43">
            <v>0</v>
          </cell>
          <cell r="AV43">
            <v>0</v>
          </cell>
          <cell r="AW43">
            <v>23</v>
          </cell>
          <cell r="AX43">
            <v>1</v>
          </cell>
          <cell r="AY43">
            <v>0</v>
          </cell>
          <cell r="AZ43">
            <v>0</v>
          </cell>
          <cell r="BA43">
            <v>0</v>
          </cell>
          <cell r="BB43">
            <v>0</v>
          </cell>
          <cell r="BC43">
            <v>38828</v>
          </cell>
        </row>
        <row r="44">
          <cell r="A44">
            <v>2006</v>
          </cell>
          <cell r="B44">
            <v>1</v>
          </cell>
          <cell r="C44">
            <v>98</v>
          </cell>
          <cell r="D44">
            <v>20</v>
          </cell>
          <cell r="E44">
            <v>792030</v>
          </cell>
          <cell r="F44">
            <v>0</v>
          </cell>
          <cell r="G44" t="str">
            <v>Затраты по ШПЗ (неосновные)</v>
          </cell>
          <cell r="H44">
            <v>2030</v>
          </cell>
          <cell r="I44">
            <v>7920</v>
          </cell>
          <cell r="J44">
            <v>367.8</v>
          </cell>
          <cell r="K44">
            <v>1</v>
          </cell>
          <cell r="L44">
            <v>0</v>
          </cell>
          <cell r="M44">
            <v>0</v>
          </cell>
          <cell r="N44">
            <v>0</v>
          </cell>
          <cell r="R44">
            <v>0</v>
          </cell>
          <cell r="S44">
            <v>0</v>
          </cell>
          <cell r="T44">
            <v>0</v>
          </cell>
          <cell r="U44">
            <v>32</v>
          </cell>
          <cell r="V44">
            <v>0</v>
          </cell>
          <cell r="W44">
            <v>0</v>
          </cell>
          <cell r="AA44">
            <v>0</v>
          </cell>
          <cell r="AB44">
            <v>0</v>
          </cell>
          <cell r="AC44">
            <v>0</v>
          </cell>
          <cell r="AD44">
            <v>32</v>
          </cell>
          <cell r="AE44">
            <v>503000</v>
          </cell>
          <cell r="AF44">
            <v>0</v>
          </cell>
          <cell r="AI44">
            <v>2223</v>
          </cell>
          <cell r="AK44">
            <v>0</v>
          </cell>
          <cell r="AM44">
            <v>225</v>
          </cell>
          <cell r="AN44">
            <v>1</v>
          </cell>
          <cell r="AO44">
            <v>393216</v>
          </cell>
          <cell r="AQ44">
            <v>0</v>
          </cell>
          <cell r="AR44">
            <v>0</v>
          </cell>
          <cell r="AS44" t="str">
            <v>Ы</v>
          </cell>
          <cell r="AT44" t="str">
            <v>Ы</v>
          </cell>
          <cell r="AU44">
            <v>0</v>
          </cell>
          <cell r="AV44">
            <v>0</v>
          </cell>
          <cell r="AW44">
            <v>23</v>
          </cell>
          <cell r="AX44">
            <v>1</v>
          </cell>
          <cell r="AY44">
            <v>0</v>
          </cell>
          <cell r="AZ44">
            <v>0</v>
          </cell>
          <cell r="BA44">
            <v>0</v>
          </cell>
          <cell r="BB44">
            <v>0</v>
          </cell>
          <cell r="BC44">
            <v>38828</v>
          </cell>
        </row>
        <row r="45">
          <cell r="A45">
            <v>2006</v>
          </cell>
          <cell r="B45">
            <v>1</v>
          </cell>
          <cell r="C45">
            <v>99</v>
          </cell>
          <cell r="D45">
            <v>20</v>
          </cell>
          <cell r="E45">
            <v>792030</v>
          </cell>
          <cell r="F45">
            <v>0</v>
          </cell>
          <cell r="G45" t="str">
            <v>Затраты по ШПЗ (неосновные)</v>
          </cell>
          <cell r="H45">
            <v>2030</v>
          </cell>
          <cell r="I45">
            <v>7920</v>
          </cell>
          <cell r="J45">
            <v>0.27</v>
          </cell>
          <cell r="K45">
            <v>1</v>
          </cell>
          <cell r="L45">
            <v>0</v>
          </cell>
          <cell r="M45">
            <v>0</v>
          </cell>
          <cell r="N45">
            <v>0</v>
          </cell>
          <cell r="R45">
            <v>0</v>
          </cell>
          <cell r="S45">
            <v>0</v>
          </cell>
          <cell r="T45">
            <v>0</v>
          </cell>
          <cell r="U45">
            <v>32</v>
          </cell>
          <cell r="V45">
            <v>0</v>
          </cell>
          <cell r="W45">
            <v>0</v>
          </cell>
          <cell r="AA45">
            <v>0</v>
          </cell>
          <cell r="AB45">
            <v>0</v>
          </cell>
          <cell r="AC45">
            <v>0</v>
          </cell>
          <cell r="AD45">
            <v>32</v>
          </cell>
          <cell r="AE45">
            <v>504100</v>
          </cell>
          <cell r="AF45">
            <v>0</v>
          </cell>
          <cell r="AI45">
            <v>2223</v>
          </cell>
          <cell r="AK45">
            <v>0</v>
          </cell>
          <cell r="AM45">
            <v>226</v>
          </cell>
          <cell r="AN45">
            <v>1</v>
          </cell>
          <cell r="AO45">
            <v>393216</v>
          </cell>
          <cell r="AQ45">
            <v>0</v>
          </cell>
          <cell r="AR45">
            <v>0</v>
          </cell>
          <cell r="AS45" t="str">
            <v>Ы</v>
          </cell>
          <cell r="AT45" t="str">
            <v>Ы</v>
          </cell>
          <cell r="AU45">
            <v>0</v>
          </cell>
          <cell r="AV45">
            <v>0</v>
          </cell>
          <cell r="AW45">
            <v>23</v>
          </cell>
          <cell r="AX45">
            <v>1</v>
          </cell>
          <cell r="AY45">
            <v>0</v>
          </cell>
          <cell r="AZ45">
            <v>0</v>
          </cell>
          <cell r="BA45">
            <v>0</v>
          </cell>
          <cell r="BB45">
            <v>0</v>
          </cell>
          <cell r="BC45">
            <v>38828</v>
          </cell>
        </row>
        <row r="46">
          <cell r="A46">
            <v>2006</v>
          </cell>
          <cell r="B46">
            <v>1</v>
          </cell>
          <cell r="C46">
            <v>100</v>
          </cell>
          <cell r="D46">
            <v>20</v>
          </cell>
          <cell r="E46">
            <v>792030</v>
          </cell>
          <cell r="F46">
            <v>0</v>
          </cell>
          <cell r="G46" t="str">
            <v>Затраты по ШПЗ (неосновные)</v>
          </cell>
          <cell r="H46">
            <v>2030</v>
          </cell>
          <cell r="I46">
            <v>7920</v>
          </cell>
          <cell r="J46">
            <v>1.67</v>
          </cell>
          <cell r="K46">
            <v>1</v>
          </cell>
          <cell r="L46">
            <v>0</v>
          </cell>
          <cell r="M46">
            <v>0</v>
          </cell>
          <cell r="N46">
            <v>0</v>
          </cell>
          <cell r="R46">
            <v>0</v>
          </cell>
          <cell r="S46">
            <v>0</v>
          </cell>
          <cell r="T46">
            <v>0</v>
          </cell>
          <cell r="U46">
            <v>32</v>
          </cell>
          <cell r="V46">
            <v>0</v>
          </cell>
          <cell r="W46">
            <v>0</v>
          </cell>
          <cell r="AA46">
            <v>0</v>
          </cell>
          <cell r="AB46">
            <v>0</v>
          </cell>
          <cell r="AC46">
            <v>0</v>
          </cell>
          <cell r="AD46">
            <v>32</v>
          </cell>
          <cell r="AE46">
            <v>504200</v>
          </cell>
          <cell r="AF46">
            <v>0</v>
          </cell>
          <cell r="AI46">
            <v>2223</v>
          </cell>
          <cell r="AK46">
            <v>0</v>
          </cell>
          <cell r="AM46">
            <v>227</v>
          </cell>
          <cell r="AN46">
            <v>1</v>
          </cell>
          <cell r="AO46">
            <v>393216</v>
          </cell>
          <cell r="AQ46">
            <v>0</v>
          </cell>
          <cell r="AR46">
            <v>0</v>
          </cell>
          <cell r="AS46" t="str">
            <v>Ы</v>
          </cell>
          <cell r="AT46" t="str">
            <v>Ы</v>
          </cell>
          <cell r="AU46">
            <v>0</v>
          </cell>
          <cell r="AV46">
            <v>0</v>
          </cell>
          <cell r="AW46">
            <v>23</v>
          </cell>
          <cell r="AX46">
            <v>1</v>
          </cell>
          <cell r="AY46">
            <v>0</v>
          </cell>
          <cell r="AZ46">
            <v>0</v>
          </cell>
          <cell r="BA46">
            <v>0</v>
          </cell>
          <cell r="BB46">
            <v>0</v>
          </cell>
          <cell r="BC46">
            <v>38828</v>
          </cell>
        </row>
        <row r="47">
          <cell r="A47">
            <v>2006</v>
          </cell>
          <cell r="B47">
            <v>1</v>
          </cell>
          <cell r="C47">
            <v>101</v>
          </cell>
          <cell r="D47">
            <v>20</v>
          </cell>
          <cell r="E47">
            <v>792030</v>
          </cell>
          <cell r="F47">
            <v>0</v>
          </cell>
          <cell r="G47" t="str">
            <v>Затраты по ШПЗ (неосновные)</v>
          </cell>
          <cell r="H47">
            <v>2030</v>
          </cell>
          <cell r="I47">
            <v>7920</v>
          </cell>
          <cell r="J47">
            <v>0.52</v>
          </cell>
          <cell r="K47">
            <v>1</v>
          </cell>
          <cell r="L47">
            <v>0</v>
          </cell>
          <cell r="M47">
            <v>0</v>
          </cell>
          <cell r="N47">
            <v>0</v>
          </cell>
          <cell r="R47">
            <v>0</v>
          </cell>
          <cell r="S47">
            <v>0</v>
          </cell>
          <cell r="T47">
            <v>0</v>
          </cell>
          <cell r="U47">
            <v>32</v>
          </cell>
          <cell r="V47">
            <v>0</v>
          </cell>
          <cell r="W47">
            <v>0</v>
          </cell>
          <cell r="AA47">
            <v>0</v>
          </cell>
          <cell r="AB47">
            <v>0</v>
          </cell>
          <cell r="AC47">
            <v>0</v>
          </cell>
          <cell r="AD47">
            <v>32</v>
          </cell>
          <cell r="AE47">
            <v>504900</v>
          </cell>
          <cell r="AF47">
            <v>0</v>
          </cell>
          <cell r="AI47">
            <v>2223</v>
          </cell>
          <cell r="AK47">
            <v>0</v>
          </cell>
          <cell r="AM47">
            <v>228</v>
          </cell>
          <cell r="AN47">
            <v>1</v>
          </cell>
          <cell r="AO47">
            <v>393216</v>
          </cell>
          <cell r="AQ47">
            <v>0</v>
          </cell>
          <cell r="AR47">
            <v>0</v>
          </cell>
          <cell r="AS47" t="str">
            <v>Ы</v>
          </cell>
          <cell r="AT47" t="str">
            <v>Ы</v>
          </cell>
          <cell r="AU47">
            <v>0</v>
          </cell>
          <cell r="AV47">
            <v>0</v>
          </cell>
          <cell r="AW47">
            <v>23</v>
          </cell>
          <cell r="AX47">
            <v>1</v>
          </cell>
          <cell r="AY47">
            <v>0</v>
          </cell>
          <cell r="AZ47">
            <v>0</v>
          </cell>
          <cell r="BA47">
            <v>0</v>
          </cell>
          <cell r="BB47">
            <v>0</v>
          </cell>
          <cell r="BC47">
            <v>38828</v>
          </cell>
        </row>
        <row r="48">
          <cell r="A48">
            <v>2006</v>
          </cell>
          <cell r="B48">
            <v>1</v>
          </cell>
          <cell r="C48">
            <v>102</v>
          </cell>
          <cell r="D48">
            <v>20</v>
          </cell>
          <cell r="E48">
            <v>792030</v>
          </cell>
          <cell r="F48">
            <v>0</v>
          </cell>
          <cell r="G48" t="str">
            <v>Затраты по ШПЗ (неосновные)</v>
          </cell>
          <cell r="H48">
            <v>2030</v>
          </cell>
          <cell r="I48">
            <v>7920</v>
          </cell>
          <cell r="J48">
            <v>10.51</v>
          </cell>
          <cell r="K48">
            <v>1</v>
          </cell>
          <cell r="L48">
            <v>0</v>
          </cell>
          <cell r="M48">
            <v>0</v>
          </cell>
          <cell r="N48">
            <v>0</v>
          </cell>
          <cell r="R48">
            <v>0</v>
          </cell>
          <cell r="S48">
            <v>0</v>
          </cell>
          <cell r="T48">
            <v>0</v>
          </cell>
          <cell r="U48">
            <v>32</v>
          </cell>
          <cell r="V48">
            <v>0</v>
          </cell>
          <cell r="W48">
            <v>0</v>
          </cell>
          <cell r="AA48">
            <v>0</v>
          </cell>
          <cell r="AB48">
            <v>0</v>
          </cell>
          <cell r="AC48">
            <v>0</v>
          </cell>
          <cell r="AD48">
            <v>32</v>
          </cell>
          <cell r="AE48">
            <v>505100</v>
          </cell>
          <cell r="AF48">
            <v>0</v>
          </cell>
          <cell r="AI48">
            <v>2223</v>
          </cell>
          <cell r="AK48">
            <v>0</v>
          </cell>
          <cell r="AM48">
            <v>229</v>
          </cell>
          <cell r="AN48">
            <v>1</v>
          </cell>
          <cell r="AO48">
            <v>393216</v>
          </cell>
          <cell r="AQ48">
            <v>0</v>
          </cell>
          <cell r="AR48">
            <v>0</v>
          </cell>
          <cell r="AS48" t="str">
            <v>Ы</v>
          </cell>
          <cell r="AT48" t="str">
            <v>Ы</v>
          </cell>
          <cell r="AU48">
            <v>0</v>
          </cell>
          <cell r="AV48">
            <v>0</v>
          </cell>
          <cell r="AW48">
            <v>23</v>
          </cell>
          <cell r="AX48">
            <v>1</v>
          </cell>
          <cell r="AY48">
            <v>0</v>
          </cell>
          <cell r="AZ48">
            <v>0</v>
          </cell>
          <cell r="BA48">
            <v>0</v>
          </cell>
          <cell r="BB48">
            <v>0</v>
          </cell>
          <cell r="BC48">
            <v>38828</v>
          </cell>
        </row>
        <row r="49">
          <cell r="A49">
            <v>2006</v>
          </cell>
          <cell r="B49">
            <v>1</v>
          </cell>
          <cell r="C49">
            <v>103</v>
          </cell>
          <cell r="D49">
            <v>20</v>
          </cell>
          <cell r="E49">
            <v>792030</v>
          </cell>
          <cell r="F49">
            <v>0</v>
          </cell>
          <cell r="G49" t="str">
            <v>Затраты по ШПЗ (неосновные)</v>
          </cell>
          <cell r="H49">
            <v>2030</v>
          </cell>
          <cell r="I49">
            <v>7920</v>
          </cell>
          <cell r="J49">
            <v>33.79</v>
          </cell>
          <cell r="K49">
            <v>1</v>
          </cell>
          <cell r="L49">
            <v>0</v>
          </cell>
          <cell r="M49">
            <v>0</v>
          </cell>
          <cell r="N49">
            <v>0</v>
          </cell>
          <cell r="R49">
            <v>0</v>
          </cell>
          <cell r="S49">
            <v>0</v>
          </cell>
          <cell r="T49">
            <v>0</v>
          </cell>
          <cell r="U49">
            <v>32</v>
          </cell>
          <cell r="V49">
            <v>0</v>
          </cell>
          <cell r="W49">
            <v>0</v>
          </cell>
          <cell r="AA49">
            <v>0</v>
          </cell>
          <cell r="AB49">
            <v>0</v>
          </cell>
          <cell r="AC49">
            <v>0</v>
          </cell>
          <cell r="AD49">
            <v>32</v>
          </cell>
          <cell r="AE49">
            <v>505200</v>
          </cell>
          <cell r="AF49">
            <v>0</v>
          </cell>
          <cell r="AI49">
            <v>2223</v>
          </cell>
          <cell r="AK49">
            <v>0</v>
          </cell>
          <cell r="AM49">
            <v>230</v>
          </cell>
          <cell r="AN49">
            <v>1</v>
          </cell>
          <cell r="AO49">
            <v>393216</v>
          </cell>
          <cell r="AQ49">
            <v>0</v>
          </cell>
          <cell r="AR49">
            <v>0</v>
          </cell>
          <cell r="AS49" t="str">
            <v>Ы</v>
          </cell>
          <cell r="AT49" t="str">
            <v>Ы</v>
          </cell>
          <cell r="AU49">
            <v>0</v>
          </cell>
          <cell r="AV49">
            <v>0</v>
          </cell>
          <cell r="AW49">
            <v>23</v>
          </cell>
          <cell r="AX49">
            <v>1</v>
          </cell>
          <cell r="AY49">
            <v>0</v>
          </cell>
          <cell r="AZ49">
            <v>0</v>
          </cell>
          <cell r="BA49">
            <v>0</v>
          </cell>
          <cell r="BB49">
            <v>0</v>
          </cell>
          <cell r="BC49">
            <v>38828</v>
          </cell>
        </row>
        <row r="50">
          <cell r="A50">
            <v>2006</v>
          </cell>
          <cell r="B50">
            <v>1</v>
          </cell>
          <cell r="C50">
            <v>104</v>
          </cell>
          <cell r="D50">
            <v>20</v>
          </cell>
          <cell r="E50">
            <v>792030</v>
          </cell>
          <cell r="F50">
            <v>0</v>
          </cell>
          <cell r="G50" t="str">
            <v>Затраты по ШПЗ (неосновные)</v>
          </cell>
          <cell r="H50">
            <v>2030</v>
          </cell>
          <cell r="I50">
            <v>7920</v>
          </cell>
          <cell r="J50">
            <v>1.49</v>
          </cell>
          <cell r="K50">
            <v>1</v>
          </cell>
          <cell r="L50">
            <v>0</v>
          </cell>
          <cell r="M50">
            <v>0</v>
          </cell>
          <cell r="N50">
            <v>0</v>
          </cell>
          <cell r="R50">
            <v>0</v>
          </cell>
          <cell r="S50">
            <v>0</v>
          </cell>
          <cell r="T50">
            <v>0</v>
          </cell>
          <cell r="U50">
            <v>32</v>
          </cell>
          <cell r="V50">
            <v>0</v>
          </cell>
          <cell r="W50">
            <v>0</v>
          </cell>
          <cell r="AA50">
            <v>0</v>
          </cell>
          <cell r="AB50">
            <v>0</v>
          </cell>
          <cell r="AC50">
            <v>0</v>
          </cell>
          <cell r="AD50">
            <v>32</v>
          </cell>
          <cell r="AE50">
            <v>505300</v>
          </cell>
          <cell r="AF50">
            <v>0</v>
          </cell>
          <cell r="AI50">
            <v>2223</v>
          </cell>
          <cell r="AK50">
            <v>0</v>
          </cell>
          <cell r="AM50">
            <v>231</v>
          </cell>
          <cell r="AN50">
            <v>1</v>
          </cell>
          <cell r="AO50">
            <v>393216</v>
          </cell>
          <cell r="AQ50">
            <v>0</v>
          </cell>
          <cell r="AR50">
            <v>0</v>
          </cell>
          <cell r="AS50" t="str">
            <v>Ы</v>
          </cell>
          <cell r="AT50" t="str">
            <v>Ы</v>
          </cell>
          <cell r="AU50">
            <v>0</v>
          </cell>
          <cell r="AV50">
            <v>0</v>
          </cell>
          <cell r="AW50">
            <v>23</v>
          </cell>
          <cell r="AX50">
            <v>1</v>
          </cell>
          <cell r="AY50">
            <v>0</v>
          </cell>
          <cell r="AZ50">
            <v>0</v>
          </cell>
          <cell r="BA50">
            <v>0</v>
          </cell>
          <cell r="BB50">
            <v>0</v>
          </cell>
          <cell r="BC50">
            <v>38828</v>
          </cell>
        </row>
        <row r="51">
          <cell r="A51">
            <v>2006</v>
          </cell>
          <cell r="B51">
            <v>1</v>
          </cell>
          <cell r="C51">
            <v>105</v>
          </cell>
          <cell r="D51">
            <v>20</v>
          </cell>
          <cell r="E51">
            <v>792030</v>
          </cell>
          <cell r="F51">
            <v>0</v>
          </cell>
          <cell r="G51" t="str">
            <v>Затраты по ШПЗ (неосновные)</v>
          </cell>
          <cell r="H51">
            <v>2030</v>
          </cell>
          <cell r="I51">
            <v>7920</v>
          </cell>
          <cell r="J51">
            <v>0.02</v>
          </cell>
          <cell r="K51">
            <v>1</v>
          </cell>
          <cell r="L51">
            <v>0</v>
          </cell>
          <cell r="M51">
            <v>0</v>
          </cell>
          <cell r="N51">
            <v>0</v>
          </cell>
          <cell r="R51">
            <v>0</v>
          </cell>
          <cell r="S51">
            <v>0</v>
          </cell>
          <cell r="T51">
            <v>0</v>
          </cell>
          <cell r="U51">
            <v>32</v>
          </cell>
          <cell r="V51">
            <v>0</v>
          </cell>
          <cell r="W51">
            <v>0</v>
          </cell>
          <cell r="AA51">
            <v>0</v>
          </cell>
          <cell r="AB51">
            <v>0</v>
          </cell>
          <cell r="AC51">
            <v>0</v>
          </cell>
          <cell r="AD51">
            <v>32</v>
          </cell>
          <cell r="AE51">
            <v>507000</v>
          </cell>
          <cell r="AF51">
            <v>0</v>
          </cell>
          <cell r="AI51">
            <v>2223</v>
          </cell>
          <cell r="AK51">
            <v>0</v>
          </cell>
          <cell r="AM51">
            <v>232</v>
          </cell>
          <cell r="AN51">
            <v>1</v>
          </cell>
          <cell r="AO51">
            <v>393216</v>
          </cell>
          <cell r="AQ51">
            <v>0</v>
          </cell>
          <cell r="AR51">
            <v>0</v>
          </cell>
          <cell r="AS51" t="str">
            <v>Ы</v>
          </cell>
          <cell r="AT51" t="str">
            <v>Ы</v>
          </cell>
          <cell r="AU51">
            <v>0</v>
          </cell>
          <cell r="AV51">
            <v>0</v>
          </cell>
          <cell r="AW51">
            <v>23</v>
          </cell>
          <cell r="AX51">
            <v>1</v>
          </cell>
          <cell r="AY51">
            <v>0</v>
          </cell>
          <cell r="AZ51">
            <v>0</v>
          </cell>
          <cell r="BA51">
            <v>0</v>
          </cell>
          <cell r="BB51">
            <v>0</v>
          </cell>
          <cell r="BC51">
            <v>38828</v>
          </cell>
        </row>
        <row r="52">
          <cell r="A52">
            <v>2006</v>
          </cell>
          <cell r="B52">
            <v>1</v>
          </cell>
          <cell r="C52">
            <v>106</v>
          </cell>
          <cell r="D52">
            <v>20</v>
          </cell>
          <cell r="E52">
            <v>792030</v>
          </cell>
          <cell r="F52">
            <v>0</v>
          </cell>
          <cell r="G52" t="str">
            <v>Затраты по ШПЗ (неосновные)</v>
          </cell>
          <cell r="H52">
            <v>2030</v>
          </cell>
          <cell r="I52">
            <v>7920</v>
          </cell>
          <cell r="J52">
            <v>10.88</v>
          </cell>
          <cell r="K52">
            <v>1</v>
          </cell>
          <cell r="L52">
            <v>0</v>
          </cell>
          <cell r="M52">
            <v>0</v>
          </cell>
          <cell r="N52">
            <v>0</v>
          </cell>
          <cell r="R52">
            <v>0</v>
          </cell>
          <cell r="S52">
            <v>0</v>
          </cell>
          <cell r="T52">
            <v>0</v>
          </cell>
          <cell r="U52">
            <v>32</v>
          </cell>
          <cell r="V52">
            <v>0</v>
          </cell>
          <cell r="W52">
            <v>0</v>
          </cell>
          <cell r="AA52">
            <v>0</v>
          </cell>
          <cell r="AB52">
            <v>0</v>
          </cell>
          <cell r="AC52">
            <v>0</v>
          </cell>
          <cell r="AD52">
            <v>32</v>
          </cell>
          <cell r="AE52">
            <v>508310</v>
          </cell>
          <cell r="AF52">
            <v>0</v>
          </cell>
          <cell r="AI52">
            <v>2223</v>
          </cell>
          <cell r="AK52">
            <v>0</v>
          </cell>
          <cell r="AM52">
            <v>233</v>
          </cell>
          <cell r="AN52">
            <v>1</v>
          </cell>
          <cell r="AO52">
            <v>393216</v>
          </cell>
          <cell r="AQ52">
            <v>0</v>
          </cell>
          <cell r="AR52">
            <v>0</v>
          </cell>
          <cell r="AS52" t="str">
            <v>Ы</v>
          </cell>
          <cell r="AT52" t="str">
            <v>Ы</v>
          </cell>
          <cell r="AU52">
            <v>0</v>
          </cell>
          <cell r="AV52">
            <v>0</v>
          </cell>
          <cell r="AW52">
            <v>23</v>
          </cell>
          <cell r="AX52">
            <v>1</v>
          </cell>
          <cell r="AY52">
            <v>0</v>
          </cell>
          <cell r="AZ52">
            <v>0</v>
          </cell>
          <cell r="BA52">
            <v>0</v>
          </cell>
          <cell r="BB52">
            <v>0</v>
          </cell>
          <cell r="BC52">
            <v>38828</v>
          </cell>
        </row>
        <row r="53">
          <cell r="A53">
            <v>2006</v>
          </cell>
          <cell r="B53">
            <v>1</v>
          </cell>
          <cell r="C53">
            <v>107</v>
          </cell>
          <cell r="D53">
            <v>20</v>
          </cell>
          <cell r="E53">
            <v>792030</v>
          </cell>
          <cell r="F53">
            <v>0</v>
          </cell>
          <cell r="G53" t="str">
            <v>Затраты по ШПЗ (неосновные)</v>
          </cell>
          <cell r="H53">
            <v>2030</v>
          </cell>
          <cell r="I53">
            <v>7920</v>
          </cell>
          <cell r="J53">
            <v>180.07</v>
          </cell>
          <cell r="K53">
            <v>1</v>
          </cell>
          <cell r="L53">
            <v>0</v>
          </cell>
          <cell r="M53">
            <v>0</v>
          </cell>
          <cell r="N53">
            <v>0</v>
          </cell>
          <cell r="R53">
            <v>0</v>
          </cell>
          <cell r="S53">
            <v>0</v>
          </cell>
          <cell r="T53">
            <v>0</v>
          </cell>
          <cell r="U53">
            <v>32</v>
          </cell>
          <cell r="V53">
            <v>0</v>
          </cell>
          <cell r="W53">
            <v>0</v>
          </cell>
          <cell r="AA53">
            <v>0</v>
          </cell>
          <cell r="AB53">
            <v>0</v>
          </cell>
          <cell r="AC53">
            <v>0</v>
          </cell>
          <cell r="AD53">
            <v>32</v>
          </cell>
          <cell r="AE53">
            <v>510100</v>
          </cell>
          <cell r="AF53">
            <v>0</v>
          </cell>
          <cell r="AI53">
            <v>2223</v>
          </cell>
          <cell r="AK53">
            <v>0</v>
          </cell>
          <cell r="AM53">
            <v>234</v>
          </cell>
          <cell r="AN53">
            <v>1</v>
          </cell>
          <cell r="AO53">
            <v>393216</v>
          </cell>
          <cell r="AQ53">
            <v>0</v>
          </cell>
          <cell r="AR53">
            <v>0</v>
          </cell>
          <cell r="AS53" t="str">
            <v>Ы</v>
          </cell>
          <cell r="AT53" t="str">
            <v>Ы</v>
          </cell>
          <cell r="AU53">
            <v>0</v>
          </cell>
          <cell r="AV53">
            <v>0</v>
          </cell>
          <cell r="AW53">
            <v>23</v>
          </cell>
          <cell r="AX53">
            <v>1</v>
          </cell>
          <cell r="AY53">
            <v>0</v>
          </cell>
          <cell r="AZ53">
            <v>0</v>
          </cell>
          <cell r="BA53">
            <v>0</v>
          </cell>
          <cell r="BB53">
            <v>0</v>
          </cell>
          <cell r="BC53">
            <v>38828</v>
          </cell>
        </row>
        <row r="54">
          <cell r="A54">
            <v>2006</v>
          </cell>
          <cell r="B54">
            <v>1</v>
          </cell>
          <cell r="C54">
            <v>108</v>
          </cell>
          <cell r="D54">
            <v>20</v>
          </cell>
          <cell r="E54">
            <v>792030</v>
          </cell>
          <cell r="F54">
            <v>0</v>
          </cell>
          <cell r="G54" t="str">
            <v>Затраты по ШПЗ (неосновные)</v>
          </cell>
          <cell r="H54">
            <v>2030</v>
          </cell>
          <cell r="I54">
            <v>7920</v>
          </cell>
          <cell r="J54">
            <v>1.28</v>
          </cell>
          <cell r="K54">
            <v>1</v>
          </cell>
          <cell r="L54">
            <v>0</v>
          </cell>
          <cell r="M54">
            <v>0</v>
          </cell>
          <cell r="N54">
            <v>0</v>
          </cell>
          <cell r="R54">
            <v>0</v>
          </cell>
          <cell r="S54">
            <v>0</v>
          </cell>
          <cell r="T54">
            <v>0</v>
          </cell>
          <cell r="U54">
            <v>32</v>
          </cell>
          <cell r="V54">
            <v>0</v>
          </cell>
          <cell r="W54">
            <v>0</v>
          </cell>
          <cell r="AA54">
            <v>0</v>
          </cell>
          <cell r="AB54">
            <v>0</v>
          </cell>
          <cell r="AC54">
            <v>0</v>
          </cell>
          <cell r="AD54">
            <v>32</v>
          </cell>
          <cell r="AE54">
            <v>510400</v>
          </cell>
          <cell r="AF54">
            <v>0</v>
          </cell>
          <cell r="AI54">
            <v>2223</v>
          </cell>
          <cell r="AK54">
            <v>0</v>
          </cell>
          <cell r="AM54">
            <v>235</v>
          </cell>
          <cell r="AN54">
            <v>1</v>
          </cell>
          <cell r="AO54">
            <v>393216</v>
          </cell>
          <cell r="AQ54">
            <v>0</v>
          </cell>
          <cell r="AR54">
            <v>0</v>
          </cell>
          <cell r="AS54" t="str">
            <v>Ы</v>
          </cell>
          <cell r="AT54" t="str">
            <v>Ы</v>
          </cell>
          <cell r="AU54">
            <v>0</v>
          </cell>
          <cell r="AV54">
            <v>0</v>
          </cell>
          <cell r="AW54">
            <v>23</v>
          </cell>
          <cell r="AX54">
            <v>1</v>
          </cell>
          <cell r="AY54">
            <v>0</v>
          </cell>
          <cell r="AZ54">
            <v>0</v>
          </cell>
          <cell r="BA54">
            <v>0</v>
          </cell>
          <cell r="BB54">
            <v>0</v>
          </cell>
          <cell r="BC54">
            <v>38828</v>
          </cell>
        </row>
        <row r="55">
          <cell r="A55">
            <v>2006</v>
          </cell>
          <cell r="B55">
            <v>1</v>
          </cell>
          <cell r="C55">
            <v>109</v>
          </cell>
          <cell r="D55">
            <v>20</v>
          </cell>
          <cell r="E55">
            <v>792030</v>
          </cell>
          <cell r="F55">
            <v>0</v>
          </cell>
          <cell r="G55" t="str">
            <v>Затраты по ШПЗ (неосновные)</v>
          </cell>
          <cell r="H55">
            <v>2030</v>
          </cell>
          <cell r="I55">
            <v>7920</v>
          </cell>
          <cell r="J55">
            <v>0.47</v>
          </cell>
          <cell r="K55">
            <v>1</v>
          </cell>
          <cell r="L55">
            <v>0</v>
          </cell>
          <cell r="M55">
            <v>0</v>
          </cell>
          <cell r="N55">
            <v>0</v>
          </cell>
          <cell r="R55">
            <v>0</v>
          </cell>
          <cell r="S55">
            <v>0</v>
          </cell>
          <cell r="T55">
            <v>0</v>
          </cell>
          <cell r="U55">
            <v>32</v>
          </cell>
          <cell r="V55">
            <v>0</v>
          </cell>
          <cell r="W55">
            <v>0</v>
          </cell>
          <cell r="AA55">
            <v>0</v>
          </cell>
          <cell r="AB55">
            <v>0</v>
          </cell>
          <cell r="AC55">
            <v>0</v>
          </cell>
          <cell r="AD55">
            <v>32</v>
          </cell>
          <cell r="AE55">
            <v>510500</v>
          </cell>
          <cell r="AF55">
            <v>0</v>
          </cell>
          <cell r="AI55">
            <v>2223</v>
          </cell>
          <cell r="AK55">
            <v>0</v>
          </cell>
          <cell r="AM55">
            <v>236</v>
          </cell>
          <cell r="AN55">
            <v>1</v>
          </cell>
          <cell r="AO55">
            <v>393216</v>
          </cell>
          <cell r="AQ55">
            <v>0</v>
          </cell>
          <cell r="AR55">
            <v>0</v>
          </cell>
          <cell r="AS55" t="str">
            <v>Ы</v>
          </cell>
          <cell r="AT55" t="str">
            <v>Ы</v>
          </cell>
          <cell r="AU55">
            <v>0</v>
          </cell>
          <cell r="AV55">
            <v>0</v>
          </cell>
          <cell r="AW55">
            <v>23</v>
          </cell>
          <cell r="AX55">
            <v>1</v>
          </cell>
          <cell r="AY55">
            <v>0</v>
          </cell>
          <cell r="AZ55">
            <v>0</v>
          </cell>
          <cell r="BA55">
            <v>0</v>
          </cell>
          <cell r="BB55">
            <v>0</v>
          </cell>
          <cell r="BC55">
            <v>38828</v>
          </cell>
        </row>
        <row r="56">
          <cell r="A56">
            <v>2006</v>
          </cell>
          <cell r="B56">
            <v>1</v>
          </cell>
          <cell r="C56">
            <v>110</v>
          </cell>
          <cell r="D56">
            <v>20</v>
          </cell>
          <cell r="E56">
            <v>792030</v>
          </cell>
          <cell r="F56">
            <v>0</v>
          </cell>
          <cell r="G56" t="str">
            <v>Затраты по ШПЗ (неосновные)</v>
          </cell>
          <cell r="H56">
            <v>2030</v>
          </cell>
          <cell r="I56">
            <v>7920</v>
          </cell>
          <cell r="J56">
            <v>98.72</v>
          </cell>
          <cell r="K56">
            <v>1</v>
          </cell>
          <cell r="L56">
            <v>0</v>
          </cell>
          <cell r="M56">
            <v>0</v>
          </cell>
          <cell r="N56">
            <v>0</v>
          </cell>
          <cell r="R56">
            <v>0</v>
          </cell>
          <cell r="S56">
            <v>0</v>
          </cell>
          <cell r="T56">
            <v>0</v>
          </cell>
          <cell r="U56">
            <v>32</v>
          </cell>
          <cell r="V56">
            <v>0</v>
          </cell>
          <cell r="W56">
            <v>0</v>
          </cell>
          <cell r="AA56">
            <v>0</v>
          </cell>
          <cell r="AB56">
            <v>0</v>
          </cell>
          <cell r="AC56">
            <v>0</v>
          </cell>
          <cell r="AD56">
            <v>32</v>
          </cell>
          <cell r="AE56">
            <v>510600</v>
          </cell>
          <cell r="AF56">
            <v>0</v>
          </cell>
          <cell r="AI56">
            <v>2223</v>
          </cell>
          <cell r="AK56">
            <v>0</v>
          </cell>
          <cell r="AM56">
            <v>237</v>
          </cell>
          <cell r="AN56">
            <v>1</v>
          </cell>
          <cell r="AO56">
            <v>393216</v>
          </cell>
          <cell r="AQ56">
            <v>0</v>
          </cell>
          <cell r="AR56">
            <v>0</v>
          </cell>
          <cell r="AS56" t="str">
            <v>Ы</v>
          </cell>
          <cell r="AT56" t="str">
            <v>Ы</v>
          </cell>
          <cell r="AU56">
            <v>0</v>
          </cell>
          <cell r="AV56">
            <v>0</v>
          </cell>
          <cell r="AW56">
            <v>23</v>
          </cell>
          <cell r="AX56">
            <v>1</v>
          </cell>
          <cell r="AY56">
            <v>0</v>
          </cell>
          <cell r="AZ56">
            <v>0</v>
          </cell>
          <cell r="BA56">
            <v>0</v>
          </cell>
          <cell r="BB56">
            <v>0</v>
          </cell>
          <cell r="BC56">
            <v>38828</v>
          </cell>
        </row>
        <row r="57">
          <cell r="A57">
            <v>2006</v>
          </cell>
          <cell r="B57">
            <v>1</v>
          </cell>
          <cell r="C57">
            <v>168</v>
          </cell>
          <cell r="D57">
            <v>20</v>
          </cell>
          <cell r="E57">
            <v>792030</v>
          </cell>
          <cell r="F57">
            <v>0</v>
          </cell>
          <cell r="G57" t="str">
            <v>Затраты по ШПЗ (неосновные)</v>
          </cell>
          <cell r="H57">
            <v>2030</v>
          </cell>
          <cell r="I57">
            <v>7920</v>
          </cell>
          <cell r="J57">
            <v>14.9</v>
          </cell>
          <cell r="K57">
            <v>1</v>
          </cell>
          <cell r="L57">
            <v>0</v>
          </cell>
          <cell r="M57">
            <v>0</v>
          </cell>
          <cell r="N57">
            <v>0</v>
          </cell>
          <cell r="R57">
            <v>0</v>
          </cell>
          <cell r="S57">
            <v>0</v>
          </cell>
          <cell r="T57">
            <v>0</v>
          </cell>
          <cell r="U57">
            <v>31</v>
          </cell>
          <cell r="V57">
            <v>0</v>
          </cell>
          <cell r="W57">
            <v>0</v>
          </cell>
          <cell r="AA57">
            <v>0</v>
          </cell>
          <cell r="AB57">
            <v>0</v>
          </cell>
          <cell r="AC57">
            <v>0</v>
          </cell>
          <cell r="AD57">
            <v>31</v>
          </cell>
          <cell r="AE57">
            <v>110000</v>
          </cell>
          <cell r="AF57">
            <v>0</v>
          </cell>
          <cell r="AI57">
            <v>2223</v>
          </cell>
          <cell r="AK57">
            <v>0</v>
          </cell>
          <cell r="AM57">
            <v>295</v>
          </cell>
          <cell r="AN57">
            <v>1</v>
          </cell>
          <cell r="AO57">
            <v>393216</v>
          </cell>
          <cell r="AQ57">
            <v>0</v>
          </cell>
          <cell r="AR57">
            <v>0</v>
          </cell>
          <cell r="AS57" t="str">
            <v>Ы</v>
          </cell>
          <cell r="AT57" t="str">
            <v>Ы</v>
          </cell>
          <cell r="AU57">
            <v>0</v>
          </cell>
          <cell r="AV57">
            <v>0</v>
          </cell>
          <cell r="AW57">
            <v>23</v>
          </cell>
          <cell r="AX57">
            <v>1</v>
          </cell>
          <cell r="AY57">
            <v>0</v>
          </cell>
          <cell r="AZ57">
            <v>0</v>
          </cell>
          <cell r="BA57">
            <v>0</v>
          </cell>
          <cell r="BB57">
            <v>0</v>
          </cell>
          <cell r="BC57">
            <v>38828</v>
          </cell>
        </row>
        <row r="58">
          <cell r="A58">
            <v>2006</v>
          </cell>
          <cell r="B58">
            <v>1</v>
          </cell>
          <cell r="C58">
            <v>169</v>
          </cell>
          <cell r="D58">
            <v>20</v>
          </cell>
          <cell r="E58">
            <v>792030</v>
          </cell>
          <cell r="F58">
            <v>0</v>
          </cell>
          <cell r="G58" t="str">
            <v>Затраты по ШПЗ (неосновные)</v>
          </cell>
          <cell r="H58">
            <v>2030</v>
          </cell>
          <cell r="I58">
            <v>7920</v>
          </cell>
          <cell r="J58">
            <v>8000</v>
          </cell>
          <cell r="K58">
            <v>1</v>
          </cell>
          <cell r="L58">
            <v>0</v>
          </cell>
          <cell r="M58">
            <v>0</v>
          </cell>
          <cell r="N58">
            <v>0</v>
          </cell>
          <cell r="R58">
            <v>0</v>
          </cell>
          <cell r="S58">
            <v>0</v>
          </cell>
          <cell r="T58">
            <v>0</v>
          </cell>
          <cell r="U58">
            <v>31</v>
          </cell>
          <cell r="V58">
            <v>0</v>
          </cell>
          <cell r="W58">
            <v>0</v>
          </cell>
          <cell r="AA58">
            <v>0</v>
          </cell>
          <cell r="AB58">
            <v>0</v>
          </cell>
          <cell r="AC58">
            <v>0</v>
          </cell>
          <cell r="AD58">
            <v>31</v>
          </cell>
          <cell r="AE58">
            <v>501102</v>
          </cell>
          <cell r="AF58">
            <v>0</v>
          </cell>
          <cell r="AI58">
            <v>2223</v>
          </cell>
          <cell r="AK58">
            <v>0</v>
          </cell>
          <cell r="AM58">
            <v>296</v>
          </cell>
          <cell r="AN58">
            <v>1</v>
          </cell>
          <cell r="AO58">
            <v>393216</v>
          </cell>
          <cell r="AQ58">
            <v>0</v>
          </cell>
          <cell r="AR58">
            <v>0</v>
          </cell>
          <cell r="AS58" t="str">
            <v>Ы</v>
          </cell>
          <cell r="AT58" t="str">
            <v>Ы</v>
          </cell>
          <cell r="AU58">
            <v>0</v>
          </cell>
          <cell r="AV58">
            <v>0</v>
          </cell>
          <cell r="AW58">
            <v>23</v>
          </cell>
          <cell r="AX58">
            <v>1</v>
          </cell>
          <cell r="AY58">
            <v>0</v>
          </cell>
          <cell r="AZ58">
            <v>0</v>
          </cell>
          <cell r="BA58">
            <v>0</v>
          </cell>
          <cell r="BB58">
            <v>0</v>
          </cell>
          <cell r="BC58">
            <v>38828</v>
          </cell>
        </row>
        <row r="59">
          <cell r="A59">
            <v>2006</v>
          </cell>
          <cell r="B59">
            <v>1</v>
          </cell>
          <cell r="C59">
            <v>235</v>
          </cell>
          <cell r="D59">
            <v>20</v>
          </cell>
          <cell r="E59">
            <v>792030</v>
          </cell>
          <cell r="F59">
            <v>0</v>
          </cell>
          <cell r="G59" t="str">
            <v>Затраты по ШПЗ (неосновные)</v>
          </cell>
          <cell r="H59">
            <v>2030</v>
          </cell>
          <cell r="I59">
            <v>7920</v>
          </cell>
          <cell r="J59">
            <v>11349</v>
          </cell>
          <cell r="K59">
            <v>1</v>
          </cell>
          <cell r="L59">
            <v>0</v>
          </cell>
          <cell r="M59">
            <v>0</v>
          </cell>
          <cell r="N59">
            <v>0</v>
          </cell>
          <cell r="R59">
            <v>0</v>
          </cell>
          <cell r="S59">
            <v>0</v>
          </cell>
          <cell r="T59">
            <v>0</v>
          </cell>
          <cell r="U59">
            <v>33</v>
          </cell>
          <cell r="V59">
            <v>0</v>
          </cell>
          <cell r="W59">
            <v>0</v>
          </cell>
          <cell r="AA59">
            <v>0</v>
          </cell>
          <cell r="AB59">
            <v>0</v>
          </cell>
          <cell r="AC59">
            <v>0</v>
          </cell>
          <cell r="AD59">
            <v>33</v>
          </cell>
          <cell r="AE59">
            <v>143000</v>
          </cell>
          <cell r="AF59">
            <v>0</v>
          </cell>
          <cell r="AI59">
            <v>2223</v>
          </cell>
          <cell r="AK59">
            <v>0</v>
          </cell>
          <cell r="AM59">
            <v>362</v>
          </cell>
          <cell r="AN59">
            <v>1</v>
          </cell>
          <cell r="AO59">
            <v>393216</v>
          </cell>
          <cell r="AQ59">
            <v>0</v>
          </cell>
          <cell r="AR59">
            <v>0</v>
          </cell>
          <cell r="AS59" t="str">
            <v>Ы</v>
          </cell>
          <cell r="AT59" t="str">
            <v>Ы</v>
          </cell>
          <cell r="AU59">
            <v>0</v>
          </cell>
          <cell r="AV59">
            <v>0</v>
          </cell>
          <cell r="AW59">
            <v>23</v>
          </cell>
          <cell r="AX59">
            <v>1</v>
          </cell>
          <cell r="AY59">
            <v>0</v>
          </cell>
          <cell r="AZ59">
            <v>0</v>
          </cell>
          <cell r="BA59">
            <v>0</v>
          </cell>
          <cell r="BB59">
            <v>0</v>
          </cell>
          <cell r="BC59">
            <v>38828</v>
          </cell>
        </row>
        <row r="60">
          <cell r="A60">
            <v>2006</v>
          </cell>
          <cell r="B60">
            <v>1</v>
          </cell>
          <cell r="C60">
            <v>236</v>
          </cell>
          <cell r="D60">
            <v>20</v>
          </cell>
          <cell r="E60">
            <v>792030</v>
          </cell>
          <cell r="F60">
            <v>0</v>
          </cell>
          <cell r="G60" t="str">
            <v>Затраты по ШПЗ (неосновные)</v>
          </cell>
          <cell r="H60">
            <v>2030</v>
          </cell>
          <cell r="I60">
            <v>7920</v>
          </cell>
          <cell r="J60">
            <v>314</v>
          </cell>
          <cell r="K60">
            <v>1</v>
          </cell>
          <cell r="L60">
            <v>0</v>
          </cell>
          <cell r="M60">
            <v>0</v>
          </cell>
          <cell r="N60">
            <v>0</v>
          </cell>
          <cell r="R60">
            <v>0</v>
          </cell>
          <cell r="S60">
            <v>0</v>
          </cell>
          <cell r="T60">
            <v>0</v>
          </cell>
          <cell r="U60">
            <v>33</v>
          </cell>
          <cell r="V60">
            <v>0</v>
          </cell>
          <cell r="W60">
            <v>0</v>
          </cell>
          <cell r="AA60">
            <v>0</v>
          </cell>
          <cell r="AB60">
            <v>0</v>
          </cell>
          <cell r="AC60">
            <v>0</v>
          </cell>
          <cell r="AD60">
            <v>33</v>
          </cell>
          <cell r="AE60">
            <v>503000</v>
          </cell>
          <cell r="AF60">
            <v>0</v>
          </cell>
          <cell r="AI60">
            <v>2223</v>
          </cell>
          <cell r="AK60">
            <v>0</v>
          </cell>
          <cell r="AM60">
            <v>363</v>
          </cell>
          <cell r="AN60">
            <v>1</v>
          </cell>
          <cell r="AO60">
            <v>393216</v>
          </cell>
          <cell r="AQ60">
            <v>0</v>
          </cell>
          <cell r="AR60">
            <v>0</v>
          </cell>
          <cell r="AS60" t="str">
            <v>Ы</v>
          </cell>
          <cell r="AT60" t="str">
            <v>Ы</v>
          </cell>
          <cell r="AU60">
            <v>0</v>
          </cell>
          <cell r="AV60">
            <v>0</v>
          </cell>
          <cell r="AW60">
            <v>23</v>
          </cell>
          <cell r="AX60">
            <v>1</v>
          </cell>
          <cell r="AY60">
            <v>0</v>
          </cell>
          <cell r="AZ60">
            <v>0</v>
          </cell>
          <cell r="BA60">
            <v>0</v>
          </cell>
          <cell r="BB60">
            <v>0</v>
          </cell>
          <cell r="BC60">
            <v>38828</v>
          </cell>
        </row>
        <row r="61">
          <cell r="A61">
            <v>2006</v>
          </cell>
          <cell r="B61">
            <v>1</v>
          </cell>
          <cell r="C61">
            <v>237</v>
          </cell>
          <cell r="D61">
            <v>20</v>
          </cell>
          <cell r="E61">
            <v>792030</v>
          </cell>
          <cell r="F61">
            <v>0</v>
          </cell>
          <cell r="G61" t="str">
            <v>Затраты по ШПЗ (неосновные)</v>
          </cell>
          <cell r="H61">
            <v>2030</v>
          </cell>
          <cell r="I61">
            <v>7920</v>
          </cell>
          <cell r="J61">
            <v>371</v>
          </cell>
          <cell r="K61">
            <v>1</v>
          </cell>
          <cell r="L61">
            <v>0</v>
          </cell>
          <cell r="M61">
            <v>0</v>
          </cell>
          <cell r="N61">
            <v>0</v>
          </cell>
          <cell r="R61">
            <v>0</v>
          </cell>
          <cell r="S61">
            <v>0</v>
          </cell>
          <cell r="T61">
            <v>0</v>
          </cell>
          <cell r="U61">
            <v>33</v>
          </cell>
          <cell r="V61">
            <v>0</v>
          </cell>
          <cell r="W61">
            <v>0</v>
          </cell>
          <cell r="AA61">
            <v>0</v>
          </cell>
          <cell r="AB61">
            <v>0</v>
          </cell>
          <cell r="AC61">
            <v>0</v>
          </cell>
          <cell r="AD61">
            <v>33</v>
          </cell>
          <cell r="AE61">
            <v>510100</v>
          </cell>
          <cell r="AF61">
            <v>0</v>
          </cell>
          <cell r="AI61">
            <v>2223</v>
          </cell>
          <cell r="AK61">
            <v>0</v>
          </cell>
          <cell r="AM61">
            <v>364</v>
          </cell>
          <cell r="AN61">
            <v>1</v>
          </cell>
          <cell r="AO61">
            <v>393216</v>
          </cell>
          <cell r="AQ61">
            <v>0</v>
          </cell>
          <cell r="AR61">
            <v>0</v>
          </cell>
          <cell r="AS61" t="str">
            <v>Ы</v>
          </cell>
          <cell r="AT61" t="str">
            <v>Ы</v>
          </cell>
          <cell r="AU61">
            <v>0</v>
          </cell>
          <cell r="AV61">
            <v>0</v>
          </cell>
          <cell r="AW61">
            <v>23</v>
          </cell>
          <cell r="AX61">
            <v>1</v>
          </cell>
          <cell r="AY61">
            <v>0</v>
          </cell>
          <cell r="AZ61">
            <v>0</v>
          </cell>
          <cell r="BA61">
            <v>0</v>
          </cell>
          <cell r="BB61">
            <v>0</v>
          </cell>
          <cell r="BC61">
            <v>38828</v>
          </cell>
        </row>
        <row r="62">
          <cell r="A62">
            <v>2006</v>
          </cell>
          <cell r="B62">
            <v>1</v>
          </cell>
          <cell r="C62">
            <v>293</v>
          </cell>
          <cell r="D62">
            <v>20</v>
          </cell>
          <cell r="E62">
            <v>792030</v>
          </cell>
          <cell r="F62">
            <v>0</v>
          </cell>
          <cell r="G62" t="str">
            <v>Затраты по ШПЗ (неосновные)</v>
          </cell>
          <cell r="H62">
            <v>2030</v>
          </cell>
          <cell r="I62">
            <v>7920</v>
          </cell>
          <cell r="J62">
            <v>1458.94</v>
          </cell>
          <cell r="K62">
            <v>1</v>
          </cell>
          <cell r="L62">
            <v>0</v>
          </cell>
          <cell r="M62">
            <v>0</v>
          </cell>
          <cell r="N62">
            <v>0</v>
          </cell>
          <cell r="R62">
            <v>0</v>
          </cell>
          <cell r="S62">
            <v>0</v>
          </cell>
          <cell r="T62">
            <v>0</v>
          </cell>
          <cell r="U62">
            <v>36</v>
          </cell>
          <cell r="V62">
            <v>0</v>
          </cell>
          <cell r="W62">
            <v>0</v>
          </cell>
          <cell r="AA62">
            <v>0</v>
          </cell>
          <cell r="AB62">
            <v>0</v>
          </cell>
          <cell r="AC62">
            <v>0</v>
          </cell>
          <cell r="AD62">
            <v>36</v>
          </cell>
          <cell r="AE62">
            <v>110000</v>
          </cell>
          <cell r="AF62">
            <v>0</v>
          </cell>
          <cell r="AI62">
            <v>2223</v>
          </cell>
          <cell r="AK62">
            <v>0</v>
          </cell>
          <cell r="AM62">
            <v>420</v>
          </cell>
          <cell r="AN62">
            <v>1</v>
          </cell>
          <cell r="AO62">
            <v>393216</v>
          </cell>
          <cell r="AQ62">
            <v>0</v>
          </cell>
          <cell r="AR62">
            <v>0</v>
          </cell>
          <cell r="AS62" t="str">
            <v>Ы</v>
          </cell>
          <cell r="AT62" t="str">
            <v>Ы</v>
          </cell>
          <cell r="AU62">
            <v>0</v>
          </cell>
          <cell r="AV62">
            <v>0</v>
          </cell>
          <cell r="AW62">
            <v>23</v>
          </cell>
          <cell r="AX62">
            <v>1</v>
          </cell>
          <cell r="AY62">
            <v>0</v>
          </cell>
          <cell r="AZ62">
            <v>0</v>
          </cell>
          <cell r="BA62">
            <v>0</v>
          </cell>
          <cell r="BB62">
            <v>0</v>
          </cell>
          <cell r="BC62">
            <v>38828</v>
          </cell>
        </row>
        <row r="63">
          <cell r="A63">
            <v>2006</v>
          </cell>
          <cell r="B63">
            <v>1</v>
          </cell>
          <cell r="C63">
            <v>350</v>
          </cell>
          <cell r="D63">
            <v>20</v>
          </cell>
          <cell r="E63">
            <v>792030</v>
          </cell>
          <cell r="F63">
            <v>0</v>
          </cell>
          <cell r="G63" t="str">
            <v>Затраты по ШПЗ (неосновные)</v>
          </cell>
          <cell r="H63">
            <v>2030</v>
          </cell>
          <cell r="I63">
            <v>7920</v>
          </cell>
          <cell r="J63">
            <v>13326.1</v>
          </cell>
          <cell r="K63">
            <v>1</v>
          </cell>
          <cell r="L63">
            <v>0</v>
          </cell>
          <cell r="M63">
            <v>0</v>
          </cell>
          <cell r="N63">
            <v>0</v>
          </cell>
          <cell r="R63">
            <v>0</v>
          </cell>
          <cell r="S63">
            <v>0</v>
          </cell>
          <cell r="T63">
            <v>0</v>
          </cell>
          <cell r="U63">
            <v>34</v>
          </cell>
          <cell r="V63">
            <v>0</v>
          </cell>
          <cell r="W63">
            <v>0</v>
          </cell>
          <cell r="AA63">
            <v>0</v>
          </cell>
          <cell r="AB63">
            <v>0</v>
          </cell>
          <cell r="AC63">
            <v>0</v>
          </cell>
          <cell r="AD63">
            <v>34</v>
          </cell>
          <cell r="AE63">
            <v>110000</v>
          </cell>
          <cell r="AF63">
            <v>0</v>
          </cell>
          <cell r="AI63">
            <v>2223</v>
          </cell>
          <cell r="AK63">
            <v>0</v>
          </cell>
          <cell r="AM63">
            <v>477</v>
          </cell>
          <cell r="AN63">
            <v>1</v>
          </cell>
          <cell r="AO63">
            <v>393216</v>
          </cell>
          <cell r="AQ63">
            <v>0</v>
          </cell>
          <cell r="AR63">
            <v>0</v>
          </cell>
          <cell r="AS63" t="str">
            <v>Ы</v>
          </cell>
          <cell r="AT63" t="str">
            <v>Ы</v>
          </cell>
          <cell r="AU63">
            <v>0</v>
          </cell>
          <cell r="AV63">
            <v>0</v>
          </cell>
          <cell r="AW63">
            <v>23</v>
          </cell>
          <cell r="AX63">
            <v>1</v>
          </cell>
          <cell r="AY63">
            <v>0</v>
          </cell>
          <cell r="AZ63">
            <v>0</v>
          </cell>
          <cell r="BA63">
            <v>0</v>
          </cell>
          <cell r="BB63">
            <v>0</v>
          </cell>
          <cell r="BC63">
            <v>38828</v>
          </cell>
        </row>
        <row r="64">
          <cell r="A64">
            <v>2006</v>
          </cell>
          <cell r="B64">
            <v>1</v>
          </cell>
          <cell r="C64">
            <v>398</v>
          </cell>
          <cell r="D64">
            <v>20</v>
          </cell>
          <cell r="E64">
            <v>792030</v>
          </cell>
          <cell r="F64">
            <v>0</v>
          </cell>
          <cell r="G64" t="str">
            <v>Затраты по ШПЗ (неосновные)</v>
          </cell>
          <cell r="H64">
            <v>2030</v>
          </cell>
          <cell r="I64">
            <v>7920</v>
          </cell>
          <cell r="J64">
            <v>9118</v>
          </cell>
          <cell r="K64">
            <v>1</v>
          </cell>
          <cell r="L64">
            <v>0</v>
          </cell>
          <cell r="M64">
            <v>0</v>
          </cell>
          <cell r="N64">
            <v>0</v>
          </cell>
          <cell r="R64">
            <v>0</v>
          </cell>
          <cell r="S64">
            <v>0</v>
          </cell>
          <cell r="T64">
            <v>0</v>
          </cell>
          <cell r="U64">
            <v>35</v>
          </cell>
          <cell r="V64">
            <v>0</v>
          </cell>
          <cell r="W64">
            <v>0</v>
          </cell>
          <cell r="AA64">
            <v>0</v>
          </cell>
          <cell r="AB64">
            <v>0</v>
          </cell>
          <cell r="AC64">
            <v>0</v>
          </cell>
          <cell r="AD64">
            <v>35</v>
          </cell>
          <cell r="AE64">
            <v>110000</v>
          </cell>
          <cell r="AF64">
            <v>0</v>
          </cell>
          <cell r="AI64">
            <v>2223</v>
          </cell>
          <cell r="AK64">
            <v>0</v>
          </cell>
          <cell r="AM64">
            <v>525</v>
          </cell>
          <cell r="AN64">
            <v>1</v>
          </cell>
          <cell r="AO64">
            <v>393216</v>
          </cell>
          <cell r="AQ64">
            <v>0</v>
          </cell>
          <cell r="AR64">
            <v>0</v>
          </cell>
          <cell r="AS64" t="str">
            <v>Ы</v>
          </cell>
          <cell r="AT64" t="str">
            <v>Ы</v>
          </cell>
          <cell r="AU64">
            <v>0</v>
          </cell>
          <cell r="AV64">
            <v>0</v>
          </cell>
          <cell r="AW64">
            <v>23</v>
          </cell>
          <cell r="AX64">
            <v>1</v>
          </cell>
          <cell r="AY64">
            <v>0</v>
          </cell>
          <cell r="AZ64">
            <v>0</v>
          </cell>
          <cell r="BA64">
            <v>0</v>
          </cell>
          <cell r="BB64">
            <v>0</v>
          </cell>
          <cell r="BC64">
            <v>38828</v>
          </cell>
        </row>
        <row r="65">
          <cell r="A65">
            <v>2006</v>
          </cell>
          <cell r="B65">
            <v>1</v>
          </cell>
          <cell r="C65">
            <v>399</v>
          </cell>
          <cell r="D65">
            <v>20</v>
          </cell>
          <cell r="E65">
            <v>792030</v>
          </cell>
          <cell r="F65">
            <v>0</v>
          </cell>
          <cell r="G65" t="str">
            <v>Затраты по ШПЗ (неосновные)</v>
          </cell>
          <cell r="H65">
            <v>2030</v>
          </cell>
          <cell r="I65">
            <v>7920</v>
          </cell>
          <cell r="J65">
            <v>18.309999999999999</v>
          </cell>
          <cell r="K65">
            <v>1</v>
          </cell>
          <cell r="L65">
            <v>0</v>
          </cell>
          <cell r="M65">
            <v>0</v>
          </cell>
          <cell r="N65">
            <v>0</v>
          </cell>
          <cell r="R65">
            <v>0</v>
          </cell>
          <cell r="S65">
            <v>0</v>
          </cell>
          <cell r="T65">
            <v>0</v>
          </cell>
          <cell r="U65">
            <v>35</v>
          </cell>
          <cell r="V65">
            <v>0</v>
          </cell>
          <cell r="W65">
            <v>0</v>
          </cell>
          <cell r="AA65">
            <v>0</v>
          </cell>
          <cell r="AB65">
            <v>0</v>
          </cell>
          <cell r="AC65">
            <v>0</v>
          </cell>
          <cell r="AD65">
            <v>35</v>
          </cell>
          <cell r="AE65">
            <v>114020</v>
          </cell>
          <cell r="AF65">
            <v>0</v>
          </cell>
          <cell r="AI65">
            <v>2223</v>
          </cell>
          <cell r="AK65">
            <v>0</v>
          </cell>
          <cell r="AM65">
            <v>526</v>
          </cell>
          <cell r="AN65">
            <v>1</v>
          </cell>
          <cell r="AO65">
            <v>393216</v>
          </cell>
          <cell r="AQ65">
            <v>0</v>
          </cell>
          <cell r="AR65">
            <v>0</v>
          </cell>
          <cell r="AS65" t="str">
            <v>Ы</v>
          </cell>
          <cell r="AT65" t="str">
            <v>Ы</v>
          </cell>
          <cell r="AU65">
            <v>0</v>
          </cell>
          <cell r="AV65">
            <v>0</v>
          </cell>
          <cell r="AW65">
            <v>23</v>
          </cell>
          <cell r="AX65">
            <v>1</v>
          </cell>
          <cell r="AY65">
            <v>0</v>
          </cell>
          <cell r="AZ65">
            <v>0</v>
          </cell>
          <cell r="BA65">
            <v>0</v>
          </cell>
          <cell r="BB65">
            <v>0</v>
          </cell>
          <cell r="BC65">
            <v>38828</v>
          </cell>
        </row>
        <row r="66">
          <cell r="A66">
            <v>2006</v>
          </cell>
          <cell r="B66">
            <v>1</v>
          </cell>
          <cell r="C66">
            <v>400</v>
          </cell>
          <cell r="D66">
            <v>20</v>
          </cell>
          <cell r="E66">
            <v>792030</v>
          </cell>
          <cell r="F66">
            <v>0</v>
          </cell>
          <cell r="G66" t="str">
            <v>Затраты по ШПЗ (неосновные)</v>
          </cell>
          <cell r="H66">
            <v>2030</v>
          </cell>
          <cell r="I66">
            <v>7920</v>
          </cell>
          <cell r="J66">
            <v>40.72</v>
          </cell>
          <cell r="K66">
            <v>1</v>
          </cell>
          <cell r="L66">
            <v>0</v>
          </cell>
          <cell r="M66">
            <v>0</v>
          </cell>
          <cell r="N66">
            <v>0</v>
          </cell>
          <cell r="R66">
            <v>0</v>
          </cell>
          <cell r="S66">
            <v>0</v>
          </cell>
          <cell r="T66">
            <v>0</v>
          </cell>
          <cell r="U66">
            <v>35</v>
          </cell>
          <cell r="V66">
            <v>0</v>
          </cell>
          <cell r="W66">
            <v>0</v>
          </cell>
          <cell r="AA66">
            <v>0</v>
          </cell>
          <cell r="AB66">
            <v>0</v>
          </cell>
          <cell r="AC66">
            <v>0</v>
          </cell>
          <cell r="AD66">
            <v>35</v>
          </cell>
          <cell r="AE66">
            <v>118000</v>
          </cell>
          <cell r="AF66">
            <v>0</v>
          </cell>
          <cell r="AI66">
            <v>2223</v>
          </cell>
          <cell r="AK66">
            <v>0</v>
          </cell>
          <cell r="AM66">
            <v>527</v>
          </cell>
          <cell r="AN66">
            <v>1</v>
          </cell>
          <cell r="AO66">
            <v>393216</v>
          </cell>
          <cell r="AQ66">
            <v>0</v>
          </cell>
          <cell r="AR66">
            <v>0</v>
          </cell>
          <cell r="AS66" t="str">
            <v>Ы</v>
          </cell>
          <cell r="AT66" t="str">
            <v>Ы</v>
          </cell>
          <cell r="AU66">
            <v>0</v>
          </cell>
          <cell r="AV66">
            <v>0</v>
          </cell>
          <cell r="AW66">
            <v>23</v>
          </cell>
          <cell r="AX66">
            <v>1</v>
          </cell>
          <cell r="AY66">
            <v>0</v>
          </cell>
          <cell r="AZ66">
            <v>0</v>
          </cell>
          <cell r="BA66">
            <v>0</v>
          </cell>
          <cell r="BB66">
            <v>0</v>
          </cell>
          <cell r="BC66">
            <v>38828</v>
          </cell>
        </row>
        <row r="67">
          <cell r="A67">
            <v>2006</v>
          </cell>
          <cell r="B67">
            <v>1</v>
          </cell>
          <cell r="C67">
            <v>401</v>
          </cell>
          <cell r="D67">
            <v>20</v>
          </cell>
          <cell r="E67">
            <v>792030</v>
          </cell>
          <cell r="F67">
            <v>0</v>
          </cell>
          <cell r="G67" t="str">
            <v>Затраты по ШПЗ (неосновные)</v>
          </cell>
          <cell r="H67">
            <v>2030</v>
          </cell>
          <cell r="I67">
            <v>7920</v>
          </cell>
          <cell r="J67">
            <v>3.73</v>
          </cell>
          <cell r="K67">
            <v>1</v>
          </cell>
          <cell r="L67">
            <v>0</v>
          </cell>
          <cell r="M67">
            <v>0</v>
          </cell>
          <cell r="N67">
            <v>0</v>
          </cell>
          <cell r="R67">
            <v>0</v>
          </cell>
          <cell r="S67">
            <v>0</v>
          </cell>
          <cell r="T67">
            <v>0</v>
          </cell>
          <cell r="U67">
            <v>35</v>
          </cell>
          <cell r="V67">
            <v>0</v>
          </cell>
          <cell r="W67">
            <v>0</v>
          </cell>
          <cell r="AA67">
            <v>0</v>
          </cell>
          <cell r="AB67">
            <v>0</v>
          </cell>
          <cell r="AC67">
            <v>0</v>
          </cell>
          <cell r="AD67">
            <v>35</v>
          </cell>
          <cell r="AE67">
            <v>131000</v>
          </cell>
          <cell r="AF67">
            <v>0</v>
          </cell>
          <cell r="AI67">
            <v>2223</v>
          </cell>
          <cell r="AK67">
            <v>0</v>
          </cell>
          <cell r="AM67">
            <v>528</v>
          </cell>
          <cell r="AN67">
            <v>1</v>
          </cell>
          <cell r="AO67">
            <v>393216</v>
          </cell>
          <cell r="AQ67">
            <v>0</v>
          </cell>
          <cell r="AR67">
            <v>0</v>
          </cell>
          <cell r="AS67" t="str">
            <v>Ы</v>
          </cell>
          <cell r="AT67" t="str">
            <v>Ы</v>
          </cell>
          <cell r="AU67">
            <v>0</v>
          </cell>
          <cell r="AV67">
            <v>0</v>
          </cell>
          <cell r="AW67">
            <v>23</v>
          </cell>
          <cell r="AX67">
            <v>1</v>
          </cell>
          <cell r="AY67">
            <v>0</v>
          </cell>
          <cell r="AZ67">
            <v>0</v>
          </cell>
          <cell r="BA67">
            <v>0</v>
          </cell>
          <cell r="BB67">
            <v>0</v>
          </cell>
          <cell r="BC67">
            <v>38828</v>
          </cell>
        </row>
        <row r="68">
          <cell r="A68">
            <v>2006</v>
          </cell>
          <cell r="B68">
            <v>1</v>
          </cell>
          <cell r="C68">
            <v>402</v>
          </cell>
          <cell r="D68">
            <v>20</v>
          </cell>
          <cell r="E68">
            <v>792030</v>
          </cell>
          <cell r="F68">
            <v>0</v>
          </cell>
          <cell r="G68" t="str">
            <v>Затраты по ШПЗ (неосновные)</v>
          </cell>
          <cell r="H68">
            <v>2030</v>
          </cell>
          <cell r="I68">
            <v>7920</v>
          </cell>
          <cell r="J68">
            <v>1.65</v>
          </cell>
          <cell r="K68">
            <v>1</v>
          </cell>
          <cell r="L68">
            <v>0</v>
          </cell>
          <cell r="M68">
            <v>0</v>
          </cell>
          <cell r="N68">
            <v>0</v>
          </cell>
          <cell r="R68">
            <v>0</v>
          </cell>
          <cell r="S68">
            <v>0</v>
          </cell>
          <cell r="T68">
            <v>0</v>
          </cell>
          <cell r="U68">
            <v>35</v>
          </cell>
          <cell r="V68">
            <v>0</v>
          </cell>
          <cell r="W68">
            <v>0</v>
          </cell>
          <cell r="AA68">
            <v>0</v>
          </cell>
          <cell r="AB68">
            <v>0</v>
          </cell>
          <cell r="AC68">
            <v>0</v>
          </cell>
          <cell r="AD68">
            <v>35</v>
          </cell>
          <cell r="AE68">
            <v>132000</v>
          </cell>
          <cell r="AF68">
            <v>0</v>
          </cell>
          <cell r="AI68">
            <v>2223</v>
          </cell>
          <cell r="AK68">
            <v>0</v>
          </cell>
          <cell r="AM68">
            <v>529</v>
          </cell>
          <cell r="AN68">
            <v>1</v>
          </cell>
          <cell r="AO68">
            <v>393216</v>
          </cell>
          <cell r="AQ68">
            <v>0</v>
          </cell>
          <cell r="AR68">
            <v>0</v>
          </cell>
          <cell r="AS68" t="str">
            <v>Ы</v>
          </cell>
          <cell r="AT68" t="str">
            <v>Ы</v>
          </cell>
          <cell r="AU68">
            <v>0</v>
          </cell>
          <cell r="AV68">
            <v>0</v>
          </cell>
          <cell r="AW68">
            <v>23</v>
          </cell>
          <cell r="AX68">
            <v>1</v>
          </cell>
          <cell r="AY68">
            <v>0</v>
          </cell>
          <cell r="AZ68">
            <v>0</v>
          </cell>
          <cell r="BA68">
            <v>0</v>
          </cell>
          <cell r="BB68">
            <v>0</v>
          </cell>
          <cell r="BC68">
            <v>38828</v>
          </cell>
        </row>
        <row r="69">
          <cell r="A69">
            <v>2006</v>
          </cell>
          <cell r="B69">
            <v>1</v>
          </cell>
          <cell r="C69">
            <v>403</v>
          </cell>
          <cell r="D69">
            <v>20</v>
          </cell>
          <cell r="E69">
            <v>792030</v>
          </cell>
          <cell r="F69">
            <v>0</v>
          </cell>
          <cell r="G69" t="str">
            <v>Затраты по ШПЗ (неосновные)</v>
          </cell>
          <cell r="H69">
            <v>2030</v>
          </cell>
          <cell r="I69">
            <v>7920</v>
          </cell>
          <cell r="J69">
            <v>6.6</v>
          </cell>
          <cell r="K69">
            <v>1</v>
          </cell>
          <cell r="L69">
            <v>0</v>
          </cell>
          <cell r="M69">
            <v>0</v>
          </cell>
          <cell r="N69">
            <v>0</v>
          </cell>
          <cell r="R69">
            <v>0</v>
          </cell>
          <cell r="S69">
            <v>0</v>
          </cell>
          <cell r="T69">
            <v>0</v>
          </cell>
          <cell r="U69">
            <v>35</v>
          </cell>
          <cell r="V69">
            <v>0</v>
          </cell>
          <cell r="W69">
            <v>0</v>
          </cell>
          <cell r="AA69">
            <v>0</v>
          </cell>
          <cell r="AB69">
            <v>0</v>
          </cell>
          <cell r="AC69">
            <v>0</v>
          </cell>
          <cell r="AD69">
            <v>35</v>
          </cell>
          <cell r="AE69">
            <v>135000</v>
          </cell>
          <cell r="AF69">
            <v>0</v>
          </cell>
          <cell r="AI69">
            <v>2223</v>
          </cell>
          <cell r="AK69">
            <v>0</v>
          </cell>
          <cell r="AM69">
            <v>530</v>
          </cell>
          <cell r="AN69">
            <v>1</v>
          </cell>
          <cell r="AO69">
            <v>393216</v>
          </cell>
          <cell r="AQ69">
            <v>0</v>
          </cell>
          <cell r="AR69">
            <v>0</v>
          </cell>
          <cell r="AS69" t="str">
            <v>Ы</v>
          </cell>
          <cell r="AT69" t="str">
            <v>Ы</v>
          </cell>
          <cell r="AU69">
            <v>0</v>
          </cell>
          <cell r="AV69">
            <v>0</v>
          </cell>
          <cell r="AW69">
            <v>23</v>
          </cell>
          <cell r="AX69">
            <v>1</v>
          </cell>
          <cell r="AY69">
            <v>0</v>
          </cell>
          <cell r="AZ69">
            <v>0</v>
          </cell>
          <cell r="BA69">
            <v>0</v>
          </cell>
          <cell r="BB69">
            <v>0</v>
          </cell>
          <cell r="BC69">
            <v>38828</v>
          </cell>
        </row>
        <row r="70">
          <cell r="A70">
            <v>2006</v>
          </cell>
          <cell r="B70">
            <v>1</v>
          </cell>
          <cell r="C70">
            <v>404</v>
          </cell>
          <cell r="D70">
            <v>20</v>
          </cell>
          <cell r="E70">
            <v>792030</v>
          </cell>
          <cell r="F70">
            <v>0</v>
          </cell>
          <cell r="G70" t="str">
            <v>Затраты по ШПЗ (неосновные)</v>
          </cell>
          <cell r="H70">
            <v>2030</v>
          </cell>
          <cell r="I70">
            <v>7920</v>
          </cell>
          <cell r="J70">
            <v>5136.8</v>
          </cell>
          <cell r="K70">
            <v>1</v>
          </cell>
          <cell r="L70">
            <v>0</v>
          </cell>
          <cell r="M70">
            <v>0</v>
          </cell>
          <cell r="N70">
            <v>0</v>
          </cell>
          <cell r="R70">
            <v>0</v>
          </cell>
          <cell r="S70">
            <v>0</v>
          </cell>
          <cell r="T70">
            <v>0</v>
          </cell>
          <cell r="U70">
            <v>35</v>
          </cell>
          <cell r="V70">
            <v>0</v>
          </cell>
          <cell r="W70">
            <v>0</v>
          </cell>
          <cell r="AA70">
            <v>0</v>
          </cell>
          <cell r="AB70">
            <v>0</v>
          </cell>
          <cell r="AC70">
            <v>0</v>
          </cell>
          <cell r="AD70">
            <v>35</v>
          </cell>
          <cell r="AE70">
            <v>143000</v>
          </cell>
          <cell r="AF70">
            <v>0</v>
          </cell>
          <cell r="AI70">
            <v>2223</v>
          </cell>
          <cell r="AK70">
            <v>0</v>
          </cell>
          <cell r="AM70">
            <v>531</v>
          </cell>
          <cell r="AN70">
            <v>1</v>
          </cell>
          <cell r="AO70">
            <v>393216</v>
          </cell>
          <cell r="AQ70">
            <v>0</v>
          </cell>
          <cell r="AR70">
            <v>0</v>
          </cell>
          <cell r="AS70" t="str">
            <v>Ы</v>
          </cell>
          <cell r="AT70" t="str">
            <v>Ы</v>
          </cell>
          <cell r="AU70">
            <v>0</v>
          </cell>
          <cell r="AV70">
            <v>0</v>
          </cell>
          <cell r="AW70">
            <v>23</v>
          </cell>
          <cell r="AX70">
            <v>1</v>
          </cell>
          <cell r="AY70">
            <v>0</v>
          </cell>
          <cell r="AZ70">
            <v>0</v>
          </cell>
          <cell r="BA70">
            <v>0</v>
          </cell>
          <cell r="BB70">
            <v>0</v>
          </cell>
          <cell r="BC70">
            <v>38828</v>
          </cell>
        </row>
        <row r="71">
          <cell r="A71">
            <v>2006</v>
          </cell>
          <cell r="B71">
            <v>1</v>
          </cell>
          <cell r="C71">
            <v>405</v>
          </cell>
          <cell r="D71">
            <v>20</v>
          </cell>
          <cell r="E71">
            <v>792030</v>
          </cell>
          <cell r="F71">
            <v>0</v>
          </cell>
          <cell r="G71" t="str">
            <v>Затраты по ШПЗ (неосновные)</v>
          </cell>
          <cell r="H71">
            <v>2030</v>
          </cell>
          <cell r="I71">
            <v>7920</v>
          </cell>
          <cell r="J71">
            <v>67.61</v>
          </cell>
          <cell r="K71">
            <v>1</v>
          </cell>
          <cell r="L71">
            <v>0</v>
          </cell>
          <cell r="M71">
            <v>0</v>
          </cell>
          <cell r="N71">
            <v>0</v>
          </cell>
          <cell r="R71">
            <v>0</v>
          </cell>
          <cell r="S71">
            <v>0</v>
          </cell>
          <cell r="T71">
            <v>0</v>
          </cell>
          <cell r="U71">
            <v>35</v>
          </cell>
          <cell r="V71">
            <v>0</v>
          </cell>
          <cell r="W71">
            <v>0</v>
          </cell>
          <cell r="AA71">
            <v>0</v>
          </cell>
          <cell r="AB71">
            <v>0</v>
          </cell>
          <cell r="AC71">
            <v>0</v>
          </cell>
          <cell r="AD71">
            <v>35</v>
          </cell>
          <cell r="AE71">
            <v>410000</v>
          </cell>
          <cell r="AF71">
            <v>0</v>
          </cell>
          <cell r="AI71">
            <v>2223</v>
          </cell>
          <cell r="AK71">
            <v>0</v>
          </cell>
          <cell r="AM71">
            <v>532</v>
          </cell>
          <cell r="AN71">
            <v>1</v>
          </cell>
          <cell r="AO71">
            <v>393216</v>
          </cell>
          <cell r="AQ71">
            <v>0</v>
          </cell>
          <cell r="AR71">
            <v>0</v>
          </cell>
          <cell r="AS71" t="str">
            <v>Ы</v>
          </cell>
          <cell r="AT71" t="str">
            <v>Ы</v>
          </cell>
          <cell r="AU71">
            <v>0</v>
          </cell>
          <cell r="AV71">
            <v>0</v>
          </cell>
          <cell r="AW71">
            <v>23</v>
          </cell>
          <cell r="AX71">
            <v>1</v>
          </cell>
          <cell r="AY71">
            <v>0</v>
          </cell>
          <cell r="AZ71">
            <v>0</v>
          </cell>
          <cell r="BA71">
            <v>0</v>
          </cell>
          <cell r="BB71">
            <v>0</v>
          </cell>
          <cell r="BC71">
            <v>38828</v>
          </cell>
        </row>
        <row r="72">
          <cell r="A72">
            <v>2006</v>
          </cell>
          <cell r="B72">
            <v>1</v>
          </cell>
          <cell r="C72">
            <v>406</v>
          </cell>
          <cell r="D72">
            <v>20</v>
          </cell>
          <cell r="E72">
            <v>792030</v>
          </cell>
          <cell r="F72">
            <v>0</v>
          </cell>
          <cell r="G72" t="str">
            <v>Затраты по ШПЗ (неосновные)</v>
          </cell>
          <cell r="H72">
            <v>2030</v>
          </cell>
          <cell r="I72">
            <v>7920</v>
          </cell>
          <cell r="J72">
            <v>716.61</v>
          </cell>
          <cell r="K72">
            <v>1</v>
          </cell>
          <cell r="L72">
            <v>0</v>
          </cell>
          <cell r="M72">
            <v>0</v>
          </cell>
          <cell r="N72">
            <v>0</v>
          </cell>
          <cell r="R72">
            <v>0</v>
          </cell>
          <cell r="S72">
            <v>0</v>
          </cell>
          <cell r="T72">
            <v>0</v>
          </cell>
          <cell r="U72">
            <v>35</v>
          </cell>
          <cell r="V72">
            <v>0</v>
          </cell>
          <cell r="W72">
            <v>0</v>
          </cell>
          <cell r="AA72">
            <v>0</v>
          </cell>
          <cell r="AB72">
            <v>0</v>
          </cell>
          <cell r="AC72">
            <v>0</v>
          </cell>
          <cell r="AD72">
            <v>35</v>
          </cell>
          <cell r="AE72">
            <v>420000</v>
          </cell>
          <cell r="AF72">
            <v>0</v>
          </cell>
          <cell r="AI72">
            <v>2223</v>
          </cell>
          <cell r="AK72">
            <v>0</v>
          </cell>
          <cell r="AM72">
            <v>533</v>
          </cell>
          <cell r="AN72">
            <v>1</v>
          </cell>
          <cell r="AO72">
            <v>393216</v>
          </cell>
          <cell r="AQ72">
            <v>0</v>
          </cell>
          <cell r="AR72">
            <v>0</v>
          </cell>
          <cell r="AS72" t="str">
            <v>Ы</v>
          </cell>
          <cell r="AT72" t="str">
            <v>Ы</v>
          </cell>
          <cell r="AU72">
            <v>0</v>
          </cell>
          <cell r="AV72">
            <v>0</v>
          </cell>
          <cell r="AW72">
            <v>23</v>
          </cell>
          <cell r="AX72">
            <v>1</v>
          </cell>
          <cell r="AY72">
            <v>0</v>
          </cell>
          <cell r="AZ72">
            <v>0</v>
          </cell>
          <cell r="BA72">
            <v>0</v>
          </cell>
          <cell r="BB72">
            <v>0</v>
          </cell>
          <cell r="BC72">
            <v>38828</v>
          </cell>
        </row>
        <row r="73">
          <cell r="A73">
            <v>2006</v>
          </cell>
          <cell r="B73">
            <v>1</v>
          </cell>
          <cell r="C73">
            <v>407</v>
          </cell>
          <cell r="D73">
            <v>20</v>
          </cell>
          <cell r="E73">
            <v>792030</v>
          </cell>
          <cell r="F73">
            <v>0</v>
          </cell>
          <cell r="G73" t="str">
            <v>Затраты по ШПЗ (неосновные)</v>
          </cell>
          <cell r="H73">
            <v>2030</v>
          </cell>
          <cell r="I73">
            <v>7920</v>
          </cell>
          <cell r="J73">
            <v>17.25</v>
          </cell>
          <cell r="K73">
            <v>1</v>
          </cell>
          <cell r="L73">
            <v>0</v>
          </cell>
          <cell r="M73">
            <v>0</v>
          </cell>
          <cell r="N73">
            <v>0</v>
          </cell>
          <cell r="R73">
            <v>0</v>
          </cell>
          <cell r="S73">
            <v>0</v>
          </cell>
          <cell r="T73">
            <v>0</v>
          </cell>
          <cell r="U73">
            <v>35</v>
          </cell>
          <cell r="V73">
            <v>0</v>
          </cell>
          <cell r="W73">
            <v>0</v>
          </cell>
          <cell r="AA73">
            <v>0</v>
          </cell>
          <cell r="AB73">
            <v>0</v>
          </cell>
          <cell r="AC73">
            <v>0</v>
          </cell>
          <cell r="AD73">
            <v>35</v>
          </cell>
          <cell r="AE73">
            <v>430000</v>
          </cell>
          <cell r="AF73">
            <v>0</v>
          </cell>
          <cell r="AI73">
            <v>2223</v>
          </cell>
          <cell r="AK73">
            <v>0</v>
          </cell>
          <cell r="AM73">
            <v>534</v>
          </cell>
          <cell r="AN73">
            <v>1</v>
          </cell>
          <cell r="AO73">
            <v>393216</v>
          </cell>
          <cell r="AQ73">
            <v>0</v>
          </cell>
          <cell r="AR73">
            <v>0</v>
          </cell>
          <cell r="AS73" t="str">
            <v>Ы</v>
          </cell>
          <cell r="AT73" t="str">
            <v>Ы</v>
          </cell>
          <cell r="AU73">
            <v>0</v>
          </cell>
          <cell r="AV73">
            <v>0</v>
          </cell>
          <cell r="AW73">
            <v>23</v>
          </cell>
          <cell r="AX73">
            <v>1</v>
          </cell>
          <cell r="AY73">
            <v>0</v>
          </cell>
          <cell r="AZ73">
            <v>0</v>
          </cell>
          <cell r="BA73">
            <v>0</v>
          </cell>
          <cell r="BB73">
            <v>0</v>
          </cell>
          <cell r="BC73">
            <v>38828</v>
          </cell>
        </row>
        <row r="74">
          <cell r="A74">
            <v>2006</v>
          </cell>
          <cell r="B74">
            <v>1</v>
          </cell>
          <cell r="C74">
            <v>408</v>
          </cell>
          <cell r="D74">
            <v>20</v>
          </cell>
          <cell r="E74">
            <v>792030</v>
          </cell>
          <cell r="F74">
            <v>0</v>
          </cell>
          <cell r="G74" t="str">
            <v>Затраты по ШПЗ (неосновные)</v>
          </cell>
          <cell r="H74">
            <v>2030</v>
          </cell>
          <cell r="I74">
            <v>7920</v>
          </cell>
          <cell r="J74">
            <v>113.96</v>
          </cell>
          <cell r="K74">
            <v>1</v>
          </cell>
          <cell r="L74">
            <v>0</v>
          </cell>
          <cell r="M74">
            <v>0</v>
          </cell>
          <cell r="N74">
            <v>0</v>
          </cell>
          <cell r="R74">
            <v>0</v>
          </cell>
          <cell r="S74">
            <v>0</v>
          </cell>
          <cell r="T74">
            <v>0</v>
          </cell>
          <cell r="U74">
            <v>35</v>
          </cell>
          <cell r="V74">
            <v>0</v>
          </cell>
          <cell r="W74">
            <v>0</v>
          </cell>
          <cell r="AA74">
            <v>0</v>
          </cell>
          <cell r="AB74">
            <v>0</v>
          </cell>
          <cell r="AC74">
            <v>0</v>
          </cell>
          <cell r="AD74">
            <v>35</v>
          </cell>
          <cell r="AE74">
            <v>430110</v>
          </cell>
          <cell r="AF74">
            <v>0</v>
          </cell>
          <cell r="AI74">
            <v>2223</v>
          </cell>
          <cell r="AK74">
            <v>0</v>
          </cell>
          <cell r="AM74">
            <v>535</v>
          </cell>
          <cell r="AN74">
            <v>1</v>
          </cell>
          <cell r="AO74">
            <v>393216</v>
          </cell>
          <cell r="AQ74">
            <v>0</v>
          </cell>
          <cell r="AR74">
            <v>0</v>
          </cell>
          <cell r="AS74" t="str">
            <v>Ы</v>
          </cell>
          <cell r="AT74" t="str">
            <v>Ы</v>
          </cell>
          <cell r="AU74">
            <v>0</v>
          </cell>
          <cell r="AV74">
            <v>0</v>
          </cell>
          <cell r="AW74">
            <v>23</v>
          </cell>
          <cell r="AX74">
            <v>1</v>
          </cell>
          <cell r="AY74">
            <v>0</v>
          </cell>
          <cell r="AZ74">
            <v>0</v>
          </cell>
          <cell r="BA74">
            <v>0</v>
          </cell>
          <cell r="BB74">
            <v>0</v>
          </cell>
          <cell r="BC74">
            <v>38828</v>
          </cell>
        </row>
        <row r="75">
          <cell r="A75">
            <v>2006</v>
          </cell>
          <cell r="B75">
            <v>1</v>
          </cell>
          <cell r="C75">
            <v>409</v>
          </cell>
          <cell r="D75">
            <v>20</v>
          </cell>
          <cell r="E75">
            <v>792030</v>
          </cell>
          <cell r="F75">
            <v>0</v>
          </cell>
          <cell r="G75" t="str">
            <v>Затраты по ШПЗ (неосновные)</v>
          </cell>
          <cell r="H75">
            <v>2030</v>
          </cell>
          <cell r="I75">
            <v>7920</v>
          </cell>
          <cell r="J75">
            <v>39.71</v>
          </cell>
          <cell r="K75">
            <v>1</v>
          </cell>
          <cell r="L75">
            <v>0</v>
          </cell>
          <cell r="M75">
            <v>0</v>
          </cell>
          <cell r="N75">
            <v>0</v>
          </cell>
          <cell r="R75">
            <v>0</v>
          </cell>
          <cell r="S75">
            <v>0</v>
          </cell>
          <cell r="T75">
            <v>0</v>
          </cell>
          <cell r="U75">
            <v>35</v>
          </cell>
          <cell r="V75">
            <v>0</v>
          </cell>
          <cell r="W75">
            <v>0</v>
          </cell>
          <cell r="AA75">
            <v>0</v>
          </cell>
          <cell r="AB75">
            <v>0</v>
          </cell>
          <cell r="AC75">
            <v>0</v>
          </cell>
          <cell r="AD75">
            <v>35</v>
          </cell>
          <cell r="AE75">
            <v>430120</v>
          </cell>
          <cell r="AF75">
            <v>0</v>
          </cell>
          <cell r="AI75">
            <v>2223</v>
          </cell>
          <cell r="AK75">
            <v>0</v>
          </cell>
          <cell r="AM75">
            <v>536</v>
          </cell>
          <cell r="AN75">
            <v>1</v>
          </cell>
          <cell r="AO75">
            <v>393216</v>
          </cell>
          <cell r="AQ75">
            <v>0</v>
          </cell>
          <cell r="AR75">
            <v>0</v>
          </cell>
          <cell r="AS75" t="str">
            <v>Ы</v>
          </cell>
          <cell r="AT75" t="str">
            <v>Ы</v>
          </cell>
          <cell r="AU75">
            <v>0</v>
          </cell>
          <cell r="AV75">
            <v>0</v>
          </cell>
          <cell r="AW75">
            <v>23</v>
          </cell>
          <cell r="AX75">
            <v>1</v>
          </cell>
          <cell r="AY75">
            <v>0</v>
          </cell>
          <cell r="AZ75">
            <v>0</v>
          </cell>
          <cell r="BA75">
            <v>0</v>
          </cell>
          <cell r="BB75">
            <v>0</v>
          </cell>
          <cell r="BC75">
            <v>38828</v>
          </cell>
        </row>
        <row r="76">
          <cell r="A76">
            <v>2006</v>
          </cell>
          <cell r="B76">
            <v>1</v>
          </cell>
          <cell r="C76">
            <v>410</v>
          </cell>
          <cell r="D76">
            <v>20</v>
          </cell>
          <cell r="E76">
            <v>792030</v>
          </cell>
          <cell r="F76">
            <v>0</v>
          </cell>
          <cell r="G76" t="str">
            <v>Затраты по ШПЗ (неосновные)</v>
          </cell>
          <cell r="H76">
            <v>2030</v>
          </cell>
          <cell r="I76">
            <v>7920</v>
          </cell>
          <cell r="J76">
            <v>219.32</v>
          </cell>
          <cell r="K76">
            <v>1</v>
          </cell>
          <cell r="L76">
            <v>0</v>
          </cell>
          <cell r="M76">
            <v>0</v>
          </cell>
          <cell r="N76">
            <v>0</v>
          </cell>
          <cell r="R76">
            <v>0</v>
          </cell>
          <cell r="S76">
            <v>0</v>
          </cell>
          <cell r="T76">
            <v>0</v>
          </cell>
          <cell r="U76">
            <v>35</v>
          </cell>
          <cell r="V76">
            <v>0</v>
          </cell>
          <cell r="W76">
            <v>0</v>
          </cell>
          <cell r="AA76">
            <v>0</v>
          </cell>
          <cell r="AB76">
            <v>0</v>
          </cell>
          <cell r="AC76">
            <v>0</v>
          </cell>
          <cell r="AD76">
            <v>35</v>
          </cell>
          <cell r="AE76">
            <v>430130</v>
          </cell>
          <cell r="AF76">
            <v>0</v>
          </cell>
          <cell r="AI76">
            <v>2223</v>
          </cell>
          <cell r="AK76">
            <v>0</v>
          </cell>
          <cell r="AM76">
            <v>537</v>
          </cell>
          <cell r="AN76">
            <v>1</v>
          </cell>
          <cell r="AO76">
            <v>393216</v>
          </cell>
          <cell r="AQ76">
            <v>0</v>
          </cell>
          <cell r="AR76">
            <v>0</v>
          </cell>
          <cell r="AS76" t="str">
            <v>Ы</v>
          </cell>
          <cell r="AT76" t="str">
            <v>Ы</v>
          </cell>
          <cell r="AU76">
            <v>0</v>
          </cell>
          <cell r="AV76">
            <v>0</v>
          </cell>
          <cell r="AW76">
            <v>23</v>
          </cell>
          <cell r="AX76">
            <v>1</v>
          </cell>
          <cell r="AY76">
            <v>0</v>
          </cell>
          <cell r="AZ76">
            <v>0</v>
          </cell>
          <cell r="BA76">
            <v>0</v>
          </cell>
          <cell r="BB76">
            <v>0</v>
          </cell>
          <cell r="BC76">
            <v>38828</v>
          </cell>
        </row>
        <row r="77">
          <cell r="A77">
            <v>2006</v>
          </cell>
          <cell r="B77">
            <v>1</v>
          </cell>
          <cell r="C77">
            <v>411</v>
          </cell>
          <cell r="D77">
            <v>20</v>
          </cell>
          <cell r="E77">
            <v>792030</v>
          </cell>
          <cell r="F77">
            <v>0</v>
          </cell>
          <cell r="G77" t="str">
            <v>Затраты по ШПЗ (неосновные)</v>
          </cell>
          <cell r="H77">
            <v>2030</v>
          </cell>
          <cell r="I77">
            <v>7920</v>
          </cell>
          <cell r="J77">
            <v>133.87</v>
          </cell>
          <cell r="K77">
            <v>1</v>
          </cell>
          <cell r="L77">
            <v>0</v>
          </cell>
          <cell r="M77">
            <v>0</v>
          </cell>
          <cell r="N77">
            <v>0</v>
          </cell>
          <cell r="R77">
            <v>0</v>
          </cell>
          <cell r="S77">
            <v>0</v>
          </cell>
          <cell r="T77">
            <v>0</v>
          </cell>
          <cell r="U77">
            <v>35</v>
          </cell>
          <cell r="V77">
            <v>0</v>
          </cell>
          <cell r="W77">
            <v>0</v>
          </cell>
          <cell r="AA77">
            <v>0</v>
          </cell>
          <cell r="AB77">
            <v>0</v>
          </cell>
          <cell r="AC77">
            <v>0</v>
          </cell>
          <cell r="AD77">
            <v>35</v>
          </cell>
          <cell r="AE77">
            <v>430140</v>
          </cell>
          <cell r="AF77">
            <v>0</v>
          </cell>
          <cell r="AI77">
            <v>2223</v>
          </cell>
          <cell r="AK77">
            <v>0</v>
          </cell>
          <cell r="AM77">
            <v>538</v>
          </cell>
          <cell r="AN77">
            <v>1</v>
          </cell>
          <cell r="AO77">
            <v>393216</v>
          </cell>
          <cell r="AQ77">
            <v>0</v>
          </cell>
          <cell r="AR77">
            <v>0</v>
          </cell>
          <cell r="AS77" t="str">
            <v>Ы</v>
          </cell>
          <cell r="AT77" t="str">
            <v>Ы</v>
          </cell>
          <cell r="AU77">
            <v>0</v>
          </cell>
          <cell r="AV77">
            <v>0</v>
          </cell>
          <cell r="AW77">
            <v>23</v>
          </cell>
          <cell r="AX77">
            <v>1</v>
          </cell>
          <cell r="AY77">
            <v>0</v>
          </cell>
          <cell r="AZ77">
            <v>0</v>
          </cell>
          <cell r="BA77">
            <v>0</v>
          </cell>
          <cell r="BB77">
            <v>0</v>
          </cell>
          <cell r="BC77">
            <v>38828</v>
          </cell>
        </row>
        <row r="78">
          <cell r="A78">
            <v>2006</v>
          </cell>
          <cell r="B78">
            <v>1</v>
          </cell>
          <cell r="C78">
            <v>412</v>
          </cell>
          <cell r="D78">
            <v>20</v>
          </cell>
          <cell r="E78">
            <v>792030</v>
          </cell>
          <cell r="F78">
            <v>0</v>
          </cell>
          <cell r="G78" t="str">
            <v>Затраты по ШПЗ (неосновные)</v>
          </cell>
          <cell r="H78">
            <v>2030</v>
          </cell>
          <cell r="I78">
            <v>7920</v>
          </cell>
          <cell r="J78">
            <v>0.4</v>
          </cell>
          <cell r="K78">
            <v>1</v>
          </cell>
          <cell r="L78">
            <v>0</v>
          </cell>
          <cell r="M78">
            <v>0</v>
          </cell>
          <cell r="N78">
            <v>0</v>
          </cell>
          <cell r="R78">
            <v>0</v>
          </cell>
          <cell r="S78">
            <v>0</v>
          </cell>
          <cell r="T78">
            <v>0</v>
          </cell>
          <cell r="U78">
            <v>35</v>
          </cell>
          <cell r="V78">
            <v>0</v>
          </cell>
          <cell r="W78">
            <v>0</v>
          </cell>
          <cell r="AA78">
            <v>0</v>
          </cell>
          <cell r="AB78">
            <v>0</v>
          </cell>
          <cell r="AC78">
            <v>0</v>
          </cell>
          <cell r="AD78">
            <v>35</v>
          </cell>
          <cell r="AE78">
            <v>430230</v>
          </cell>
          <cell r="AF78">
            <v>0</v>
          </cell>
          <cell r="AI78">
            <v>2223</v>
          </cell>
          <cell r="AK78">
            <v>0</v>
          </cell>
          <cell r="AM78">
            <v>539</v>
          </cell>
          <cell r="AN78">
            <v>1</v>
          </cell>
          <cell r="AO78">
            <v>393216</v>
          </cell>
          <cell r="AQ78">
            <v>0</v>
          </cell>
          <cell r="AR78">
            <v>0</v>
          </cell>
          <cell r="AS78" t="str">
            <v>Ы</v>
          </cell>
          <cell r="AT78" t="str">
            <v>Ы</v>
          </cell>
          <cell r="AU78">
            <v>0</v>
          </cell>
          <cell r="AV78">
            <v>0</v>
          </cell>
          <cell r="AW78">
            <v>23</v>
          </cell>
          <cell r="AX78">
            <v>1</v>
          </cell>
          <cell r="AY78">
            <v>0</v>
          </cell>
          <cell r="AZ78">
            <v>0</v>
          </cell>
          <cell r="BA78">
            <v>0</v>
          </cell>
          <cell r="BB78">
            <v>0</v>
          </cell>
          <cell r="BC78">
            <v>38828</v>
          </cell>
        </row>
        <row r="79">
          <cell r="A79">
            <v>2006</v>
          </cell>
          <cell r="B79">
            <v>1</v>
          </cell>
          <cell r="C79">
            <v>413</v>
          </cell>
          <cell r="D79">
            <v>20</v>
          </cell>
          <cell r="E79">
            <v>792030</v>
          </cell>
          <cell r="F79">
            <v>0</v>
          </cell>
          <cell r="G79" t="str">
            <v>Затраты по ШПЗ (неосновные)</v>
          </cell>
          <cell r="H79">
            <v>2030</v>
          </cell>
          <cell r="I79">
            <v>7920</v>
          </cell>
          <cell r="J79">
            <v>1.42</v>
          </cell>
          <cell r="K79">
            <v>1</v>
          </cell>
          <cell r="L79">
            <v>0</v>
          </cell>
          <cell r="M79">
            <v>0</v>
          </cell>
          <cell r="N79">
            <v>0</v>
          </cell>
          <cell r="R79">
            <v>0</v>
          </cell>
          <cell r="S79">
            <v>0</v>
          </cell>
          <cell r="T79">
            <v>0</v>
          </cell>
          <cell r="U79">
            <v>35</v>
          </cell>
          <cell r="V79">
            <v>0</v>
          </cell>
          <cell r="W79">
            <v>0</v>
          </cell>
          <cell r="AA79">
            <v>0</v>
          </cell>
          <cell r="AB79">
            <v>0</v>
          </cell>
          <cell r="AC79">
            <v>0</v>
          </cell>
          <cell r="AD79">
            <v>35</v>
          </cell>
          <cell r="AE79">
            <v>430240</v>
          </cell>
          <cell r="AF79">
            <v>0</v>
          </cell>
          <cell r="AI79">
            <v>2223</v>
          </cell>
          <cell r="AK79">
            <v>0</v>
          </cell>
          <cell r="AM79">
            <v>540</v>
          </cell>
          <cell r="AN79">
            <v>1</v>
          </cell>
          <cell r="AO79">
            <v>393216</v>
          </cell>
          <cell r="AQ79">
            <v>0</v>
          </cell>
          <cell r="AR79">
            <v>0</v>
          </cell>
          <cell r="AS79" t="str">
            <v>Ы</v>
          </cell>
          <cell r="AT79" t="str">
            <v>Ы</v>
          </cell>
          <cell r="AU79">
            <v>0</v>
          </cell>
          <cell r="AV79">
            <v>0</v>
          </cell>
          <cell r="AW79">
            <v>23</v>
          </cell>
          <cell r="AX79">
            <v>1</v>
          </cell>
          <cell r="AY79">
            <v>0</v>
          </cell>
          <cell r="AZ79">
            <v>0</v>
          </cell>
          <cell r="BA79">
            <v>0</v>
          </cell>
          <cell r="BB79">
            <v>0</v>
          </cell>
          <cell r="BC79">
            <v>38828</v>
          </cell>
        </row>
        <row r="80">
          <cell r="A80">
            <v>2006</v>
          </cell>
          <cell r="B80">
            <v>1</v>
          </cell>
          <cell r="C80">
            <v>414</v>
          </cell>
          <cell r="D80">
            <v>20</v>
          </cell>
          <cell r="E80">
            <v>792030</v>
          </cell>
          <cell r="F80">
            <v>0</v>
          </cell>
          <cell r="G80" t="str">
            <v>Затраты по ШПЗ (неосновные)</v>
          </cell>
          <cell r="H80">
            <v>2030</v>
          </cell>
          <cell r="I80">
            <v>7920</v>
          </cell>
          <cell r="J80">
            <v>127.51</v>
          </cell>
          <cell r="K80">
            <v>1</v>
          </cell>
          <cell r="L80">
            <v>0</v>
          </cell>
          <cell r="M80">
            <v>0</v>
          </cell>
          <cell r="N80">
            <v>0</v>
          </cell>
          <cell r="R80">
            <v>0</v>
          </cell>
          <cell r="S80">
            <v>0</v>
          </cell>
          <cell r="T80">
            <v>0</v>
          </cell>
          <cell r="U80">
            <v>35</v>
          </cell>
          <cell r="V80">
            <v>0</v>
          </cell>
          <cell r="W80">
            <v>0</v>
          </cell>
          <cell r="AA80">
            <v>0</v>
          </cell>
          <cell r="AB80">
            <v>0</v>
          </cell>
          <cell r="AC80">
            <v>0</v>
          </cell>
          <cell r="AD80">
            <v>35</v>
          </cell>
          <cell r="AE80">
            <v>450000</v>
          </cell>
          <cell r="AF80">
            <v>0</v>
          </cell>
          <cell r="AI80">
            <v>2223</v>
          </cell>
          <cell r="AK80">
            <v>0</v>
          </cell>
          <cell r="AM80">
            <v>541</v>
          </cell>
          <cell r="AN80">
            <v>1</v>
          </cell>
          <cell r="AO80">
            <v>393216</v>
          </cell>
          <cell r="AQ80">
            <v>0</v>
          </cell>
          <cell r="AR80">
            <v>0</v>
          </cell>
          <cell r="AS80" t="str">
            <v>Ы</v>
          </cell>
          <cell r="AT80" t="str">
            <v>Ы</v>
          </cell>
          <cell r="AU80">
            <v>0</v>
          </cell>
          <cell r="AV80">
            <v>0</v>
          </cell>
          <cell r="AW80">
            <v>23</v>
          </cell>
          <cell r="AX80">
            <v>1</v>
          </cell>
          <cell r="AY80">
            <v>0</v>
          </cell>
          <cell r="AZ80">
            <v>0</v>
          </cell>
          <cell r="BA80">
            <v>0</v>
          </cell>
          <cell r="BB80">
            <v>0</v>
          </cell>
          <cell r="BC80">
            <v>38828</v>
          </cell>
        </row>
        <row r="81">
          <cell r="A81">
            <v>2006</v>
          </cell>
          <cell r="B81">
            <v>1</v>
          </cell>
          <cell r="C81">
            <v>415</v>
          </cell>
          <cell r="D81">
            <v>20</v>
          </cell>
          <cell r="E81">
            <v>792030</v>
          </cell>
          <cell r="F81">
            <v>0</v>
          </cell>
          <cell r="G81" t="str">
            <v>Затраты по ШПЗ (неосновные)</v>
          </cell>
          <cell r="H81">
            <v>2030</v>
          </cell>
          <cell r="I81">
            <v>7920</v>
          </cell>
          <cell r="J81">
            <v>13.63</v>
          </cell>
          <cell r="K81">
            <v>1</v>
          </cell>
          <cell r="L81">
            <v>0</v>
          </cell>
          <cell r="M81">
            <v>0</v>
          </cell>
          <cell r="N81">
            <v>0</v>
          </cell>
          <cell r="R81">
            <v>0</v>
          </cell>
          <cell r="S81">
            <v>0</v>
          </cell>
          <cell r="T81">
            <v>0</v>
          </cell>
          <cell r="U81">
            <v>35</v>
          </cell>
          <cell r="V81">
            <v>0</v>
          </cell>
          <cell r="W81">
            <v>0</v>
          </cell>
          <cell r="AA81">
            <v>0</v>
          </cell>
          <cell r="AB81">
            <v>0</v>
          </cell>
          <cell r="AC81">
            <v>0</v>
          </cell>
          <cell r="AD81">
            <v>35</v>
          </cell>
          <cell r="AE81">
            <v>460000</v>
          </cell>
          <cell r="AF81">
            <v>0</v>
          </cell>
          <cell r="AI81">
            <v>2223</v>
          </cell>
          <cell r="AK81">
            <v>0</v>
          </cell>
          <cell r="AM81">
            <v>542</v>
          </cell>
          <cell r="AN81">
            <v>1</v>
          </cell>
          <cell r="AO81">
            <v>393216</v>
          </cell>
          <cell r="AQ81">
            <v>0</v>
          </cell>
          <cell r="AR81">
            <v>0</v>
          </cell>
          <cell r="AS81" t="str">
            <v>Ы</v>
          </cell>
          <cell r="AT81" t="str">
            <v>Ы</v>
          </cell>
          <cell r="AU81">
            <v>0</v>
          </cell>
          <cell r="AV81">
            <v>0</v>
          </cell>
          <cell r="AW81">
            <v>23</v>
          </cell>
          <cell r="AX81">
            <v>1</v>
          </cell>
          <cell r="AY81">
            <v>0</v>
          </cell>
          <cell r="AZ81">
            <v>0</v>
          </cell>
          <cell r="BA81">
            <v>0</v>
          </cell>
          <cell r="BB81">
            <v>0</v>
          </cell>
          <cell r="BC81">
            <v>38828</v>
          </cell>
        </row>
        <row r="82">
          <cell r="A82">
            <v>2006</v>
          </cell>
          <cell r="B82">
            <v>1</v>
          </cell>
          <cell r="C82">
            <v>416</v>
          </cell>
          <cell r="D82">
            <v>20</v>
          </cell>
          <cell r="E82">
            <v>792030</v>
          </cell>
          <cell r="F82">
            <v>0</v>
          </cell>
          <cell r="G82" t="str">
            <v>Затраты по ШПЗ (неосновные)</v>
          </cell>
          <cell r="H82">
            <v>2030</v>
          </cell>
          <cell r="I82">
            <v>7920</v>
          </cell>
          <cell r="J82">
            <v>3.57</v>
          </cell>
          <cell r="K82">
            <v>1</v>
          </cell>
          <cell r="L82">
            <v>0</v>
          </cell>
          <cell r="M82">
            <v>0</v>
          </cell>
          <cell r="N82">
            <v>0</v>
          </cell>
          <cell r="R82">
            <v>0</v>
          </cell>
          <cell r="S82">
            <v>0</v>
          </cell>
          <cell r="T82">
            <v>0</v>
          </cell>
          <cell r="U82">
            <v>35</v>
          </cell>
          <cell r="V82">
            <v>0</v>
          </cell>
          <cell r="W82">
            <v>0</v>
          </cell>
          <cell r="AA82">
            <v>0</v>
          </cell>
          <cell r="AB82">
            <v>0</v>
          </cell>
          <cell r="AC82">
            <v>0</v>
          </cell>
          <cell r="AD82">
            <v>35</v>
          </cell>
          <cell r="AE82">
            <v>465000</v>
          </cell>
          <cell r="AF82">
            <v>0</v>
          </cell>
          <cell r="AI82">
            <v>2223</v>
          </cell>
          <cell r="AK82">
            <v>0</v>
          </cell>
          <cell r="AM82">
            <v>543</v>
          </cell>
          <cell r="AN82">
            <v>1</v>
          </cell>
          <cell r="AO82">
            <v>393216</v>
          </cell>
          <cell r="AQ82">
            <v>0</v>
          </cell>
          <cell r="AR82">
            <v>0</v>
          </cell>
          <cell r="AS82" t="str">
            <v>Ы</v>
          </cell>
          <cell r="AT82" t="str">
            <v>Ы</v>
          </cell>
          <cell r="AU82">
            <v>0</v>
          </cell>
          <cell r="AV82">
            <v>0</v>
          </cell>
          <cell r="AW82">
            <v>23</v>
          </cell>
          <cell r="AX82">
            <v>1</v>
          </cell>
          <cell r="AY82">
            <v>0</v>
          </cell>
          <cell r="AZ82">
            <v>0</v>
          </cell>
          <cell r="BA82">
            <v>0</v>
          </cell>
          <cell r="BB82">
            <v>0</v>
          </cell>
          <cell r="BC82">
            <v>38828</v>
          </cell>
        </row>
        <row r="83">
          <cell r="A83">
            <v>2006</v>
          </cell>
          <cell r="B83">
            <v>1</v>
          </cell>
          <cell r="C83">
            <v>417</v>
          </cell>
          <cell r="D83">
            <v>20</v>
          </cell>
          <cell r="E83">
            <v>792030</v>
          </cell>
          <cell r="F83">
            <v>0</v>
          </cell>
          <cell r="G83" t="str">
            <v>Затраты по ШПЗ (неосновные)</v>
          </cell>
          <cell r="H83">
            <v>2030</v>
          </cell>
          <cell r="I83">
            <v>7920</v>
          </cell>
          <cell r="J83">
            <v>72.400000000000006</v>
          </cell>
          <cell r="K83">
            <v>1</v>
          </cell>
          <cell r="L83">
            <v>0</v>
          </cell>
          <cell r="M83">
            <v>0</v>
          </cell>
          <cell r="N83">
            <v>0</v>
          </cell>
          <cell r="R83">
            <v>0</v>
          </cell>
          <cell r="S83">
            <v>0</v>
          </cell>
          <cell r="T83">
            <v>0</v>
          </cell>
          <cell r="U83">
            <v>35</v>
          </cell>
          <cell r="V83">
            <v>0</v>
          </cell>
          <cell r="W83">
            <v>0</v>
          </cell>
          <cell r="AA83">
            <v>0</v>
          </cell>
          <cell r="AB83">
            <v>0</v>
          </cell>
          <cell r="AC83">
            <v>0</v>
          </cell>
          <cell r="AD83">
            <v>35</v>
          </cell>
          <cell r="AE83">
            <v>503000</v>
          </cell>
          <cell r="AF83">
            <v>0</v>
          </cell>
          <cell r="AI83">
            <v>2223</v>
          </cell>
          <cell r="AK83">
            <v>0</v>
          </cell>
          <cell r="AM83">
            <v>544</v>
          </cell>
          <cell r="AN83">
            <v>1</v>
          </cell>
          <cell r="AO83">
            <v>393216</v>
          </cell>
          <cell r="AQ83">
            <v>0</v>
          </cell>
          <cell r="AR83">
            <v>0</v>
          </cell>
          <cell r="AS83" t="str">
            <v>Ы</v>
          </cell>
          <cell r="AT83" t="str">
            <v>Ы</v>
          </cell>
          <cell r="AU83">
            <v>0</v>
          </cell>
          <cell r="AV83">
            <v>0</v>
          </cell>
          <cell r="AW83">
            <v>23</v>
          </cell>
          <cell r="AX83">
            <v>1</v>
          </cell>
          <cell r="AY83">
            <v>0</v>
          </cell>
          <cell r="AZ83">
            <v>0</v>
          </cell>
          <cell r="BA83">
            <v>0</v>
          </cell>
          <cell r="BB83">
            <v>0</v>
          </cell>
          <cell r="BC83">
            <v>38828</v>
          </cell>
        </row>
        <row r="84">
          <cell r="A84">
            <v>2006</v>
          </cell>
          <cell r="B84">
            <v>1</v>
          </cell>
          <cell r="C84">
            <v>418</v>
          </cell>
          <cell r="D84">
            <v>20</v>
          </cell>
          <cell r="E84">
            <v>792030</v>
          </cell>
          <cell r="F84">
            <v>0</v>
          </cell>
          <cell r="G84" t="str">
            <v>Затраты по ШПЗ (неосновные)</v>
          </cell>
          <cell r="H84">
            <v>2030</v>
          </cell>
          <cell r="I84">
            <v>7920</v>
          </cell>
          <cell r="J84">
            <v>29.79</v>
          </cell>
          <cell r="K84">
            <v>1</v>
          </cell>
          <cell r="L84">
            <v>0</v>
          </cell>
          <cell r="M84">
            <v>0</v>
          </cell>
          <cell r="N84">
            <v>0</v>
          </cell>
          <cell r="R84">
            <v>0</v>
          </cell>
          <cell r="S84">
            <v>0</v>
          </cell>
          <cell r="T84">
            <v>0</v>
          </cell>
          <cell r="U84">
            <v>35</v>
          </cell>
          <cell r="V84">
            <v>0</v>
          </cell>
          <cell r="W84">
            <v>0</v>
          </cell>
          <cell r="AA84">
            <v>0</v>
          </cell>
          <cell r="AB84">
            <v>0</v>
          </cell>
          <cell r="AC84">
            <v>0</v>
          </cell>
          <cell r="AD84">
            <v>35</v>
          </cell>
          <cell r="AE84">
            <v>504100</v>
          </cell>
          <cell r="AF84">
            <v>0</v>
          </cell>
          <cell r="AI84">
            <v>2223</v>
          </cell>
          <cell r="AK84">
            <v>0</v>
          </cell>
          <cell r="AM84">
            <v>545</v>
          </cell>
          <cell r="AN84">
            <v>1</v>
          </cell>
          <cell r="AO84">
            <v>393216</v>
          </cell>
          <cell r="AQ84">
            <v>0</v>
          </cell>
          <cell r="AR84">
            <v>0</v>
          </cell>
          <cell r="AS84" t="str">
            <v>Ы</v>
          </cell>
          <cell r="AT84" t="str">
            <v>Ы</v>
          </cell>
          <cell r="AU84">
            <v>0</v>
          </cell>
          <cell r="AV84">
            <v>0</v>
          </cell>
          <cell r="AW84">
            <v>23</v>
          </cell>
          <cell r="AX84">
            <v>1</v>
          </cell>
          <cell r="AY84">
            <v>0</v>
          </cell>
          <cell r="AZ84">
            <v>0</v>
          </cell>
          <cell r="BA84">
            <v>0</v>
          </cell>
          <cell r="BB84">
            <v>0</v>
          </cell>
          <cell r="BC84">
            <v>38828</v>
          </cell>
        </row>
        <row r="85">
          <cell r="A85">
            <v>2006</v>
          </cell>
          <cell r="B85">
            <v>1</v>
          </cell>
          <cell r="C85">
            <v>419</v>
          </cell>
          <cell r="D85">
            <v>20</v>
          </cell>
          <cell r="E85">
            <v>792030</v>
          </cell>
          <cell r="F85">
            <v>0</v>
          </cell>
          <cell r="G85" t="str">
            <v>Затраты по ШПЗ (неосновные)</v>
          </cell>
          <cell r="H85">
            <v>2030</v>
          </cell>
          <cell r="I85">
            <v>7920</v>
          </cell>
          <cell r="J85">
            <v>11.79</v>
          </cell>
          <cell r="K85">
            <v>1</v>
          </cell>
          <cell r="L85">
            <v>0</v>
          </cell>
          <cell r="M85">
            <v>0</v>
          </cell>
          <cell r="N85">
            <v>0</v>
          </cell>
          <cell r="R85">
            <v>0</v>
          </cell>
          <cell r="S85">
            <v>0</v>
          </cell>
          <cell r="T85">
            <v>0</v>
          </cell>
          <cell r="U85">
            <v>35</v>
          </cell>
          <cell r="V85">
            <v>0</v>
          </cell>
          <cell r="W85">
            <v>0</v>
          </cell>
          <cell r="AA85">
            <v>0</v>
          </cell>
          <cell r="AB85">
            <v>0</v>
          </cell>
          <cell r="AC85">
            <v>0</v>
          </cell>
          <cell r="AD85">
            <v>35</v>
          </cell>
          <cell r="AE85">
            <v>504200</v>
          </cell>
          <cell r="AF85">
            <v>0</v>
          </cell>
          <cell r="AI85">
            <v>2223</v>
          </cell>
          <cell r="AK85">
            <v>0</v>
          </cell>
          <cell r="AM85">
            <v>546</v>
          </cell>
          <cell r="AN85">
            <v>1</v>
          </cell>
          <cell r="AO85">
            <v>393216</v>
          </cell>
          <cell r="AQ85">
            <v>0</v>
          </cell>
          <cell r="AR85">
            <v>0</v>
          </cell>
          <cell r="AS85" t="str">
            <v>Ы</v>
          </cell>
          <cell r="AT85" t="str">
            <v>Ы</v>
          </cell>
          <cell r="AU85">
            <v>0</v>
          </cell>
          <cell r="AV85">
            <v>0</v>
          </cell>
          <cell r="AW85">
            <v>23</v>
          </cell>
          <cell r="AX85">
            <v>1</v>
          </cell>
          <cell r="AY85">
            <v>0</v>
          </cell>
          <cell r="AZ85">
            <v>0</v>
          </cell>
          <cell r="BA85">
            <v>0</v>
          </cell>
          <cell r="BB85">
            <v>0</v>
          </cell>
          <cell r="BC85">
            <v>38828</v>
          </cell>
        </row>
        <row r="86">
          <cell r="A86">
            <v>2006</v>
          </cell>
          <cell r="B86">
            <v>1</v>
          </cell>
          <cell r="C86">
            <v>420</v>
          </cell>
          <cell r="D86">
            <v>20</v>
          </cell>
          <cell r="E86">
            <v>792030</v>
          </cell>
          <cell r="F86">
            <v>0</v>
          </cell>
          <cell r="G86" t="str">
            <v>Затраты по ШПЗ (неосновные)</v>
          </cell>
          <cell r="H86">
            <v>2030</v>
          </cell>
          <cell r="I86">
            <v>7920</v>
          </cell>
          <cell r="J86">
            <v>2.95</v>
          </cell>
          <cell r="K86">
            <v>1</v>
          </cell>
          <cell r="L86">
            <v>0</v>
          </cell>
          <cell r="M86">
            <v>0</v>
          </cell>
          <cell r="N86">
            <v>0</v>
          </cell>
          <cell r="R86">
            <v>0</v>
          </cell>
          <cell r="S86">
            <v>0</v>
          </cell>
          <cell r="T86">
            <v>0</v>
          </cell>
          <cell r="U86">
            <v>35</v>
          </cell>
          <cell r="V86">
            <v>0</v>
          </cell>
          <cell r="W86">
            <v>0</v>
          </cell>
          <cell r="AA86">
            <v>0</v>
          </cell>
          <cell r="AB86">
            <v>0</v>
          </cell>
          <cell r="AC86">
            <v>0</v>
          </cell>
          <cell r="AD86">
            <v>35</v>
          </cell>
          <cell r="AE86">
            <v>504400</v>
          </cell>
          <cell r="AF86">
            <v>0</v>
          </cell>
          <cell r="AI86">
            <v>2223</v>
          </cell>
          <cell r="AK86">
            <v>0</v>
          </cell>
          <cell r="AM86">
            <v>547</v>
          </cell>
          <cell r="AN86">
            <v>1</v>
          </cell>
          <cell r="AO86">
            <v>393216</v>
          </cell>
          <cell r="AQ86">
            <v>0</v>
          </cell>
          <cell r="AR86">
            <v>0</v>
          </cell>
          <cell r="AS86" t="str">
            <v>Ы</v>
          </cell>
          <cell r="AT86" t="str">
            <v>Ы</v>
          </cell>
          <cell r="AU86">
            <v>0</v>
          </cell>
          <cell r="AV86">
            <v>0</v>
          </cell>
          <cell r="AW86">
            <v>23</v>
          </cell>
          <cell r="AX86">
            <v>1</v>
          </cell>
          <cell r="AY86">
            <v>0</v>
          </cell>
          <cell r="AZ86">
            <v>0</v>
          </cell>
          <cell r="BA86">
            <v>0</v>
          </cell>
          <cell r="BB86">
            <v>0</v>
          </cell>
          <cell r="BC86">
            <v>38828</v>
          </cell>
        </row>
        <row r="87">
          <cell r="A87">
            <v>2006</v>
          </cell>
          <cell r="B87">
            <v>1</v>
          </cell>
          <cell r="C87">
            <v>421</v>
          </cell>
          <cell r="D87">
            <v>20</v>
          </cell>
          <cell r="E87">
            <v>792030</v>
          </cell>
          <cell r="F87">
            <v>0</v>
          </cell>
          <cell r="G87" t="str">
            <v>Затраты по ШПЗ (неосновные)</v>
          </cell>
          <cell r="H87">
            <v>2030</v>
          </cell>
          <cell r="I87">
            <v>7920</v>
          </cell>
          <cell r="J87">
            <v>119.58</v>
          </cell>
          <cell r="K87">
            <v>1</v>
          </cell>
          <cell r="L87">
            <v>0</v>
          </cell>
          <cell r="M87">
            <v>0</v>
          </cell>
          <cell r="N87">
            <v>0</v>
          </cell>
          <cell r="R87">
            <v>0</v>
          </cell>
          <cell r="S87">
            <v>0</v>
          </cell>
          <cell r="T87">
            <v>0</v>
          </cell>
          <cell r="U87">
            <v>35</v>
          </cell>
          <cell r="V87">
            <v>0</v>
          </cell>
          <cell r="W87">
            <v>0</v>
          </cell>
          <cell r="AA87">
            <v>0</v>
          </cell>
          <cell r="AB87">
            <v>0</v>
          </cell>
          <cell r="AC87">
            <v>0</v>
          </cell>
          <cell r="AD87">
            <v>35</v>
          </cell>
          <cell r="AE87">
            <v>505100</v>
          </cell>
          <cell r="AF87">
            <v>0</v>
          </cell>
          <cell r="AI87">
            <v>2223</v>
          </cell>
          <cell r="AK87">
            <v>0</v>
          </cell>
          <cell r="AM87">
            <v>548</v>
          </cell>
          <cell r="AN87">
            <v>1</v>
          </cell>
          <cell r="AO87">
            <v>393216</v>
          </cell>
          <cell r="AQ87">
            <v>0</v>
          </cell>
          <cell r="AR87">
            <v>0</v>
          </cell>
          <cell r="AS87" t="str">
            <v>Ы</v>
          </cell>
          <cell r="AT87" t="str">
            <v>Ы</v>
          </cell>
          <cell r="AU87">
            <v>0</v>
          </cell>
          <cell r="AV87">
            <v>0</v>
          </cell>
          <cell r="AW87">
            <v>23</v>
          </cell>
          <cell r="AX87">
            <v>1</v>
          </cell>
          <cell r="AY87">
            <v>0</v>
          </cell>
          <cell r="AZ87">
            <v>0</v>
          </cell>
          <cell r="BA87">
            <v>0</v>
          </cell>
          <cell r="BB87">
            <v>0</v>
          </cell>
          <cell r="BC87">
            <v>38828</v>
          </cell>
        </row>
        <row r="88">
          <cell r="A88">
            <v>2006</v>
          </cell>
          <cell r="B88">
            <v>1</v>
          </cell>
          <cell r="C88">
            <v>422</v>
          </cell>
          <cell r="D88">
            <v>20</v>
          </cell>
          <cell r="E88">
            <v>792030</v>
          </cell>
          <cell r="F88">
            <v>0</v>
          </cell>
          <cell r="G88" t="str">
            <v>Затраты по ШПЗ (неосновные)</v>
          </cell>
          <cell r="H88">
            <v>2030</v>
          </cell>
          <cell r="I88">
            <v>7920</v>
          </cell>
          <cell r="J88">
            <v>1813.74</v>
          </cell>
          <cell r="K88">
            <v>1</v>
          </cell>
          <cell r="L88">
            <v>0</v>
          </cell>
          <cell r="M88">
            <v>0</v>
          </cell>
          <cell r="N88">
            <v>0</v>
          </cell>
          <cell r="R88">
            <v>0</v>
          </cell>
          <cell r="S88">
            <v>0</v>
          </cell>
          <cell r="T88">
            <v>0</v>
          </cell>
          <cell r="U88">
            <v>35</v>
          </cell>
          <cell r="V88">
            <v>0</v>
          </cell>
          <cell r="W88">
            <v>0</v>
          </cell>
          <cell r="AA88">
            <v>0</v>
          </cell>
          <cell r="AB88">
            <v>0</v>
          </cell>
          <cell r="AC88">
            <v>0</v>
          </cell>
          <cell r="AD88">
            <v>35</v>
          </cell>
          <cell r="AE88">
            <v>508310</v>
          </cell>
          <cell r="AF88">
            <v>0</v>
          </cell>
          <cell r="AI88">
            <v>2223</v>
          </cell>
          <cell r="AK88">
            <v>0</v>
          </cell>
          <cell r="AM88">
            <v>549</v>
          </cell>
          <cell r="AN88">
            <v>1</v>
          </cell>
          <cell r="AO88">
            <v>393216</v>
          </cell>
          <cell r="AQ88">
            <v>0</v>
          </cell>
          <cell r="AR88">
            <v>0</v>
          </cell>
          <cell r="AS88" t="str">
            <v>Ы</v>
          </cell>
          <cell r="AT88" t="str">
            <v>Ы</v>
          </cell>
          <cell r="AU88">
            <v>0</v>
          </cell>
          <cell r="AV88">
            <v>0</v>
          </cell>
          <cell r="AW88">
            <v>23</v>
          </cell>
          <cell r="AX88">
            <v>1</v>
          </cell>
          <cell r="AY88">
            <v>0</v>
          </cell>
          <cell r="AZ88">
            <v>0</v>
          </cell>
          <cell r="BA88">
            <v>0</v>
          </cell>
          <cell r="BB88">
            <v>0</v>
          </cell>
          <cell r="BC88">
            <v>38828</v>
          </cell>
        </row>
        <row r="89">
          <cell r="A89">
            <v>2006</v>
          </cell>
          <cell r="B89">
            <v>1</v>
          </cell>
          <cell r="C89">
            <v>423</v>
          </cell>
          <cell r="D89">
            <v>20</v>
          </cell>
          <cell r="E89">
            <v>792030</v>
          </cell>
          <cell r="F89">
            <v>0</v>
          </cell>
          <cell r="G89" t="str">
            <v>Затраты по ШПЗ (неосновные)</v>
          </cell>
          <cell r="H89">
            <v>2030</v>
          </cell>
          <cell r="I89">
            <v>7920</v>
          </cell>
          <cell r="J89">
            <v>322.45999999999998</v>
          </cell>
          <cell r="K89">
            <v>1</v>
          </cell>
          <cell r="L89">
            <v>0</v>
          </cell>
          <cell r="M89">
            <v>0</v>
          </cell>
          <cell r="N89">
            <v>0</v>
          </cell>
          <cell r="R89">
            <v>0</v>
          </cell>
          <cell r="S89">
            <v>0</v>
          </cell>
          <cell r="T89">
            <v>0</v>
          </cell>
          <cell r="U89">
            <v>35</v>
          </cell>
          <cell r="V89">
            <v>0</v>
          </cell>
          <cell r="W89">
            <v>0</v>
          </cell>
          <cell r="AA89">
            <v>0</v>
          </cell>
          <cell r="AB89">
            <v>0</v>
          </cell>
          <cell r="AC89">
            <v>0</v>
          </cell>
          <cell r="AD89">
            <v>35</v>
          </cell>
          <cell r="AE89">
            <v>510100</v>
          </cell>
          <cell r="AF89">
            <v>0</v>
          </cell>
          <cell r="AI89">
            <v>2223</v>
          </cell>
          <cell r="AK89">
            <v>0</v>
          </cell>
          <cell r="AM89">
            <v>550</v>
          </cell>
          <cell r="AN89">
            <v>1</v>
          </cell>
          <cell r="AO89">
            <v>393216</v>
          </cell>
          <cell r="AQ89">
            <v>0</v>
          </cell>
          <cell r="AR89">
            <v>0</v>
          </cell>
          <cell r="AS89" t="str">
            <v>Ы</v>
          </cell>
          <cell r="AT89" t="str">
            <v>Ы</v>
          </cell>
          <cell r="AU89">
            <v>0</v>
          </cell>
          <cell r="AV89">
            <v>0</v>
          </cell>
          <cell r="AW89">
            <v>23</v>
          </cell>
          <cell r="AX89">
            <v>1</v>
          </cell>
          <cell r="AY89">
            <v>0</v>
          </cell>
          <cell r="AZ89">
            <v>0</v>
          </cell>
          <cell r="BA89">
            <v>0</v>
          </cell>
          <cell r="BB89">
            <v>0</v>
          </cell>
          <cell r="BC89">
            <v>38828</v>
          </cell>
        </row>
        <row r="90">
          <cell r="A90">
            <v>2006</v>
          </cell>
          <cell r="B90">
            <v>1</v>
          </cell>
          <cell r="C90">
            <v>424</v>
          </cell>
          <cell r="D90">
            <v>20</v>
          </cell>
          <cell r="E90">
            <v>792030</v>
          </cell>
          <cell r="F90">
            <v>0</v>
          </cell>
          <cell r="G90" t="str">
            <v>Затраты по ШПЗ (неосновные)</v>
          </cell>
          <cell r="H90">
            <v>2030</v>
          </cell>
          <cell r="I90">
            <v>7920</v>
          </cell>
          <cell r="J90">
            <v>1.43</v>
          </cell>
          <cell r="K90">
            <v>1</v>
          </cell>
          <cell r="L90">
            <v>0</v>
          </cell>
          <cell r="M90">
            <v>0</v>
          </cell>
          <cell r="N90">
            <v>0</v>
          </cell>
          <cell r="R90">
            <v>0</v>
          </cell>
          <cell r="S90">
            <v>0</v>
          </cell>
          <cell r="T90">
            <v>0</v>
          </cell>
          <cell r="U90">
            <v>35</v>
          </cell>
          <cell r="V90">
            <v>0</v>
          </cell>
          <cell r="W90">
            <v>0</v>
          </cell>
          <cell r="AA90">
            <v>0</v>
          </cell>
          <cell r="AB90">
            <v>0</v>
          </cell>
          <cell r="AC90">
            <v>0</v>
          </cell>
          <cell r="AD90">
            <v>35</v>
          </cell>
          <cell r="AE90">
            <v>510200</v>
          </cell>
          <cell r="AF90">
            <v>0</v>
          </cell>
          <cell r="AI90">
            <v>2223</v>
          </cell>
          <cell r="AK90">
            <v>0</v>
          </cell>
          <cell r="AM90">
            <v>551</v>
          </cell>
          <cell r="AN90">
            <v>1</v>
          </cell>
          <cell r="AO90">
            <v>393216</v>
          </cell>
          <cell r="AQ90">
            <v>0</v>
          </cell>
          <cell r="AR90">
            <v>0</v>
          </cell>
          <cell r="AS90" t="str">
            <v>Ы</v>
          </cell>
          <cell r="AT90" t="str">
            <v>Ы</v>
          </cell>
          <cell r="AU90">
            <v>0</v>
          </cell>
          <cell r="AV90">
            <v>0</v>
          </cell>
          <cell r="AW90">
            <v>23</v>
          </cell>
          <cell r="AX90">
            <v>1</v>
          </cell>
          <cell r="AY90">
            <v>0</v>
          </cell>
          <cell r="AZ90">
            <v>0</v>
          </cell>
          <cell r="BA90">
            <v>0</v>
          </cell>
          <cell r="BB90">
            <v>0</v>
          </cell>
          <cell r="BC90">
            <v>38828</v>
          </cell>
        </row>
        <row r="91">
          <cell r="A91">
            <v>2006</v>
          </cell>
          <cell r="B91">
            <v>1</v>
          </cell>
          <cell r="C91">
            <v>425</v>
          </cell>
          <cell r="D91">
            <v>20</v>
          </cell>
          <cell r="E91">
            <v>792030</v>
          </cell>
          <cell r="F91">
            <v>0</v>
          </cell>
          <cell r="G91" t="str">
            <v>Затраты по ШПЗ (неосновные)</v>
          </cell>
          <cell r="H91">
            <v>2030</v>
          </cell>
          <cell r="I91">
            <v>7920</v>
          </cell>
          <cell r="J91">
            <v>10.44</v>
          </cell>
          <cell r="K91">
            <v>1</v>
          </cell>
          <cell r="L91">
            <v>0</v>
          </cell>
          <cell r="M91">
            <v>0</v>
          </cell>
          <cell r="N91">
            <v>0</v>
          </cell>
          <cell r="R91">
            <v>0</v>
          </cell>
          <cell r="S91">
            <v>0</v>
          </cell>
          <cell r="T91">
            <v>0</v>
          </cell>
          <cell r="U91">
            <v>35</v>
          </cell>
          <cell r="V91">
            <v>0</v>
          </cell>
          <cell r="W91">
            <v>0</v>
          </cell>
          <cell r="AA91">
            <v>0</v>
          </cell>
          <cell r="AB91">
            <v>0</v>
          </cell>
          <cell r="AC91">
            <v>0</v>
          </cell>
          <cell r="AD91">
            <v>35</v>
          </cell>
          <cell r="AE91">
            <v>510400</v>
          </cell>
          <cell r="AF91">
            <v>0</v>
          </cell>
          <cell r="AI91">
            <v>2223</v>
          </cell>
          <cell r="AK91">
            <v>0</v>
          </cell>
          <cell r="AM91">
            <v>552</v>
          </cell>
          <cell r="AN91">
            <v>1</v>
          </cell>
          <cell r="AO91">
            <v>393216</v>
          </cell>
          <cell r="AQ91">
            <v>0</v>
          </cell>
          <cell r="AR91">
            <v>0</v>
          </cell>
          <cell r="AS91" t="str">
            <v>Ы</v>
          </cell>
          <cell r="AT91" t="str">
            <v>Ы</v>
          </cell>
          <cell r="AU91">
            <v>0</v>
          </cell>
          <cell r="AV91">
            <v>0</v>
          </cell>
          <cell r="AW91">
            <v>23</v>
          </cell>
          <cell r="AX91">
            <v>1</v>
          </cell>
          <cell r="AY91">
            <v>0</v>
          </cell>
          <cell r="AZ91">
            <v>0</v>
          </cell>
          <cell r="BA91">
            <v>0</v>
          </cell>
          <cell r="BB91">
            <v>0</v>
          </cell>
          <cell r="BC91">
            <v>38828</v>
          </cell>
        </row>
        <row r="92">
          <cell r="A92">
            <v>2006</v>
          </cell>
          <cell r="B92">
            <v>1</v>
          </cell>
          <cell r="C92">
            <v>426</v>
          </cell>
          <cell r="D92">
            <v>20</v>
          </cell>
          <cell r="E92">
            <v>792030</v>
          </cell>
          <cell r="F92">
            <v>0</v>
          </cell>
          <cell r="G92" t="str">
            <v>Затраты по ШПЗ (неосновные)</v>
          </cell>
          <cell r="H92">
            <v>2030</v>
          </cell>
          <cell r="I92">
            <v>7920</v>
          </cell>
          <cell r="J92">
            <v>1158.77</v>
          </cell>
          <cell r="K92">
            <v>1</v>
          </cell>
          <cell r="L92">
            <v>0</v>
          </cell>
          <cell r="M92">
            <v>0</v>
          </cell>
          <cell r="N92">
            <v>0</v>
          </cell>
          <cell r="R92">
            <v>0</v>
          </cell>
          <cell r="S92">
            <v>0</v>
          </cell>
          <cell r="T92">
            <v>0</v>
          </cell>
          <cell r="U92">
            <v>35</v>
          </cell>
          <cell r="V92">
            <v>0</v>
          </cell>
          <cell r="W92">
            <v>0</v>
          </cell>
          <cell r="AA92">
            <v>0</v>
          </cell>
          <cell r="AB92">
            <v>0</v>
          </cell>
          <cell r="AC92">
            <v>0</v>
          </cell>
          <cell r="AD92">
            <v>35</v>
          </cell>
          <cell r="AE92">
            <v>510600</v>
          </cell>
          <cell r="AF92">
            <v>0</v>
          </cell>
          <cell r="AI92">
            <v>2223</v>
          </cell>
          <cell r="AK92">
            <v>0</v>
          </cell>
          <cell r="AM92">
            <v>553</v>
          </cell>
          <cell r="AN92">
            <v>1</v>
          </cell>
          <cell r="AO92">
            <v>393216</v>
          </cell>
          <cell r="AQ92">
            <v>0</v>
          </cell>
          <cell r="AR92">
            <v>0</v>
          </cell>
          <cell r="AS92" t="str">
            <v>Ы</v>
          </cell>
          <cell r="AT92" t="str">
            <v>Ы</v>
          </cell>
          <cell r="AU92">
            <v>0</v>
          </cell>
          <cell r="AV92">
            <v>0</v>
          </cell>
          <cell r="AW92">
            <v>23</v>
          </cell>
          <cell r="AX92">
            <v>1</v>
          </cell>
          <cell r="AY92">
            <v>0</v>
          </cell>
          <cell r="AZ92">
            <v>0</v>
          </cell>
          <cell r="BA92">
            <v>0</v>
          </cell>
          <cell r="BB92">
            <v>0</v>
          </cell>
          <cell r="BC92">
            <v>38828</v>
          </cell>
        </row>
        <row r="93">
          <cell r="A93">
            <v>2006</v>
          </cell>
          <cell r="B93">
            <v>1</v>
          </cell>
          <cell r="C93">
            <v>427</v>
          </cell>
          <cell r="D93">
            <v>20</v>
          </cell>
          <cell r="E93">
            <v>792030</v>
          </cell>
          <cell r="F93">
            <v>0</v>
          </cell>
          <cell r="G93" t="str">
            <v>Затраты по ШПЗ (неосновные)</v>
          </cell>
          <cell r="H93">
            <v>2030</v>
          </cell>
          <cell r="I93">
            <v>7920</v>
          </cell>
          <cell r="J93">
            <v>0.06</v>
          </cell>
          <cell r="K93">
            <v>1</v>
          </cell>
          <cell r="L93">
            <v>0</v>
          </cell>
          <cell r="M93">
            <v>0</v>
          </cell>
          <cell r="N93">
            <v>0</v>
          </cell>
          <cell r="R93">
            <v>0</v>
          </cell>
          <cell r="S93">
            <v>0</v>
          </cell>
          <cell r="T93">
            <v>0</v>
          </cell>
          <cell r="U93">
            <v>35</v>
          </cell>
          <cell r="V93">
            <v>0</v>
          </cell>
          <cell r="W93">
            <v>0</v>
          </cell>
          <cell r="AA93">
            <v>0</v>
          </cell>
          <cell r="AB93">
            <v>0</v>
          </cell>
          <cell r="AC93">
            <v>0</v>
          </cell>
          <cell r="AD93">
            <v>35</v>
          </cell>
          <cell r="AE93">
            <v>512000</v>
          </cell>
          <cell r="AF93">
            <v>0</v>
          </cell>
          <cell r="AI93">
            <v>2223</v>
          </cell>
          <cell r="AK93">
            <v>0</v>
          </cell>
          <cell r="AM93">
            <v>554</v>
          </cell>
          <cell r="AN93">
            <v>1</v>
          </cell>
          <cell r="AO93">
            <v>393216</v>
          </cell>
          <cell r="AQ93">
            <v>0</v>
          </cell>
          <cell r="AR93">
            <v>0</v>
          </cell>
          <cell r="AS93" t="str">
            <v>Ы</v>
          </cell>
          <cell r="AT93" t="str">
            <v>Ы</v>
          </cell>
          <cell r="AU93">
            <v>0</v>
          </cell>
          <cell r="AV93">
            <v>0</v>
          </cell>
          <cell r="AW93">
            <v>23</v>
          </cell>
          <cell r="AX93">
            <v>1</v>
          </cell>
          <cell r="AY93">
            <v>0</v>
          </cell>
          <cell r="AZ93">
            <v>0</v>
          </cell>
          <cell r="BA93">
            <v>0</v>
          </cell>
          <cell r="BB93">
            <v>0</v>
          </cell>
          <cell r="BC93">
            <v>38828</v>
          </cell>
        </row>
        <row r="94">
          <cell r="A94">
            <v>2006</v>
          </cell>
          <cell r="B94">
            <v>1</v>
          </cell>
          <cell r="C94">
            <v>482</v>
          </cell>
          <cell r="D94">
            <v>20</v>
          </cell>
          <cell r="E94">
            <v>792030</v>
          </cell>
          <cell r="F94">
            <v>0</v>
          </cell>
          <cell r="G94" t="str">
            <v>Затраты по ШПЗ (неосновные)</v>
          </cell>
          <cell r="H94">
            <v>2030</v>
          </cell>
          <cell r="I94">
            <v>7920</v>
          </cell>
          <cell r="J94">
            <v>459.63</v>
          </cell>
          <cell r="K94">
            <v>1</v>
          </cell>
          <cell r="L94">
            <v>0</v>
          </cell>
          <cell r="M94">
            <v>0</v>
          </cell>
          <cell r="N94">
            <v>0</v>
          </cell>
          <cell r="R94">
            <v>0</v>
          </cell>
          <cell r="S94">
            <v>0</v>
          </cell>
          <cell r="T94">
            <v>0</v>
          </cell>
          <cell r="U94">
            <v>38</v>
          </cell>
          <cell r="V94">
            <v>0</v>
          </cell>
          <cell r="W94">
            <v>0</v>
          </cell>
          <cell r="AA94">
            <v>0</v>
          </cell>
          <cell r="AB94">
            <v>0</v>
          </cell>
          <cell r="AC94">
            <v>0</v>
          </cell>
          <cell r="AD94">
            <v>38</v>
          </cell>
          <cell r="AE94">
            <v>110000</v>
          </cell>
          <cell r="AF94">
            <v>0</v>
          </cell>
          <cell r="AI94">
            <v>2223</v>
          </cell>
          <cell r="AK94">
            <v>0</v>
          </cell>
          <cell r="AM94">
            <v>609</v>
          </cell>
          <cell r="AN94">
            <v>1</v>
          </cell>
          <cell r="AO94">
            <v>393216</v>
          </cell>
          <cell r="AQ94">
            <v>0</v>
          </cell>
          <cell r="AR94">
            <v>0</v>
          </cell>
          <cell r="AS94" t="str">
            <v>Ы</v>
          </cell>
          <cell r="AT94" t="str">
            <v>Ы</v>
          </cell>
          <cell r="AU94">
            <v>0</v>
          </cell>
          <cell r="AV94">
            <v>0</v>
          </cell>
          <cell r="AW94">
            <v>23</v>
          </cell>
          <cell r="AX94">
            <v>1</v>
          </cell>
          <cell r="AY94">
            <v>0</v>
          </cell>
          <cell r="AZ94">
            <v>0</v>
          </cell>
          <cell r="BA94">
            <v>0</v>
          </cell>
          <cell r="BB94">
            <v>0</v>
          </cell>
          <cell r="BC94">
            <v>38828</v>
          </cell>
        </row>
        <row r="95">
          <cell r="A95">
            <v>2006</v>
          </cell>
          <cell r="B95">
            <v>1</v>
          </cell>
          <cell r="C95">
            <v>483</v>
          </cell>
          <cell r="D95">
            <v>20</v>
          </cell>
          <cell r="E95">
            <v>792030</v>
          </cell>
          <cell r="F95">
            <v>0</v>
          </cell>
          <cell r="G95" t="str">
            <v>Затраты по ШПЗ (неосновные)</v>
          </cell>
          <cell r="H95">
            <v>2030</v>
          </cell>
          <cell r="I95">
            <v>7920</v>
          </cell>
          <cell r="J95">
            <v>28.31</v>
          </cell>
          <cell r="K95">
            <v>1</v>
          </cell>
          <cell r="L95">
            <v>0</v>
          </cell>
          <cell r="M95">
            <v>0</v>
          </cell>
          <cell r="N95">
            <v>0</v>
          </cell>
          <cell r="R95">
            <v>0</v>
          </cell>
          <cell r="S95">
            <v>0</v>
          </cell>
          <cell r="T95">
            <v>0</v>
          </cell>
          <cell r="U95">
            <v>38</v>
          </cell>
          <cell r="V95">
            <v>0</v>
          </cell>
          <cell r="W95">
            <v>0</v>
          </cell>
          <cell r="AA95">
            <v>0</v>
          </cell>
          <cell r="AB95">
            <v>0</v>
          </cell>
          <cell r="AC95">
            <v>0</v>
          </cell>
          <cell r="AD95">
            <v>38</v>
          </cell>
          <cell r="AE95">
            <v>114020</v>
          </cell>
          <cell r="AF95">
            <v>0</v>
          </cell>
          <cell r="AI95">
            <v>2223</v>
          </cell>
          <cell r="AK95">
            <v>0</v>
          </cell>
          <cell r="AM95">
            <v>610</v>
          </cell>
          <cell r="AN95">
            <v>1</v>
          </cell>
          <cell r="AO95">
            <v>393216</v>
          </cell>
          <cell r="AQ95">
            <v>0</v>
          </cell>
          <cell r="AR95">
            <v>0</v>
          </cell>
          <cell r="AS95" t="str">
            <v>Ы</v>
          </cell>
          <cell r="AT95" t="str">
            <v>Ы</v>
          </cell>
          <cell r="AU95">
            <v>0</v>
          </cell>
          <cell r="AV95">
            <v>0</v>
          </cell>
          <cell r="AW95">
            <v>23</v>
          </cell>
          <cell r="AX95">
            <v>1</v>
          </cell>
          <cell r="AY95">
            <v>0</v>
          </cell>
          <cell r="AZ95">
            <v>0</v>
          </cell>
          <cell r="BA95">
            <v>0</v>
          </cell>
          <cell r="BB95">
            <v>0</v>
          </cell>
          <cell r="BC95">
            <v>38828</v>
          </cell>
        </row>
        <row r="96">
          <cell r="A96">
            <v>2006</v>
          </cell>
          <cell r="B96">
            <v>1</v>
          </cell>
          <cell r="C96">
            <v>484</v>
          </cell>
          <cell r="D96">
            <v>20</v>
          </cell>
          <cell r="E96">
            <v>792030</v>
          </cell>
          <cell r="F96">
            <v>0</v>
          </cell>
          <cell r="G96" t="str">
            <v>Затраты по ШПЗ (неосновные)</v>
          </cell>
          <cell r="H96">
            <v>2030</v>
          </cell>
          <cell r="I96">
            <v>7920</v>
          </cell>
          <cell r="J96">
            <v>95.77</v>
          </cell>
          <cell r="K96">
            <v>1</v>
          </cell>
          <cell r="L96">
            <v>0</v>
          </cell>
          <cell r="M96">
            <v>0</v>
          </cell>
          <cell r="N96">
            <v>0</v>
          </cell>
          <cell r="R96">
            <v>0</v>
          </cell>
          <cell r="S96">
            <v>0</v>
          </cell>
          <cell r="T96">
            <v>0</v>
          </cell>
          <cell r="U96">
            <v>38</v>
          </cell>
          <cell r="V96">
            <v>0</v>
          </cell>
          <cell r="W96">
            <v>0</v>
          </cell>
          <cell r="AA96">
            <v>0</v>
          </cell>
          <cell r="AB96">
            <v>0</v>
          </cell>
          <cell r="AC96">
            <v>0</v>
          </cell>
          <cell r="AD96">
            <v>38</v>
          </cell>
          <cell r="AE96">
            <v>117000</v>
          </cell>
          <cell r="AF96">
            <v>0</v>
          </cell>
          <cell r="AI96">
            <v>2223</v>
          </cell>
          <cell r="AK96">
            <v>0</v>
          </cell>
          <cell r="AM96">
            <v>611</v>
          </cell>
          <cell r="AN96">
            <v>1</v>
          </cell>
          <cell r="AO96">
            <v>393216</v>
          </cell>
          <cell r="AQ96">
            <v>0</v>
          </cell>
          <cell r="AR96">
            <v>0</v>
          </cell>
          <cell r="AS96" t="str">
            <v>Ы</v>
          </cell>
          <cell r="AT96" t="str">
            <v>Ы</v>
          </cell>
          <cell r="AU96">
            <v>0</v>
          </cell>
          <cell r="AV96">
            <v>0</v>
          </cell>
          <cell r="AW96">
            <v>23</v>
          </cell>
          <cell r="AX96">
            <v>1</v>
          </cell>
          <cell r="AY96">
            <v>0</v>
          </cell>
          <cell r="AZ96">
            <v>0</v>
          </cell>
          <cell r="BA96">
            <v>0</v>
          </cell>
          <cell r="BB96">
            <v>0</v>
          </cell>
          <cell r="BC96">
            <v>38828</v>
          </cell>
        </row>
        <row r="97">
          <cell r="A97">
            <v>2006</v>
          </cell>
          <cell r="B97">
            <v>1</v>
          </cell>
          <cell r="C97">
            <v>485</v>
          </cell>
          <cell r="D97">
            <v>20</v>
          </cell>
          <cell r="E97">
            <v>792030</v>
          </cell>
          <cell r="F97">
            <v>0</v>
          </cell>
          <cell r="G97" t="str">
            <v>Затраты по ШПЗ (неосновные)</v>
          </cell>
          <cell r="H97">
            <v>2030</v>
          </cell>
          <cell r="I97">
            <v>7920</v>
          </cell>
          <cell r="J97">
            <v>297.39</v>
          </cell>
          <cell r="K97">
            <v>1</v>
          </cell>
          <cell r="L97">
            <v>0</v>
          </cell>
          <cell r="M97">
            <v>0</v>
          </cell>
          <cell r="N97">
            <v>0</v>
          </cell>
          <cell r="R97">
            <v>0</v>
          </cell>
          <cell r="S97">
            <v>0</v>
          </cell>
          <cell r="T97">
            <v>0</v>
          </cell>
          <cell r="U97">
            <v>38</v>
          </cell>
          <cell r="V97">
            <v>0</v>
          </cell>
          <cell r="W97">
            <v>0</v>
          </cell>
          <cell r="AA97">
            <v>0</v>
          </cell>
          <cell r="AB97">
            <v>0</v>
          </cell>
          <cell r="AC97">
            <v>0</v>
          </cell>
          <cell r="AD97">
            <v>38</v>
          </cell>
          <cell r="AE97">
            <v>118000</v>
          </cell>
          <cell r="AF97">
            <v>0</v>
          </cell>
          <cell r="AI97">
            <v>2223</v>
          </cell>
          <cell r="AK97">
            <v>0</v>
          </cell>
          <cell r="AM97">
            <v>612</v>
          </cell>
          <cell r="AN97">
            <v>1</v>
          </cell>
          <cell r="AO97">
            <v>393216</v>
          </cell>
          <cell r="AQ97">
            <v>0</v>
          </cell>
          <cell r="AR97">
            <v>0</v>
          </cell>
          <cell r="AS97" t="str">
            <v>Ы</v>
          </cell>
          <cell r="AT97" t="str">
            <v>Ы</v>
          </cell>
          <cell r="AU97">
            <v>0</v>
          </cell>
          <cell r="AV97">
            <v>0</v>
          </cell>
          <cell r="AW97">
            <v>23</v>
          </cell>
          <cell r="AX97">
            <v>1</v>
          </cell>
          <cell r="AY97">
            <v>0</v>
          </cell>
          <cell r="AZ97">
            <v>0</v>
          </cell>
          <cell r="BA97">
            <v>0</v>
          </cell>
          <cell r="BB97">
            <v>0</v>
          </cell>
          <cell r="BC97">
            <v>38828</v>
          </cell>
        </row>
        <row r="98">
          <cell r="A98">
            <v>2006</v>
          </cell>
          <cell r="B98">
            <v>1</v>
          </cell>
          <cell r="C98">
            <v>486</v>
          </cell>
          <cell r="D98">
            <v>20</v>
          </cell>
          <cell r="E98">
            <v>792030</v>
          </cell>
          <cell r="F98">
            <v>0</v>
          </cell>
          <cell r="G98" t="str">
            <v>Затраты по ШПЗ (неосновные)</v>
          </cell>
          <cell r="H98">
            <v>2030</v>
          </cell>
          <cell r="I98">
            <v>7920</v>
          </cell>
          <cell r="J98">
            <v>36.299999999999997</v>
          </cell>
          <cell r="K98">
            <v>1</v>
          </cell>
          <cell r="L98">
            <v>0</v>
          </cell>
          <cell r="M98">
            <v>0</v>
          </cell>
          <cell r="N98">
            <v>0</v>
          </cell>
          <cell r="R98">
            <v>0</v>
          </cell>
          <cell r="S98">
            <v>0</v>
          </cell>
          <cell r="T98">
            <v>0</v>
          </cell>
          <cell r="U98">
            <v>38</v>
          </cell>
          <cell r="V98">
            <v>0</v>
          </cell>
          <cell r="W98">
            <v>0</v>
          </cell>
          <cell r="AA98">
            <v>0</v>
          </cell>
          <cell r="AB98">
            <v>0</v>
          </cell>
          <cell r="AC98">
            <v>0</v>
          </cell>
          <cell r="AD98">
            <v>38</v>
          </cell>
          <cell r="AE98">
            <v>130100</v>
          </cell>
          <cell r="AF98">
            <v>0</v>
          </cell>
          <cell r="AI98">
            <v>2223</v>
          </cell>
          <cell r="AK98">
            <v>0</v>
          </cell>
          <cell r="AM98">
            <v>613</v>
          </cell>
          <cell r="AN98">
            <v>1</v>
          </cell>
          <cell r="AO98">
            <v>393216</v>
          </cell>
          <cell r="AQ98">
            <v>0</v>
          </cell>
          <cell r="AR98">
            <v>0</v>
          </cell>
          <cell r="AS98" t="str">
            <v>Ы</v>
          </cell>
          <cell r="AT98" t="str">
            <v>Ы</v>
          </cell>
          <cell r="AU98">
            <v>0</v>
          </cell>
          <cell r="AV98">
            <v>0</v>
          </cell>
          <cell r="AW98">
            <v>23</v>
          </cell>
          <cell r="AX98">
            <v>1</v>
          </cell>
          <cell r="AY98">
            <v>0</v>
          </cell>
          <cell r="AZ98">
            <v>0</v>
          </cell>
          <cell r="BA98">
            <v>0</v>
          </cell>
          <cell r="BB98">
            <v>0</v>
          </cell>
          <cell r="BC98">
            <v>38828</v>
          </cell>
        </row>
        <row r="99">
          <cell r="A99">
            <v>2006</v>
          </cell>
          <cell r="B99">
            <v>1</v>
          </cell>
          <cell r="C99">
            <v>487</v>
          </cell>
          <cell r="D99">
            <v>20</v>
          </cell>
          <cell r="E99">
            <v>792030</v>
          </cell>
          <cell r="F99">
            <v>0</v>
          </cell>
          <cell r="G99" t="str">
            <v>Затраты по ШПЗ (неосновные)</v>
          </cell>
          <cell r="H99">
            <v>2030</v>
          </cell>
          <cell r="I99">
            <v>7920</v>
          </cell>
          <cell r="J99">
            <v>11.88</v>
          </cell>
          <cell r="K99">
            <v>1</v>
          </cell>
          <cell r="L99">
            <v>0</v>
          </cell>
          <cell r="M99">
            <v>0</v>
          </cell>
          <cell r="N99">
            <v>0</v>
          </cell>
          <cell r="R99">
            <v>0</v>
          </cell>
          <cell r="S99">
            <v>0</v>
          </cell>
          <cell r="T99">
            <v>0</v>
          </cell>
          <cell r="U99">
            <v>38</v>
          </cell>
          <cell r="V99">
            <v>0</v>
          </cell>
          <cell r="W99">
            <v>0</v>
          </cell>
          <cell r="AA99">
            <v>0</v>
          </cell>
          <cell r="AB99">
            <v>0</v>
          </cell>
          <cell r="AC99">
            <v>0</v>
          </cell>
          <cell r="AD99">
            <v>38</v>
          </cell>
          <cell r="AE99">
            <v>131000</v>
          </cell>
          <cell r="AF99">
            <v>0</v>
          </cell>
          <cell r="AI99">
            <v>2223</v>
          </cell>
          <cell r="AK99">
            <v>0</v>
          </cell>
          <cell r="AM99">
            <v>614</v>
          </cell>
          <cell r="AN99">
            <v>1</v>
          </cell>
          <cell r="AO99">
            <v>393216</v>
          </cell>
          <cell r="AQ99">
            <v>0</v>
          </cell>
          <cell r="AR99">
            <v>0</v>
          </cell>
          <cell r="AS99" t="str">
            <v>Ы</v>
          </cell>
          <cell r="AT99" t="str">
            <v>Ы</v>
          </cell>
          <cell r="AU99">
            <v>0</v>
          </cell>
          <cell r="AV99">
            <v>0</v>
          </cell>
          <cell r="AW99">
            <v>23</v>
          </cell>
          <cell r="AX99">
            <v>1</v>
          </cell>
          <cell r="AY99">
            <v>0</v>
          </cell>
          <cell r="AZ99">
            <v>0</v>
          </cell>
          <cell r="BA99">
            <v>0</v>
          </cell>
          <cell r="BB99">
            <v>0</v>
          </cell>
          <cell r="BC99">
            <v>38828</v>
          </cell>
        </row>
        <row r="100">
          <cell r="A100">
            <v>2006</v>
          </cell>
          <cell r="B100">
            <v>1</v>
          </cell>
          <cell r="C100">
            <v>488</v>
          </cell>
          <cell r="D100">
            <v>20</v>
          </cell>
          <cell r="E100">
            <v>792030</v>
          </cell>
          <cell r="F100">
            <v>0</v>
          </cell>
          <cell r="G100" t="str">
            <v>Затраты по ШПЗ (неосновные)</v>
          </cell>
          <cell r="H100">
            <v>2030</v>
          </cell>
          <cell r="I100">
            <v>7920</v>
          </cell>
          <cell r="J100">
            <v>39.68</v>
          </cell>
          <cell r="K100">
            <v>1</v>
          </cell>
          <cell r="L100">
            <v>0</v>
          </cell>
          <cell r="M100">
            <v>0</v>
          </cell>
          <cell r="N100">
            <v>0</v>
          </cell>
          <cell r="R100">
            <v>0</v>
          </cell>
          <cell r="S100">
            <v>0</v>
          </cell>
          <cell r="T100">
            <v>0</v>
          </cell>
          <cell r="U100">
            <v>38</v>
          </cell>
          <cell r="V100">
            <v>0</v>
          </cell>
          <cell r="W100">
            <v>0</v>
          </cell>
          <cell r="AA100">
            <v>0</v>
          </cell>
          <cell r="AB100">
            <v>0</v>
          </cell>
          <cell r="AC100">
            <v>0</v>
          </cell>
          <cell r="AD100">
            <v>38</v>
          </cell>
          <cell r="AE100">
            <v>132000</v>
          </cell>
          <cell r="AF100">
            <v>0</v>
          </cell>
          <cell r="AI100">
            <v>2223</v>
          </cell>
          <cell r="AK100">
            <v>0</v>
          </cell>
          <cell r="AM100">
            <v>615</v>
          </cell>
          <cell r="AN100">
            <v>1</v>
          </cell>
          <cell r="AO100">
            <v>393216</v>
          </cell>
          <cell r="AQ100">
            <v>0</v>
          </cell>
          <cell r="AR100">
            <v>0</v>
          </cell>
          <cell r="AS100" t="str">
            <v>Ы</v>
          </cell>
          <cell r="AT100" t="str">
            <v>Ы</v>
          </cell>
          <cell r="AU100">
            <v>0</v>
          </cell>
          <cell r="AV100">
            <v>0</v>
          </cell>
          <cell r="AW100">
            <v>23</v>
          </cell>
          <cell r="AX100">
            <v>1</v>
          </cell>
          <cell r="AY100">
            <v>0</v>
          </cell>
          <cell r="AZ100">
            <v>0</v>
          </cell>
          <cell r="BA100">
            <v>0</v>
          </cell>
          <cell r="BB100">
            <v>0</v>
          </cell>
          <cell r="BC100">
            <v>38828</v>
          </cell>
        </row>
        <row r="101">
          <cell r="A101">
            <v>2006</v>
          </cell>
          <cell r="B101">
            <v>1</v>
          </cell>
          <cell r="C101">
            <v>489</v>
          </cell>
          <cell r="D101">
            <v>20</v>
          </cell>
          <cell r="E101">
            <v>792030</v>
          </cell>
          <cell r="F101">
            <v>0</v>
          </cell>
          <cell r="G101" t="str">
            <v>Затраты по ШПЗ (неосновные)</v>
          </cell>
          <cell r="H101">
            <v>2030</v>
          </cell>
          <cell r="I101">
            <v>7920</v>
          </cell>
          <cell r="J101">
            <v>6.12</v>
          </cell>
          <cell r="K101">
            <v>1</v>
          </cell>
          <cell r="L101">
            <v>0</v>
          </cell>
          <cell r="M101">
            <v>0</v>
          </cell>
          <cell r="N101">
            <v>0</v>
          </cell>
          <cell r="R101">
            <v>0</v>
          </cell>
          <cell r="S101">
            <v>0</v>
          </cell>
          <cell r="T101">
            <v>0</v>
          </cell>
          <cell r="U101">
            <v>38</v>
          </cell>
          <cell r="V101">
            <v>0</v>
          </cell>
          <cell r="W101">
            <v>0</v>
          </cell>
          <cell r="AA101">
            <v>0</v>
          </cell>
          <cell r="AB101">
            <v>0</v>
          </cell>
          <cell r="AC101">
            <v>0</v>
          </cell>
          <cell r="AD101">
            <v>38</v>
          </cell>
          <cell r="AE101">
            <v>135000</v>
          </cell>
          <cell r="AF101">
            <v>0</v>
          </cell>
          <cell r="AI101">
            <v>2223</v>
          </cell>
          <cell r="AK101">
            <v>0</v>
          </cell>
          <cell r="AM101">
            <v>616</v>
          </cell>
          <cell r="AN101">
            <v>1</v>
          </cell>
          <cell r="AO101">
            <v>393216</v>
          </cell>
          <cell r="AQ101">
            <v>0</v>
          </cell>
          <cell r="AR101">
            <v>0</v>
          </cell>
          <cell r="AS101" t="str">
            <v>Ы</v>
          </cell>
          <cell r="AT101" t="str">
            <v>Ы</v>
          </cell>
          <cell r="AU101">
            <v>0</v>
          </cell>
          <cell r="AV101">
            <v>0</v>
          </cell>
          <cell r="AW101">
            <v>23</v>
          </cell>
          <cell r="AX101">
            <v>1</v>
          </cell>
          <cell r="AY101">
            <v>0</v>
          </cell>
          <cell r="AZ101">
            <v>0</v>
          </cell>
          <cell r="BA101">
            <v>0</v>
          </cell>
          <cell r="BB101">
            <v>0</v>
          </cell>
          <cell r="BC101">
            <v>38828</v>
          </cell>
        </row>
        <row r="102">
          <cell r="A102">
            <v>2006</v>
          </cell>
          <cell r="B102">
            <v>1</v>
          </cell>
          <cell r="C102">
            <v>490</v>
          </cell>
          <cell r="D102">
            <v>20</v>
          </cell>
          <cell r="E102">
            <v>792030</v>
          </cell>
          <cell r="F102">
            <v>0</v>
          </cell>
          <cell r="G102" t="str">
            <v>Затраты по ШПЗ (неосновные)</v>
          </cell>
          <cell r="H102">
            <v>2030</v>
          </cell>
          <cell r="I102">
            <v>7920</v>
          </cell>
          <cell r="J102">
            <v>402.06</v>
          </cell>
          <cell r="K102">
            <v>1</v>
          </cell>
          <cell r="L102">
            <v>0</v>
          </cell>
          <cell r="M102">
            <v>0</v>
          </cell>
          <cell r="N102">
            <v>0</v>
          </cell>
          <cell r="R102">
            <v>0</v>
          </cell>
          <cell r="S102">
            <v>0</v>
          </cell>
          <cell r="T102">
            <v>0</v>
          </cell>
          <cell r="U102">
            <v>38</v>
          </cell>
          <cell r="V102">
            <v>0</v>
          </cell>
          <cell r="W102">
            <v>0</v>
          </cell>
          <cell r="AA102">
            <v>0</v>
          </cell>
          <cell r="AB102">
            <v>0</v>
          </cell>
          <cell r="AC102">
            <v>0</v>
          </cell>
          <cell r="AD102">
            <v>38</v>
          </cell>
          <cell r="AE102">
            <v>143000</v>
          </cell>
          <cell r="AF102">
            <v>0</v>
          </cell>
          <cell r="AI102">
            <v>2223</v>
          </cell>
          <cell r="AK102">
            <v>0</v>
          </cell>
          <cell r="AM102">
            <v>617</v>
          </cell>
          <cell r="AN102">
            <v>1</v>
          </cell>
          <cell r="AO102">
            <v>393216</v>
          </cell>
          <cell r="AQ102">
            <v>0</v>
          </cell>
          <cell r="AR102">
            <v>0</v>
          </cell>
          <cell r="AS102" t="str">
            <v>Ы</v>
          </cell>
          <cell r="AT102" t="str">
            <v>Ы</v>
          </cell>
          <cell r="AU102">
            <v>0</v>
          </cell>
          <cell r="AV102">
            <v>0</v>
          </cell>
          <cell r="AW102">
            <v>23</v>
          </cell>
          <cell r="AX102">
            <v>1</v>
          </cell>
          <cell r="AY102">
            <v>0</v>
          </cell>
          <cell r="AZ102">
            <v>0</v>
          </cell>
          <cell r="BA102">
            <v>0</v>
          </cell>
          <cell r="BB102">
            <v>0</v>
          </cell>
          <cell r="BC102">
            <v>38828</v>
          </cell>
        </row>
        <row r="103">
          <cell r="A103">
            <v>2006</v>
          </cell>
          <cell r="B103">
            <v>1</v>
          </cell>
          <cell r="C103">
            <v>491</v>
          </cell>
          <cell r="D103">
            <v>20</v>
          </cell>
          <cell r="E103">
            <v>792030</v>
          </cell>
          <cell r="F103">
            <v>0</v>
          </cell>
          <cell r="G103" t="str">
            <v>Затраты по ШПЗ (неосновные)</v>
          </cell>
          <cell r="H103">
            <v>2030</v>
          </cell>
          <cell r="I103">
            <v>7920</v>
          </cell>
          <cell r="J103">
            <v>35</v>
          </cell>
          <cell r="K103">
            <v>1</v>
          </cell>
          <cell r="L103">
            <v>0</v>
          </cell>
          <cell r="M103">
            <v>0</v>
          </cell>
          <cell r="N103">
            <v>0</v>
          </cell>
          <cell r="R103">
            <v>0</v>
          </cell>
          <cell r="S103">
            <v>0</v>
          </cell>
          <cell r="T103">
            <v>0</v>
          </cell>
          <cell r="U103">
            <v>38</v>
          </cell>
          <cell r="V103">
            <v>0</v>
          </cell>
          <cell r="W103">
            <v>0</v>
          </cell>
          <cell r="AA103">
            <v>0</v>
          </cell>
          <cell r="AB103">
            <v>0</v>
          </cell>
          <cell r="AC103">
            <v>0</v>
          </cell>
          <cell r="AD103">
            <v>38</v>
          </cell>
          <cell r="AE103">
            <v>151000</v>
          </cell>
          <cell r="AF103">
            <v>0</v>
          </cell>
          <cell r="AI103">
            <v>2223</v>
          </cell>
          <cell r="AK103">
            <v>0</v>
          </cell>
          <cell r="AM103">
            <v>618</v>
          </cell>
          <cell r="AN103">
            <v>1</v>
          </cell>
          <cell r="AO103">
            <v>393216</v>
          </cell>
          <cell r="AQ103">
            <v>0</v>
          </cell>
          <cell r="AR103">
            <v>0</v>
          </cell>
          <cell r="AS103" t="str">
            <v>Ы</v>
          </cell>
          <cell r="AT103" t="str">
            <v>Ы</v>
          </cell>
          <cell r="AU103">
            <v>0</v>
          </cell>
          <cell r="AV103">
            <v>0</v>
          </cell>
          <cell r="AW103">
            <v>23</v>
          </cell>
          <cell r="AX103">
            <v>1</v>
          </cell>
          <cell r="AY103">
            <v>0</v>
          </cell>
          <cell r="AZ103">
            <v>0</v>
          </cell>
          <cell r="BA103">
            <v>0</v>
          </cell>
          <cell r="BB103">
            <v>0</v>
          </cell>
          <cell r="BC103">
            <v>38828</v>
          </cell>
        </row>
        <row r="104">
          <cell r="A104">
            <v>2006</v>
          </cell>
          <cell r="B104">
            <v>1</v>
          </cell>
          <cell r="C104">
            <v>492</v>
          </cell>
          <cell r="D104">
            <v>20</v>
          </cell>
          <cell r="E104">
            <v>792030</v>
          </cell>
          <cell r="F104">
            <v>0</v>
          </cell>
          <cell r="G104" t="str">
            <v>Затраты по ШПЗ (неосновные)</v>
          </cell>
          <cell r="H104">
            <v>2030</v>
          </cell>
          <cell r="I104">
            <v>7920</v>
          </cell>
          <cell r="J104">
            <v>50</v>
          </cell>
          <cell r="K104">
            <v>1</v>
          </cell>
          <cell r="L104">
            <v>0</v>
          </cell>
          <cell r="M104">
            <v>0</v>
          </cell>
          <cell r="N104">
            <v>0</v>
          </cell>
          <cell r="R104">
            <v>0</v>
          </cell>
          <cell r="S104">
            <v>0</v>
          </cell>
          <cell r="T104">
            <v>0</v>
          </cell>
          <cell r="U104">
            <v>38</v>
          </cell>
          <cell r="V104">
            <v>0</v>
          </cell>
          <cell r="W104">
            <v>0</v>
          </cell>
          <cell r="AA104">
            <v>0</v>
          </cell>
          <cell r="AB104">
            <v>0</v>
          </cell>
          <cell r="AC104">
            <v>0</v>
          </cell>
          <cell r="AD104">
            <v>38</v>
          </cell>
          <cell r="AE104">
            <v>152000</v>
          </cell>
          <cell r="AF104">
            <v>0</v>
          </cell>
          <cell r="AI104">
            <v>2223</v>
          </cell>
          <cell r="AK104">
            <v>0</v>
          </cell>
          <cell r="AM104">
            <v>619</v>
          </cell>
          <cell r="AN104">
            <v>1</v>
          </cell>
          <cell r="AO104">
            <v>393216</v>
          </cell>
          <cell r="AQ104">
            <v>0</v>
          </cell>
          <cell r="AR104">
            <v>0</v>
          </cell>
          <cell r="AS104" t="str">
            <v>Ы</v>
          </cell>
          <cell r="AT104" t="str">
            <v>Ы</v>
          </cell>
          <cell r="AU104">
            <v>0</v>
          </cell>
          <cell r="AV104">
            <v>0</v>
          </cell>
          <cell r="AW104">
            <v>23</v>
          </cell>
          <cell r="AX104">
            <v>1</v>
          </cell>
          <cell r="AY104">
            <v>0</v>
          </cell>
          <cell r="AZ104">
            <v>0</v>
          </cell>
          <cell r="BA104">
            <v>0</v>
          </cell>
          <cell r="BB104">
            <v>0</v>
          </cell>
          <cell r="BC104">
            <v>38828</v>
          </cell>
        </row>
        <row r="105">
          <cell r="A105">
            <v>2006</v>
          </cell>
          <cell r="B105">
            <v>1</v>
          </cell>
          <cell r="C105">
            <v>493</v>
          </cell>
          <cell r="D105">
            <v>20</v>
          </cell>
          <cell r="E105">
            <v>792030</v>
          </cell>
          <cell r="F105">
            <v>0</v>
          </cell>
          <cell r="G105" t="str">
            <v>Затраты по ШПЗ (неосновные)</v>
          </cell>
          <cell r="H105">
            <v>2030</v>
          </cell>
          <cell r="I105">
            <v>7920</v>
          </cell>
          <cell r="J105">
            <v>27542.39</v>
          </cell>
          <cell r="K105">
            <v>1</v>
          </cell>
          <cell r="L105">
            <v>0</v>
          </cell>
          <cell r="M105">
            <v>0</v>
          </cell>
          <cell r="N105">
            <v>0</v>
          </cell>
          <cell r="R105">
            <v>0</v>
          </cell>
          <cell r="S105">
            <v>0</v>
          </cell>
          <cell r="T105">
            <v>0</v>
          </cell>
          <cell r="U105">
            <v>38</v>
          </cell>
          <cell r="V105">
            <v>0</v>
          </cell>
          <cell r="W105">
            <v>0</v>
          </cell>
          <cell r="AA105">
            <v>0</v>
          </cell>
          <cell r="AB105">
            <v>0</v>
          </cell>
          <cell r="AC105">
            <v>0</v>
          </cell>
          <cell r="AD105">
            <v>38</v>
          </cell>
          <cell r="AE105">
            <v>220000</v>
          </cell>
          <cell r="AF105">
            <v>0</v>
          </cell>
          <cell r="AI105">
            <v>2223</v>
          </cell>
          <cell r="AK105">
            <v>0</v>
          </cell>
          <cell r="AM105">
            <v>620</v>
          </cell>
          <cell r="AN105">
            <v>1</v>
          </cell>
          <cell r="AO105">
            <v>393216</v>
          </cell>
          <cell r="AQ105">
            <v>0</v>
          </cell>
          <cell r="AR105">
            <v>0</v>
          </cell>
          <cell r="AS105" t="str">
            <v>Ы</v>
          </cell>
          <cell r="AT105" t="str">
            <v>Ы</v>
          </cell>
          <cell r="AU105">
            <v>0</v>
          </cell>
          <cell r="AV105">
            <v>0</v>
          </cell>
          <cell r="AW105">
            <v>23</v>
          </cell>
          <cell r="AX105">
            <v>1</v>
          </cell>
          <cell r="AY105">
            <v>0</v>
          </cell>
          <cell r="AZ105">
            <v>0</v>
          </cell>
          <cell r="BA105">
            <v>0</v>
          </cell>
          <cell r="BB105">
            <v>0</v>
          </cell>
          <cell r="BC105">
            <v>38828</v>
          </cell>
        </row>
        <row r="106">
          <cell r="A106">
            <v>2006</v>
          </cell>
          <cell r="B106">
            <v>1</v>
          </cell>
          <cell r="C106">
            <v>494</v>
          </cell>
          <cell r="D106">
            <v>20</v>
          </cell>
          <cell r="E106">
            <v>792030</v>
          </cell>
          <cell r="F106">
            <v>0</v>
          </cell>
          <cell r="G106" t="str">
            <v>Затраты по ШПЗ (неосновные)</v>
          </cell>
          <cell r="H106">
            <v>2030</v>
          </cell>
          <cell r="I106">
            <v>7920</v>
          </cell>
          <cell r="J106">
            <v>798.74</v>
          </cell>
          <cell r="K106">
            <v>1</v>
          </cell>
          <cell r="L106">
            <v>0</v>
          </cell>
          <cell r="M106">
            <v>0</v>
          </cell>
          <cell r="N106">
            <v>0</v>
          </cell>
          <cell r="R106">
            <v>0</v>
          </cell>
          <cell r="S106">
            <v>0</v>
          </cell>
          <cell r="T106">
            <v>0</v>
          </cell>
          <cell r="U106">
            <v>38</v>
          </cell>
          <cell r="V106">
            <v>0</v>
          </cell>
          <cell r="W106">
            <v>0</v>
          </cell>
          <cell r="AA106">
            <v>0</v>
          </cell>
          <cell r="AB106">
            <v>0</v>
          </cell>
          <cell r="AC106">
            <v>0</v>
          </cell>
          <cell r="AD106">
            <v>38</v>
          </cell>
          <cell r="AE106">
            <v>311000</v>
          </cell>
          <cell r="AF106">
            <v>0</v>
          </cell>
          <cell r="AI106">
            <v>2223</v>
          </cell>
          <cell r="AK106">
            <v>0</v>
          </cell>
          <cell r="AM106">
            <v>621</v>
          </cell>
          <cell r="AN106">
            <v>1</v>
          </cell>
          <cell r="AO106">
            <v>393216</v>
          </cell>
          <cell r="AQ106">
            <v>0</v>
          </cell>
          <cell r="AR106">
            <v>0</v>
          </cell>
          <cell r="AS106" t="str">
            <v>Ы</v>
          </cell>
          <cell r="AT106" t="str">
            <v>Ы</v>
          </cell>
          <cell r="AU106">
            <v>0</v>
          </cell>
          <cell r="AV106">
            <v>0</v>
          </cell>
          <cell r="AW106">
            <v>23</v>
          </cell>
          <cell r="AX106">
            <v>1</v>
          </cell>
          <cell r="AY106">
            <v>0</v>
          </cell>
          <cell r="AZ106">
            <v>0</v>
          </cell>
          <cell r="BA106">
            <v>0</v>
          </cell>
          <cell r="BB106">
            <v>0</v>
          </cell>
          <cell r="BC106">
            <v>38828</v>
          </cell>
        </row>
        <row r="107">
          <cell r="A107">
            <v>2006</v>
          </cell>
          <cell r="B107">
            <v>1</v>
          </cell>
          <cell r="C107">
            <v>495</v>
          </cell>
          <cell r="D107">
            <v>20</v>
          </cell>
          <cell r="E107">
            <v>792030</v>
          </cell>
          <cell r="F107">
            <v>0</v>
          </cell>
          <cell r="G107" t="str">
            <v>Затраты по ШПЗ (неосновные)</v>
          </cell>
          <cell r="H107">
            <v>2030</v>
          </cell>
          <cell r="I107">
            <v>7920</v>
          </cell>
          <cell r="J107">
            <v>1652.56</v>
          </cell>
          <cell r="K107">
            <v>1</v>
          </cell>
          <cell r="L107">
            <v>0</v>
          </cell>
          <cell r="M107">
            <v>0</v>
          </cell>
          <cell r="N107">
            <v>0</v>
          </cell>
          <cell r="R107">
            <v>0</v>
          </cell>
          <cell r="S107">
            <v>0</v>
          </cell>
          <cell r="T107">
            <v>0</v>
          </cell>
          <cell r="U107">
            <v>38</v>
          </cell>
          <cell r="V107">
            <v>0</v>
          </cell>
          <cell r="W107">
            <v>0</v>
          </cell>
          <cell r="AA107">
            <v>0</v>
          </cell>
          <cell r="AB107">
            <v>0</v>
          </cell>
          <cell r="AC107">
            <v>0</v>
          </cell>
          <cell r="AD107">
            <v>38</v>
          </cell>
          <cell r="AE107">
            <v>312000</v>
          </cell>
          <cell r="AF107">
            <v>0</v>
          </cell>
          <cell r="AI107">
            <v>2223</v>
          </cell>
          <cell r="AK107">
            <v>0</v>
          </cell>
          <cell r="AM107">
            <v>622</v>
          </cell>
          <cell r="AN107">
            <v>1</v>
          </cell>
          <cell r="AO107">
            <v>393216</v>
          </cell>
          <cell r="AQ107">
            <v>0</v>
          </cell>
          <cell r="AR107">
            <v>0</v>
          </cell>
          <cell r="AS107" t="str">
            <v>Ы</v>
          </cell>
          <cell r="AT107" t="str">
            <v>Ы</v>
          </cell>
          <cell r="AU107">
            <v>0</v>
          </cell>
          <cell r="AV107">
            <v>0</v>
          </cell>
          <cell r="AW107">
            <v>23</v>
          </cell>
          <cell r="AX107">
            <v>1</v>
          </cell>
          <cell r="AY107">
            <v>0</v>
          </cell>
          <cell r="AZ107">
            <v>0</v>
          </cell>
          <cell r="BA107">
            <v>0</v>
          </cell>
          <cell r="BB107">
            <v>0</v>
          </cell>
          <cell r="BC107">
            <v>38828</v>
          </cell>
        </row>
        <row r="108">
          <cell r="A108">
            <v>2006</v>
          </cell>
          <cell r="B108">
            <v>1</v>
          </cell>
          <cell r="C108">
            <v>496</v>
          </cell>
          <cell r="D108">
            <v>20</v>
          </cell>
          <cell r="E108">
            <v>792030</v>
          </cell>
          <cell r="F108">
            <v>0</v>
          </cell>
          <cell r="G108" t="str">
            <v>Затраты по ШПЗ (неосновные)</v>
          </cell>
          <cell r="H108">
            <v>2030</v>
          </cell>
          <cell r="I108">
            <v>7920</v>
          </cell>
          <cell r="J108">
            <v>3855.93</v>
          </cell>
          <cell r="K108">
            <v>1</v>
          </cell>
          <cell r="L108">
            <v>0</v>
          </cell>
          <cell r="M108">
            <v>0</v>
          </cell>
          <cell r="N108">
            <v>0</v>
          </cell>
          <cell r="R108">
            <v>0</v>
          </cell>
          <cell r="S108">
            <v>0</v>
          </cell>
          <cell r="T108">
            <v>0</v>
          </cell>
          <cell r="U108">
            <v>38</v>
          </cell>
          <cell r="V108">
            <v>0</v>
          </cell>
          <cell r="W108">
            <v>0</v>
          </cell>
          <cell r="AA108">
            <v>0</v>
          </cell>
          <cell r="AB108">
            <v>0</v>
          </cell>
          <cell r="AC108">
            <v>0</v>
          </cell>
          <cell r="AD108">
            <v>38</v>
          </cell>
          <cell r="AE108">
            <v>312200</v>
          </cell>
          <cell r="AF108">
            <v>0</v>
          </cell>
          <cell r="AI108">
            <v>2223</v>
          </cell>
          <cell r="AK108">
            <v>0</v>
          </cell>
          <cell r="AM108">
            <v>623</v>
          </cell>
          <cell r="AN108">
            <v>1</v>
          </cell>
          <cell r="AO108">
            <v>393216</v>
          </cell>
          <cell r="AQ108">
            <v>0</v>
          </cell>
          <cell r="AR108">
            <v>0</v>
          </cell>
          <cell r="AS108" t="str">
            <v>Ы</v>
          </cell>
          <cell r="AT108" t="str">
            <v>Ы</v>
          </cell>
          <cell r="AU108">
            <v>0</v>
          </cell>
          <cell r="AV108">
            <v>0</v>
          </cell>
          <cell r="AW108">
            <v>23</v>
          </cell>
          <cell r="AX108">
            <v>1</v>
          </cell>
          <cell r="AY108">
            <v>0</v>
          </cell>
          <cell r="AZ108">
            <v>0</v>
          </cell>
          <cell r="BA108">
            <v>0</v>
          </cell>
          <cell r="BB108">
            <v>0</v>
          </cell>
          <cell r="BC108">
            <v>38828</v>
          </cell>
        </row>
        <row r="109">
          <cell r="A109">
            <v>2006</v>
          </cell>
          <cell r="B109">
            <v>1</v>
          </cell>
          <cell r="C109">
            <v>497</v>
          </cell>
          <cell r="D109">
            <v>20</v>
          </cell>
          <cell r="E109">
            <v>792030</v>
          </cell>
          <cell r="F109">
            <v>0</v>
          </cell>
          <cell r="G109" t="str">
            <v>Затраты по ШПЗ (неосновные)</v>
          </cell>
          <cell r="H109">
            <v>2030</v>
          </cell>
          <cell r="I109">
            <v>7920</v>
          </cell>
          <cell r="J109">
            <v>302.95999999999998</v>
          </cell>
          <cell r="K109">
            <v>1</v>
          </cell>
          <cell r="L109">
            <v>0</v>
          </cell>
          <cell r="M109">
            <v>0</v>
          </cell>
          <cell r="N109">
            <v>0</v>
          </cell>
          <cell r="R109">
            <v>0</v>
          </cell>
          <cell r="S109">
            <v>0</v>
          </cell>
          <cell r="T109">
            <v>0</v>
          </cell>
          <cell r="U109">
            <v>38</v>
          </cell>
          <cell r="V109">
            <v>0</v>
          </cell>
          <cell r="W109">
            <v>0</v>
          </cell>
          <cell r="AA109">
            <v>0</v>
          </cell>
          <cell r="AB109">
            <v>0</v>
          </cell>
          <cell r="AC109">
            <v>0</v>
          </cell>
          <cell r="AD109">
            <v>38</v>
          </cell>
          <cell r="AE109">
            <v>313000</v>
          </cell>
          <cell r="AF109">
            <v>0</v>
          </cell>
          <cell r="AI109">
            <v>2223</v>
          </cell>
          <cell r="AK109">
            <v>0</v>
          </cell>
          <cell r="AM109">
            <v>624</v>
          </cell>
          <cell r="AN109">
            <v>1</v>
          </cell>
          <cell r="AO109">
            <v>393216</v>
          </cell>
          <cell r="AQ109">
            <v>0</v>
          </cell>
          <cell r="AR109">
            <v>0</v>
          </cell>
          <cell r="AS109" t="str">
            <v>Ы</v>
          </cell>
          <cell r="AT109" t="str">
            <v>Ы</v>
          </cell>
          <cell r="AU109">
            <v>0</v>
          </cell>
          <cell r="AV109">
            <v>0</v>
          </cell>
          <cell r="AW109">
            <v>23</v>
          </cell>
          <cell r="AX109">
            <v>1</v>
          </cell>
          <cell r="AY109">
            <v>0</v>
          </cell>
          <cell r="AZ109">
            <v>0</v>
          </cell>
          <cell r="BA109">
            <v>0</v>
          </cell>
          <cell r="BB109">
            <v>0</v>
          </cell>
          <cell r="BC109">
            <v>38828</v>
          </cell>
        </row>
        <row r="110">
          <cell r="A110">
            <v>2006</v>
          </cell>
          <cell r="B110">
            <v>1</v>
          </cell>
          <cell r="C110">
            <v>498</v>
          </cell>
          <cell r="D110">
            <v>20</v>
          </cell>
          <cell r="E110">
            <v>792030</v>
          </cell>
          <cell r="F110">
            <v>0</v>
          </cell>
          <cell r="G110" t="str">
            <v>Затраты по ШПЗ (неосновные)</v>
          </cell>
          <cell r="H110">
            <v>2030</v>
          </cell>
          <cell r="I110">
            <v>7920</v>
          </cell>
          <cell r="J110">
            <v>550.86</v>
          </cell>
          <cell r="K110">
            <v>1</v>
          </cell>
          <cell r="L110">
            <v>0</v>
          </cell>
          <cell r="M110">
            <v>0</v>
          </cell>
          <cell r="N110">
            <v>0</v>
          </cell>
          <cell r="R110">
            <v>0</v>
          </cell>
          <cell r="S110">
            <v>0</v>
          </cell>
          <cell r="T110">
            <v>0</v>
          </cell>
          <cell r="U110">
            <v>38</v>
          </cell>
          <cell r="V110">
            <v>0</v>
          </cell>
          <cell r="W110">
            <v>0</v>
          </cell>
          <cell r="AA110">
            <v>0</v>
          </cell>
          <cell r="AB110">
            <v>0</v>
          </cell>
          <cell r="AC110">
            <v>0</v>
          </cell>
          <cell r="AD110">
            <v>38</v>
          </cell>
          <cell r="AE110">
            <v>314000</v>
          </cell>
          <cell r="AF110">
            <v>0</v>
          </cell>
          <cell r="AI110">
            <v>2223</v>
          </cell>
          <cell r="AK110">
            <v>0</v>
          </cell>
          <cell r="AM110">
            <v>625</v>
          </cell>
          <cell r="AN110">
            <v>1</v>
          </cell>
          <cell r="AO110">
            <v>393216</v>
          </cell>
          <cell r="AQ110">
            <v>0</v>
          </cell>
          <cell r="AR110">
            <v>0</v>
          </cell>
          <cell r="AS110" t="str">
            <v>Ы</v>
          </cell>
          <cell r="AT110" t="str">
            <v>Ы</v>
          </cell>
          <cell r="AU110">
            <v>0</v>
          </cell>
          <cell r="AV110">
            <v>0</v>
          </cell>
          <cell r="AW110">
            <v>23</v>
          </cell>
          <cell r="AX110">
            <v>1</v>
          </cell>
          <cell r="AY110">
            <v>0</v>
          </cell>
          <cell r="AZ110">
            <v>0</v>
          </cell>
          <cell r="BA110">
            <v>0</v>
          </cell>
          <cell r="BB110">
            <v>0</v>
          </cell>
          <cell r="BC110">
            <v>38828</v>
          </cell>
        </row>
        <row r="111">
          <cell r="A111">
            <v>2006</v>
          </cell>
          <cell r="B111">
            <v>1</v>
          </cell>
          <cell r="C111">
            <v>499</v>
          </cell>
          <cell r="D111">
            <v>20</v>
          </cell>
          <cell r="E111">
            <v>792030</v>
          </cell>
          <cell r="F111">
            <v>0</v>
          </cell>
          <cell r="G111" t="str">
            <v>Затраты по ШПЗ (неосновные)</v>
          </cell>
          <cell r="H111">
            <v>2030</v>
          </cell>
          <cell r="I111">
            <v>7920</v>
          </cell>
          <cell r="J111">
            <v>110.17</v>
          </cell>
          <cell r="K111">
            <v>1</v>
          </cell>
          <cell r="L111">
            <v>0</v>
          </cell>
          <cell r="M111">
            <v>0</v>
          </cell>
          <cell r="N111">
            <v>0</v>
          </cell>
          <cell r="R111">
            <v>0</v>
          </cell>
          <cell r="S111">
            <v>0</v>
          </cell>
          <cell r="T111">
            <v>0</v>
          </cell>
          <cell r="U111">
            <v>38</v>
          </cell>
          <cell r="V111">
            <v>0</v>
          </cell>
          <cell r="W111">
            <v>0</v>
          </cell>
          <cell r="AA111">
            <v>0</v>
          </cell>
          <cell r="AB111">
            <v>0</v>
          </cell>
          <cell r="AC111">
            <v>0</v>
          </cell>
          <cell r="AD111">
            <v>38</v>
          </cell>
          <cell r="AE111">
            <v>315000</v>
          </cell>
          <cell r="AF111">
            <v>0</v>
          </cell>
          <cell r="AI111">
            <v>2223</v>
          </cell>
          <cell r="AK111">
            <v>0</v>
          </cell>
          <cell r="AM111">
            <v>626</v>
          </cell>
          <cell r="AN111">
            <v>1</v>
          </cell>
          <cell r="AO111">
            <v>393216</v>
          </cell>
          <cell r="AQ111">
            <v>0</v>
          </cell>
          <cell r="AR111">
            <v>0</v>
          </cell>
          <cell r="AS111" t="str">
            <v>Ы</v>
          </cell>
          <cell r="AT111" t="str">
            <v>Ы</v>
          </cell>
          <cell r="AU111">
            <v>0</v>
          </cell>
          <cell r="AV111">
            <v>0</v>
          </cell>
          <cell r="AW111">
            <v>23</v>
          </cell>
          <cell r="AX111">
            <v>1</v>
          </cell>
          <cell r="AY111">
            <v>0</v>
          </cell>
          <cell r="AZ111">
            <v>0</v>
          </cell>
          <cell r="BA111">
            <v>0</v>
          </cell>
          <cell r="BB111">
            <v>0</v>
          </cell>
          <cell r="BC111">
            <v>38828</v>
          </cell>
        </row>
        <row r="112">
          <cell r="A112">
            <v>2006</v>
          </cell>
          <cell r="B112">
            <v>1</v>
          </cell>
          <cell r="C112">
            <v>500</v>
          </cell>
          <cell r="D112">
            <v>20</v>
          </cell>
          <cell r="E112">
            <v>792030</v>
          </cell>
          <cell r="F112">
            <v>0</v>
          </cell>
          <cell r="G112" t="str">
            <v>Затраты по ШПЗ (неосновные)</v>
          </cell>
          <cell r="H112">
            <v>2030</v>
          </cell>
          <cell r="I112">
            <v>7920</v>
          </cell>
          <cell r="J112">
            <v>152.08000000000001</v>
          </cell>
          <cell r="K112">
            <v>1</v>
          </cell>
          <cell r="L112">
            <v>0</v>
          </cell>
          <cell r="M112">
            <v>0</v>
          </cell>
          <cell r="N112">
            <v>0</v>
          </cell>
          <cell r="R112">
            <v>0</v>
          </cell>
          <cell r="S112">
            <v>0</v>
          </cell>
          <cell r="T112">
            <v>0</v>
          </cell>
          <cell r="U112">
            <v>38</v>
          </cell>
          <cell r="V112">
            <v>0</v>
          </cell>
          <cell r="W112">
            <v>0</v>
          </cell>
          <cell r="AA112">
            <v>0</v>
          </cell>
          <cell r="AB112">
            <v>0</v>
          </cell>
          <cell r="AC112">
            <v>0</v>
          </cell>
          <cell r="AD112">
            <v>38</v>
          </cell>
          <cell r="AE112">
            <v>410000</v>
          </cell>
          <cell r="AF112">
            <v>0</v>
          </cell>
          <cell r="AI112">
            <v>2223</v>
          </cell>
          <cell r="AK112">
            <v>0</v>
          </cell>
          <cell r="AM112">
            <v>627</v>
          </cell>
          <cell r="AN112">
            <v>1</v>
          </cell>
          <cell r="AO112">
            <v>393216</v>
          </cell>
          <cell r="AQ112">
            <v>0</v>
          </cell>
          <cell r="AR112">
            <v>0</v>
          </cell>
          <cell r="AS112" t="str">
            <v>Ы</v>
          </cell>
          <cell r="AT112" t="str">
            <v>Ы</v>
          </cell>
          <cell r="AU112">
            <v>0</v>
          </cell>
          <cell r="AV112">
            <v>0</v>
          </cell>
          <cell r="AW112">
            <v>23</v>
          </cell>
          <cell r="AX112">
            <v>1</v>
          </cell>
          <cell r="AY112">
            <v>0</v>
          </cell>
          <cell r="AZ112">
            <v>0</v>
          </cell>
          <cell r="BA112">
            <v>0</v>
          </cell>
          <cell r="BB112">
            <v>0</v>
          </cell>
          <cell r="BC112">
            <v>38828</v>
          </cell>
        </row>
        <row r="113">
          <cell r="A113">
            <v>2006</v>
          </cell>
          <cell r="B113">
            <v>1</v>
          </cell>
          <cell r="C113">
            <v>501</v>
          </cell>
          <cell r="D113">
            <v>20</v>
          </cell>
          <cell r="E113">
            <v>792030</v>
          </cell>
          <cell r="F113">
            <v>0</v>
          </cell>
          <cell r="G113" t="str">
            <v>Затраты по ШПЗ (неосновные)</v>
          </cell>
          <cell r="H113">
            <v>2030</v>
          </cell>
          <cell r="I113">
            <v>7920</v>
          </cell>
          <cell r="J113">
            <v>691.08</v>
          </cell>
          <cell r="K113">
            <v>1</v>
          </cell>
          <cell r="L113">
            <v>0</v>
          </cell>
          <cell r="M113">
            <v>0</v>
          </cell>
          <cell r="N113">
            <v>0</v>
          </cell>
          <cell r="R113">
            <v>0</v>
          </cell>
          <cell r="S113">
            <v>0</v>
          </cell>
          <cell r="T113">
            <v>0</v>
          </cell>
          <cell r="U113">
            <v>38</v>
          </cell>
          <cell r="V113">
            <v>0</v>
          </cell>
          <cell r="W113">
            <v>0</v>
          </cell>
          <cell r="AA113">
            <v>0</v>
          </cell>
          <cell r="AB113">
            <v>0</v>
          </cell>
          <cell r="AC113">
            <v>0</v>
          </cell>
          <cell r="AD113">
            <v>38</v>
          </cell>
          <cell r="AE113">
            <v>420000</v>
          </cell>
          <cell r="AF113">
            <v>0</v>
          </cell>
          <cell r="AI113">
            <v>2223</v>
          </cell>
          <cell r="AK113">
            <v>0</v>
          </cell>
          <cell r="AM113">
            <v>628</v>
          </cell>
          <cell r="AN113">
            <v>1</v>
          </cell>
          <cell r="AO113">
            <v>393216</v>
          </cell>
          <cell r="AQ113">
            <v>0</v>
          </cell>
          <cell r="AR113">
            <v>0</v>
          </cell>
          <cell r="AS113" t="str">
            <v>Ы</v>
          </cell>
          <cell r="AT113" t="str">
            <v>Ы</v>
          </cell>
          <cell r="AU113">
            <v>0</v>
          </cell>
          <cell r="AV113">
            <v>0</v>
          </cell>
          <cell r="AW113">
            <v>23</v>
          </cell>
          <cell r="AX113">
            <v>1</v>
          </cell>
          <cell r="AY113">
            <v>0</v>
          </cell>
          <cell r="AZ113">
            <v>0</v>
          </cell>
          <cell r="BA113">
            <v>0</v>
          </cell>
          <cell r="BB113">
            <v>0</v>
          </cell>
          <cell r="BC113">
            <v>38828</v>
          </cell>
        </row>
        <row r="114">
          <cell r="A114">
            <v>2006</v>
          </cell>
          <cell r="B114">
            <v>1</v>
          </cell>
          <cell r="C114">
            <v>502</v>
          </cell>
          <cell r="D114">
            <v>20</v>
          </cell>
          <cell r="E114">
            <v>792030</v>
          </cell>
          <cell r="F114">
            <v>0</v>
          </cell>
          <cell r="G114" t="str">
            <v>Затраты по ШПЗ (неосновные)</v>
          </cell>
          <cell r="H114">
            <v>2030</v>
          </cell>
          <cell r="I114">
            <v>7920</v>
          </cell>
          <cell r="J114">
            <v>259.8</v>
          </cell>
          <cell r="K114">
            <v>1</v>
          </cell>
          <cell r="L114">
            <v>0</v>
          </cell>
          <cell r="M114">
            <v>0</v>
          </cell>
          <cell r="N114">
            <v>0</v>
          </cell>
          <cell r="R114">
            <v>0</v>
          </cell>
          <cell r="S114">
            <v>0</v>
          </cell>
          <cell r="T114">
            <v>0</v>
          </cell>
          <cell r="U114">
            <v>38</v>
          </cell>
          <cell r="V114">
            <v>0</v>
          </cell>
          <cell r="W114">
            <v>0</v>
          </cell>
          <cell r="AA114">
            <v>0</v>
          </cell>
          <cell r="AB114">
            <v>0</v>
          </cell>
          <cell r="AC114">
            <v>0</v>
          </cell>
          <cell r="AD114">
            <v>38</v>
          </cell>
          <cell r="AE114">
            <v>430000</v>
          </cell>
          <cell r="AF114">
            <v>0</v>
          </cell>
          <cell r="AI114">
            <v>2223</v>
          </cell>
          <cell r="AK114">
            <v>0</v>
          </cell>
          <cell r="AM114">
            <v>629</v>
          </cell>
          <cell r="AN114">
            <v>1</v>
          </cell>
          <cell r="AO114">
            <v>393216</v>
          </cell>
          <cell r="AQ114">
            <v>0</v>
          </cell>
          <cell r="AR114">
            <v>0</v>
          </cell>
          <cell r="AS114" t="str">
            <v>Ы</v>
          </cell>
          <cell r="AT114" t="str">
            <v>Ы</v>
          </cell>
          <cell r="AU114">
            <v>0</v>
          </cell>
          <cell r="AV114">
            <v>0</v>
          </cell>
          <cell r="AW114">
            <v>23</v>
          </cell>
          <cell r="AX114">
            <v>1</v>
          </cell>
          <cell r="AY114">
            <v>0</v>
          </cell>
          <cell r="AZ114">
            <v>0</v>
          </cell>
          <cell r="BA114">
            <v>0</v>
          </cell>
          <cell r="BB114">
            <v>0</v>
          </cell>
          <cell r="BC114">
            <v>38828</v>
          </cell>
        </row>
        <row r="115">
          <cell r="A115">
            <v>2006</v>
          </cell>
          <cell r="B115">
            <v>1</v>
          </cell>
          <cell r="C115">
            <v>503</v>
          </cell>
          <cell r="D115">
            <v>20</v>
          </cell>
          <cell r="E115">
            <v>792030</v>
          </cell>
          <cell r="F115">
            <v>0</v>
          </cell>
          <cell r="G115" t="str">
            <v>Затраты по ШПЗ (неосновные)</v>
          </cell>
          <cell r="H115">
            <v>2030</v>
          </cell>
          <cell r="I115">
            <v>7920</v>
          </cell>
          <cell r="J115">
            <v>50.23</v>
          </cell>
          <cell r="K115">
            <v>1</v>
          </cell>
          <cell r="L115">
            <v>0</v>
          </cell>
          <cell r="M115">
            <v>0</v>
          </cell>
          <cell r="N115">
            <v>0</v>
          </cell>
          <cell r="R115">
            <v>0</v>
          </cell>
          <cell r="S115">
            <v>0</v>
          </cell>
          <cell r="T115">
            <v>0</v>
          </cell>
          <cell r="U115">
            <v>38</v>
          </cell>
          <cell r="V115">
            <v>0</v>
          </cell>
          <cell r="W115">
            <v>0</v>
          </cell>
          <cell r="AA115">
            <v>0</v>
          </cell>
          <cell r="AB115">
            <v>0</v>
          </cell>
          <cell r="AC115">
            <v>0</v>
          </cell>
          <cell r="AD115">
            <v>38</v>
          </cell>
          <cell r="AE115">
            <v>450000</v>
          </cell>
          <cell r="AF115">
            <v>0</v>
          </cell>
          <cell r="AI115">
            <v>2223</v>
          </cell>
          <cell r="AK115">
            <v>0</v>
          </cell>
          <cell r="AM115">
            <v>630</v>
          </cell>
          <cell r="AN115">
            <v>1</v>
          </cell>
          <cell r="AO115">
            <v>393216</v>
          </cell>
          <cell r="AQ115">
            <v>0</v>
          </cell>
          <cell r="AR115">
            <v>0</v>
          </cell>
          <cell r="AS115" t="str">
            <v>Ы</v>
          </cell>
          <cell r="AT115" t="str">
            <v>Ы</v>
          </cell>
          <cell r="AU115">
            <v>0</v>
          </cell>
          <cell r="AV115">
            <v>0</v>
          </cell>
          <cell r="AW115">
            <v>23</v>
          </cell>
          <cell r="AX115">
            <v>1</v>
          </cell>
          <cell r="AY115">
            <v>0</v>
          </cell>
          <cell r="AZ115">
            <v>0</v>
          </cell>
          <cell r="BA115">
            <v>0</v>
          </cell>
          <cell r="BB115">
            <v>0</v>
          </cell>
          <cell r="BC115">
            <v>38828</v>
          </cell>
        </row>
        <row r="116">
          <cell r="A116">
            <v>2006</v>
          </cell>
          <cell r="B116">
            <v>1</v>
          </cell>
          <cell r="C116">
            <v>504</v>
          </cell>
          <cell r="D116">
            <v>20</v>
          </cell>
          <cell r="E116">
            <v>792030</v>
          </cell>
          <cell r="F116">
            <v>0</v>
          </cell>
          <cell r="G116" t="str">
            <v>Затраты по ШПЗ (неосновные)</v>
          </cell>
          <cell r="H116">
            <v>2030</v>
          </cell>
          <cell r="I116">
            <v>7920</v>
          </cell>
          <cell r="J116">
            <v>0.82</v>
          </cell>
          <cell r="K116">
            <v>1</v>
          </cell>
          <cell r="L116">
            <v>0</v>
          </cell>
          <cell r="M116">
            <v>0</v>
          </cell>
          <cell r="N116">
            <v>0</v>
          </cell>
          <cell r="R116">
            <v>0</v>
          </cell>
          <cell r="S116">
            <v>0</v>
          </cell>
          <cell r="T116">
            <v>0</v>
          </cell>
          <cell r="U116">
            <v>38</v>
          </cell>
          <cell r="V116">
            <v>0</v>
          </cell>
          <cell r="W116">
            <v>0</v>
          </cell>
          <cell r="AA116">
            <v>0</v>
          </cell>
          <cell r="AB116">
            <v>0</v>
          </cell>
          <cell r="AC116">
            <v>0</v>
          </cell>
          <cell r="AD116">
            <v>38</v>
          </cell>
          <cell r="AE116">
            <v>465000</v>
          </cell>
          <cell r="AF116">
            <v>0</v>
          </cell>
          <cell r="AI116">
            <v>2223</v>
          </cell>
          <cell r="AK116">
            <v>0</v>
          </cell>
          <cell r="AM116">
            <v>631</v>
          </cell>
          <cell r="AN116">
            <v>1</v>
          </cell>
          <cell r="AO116">
            <v>393216</v>
          </cell>
          <cell r="AQ116">
            <v>0</v>
          </cell>
          <cell r="AR116">
            <v>0</v>
          </cell>
          <cell r="AS116" t="str">
            <v>Ы</v>
          </cell>
          <cell r="AT116" t="str">
            <v>Ы</v>
          </cell>
          <cell r="AU116">
            <v>0</v>
          </cell>
          <cell r="AV116">
            <v>0</v>
          </cell>
          <cell r="AW116">
            <v>23</v>
          </cell>
          <cell r="AX116">
            <v>1</v>
          </cell>
          <cell r="AY116">
            <v>0</v>
          </cell>
          <cell r="AZ116">
            <v>0</v>
          </cell>
          <cell r="BA116">
            <v>0</v>
          </cell>
          <cell r="BB116">
            <v>0</v>
          </cell>
          <cell r="BC116">
            <v>38828</v>
          </cell>
        </row>
        <row r="117">
          <cell r="A117">
            <v>2006</v>
          </cell>
          <cell r="B117">
            <v>1</v>
          </cell>
          <cell r="C117">
            <v>505</v>
          </cell>
          <cell r="D117">
            <v>20</v>
          </cell>
          <cell r="E117">
            <v>792030</v>
          </cell>
          <cell r="F117">
            <v>0</v>
          </cell>
          <cell r="G117" t="str">
            <v>Затраты по ШПЗ (неосновные)</v>
          </cell>
          <cell r="H117">
            <v>2030</v>
          </cell>
          <cell r="I117">
            <v>7920</v>
          </cell>
          <cell r="J117">
            <v>1203.19</v>
          </cell>
          <cell r="K117">
            <v>1</v>
          </cell>
          <cell r="L117">
            <v>0</v>
          </cell>
          <cell r="M117">
            <v>0</v>
          </cell>
          <cell r="N117">
            <v>0</v>
          </cell>
          <cell r="R117">
            <v>0</v>
          </cell>
          <cell r="S117">
            <v>0</v>
          </cell>
          <cell r="T117">
            <v>0</v>
          </cell>
          <cell r="U117">
            <v>38</v>
          </cell>
          <cell r="V117">
            <v>0</v>
          </cell>
          <cell r="W117">
            <v>0</v>
          </cell>
          <cell r="AA117">
            <v>0</v>
          </cell>
          <cell r="AB117">
            <v>0</v>
          </cell>
          <cell r="AC117">
            <v>0</v>
          </cell>
          <cell r="AD117">
            <v>38</v>
          </cell>
          <cell r="AE117">
            <v>503000</v>
          </cell>
          <cell r="AF117">
            <v>0</v>
          </cell>
          <cell r="AI117">
            <v>2223</v>
          </cell>
          <cell r="AK117">
            <v>0</v>
          </cell>
          <cell r="AM117">
            <v>632</v>
          </cell>
          <cell r="AN117">
            <v>1</v>
          </cell>
          <cell r="AO117">
            <v>393216</v>
          </cell>
          <cell r="AQ117">
            <v>0</v>
          </cell>
          <cell r="AR117">
            <v>0</v>
          </cell>
          <cell r="AS117" t="str">
            <v>Ы</v>
          </cell>
          <cell r="AT117" t="str">
            <v>Ы</v>
          </cell>
          <cell r="AU117">
            <v>0</v>
          </cell>
          <cell r="AV117">
            <v>0</v>
          </cell>
          <cell r="AW117">
            <v>23</v>
          </cell>
          <cell r="AX117">
            <v>1</v>
          </cell>
          <cell r="AY117">
            <v>0</v>
          </cell>
          <cell r="AZ117">
            <v>0</v>
          </cell>
          <cell r="BA117">
            <v>0</v>
          </cell>
          <cell r="BB117">
            <v>0</v>
          </cell>
          <cell r="BC117">
            <v>38828</v>
          </cell>
        </row>
        <row r="118">
          <cell r="A118">
            <v>2006</v>
          </cell>
          <cell r="B118">
            <v>1</v>
          </cell>
          <cell r="C118">
            <v>506</v>
          </cell>
          <cell r="D118">
            <v>20</v>
          </cell>
          <cell r="E118">
            <v>792030</v>
          </cell>
          <cell r="F118">
            <v>0</v>
          </cell>
          <cell r="G118" t="str">
            <v>Затраты по ШПЗ (неосновные)</v>
          </cell>
          <cell r="H118">
            <v>2030</v>
          </cell>
          <cell r="I118">
            <v>7920</v>
          </cell>
          <cell r="J118">
            <v>49.59</v>
          </cell>
          <cell r="K118">
            <v>1</v>
          </cell>
          <cell r="L118">
            <v>0</v>
          </cell>
          <cell r="M118">
            <v>0</v>
          </cell>
          <cell r="N118">
            <v>0</v>
          </cell>
          <cell r="R118">
            <v>0</v>
          </cell>
          <cell r="S118">
            <v>0</v>
          </cell>
          <cell r="T118">
            <v>0</v>
          </cell>
          <cell r="U118">
            <v>38</v>
          </cell>
          <cell r="V118">
            <v>0</v>
          </cell>
          <cell r="W118">
            <v>0</v>
          </cell>
          <cell r="AA118">
            <v>0</v>
          </cell>
          <cell r="AB118">
            <v>0</v>
          </cell>
          <cell r="AC118">
            <v>0</v>
          </cell>
          <cell r="AD118">
            <v>38</v>
          </cell>
          <cell r="AE118">
            <v>504100</v>
          </cell>
          <cell r="AF118">
            <v>0</v>
          </cell>
          <cell r="AI118">
            <v>2223</v>
          </cell>
          <cell r="AK118">
            <v>0</v>
          </cell>
          <cell r="AM118">
            <v>633</v>
          </cell>
          <cell r="AN118">
            <v>1</v>
          </cell>
          <cell r="AO118">
            <v>393216</v>
          </cell>
          <cell r="AQ118">
            <v>0</v>
          </cell>
          <cell r="AR118">
            <v>0</v>
          </cell>
          <cell r="AS118" t="str">
            <v>Ы</v>
          </cell>
          <cell r="AT118" t="str">
            <v>Ы</v>
          </cell>
          <cell r="AU118">
            <v>0</v>
          </cell>
          <cell r="AV118">
            <v>0</v>
          </cell>
          <cell r="AW118">
            <v>23</v>
          </cell>
          <cell r="AX118">
            <v>1</v>
          </cell>
          <cell r="AY118">
            <v>0</v>
          </cell>
          <cell r="AZ118">
            <v>0</v>
          </cell>
          <cell r="BA118">
            <v>0</v>
          </cell>
          <cell r="BB118">
            <v>0</v>
          </cell>
          <cell r="BC118">
            <v>38828</v>
          </cell>
        </row>
        <row r="119">
          <cell r="A119">
            <v>2006</v>
          </cell>
          <cell r="B119">
            <v>1</v>
          </cell>
          <cell r="C119">
            <v>507</v>
          </cell>
          <cell r="D119">
            <v>20</v>
          </cell>
          <cell r="E119">
            <v>792030</v>
          </cell>
          <cell r="F119">
            <v>0</v>
          </cell>
          <cell r="G119" t="str">
            <v>Затраты по ШПЗ (неосновные)</v>
          </cell>
          <cell r="H119">
            <v>2030</v>
          </cell>
          <cell r="I119">
            <v>7920</v>
          </cell>
          <cell r="J119">
            <v>19.5</v>
          </cell>
          <cell r="K119">
            <v>1</v>
          </cell>
          <cell r="L119">
            <v>0</v>
          </cell>
          <cell r="M119">
            <v>0</v>
          </cell>
          <cell r="N119">
            <v>0</v>
          </cell>
          <cell r="R119">
            <v>0</v>
          </cell>
          <cell r="S119">
            <v>0</v>
          </cell>
          <cell r="T119">
            <v>0</v>
          </cell>
          <cell r="U119">
            <v>38</v>
          </cell>
          <cell r="V119">
            <v>0</v>
          </cell>
          <cell r="W119">
            <v>0</v>
          </cell>
          <cell r="AA119">
            <v>0</v>
          </cell>
          <cell r="AB119">
            <v>0</v>
          </cell>
          <cell r="AC119">
            <v>0</v>
          </cell>
          <cell r="AD119">
            <v>38</v>
          </cell>
          <cell r="AE119">
            <v>504200</v>
          </cell>
          <cell r="AF119">
            <v>0</v>
          </cell>
          <cell r="AI119">
            <v>2223</v>
          </cell>
          <cell r="AK119">
            <v>0</v>
          </cell>
          <cell r="AM119">
            <v>634</v>
          </cell>
          <cell r="AN119">
            <v>1</v>
          </cell>
          <cell r="AO119">
            <v>393216</v>
          </cell>
          <cell r="AQ119">
            <v>0</v>
          </cell>
          <cell r="AR119">
            <v>0</v>
          </cell>
          <cell r="AS119" t="str">
            <v>Ы</v>
          </cell>
          <cell r="AT119" t="str">
            <v>Ы</v>
          </cell>
          <cell r="AU119">
            <v>0</v>
          </cell>
          <cell r="AV119">
            <v>0</v>
          </cell>
          <cell r="AW119">
            <v>23</v>
          </cell>
          <cell r="AX119">
            <v>1</v>
          </cell>
          <cell r="AY119">
            <v>0</v>
          </cell>
          <cell r="AZ119">
            <v>0</v>
          </cell>
          <cell r="BA119">
            <v>0</v>
          </cell>
          <cell r="BB119">
            <v>0</v>
          </cell>
          <cell r="BC119">
            <v>38828</v>
          </cell>
        </row>
        <row r="120">
          <cell r="A120">
            <v>2006</v>
          </cell>
          <cell r="B120">
            <v>1</v>
          </cell>
          <cell r="C120">
            <v>508</v>
          </cell>
          <cell r="D120">
            <v>20</v>
          </cell>
          <cell r="E120">
            <v>792030</v>
          </cell>
          <cell r="F120">
            <v>0</v>
          </cell>
          <cell r="G120" t="str">
            <v>Затраты по ШПЗ (неосновные)</v>
          </cell>
          <cell r="H120">
            <v>2030</v>
          </cell>
          <cell r="I120">
            <v>7920</v>
          </cell>
          <cell r="J120">
            <v>2.4900000000000002</v>
          </cell>
          <cell r="K120">
            <v>1</v>
          </cell>
          <cell r="L120">
            <v>0</v>
          </cell>
          <cell r="M120">
            <v>0</v>
          </cell>
          <cell r="N120">
            <v>0</v>
          </cell>
          <cell r="R120">
            <v>0</v>
          </cell>
          <cell r="S120">
            <v>0</v>
          </cell>
          <cell r="T120">
            <v>0</v>
          </cell>
          <cell r="U120">
            <v>38</v>
          </cell>
          <cell r="V120">
            <v>0</v>
          </cell>
          <cell r="W120">
            <v>0</v>
          </cell>
          <cell r="AA120">
            <v>0</v>
          </cell>
          <cell r="AB120">
            <v>0</v>
          </cell>
          <cell r="AC120">
            <v>0</v>
          </cell>
          <cell r="AD120">
            <v>38</v>
          </cell>
          <cell r="AE120">
            <v>504400</v>
          </cell>
          <cell r="AF120">
            <v>0</v>
          </cell>
          <cell r="AI120">
            <v>2223</v>
          </cell>
          <cell r="AK120">
            <v>0</v>
          </cell>
          <cell r="AM120">
            <v>635</v>
          </cell>
          <cell r="AN120">
            <v>1</v>
          </cell>
          <cell r="AO120">
            <v>393216</v>
          </cell>
          <cell r="AQ120">
            <v>0</v>
          </cell>
          <cell r="AR120">
            <v>0</v>
          </cell>
          <cell r="AS120" t="str">
            <v>Ы</v>
          </cell>
          <cell r="AT120" t="str">
            <v>Ы</v>
          </cell>
          <cell r="AU120">
            <v>0</v>
          </cell>
          <cell r="AV120">
            <v>0</v>
          </cell>
          <cell r="AW120">
            <v>23</v>
          </cell>
          <cell r="AX120">
            <v>1</v>
          </cell>
          <cell r="AY120">
            <v>0</v>
          </cell>
          <cell r="AZ120">
            <v>0</v>
          </cell>
          <cell r="BA120">
            <v>0</v>
          </cell>
          <cell r="BB120">
            <v>0</v>
          </cell>
          <cell r="BC120">
            <v>38828</v>
          </cell>
        </row>
        <row r="121">
          <cell r="A121">
            <v>2006</v>
          </cell>
          <cell r="B121">
            <v>1</v>
          </cell>
          <cell r="C121">
            <v>509</v>
          </cell>
          <cell r="D121">
            <v>20</v>
          </cell>
          <cell r="E121">
            <v>792030</v>
          </cell>
          <cell r="F121">
            <v>0</v>
          </cell>
          <cell r="G121" t="str">
            <v>Затраты по ШПЗ (неосновные)</v>
          </cell>
          <cell r="H121">
            <v>2030</v>
          </cell>
          <cell r="I121">
            <v>7920</v>
          </cell>
          <cell r="J121">
            <v>15.42</v>
          </cell>
          <cell r="K121">
            <v>1</v>
          </cell>
          <cell r="L121">
            <v>0</v>
          </cell>
          <cell r="M121">
            <v>0</v>
          </cell>
          <cell r="N121">
            <v>0</v>
          </cell>
          <cell r="R121">
            <v>0</v>
          </cell>
          <cell r="S121">
            <v>0</v>
          </cell>
          <cell r="T121">
            <v>0</v>
          </cell>
          <cell r="U121">
            <v>38</v>
          </cell>
          <cell r="V121">
            <v>0</v>
          </cell>
          <cell r="W121">
            <v>0</v>
          </cell>
          <cell r="AA121">
            <v>0</v>
          </cell>
          <cell r="AB121">
            <v>0</v>
          </cell>
          <cell r="AC121">
            <v>0</v>
          </cell>
          <cell r="AD121">
            <v>38</v>
          </cell>
          <cell r="AE121">
            <v>505100</v>
          </cell>
          <cell r="AF121">
            <v>0</v>
          </cell>
          <cell r="AI121">
            <v>2223</v>
          </cell>
          <cell r="AK121">
            <v>0</v>
          </cell>
          <cell r="AM121">
            <v>636</v>
          </cell>
          <cell r="AN121">
            <v>1</v>
          </cell>
          <cell r="AO121">
            <v>393216</v>
          </cell>
          <cell r="AQ121">
            <v>0</v>
          </cell>
          <cell r="AR121">
            <v>0</v>
          </cell>
          <cell r="AS121" t="str">
            <v>Ы</v>
          </cell>
          <cell r="AT121" t="str">
            <v>Ы</v>
          </cell>
          <cell r="AU121">
            <v>0</v>
          </cell>
          <cell r="AV121">
            <v>0</v>
          </cell>
          <cell r="AW121">
            <v>23</v>
          </cell>
          <cell r="AX121">
            <v>1</v>
          </cell>
          <cell r="AY121">
            <v>0</v>
          </cell>
          <cell r="AZ121">
            <v>0</v>
          </cell>
          <cell r="BA121">
            <v>0</v>
          </cell>
          <cell r="BB121">
            <v>0</v>
          </cell>
          <cell r="BC121">
            <v>38828</v>
          </cell>
        </row>
        <row r="122">
          <cell r="A122">
            <v>2006</v>
          </cell>
          <cell r="B122">
            <v>1</v>
          </cell>
          <cell r="C122">
            <v>510</v>
          </cell>
          <cell r="D122">
            <v>20</v>
          </cell>
          <cell r="E122">
            <v>792030</v>
          </cell>
          <cell r="F122">
            <v>0</v>
          </cell>
          <cell r="G122" t="str">
            <v>Затраты по ШПЗ (неосновные)</v>
          </cell>
          <cell r="H122">
            <v>2030</v>
          </cell>
          <cell r="I122">
            <v>7920</v>
          </cell>
          <cell r="J122">
            <v>10.41</v>
          </cell>
          <cell r="K122">
            <v>1</v>
          </cell>
          <cell r="L122">
            <v>0</v>
          </cell>
          <cell r="M122">
            <v>0</v>
          </cell>
          <cell r="N122">
            <v>0</v>
          </cell>
          <cell r="R122">
            <v>0</v>
          </cell>
          <cell r="S122">
            <v>0</v>
          </cell>
          <cell r="T122">
            <v>0</v>
          </cell>
          <cell r="U122">
            <v>38</v>
          </cell>
          <cell r="V122">
            <v>0</v>
          </cell>
          <cell r="W122">
            <v>0</v>
          </cell>
          <cell r="AA122">
            <v>0</v>
          </cell>
          <cell r="AB122">
            <v>0</v>
          </cell>
          <cell r="AC122">
            <v>0</v>
          </cell>
          <cell r="AD122">
            <v>38</v>
          </cell>
          <cell r="AE122">
            <v>505200</v>
          </cell>
          <cell r="AF122">
            <v>0</v>
          </cell>
          <cell r="AI122">
            <v>2223</v>
          </cell>
          <cell r="AK122">
            <v>0</v>
          </cell>
          <cell r="AM122">
            <v>637</v>
          </cell>
          <cell r="AN122">
            <v>1</v>
          </cell>
          <cell r="AO122">
            <v>393216</v>
          </cell>
          <cell r="AQ122">
            <v>0</v>
          </cell>
          <cell r="AR122">
            <v>0</v>
          </cell>
          <cell r="AS122" t="str">
            <v>Ы</v>
          </cell>
          <cell r="AT122" t="str">
            <v>Ы</v>
          </cell>
          <cell r="AU122">
            <v>0</v>
          </cell>
          <cell r="AV122">
            <v>0</v>
          </cell>
          <cell r="AW122">
            <v>23</v>
          </cell>
          <cell r="AX122">
            <v>1</v>
          </cell>
          <cell r="AY122">
            <v>0</v>
          </cell>
          <cell r="AZ122">
            <v>0</v>
          </cell>
          <cell r="BA122">
            <v>0</v>
          </cell>
          <cell r="BB122">
            <v>0</v>
          </cell>
          <cell r="BC122">
            <v>38828</v>
          </cell>
        </row>
        <row r="123">
          <cell r="A123">
            <v>2006</v>
          </cell>
          <cell r="B123">
            <v>1</v>
          </cell>
          <cell r="C123">
            <v>511</v>
          </cell>
          <cell r="D123">
            <v>20</v>
          </cell>
          <cell r="E123">
            <v>792030</v>
          </cell>
          <cell r="F123">
            <v>0</v>
          </cell>
          <cell r="G123" t="str">
            <v>Затраты по ШПЗ (неосновные)</v>
          </cell>
          <cell r="H123">
            <v>2030</v>
          </cell>
          <cell r="I123">
            <v>7920</v>
          </cell>
          <cell r="J123">
            <v>0.95</v>
          </cell>
          <cell r="K123">
            <v>1</v>
          </cell>
          <cell r="L123">
            <v>0</v>
          </cell>
          <cell r="M123">
            <v>0</v>
          </cell>
          <cell r="N123">
            <v>0</v>
          </cell>
          <cell r="R123">
            <v>0</v>
          </cell>
          <cell r="S123">
            <v>0</v>
          </cell>
          <cell r="T123">
            <v>0</v>
          </cell>
          <cell r="U123">
            <v>38</v>
          </cell>
          <cell r="V123">
            <v>0</v>
          </cell>
          <cell r="W123">
            <v>0</v>
          </cell>
          <cell r="AA123">
            <v>0</v>
          </cell>
          <cell r="AB123">
            <v>0</v>
          </cell>
          <cell r="AC123">
            <v>0</v>
          </cell>
          <cell r="AD123">
            <v>38</v>
          </cell>
          <cell r="AE123">
            <v>505300</v>
          </cell>
          <cell r="AF123">
            <v>0</v>
          </cell>
          <cell r="AI123">
            <v>2223</v>
          </cell>
          <cell r="AK123">
            <v>0</v>
          </cell>
          <cell r="AM123">
            <v>638</v>
          </cell>
          <cell r="AN123">
            <v>1</v>
          </cell>
          <cell r="AO123">
            <v>393216</v>
          </cell>
          <cell r="AQ123">
            <v>0</v>
          </cell>
          <cell r="AR123">
            <v>0</v>
          </cell>
          <cell r="AS123" t="str">
            <v>Ы</v>
          </cell>
          <cell r="AT123" t="str">
            <v>Ы</v>
          </cell>
          <cell r="AU123">
            <v>0</v>
          </cell>
          <cell r="AV123">
            <v>0</v>
          </cell>
          <cell r="AW123">
            <v>23</v>
          </cell>
          <cell r="AX123">
            <v>1</v>
          </cell>
          <cell r="AY123">
            <v>0</v>
          </cell>
          <cell r="AZ123">
            <v>0</v>
          </cell>
          <cell r="BA123">
            <v>0</v>
          </cell>
          <cell r="BB123">
            <v>0</v>
          </cell>
          <cell r="BC123">
            <v>38828</v>
          </cell>
        </row>
        <row r="124">
          <cell r="A124">
            <v>2006</v>
          </cell>
          <cell r="B124">
            <v>1</v>
          </cell>
          <cell r="C124">
            <v>512</v>
          </cell>
          <cell r="D124">
            <v>20</v>
          </cell>
          <cell r="E124">
            <v>792030</v>
          </cell>
          <cell r="F124">
            <v>0</v>
          </cell>
          <cell r="G124" t="str">
            <v>Затраты по ШПЗ (неосновные)</v>
          </cell>
          <cell r="H124">
            <v>2030</v>
          </cell>
          <cell r="I124">
            <v>7920</v>
          </cell>
          <cell r="J124">
            <v>941.68</v>
          </cell>
          <cell r="K124">
            <v>1</v>
          </cell>
          <cell r="L124">
            <v>0</v>
          </cell>
          <cell r="M124">
            <v>0</v>
          </cell>
          <cell r="N124">
            <v>0</v>
          </cell>
          <cell r="R124">
            <v>0</v>
          </cell>
          <cell r="S124">
            <v>0</v>
          </cell>
          <cell r="T124">
            <v>0</v>
          </cell>
          <cell r="U124">
            <v>38</v>
          </cell>
          <cell r="V124">
            <v>0</v>
          </cell>
          <cell r="W124">
            <v>0</v>
          </cell>
          <cell r="AA124">
            <v>0</v>
          </cell>
          <cell r="AB124">
            <v>0</v>
          </cell>
          <cell r="AC124">
            <v>0</v>
          </cell>
          <cell r="AD124">
            <v>38</v>
          </cell>
          <cell r="AE124">
            <v>510100</v>
          </cell>
          <cell r="AF124">
            <v>0</v>
          </cell>
          <cell r="AI124">
            <v>2223</v>
          </cell>
          <cell r="AK124">
            <v>0</v>
          </cell>
          <cell r="AM124">
            <v>639</v>
          </cell>
          <cell r="AN124">
            <v>1</v>
          </cell>
          <cell r="AO124">
            <v>393216</v>
          </cell>
          <cell r="AQ124">
            <v>0</v>
          </cell>
          <cell r="AR124">
            <v>0</v>
          </cell>
          <cell r="AS124" t="str">
            <v>Ы</v>
          </cell>
          <cell r="AT124" t="str">
            <v>Ы</v>
          </cell>
          <cell r="AU124">
            <v>0</v>
          </cell>
          <cell r="AV124">
            <v>0</v>
          </cell>
          <cell r="AW124">
            <v>23</v>
          </cell>
          <cell r="AX124">
            <v>1</v>
          </cell>
          <cell r="AY124">
            <v>0</v>
          </cell>
          <cell r="AZ124">
            <v>0</v>
          </cell>
          <cell r="BA124">
            <v>0</v>
          </cell>
          <cell r="BB124">
            <v>0</v>
          </cell>
          <cell r="BC124">
            <v>38828</v>
          </cell>
        </row>
        <row r="125">
          <cell r="A125">
            <v>2006</v>
          </cell>
          <cell r="B125">
            <v>1</v>
          </cell>
          <cell r="C125">
            <v>513</v>
          </cell>
          <cell r="D125">
            <v>20</v>
          </cell>
          <cell r="E125">
            <v>792030</v>
          </cell>
          <cell r="F125">
            <v>0</v>
          </cell>
          <cell r="G125" t="str">
            <v>Затраты по ШПЗ (неосновные)</v>
          </cell>
          <cell r="H125">
            <v>2030</v>
          </cell>
          <cell r="I125">
            <v>7920</v>
          </cell>
          <cell r="J125">
            <v>2.16</v>
          </cell>
          <cell r="K125">
            <v>1</v>
          </cell>
          <cell r="L125">
            <v>0</v>
          </cell>
          <cell r="M125">
            <v>0</v>
          </cell>
          <cell r="N125">
            <v>0</v>
          </cell>
          <cell r="R125">
            <v>0</v>
          </cell>
          <cell r="S125">
            <v>0</v>
          </cell>
          <cell r="T125">
            <v>0</v>
          </cell>
          <cell r="U125">
            <v>38</v>
          </cell>
          <cell r="V125">
            <v>0</v>
          </cell>
          <cell r="W125">
            <v>0</v>
          </cell>
          <cell r="AA125">
            <v>0</v>
          </cell>
          <cell r="AB125">
            <v>0</v>
          </cell>
          <cell r="AC125">
            <v>0</v>
          </cell>
          <cell r="AD125">
            <v>38</v>
          </cell>
          <cell r="AE125">
            <v>510200</v>
          </cell>
          <cell r="AF125">
            <v>0</v>
          </cell>
          <cell r="AI125">
            <v>2223</v>
          </cell>
          <cell r="AK125">
            <v>0</v>
          </cell>
          <cell r="AM125">
            <v>640</v>
          </cell>
          <cell r="AN125">
            <v>1</v>
          </cell>
          <cell r="AO125">
            <v>393216</v>
          </cell>
          <cell r="AQ125">
            <v>0</v>
          </cell>
          <cell r="AR125">
            <v>0</v>
          </cell>
          <cell r="AS125" t="str">
            <v>Ы</v>
          </cell>
          <cell r="AT125" t="str">
            <v>Ы</v>
          </cell>
          <cell r="AU125">
            <v>0</v>
          </cell>
          <cell r="AV125">
            <v>0</v>
          </cell>
          <cell r="AW125">
            <v>23</v>
          </cell>
          <cell r="AX125">
            <v>1</v>
          </cell>
          <cell r="AY125">
            <v>0</v>
          </cell>
          <cell r="AZ125">
            <v>0</v>
          </cell>
          <cell r="BA125">
            <v>0</v>
          </cell>
          <cell r="BB125">
            <v>0</v>
          </cell>
          <cell r="BC125">
            <v>38828</v>
          </cell>
        </row>
        <row r="126">
          <cell r="A126">
            <v>2006</v>
          </cell>
          <cell r="B126">
            <v>1</v>
          </cell>
          <cell r="C126">
            <v>514</v>
          </cell>
          <cell r="D126">
            <v>20</v>
          </cell>
          <cell r="E126">
            <v>792030</v>
          </cell>
          <cell r="F126">
            <v>0</v>
          </cell>
          <cell r="G126" t="str">
            <v>Затраты по ШПЗ (неосновные)</v>
          </cell>
          <cell r="H126">
            <v>2030</v>
          </cell>
          <cell r="I126">
            <v>7920</v>
          </cell>
          <cell r="J126">
            <v>14.99</v>
          </cell>
          <cell r="K126">
            <v>1</v>
          </cell>
          <cell r="L126">
            <v>0</v>
          </cell>
          <cell r="M126">
            <v>0</v>
          </cell>
          <cell r="N126">
            <v>0</v>
          </cell>
          <cell r="R126">
            <v>0</v>
          </cell>
          <cell r="S126">
            <v>0</v>
          </cell>
          <cell r="T126">
            <v>0</v>
          </cell>
          <cell r="U126">
            <v>38</v>
          </cell>
          <cell r="V126">
            <v>0</v>
          </cell>
          <cell r="W126">
            <v>0</v>
          </cell>
          <cell r="AA126">
            <v>0</v>
          </cell>
          <cell r="AB126">
            <v>0</v>
          </cell>
          <cell r="AC126">
            <v>0</v>
          </cell>
          <cell r="AD126">
            <v>38</v>
          </cell>
          <cell r="AE126">
            <v>510300</v>
          </cell>
          <cell r="AF126">
            <v>0</v>
          </cell>
          <cell r="AI126">
            <v>2223</v>
          </cell>
          <cell r="AK126">
            <v>0</v>
          </cell>
          <cell r="AM126">
            <v>641</v>
          </cell>
          <cell r="AN126">
            <v>1</v>
          </cell>
          <cell r="AO126">
            <v>393216</v>
          </cell>
          <cell r="AQ126">
            <v>0</v>
          </cell>
          <cell r="AR126">
            <v>0</v>
          </cell>
          <cell r="AS126" t="str">
            <v>Ы</v>
          </cell>
          <cell r="AT126" t="str">
            <v>Ы</v>
          </cell>
          <cell r="AU126">
            <v>0</v>
          </cell>
          <cell r="AV126">
            <v>0</v>
          </cell>
          <cell r="AW126">
            <v>23</v>
          </cell>
          <cell r="AX126">
            <v>1</v>
          </cell>
          <cell r="AY126">
            <v>0</v>
          </cell>
          <cell r="AZ126">
            <v>0</v>
          </cell>
          <cell r="BA126">
            <v>0</v>
          </cell>
          <cell r="BB126">
            <v>0</v>
          </cell>
          <cell r="BC126">
            <v>38828</v>
          </cell>
        </row>
        <row r="127">
          <cell r="A127">
            <v>2006</v>
          </cell>
          <cell r="B127">
            <v>1</v>
          </cell>
          <cell r="C127">
            <v>515</v>
          </cell>
          <cell r="D127">
            <v>20</v>
          </cell>
          <cell r="E127">
            <v>792030</v>
          </cell>
          <cell r="F127">
            <v>0</v>
          </cell>
          <cell r="G127" t="str">
            <v>Затраты по ШПЗ (неосновные)</v>
          </cell>
          <cell r="H127">
            <v>2030</v>
          </cell>
          <cell r="I127">
            <v>7920</v>
          </cell>
          <cell r="J127">
            <v>20.69</v>
          </cell>
          <cell r="K127">
            <v>1</v>
          </cell>
          <cell r="L127">
            <v>0</v>
          </cell>
          <cell r="M127">
            <v>0</v>
          </cell>
          <cell r="N127">
            <v>0</v>
          </cell>
          <cell r="R127">
            <v>0</v>
          </cell>
          <cell r="S127">
            <v>0</v>
          </cell>
          <cell r="T127">
            <v>0</v>
          </cell>
          <cell r="U127">
            <v>38</v>
          </cell>
          <cell r="V127">
            <v>0</v>
          </cell>
          <cell r="W127">
            <v>0</v>
          </cell>
          <cell r="AA127">
            <v>0</v>
          </cell>
          <cell r="AB127">
            <v>0</v>
          </cell>
          <cell r="AC127">
            <v>0</v>
          </cell>
          <cell r="AD127">
            <v>38</v>
          </cell>
          <cell r="AE127">
            <v>510400</v>
          </cell>
          <cell r="AF127">
            <v>0</v>
          </cell>
          <cell r="AI127">
            <v>2223</v>
          </cell>
          <cell r="AK127">
            <v>0</v>
          </cell>
          <cell r="AM127">
            <v>642</v>
          </cell>
          <cell r="AN127">
            <v>1</v>
          </cell>
          <cell r="AO127">
            <v>393216</v>
          </cell>
          <cell r="AQ127">
            <v>0</v>
          </cell>
          <cell r="AR127">
            <v>0</v>
          </cell>
          <cell r="AS127" t="str">
            <v>Ы</v>
          </cell>
          <cell r="AT127" t="str">
            <v>Ы</v>
          </cell>
          <cell r="AU127">
            <v>0</v>
          </cell>
          <cell r="AV127">
            <v>0</v>
          </cell>
          <cell r="AW127">
            <v>23</v>
          </cell>
          <cell r="AX127">
            <v>1</v>
          </cell>
          <cell r="AY127">
            <v>0</v>
          </cell>
          <cell r="AZ127">
            <v>0</v>
          </cell>
          <cell r="BA127">
            <v>0</v>
          </cell>
          <cell r="BB127">
            <v>0</v>
          </cell>
          <cell r="BC127">
            <v>38828</v>
          </cell>
        </row>
        <row r="128">
          <cell r="A128">
            <v>2006</v>
          </cell>
          <cell r="B128">
            <v>1</v>
          </cell>
          <cell r="C128">
            <v>516</v>
          </cell>
          <cell r="D128">
            <v>20</v>
          </cell>
          <cell r="E128">
            <v>792030</v>
          </cell>
          <cell r="F128">
            <v>0</v>
          </cell>
          <cell r="G128" t="str">
            <v>Затраты по ШПЗ (неосновные)</v>
          </cell>
          <cell r="H128">
            <v>2030</v>
          </cell>
          <cell r="I128">
            <v>7920</v>
          </cell>
          <cell r="J128">
            <v>916.09</v>
          </cell>
          <cell r="K128">
            <v>1</v>
          </cell>
          <cell r="L128">
            <v>0</v>
          </cell>
          <cell r="M128">
            <v>0</v>
          </cell>
          <cell r="N128">
            <v>0</v>
          </cell>
          <cell r="R128">
            <v>0</v>
          </cell>
          <cell r="S128">
            <v>0</v>
          </cell>
          <cell r="T128">
            <v>0</v>
          </cell>
          <cell r="U128">
            <v>38</v>
          </cell>
          <cell r="V128">
            <v>0</v>
          </cell>
          <cell r="W128">
            <v>0</v>
          </cell>
          <cell r="AA128">
            <v>0</v>
          </cell>
          <cell r="AB128">
            <v>0</v>
          </cell>
          <cell r="AC128">
            <v>0</v>
          </cell>
          <cell r="AD128">
            <v>38</v>
          </cell>
          <cell r="AE128">
            <v>510600</v>
          </cell>
          <cell r="AF128">
            <v>0</v>
          </cell>
          <cell r="AI128">
            <v>2223</v>
          </cell>
          <cell r="AK128">
            <v>0</v>
          </cell>
          <cell r="AM128">
            <v>643</v>
          </cell>
          <cell r="AN128">
            <v>1</v>
          </cell>
          <cell r="AO128">
            <v>393216</v>
          </cell>
          <cell r="AQ128">
            <v>0</v>
          </cell>
          <cell r="AR128">
            <v>0</v>
          </cell>
          <cell r="AS128" t="str">
            <v>Ы</v>
          </cell>
          <cell r="AT128" t="str">
            <v>Ы</v>
          </cell>
          <cell r="AU128">
            <v>0</v>
          </cell>
          <cell r="AV128">
            <v>0</v>
          </cell>
          <cell r="AW128">
            <v>23</v>
          </cell>
          <cell r="AX128">
            <v>1</v>
          </cell>
          <cell r="AY128">
            <v>0</v>
          </cell>
          <cell r="AZ128">
            <v>0</v>
          </cell>
          <cell r="BA128">
            <v>0</v>
          </cell>
          <cell r="BB128">
            <v>0</v>
          </cell>
          <cell r="BC128">
            <v>38828</v>
          </cell>
        </row>
        <row r="129">
          <cell r="A129">
            <v>2006</v>
          </cell>
          <cell r="B129">
            <v>1</v>
          </cell>
          <cell r="C129">
            <v>517</v>
          </cell>
          <cell r="D129">
            <v>20</v>
          </cell>
          <cell r="E129">
            <v>792030</v>
          </cell>
          <cell r="F129">
            <v>0</v>
          </cell>
          <cell r="G129" t="str">
            <v>Затраты по ШПЗ (неосновные)</v>
          </cell>
          <cell r="H129">
            <v>2030</v>
          </cell>
          <cell r="I129">
            <v>7920</v>
          </cell>
          <cell r="J129">
            <v>17.09</v>
          </cell>
          <cell r="K129">
            <v>1</v>
          </cell>
          <cell r="L129">
            <v>0</v>
          </cell>
          <cell r="M129">
            <v>0</v>
          </cell>
          <cell r="N129">
            <v>0</v>
          </cell>
          <cell r="R129">
            <v>0</v>
          </cell>
          <cell r="S129">
            <v>0</v>
          </cell>
          <cell r="T129">
            <v>0</v>
          </cell>
          <cell r="U129">
            <v>38</v>
          </cell>
          <cell r="V129">
            <v>0</v>
          </cell>
          <cell r="W129">
            <v>0</v>
          </cell>
          <cell r="AA129">
            <v>0</v>
          </cell>
          <cell r="AB129">
            <v>0</v>
          </cell>
          <cell r="AC129">
            <v>0</v>
          </cell>
          <cell r="AD129">
            <v>38</v>
          </cell>
          <cell r="AE129">
            <v>513600</v>
          </cell>
          <cell r="AF129">
            <v>0</v>
          </cell>
          <cell r="AI129">
            <v>2223</v>
          </cell>
          <cell r="AK129">
            <v>0</v>
          </cell>
          <cell r="AM129">
            <v>644</v>
          </cell>
          <cell r="AN129">
            <v>1</v>
          </cell>
          <cell r="AO129">
            <v>393216</v>
          </cell>
          <cell r="AQ129">
            <v>0</v>
          </cell>
          <cell r="AR129">
            <v>0</v>
          </cell>
          <cell r="AS129" t="str">
            <v>Ы</v>
          </cell>
          <cell r="AT129" t="str">
            <v>Ы</v>
          </cell>
          <cell r="AU129">
            <v>0</v>
          </cell>
          <cell r="AV129">
            <v>0</v>
          </cell>
          <cell r="AW129">
            <v>23</v>
          </cell>
          <cell r="AX129">
            <v>1</v>
          </cell>
          <cell r="AY129">
            <v>0</v>
          </cell>
          <cell r="AZ129">
            <v>0</v>
          </cell>
          <cell r="BA129">
            <v>0</v>
          </cell>
          <cell r="BB129">
            <v>0</v>
          </cell>
          <cell r="BC129">
            <v>38828</v>
          </cell>
        </row>
        <row r="130">
          <cell r="A130">
            <v>2006</v>
          </cell>
          <cell r="B130">
            <v>2</v>
          </cell>
          <cell r="C130">
            <v>1</v>
          </cell>
          <cell r="D130">
            <v>21</v>
          </cell>
          <cell r="E130">
            <v>792030</v>
          </cell>
          <cell r="F130">
            <v>0</v>
          </cell>
          <cell r="G130" t="str">
            <v>Затраты по ШПЗ (неосновные)</v>
          </cell>
          <cell r="H130">
            <v>2030</v>
          </cell>
          <cell r="I130">
            <v>7920</v>
          </cell>
          <cell r="J130">
            <v>255</v>
          </cell>
          <cell r="K130">
            <v>1</v>
          </cell>
          <cell r="L130">
            <v>0</v>
          </cell>
          <cell r="M130">
            <v>0</v>
          </cell>
          <cell r="N130">
            <v>0</v>
          </cell>
          <cell r="R130">
            <v>0</v>
          </cell>
          <cell r="S130">
            <v>0</v>
          </cell>
          <cell r="T130">
            <v>0</v>
          </cell>
          <cell r="U130">
            <v>31</v>
          </cell>
          <cell r="V130">
            <v>0</v>
          </cell>
          <cell r="W130">
            <v>0</v>
          </cell>
          <cell r="AA130">
            <v>0</v>
          </cell>
          <cell r="AB130">
            <v>0</v>
          </cell>
          <cell r="AC130">
            <v>0</v>
          </cell>
          <cell r="AD130">
            <v>31</v>
          </cell>
          <cell r="AE130">
            <v>110000</v>
          </cell>
          <cell r="AF130">
            <v>0</v>
          </cell>
          <cell r="AI130">
            <v>2251</v>
          </cell>
          <cell r="AK130">
            <v>0</v>
          </cell>
          <cell r="AM130">
            <v>130</v>
          </cell>
          <cell r="AN130">
            <v>1</v>
          </cell>
          <cell r="AO130">
            <v>393216</v>
          </cell>
          <cell r="AQ130">
            <v>0</v>
          </cell>
          <cell r="AR130">
            <v>0</v>
          </cell>
          <cell r="AS130" t="str">
            <v>Ы</v>
          </cell>
          <cell r="AT130" t="str">
            <v>Ы</v>
          </cell>
          <cell r="AU130">
            <v>0</v>
          </cell>
          <cell r="AV130">
            <v>0</v>
          </cell>
          <cell r="AW130">
            <v>23</v>
          </cell>
          <cell r="AX130">
            <v>1</v>
          </cell>
          <cell r="AY130">
            <v>0</v>
          </cell>
          <cell r="AZ130">
            <v>0</v>
          </cell>
          <cell r="BA130">
            <v>0</v>
          </cell>
          <cell r="BB130">
            <v>0</v>
          </cell>
          <cell r="BC130">
            <v>38828</v>
          </cell>
        </row>
        <row r="131">
          <cell r="A131">
            <v>2006</v>
          </cell>
          <cell r="B131">
            <v>2</v>
          </cell>
          <cell r="C131">
            <v>2</v>
          </cell>
          <cell r="D131">
            <v>21</v>
          </cell>
          <cell r="E131">
            <v>792030</v>
          </cell>
          <cell r="F131">
            <v>0</v>
          </cell>
          <cell r="G131" t="str">
            <v>Затраты по ШПЗ (неосновные)</v>
          </cell>
          <cell r="H131">
            <v>2030</v>
          </cell>
          <cell r="I131">
            <v>7920</v>
          </cell>
          <cell r="J131">
            <v>1000</v>
          </cell>
          <cell r="K131">
            <v>1</v>
          </cell>
          <cell r="L131">
            <v>0</v>
          </cell>
          <cell r="M131">
            <v>0</v>
          </cell>
          <cell r="N131">
            <v>0</v>
          </cell>
          <cell r="R131">
            <v>0</v>
          </cell>
          <cell r="S131">
            <v>0</v>
          </cell>
          <cell r="T131">
            <v>0</v>
          </cell>
          <cell r="U131">
            <v>31</v>
          </cell>
          <cell r="V131">
            <v>0</v>
          </cell>
          <cell r="W131">
            <v>0</v>
          </cell>
          <cell r="AA131">
            <v>0</v>
          </cell>
          <cell r="AB131">
            <v>0</v>
          </cell>
          <cell r="AC131">
            <v>0</v>
          </cell>
          <cell r="AD131">
            <v>31</v>
          </cell>
          <cell r="AE131">
            <v>114020</v>
          </cell>
          <cell r="AF131">
            <v>0</v>
          </cell>
          <cell r="AI131">
            <v>2251</v>
          </cell>
          <cell r="AK131">
            <v>0</v>
          </cell>
          <cell r="AM131">
            <v>131</v>
          </cell>
          <cell r="AN131">
            <v>1</v>
          </cell>
          <cell r="AO131">
            <v>393216</v>
          </cell>
          <cell r="AQ131">
            <v>0</v>
          </cell>
          <cell r="AR131">
            <v>0</v>
          </cell>
          <cell r="AS131" t="str">
            <v>Ы</v>
          </cell>
          <cell r="AT131" t="str">
            <v>Ы</v>
          </cell>
          <cell r="AU131">
            <v>0</v>
          </cell>
          <cell r="AV131">
            <v>0</v>
          </cell>
          <cell r="AW131">
            <v>23</v>
          </cell>
          <cell r="AX131">
            <v>1</v>
          </cell>
          <cell r="AY131">
            <v>0</v>
          </cell>
          <cell r="AZ131">
            <v>0</v>
          </cell>
          <cell r="BA131">
            <v>0</v>
          </cell>
          <cell r="BB131">
            <v>0</v>
          </cell>
          <cell r="BC131">
            <v>38828</v>
          </cell>
        </row>
        <row r="132">
          <cell r="A132">
            <v>2006</v>
          </cell>
          <cell r="B132">
            <v>2</v>
          </cell>
          <cell r="C132">
            <v>3</v>
          </cell>
          <cell r="D132">
            <v>21</v>
          </cell>
          <cell r="E132">
            <v>792030</v>
          </cell>
          <cell r="F132">
            <v>0</v>
          </cell>
          <cell r="G132" t="str">
            <v>Затраты по ШПЗ (неосновные)</v>
          </cell>
          <cell r="H132">
            <v>2030</v>
          </cell>
          <cell r="I132">
            <v>7920</v>
          </cell>
          <cell r="J132">
            <v>1000</v>
          </cell>
          <cell r="K132">
            <v>1</v>
          </cell>
          <cell r="L132">
            <v>0</v>
          </cell>
          <cell r="M132">
            <v>0</v>
          </cell>
          <cell r="N132">
            <v>0</v>
          </cell>
          <cell r="R132">
            <v>0</v>
          </cell>
          <cell r="S132">
            <v>0</v>
          </cell>
          <cell r="T132">
            <v>0</v>
          </cell>
          <cell r="U132">
            <v>31</v>
          </cell>
          <cell r="V132">
            <v>0</v>
          </cell>
          <cell r="W132">
            <v>0</v>
          </cell>
          <cell r="AA132">
            <v>0</v>
          </cell>
          <cell r="AB132">
            <v>0</v>
          </cell>
          <cell r="AC132">
            <v>0</v>
          </cell>
          <cell r="AD132">
            <v>31</v>
          </cell>
          <cell r="AE132">
            <v>135000</v>
          </cell>
          <cell r="AF132">
            <v>0</v>
          </cell>
          <cell r="AI132">
            <v>2251</v>
          </cell>
          <cell r="AK132">
            <v>0</v>
          </cell>
          <cell r="AM132">
            <v>132</v>
          </cell>
          <cell r="AN132">
            <v>1</v>
          </cell>
          <cell r="AO132">
            <v>393216</v>
          </cell>
          <cell r="AQ132">
            <v>0</v>
          </cell>
          <cell r="AR132">
            <v>0</v>
          </cell>
          <cell r="AS132" t="str">
            <v>Ы</v>
          </cell>
          <cell r="AT132" t="str">
            <v>Ы</v>
          </cell>
          <cell r="AU132">
            <v>0</v>
          </cell>
          <cell r="AV132">
            <v>0</v>
          </cell>
          <cell r="AW132">
            <v>23</v>
          </cell>
          <cell r="AX132">
            <v>1</v>
          </cell>
          <cell r="AY132">
            <v>0</v>
          </cell>
          <cell r="AZ132">
            <v>0</v>
          </cell>
          <cell r="BA132">
            <v>0</v>
          </cell>
          <cell r="BB132">
            <v>0</v>
          </cell>
          <cell r="BC132">
            <v>38828</v>
          </cell>
        </row>
        <row r="133">
          <cell r="A133">
            <v>2006</v>
          </cell>
          <cell r="B133">
            <v>2</v>
          </cell>
          <cell r="C133">
            <v>4</v>
          </cell>
          <cell r="D133">
            <v>21</v>
          </cell>
          <cell r="E133">
            <v>792030</v>
          </cell>
          <cell r="F133">
            <v>0</v>
          </cell>
          <cell r="G133" t="str">
            <v>Затраты по ШПЗ (неосновные)</v>
          </cell>
          <cell r="H133">
            <v>2030</v>
          </cell>
          <cell r="I133">
            <v>7920</v>
          </cell>
          <cell r="J133">
            <v>48000</v>
          </cell>
          <cell r="K133">
            <v>1</v>
          </cell>
          <cell r="L133">
            <v>0</v>
          </cell>
          <cell r="M133">
            <v>0</v>
          </cell>
          <cell r="N133">
            <v>0</v>
          </cell>
          <cell r="R133">
            <v>0</v>
          </cell>
          <cell r="S133">
            <v>0</v>
          </cell>
          <cell r="T133">
            <v>0</v>
          </cell>
          <cell r="U133">
            <v>31</v>
          </cell>
          <cell r="V133">
            <v>0</v>
          </cell>
          <cell r="W133">
            <v>0</v>
          </cell>
          <cell r="AA133">
            <v>0</v>
          </cell>
          <cell r="AB133">
            <v>0</v>
          </cell>
          <cell r="AC133">
            <v>0</v>
          </cell>
          <cell r="AD133">
            <v>31</v>
          </cell>
          <cell r="AE133">
            <v>151000</v>
          </cell>
          <cell r="AF133">
            <v>0</v>
          </cell>
          <cell r="AI133">
            <v>2251</v>
          </cell>
          <cell r="AK133">
            <v>0</v>
          </cell>
          <cell r="AM133">
            <v>133</v>
          </cell>
          <cell r="AN133">
            <v>1</v>
          </cell>
          <cell r="AO133">
            <v>393216</v>
          </cell>
          <cell r="AQ133">
            <v>0</v>
          </cell>
          <cell r="AR133">
            <v>0</v>
          </cell>
          <cell r="AS133" t="str">
            <v>Ы</v>
          </cell>
          <cell r="AT133" t="str">
            <v>Ы</v>
          </cell>
          <cell r="AU133">
            <v>0</v>
          </cell>
          <cell r="AV133">
            <v>0</v>
          </cell>
          <cell r="AW133">
            <v>23</v>
          </cell>
          <cell r="AX133">
            <v>1</v>
          </cell>
          <cell r="AY133">
            <v>0</v>
          </cell>
          <cell r="AZ133">
            <v>0</v>
          </cell>
          <cell r="BA133">
            <v>0</v>
          </cell>
          <cell r="BB133">
            <v>0</v>
          </cell>
          <cell r="BC133">
            <v>38828</v>
          </cell>
        </row>
        <row r="134">
          <cell r="A134">
            <v>2006</v>
          </cell>
          <cell r="B134">
            <v>2</v>
          </cell>
          <cell r="C134">
            <v>5</v>
          </cell>
          <cell r="D134">
            <v>21</v>
          </cell>
          <cell r="E134">
            <v>792030</v>
          </cell>
          <cell r="F134">
            <v>0</v>
          </cell>
          <cell r="G134" t="str">
            <v>Затраты по ШПЗ (неосновные)</v>
          </cell>
          <cell r="H134">
            <v>2030</v>
          </cell>
          <cell r="I134">
            <v>7920</v>
          </cell>
          <cell r="J134">
            <v>22000</v>
          </cell>
          <cell r="K134">
            <v>1</v>
          </cell>
          <cell r="L134">
            <v>0</v>
          </cell>
          <cell r="M134">
            <v>0</v>
          </cell>
          <cell r="N134">
            <v>0</v>
          </cell>
          <cell r="R134">
            <v>0</v>
          </cell>
          <cell r="S134">
            <v>0</v>
          </cell>
          <cell r="T134">
            <v>0</v>
          </cell>
          <cell r="U134">
            <v>31</v>
          </cell>
          <cell r="V134">
            <v>0</v>
          </cell>
          <cell r="W134">
            <v>0</v>
          </cell>
          <cell r="AA134">
            <v>0</v>
          </cell>
          <cell r="AB134">
            <v>0</v>
          </cell>
          <cell r="AC134">
            <v>0</v>
          </cell>
          <cell r="AD134">
            <v>31</v>
          </cell>
          <cell r="AE134">
            <v>152000</v>
          </cell>
          <cell r="AF134">
            <v>0</v>
          </cell>
          <cell r="AI134">
            <v>2251</v>
          </cell>
          <cell r="AK134">
            <v>0</v>
          </cell>
          <cell r="AM134">
            <v>134</v>
          </cell>
          <cell r="AN134">
            <v>1</v>
          </cell>
          <cell r="AO134">
            <v>393216</v>
          </cell>
          <cell r="AQ134">
            <v>0</v>
          </cell>
          <cell r="AR134">
            <v>0</v>
          </cell>
          <cell r="AS134" t="str">
            <v>Ы</v>
          </cell>
          <cell r="AT134" t="str">
            <v>Ы</v>
          </cell>
          <cell r="AU134">
            <v>0</v>
          </cell>
          <cell r="AV134">
            <v>0</v>
          </cell>
          <cell r="AW134">
            <v>23</v>
          </cell>
          <cell r="AX134">
            <v>1</v>
          </cell>
          <cell r="AY134">
            <v>0</v>
          </cell>
          <cell r="AZ134">
            <v>0</v>
          </cell>
          <cell r="BA134">
            <v>0</v>
          </cell>
          <cell r="BB134">
            <v>0</v>
          </cell>
          <cell r="BC134">
            <v>38828</v>
          </cell>
        </row>
        <row r="135">
          <cell r="A135">
            <v>2006</v>
          </cell>
          <cell r="B135">
            <v>2</v>
          </cell>
          <cell r="C135">
            <v>6</v>
          </cell>
          <cell r="D135">
            <v>21</v>
          </cell>
          <cell r="E135">
            <v>792030</v>
          </cell>
          <cell r="F135">
            <v>0</v>
          </cell>
          <cell r="G135" t="str">
            <v>Затраты по ШПЗ (неосновные)</v>
          </cell>
          <cell r="H135">
            <v>2030</v>
          </cell>
          <cell r="I135">
            <v>7920</v>
          </cell>
          <cell r="J135">
            <v>8000</v>
          </cell>
          <cell r="K135">
            <v>1</v>
          </cell>
          <cell r="L135">
            <v>0</v>
          </cell>
          <cell r="M135">
            <v>0</v>
          </cell>
          <cell r="N135">
            <v>0</v>
          </cell>
          <cell r="R135">
            <v>0</v>
          </cell>
          <cell r="S135">
            <v>0</v>
          </cell>
          <cell r="T135">
            <v>0</v>
          </cell>
          <cell r="U135">
            <v>31</v>
          </cell>
          <cell r="V135">
            <v>0</v>
          </cell>
          <cell r="W135">
            <v>0</v>
          </cell>
          <cell r="AA135">
            <v>0</v>
          </cell>
          <cell r="AB135">
            <v>0</v>
          </cell>
          <cell r="AC135">
            <v>0</v>
          </cell>
          <cell r="AD135">
            <v>31</v>
          </cell>
          <cell r="AE135">
            <v>501102</v>
          </cell>
          <cell r="AF135">
            <v>0</v>
          </cell>
          <cell r="AI135">
            <v>2251</v>
          </cell>
          <cell r="AK135">
            <v>0</v>
          </cell>
          <cell r="AM135">
            <v>135</v>
          </cell>
          <cell r="AN135">
            <v>1</v>
          </cell>
          <cell r="AO135">
            <v>393216</v>
          </cell>
          <cell r="AQ135">
            <v>0</v>
          </cell>
          <cell r="AR135">
            <v>0</v>
          </cell>
          <cell r="AS135" t="str">
            <v>Ы</v>
          </cell>
          <cell r="AT135" t="str">
            <v>Ы</v>
          </cell>
          <cell r="AU135">
            <v>0</v>
          </cell>
          <cell r="AV135">
            <v>0</v>
          </cell>
          <cell r="AW135">
            <v>23</v>
          </cell>
          <cell r="AX135">
            <v>1</v>
          </cell>
          <cell r="AY135">
            <v>0</v>
          </cell>
          <cell r="AZ135">
            <v>0</v>
          </cell>
          <cell r="BA135">
            <v>0</v>
          </cell>
          <cell r="BB135">
            <v>0</v>
          </cell>
          <cell r="BC135">
            <v>38828</v>
          </cell>
        </row>
        <row r="136">
          <cell r="A136">
            <v>2006</v>
          </cell>
          <cell r="B136">
            <v>2</v>
          </cell>
          <cell r="C136">
            <v>7</v>
          </cell>
          <cell r="D136">
            <v>21</v>
          </cell>
          <cell r="E136">
            <v>792030</v>
          </cell>
          <cell r="F136">
            <v>0</v>
          </cell>
          <cell r="G136" t="str">
            <v>Затраты по ШПЗ (неосновные)</v>
          </cell>
          <cell r="H136">
            <v>2030</v>
          </cell>
          <cell r="I136">
            <v>7920</v>
          </cell>
          <cell r="J136">
            <v>8000</v>
          </cell>
          <cell r="K136">
            <v>1</v>
          </cell>
          <cell r="L136">
            <v>0</v>
          </cell>
          <cell r="M136">
            <v>0</v>
          </cell>
          <cell r="N136">
            <v>0</v>
          </cell>
          <cell r="R136">
            <v>0</v>
          </cell>
          <cell r="S136">
            <v>0</v>
          </cell>
          <cell r="T136">
            <v>0</v>
          </cell>
          <cell r="U136">
            <v>31</v>
          </cell>
          <cell r="V136">
            <v>0</v>
          </cell>
          <cell r="W136">
            <v>0</v>
          </cell>
          <cell r="AA136">
            <v>0</v>
          </cell>
          <cell r="AB136">
            <v>0</v>
          </cell>
          <cell r="AC136">
            <v>0</v>
          </cell>
          <cell r="AD136">
            <v>31</v>
          </cell>
          <cell r="AE136">
            <v>510100</v>
          </cell>
          <cell r="AF136">
            <v>0</v>
          </cell>
          <cell r="AI136">
            <v>2251</v>
          </cell>
          <cell r="AK136">
            <v>0</v>
          </cell>
          <cell r="AM136">
            <v>136</v>
          </cell>
          <cell r="AN136">
            <v>1</v>
          </cell>
          <cell r="AO136">
            <v>393216</v>
          </cell>
          <cell r="AQ136">
            <v>0</v>
          </cell>
          <cell r="AR136">
            <v>0</v>
          </cell>
          <cell r="AS136" t="str">
            <v>Ы</v>
          </cell>
          <cell r="AT136" t="str">
            <v>Ы</v>
          </cell>
          <cell r="AU136">
            <v>0</v>
          </cell>
          <cell r="AV136">
            <v>0</v>
          </cell>
          <cell r="AW136">
            <v>23</v>
          </cell>
          <cell r="AX136">
            <v>1</v>
          </cell>
          <cell r="AY136">
            <v>0</v>
          </cell>
          <cell r="AZ136">
            <v>0</v>
          </cell>
          <cell r="BA136">
            <v>0</v>
          </cell>
          <cell r="BB136">
            <v>0</v>
          </cell>
          <cell r="BC136">
            <v>38828</v>
          </cell>
        </row>
        <row r="137">
          <cell r="A137">
            <v>2006</v>
          </cell>
          <cell r="B137">
            <v>2</v>
          </cell>
          <cell r="C137">
            <v>84</v>
          </cell>
          <cell r="D137">
            <v>21</v>
          </cell>
          <cell r="E137">
            <v>792030</v>
          </cell>
          <cell r="F137">
            <v>0</v>
          </cell>
          <cell r="G137" t="str">
            <v>Затраты по ШПЗ (неосновные)</v>
          </cell>
          <cell r="H137">
            <v>2030</v>
          </cell>
          <cell r="I137">
            <v>7920</v>
          </cell>
          <cell r="J137">
            <v>33.85</v>
          </cell>
          <cell r="K137">
            <v>1</v>
          </cell>
          <cell r="L137">
            <v>0</v>
          </cell>
          <cell r="M137">
            <v>0</v>
          </cell>
          <cell r="N137">
            <v>0</v>
          </cell>
          <cell r="R137">
            <v>0</v>
          </cell>
          <cell r="S137">
            <v>0</v>
          </cell>
          <cell r="T137">
            <v>0</v>
          </cell>
          <cell r="U137">
            <v>32</v>
          </cell>
          <cell r="V137">
            <v>0</v>
          </cell>
          <cell r="W137">
            <v>0</v>
          </cell>
          <cell r="AA137">
            <v>0</v>
          </cell>
          <cell r="AB137">
            <v>0</v>
          </cell>
          <cell r="AC137">
            <v>0</v>
          </cell>
          <cell r="AD137">
            <v>32</v>
          </cell>
          <cell r="AE137">
            <v>110000</v>
          </cell>
          <cell r="AF137">
            <v>0</v>
          </cell>
          <cell r="AI137">
            <v>2251</v>
          </cell>
          <cell r="AK137">
            <v>0</v>
          </cell>
          <cell r="AM137">
            <v>213</v>
          </cell>
          <cell r="AN137">
            <v>1</v>
          </cell>
          <cell r="AO137">
            <v>393216</v>
          </cell>
          <cell r="AQ137">
            <v>0</v>
          </cell>
          <cell r="AR137">
            <v>0</v>
          </cell>
          <cell r="AS137" t="str">
            <v>Ы</v>
          </cell>
          <cell r="AT137" t="str">
            <v>Ы</v>
          </cell>
          <cell r="AU137">
            <v>0</v>
          </cell>
          <cell r="AV137">
            <v>0</v>
          </cell>
          <cell r="AW137">
            <v>23</v>
          </cell>
          <cell r="AX137">
            <v>1</v>
          </cell>
          <cell r="AY137">
            <v>0</v>
          </cell>
          <cell r="AZ137">
            <v>0</v>
          </cell>
          <cell r="BA137">
            <v>0</v>
          </cell>
          <cell r="BB137">
            <v>0</v>
          </cell>
          <cell r="BC137">
            <v>38828</v>
          </cell>
        </row>
        <row r="138">
          <cell r="A138">
            <v>2006</v>
          </cell>
          <cell r="B138">
            <v>2</v>
          </cell>
          <cell r="C138">
            <v>85</v>
          </cell>
          <cell r="D138">
            <v>21</v>
          </cell>
          <cell r="E138">
            <v>792030</v>
          </cell>
          <cell r="F138">
            <v>0</v>
          </cell>
          <cell r="G138" t="str">
            <v>Затраты по ШПЗ (неосновные)</v>
          </cell>
          <cell r="H138">
            <v>2030</v>
          </cell>
          <cell r="I138">
            <v>7920</v>
          </cell>
          <cell r="J138">
            <v>3.19</v>
          </cell>
          <cell r="K138">
            <v>1</v>
          </cell>
          <cell r="L138">
            <v>0</v>
          </cell>
          <cell r="M138">
            <v>0</v>
          </cell>
          <cell r="N138">
            <v>0</v>
          </cell>
          <cell r="R138">
            <v>0</v>
          </cell>
          <cell r="S138">
            <v>0</v>
          </cell>
          <cell r="T138">
            <v>0</v>
          </cell>
          <cell r="U138">
            <v>32</v>
          </cell>
          <cell r="V138">
            <v>0</v>
          </cell>
          <cell r="W138">
            <v>0</v>
          </cell>
          <cell r="AA138">
            <v>0</v>
          </cell>
          <cell r="AB138">
            <v>0</v>
          </cell>
          <cell r="AC138">
            <v>0</v>
          </cell>
          <cell r="AD138">
            <v>32</v>
          </cell>
          <cell r="AE138">
            <v>114020</v>
          </cell>
          <cell r="AF138">
            <v>0</v>
          </cell>
          <cell r="AI138">
            <v>2251</v>
          </cell>
          <cell r="AK138">
            <v>0</v>
          </cell>
          <cell r="AM138">
            <v>214</v>
          </cell>
          <cell r="AN138">
            <v>1</v>
          </cell>
          <cell r="AO138">
            <v>393216</v>
          </cell>
          <cell r="AQ138">
            <v>0</v>
          </cell>
          <cell r="AR138">
            <v>0</v>
          </cell>
          <cell r="AS138" t="str">
            <v>Ы</v>
          </cell>
          <cell r="AT138" t="str">
            <v>Ы</v>
          </cell>
          <cell r="AU138">
            <v>0</v>
          </cell>
          <cell r="AV138">
            <v>0</v>
          </cell>
          <cell r="AW138">
            <v>23</v>
          </cell>
          <cell r="AX138">
            <v>1</v>
          </cell>
          <cell r="AY138">
            <v>0</v>
          </cell>
          <cell r="AZ138">
            <v>0</v>
          </cell>
          <cell r="BA138">
            <v>0</v>
          </cell>
          <cell r="BB138">
            <v>0</v>
          </cell>
          <cell r="BC138">
            <v>38828</v>
          </cell>
        </row>
        <row r="139">
          <cell r="A139">
            <v>2006</v>
          </cell>
          <cell r="B139">
            <v>2</v>
          </cell>
          <cell r="C139">
            <v>86</v>
          </cell>
          <cell r="D139">
            <v>21</v>
          </cell>
          <cell r="E139">
            <v>792030</v>
          </cell>
          <cell r="F139">
            <v>0</v>
          </cell>
          <cell r="G139" t="str">
            <v>Затраты по ШПЗ (неосновные)</v>
          </cell>
          <cell r="H139">
            <v>2030</v>
          </cell>
          <cell r="I139">
            <v>7920</v>
          </cell>
          <cell r="J139">
            <v>3.21</v>
          </cell>
          <cell r="K139">
            <v>1</v>
          </cell>
          <cell r="L139">
            <v>0</v>
          </cell>
          <cell r="M139">
            <v>0</v>
          </cell>
          <cell r="N139">
            <v>0</v>
          </cell>
          <cell r="R139">
            <v>0</v>
          </cell>
          <cell r="S139">
            <v>0</v>
          </cell>
          <cell r="T139">
            <v>0</v>
          </cell>
          <cell r="U139">
            <v>32</v>
          </cell>
          <cell r="V139">
            <v>0</v>
          </cell>
          <cell r="W139">
            <v>0</v>
          </cell>
          <cell r="AA139">
            <v>0</v>
          </cell>
          <cell r="AB139">
            <v>0</v>
          </cell>
          <cell r="AC139">
            <v>0</v>
          </cell>
          <cell r="AD139">
            <v>32</v>
          </cell>
          <cell r="AE139">
            <v>117000</v>
          </cell>
          <cell r="AF139">
            <v>0</v>
          </cell>
          <cell r="AI139">
            <v>2251</v>
          </cell>
          <cell r="AK139">
            <v>0</v>
          </cell>
          <cell r="AM139">
            <v>215</v>
          </cell>
          <cell r="AN139">
            <v>1</v>
          </cell>
          <cell r="AO139">
            <v>393216</v>
          </cell>
          <cell r="AQ139">
            <v>0</v>
          </cell>
          <cell r="AR139">
            <v>0</v>
          </cell>
          <cell r="AS139" t="str">
            <v>Ы</v>
          </cell>
          <cell r="AT139" t="str">
            <v>Ы</v>
          </cell>
          <cell r="AU139">
            <v>0</v>
          </cell>
          <cell r="AV139">
            <v>0</v>
          </cell>
          <cell r="AW139">
            <v>23</v>
          </cell>
          <cell r="AX139">
            <v>1</v>
          </cell>
          <cell r="AY139">
            <v>0</v>
          </cell>
          <cell r="AZ139">
            <v>0</v>
          </cell>
          <cell r="BA139">
            <v>0</v>
          </cell>
          <cell r="BB139">
            <v>0</v>
          </cell>
          <cell r="BC139">
            <v>38828</v>
          </cell>
        </row>
        <row r="140">
          <cell r="A140">
            <v>2006</v>
          </cell>
          <cell r="B140">
            <v>2</v>
          </cell>
          <cell r="C140">
            <v>87</v>
          </cell>
          <cell r="D140">
            <v>21</v>
          </cell>
          <cell r="E140">
            <v>792030</v>
          </cell>
          <cell r="F140">
            <v>0</v>
          </cell>
          <cell r="G140" t="str">
            <v>Затраты по ШПЗ (неосновные)</v>
          </cell>
          <cell r="H140">
            <v>2030</v>
          </cell>
          <cell r="I140">
            <v>7920</v>
          </cell>
          <cell r="J140">
            <v>0.41</v>
          </cell>
          <cell r="K140">
            <v>1</v>
          </cell>
          <cell r="L140">
            <v>0</v>
          </cell>
          <cell r="M140">
            <v>0</v>
          </cell>
          <cell r="N140">
            <v>0</v>
          </cell>
          <cell r="R140">
            <v>0</v>
          </cell>
          <cell r="S140">
            <v>0</v>
          </cell>
          <cell r="T140">
            <v>0</v>
          </cell>
          <cell r="U140">
            <v>32</v>
          </cell>
          <cell r="V140">
            <v>0</v>
          </cell>
          <cell r="W140">
            <v>0</v>
          </cell>
          <cell r="AA140">
            <v>0</v>
          </cell>
          <cell r="AB140">
            <v>0</v>
          </cell>
          <cell r="AC140">
            <v>0</v>
          </cell>
          <cell r="AD140">
            <v>32</v>
          </cell>
          <cell r="AE140">
            <v>130000</v>
          </cell>
          <cell r="AF140">
            <v>0</v>
          </cell>
          <cell r="AI140">
            <v>2251</v>
          </cell>
          <cell r="AK140">
            <v>0</v>
          </cell>
          <cell r="AM140">
            <v>216</v>
          </cell>
          <cell r="AN140">
            <v>1</v>
          </cell>
          <cell r="AO140">
            <v>393216</v>
          </cell>
          <cell r="AQ140">
            <v>0</v>
          </cell>
          <cell r="AR140">
            <v>0</v>
          </cell>
          <cell r="AS140" t="str">
            <v>Ы</v>
          </cell>
          <cell r="AT140" t="str">
            <v>Ы</v>
          </cell>
          <cell r="AU140">
            <v>0</v>
          </cell>
          <cell r="AV140">
            <v>0</v>
          </cell>
          <cell r="AW140">
            <v>23</v>
          </cell>
          <cell r="AX140">
            <v>1</v>
          </cell>
          <cell r="AY140">
            <v>0</v>
          </cell>
          <cell r="AZ140">
            <v>0</v>
          </cell>
          <cell r="BA140">
            <v>0</v>
          </cell>
          <cell r="BB140">
            <v>0</v>
          </cell>
          <cell r="BC140">
            <v>38828</v>
          </cell>
        </row>
        <row r="141">
          <cell r="A141">
            <v>2006</v>
          </cell>
          <cell r="B141">
            <v>2</v>
          </cell>
          <cell r="C141">
            <v>88</v>
          </cell>
          <cell r="D141">
            <v>21</v>
          </cell>
          <cell r="E141">
            <v>792030</v>
          </cell>
          <cell r="F141">
            <v>0</v>
          </cell>
          <cell r="G141" t="str">
            <v>Затраты по ШПЗ (неосновные)</v>
          </cell>
          <cell r="H141">
            <v>2030</v>
          </cell>
          <cell r="I141">
            <v>7920</v>
          </cell>
          <cell r="J141">
            <v>0.38</v>
          </cell>
          <cell r="K141">
            <v>1</v>
          </cell>
          <cell r="L141">
            <v>0</v>
          </cell>
          <cell r="M141">
            <v>0</v>
          </cell>
          <cell r="N141">
            <v>0</v>
          </cell>
          <cell r="R141">
            <v>0</v>
          </cell>
          <cell r="S141">
            <v>0</v>
          </cell>
          <cell r="T141">
            <v>0</v>
          </cell>
          <cell r="U141">
            <v>32</v>
          </cell>
          <cell r="V141">
            <v>0</v>
          </cell>
          <cell r="W141">
            <v>0</v>
          </cell>
          <cell r="AA141">
            <v>0</v>
          </cell>
          <cell r="AB141">
            <v>0</v>
          </cell>
          <cell r="AC141">
            <v>0</v>
          </cell>
          <cell r="AD141">
            <v>32</v>
          </cell>
          <cell r="AE141">
            <v>131000</v>
          </cell>
          <cell r="AF141">
            <v>0</v>
          </cell>
          <cell r="AI141">
            <v>2251</v>
          </cell>
          <cell r="AK141">
            <v>0</v>
          </cell>
          <cell r="AM141">
            <v>217</v>
          </cell>
          <cell r="AN141">
            <v>1</v>
          </cell>
          <cell r="AO141">
            <v>393216</v>
          </cell>
          <cell r="AQ141">
            <v>0</v>
          </cell>
          <cell r="AR141">
            <v>0</v>
          </cell>
          <cell r="AS141" t="str">
            <v>Ы</v>
          </cell>
          <cell r="AT141" t="str">
            <v>Ы</v>
          </cell>
          <cell r="AU141">
            <v>0</v>
          </cell>
          <cell r="AV141">
            <v>0</v>
          </cell>
          <cell r="AW141">
            <v>23</v>
          </cell>
          <cell r="AX141">
            <v>1</v>
          </cell>
          <cell r="AY141">
            <v>0</v>
          </cell>
          <cell r="AZ141">
            <v>0</v>
          </cell>
          <cell r="BA141">
            <v>0</v>
          </cell>
          <cell r="BB141">
            <v>0</v>
          </cell>
          <cell r="BC141">
            <v>38828</v>
          </cell>
        </row>
        <row r="142">
          <cell r="A142">
            <v>2006</v>
          </cell>
          <cell r="B142">
            <v>2</v>
          </cell>
          <cell r="C142">
            <v>89</v>
          </cell>
          <cell r="D142">
            <v>21</v>
          </cell>
          <cell r="E142">
            <v>792030</v>
          </cell>
          <cell r="F142">
            <v>0</v>
          </cell>
          <cell r="G142" t="str">
            <v>Затраты по ШПЗ (неосновные)</v>
          </cell>
          <cell r="H142">
            <v>2030</v>
          </cell>
          <cell r="I142">
            <v>7920</v>
          </cell>
          <cell r="J142">
            <v>0.94</v>
          </cell>
          <cell r="K142">
            <v>1</v>
          </cell>
          <cell r="L142">
            <v>0</v>
          </cell>
          <cell r="M142">
            <v>0</v>
          </cell>
          <cell r="N142">
            <v>0</v>
          </cell>
          <cell r="R142">
            <v>0</v>
          </cell>
          <cell r="S142">
            <v>0</v>
          </cell>
          <cell r="T142">
            <v>0</v>
          </cell>
          <cell r="U142">
            <v>32</v>
          </cell>
          <cell r="V142">
            <v>0</v>
          </cell>
          <cell r="W142">
            <v>0</v>
          </cell>
          <cell r="AA142">
            <v>0</v>
          </cell>
          <cell r="AB142">
            <v>0</v>
          </cell>
          <cell r="AC142">
            <v>0</v>
          </cell>
          <cell r="AD142">
            <v>32</v>
          </cell>
          <cell r="AE142">
            <v>132000</v>
          </cell>
          <cell r="AF142">
            <v>0</v>
          </cell>
          <cell r="AI142">
            <v>2251</v>
          </cell>
          <cell r="AK142">
            <v>0</v>
          </cell>
          <cell r="AM142">
            <v>218</v>
          </cell>
          <cell r="AN142">
            <v>1</v>
          </cell>
          <cell r="AO142">
            <v>393216</v>
          </cell>
          <cell r="AQ142">
            <v>0</v>
          </cell>
          <cell r="AR142">
            <v>0</v>
          </cell>
          <cell r="AS142" t="str">
            <v>Ы</v>
          </cell>
          <cell r="AT142" t="str">
            <v>Ы</v>
          </cell>
          <cell r="AU142">
            <v>0</v>
          </cell>
          <cell r="AV142">
            <v>0</v>
          </cell>
          <cell r="AW142">
            <v>23</v>
          </cell>
          <cell r="AX142">
            <v>1</v>
          </cell>
          <cell r="AY142">
            <v>0</v>
          </cell>
          <cell r="AZ142">
            <v>0</v>
          </cell>
          <cell r="BA142">
            <v>0</v>
          </cell>
          <cell r="BB142">
            <v>0</v>
          </cell>
          <cell r="BC142">
            <v>38828</v>
          </cell>
        </row>
        <row r="143">
          <cell r="A143">
            <v>2006</v>
          </cell>
          <cell r="B143">
            <v>2</v>
          </cell>
          <cell r="C143">
            <v>90</v>
          </cell>
          <cell r="D143">
            <v>21</v>
          </cell>
          <cell r="E143">
            <v>792030</v>
          </cell>
          <cell r="F143">
            <v>0</v>
          </cell>
          <cell r="G143" t="str">
            <v>Затраты по ШПЗ (неосновные)</v>
          </cell>
          <cell r="H143">
            <v>2030</v>
          </cell>
          <cell r="I143">
            <v>7920</v>
          </cell>
          <cell r="J143">
            <v>12</v>
          </cell>
          <cell r="K143">
            <v>1</v>
          </cell>
          <cell r="L143">
            <v>0</v>
          </cell>
          <cell r="M143">
            <v>0</v>
          </cell>
          <cell r="N143">
            <v>0</v>
          </cell>
          <cell r="R143">
            <v>0</v>
          </cell>
          <cell r="S143">
            <v>0</v>
          </cell>
          <cell r="T143">
            <v>0</v>
          </cell>
          <cell r="U143">
            <v>32</v>
          </cell>
          <cell r="V143">
            <v>0</v>
          </cell>
          <cell r="W143">
            <v>0</v>
          </cell>
          <cell r="AA143">
            <v>0</v>
          </cell>
          <cell r="AB143">
            <v>0</v>
          </cell>
          <cell r="AC143">
            <v>0</v>
          </cell>
          <cell r="AD143">
            <v>32</v>
          </cell>
          <cell r="AE143">
            <v>135000</v>
          </cell>
          <cell r="AF143">
            <v>0</v>
          </cell>
          <cell r="AI143">
            <v>2251</v>
          </cell>
          <cell r="AK143">
            <v>0</v>
          </cell>
          <cell r="AM143">
            <v>219</v>
          </cell>
          <cell r="AN143">
            <v>1</v>
          </cell>
          <cell r="AO143">
            <v>393216</v>
          </cell>
          <cell r="AQ143">
            <v>0</v>
          </cell>
          <cell r="AR143">
            <v>0</v>
          </cell>
          <cell r="AS143" t="str">
            <v>Ы</v>
          </cell>
          <cell r="AT143" t="str">
            <v>Ы</v>
          </cell>
          <cell r="AU143">
            <v>0</v>
          </cell>
          <cell r="AV143">
            <v>0</v>
          </cell>
          <cell r="AW143">
            <v>23</v>
          </cell>
          <cell r="AX143">
            <v>1</v>
          </cell>
          <cell r="AY143">
            <v>0</v>
          </cell>
          <cell r="AZ143">
            <v>0</v>
          </cell>
          <cell r="BA143">
            <v>0</v>
          </cell>
          <cell r="BB143">
            <v>0</v>
          </cell>
          <cell r="BC143">
            <v>38828</v>
          </cell>
        </row>
        <row r="144">
          <cell r="A144">
            <v>2006</v>
          </cell>
          <cell r="B144">
            <v>2</v>
          </cell>
          <cell r="C144">
            <v>91</v>
          </cell>
          <cell r="D144">
            <v>21</v>
          </cell>
          <cell r="E144">
            <v>792030</v>
          </cell>
          <cell r="F144">
            <v>0</v>
          </cell>
          <cell r="G144" t="str">
            <v>Затраты по ШПЗ (неосновные)</v>
          </cell>
          <cell r="H144">
            <v>2030</v>
          </cell>
          <cell r="I144">
            <v>7920</v>
          </cell>
          <cell r="J144">
            <v>35422.65</v>
          </cell>
          <cell r="K144">
            <v>1</v>
          </cell>
          <cell r="L144">
            <v>0</v>
          </cell>
          <cell r="M144">
            <v>0</v>
          </cell>
          <cell r="N144">
            <v>0</v>
          </cell>
          <cell r="R144">
            <v>0</v>
          </cell>
          <cell r="S144">
            <v>0</v>
          </cell>
          <cell r="T144">
            <v>0</v>
          </cell>
          <cell r="U144">
            <v>32</v>
          </cell>
          <cell r="V144">
            <v>0</v>
          </cell>
          <cell r="W144">
            <v>0</v>
          </cell>
          <cell r="AA144">
            <v>0</v>
          </cell>
          <cell r="AB144">
            <v>0</v>
          </cell>
          <cell r="AC144">
            <v>0</v>
          </cell>
          <cell r="AD144">
            <v>32</v>
          </cell>
          <cell r="AE144">
            <v>143000</v>
          </cell>
          <cell r="AF144">
            <v>0</v>
          </cell>
          <cell r="AI144">
            <v>2251</v>
          </cell>
          <cell r="AK144">
            <v>0</v>
          </cell>
          <cell r="AM144">
            <v>220</v>
          </cell>
          <cell r="AN144">
            <v>1</v>
          </cell>
          <cell r="AO144">
            <v>393216</v>
          </cell>
          <cell r="AQ144">
            <v>0</v>
          </cell>
          <cell r="AR144">
            <v>0</v>
          </cell>
          <cell r="AS144" t="str">
            <v>Ы</v>
          </cell>
          <cell r="AT144" t="str">
            <v>Ы</v>
          </cell>
          <cell r="AU144">
            <v>0</v>
          </cell>
          <cell r="AV144">
            <v>0</v>
          </cell>
          <cell r="AW144">
            <v>23</v>
          </cell>
          <cell r="AX144">
            <v>1</v>
          </cell>
          <cell r="AY144">
            <v>0</v>
          </cell>
          <cell r="AZ144">
            <v>0</v>
          </cell>
          <cell r="BA144">
            <v>0</v>
          </cell>
          <cell r="BB144">
            <v>0</v>
          </cell>
          <cell r="BC144">
            <v>38828</v>
          </cell>
        </row>
        <row r="145">
          <cell r="A145">
            <v>2006</v>
          </cell>
          <cell r="B145">
            <v>2</v>
          </cell>
          <cell r="C145">
            <v>92</v>
          </cell>
          <cell r="D145">
            <v>21</v>
          </cell>
          <cell r="E145">
            <v>792030</v>
          </cell>
          <cell r="F145">
            <v>0</v>
          </cell>
          <cell r="G145" t="str">
            <v>Затраты по ШПЗ (неосновные)</v>
          </cell>
          <cell r="H145">
            <v>2030</v>
          </cell>
          <cell r="I145">
            <v>7920</v>
          </cell>
          <cell r="J145">
            <v>3.96</v>
          </cell>
          <cell r="K145">
            <v>1</v>
          </cell>
          <cell r="L145">
            <v>0</v>
          </cell>
          <cell r="M145">
            <v>0</v>
          </cell>
          <cell r="N145">
            <v>0</v>
          </cell>
          <cell r="R145">
            <v>0</v>
          </cell>
          <cell r="S145">
            <v>0</v>
          </cell>
          <cell r="T145">
            <v>0</v>
          </cell>
          <cell r="U145">
            <v>32</v>
          </cell>
          <cell r="V145">
            <v>0</v>
          </cell>
          <cell r="W145">
            <v>0</v>
          </cell>
          <cell r="AA145">
            <v>0</v>
          </cell>
          <cell r="AB145">
            <v>0</v>
          </cell>
          <cell r="AC145">
            <v>0</v>
          </cell>
          <cell r="AD145">
            <v>32</v>
          </cell>
          <cell r="AE145">
            <v>410000</v>
          </cell>
          <cell r="AF145">
            <v>0</v>
          </cell>
          <cell r="AI145">
            <v>2251</v>
          </cell>
          <cell r="AK145">
            <v>0</v>
          </cell>
          <cell r="AM145">
            <v>221</v>
          </cell>
          <cell r="AN145">
            <v>1</v>
          </cell>
          <cell r="AO145">
            <v>393216</v>
          </cell>
          <cell r="AQ145">
            <v>0</v>
          </cell>
          <cell r="AR145">
            <v>0</v>
          </cell>
          <cell r="AS145" t="str">
            <v>Ы</v>
          </cell>
          <cell r="AT145" t="str">
            <v>Ы</v>
          </cell>
          <cell r="AU145">
            <v>0</v>
          </cell>
          <cell r="AV145">
            <v>0</v>
          </cell>
          <cell r="AW145">
            <v>23</v>
          </cell>
          <cell r="AX145">
            <v>1</v>
          </cell>
          <cell r="AY145">
            <v>0</v>
          </cell>
          <cell r="AZ145">
            <v>0</v>
          </cell>
          <cell r="BA145">
            <v>0</v>
          </cell>
          <cell r="BB145">
            <v>0</v>
          </cell>
          <cell r="BC145">
            <v>38828</v>
          </cell>
        </row>
        <row r="146">
          <cell r="A146">
            <v>2006</v>
          </cell>
          <cell r="B146">
            <v>2</v>
          </cell>
          <cell r="C146">
            <v>93</v>
          </cell>
          <cell r="D146">
            <v>21</v>
          </cell>
          <cell r="E146">
            <v>792030</v>
          </cell>
          <cell r="F146">
            <v>0</v>
          </cell>
          <cell r="G146" t="str">
            <v>Затраты по ШПЗ (неосновные)</v>
          </cell>
          <cell r="H146">
            <v>2030</v>
          </cell>
          <cell r="I146">
            <v>7920</v>
          </cell>
          <cell r="J146">
            <v>401.06</v>
          </cell>
          <cell r="K146">
            <v>1</v>
          </cell>
          <cell r="L146">
            <v>0</v>
          </cell>
          <cell r="M146">
            <v>0</v>
          </cell>
          <cell r="N146">
            <v>0</v>
          </cell>
          <cell r="R146">
            <v>0</v>
          </cell>
          <cell r="S146">
            <v>0</v>
          </cell>
          <cell r="T146">
            <v>0</v>
          </cell>
          <cell r="U146">
            <v>32</v>
          </cell>
          <cell r="V146">
            <v>0</v>
          </cell>
          <cell r="W146">
            <v>0</v>
          </cell>
          <cell r="AA146">
            <v>0</v>
          </cell>
          <cell r="AB146">
            <v>0</v>
          </cell>
          <cell r="AC146">
            <v>0</v>
          </cell>
          <cell r="AD146">
            <v>32</v>
          </cell>
          <cell r="AE146">
            <v>410100</v>
          </cell>
          <cell r="AF146">
            <v>0</v>
          </cell>
          <cell r="AI146">
            <v>2251</v>
          </cell>
          <cell r="AK146">
            <v>0</v>
          </cell>
          <cell r="AM146">
            <v>222</v>
          </cell>
          <cell r="AN146">
            <v>1</v>
          </cell>
          <cell r="AO146">
            <v>393216</v>
          </cell>
          <cell r="AQ146">
            <v>0</v>
          </cell>
          <cell r="AR146">
            <v>0</v>
          </cell>
          <cell r="AS146" t="str">
            <v>Ы</v>
          </cell>
          <cell r="AT146" t="str">
            <v>Ы</v>
          </cell>
          <cell r="AU146">
            <v>0</v>
          </cell>
          <cell r="AV146">
            <v>0</v>
          </cell>
          <cell r="AW146">
            <v>23</v>
          </cell>
          <cell r="AX146">
            <v>1</v>
          </cell>
          <cell r="AY146">
            <v>0</v>
          </cell>
          <cell r="AZ146">
            <v>0</v>
          </cell>
          <cell r="BA146">
            <v>0</v>
          </cell>
          <cell r="BB146">
            <v>0</v>
          </cell>
          <cell r="BC146">
            <v>38828</v>
          </cell>
        </row>
        <row r="147">
          <cell r="A147">
            <v>2006</v>
          </cell>
          <cell r="B147">
            <v>2</v>
          </cell>
          <cell r="C147">
            <v>94</v>
          </cell>
          <cell r="D147">
            <v>21</v>
          </cell>
          <cell r="E147">
            <v>792030</v>
          </cell>
          <cell r="F147">
            <v>0</v>
          </cell>
          <cell r="G147" t="str">
            <v>Затраты по ШПЗ (неосновные)</v>
          </cell>
          <cell r="H147">
            <v>2030</v>
          </cell>
          <cell r="I147">
            <v>7920</v>
          </cell>
          <cell r="J147">
            <v>79.239999999999995</v>
          </cell>
          <cell r="K147">
            <v>1</v>
          </cell>
          <cell r="L147">
            <v>0</v>
          </cell>
          <cell r="M147">
            <v>0</v>
          </cell>
          <cell r="N147">
            <v>0</v>
          </cell>
          <cell r="R147">
            <v>0</v>
          </cell>
          <cell r="S147">
            <v>0</v>
          </cell>
          <cell r="T147">
            <v>0</v>
          </cell>
          <cell r="U147">
            <v>32</v>
          </cell>
          <cell r="V147">
            <v>0</v>
          </cell>
          <cell r="W147">
            <v>0</v>
          </cell>
          <cell r="AA147">
            <v>0</v>
          </cell>
          <cell r="AB147">
            <v>0</v>
          </cell>
          <cell r="AC147">
            <v>0</v>
          </cell>
          <cell r="AD147">
            <v>32</v>
          </cell>
          <cell r="AE147">
            <v>410200</v>
          </cell>
          <cell r="AF147">
            <v>0</v>
          </cell>
          <cell r="AI147">
            <v>2251</v>
          </cell>
          <cell r="AK147">
            <v>0</v>
          </cell>
          <cell r="AM147">
            <v>223</v>
          </cell>
          <cell r="AN147">
            <v>1</v>
          </cell>
          <cell r="AO147">
            <v>393216</v>
          </cell>
          <cell r="AQ147">
            <v>0</v>
          </cell>
          <cell r="AR147">
            <v>0</v>
          </cell>
          <cell r="AS147" t="str">
            <v>Ы</v>
          </cell>
          <cell r="AT147" t="str">
            <v>Ы</v>
          </cell>
          <cell r="AU147">
            <v>0</v>
          </cell>
          <cell r="AV147">
            <v>0</v>
          </cell>
          <cell r="AW147">
            <v>23</v>
          </cell>
          <cell r="AX147">
            <v>1</v>
          </cell>
          <cell r="AY147">
            <v>0</v>
          </cell>
          <cell r="AZ147">
            <v>0</v>
          </cell>
          <cell r="BA147">
            <v>0</v>
          </cell>
          <cell r="BB147">
            <v>0</v>
          </cell>
          <cell r="BC147">
            <v>38828</v>
          </cell>
        </row>
        <row r="148">
          <cell r="A148">
            <v>2006</v>
          </cell>
          <cell r="B148">
            <v>2</v>
          </cell>
          <cell r="C148">
            <v>95</v>
          </cell>
          <cell r="D148">
            <v>21</v>
          </cell>
          <cell r="E148">
            <v>792030</v>
          </cell>
          <cell r="F148">
            <v>0</v>
          </cell>
          <cell r="G148" t="str">
            <v>Затраты по ШПЗ (неосновные)</v>
          </cell>
          <cell r="H148">
            <v>2030</v>
          </cell>
          <cell r="I148">
            <v>7920</v>
          </cell>
          <cell r="J148">
            <v>8.56</v>
          </cell>
          <cell r="K148">
            <v>1</v>
          </cell>
          <cell r="L148">
            <v>0</v>
          </cell>
          <cell r="M148">
            <v>0</v>
          </cell>
          <cell r="N148">
            <v>0</v>
          </cell>
          <cell r="R148">
            <v>0</v>
          </cell>
          <cell r="S148">
            <v>0</v>
          </cell>
          <cell r="T148">
            <v>0</v>
          </cell>
          <cell r="U148">
            <v>32</v>
          </cell>
          <cell r="V148">
            <v>0</v>
          </cell>
          <cell r="W148">
            <v>0</v>
          </cell>
          <cell r="AA148">
            <v>0</v>
          </cell>
          <cell r="AB148">
            <v>0</v>
          </cell>
          <cell r="AC148">
            <v>0</v>
          </cell>
          <cell r="AD148">
            <v>32</v>
          </cell>
          <cell r="AE148">
            <v>420000</v>
          </cell>
          <cell r="AF148">
            <v>0</v>
          </cell>
          <cell r="AI148">
            <v>2251</v>
          </cell>
          <cell r="AK148">
            <v>0</v>
          </cell>
          <cell r="AM148">
            <v>224</v>
          </cell>
          <cell r="AN148">
            <v>1</v>
          </cell>
          <cell r="AO148">
            <v>393216</v>
          </cell>
          <cell r="AQ148">
            <v>0</v>
          </cell>
          <cell r="AR148">
            <v>0</v>
          </cell>
          <cell r="AS148" t="str">
            <v>Ы</v>
          </cell>
          <cell r="AT148" t="str">
            <v>Ы</v>
          </cell>
          <cell r="AU148">
            <v>0</v>
          </cell>
          <cell r="AV148">
            <v>0</v>
          </cell>
          <cell r="AW148">
            <v>23</v>
          </cell>
          <cell r="AX148">
            <v>1</v>
          </cell>
          <cell r="AY148">
            <v>0</v>
          </cell>
          <cell r="AZ148">
            <v>0</v>
          </cell>
          <cell r="BA148">
            <v>0</v>
          </cell>
          <cell r="BB148">
            <v>0</v>
          </cell>
          <cell r="BC148">
            <v>38828</v>
          </cell>
        </row>
        <row r="149">
          <cell r="A149">
            <v>2006</v>
          </cell>
          <cell r="B149">
            <v>2</v>
          </cell>
          <cell r="C149">
            <v>96</v>
          </cell>
          <cell r="D149">
            <v>21</v>
          </cell>
          <cell r="E149">
            <v>792030</v>
          </cell>
          <cell r="F149">
            <v>0</v>
          </cell>
          <cell r="G149" t="str">
            <v>Затраты по ШПЗ (неосновные)</v>
          </cell>
          <cell r="H149">
            <v>2030</v>
          </cell>
          <cell r="I149">
            <v>7920</v>
          </cell>
          <cell r="J149">
            <v>21.23</v>
          </cell>
          <cell r="K149">
            <v>1</v>
          </cell>
          <cell r="L149">
            <v>0</v>
          </cell>
          <cell r="M149">
            <v>0</v>
          </cell>
          <cell r="N149">
            <v>0</v>
          </cell>
          <cell r="R149">
            <v>0</v>
          </cell>
          <cell r="S149">
            <v>0</v>
          </cell>
          <cell r="T149">
            <v>0</v>
          </cell>
          <cell r="U149">
            <v>32</v>
          </cell>
          <cell r="V149">
            <v>0</v>
          </cell>
          <cell r="W149">
            <v>0</v>
          </cell>
          <cell r="AA149">
            <v>0</v>
          </cell>
          <cell r="AB149">
            <v>0</v>
          </cell>
          <cell r="AC149">
            <v>0</v>
          </cell>
          <cell r="AD149">
            <v>32</v>
          </cell>
          <cell r="AE149">
            <v>430000</v>
          </cell>
          <cell r="AF149">
            <v>0</v>
          </cell>
          <cell r="AI149">
            <v>2251</v>
          </cell>
          <cell r="AK149">
            <v>0</v>
          </cell>
          <cell r="AM149">
            <v>225</v>
          </cell>
          <cell r="AN149">
            <v>1</v>
          </cell>
          <cell r="AO149">
            <v>393216</v>
          </cell>
          <cell r="AQ149">
            <v>0</v>
          </cell>
          <cell r="AR149">
            <v>0</v>
          </cell>
          <cell r="AS149" t="str">
            <v>Ы</v>
          </cell>
          <cell r="AT149" t="str">
            <v>Ы</v>
          </cell>
          <cell r="AU149">
            <v>0</v>
          </cell>
          <cell r="AV149">
            <v>0</v>
          </cell>
          <cell r="AW149">
            <v>23</v>
          </cell>
          <cell r="AX149">
            <v>1</v>
          </cell>
          <cell r="AY149">
            <v>0</v>
          </cell>
          <cell r="AZ149">
            <v>0</v>
          </cell>
          <cell r="BA149">
            <v>0</v>
          </cell>
          <cell r="BB149">
            <v>0</v>
          </cell>
          <cell r="BC149">
            <v>38828</v>
          </cell>
        </row>
        <row r="150">
          <cell r="A150">
            <v>2006</v>
          </cell>
          <cell r="B150">
            <v>2</v>
          </cell>
          <cell r="C150">
            <v>97</v>
          </cell>
          <cell r="D150">
            <v>21</v>
          </cell>
          <cell r="E150">
            <v>792030</v>
          </cell>
          <cell r="F150">
            <v>0</v>
          </cell>
          <cell r="G150" t="str">
            <v>Затраты по ШПЗ (неосновные)</v>
          </cell>
          <cell r="H150">
            <v>2030</v>
          </cell>
          <cell r="I150">
            <v>7920</v>
          </cell>
          <cell r="J150">
            <v>1.41</v>
          </cell>
          <cell r="K150">
            <v>1</v>
          </cell>
          <cell r="L150">
            <v>0</v>
          </cell>
          <cell r="M150">
            <v>0</v>
          </cell>
          <cell r="N150">
            <v>0</v>
          </cell>
          <cell r="R150">
            <v>0</v>
          </cell>
          <cell r="S150">
            <v>0</v>
          </cell>
          <cell r="T150">
            <v>0</v>
          </cell>
          <cell r="U150">
            <v>32</v>
          </cell>
          <cell r="V150">
            <v>0</v>
          </cell>
          <cell r="W150">
            <v>0</v>
          </cell>
          <cell r="AA150">
            <v>0</v>
          </cell>
          <cell r="AB150">
            <v>0</v>
          </cell>
          <cell r="AC150">
            <v>0</v>
          </cell>
          <cell r="AD150">
            <v>32</v>
          </cell>
          <cell r="AE150">
            <v>430110</v>
          </cell>
          <cell r="AF150">
            <v>0</v>
          </cell>
          <cell r="AI150">
            <v>2251</v>
          </cell>
          <cell r="AK150">
            <v>0</v>
          </cell>
          <cell r="AM150">
            <v>226</v>
          </cell>
          <cell r="AN150">
            <v>1</v>
          </cell>
          <cell r="AO150">
            <v>393216</v>
          </cell>
          <cell r="AQ150">
            <v>0</v>
          </cell>
          <cell r="AR150">
            <v>0</v>
          </cell>
          <cell r="AS150" t="str">
            <v>Ы</v>
          </cell>
          <cell r="AT150" t="str">
            <v>Ы</v>
          </cell>
          <cell r="AU150">
            <v>0</v>
          </cell>
          <cell r="AV150">
            <v>0</v>
          </cell>
          <cell r="AW150">
            <v>23</v>
          </cell>
          <cell r="AX150">
            <v>1</v>
          </cell>
          <cell r="AY150">
            <v>0</v>
          </cell>
          <cell r="AZ150">
            <v>0</v>
          </cell>
          <cell r="BA150">
            <v>0</v>
          </cell>
          <cell r="BB150">
            <v>0</v>
          </cell>
          <cell r="BC150">
            <v>38828</v>
          </cell>
        </row>
        <row r="151">
          <cell r="A151">
            <v>2006</v>
          </cell>
          <cell r="B151">
            <v>2</v>
          </cell>
          <cell r="C151">
            <v>98</v>
          </cell>
          <cell r="D151">
            <v>21</v>
          </cell>
          <cell r="E151">
            <v>792030</v>
          </cell>
          <cell r="F151">
            <v>0</v>
          </cell>
          <cell r="G151" t="str">
            <v>Затраты по ШПЗ (неосновные)</v>
          </cell>
          <cell r="H151">
            <v>2030</v>
          </cell>
          <cell r="I151">
            <v>7920</v>
          </cell>
          <cell r="J151">
            <v>0.98</v>
          </cell>
          <cell r="K151">
            <v>1</v>
          </cell>
          <cell r="L151">
            <v>0</v>
          </cell>
          <cell r="M151">
            <v>0</v>
          </cell>
          <cell r="N151">
            <v>0</v>
          </cell>
          <cell r="R151">
            <v>0</v>
          </cell>
          <cell r="S151">
            <v>0</v>
          </cell>
          <cell r="T151">
            <v>0</v>
          </cell>
          <cell r="U151">
            <v>32</v>
          </cell>
          <cell r="V151">
            <v>0</v>
          </cell>
          <cell r="W151">
            <v>0</v>
          </cell>
          <cell r="AA151">
            <v>0</v>
          </cell>
          <cell r="AB151">
            <v>0</v>
          </cell>
          <cell r="AC151">
            <v>0</v>
          </cell>
          <cell r="AD151">
            <v>32</v>
          </cell>
          <cell r="AE151">
            <v>502100</v>
          </cell>
          <cell r="AF151">
            <v>0</v>
          </cell>
          <cell r="AI151">
            <v>2251</v>
          </cell>
          <cell r="AK151">
            <v>0</v>
          </cell>
          <cell r="AM151">
            <v>227</v>
          </cell>
          <cell r="AN151">
            <v>1</v>
          </cell>
          <cell r="AO151">
            <v>393216</v>
          </cell>
          <cell r="AQ151">
            <v>0</v>
          </cell>
          <cell r="AR151">
            <v>0</v>
          </cell>
          <cell r="AS151" t="str">
            <v>Ы</v>
          </cell>
          <cell r="AT151" t="str">
            <v>Ы</v>
          </cell>
          <cell r="AU151">
            <v>0</v>
          </cell>
          <cell r="AV151">
            <v>0</v>
          </cell>
          <cell r="AW151">
            <v>23</v>
          </cell>
          <cell r="AX151">
            <v>1</v>
          </cell>
          <cell r="AY151">
            <v>0</v>
          </cell>
          <cell r="AZ151">
            <v>0</v>
          </cell>
          <cell r="BA151">
            <v>0</v>
          </cell>
          <cell r="BB151">
            <v>0</v>
          </cell>
          <cell r="BC151">
            <v>38828</v>
          </cell>
        </row>
        <row r="152">
          <cell r="A152">
            <v>2006</v>
          </cell>
          <cell r="B152">
            <v>2</v>
          </cell>
          <cell r="C152">
            <v>99</v>
          </cell>
          <cell r="D152">
            <v>21</v>
          </cell>
          <cell r="E152">
            <v>792030</v>
          </cell>
          <cell r="F152">
            <v>0</v>
          </cell>
          <cell r="G152" t="str">
            <v>Затраты по ШПЗ (неосновные)</v>
          </cell>
          <cell r="H152">
            <v>2030</v>
          </cell>
          <cell r="I152">
            <v>7920</v>
          </cell>
          <cell r="J152">
            <v>526.70000000000005</v>
          </cell>
          <cell r="K152">
            <v>1</v>
          </cell>
          <cell r="L152">
            <v>0</v>
          </cell>
          <cell r="M152">
            <v>0</v>
          </cell>
          <cell r="N152">
            <v>0</v>
          </cell>
          <cell r="R152">
            <v>0</v>
          </cell>
          <cell r="S152">
            <v>0</v>
          </cell>
          <cell r="T152">
            <v>0</v>
          </cell>
          <cell r="U152">
            <v>32</v>
          </cell>
          <cell r="V152">
            <v>0</v>
          </cell>
          <cell r="W152">
            <v>0</v>
          </cell>
          <cell r="AA152">
            <v>0</v>
          </cell>
          <cell r="AB152">
            <v>0</v>
          </cell>
          <cell r="AC152">
            <v>0</v>
          </cell>
          <cell r="AD152">
            <v>32</v>
          </cell>
          <cell r="AE152">
            <v>503000</v>
          </cell>
          <cell r="AF152">
            <v>0</v>
          </cell>
          <cell r="AI152">
            <v>2251</v>
          </cell>
          <cell r="AK152">
            <v>0</v>
          </cell>
          <cell r="AM152">
            <v>228</v>
          </cell>
          <cell r="AN152">
            <v>1</v>
          </cell>
          <cell r="AO152">
            <v>393216</v>
          </cell>
          <cell r="AQ152">
            <v>0</v>
          </cell>
          <cell r="AR152">
            <v>0</v>
          </cell>
          <cell r="AS152" t="str">
            <v>Ы</v>
          </cell>
          <cell r="AT152" t="str">
            <v>Ы</v>
          </cell>
          <cell r="AU152">
            <v>0</v>
          </cell>
          <cell r="AV152">
            <v>0</v>
          </cell>
          <cell r="AW152">
            <v>23</v>
          </cell>
          <cell r="AX152">
            <v>1</v>
          </cell>
          <cell r="AY152">
            <v>0</v>
          </cell>
          <cell r="AZ152">
            <v>0</v>
          </cell>
          <cell r="BA152">
            <v>0</v>
          </cell>
          <cell r="BB152">
            <v>0</v>
          </cell>
          <cell r="BC152">
            <v>38828</v>
          </cell>
        </row>
        <row r="153">
          <cell r="A153">
            <v>2006</v>
          </cell>
          <cell r="B153">
            <v>2</v>
          </cell>
          <cell r="C153">
            <v>100</v>
          </cell>
          <cell r="D153">
            <v>21</v>
          </cell>
          <cell r="E153">
            <v>792030</v>
          </cell>
          <cell r="F153">
            <v>0</v>
          </cell>
          <cell r="G153" t="str">
            <v>Затраты по ШПЗ (неосновные)</v>
          </cell>
          <cell r="H153">
            <v>2030</v>
          </cell>
          <cell r="I153">
            <v>7920</v>
          </cell>
          <cell r="J153">
            <v>2.12</v>
          </cell>
          <cell r="K153">
            <v>1</v>
          </cell>
          <cell r="L153">
            <v>0</v>
          </cell>
          <cell r="M153">
            <v>0</v>
          </cell>
          <cell r="N153">
            <v>0</v>
          </cell>
          <cell r="R153">
            <v>0</v>
          </cell>
          <cell r="S153">
            <v>0</v>
          </cell>
          <cell r="T153">
            <v>0</v>
          </cell>
          <cell r="U153">
            <v>32</v>
          </cell>
          <cell r="V153">
            <v>0</v>
          </cell>
          <cell r="W153">
            <v>0</v>
          </cell>
          <cell r="AA153">
            <v>0</v>
          </cell>
          <cell r="AB153">
            <v>0</v>
          </cell>
          <cell r="AC153">
            <v>0</v>
          </cell>
          <cell r="AD153">
            <v>32</v>
          </cell>
          <cell r="AE153">
            <v>504100</v>
          </cell>
          <cell r="AF153">
            <v>0</v>
          </cell>
          <cell r="AI153">
            <v>2251</v>
          </cell>
          <cell r="AK153">
            <v>0</v>
          </cell>
          <cell r="AM153">
            <v>229</v>
          </cell>
          <cell r="AN153">
            <v>1</v>
          </cell>
          <cell r="AO153">
            <v>393216</v>
          </cell>
          <cell r="AQ153">
            <v>0</v>
          </cell>
          <cell r="AR153">
            <v>0</v>
          </cell>
          <cell r="AS153" t="str">
            <v>Ы</v>
          </cell>
          <cell r="AT153" t="str">
            <v>Ы</v>
          </cell>
          <cell r="AU153">
            <v>0</v>
          </cell>
          <cell r="AV153">
            <v>0</v>
          </cell>
          <cell r="AW153">
            <v>23</v>
          </cell>
          <cell r="AX153">
            <v>1</v>
          </cell>
          <cell r="AY153">
            <v>0</v>
          </cell>
          <cell r="AZ153">
            <v>0</v>
          </cell>
          <cell r="BA153">
            <v>0</v>
          </cell>
          <cell r="BB153">
            <v>0</v>
          </cell>
          <cell r="BC153">
            <v>38828</v>
          </cell>
        </row>
        <row r="154">
          <cell r="A154">
            <v>2006</v>
          </cell>
          <cell r="B154">
            <v>2</v>
          </cell>
          <cell r="C154">
            <v>101</v>
          </cell>
          <cell r="D154">
            <v>21</v>
          </cell>
          <cell r="E154">
            <v>792030</v>
          </cell>
          <cell r="F154">
            <v>0</v>
          </cell>
          <cell r="G154" t="str">
            <v>Затраты по ШПЗ (неосновные)</v>
          </cell>
          <cell r="H154">
            <v>2030</v>
          </cell>
          <cell r="I154">
            <v>7920</v>
          </cell>
          <cell r="J154">
            <v>2.85</v>
          </cell>
          <cell r="K154">
            <v>1</v>
          </cell>
          <cell r="L154">
            <v>0</v>
          </cell>
          <cell r="M154">
            <v>0</v>
          </cell>
          <cell r="N154">
            <v>0</v>
          </cell>
          <cell r="R154">
            <v>0</v>
          </cell>
          <cell r="S154">
            <v>0</v>
          </cell>
          <cell r="T154">
            <v>0</v>
          </cell>
          <cell r="U154">
            <v>32</v>
          </cell>
          <cell r="V154">
            <v>0</v>
          </cell>
          <cell r="W154">
            <v>0</v>
          </cell>
          <cell r="AA154">
            <v>0</v>
          </cell>
          <cell r="AB154">
            <v>0</v>
          </cell>
          <cell r="AC154">
            <v>0</v>
          </cell>
          <cell r="AD154">
            <v>32</v>
          </cell>
          <cell r="AE154">
            <v>504900</v>
          </cell>
          <cell r="AF154">
            <v>0</v>
          </cell>
          <cell r="AI154">
            <v>2251</v>
          </cell>
          <cell r="AK154">
            <v>0</v>
          </cell>
          <cell r="AM154">
            <v>230</v>
          </cell>
          <cell r="AN154">
            <v>1</v>
          </cell>
          <cell r="AO154">
            <v>393216</v>
          </cell>
          <cell r="AQ154">
            <v>0</v>
          </cell>
          <cell r="AR154">
            <v>0</v>
          </cell>
          <cell r="AS154" t="str">
            <v>Ы</v>
          </cell>
          <cell r="AT154" t="str">
            <v>Ы</v>
          </cell>
          <cell r="AU154">
            <v>0</v>
          </cell>
          <cell r="AV154">
            <v>0</v>
          </cell>
          <cell r="AW154">
            <v>23</v>
          </cell>
          <cell r="AX154">
            <v>1</v>
          </cell>
          <cell r="AY154">
            <v>0</v>
          </cell>
          <cell r="AZ154">
            <v>0</v>
          </cell>
          <cell r="BA154">
            <v>0</v>
          </cell>
          <cell r="BB154">
            <v>0</v>
          </cell>
          <cell r="BC154">
            <v>38828</v>
          </cell>
        </row>
        <row r="155">
          <cell r="A155">
            <v>2006</v>
          </cell>
          <cell r="B155">
            <v>2</v>
          </cell>
          <cell r="C155">
            <v>102</v>
          </cell>
          <cell r="D155">
            <v>21</v>
          </cell>
          <cell r="E155">
            <v>792030</v>
          </cell>
          <cell r="F155">
            <v>0</v>
          </cell>
          <cell r="G155" t="str">
            <v>Затраты по ШПЗ (неосновные)</v>
          </cell>
          <cell r="H155">
            <v>2030</v>
          </cell>
          <cell r="I155">
            <v>7920</v>
          </cell>
          <cell r="J155">
            <v>5.96</v>
          </cell>
          <cell r="K155">
            <v>1</v>
          </cell>
          <cell r="L155">
            <v>0</v>
          </cell>
          <cell r="M155">
            <v>0</v>
          </cell>
          <cell r="N155">
            <v>0</v>
          </cell>
          <cell r="R155">
            <v>0</v>
          </cell>
          <cell r="S155">
            <v>0</v>
          </cell>
          <cell r="T155">
            <v>0</v>
          </cell>
          <cell r="U155">
            <v>32</v>
          </cell>
          <cell r="V155">
            <v>0</v>
          </cell>
          <cell r="W155">
            <v>0</v>
          </cell>
          <cell r="AA155">
            <v>0</v>
          </cell>
          <cell r="AB155">
            <v>0</v>
          </cell>
          <cell r="AC155">
            <v>0</v>
          </cell>
          <cell r="AD155">
            <v>32</v>
          </cell>
          <cell r="AE155">
            <v>505100</v>
          </cell>
          <cell r="AF155">
            <v>0</v>
          </cell>
          <cell r="AI155">
            <v>2251</v>
          </cell>
          <cell r="AK155">
            <v>0</v>
          </cell>
          <cell r="AM155">
            <v>231</v>
          </cell>
          <cell r="AN155">
            <v>1</v>
          </cell>
          <cell r="AO155">
            <v>393216</v>
          </cell>
          <cell r="AQ155">
            <v>0</v>
          </cell>
          <cell r="AR155">
            <v>0</v>
          </cell>
          <cell r="AS155" t="str">
            <v>Ы</v>
          </cell>
          <cell r="AT155" t="str">
            <v>Ы</v>
          </cell>
          <cell r="AU155">
            <v>0</v>
          </cell>
          <cell r="AV155">
            <v>0</v>
          </cell>
          <cell r="AW155">
            <v>23</v>
          </cell>
          <cell r="AX155">
            <v>1</v>
          </cell>
          <cell r="AY155">
            <v>0</v>
          </cell>
          <cell r="AZ155">
            <v>0</v>
          </cell>
          <cell r="BA155">
            <v>0</v>
          </cell>
          <cell r="BB155">
            <v>0</v>
          </cell>
          <cell r="BC155">
            <v>38828</v>
          </cell>
        </row>
        <row r="156">
          <cell r="A156">
            <v>2006</v>
          </cell>
          <cell r="B156">
            <v>2</v>
          </cell>
          <cell r="C156">
            <v>103</v>
          </cell>
          <cell r="D156">
            <v>21</v>
          </cell>
          <cell r="E156">
            <v>792030</v>
          </cell>
          <cell r="F156">
            <v>0</v>
          </cell>
          <cell r="G156" t="str">
            <v>Затраты по ШПЗ (неосновные)</v>
          </cell>
          <cell r="H156">
            <v>2030</v>
          </cell>
          <cell r="I156">
            <v>7920</v>
          </cell>
          <cell r="J156">
            <v>1.51</v>
          </cell>
          <cell r="K156">
            <v>1</v>
          </cell>
          <cell r="L156">
            <v>0</v>
          </cell>
          <cell r="M156">
            <v>0</v>
          </cell>
          <cell r="N156">
            <v>0</v>
          </cell>
          <cell r="R156">
            <v>0</v>
          </cell>
          <cell r="S156">
            <v>0</v>
          </cell>
          <cell r="T156">
            <v>0</v>
          </cell>
          <cell r="U156">
            <v>32</v>
          </cell>
          <cell r="V156">
            <v>0</v>
          </cell>
          <cell r="W156">
            <v>0</v>
          </cell>
          <cell r="AA156">
            <v>0</v>
          </cell>
          <cell r="AB156">
            <v>0</v>
          </cell>
          <cell r="AC156">
            <v>0</v>
          </cell>
          <cell r="AD156">
            <v>32</v>
          </cell>
          <cell r="AE156">
            <v>505200</v>
          </cell>
          <cell r="AF156">
            <v>0</v>
          </cell>
          <cell r="AI156">
            <v>2251</v>
          </cell>
          <cell r="AK156">
            <v>0</v>
          </cell>
          <cell r="AM156">
            <v>232</v>
          </cell>
          <cell r="AN156">
            <v>1</v>
          </cell>
          <cell r="AO156">
            <v>393216</v>
          </cell>
          <cell r="AQ156">
            <v>0</v>
          </cell>
          <cell r="AR156">
            <v>0</v>
          </cell>
          <cell r="AS156" t="str">
            <v>Ы</v>
          </cell>
          <cell r="AT156" t="str">
            <v>Ы</v>
          </cell>
          <cell r="AU156">
            <v>0</v>
          </cell>
          <cell r="AV156">
            <v>0</v>
          </cell>
          <cell r="AW156">
            <v>23</v>
          </cell>
          <cell r="AX156">
            <v>1</v>
          </cell>
          <cell r="AY156">
            <v>0</v>
          </cell>
          <cell r="AZ156">
            <v>0</v>
          </cell>
          <cell r="BA156">
            <v>0</v>
          </cell>
          <cell r="BB156">
            <v>0</v>
          </cell>
          <cell r="BC156">
            <v>38828</v>
          </cell>
        </row>
        <row r="157">
          <cell r="A157">
            <v>2006</v>
          </cell>
          <cell r="B157">
            <v>2</v>
          </cell>
          <cell r="C157">
            <v>104</v>
          </cell>
          <cell r="D157">
            <v>21</v>
          </cell>
          <cell r="E157">
            <v>792030</v>
          </cell>
          <cell r="F157">
            <v>0</v>
          </cell>
          <cell r="G157" t="str">
            <v>Затраты по ШПЗ (неосновные)</v>
          </cell>
          <cell r="H157">
            <v>2030</v>
          </cell>
          <cell r="I157">
            <v>7920</v>
          </cell>
          <cell r="J157">
            <v>0.97</v>
          </cell>
          <cell r="K157">
            <v>1</v>
          </cell>
          <cell r="L157">
            <v>0</v>
          </cell>
          <cell r="M157">
            <v>0</v>
          </cell>
          <cell r="N157">
            <v>0</v>
          </cell>
          <cell r="R157">
            <v>0</v>
          </cell>
          <cell r="S157">
            <v>0</v>
          </cell>
          <cell r="T157">
            <v>0</v>
          </cell>
          <cell r="U157">
            <v>32</v>
          </cell>
          <cell r="V157">
            <v>0</v>
          </cell>
          <cell r="W157">
            <v>0</v>
          </cell>
          <cell r="AA157">
            <v>0</v>
          </cell>
          <cell r="AB157">
            <v>0</v>
          </cell>
          <cell r="AC157">
            <v>0</v>
          </cell>
          <cell r="AD157">
            <v>32</v>
          </cell>
          <cell r="AE157">
            <v>505300</v>
          </cell>
          <cell r="AF157">
            <v>0</v>
          </cell>
          <cell r="AI157">
            <v>2251</v>
          </cell>
          <cell r="AK157">
            <v>0</v>
          </cell>
          <cell r="AM157">
            <v>233</v>
          </cell>
          <cell r="AN157">
            <v>1</v>
          </cell>
          <cell r="AO157">
            <v>393216</v>
          </cell>
          <cell r="AQ157">
            <v>0</v>
          </cell>
          <cell r="AR157">
            <v>0</v>
          </cell>
          <cell r="AS157" t="str">
            <v>Ы</v>
          </cell>
          <cell r="AT157" t="str">
            <v>Ы</v>
          </cell>
          <cell r="AU157">
            <v>0</v>
          </cell>
          <cell r="AV157">
            <v>0</v>
          </cell>
          <cell r="AW157">
            <v>23</v>
          </cell>
          <cell r="AX157">
            <v>1</v>
          </cell>
          <cell r="AY157">
            <v>0</v>
          </cell>
          <cell r="AZ157">
            <v>0</v>
          </cell>
          <cell r="BA157">
            <v>0</v>
          </cell>
          <cell r="BB157">
            <v>0</v>
          </cell>
          <cell r="BC157">
            <v>38828</v>
          </cell>
        </row>
        <row r="158">
          <cell r="A158">
            <v>2006</v>
          </cell>
          <cell r="B158">
            <v>2</v>
          </cell>
          <cell r="C158">
            <v>105</v>
          </cell>
          <cell r="D158">
            <v>21</v>
          </cell>
          <cell r="E158">
            <v>792030</v>
          </cell>
          <cell r="F158">
            <v>0</v>
          </cell>
          <cell r="G158" t="str">
            <v>Затраты по ШПЗ (неосновные)</v>
          </cell>
          <cell r="H158">
            <v>2030</v>
          </cell>
          <cell r="I158">
            <v>7920</v>
          </cell>
          <cell r="J158">
            <v>0.57999999999999996</v>
          </cell>
          <cell r="K158">
            <v>1</v>
          </cell>
          <cell r="L158">
            <v>0</v>
          </cell>
          <cell r="M158">
            <v>0</v>
          </cell>
          <cell r="N158">
            <v>0</v>
          </cell>
          <cell r="R158">
            <v>0</v>
          </cell>
          <cell r="S158">
            <v>0</v>
          </cell>
          <cell r="T158">
            <v>0</v>
          </cell>
          <cell r="U158">
            <v>32</v>
          </cell>
          <cell r="V158">
            <v>0</v>
          </cell>
          <cell r="W158">
            <v>0</v>
          </cell>
          <cell r="AA158">
            <v>0</v>
          </cell>
          <cell r="AB158">
            <v>0</v>
          </cell>
          <cell r="AC158">
            <v>0</v>
          </cell>
          <cell r="AD158">
            <v>32</v>
          </cell>
          <cell r="AE158">
            <v>507000</v>
          </cell>
          <cell r="AF158">
            <v>0</v>
          </cell>
          <cell r="AI158">
            <v>2251</v>
          </cell>
          <cell r="AK158">
            <v>0</v>
          </cell>
          <cell r="AM158">
            <v>234</v>
          </cell>
          <cell r="AN158">
            <v>1</v>
          </cell>
          <cell r="AO158">
            <v>393216</v>
          </cell>
          <cell r="AQ158">
            <v>0</v>
          </cell>
          <cell r="AR158">
            <v>0</v>
          </cell>
          <cell r="AS158" t="str">
            <v>Ы</v>
          </cell>
          <cell r="AT158" t="str">
            <v>Ы</v>
          </cell>
          <cell r="AU158">
            <v>0</v>
          </cell>
          <cell r="AV158">
            <v>0</v>
          </cell>
          <cell r="AW158">
            <v>23</v>
          </cell>
          <cell r="AX158">
            <v>1</v>
          </cell>
          <cell r="AY158">
            <v>0</v>
          </cell>
          <cell r="AZ158">
            <v>0</v>
          </cell>
          <cell r="BA158">
            <v>0</v>
          </cell>
          <cell r="BB158">
            <v>0</v>
          </cell>
          <cell r="BC158">
            <v>38828</v>
          </cell>
        </row>
        <row r="159">
          <cell r="A159">
            <v>2006</v>
          </cell>
          <cell r="B159">
            <v>2</v>
          </cell>
          <cell r="C159">
            <v>106</v>
          </cell>
          <cell r="D159">
            <v>21</v>
          </cell>
          <cell r="E159">
            <v>792030</v>
          </cell>
          <cell r="F159">
            <v>0</v>
          </cell>
          <cell r="G159" t="str">
            <v>Затраты по ШПЗ (неосновные)</v>
          </cell>
          <cell r="H159">
            <v>2030</v>
          </cell>
          <cell r="I159">
            <v>7920</v>
          </cell>
          <cell r="J159">
            <v>831.07</v>
          </cell>
          <cell r="K159">
            <v>1</v>
          </cell>
          <cell r="L159">
            <v>0</v>
          </cell>
          <cell r="M159">
            <v>0</v>
          </cell>
          <cell r="N159">
            <v>0</v>
          </cell>
          <cell r="R159">
            <v>0</v>
          </cell>
          <cell r="S159">
            <v>0</v>
          </cell>
          <cell r="T159">
            <v>0</v>
          </cell>
          <cell r="U159">
            <v>32</v>
          </cell>
          <cell r="V159">
            <v>0</v>
          </cell>
          <cell r="W159">
            <v>0</v>
          </cell>
          <cell r="AA159">
            <v>0</v>
          </cell>
          <cell r="AB159">
            <v>0</v>
          </cell>
          <cell r="AC159">
            <v>0</v>
          </cell>
          <cell r="AD159">
            <v>32</v>
          </cell>
          <cell r="AE159">
            <v>510100</v>
          </cell>
          <cell r="AF159">
            <v>0</v>
          </cell>
          <cell r="AI159">
            <v>2251</v>
          </cell>
          <cell r="AK159">
            <v>0</v>
          </cell>
          <cell r="AM159">
            <v>235</v>
          </cell>
          <cell r="AN159">
            <v>1</v>
          </cell>
          <cell r="AO159">
            <v>393216</v>
          </cell>
          <cell r="AQ159">
            <v>0</v>
          </cell>
          <cell r="AR159">
            <v>0</v>
          </cell>
          <cell r="AS159" t="str">
            <v>Ы</v>
          </cell>
          <cell r="AT159" t="str">
            <v>Ы</v>
          </cell>
          <cell r="AU159">
            <v>0</v>
          </cell>
          <cell r="AV159">
            <v>0</v>
          </cell>
          <cell r="AW159">
            <v>23</v>
          </cell>
          <cell r="AX159">
            <v>1</v>
          </cell>
          <cell r="AY159">
            <v>0</v>
          </cell>
          <cell r="AZ159">
            <v>0</v>
          </cell>
          <cell r="BA159">
            <v>0</v>
          </cell>
          <cell r="BB159">
            <v>0</v>
          </cell>
          <cell r="BC159">
            <v>38828</v>
          </cell>
        </row>
        <row r="160">
          <cell r="A160">
            <v>2006</v>
          </cell>
          <cell r="B160">
            <v>2</v>
          </cell>
          <cell r="C160">
            <v>107</v>
          </cell>
          <cell r="D160">
            <v>21</v>
          </cell>
          <cell r="E160">
            <v>792030</v>
          </cell>
          <cell r="F160">
            <v>0</v>
          </cell>
          <cell r="G160" t="str">
            <v>Затраты по ШПЗ (неосновные)</v>
          </cell>
          <cell r="H160">
            <v>2030</v>
          </cell>
          <cell r="I160">
            <v>7920</v>
          </cell>
          <cell r="J160">
            <v>0.31</v>
          </cell>
          <cell r="K160">
            <v>1</v>
          </cell>
          <cell r="L160">
            <v>0</v>
          </cell>
          <cell r="M160">
            <v>0</v>
          </cell>
          <cell r="N160">
            <v>0</v>
          </cell>
          <cell r="R160">
            <v>0</v>
          </cell>
          <cell r="S160">
            <v>0</v>
          </cell>
          <cell r="T160">
            <v>0</v>
          </cell>
          <cell r="U160">
            <v>32</v>
          </cell>
          <cell r="V160">
            <v>0</v>
          </cell>
          <cell r="W160">
            <v>0</v>
          </cell>
          <cell r="AA160">
            <v>0</v>
          </cell>
          <cell r="AB160">
            <v>0</v>
          </cell>
          <cell r="AC160">
            <v>0</v>
          </cell>
          <cell r="AD160">
            <v>32</v>
          </cell>
          <cell r="AE160">
            <v>510400</v>
          </cell>
          <cell r="AF160">
            <v>0</v>
          </cell>
          <cell r="AI160">
            <v>2251</v>
          </cell>
          <cell r="AK160">
            <v>0</v>
          </cell>
          <cell r="AM160">
            <v>236</v>
          </cell>
          <cell r="AN160">
            <v>1</v>
          </cell>
          <cell r="AO160">
            <v>393216</v>
          </cell>
          <cell r="AQ160">
            <v>0</v>
          </cell>
          <cell r="AR160">
            <v>0</v>
          </cell>
          <cell r="AS160" t="str">
            <v>Ы</v>
          </cell>
          <cell r="AT160" t="str">
            <v>Ы</v>
          </cell>
          <cell r="AU160">
            <v>0</v>
          </cell>
          <cell r="AV160">
            <v>0</v>
          </cell>
          <cell r="AW160">
            <v>23</v>
          </cell>
          <cell r="AX160">
            <v>1</v>
          </cell>
          <cell r="AY160">
            <v>0</v>
          </cell>
          <cell r="AZ160">
            <v>0</v>
          </cell>
          <cell r="BA160">
            <v>0</v>
          </cell>
          <cell r="BB160">
            <v>0</v>
          </cell>
          <cell r="BC160">
            <v>38828</v>
          </cell>
        </row>
        <row r="161">
          <cell r="A161">
            <v>2006</v>
          </cell>
          <cell r="B161">
            <v>2</v>
          </cell>
          <cell r="C161">
            <v>108</v>
          </cell>
          <cell r="D161">
            <v>21</v>
          </cell>
          <cell r="E161">
            <v>792030</v>
          </cell>
          <cell r="F161">
            <v>0</v>
          </cell>
          <cell r="G161" t="str">
            <v>Затраты по ШПЗ (неосновные)</v>
          </cell>
          <cell r="H161">
            <v>2030</v>
          </cell>
          <cell r="I161">
            <v>7920</v>
          </cell>
          <cell r="J161">
            <v>0.42</v>
          </cell>
          <cell r="K161">
            <v>1</v>
          </cell>
          <cell r="L161">
            <v>0</v>
          </cell>
          <cell r="M161">
            <v>0</v>
          </cell>
          <cell r="N161">
            <v>0</v>
          </cell>
          <cell r="R161">
            <v>0</v>
          </cell>
          <cell r="S161">
            <v>0</v>
          </cell>
          <cell r="T161">
            <v>0</v>
          </cell>
          <cell r="U161">
            <v>32</v>
          </cell>
          <cell r="V161">
            <v>0</v>
          </cell>
          <cell r="W161">
            <v>0</v>
          </cell>
          <cell r="AA161">
            <v>0</v>
          </cell>
          <cell r="AB161">
            <v>0</v>
          </cell>
          <cell r="AC161">
            <v>0</v>
          </cell>
          <cell r="AD161">
            <v>32</v>
          </cell>
          <cell r="AE161">
            <v>510500</v>
          </cell>
          <cell r="AF161">
            <v>0</v>
          </cell>
          <cell r="AI161">
            <v>2251</v>
          </cell>
          <cell r="AK161">
            <v>0</v>
          </cell>
          <cell r="AM161">
            <v>237</v>
          </cell>
          <cell r="AN161">
            <v>1</v>
          </cell>
          <cell r="AO161">
            <v>393216</v>
          </cell>
          <cell r="AQ161">
            <v>0</v>
          </cell>
          <cell r="AR161">
            <v>0</v>
          </cell>
          <cell r="AS161" t="str">
            <v>Ы</v>
          </cell>
          <cell r="AT161" t="str">
            <v>Ы</v>
          </cell>
          <cell r="AU161">
            <v>0</v>
          </cell>
          <cell r="AV161">
            <v>0</v>
          </cell>
          <cell r="AW161">
            <v>23</v>
          </cell>
          <cell r="AX161">
            <v>1</v>
          </cell>
          <cell r="AY161">
            <v>0</v>
          </cell>
          <cell r="AZ161">
            <v>0</v>
          </cell>
          <cell r="BA161">
            <v>0</v>
          </cell>
          <cell r="BB161">
            <v>0</v>
          </cell>
          <cell r="BC161">
            <v>38828</v>
          </cell>
        </row>
        <row r="162">
          <cell r="A162">
            <v>2006</v>
          </cell>
          <cell r="B162">
            <v>2</v>
          </cell>
          <cell r="C162">
            <v>109</v>
          </cell>
          <cell r="D162">
            <v>21</v>
          </cell>
          <cell r="E162">
            <v>792030</v>
          </cell>
          <cell r="F162">
            <v>0</v>
          </cell>
          <cell r="G162" t="str">
            <v>Затраты по ШПЗ (неосновные)</v>
          </cell>
          <cell r="H162">
            <v>2030</v>
          </cell>
          <cell r="I162">
            <v>7920</v>
          </cell>
          <cell r="J162">
            <v>1039.25</v>
          </cell>
          <cell r="K162">
            <v>1</v>
          </cell>
          <cell r="L162">
            <v>0</v>
          </cell>
          <cell r="M162">
            <v>0</v>
          </cell>
          <cell r="N162">
            <v>0</v>
          </cell>
          <cell r="R162">
            <v>0</v>
          </cell>
          <cell r="S162">
            <v>0</v>
          </cell>
          <cell r="T162">
            <v>0</v>
          </cell>
          <cell r="U162">
            <v>32</v>
          </cell>
          <cell r="V162">
            <v>0</v>
          </cell>
          <cell r="W162">
            <v>0</v>
          </cell>
          <cell r="AA162">
            <v>0</v>
          </cell>
          <cell r="AB162">
            <v>0</v>
          </cell>
          <cell r="AC162">
            <v>0</v>
          </cell>
          <cell r="AD162">
            <v>32</v>
          </cell>
          <cell r="AE162">
            <v>510600</v>
          </cell>
          <cell r="AF162">
            <v>0</v>
          </cell>
          <cell r="AI162">
            <v>2251</v>
          </cell>
          <cell r="AK162">
            <v>0</v>
          </cell>
          <cell r="AM162">
            <v>238</v>
          </cell>
          <cell r="AN162">
            <v>1</v>
          </cell>
          <cell r="AO162">
            <v>393216</v>
          </cell>
          <cell r="AQ162">
            <v>0</v>
          </cell>
          <cell r="AR162">
            <v>0</v>
          </cell>
          <cell r="AS162" t="str">
            <v>Ы</v>
          </cell>
          <cell r="AT162" t="str">
            <v>Ы</v>
          </cell>
          <cell r="AU162">
            <v>0</v>
          </cell>
          <cell r="AV162">
            <v>0</v>
          </cell>
          <cell r="AW162">
            <v>23</v>
          </cell>
          <cell r="AX162">
            <v>1</v>
          </cell>
          <cell r="AY162">
            <v>0</v>
          </cell>
          <cell r="AZ162">
            <v>0</v>
          </cell>
          <cell r="BA162">
            <v>0</v>
          </cell>
          <cell r="BB162">
            <v>0</v>
          </cell>
          <cell r="BC162">
            <v>38828</v>
          </cell>
        </row>
        <row r="163">
          <cell r="A163">
            <v>2006</v>
          </cell>
          <cell r="B163">
            <v>2</v>
          </cell>
          <cell r="C163">
            <v>165</v>
          </cell>
          <cell r="D163">
            <v>21</v>
          </cell>
          <cell r="E163">
            <v>792030</v>
          </cell>
          <cell r="F163">
            <v>0</v>
          </cell>
          <cell r="G163" t="str">
            <v>Затраты по ШПЗ (неосновные)</v>
          </cell>
          <cell r="H163">
            <v>2030</v>
          </cell>
          <cell r="I163">
            <v>7920</v>
          </cell>
          <cell r="J163">
            <v>10029</v>
          </cell>
          <cell r="K163">
            <v>1</v>
          </cell>
          <cell r="L163">
            <v>0</v>
          </cell>
          <cell r="M163">
            <v>0</v>
          </cell>
          <cell r="N163">
            <v>0</v>
          </cell>
          <cell r="R163">
            <v>0</v>
          </cell>
          <cell r="S163">
            <v>0</v>
          </cell>
          <cell r="T163">
            <v>0</v>
          </cell>
          <cell r="U163">
            <v>33</v>
          </cell>
          <cell r="V163">
            <v>0</v>
          </cell>
          <cell r="W163">
            <v>0</v>
          </cell>
          <cell r="AA163">
            <v>0</v>
          </cell>
          <cell r="AB163">
            <v>0</v>
          </cell>
          <cell r="AC163">
            <v>0</v>
          </cell>
          <cell r="AD163">
            <v>33</v>
          </cell>
          <cell r="AE163">
            <v>143000</v>
          </cell>
          <cell r="AF163">
            <v>0</v>
          </cell>
          <cell r="AI163">
            <v>2251</v>
          </cell>
          <cell r="AK163">
            <v>0</v>
          </cell>
          <cell r="AM163">
            <v>294</v>
          </cell>
          <cell r="AN163">
            <v>1</v>
          </cell>
          <cell r="AO163">
            <v>393216</v>
          </cell>
          <cell r="AQ163">
            <v>0</v>
          </cell>
          <cell r="AR163">
            <v>0</v>
          </cell>
          <cell r="AS163" t="str">
            <v>Ы</v>
          </cell>
          <cell r="AT163" t="str">
            <v>Ы</v>
          </cell>
          <cell r="AU163">
            <v>0</v>
          </cell>
          <cell r="AV163">
            <v>0</v>
          </cell>
          <cell r="AW163">
            <v>23</v>
          </cell>
          <cell r="AX163">
            <v>1</v>
          </cell>
          <cell r="AY163">
            <v>0</v>
          </cell>
          <cell r="AZ163">
            <v>0</v>
          </cell>
          <cell r="BA163">
            <v>0</v>
          </cell>
          <cell r="BB163">
            <v>0</v>
          </cell>
          <cell r="BC163">
            <v>38828</v>
          </cell>
        </row>
        <row r="164">
          <cell r="A164">
            <v>2006</v>
          </cell>
          <cell r="B164">
            <v>2</v>
          </cell>
          <cell r="C164">
            <v>166</v>
          </cell>
          <cell r="D164">
            <v>21</v>
          </cell>
          <cell r="E164">
            <v>792030</v>
          </cell>
          <cell r="F164">
            <v>0</v>
          </cell>
          <cell r="G164" t="str">
            <v>Затраты по ШПЗ (неосновные)</v>
          </cell>
          <cell r="H164">
            <v>2030</v>
          </cell>
          <cell r="I164">
            <v>7920</v>
          </cell>
          <cell r="J164">
            <v>314</v>
          </cell>
          <cell r="K164">
            <v>1</v>
          </cell>
          <cell r="L164">
            <v>0</v>
          </cell>
          <cell r="M164">
            <v>0</v>
          </cell>
          <cell r="N164">
            <v>0</v>
          </cell>
          <cell r="R164">
            <v>0</v>
          </cell>
          <cell r="S164">
            <v>0</v>
          </cell>
          <cell r="T164">
            <v>0</v>
          </cell>
          <cell r="U164">
            <v>33</v>
          </cell>
          <cell r="V164">
            <v>0</v>
          </cell>
          <cell r="W164">
            <v>0</v>
          </cell>
          <cell r="AA164">
            <v>0</v>
          </cell>
          <cell r="AB164">
            <v>0</v>
          </cell>
          <cell r="AC164">
            <v>0</v>
          </cell>
          <cell r="AD164">
            <v>33</v>
          </cell>
          <cell r="AE164">
            <v>503000</v>
          </cell>
          <cell r="AF164">
            <v>0</v>
          </cell>
          <cell r="AI164">
            <v>2251</v>
          </cell>
          <cell r="AK164">
            <v>0</v>
          </cell>
          <cell r="AM164">
            <v>295</v>
          </cell>
          <cell r="AN164">
            <v>1</v>
          </cell>
          <cell r="AO164">
            <v>393216</v>
          </cell>
          <cell r="AQ164">
            <v>0</v>
          </cell>
          <cell r="AR164">
            <v>0</v>
          </cell>
          <cell r="AS164" t="str">
            <v>Ы</v>
          </cell>
          <cell r="AT164" t="str">
            <v>Ы</v>
          </cell>
          <cell r="AU164">
            <v>0</v>
          </cell>
          <cell r="AV164">
            <v>0</v>
          </cell>
          <cell r="AW164">
            <v>23</v>
          </cell>
          <cell r="AX164">
            <v>1</v>
          </cell>
          <cell r="AY164">
            <v>0</v>
          </cell>
          <cell r="AZ164">
            <v>0</v>
          </cell>
          <cell r="BA164">
            <v>0</v>
          </cell>
          <cell r="BB164">
            <v>0</v>
          </cell>
          <cell r="BC164">
            <v>38828</v>
          </cell>
        </row>
        <row r="165">
          <cell r="A165">
            <v>2006</v>
          </cell>
          <cell r="B165">
            <v>2</v>
          </cell>
          <cell r="C165">
            <v>167</v>
          </cell>
          <cell r="D165">
            <v>21</v>
          </cell>
          <cell r="E165">
            <v>792030</v>
          </cell>
          <cell r="F165">
            <v>0</v>
          </cell>
          <cell r="G165" t="str">
            <v>Затраты по ШПЗ (неосновные)</v>
          </cell>
          <cell r="H165">
            <v>2030</v>
          </cell>
          <cell r="I165">
            <v>7920</v>
          </cell>
          <cell r="J165">
            <v>389</v>
          </cell>
          <cell r="K165">
            <v>1</v>
          </cell>
          <cell r="L165">
            <v>0</v>
          </cell>
          <cell r="M165">
            <v>0</v>
          </cell>
          <cell r="N165">
            <v>0</v>
          </cell>
          <cell r="R165">
            <v>0</v>
          </cell>
          <cell r="S165">
            <v>0</v>
          </cell>
          <cell r="T165">
            <v>0</v>
          </cell>
          <cell r="U165">
            <v>33</v>
          </cell>
          <cell r="V165">
            <v>0</v>
          </cell>
          <cell r="W165">
            <v>0</v>
          </cell>
          <cell r="AA165">
            <v>0</v>
          </cell>
          <cell r="AB165">
            <v>0</v>
          </cell>
          <cell r="AC165">
            <v>0</v>
          </cell>
          <cell r="AD165">
            <v>33</v>
          </cell>
          <cell r="AE165">
            <v>510100</v>
          </cell>
          <cell r="AF165">
            <v>0</v>
          </cell>
          <cell r="AI165">
            <v>2251</v>
          </cell>
          <cell r="AK165">
            <v>0</v>
          </cell>
          <cell r="AM165">
            <v>296</v>
          </cell>
          <cell r="AN165">
            <v>1</v>
          </cell>
          <cell r="AO165">
            <v>393216</v>
          </cell>
          <cell r="AQ165">
            <v>0</v>
          </cell>
          <cell r="AR165">
            <v>0</v>
          </cell>
          <cell r="AS165" t="str">
            <v>Ы</v>
          </cell>
          <cell r="AT165" t="str">
            <v>Ы</v>
          </cell>
          <cell r="AU165">
            <v>0</v>
          </cell>
          <cell r="AV165">
            <v>0</v>
          </cell>
          <cell r="AW165">
            <v>23</v>
          </cell>
          <cell r="AX165">
            <v>1</v>
          </cell>
          <cell r="AY165">
            <v>0</v>
          </cell>
          <cell r="AZ165">
            <v>0</v>
          </cell>
          <cell r="BA165">
            <v>0</v>
          </cell>
          <cell r="BB165">
            <v>0</v>
          </cell>
          <cell r="BC165">
            <v>38828</v>
          </cell>
        </row>
        <row r="166">
          <cell r="A166">
            <v>2006</v>
          </cell>
          <cell r="B166">
            <v>2</v>
          </cell>
          <cell r="C166">
            <v>226</v>
          </cell>
          <cell r="D166">
            <v>21</v>
          </cell>
          <cell r="E166">
            <v>792030</v>
          </cell>
          <cell r="F166">
            <v>0</v>
          </cell>
          <cell r="G166" t="str">
            <v>Затраты по ШПЗ (неосновные)</v>
          </cell>
          <cell r="H166">
            <v>2030</v>
          </cell>
          <cell r="I166">
            <v>7920</v>
          </cell>
          <cell r="J166">
            <v>11087.69</v>
          </cell>
          <cell r="K166">
            <v>1</v>
          </cell>
          <cell r="L166">
            <v>0</v>
          </cell>
          <cell r="M166">
            <v>0</v>
          </cell>
          <cell r="N166">
            <v>0</v>
          </cell>
          <cell r="R166">
            <v>0</v>
          </cell>
          <cell r="S166">
            <v>0</v>
          </cell>
          <cell r="T166">
            <v>0</v>
          </cell>
          <cell r="U166">
            <v>34</v>
          </cell>
          <cell r="V166">
            <v>0</v>
          </cell>
          <cell r="W166">
            <v>0</v>
          </cell>
          <cell r="AA166">
            <v>0</v>
          </cell>
          <cell r="AB166">
            <v>0</v>
          </cell>
          <cell r="AC166">
            <v>0</v>
          </cell>
          <cell r="AD166">
            <v>34</v>
          </cell>
          <cell r="AE166">
            <v>110000</v>
          </cell>
          <cell r="AF166">
            <v>0</v>
          </cell>
          <cell r="AI166">
            <v>2251</v>
          </cell>
          <cell r="AK166">
            <v>0</v>
          </cell>
          <cell r="AM166">
            <v>355</v>
          </cell>
          <cell r="AN166">
            <v>1</v>
          </cell>
          <cell r="AO166">
            <v>393216</v>
          </cell>
          <cell r="AQ166">
            <v>0</v>
          </cell>
          <cell r="AR166">
            <v>0</v>
          </cell>
          <cell r="AS166" t="str">
            <v>Ы</v>
          </cell>
          <cell r="AT166" t="str">
            <v>Ы</v>
          </cell>
          <cell r="AU166">
            <v>0</v>
          </cell>
          <cell r="AV166">
            <v>0</v>
          </cell>
          <cell r="AW166">
            <v>23</v>
          </cell>
          <cell r="AX166">
            <v>1</v>
          </cell>
          <cell r="AY166">
            <v>0</v>
          </cell>
          <cell r="AZ166">
            <v>0</v>
          </cell>
          <cell r="BA166">
            <v>0</v>
          </cell>
          <cell r="BB166">
            <v>0</v>
          </cell>
          <cell r="BC166">
            <v>38828</v>
          </cell>
        </row>
        <row r="167">
          <cell r="A167">
            <v>2006</v>
          </cell>
          <cell r="B167">
            <v>2</v>
          </cell>
          <cell r="C167">
            <v>274</v>
          </cell>
          <cell r="D167">
            <v>21</v>
          </cell>
          <cell r="E167">
            <v>792030</v>
          </cell>
          <cell r="F167">
            <v>0</v>
          </cell>
          <cell r="G167" t="str">
            <v>Затраты по ШПЗ (неосновные)</v>
          </cell>
          <cell r="H167">
            <v>2030</v>
          </cell>
          <cell r="I167">
            <v>7920</v>
          </cell>
          <cell r="J167">
            <v>412.5</v>
          </cell>
          <cell r="K167">
            <v>1</v>
          </cell>
          <cell r="L167">
            <v>0</v>
          </cell>
          <cell r="M167">
            <v>0</v>
          </cell>
          <cell r="N167">
            <v>0</v>
          </cell>
          <cell r="R167">
            <v>0</v>
          </cell>
          <cell r="S167">
            <v>0</v>
          </cell>
          <cell r="T167">
            <v>0</v>
          </cell>
          <cell r="U167">
            <v>36</v>
          </cell>
          <cell r="V167">
            <v>0</v>
          </cell>
          <cell r="W167">
            <v>0</v>
          </cell>
          <cell r="AA167">
            <v>0</v>
          </cell>
          <cell r="AB167">
            <v>0</v>
          </cell>
          <cell r="AC167">
            <v>0</v>
          </cell>
          <cell r="AD167">
            <v>36</v>
          </cell>
          <cell r="AE167">
            <v>110000</v>
          </cell>
          <cell r="AF167">
            <v>0</v>
          </cell>
          <cell r="AI167">
            <v>2251</v>
          </cell>
          <cell r="AK167">
            <v>0</v>
          </cell>
          <cell r="AM167">
            <v>403</v>
          </cell>
          <cell r="AN167">
            <v>1</v>
          </cell>
          <cell r="AO167">
            <v>393216</v>
          </cell>
          <cell r="AQ167">
            <v>0</v>
          </cell>
          <cell r="AR167">
            <v>0</v>
          </cell>
          <cell r="AS167" t="str">
            <v>Ы</v>
          </cell>
          <cell r="AT167" t="str">
            <v>Ы</v>
          </cell>
          <cell r="AU167">
            <v>0</v>
          </cell>
          <cell r="AV167">
            <v>0</v>
          </cell>
          <cell r="AW167">
            <v>23</v>
          </cell>
          <cell r="AX167">
            <v>1</v>
          </cell>
          <cell r="AY167">
            <v>0</v>
          </cell>
          <cell r="AZ167">
            <v>0</v>
          </cell>
          <cell r="BA167">
            <v>0</v>
          </cell>
          <cell r="BB167">
            <v>0</v>
          </cell>
          <cell r="BC167">
            <v>38828</v>
          </cell>
        </row>
        <row r="168">
          <cell r="A168">
            <v>2006</v>
          </cell>
          <cell r="B168">
            <v>2</v>
          </cell>
          <cell r="C168">
            <v>338</v>
          </cell>
          <cell r="D168">
            <v>21</v>
          </cell>
          <cell r="E168">
            <v>792030</v>
          </cell>
          <cell r="F168">
            <v>0</v>
          </cell>
          <cell r="G168" t="str">
            <v>Затраты по ШПЗ (неосновные)</v>
          </cell>
          <cell r="H168">
            <v>2030</v>
          </cell>
          <cell r="I168">
            <v>7920</v>
          </cell>
          <cell r="J168">
            <v>5017.13</v>
          </cell>
          <cell r="K168">
            <v>1</v>
          </cell>
          <cell r="L168">
            <v>0</v>
          </cell>
          <cell r="M168">
            <v>0</v>
          </cell>
          <cell r="N168">
            <v>0</v>
          </cell>
          <cell r="R168">
            <v>0</v>
          </cell>
          <cell r="S168">
            <v>0</v>
          </cell>
          <cell r="T168">
            <v>0</v>
          </cell>
          <cell r="U168">
            <v>35</v>
          </cell>
          <cell r="V168">
            <v>0</v>
          </cell>
          <cell r="W168">
            <v>0</v>
          </cell>
          <cell r="AA168">
            <v>0</v>
          </cell>
          <cell r="AB168">
            <v>0</v>
          </cell>
          <cell r="AC168">
            <v>0</v>
          </cell>
          <cell r="AD168">
            <v>35</v>
          </cell>
          <cell r="AE168">
            <v>110000</v>
          </cell>
          <cell r="AF168">
            <v>0</v>
          </cell>
          <cell r="AI168">
            <v>2251</v>
          </cell>
          <cell r="AK168">
            <v>0</v>
          </cell>
          <cell r="AM168">
            <v>467</v>
          </cell>
          <cell r="AN168">
            <v>1</v>
          </cell>
          <cell r="AO168">
            <v>393216</v>
          </cell>
          <cell r="AQ168">
            <v>0</v>
          </cell>
          <cell r="AR168">
            <v>0</v>
          </cell>
          <cell r="AS168" t="str">
            <v>Ы</v>
          </cell>
          <cell r="AT168" t="str">
            <v>Ы</v>
          </cell>
          <cell r="AU168">
            <v>0</v>
          </cell>
          <cell r="AV168">
            <v>0</v>
          </cell>
          <cell r="AW168">
            <v>23</v>
          </cell>
          <cell r="AX168">
            <v>1</v>
          </cell>
          <cell r="AY168">
            <v>0</v>
          </cell>
          <cell r="AZ168">
            <v>0</v>
          </cell>
          <cell r="BA168">
            <v>0</v>
          </cell>
          <cell r="BB168">
            <v>0</v>
          </cell>
          <cell r="BC168">
            <v>38828</v>
          </cell>
        </row>
        <row r="169">
          <cell r="A169">
            <v>2006</v>
          </cell>
          <cell r="B169">
            <v>2</v>
          </cell>
          <cell r="C169">
            <v>339</v>
          </cell>
          <cell r="D169">
            <v>21</v>
          </cell>
          <cell r="E169">
            <v>792030</v>
          </cell>
          <cell r="F169">
            <v>0</v>
          </cell>
          <cell r="G169" t="str">
            <v>Затраты по ШПЗ (неосновные)</v>
          </cell>
          <cell r="H169">
            <v>2030</v>
          </cell>
          <cell r="I169">
            <v>7920</v>
          </cell>
          <cell r="J169">
            <v>246.8</v>
          </cell>
          <cell r="K169">
            <v>1</v>
          </cell>
          <cell r="L169">
            <v>0</v>
          </cell>
          <cell r="M169">
            <v>0</v>
          </cell>
          <cell r="N169">
            <v>0</v>
          </cell>
          <cell r="R169">
            <v>0</v>
          </cell>
          <cell r="S169">
            <v>0</v>
          </cell>
          <cell r="T169">
            <v>0</v>
          </cell>
          <cell r="U169">
            <v>35</v>
          </cell>
          <cell r="V169">
            <v>0</v>
          </cell>
          <cell r="W169">
            <v>0</v>
          </cell>
          <cell r="AA169">
            <v>0</v>
          </cell>
          <cell r="AB169">
            <v>0</v>
          </cell>
          <cell r="AC169">
            <v>0</v>
          </cell>
          <cell r="AD169">
            <v>35</v>
          </cell>
          <cell r="AE169">
            <v>114020</v>
          </cell>
          <cell r="AF169">
            <v>0</v>
          </cell>
          <cell r="AI169">
            <v>2251</v>
          </cell>
          <cell r="AK169">
            <v>0</v>
          </cell>
          <cell r="AM169">
            <v>468</v>
          </cell>
          <cell r="AN169">
            <v>1</v>
          </cell>
          <cell r="AO169">
            <v>393216</v>
          </cell>
          <cell r="AQ169">
            <v>0</v>
          </cell>
          <cell r="AR169">
            <v>0</v>
          </cell>
          <cell r="AS169" t="str">
            <v>Ы</v>
          </cell>
          <cell r="AT169" t="str">
            <v>Ы</v>
          </cell>
          <cell r="AU169">
            <v>0</v>
          </cell>
          <cell r="AV169">
            <v>0</v>
          </cell>
          <cell r="AW169">
            <v>23</v>
          </cell>
          <cell r="AX169">
            <v>1</v>
          </cell>
          <cell r="AY169">
            <v>0</v>
          </cell>
          <cell r="AZ169">
            <v>0</v>
          </cell>
          <cell r="BA169">
            <v>0</v>
          </cell>
          <cell r="BB169">
            <v>0</v>
          </cell>
          <cell r="BC169">
            <v>38828</v>
          </cell>
        </row>
        <row r="170">
          <cell r="A170">
            <v>2006</v>
          </cell>
          <cell r="B170">
            <v>2</v>
          </cell>
          <cell r="C170">
            <v>340</v>
          </cell>
          <cell r="D170">
            <v>21</v>
          </cell>
          <cell r="E170">
            <v>792030</v>
          </cell>
          <cell r="F170">
            <v>0</v>
          </cell>
          <cell r="G170" t="str">
            <v>Затраты по ШПЗ (неосновные)</v>
          </cell>
          <cell r="H170">
            <v>2030</v>
          </cell>
          <cell r="I170">
            <v>7920</v>
          </cell>
          <cell r="J170">
            <v>2267.1999999999998</v>
          </cell>
          <cell r="K170">
            <v>1</v>
          </cell>
          <cell r="L170">
            <v>0</v>
          </cell>
          <cell r="M170">
            <v>0</v>
          </cell>
          <cell r="N170">
            <v>0</v>
          </cell>
          <cell r="R170">
            <v>0</v>
          </cell>
          <cell r="S170">
            <v>0</v>
          </cell>
          <cell r="T170">
            <v>0</v>
          </cell>
          <cell r="U170">
            <v>35</v>
          </cell>
          <cell r="V170">
            <v>0</v>
          </cell>
          <cell r="W170">
            <v>0</v>
          </cell>
          <cell r="AA170">
            <v>0</v>
          </cell>
          <cell r="AB170">
            <v>0</v>
          </cell>
          <cell r="AC170">
            <v>0</v>
          </cell>
          <cell r="AD170">
            <v>35</v>
          </cell>
          <cell r="AE170">
            <v>118000</v>
          </cell>
          <cell r="AF170">
            <v>0</v>
          </cell>
          <cell r="AI170">
            <v>2251</v>
          </cell>
          <cell r="AK170">
            <v>0</v>
          </cell>
          <cell r="AM170">
            <v>469</v>
          </cell>
          <cell r="AN170">
            <v>1</v>
          </cell>
          <cell r="AO170">
            <v>393216</v>
          </cell>
          <cell r="AQ170">
            <v>0</v>
          </cell>
          <cell r="AR170">
            <v>0</v>
          </cell>
          <cell r="AS170" t="str">
            <v>Ы</v>
          </cell>
          <cell r="AT170" t="str">
            <v>Ы</v>
          </cell>
          <cell r="AU170">
            <v>0</v>
          </cell>
          <cell r="AV170">
            <v>0</v>
          </cell>
          <cell r="AW170">
            <v>23</v>
          </cell>
          <cell r="AX170">
            <v>1</v>
          </cell>
          <cell r="AY170">
            <v>0</v>
          </cell>
          <cell r="AZ170">
            <v>0</v>
          </cell>
          <cell r="BA170">
            <v>0</v>
          </cell>
          <cell r="BB170">
            <v>0</v>
          </cell>
          <cell r="BC170">
            <v>38828</v>
          </cell>
        </row>
        <row r="171">
          <cell r="A171">
            <v>2006</v>
          </cell>
          <cell r="B171">
            <v>2</v>
          </cell>
          <cell r="C171">
            <v>341</v>
          </cell>
          <cell r="D171">
            <v>21</v>
          </cell>
          <cell r="E171">
            <v>792030</v>
          </cell>
          <cell r="F171">
            <v>0</v>
          </cell>
          <cell r="G171" t="str">
            <v>Затраты по ШПЗ (неосновные)</v>
          </cell>
          <cell r="H171">
            <v>2030</v>
          </cell>
          <cell r="I171">
            <v>7920</v>
          </cell>
          <cell r="J171">
            <v>49.59</v>
          </cell>
          <cell r="K171">
            <v>1</v>
          </cell>
          <cell r="L171">
            <v>0</v>
          </cell>
          <cell r="M171">
            <v>0</v>
          </cell>
          <cell r="N171">
            <v>0</v>
          </cell>
          <cell r="R171">
            <v>0</v>
          </cell>
          <cell r="S171">
            <v>0</v>
          </cell>
          <cell r="T171">
            <v>0</v>
          </cell>
          <cell r="U171">
            <v>35</v>
          </cell>
          <cell r="V171">
            <v>0</v>
          </cell>
          <cell r="W171">
            <v>0</v>
          </cell>
          <cell r="AA171">
            <v>0</v>
          </cell>
          <cell r="AB171">
            <v>0</v>
          </cell>
          <cell r="AC171">
            <v>0</v>
          </cell>
          <cell r="AD171">
            <v>35</v>
          </cell>
          <cell r="AE171">
            <v>131000</v>
          </cell>
          <cell r="AF171">
            <v>0</v>
          </cell>
          <cell r="AI171">
            <v>2251</v>
          </cell>
          <cell r="AK171">
            <v>0</v>
          </cell>
          <cell r="AM171">
            <v>470</v>
          </cell>
          <cell r="AN171">
            <v>1</v>
          </cell>
          <cell r="AO171">
            <v>393216</v>
          </cell>
          <cell r="AQ171">
            <v>0</v>
          </cell>
          <cell r="AR171">
            <v>0</v>
          </cell>
          <cell r="AS171" t="str">
            <v>Ы</v>
          </cell>
          <cell r="AT171" t="str">
            <v>Ы</v>
          </cell>
          <cell r="AU171">
            <v>0</v>
          </cell>
          <cell r="AV171">
            <v>0</v>
          </cell>
          <cell r="AW171">
            <v>23</v>
          </cell>
          <cell r="AX171">
            <v>1</v>
          </cell>
          <cell r="AY171">
            <v>0</v>
          </cell>
          <cell r="AZ171">
            <v>0</v>
          </cell>
          <cell r="BA171">
            <v>0</v>
          </cell>
          <cell r="BB171">
            <v>0</v>
          </cell>
          <cell r="BC171">
            <v>38828</v>
          </cell>
        </row>
        <row r="172">
          <cell r="A172">
            <v>2006</v>
          </cell>
          <cell r="B172">
            <v>2</v>
          </cell>
          <cell r="C172">
            <v>342</v>
          </cell>
          <cell r="D172">
            <v>21</v>
          </cell>
          <cell r="E172">
            <v>792030</v>
          </cell>
          <cell r="F172">
            <v>0</v>
          </cell>
          <cell r="G172" t="str">
            <v>Затраты по ШПЗ (неосновные)</v>
          </cell>
          <cell r="H172">
            <v>2030</v>
          </cell>
          <cell r="I172">
            <v>7920</v>
          </cell>
          <cell r="J172">
            <v>37.1</v>
          </cell>
          <cell r="K172">
            <v>1</v>
          </cell>
          <cell r="L172">
            <v>0</v>
          </cell>
          <cell r="M172">
            <v>0</v>
          </cell>
          <cell r="N172">
            <v>0</v>
          </cell>
          <cell r="R172">
            <v>0</v>
          </cell>
          <cell r="S172">
            <v>0</v>
          </cell>
          <cell r="T172">
            <v>0</v>
          </cell>
          <cell r="U172">
            <v>35</v>
          </cell>
          <cell r="V172">
            <v>0</v>
          </cell>
          <cell r="W172">
            <v>0</v>
          </cell>
          <cell r="AA172">
            <v>0</v>
          </cell>
          <cell r="AB172">
            <v>0</v>
          </cell>
          <cell r="AC172">
            <v>0</v>
          </cell>
          <cell r="AD172">
            <v>35</v>
          </cell>
          <cell r="AE172">
            <v>131100</v>
          </cell>
          <cell r="AF172">
            <v>0</v>
          </cell>
          <cell r="AI172">
            <v>2251</v>
          </cell>
          <cell r="AK172">
            <v>0</v>
          </cell>
          <cell r="AM172">
            <v>471</v>
          </cell>
          <cell r="AN172">
            <v>1</v>
          </cell>
          <cell r="AO172">
            <v>393216</v>
          </cell>
          <cell r="AQ172">
            <v>0</v>
          </cell>
          <cell r="AR172">
            <v>0</v>
          </cell>
          <cell r="AS172" t="str">
            <v>Ы</v>
          </cell>
          <cell r="AT172" t="str">
            <v>Ы</v>
          </cell>
          <cell r="AU172">
            <v>0</v>
          </cell>
          <cell r="AV172">
            <v>0</v>
          </cell>
          <cell r="AW172">
            <v>23</v>
          </cell>
          <cell r="AX172">
            <v>1</v>
          </cell>
          <cell r="AY172">
            <v>0</v>
          </cell>
          <cell r="AZ172">
            <v>0</v>
          </cell>
          <cell r="BA172">
            <v>0</v>
          </cell>
          <cell r="BB172">
            <v>0</v>
          </cell>
          <cell r="BC172">
            <v>38828</v>
          </cell>
        </row>
        <row r="173">
          <cell r="A173">
            <v>2006</v>
          </cell>
          <cell r="B173">
            <v>2</v>
          </cell>
          <cell r="C173">
            <v>343</v>
          </cell>
          <cell r="D173">
            <v>21</v>
          </cell>
          <cell r="E173">
            <v>792030</v>
          </cell>
          <cell r="F173">
            <v>0</v>
          </cell>
          <cell r="G173" t="str">
            <v>Затраты по ШПЗ (неосновные)</v>
          </cell>
          <cell r="H173">
            <v>2030</v>
          </cell>
          <cell r="I173">
            <v>7920</v>
          </cell>
          <cell r="J173">
            <v>1807.43</v>
          </cell>
          <cell r="K173">
            <v>1</v>
          </cell>
          <cell r="L173">
            <v>0</v>
          </cell>
          <cell r="M173">
            <v>0</v>
          </cell>
          <cell r="N173">
            <v>0</v>
          </cell>
          <cell r="R173">
            <v>0</v>
          </cell>
          <cell r="S173">
            <v>0</v>
          </cell>
          <cell r="T173">
            <v>0</v>
          </cell>
          <cell r="U173">
            <v>35</v>
          </cell>
          <cell r="V173">
            <v>0</v>
          </cell>
          <cell r="W173">
            <v>0</v>
          </cell>
          <cell r="AA173">
            <v>0</v>
          </cell>
          <cell r="AB173">
            <v>0</v>
          </cell>
          <cell r="AC173">
            <v>0</v>
          </cell>
          <cell r="AD173">
            <v>35</v>
          </cell>
          <cell r="AE173">
            <v>132000</v>
          </cell>
          <cell r="AF173">
            <v>0</v>
          </cell>
          <cell r="AI173">
            <v>2251</v>
          </cell>
          <cell r="AK173">
            <v>0</v>
          </cell>
          <cell r="AM173">
            <v>472</v>
          </cell>
          <cell r="AN173">
            <v>1</v>
          </cell>
          <cell r="AO173">
            <v>393216</v>
          </cell>
          <cell r="AQ173">
            <v>0</v>
          </cell>
          <cell r="AR173">
            <v>0</v>
          </cell>
          <cell r="AS173" t="str">
            <v>Ы</v>
          </cell>
          <cell r="AT173" t="str">
            <v>Ы</v>
          </cell>
          <cell r="AU173">
            <v>0</v>
          </cell>
          <cell r="AV173">
            <v>0</v>
          </cell>
          <cell r="AW173">
            <v>23</v>
          </cell>
          <cell r="AX173">
            <v>1</v>
          </cell>
          <cell r="AY173">
            <v>0</v>
          </cell>
          <cell r="AZ173">
            <v>0</v>
          </cell>
          <cell r="BA173">
            <v>0</v>
          </cell>
          <cell r="BB173">
            <v>0</v>
          </cell>
          <cell r="BC173">
            <v>38828</v>
          </cell>
        </row>
        <row r="174">
          <cell r="A174">
            <v>2006</v>
          </cell>
          <cell r="B174">
            <v>2</v>
          </cell>
          <cell r="C174">
            <v>344</v>
          </cell>
          <cell r="D174">
            <v>21</v>
          </cell>
          <cell r="E174">
            <v>792030</v>
          </cell>
          <cell r="F174">
            <v>0</v>
          </cell>
          <cell r="G174" t="str">
            <v>Затраты по ШПЗ (неосновные)</v>
          </cell>
          <cell r="H174">
            <v>2030</v>
          </cell>
          <cell r="I174">
            <v>7920</v>
          </cell>
          <cell r="J174">
            <v>81</v>
          </cell>
          <cell r="K174">
            <v>1</v>
          </cell>
          <cell r="L174">
            <v>0</v>
          </cell>
          <cell r="M174">
            <v>0</v>
          </cell>
          <cell r="N174">
            <v>0</v>
          </cell>
          <cell r="R174">
            <v>0</v>
          </cell>
          <cell r="S174">
            <v>0</v>
          </cell>
          <cell r="T174">
            <v>0</v>
          </cell>
          <cell r="U174">
            <v>35</v>
          </cell>
          <cell r="V174">
            <v>0</v>
          </cell>
          <cell r="W174">
            <v>0</v>
          </cell>
          <cell r="AA174">
            <v>0</v>
          </cell>
          <cell r="AB174">
            <v>0</v>
          </cell>
          <cell r="AC174">
            <v>0</v>
          </cell>
          <cell r="AD174">
            <v>35</v>
          </cell>
          <cell r="AE174">
            <v>135000</v>
          </cell>
          <cell r="AF174">
            <v>0</v>
          </cell>
          <cell r="AI174">
            <v>2251</v>
          </cell>
          <cell r="AK174">
            <v>0</v>
          </cell>
          <cell r="AM174">
            <v>473</v>
          </cell>
          <cell r="AN174">
            <v>1</v>
          </cell>
          <cell r="AO174">
            <v>393216</v>
          </cell>
          <cell r="AQ174">
            <v>0</v>
          </cell>
          <cell r="AR174">
            <v>0</v>
          </cell>
          <cell r="AS174" t="str">
            <v>Ы</v>
          </cell>
          <cell r="AT174" t="str">
            <v>Ы</v>
          </cell>
          <cell r="AU174">
            <v>0</v>
          </cell>
          <cell r="AV174">
            <v>0</v>
          </cell>
          <cell r="AW174">
            <v>23</v>
          </cell>
          <cell r="AX174">
            <v>1</v>
          </cell>
          <cell r="AY174">
            <v>0</v>
          </cell>
          <cell r="AZ174">
            <v>0</v>
          </cell>
          <cell r="BA174">
            <v>0</v>
          </cell>
          <cell r="BB174">
            <v>0</v>
          </cell>
          <cell r="BC174">
            <v>38828</v>
          </cell>
        </row>
        <row r="175">
          <cell r="A175">
            <v>2006</v>
          </cell>
          <cell r="B175">
            <v>2</v>
          </cell>
          <cell r="C175">
            <v>345</v>
          </cell>
          <cell r="D175">
            <v>21</v>
          </cell>
          <cell r="E175">
            <v>792030</v>
          </cell>
          <cell r="F175">
            <v>0</v>
          </cell>
          <cell r="G175" t="str">
            <v>Затраты по ШПЗ (неосновные)</v>
          </cell>
          <cell r="H175">
            <v>2030</v>
          </cell>
          <cell r="I175">
            <v>7920</v>
          </cell>
          <cell r="J175">
            <v>8205.02</v>
          </cell>
          <cell r="K175">
            <v>1</v>
          </cell>
          <cell r="L175">
            <v>0</v>
          </cell>
          <cell r="M175">
            <v>0</v>
          </cell>
          <cell r="N175">
            <v>0</v>
          </cell>
          <cell r="R175">
            <v>0</v>
          </cell>
          <cell r="S175">
            <v>0</v>
          </cell>
          <cell r="T175">
            <v>0</v>
          </cell>
          <cell r="U175">
            <v>35</v>
          </cell>
          <cell r="V175">
            <v>0</v>
          </cell>
          <cell r="W175">
            <v>0</v>
          </cell>
          <cell r="AA175">
            <v>0</v>
          </cell>
          <cell r="AB175">
            <v>0</v>
          </cell>
          <cell r="AC175">
            <v>0</v>
          </cell>
          <cell r="AD175">
            <v>35</v>
          </cell>
          <cell r="AE175">
            <v>143000</v>
          </cell>
          <cell r="AF175">
            <v>0</v>
          </cell>
          <cell r="AI175">
            <v>2251</v>
          </cell>
          <cell r="AK175">
            <v>0</v>
          </cell>
          <cell r="AM175">
            <v>474</v>
          </cell>
          <cell r="AN175">
            <v>1</v>
          </cell>
          <cell r="AO175">
            <v>393216</v>
          </cell>
          <cell r="AQ175">
            <v>0</v>
          </cell>
          <cell r="AR175">
            <v>0</v>
          </cell>
          <cell r="AS175" t="str">
            <v>Ы</v>
          </cell>
          <cell r="AT175" t="str">
            <v>Ы</v>
          </cell>
          <cell r="AU175">
            <v>0</v>
          </cell>
          <cell r="AV175">
            <v>0</v>
          </cell>
          <cell r="AW175">
            <v>23</v>
          </cell>
          <cell r="AX175">
            <v>1</v>
          </cell>
          <cell r="AY175">
            <v>0</v>
          </cell>
          <cell r="AZ175">
            <v>0</v>
          </cell>
          <cell r="BA175">
            <v>0</v>
          </cell>
          <cell r="BB175">
            <v>0</v>
          </cell>
          <cell r="BC175">
            <v>38828</v>
          </cell>
        </row>
        <row r="176">
          <cell r="A176">
            <v>2006</v>
          </cell>
          <cell r="B176">
            <v>2</v>
          </cell>
          <cell r="C176">
            <v>346</v>
          </cell>
          <cell r="D176">
            <v>21</v>
          </cell>
          <cell r="E176">
            <v>792030</v>
          </cell>
          <cell r="F176">
            <v>0</v>
          </cell>
          <cell r="G176" t="str">
            <v>Затраты по ШПЗ (неосновные)</v>
          </cell>
          <cell r="H176">
            <v>2030</v>
          </cell>
          <cell r="I176">
            <v>7920</v>
          </cell>
          <cell r="J176">
            <v>274898</v>
          </cell>
          <cell r="K176">
            <v>1</v>
          </cell>
          <cell r="L176">
            <v>0</v>
          </cell>
          <cell r="M176">
            <v>0</v>
          </cell>
          <cell r="N176">
            <v>0</v>
          </cell>
          <cell r="R176">
            <v>0</v>
          </cell>
          <cell r="S176">
            <v>0</v>
          </cell>
          <cell r="T176">
            <v>0</v>
          </cell>
          <cell r="U176">
            <v>35</v>
          </cell>
          <cell r="V176">
            <v>0</v>
          </cell>
          <cell r="W176">
            <v>0</v>
          </cell>
          <cell r="AA176">
            <v>0</v>
          </cell>
          <cell r="AB176">
            <v>0</v>
          </cell>
          <cell r="AC176">
            <v>0</v>
          </cell>
          <cell r="AD176">
            <v>35</v>
          </cell>
          <cell r="AE176">
            <v>240000</v>
          </cell>
          <cell r="AF176">
            <v>0</v>
          </cell>
          <cell r="AI176">
            <v>2251</v>
          </cell>
          <cell r="AK176">
            <v>0</v>
          </cell>
          <cell r="AM176">
            <v>475</v>
          </cell>
          <cell r="AN176">
            <v>1</v>
          </cell>
          <cell r="AO176">
            <v>393216</v>
          </cell>
          <cell r="AQ176">
            <v>0</v>
          </cell>
          <cell r="AR176">
            <v>0</v>
          </cell>
          <cell r="AS176" t="str">
            <v>Ы</v>
          </cell>
          <cell r="AT176" t="str">
            <v>Ы</v>
          </cell>
          <cell r="AU176">
            <v>0</v>
          </cell>
          <cell r="AV176">
            <v>0</v>
          </cell>
          <cell r="AW176">
            <v>23</v>
          </cell>
          <cell r="AX176">
            <v>1</v>
          </cell>
          <cell r="AY176">
            <v>0</v>
          </cell>
          <cell r="AZ176">
            <v>0</v>
          </cell>
          <cell r="BA176">
            <v>0</v>
          </cell>
          <cell r="BB176">
            <v>0</v>
          </cell>
          <cell r="BC176">
            <v>38828</v>
          </cell>
        </row>
        <row r="177">
          <cell r="A177">
            <v>2006</v>
          </cell>
          <cell r="B177">
            <v>2</v>
          </cell>
          <cell r="C177">
            <v>347</v>
          </cell>
          <cell r="D177">
            <v>21</v>
          </cell>
          <cell r="E177">
            <v>792030</v>
          </cell>
          <cell r="F177">
            <v>0</v>
          </cell>
          <cell r="G177" t="str">
            <v>Затраты по ШПЗ (неосновные)</v>
          </cell>
          <cell r="H177">
            <v>2030</v>
          </cell>
          <cell r="I177">
            <v>7920</v>
          </cell>
          <cell r="J177">
            <v>7906.53</v>
          </cell>
          <cell r="K177">
            <v>1</v>
          </cell>
          <cell r="L177">
            <v>0</v>
          </cell>
          <cell r="M177">
            <v>0</v>
          </cell>
          <cell r="N177">
            <v>0</v>
          </cell>
          <cell r="R177">
            <v>0</v>
          </cell>
          <cell r="S177">
            <v>0</v>
          </cell>
          <cell r="T177">
            <v>0</v>
          </cell>
          <cell r="U177">
            <v>35</v>
          </cell>
          <cell r="V177">
            <v>0</v>
          </cell>
          <cell r="W177">
            <v>0</v>
          </cell>
          <cell r="AA177">
            <v>0</v>
          </cell>
          <cell r="AB177">
            <v>0</v>
          </cell>
          <cell r="AC177">
            <v>0</v>
          </cell>
          <cell r="AD177">
            <v>35</v>
          </cell>
          <cell r="AE177">
            <v>311000</v>
          </cell>
          <cell r="AF177">
            <v>0</v>
          </cell>
          <cell r="AI177">
            <v>2251</v>
          </cell>
          <cell r="AK177">
            <v>0</v>
          </cell>
          <cell r="AM177">
            <v>476</v>
          </cell>
          <cell r="AN177">
            <v>1</v>
          </cell>
          <cell r="AO177">
            <v>393216</v>
          </cell>
          <cell r="AQ177">
            <v>0</v>
          </cell>
          <cell r="AR177">
            <v>0</v>
          </cell>
          <cell r="AS177" t="str">
            <v>Ы</v>
          </cell>
          <cell r="AT177" t="str">
            <v>Ы</v>
          </cell>
          <cell r="AU177">
            <v>0</v>
          </cell>
          <cell r="AV177">
            <v>0</v>
          </cell>
          <cell r="AW177">
            <v>23</v>
          </cell>
          <cell r="AX177">
            <v>1</v>
          </cell>
          <cell r="AY177">
            <v>0</v>
          </cell>
          <cell r="AZ177">
            <v>0</v>
          </cell>
          <cell r="BA177">
            <v>0</v>
          </cell>
          <cell r="BB177">
            <v>0</v>
          </cell>
          <cell r="BC177">
            <v>38828</v>
          </cell>
        </row>
        <row r="178">
          <cell r="A178">
            <v>2006</v>
          </cell>
          <cell r="B178">
            <v>2</v>
          </cell>
          <cell r="C178">
            <v>348</v>
          </cell>
          <cell r="D178">
            <v>21</v>
          </cell>
          <cell r="E178">
            <v>792030</v>
          </cell>
          <cell r="F178">
            <v>0</v>
          </cell>
          <cell r="G178" t="str">
            <v>Затраты по ШПЗ (неосновные)</v>
          </cell>
          <cell r="H178">
            <v>2030</v>
          </cell>
          <cell r="I178">
            <v>7920</v>
          </cell>
          <cell r="J178">
            <v>16042.08</v>
          </cell>
          <cell r="K178">
            <v>1</v>
          </cell>
          <cell r="L178">
            <v>0</v>
          </cell>
          <cell r="M178">
            <v>0</v>
          </cell>
          <cell r="N178">
            <v>0</v>
          </cell>
          <cell r="R178">
            <v>0</v>
          </cell>
          <cell r="S178">
            <v>0</v>
          </cell>
          <cell r="T178">
            <v>0</v>
          </cell>
          <cell r="U178">
            <v>35</v>
          </cell>
          <cell r="V178">
            <v>0</v>
          </cell>
          <cell r="W178">
            <v>0</v>
          </cell>
          <cell r="AA178">
            <v>0</v>
          </cell>
          <cell r="AB178">
            <v>0</v>
          </cell>
          <cell r="AC178">
            <v>0</v>
          </cell>
          <cell r="AD178">
            <v>35</v>
          </cell>
          <cell r="AE178">
            <v>312000</v>
          </cell>
          <cell r="AF178">
            <v>0</v>
          </cell>
          <cell r="AI178">
            <v>2251</v>
          </cell>
          <cell r="AK178">
            <v>0</v>
          </cell>
          <cell r="AM178">
            <v>477</v>
          </cell>
          <cell r="AN178">
            <v>1</v>
          </cell>
          <cell r="AO178">
            <v>393216</v>
          </cell>
          <cell r="AQ178">
            <v>0</v>
          </cell>
          <cell r="AR178">
            <v>0</v>
          </cell>
          <cell r="AS178" t="str">
            <v>Ы</v>
          </cell>
          <cell r="AT178" t="str">
            <v>Ы</v>
          </cell>
          <cell r="AU178">
            <v>0</v>
          </cell>
          <cell r="AV178">
            <v>0</v>
          </cell>
          <cell r="AW178">
            <v>23</v>
          </cell>
          <cell r="AX178">
            <v>1</v>
          </cell>
          <cell r="AY178">
            <v>0</v>
          </cell>
          <cell r="AZ178">
            <v>0</v>
          </cell>
          <cell r="BA178">
            <v>0</v>
          </cell>
          <cell r="BB178">
            <v>0</v>
          </cell>
          <cell r="BC178">
            <v>38828</v>
          </cell>
        </row>
        <row r="179">
          <cell r="A179">
            <v>2006</v>
          </cell>
          <cell r="B179">
            <v>2</v>
          </cell>
          <cell r="C179">
            <v>349</v>
          </cell>
          <cell r="D179">
            <v>21</v>
          </cell>
          <cell r="E179">
            <v>792030</v>
          </cell>
          <cell r="F179">
            <v>0</v>
          </cell>
          <cell r="G179" t="str">
            <v>Затраты по ШПЗ (неосновные)</v>
          </cell>
          <cell r="H179">
            <v>2030</v>
          </cell>
          <cell r="I179">
            <v>7920</v>
          </cell>
          <cell r="J179">
            <v>3760.96</v>
          </cell>
          <cell r="K179">
            <v>1</v>
          </cell>
          <cell r="L179">
            <v>0</v>
          </cell>
          <cell r="M179">
            <v>0</v>
          </cell>
          <cell r="N179">
            <v>0</v>
          </cell>
          <cell r="R179">
            <v>0</v>
          </cell>
          <cell r="S179">
            <v>0</v>
          </cell>
          <cell r="T179">
            <v>0</v>
          </cell>
          <cell r="U179">
            <v>35</v>
          </cell>
          <cell r="V179">
            <v>0</v>
          </cell>
          <cell r="W179">
            <v>0</v>
          </cell>
          <cell r="AA179">
            <v>0</v>
          </cell>
          <cell r="AB179">
            <v>0</v>
          </cell>
          <cell r="AC179">
            <v>0</v>
          </cell>
          <cell r="AD179">
            <v>35</v>
          </cell>
          <cell r="AE179">
            <v>312100</v>
          </cell>
          <cell r="AF179">
            <v>0</v>
          </cell>
          <cell r="AI179">
            <v>2251</v>
          </cell>
          <cell r="AK179">
            <v>0</v>
          </cell>
          <cell r="AM179">
            <v>478</v>
          </cell>
          <cell r="AN179">
            <v>1</v>
          </cell>
          <cell r="AO179">
            <v>393216</v>
          </cell>
          <cell r="AQ179">
            <v>0</v>
          </cell>
          <cell r="AR179">
            <v>0</v>
          </cell>
          <cell r="AS179" t="str">
            <v>Ы</v>
          </cell>
          <cell r="AT179" t="str">
            <v>Ы</v>
          </cell>
          <cell r="AU179">
            <v>0</v>
          </cell>
          <cell r="AV179">
            <v>0</v>
          </cell>
          <cell r="AW179">
            <v>23</v>
          </cell>
          <cell r="AX179">
            <v>1</v>
          </cell>
          <cell r="AY179">
            <v>0</v>
          </cell>
          <cell r="AZ179">
            <v>0</v>
          </cell>
          <cell r="BA179">
            <v>0</v>
          </cell>
          <cell r="BB179">
            <v>0</v>
          </cell>
          <cell r="BC179">
            <v>38828</v>
          </cell>
        </row>
        <row r="180">
          <cell r="A180">
            <v>2006</v>
          </cell>
          <cell r="B180">
            <v>2</v>
          </cell>
          <cell r="C180">
            <v>350</v>
          </cell>
          <cell r="D180">
            <v>21</v>
          </cell>
          <cell r="E180">
            <v>792030</v>
          </cell>
          <cell r="F180">
            <v>0</v>
          </cell>
          <cell r="G180" t="str">
            <v>Затраты по ШПЗ (неосновные)</v>
          </cell>
          <cell r="H180">
            <v>2030</v>
          </cell>
          <cell r="I180">
            <v>7920</v>
          </cell>
          <cell r="J180">
            <v>35041.019999999997</v>
          </cell>
          <cell r="K180">
            <v>1</v>
          </cell>
          <cell r="L180">
            <v>0</v>
          </cell>
          <cell r="M180">
            <v>0</v>
          </cell>
          <cell r="N180">
            <v>0</v>
          </cell>
          <cell r="R180">
            <v>0</v>
          </cell>
          <cell r="S180">
            <v>0</v>
          </cell>
          <cell r="T180">
            <v>0</v>
          </cell>
          <cell r="U180">
            <v>35</v>
          </cell>
          <cell r="V180">
            <v>0</v>
          </cell>
          <cell r="W180">
            <v>0</v>
          </cell>
          <cell r="AA180">
            <v>0</v>
          </cell>
          <cell r="AB180">
            <v>0</v>
          </cell>
          <cell r="AC180">
            <v>0</v>
          </cell>
          <cell r="AD180">
            <v>35</v>
          </cell>
          <cell r="AE180">
            <v>312200</v>
          </cell>
          <cell r="AF180">
            <v>0</v>
          </cell>
          <cell r="AI180">
            <v>2251</v>
          </cell>
          <cell r="AK180">
            <v>0</v>
          </cell>
          <cell r="AM180">
            <v>479</v>
          </cell>
          <cell r="AN180">
            <v>1</v>
          </cell>
          <cell r="AO180">
            <v>393216</v>
          </cell>
          <cell r="AQ180">
            <v>0</v>
          </cell>
          <cell r="AR180">
            <v>0</v>
          </cell>
          <cell r="AS180" t="str">
            <v>Ы</v>
          </cell>
          <cell r="AT180" t="str">
            <v>Ы</v>
          </cell>
          <cell r="AU180">
            <v>0</v>
          </cell>
          <cell r="AV180">
            <v>0</v>
          </cell>
          <cell r="AW180">
            <v>23</v>
          </cell>
          <cell r="AX180">
            <v>1</v>
          </cell>
          <cell r="AY180">
            <v>0</v>
          </cell>
          <cell r="AZ180">
            <v>0</v>
          </cell>
          <cell r="BA180">
            <v>0</v>
          </cell>
          <cell r="BB180">
            <v>0</v>
          </cell>
          <cell r="BC180">
            <v>38828</v>
          </cell>
        </row>
        <row r="181">
          <cell r="A181">
            <v>2006</v>
          </cell>
          <cell r="B181">
            <v>2</v>
          </cell>
          <cell r="C181">
            <v>351</v>
          </cell>
          <cell r="D181">
            <v>21</v>
          </cell>
          <cell r="E181">
            <v>792030</v>
          </cell>
          <cell r="F181">
            <v>0</v>
          </cell>
          <cell r="G181" t="str">
            <v>Затраты по ШПЗ (неосновные)</v>
          </cell>
          <cell r="H181">
            <v>2030</v>
          </cell>
          <cell r="I181">
            <v>7920</v>
          </cell>
          <cell r="J181">
            <v>2999.01</v>
          </cell>
          <cell r="K181">
            <v>1</v>
          </cell>
          <cell r="L181">
            <v>0</v>
          </cell>
          <cell r="M181">
            <v>0</v>
          </cell>
          <cell r="N181">
            <v>0</v>
          </cell>
          <cell r="R181">
            <v>0</v>
          </cell>
          <cell r="S181">
            <v>0</v>
          </cell>
          <cell r="T181">
            <v>0</v>
          </cell>
          <cell r="U181">
            <v>35</v>
          </cell>
          <cell r="V181">
            <v>0</v>
          </cell>
          <cell r="W181">
            <v>0</v>
          </cell>
          <cell r="AA181">
            <v>0</v>
          </cell>
          <cell r="AB181">
            <v>0</v>
          </cell>
          <cell r="AC181">
            <v>0</v>
          </cell>
          <cell r="AD181">
            <v>35</v>
          </cell>
          <cell r="AE181">
            <v>313000</v>
          </cell>
          <cell r="AF181">
            <v>0</v>
          </cell>
          <cell r="AI181">
            <v>2251</v>
          </cell>
          <cell r="AK181">
            <v>0</v>
          </cell>
          <cell r="AM181">
            <v>480</v>
          </cell>
          <cell r="AN181">
            <v>1</v>
          </cell>
          <cell r="AO181">
            <v>393216</v>
          </cell>
          <cell r="AQ181">
            <v>0</v>
          </cell>
          <cell r="AR181">
            <v>0</v>
          </cell>
          <cell r="AS181" t="str">
            <v>Ы</v>
          </cell>
          <cell r="AT181" t="str">
            <v>Ы</v>
          </cell>
          <cell r="AU181">
            <v>0</v>
          </cell>
          <cell r="AV181">
            <v>0</v>
          </cell>
          <cell r="AW181">
            <v>23</v>
          </cell>
          <cell r="AX181">
            <v>1</v>
          </cell>
          <cell r="AY181">
            <v>0</v>
          </cell>
          <cell r="AZ181">
            <v>0</v>
          </cell>
          <cell r="BA181">
            <v>0</v>
          </cell>
          <cell r="BB181">
            <v>0</v>
          </cell>
          <cell r="BC181">
            <v>38828</v>
          </cell>
        </row>
        <row r="182">
          <cell r="A182">
            <v>2006</v>
          </cell>
          <cell r="B182">
            <v>2</v>
          </cell>
          <cell r="C182">
            <v>352</v>
          </cell>
          <cell r="D182">
            <v>21</v>
          </cell>
          <cell r="E182">
            <v>792030</v>
          </cell>
          <cell r="F182">
            <v>0</v>
          </cell>
          <cell r="G182" t="str">
            <v>Затраты по ШПЗ (неосновные)</v>
          </cell>
          <cell r="H182">
            <v>2030</v>
          </cell>
          <cell r="I182">
            <v>7920</v>
          </cell>
          <cell r="J182">
            <v>5452.78</v>
          </cell>
          <cell r="K182">
            <v>1</v>
          </cell>
          <cell r="L182">
            <v>0</v>
          </cell>
          <cell r="M182">
            <v>0</v>
          </cell>
          <cell r="N182">
            <v>0</v>
          </cell>
          <cell r="R182">
            <v>0</v>
          </cell>
          <cell r="S182">
            <v>0</v>
          </cell>
          <cell r="T182">
            <v>0</v>
          </cell>
          <cell r="U182">
            <v>35</v>
          </cell>
          <cell r="V182">
            <v>0</v>
          </cell>
          <cell r="W182">
            <v>0</v>
          </cell>
          <cell r="AA182">
            <v>0</v>
          </cell>
          <cell r="AB182">
            <v>0</v>
          </cell>
          <cell r="AC182">
            <v>0</v>
          </cell>
          <cell r="AD182">
            <v>35</v>
          </cell>
          <cell r="AE182">
            <v>314000</v>
          </cell>
          <cell r="AF182">
            <v>0</v>
          </cell>
          <cell r="AI182">
            <v>2251</v>
          </cell>
          <cell r="AK182">
            <v>0</v>
          </cell>
          <cell r="AM182">
            <v>481</v>
          </cell>
          <cell r="AN182">
            <v>1</v>
          </cell>
          <cell r="AO182">
            <v>393216</v>
          </cell>
          <cell r="AQ182">
            <v>0</v>
          </cell>
          <cell r="AR182">
            <v>0</v>
          </cell>
          <cell r="AS182" t="str">
            <v>Ы</v>
          </cell>
          <cell r="AT182" t="str">
            <v>Ы</v>
          </cell>
          <cell r="AU182">
            <v>0</v>
          </cell>
          <cell r="AV182">
            <v>0</v>
          </cell>
          <cell r="AW182">
            <v>23</v>
          </cell>
          <cell r="AX182">
            <v>1</v>
          </cell>
          <cell r="AY182">
            <v>0</v>
          </cell>
          <cell r="AZ182">
            <v>0</v>
          </cell>
          <cell r="BA182">
            <v>0</v>
          </cell>
          <cell r="BB182">
            <v>0</v>
          </cell>
          <cell r="BC182">
            <v>38828</v>
          </cell>
        </row>
        <row r="183">
          <cell r="A183">
            <v>2006</v>
          </cell>
          <cell r="B183">
            <v>2</v>
          </cell>
          <cell r="C183">
            <v>353</v>
          </cell>
          <cell r="D183">
            <v>21</v>
          </cell>
          <cell r="E183">
            <v>792030</v>
          </cell>
          <cell r="F183">
            <v>0</v>
          </cell>
          <cell r="G183" t="str">
            <v>Затраты по ШПЗ (неосновные)</v>
          </cell>
          <cell r="H183">
            <v>2030</v>
          </cell>
          <cell r="I183">
            <v>7920</v>
          </cell>
          <cell r="J183">
            <v>1095.8900000000001</v>
          </cell>
          <cell r="K183">
            <v>1</v>
          </cell>
          <cell r="L183">
            <v>0</v>
          </cell>
          <cell r="M183">
            <v>0</v>
          </cell>
          <cell r="N183">
            <v>0</v>
          </cell>
          <cell r="R183">
            <v>0</v>
          </cell>
          <cell r="S183">
            <v>0</v>
          </cell>
          <cell r="T183">
            <v>0</v>
          </cell>
          <cell r="U183">
            <v>35</v>
          </cell>
          <cell r="V183">
            <v>0</v>
          </cell>
          <cell r="W183">
            <v>0</v>
          </cell>
          <cell r="AA183">
            <v>0</v>
          </cell>
          <cell r="AB183">
            <v>0</v>
          </cell>
          <cell r="AC183">
            <v>0</v>
          </cell>
          <cell r="AD183">
            <v>35</v>
          </cell>
          <cell r="AE183">
            <v>315000</v>
          </cell>
          <cell r="AF183">
            <v>0</v>
          </cell>
          <cell r="AI183">
            <v>2251</v>
          </cell>
          <cell r="AK183">
            <v>0</v>
          </cell>
          <cell r="AM183">
            <v>482</v>
          </cell>
          <cell r="AN183">
            <v>1</v>
          </cell>
          <cell r="AO183">
            <v>393216</v>
          </cell>
          <cell r="AQ183">
            <v>0</v>
          </cell>
          <cell r="AR183">
            <v>0</v>
          </cell>
          <cell r="AS183" t="str">
            <v>Ы</v>
          </cell>
          <cell r="AT183" t="str">
            <v>Ы</v>
          </cell>
          <cell r="AU183">
            <v>0</v>
          </cell>
          <cell r="AV183">
            <v>0</v>
          </cell>
          <cell r="AW183">
            <v>23</v>
          </cell>
          <cell r="AX183">
            <v>1</v>
          </cell>
          <cell r="AY183">
            <v>0</v>
          </cell>
          <cell r="AZ183">
            <v>0</v>
          </cell>
          <cell r="BA183">
            <v>0</v>
          </cell>
          <cell r="BB183">
            <v>0</v>
          </cell>
          <cell r="BC183">
            <v>38828</v>
          </cell>
        </row>
        <row r="184">
          <cell r="A184">
            <v>2006</v>
          </cell>
          <cell r="B184">
            <v>2</v>
          </cell>
          <cell r="C184">
            <v>354</v>
          </cell>
          <cell r="D184">
            <v>21</v>
          </cell>
          <cell r="E184">
            <v>792030</v>
          </cell>
          <cell r="F184">
            <v>0</v>
          </cell>
          <cell r="G184" t="str">
            <v>Затраты по ШПЗ (неосновные)</v>
          </cell>
          <cell r="H184">
            <v>2030</v>
          </cell>
          <cell r="I184">
            <v>7920</v>
          </cell>
          <cell r="J184">
            <v>1387.66</v>
          </cell>
          <cell r="K184">
            <v>1</v>
          </cell>
          <cell r="L184">
            <v>0</v>
          </cell>
          <cell r="M184">
            <v>0</v>
          </cell>
          <cell r="N184">
            <v>0</v>
          </cell>
          <cell r="R184">
            <v>0</v>
          </cell>
          <cell r="S184">
            <v>0</v>
          </cell>
          <cell r="T184">
            <v>0</v>
          </cell>
          <cell r="U184">
            <v>35</v>
          </cell>
          <cell r="V184">
            <v>0</v>
          </cell>
          <cell r="W184">
            <v>0</v>
          </cell>
          <cell r="AA184">
            <v>0</v>
          </cell>
          <cell r="AB184">
            <v>0</v>
          </cell>
          <cell r="AC184">
            <v>0</v>
          </cell>
          <cell r="AD184">
            <v>35</v>
          </cell>
          <cell r="AE184">
            <v>410000</v>
          </cell>
          <cell r="AF184">
            <v>0</v>
          </cell>
          <cell r="AI184">
            <v>2251</v>
          </cell>
          <cell r="AK184">
            <v>0</v>
          </cell>
          <cell r="AM184">
            <v>483</v>
          </cell>
          <cell r="AN184">
            <v>1</v>
          </cell>
          <cell r="AO184">
            <v>393216</v>
          </cell>
          <cell r="AQ184">
            <v>0</v>
          </cell>
          <cell r="AR184">
            <v>0</v>
          </cell>
          <cell r="AS184" t="str">
            <v>Ы</v>
          </cell>
          <cell r="AT184" t="str">
            <v>Ы</v>
          </cell>
          <cell r="AU184">
            <v>0</v>
          </cell>
          <cell r="AV184">
            <v>0</v>
          </cell>
          <cell r="AW184">
            <v>23</v>
          </cell>
          <cell r="AX184">
            <v>1</v>
          </cell>
          <cell r="AY184">
            <v>0</v>
          </cell>
          <cell r="AZ184">
            <v>0</v>
          </cell>
          <cell r="BA184">
            <v>0</v>
          </cell>
          <cell r="BB184">
            <v>0</v>
          </cell>
          <cell r="BC184">
            <v>38828</v>
          </cell>
        </row>
        <row r="185">
          <cell r="A185">
            <v>2006</v>
          </cell>
          <cell r="B185">
            <v>2</v>
          </cell>
          <cell r="C185">
            <v>355</v>
          </cell>
          <cell r="D185">
            <v>21</v>
          </cell>
          <cell r="E185">
            <v>792030</v>
          </cell>
          <cell r="F185">
            <v>0</v>
          </cell>
          <cell r="G185" t="str">
            <v>Затраты по ШПЗ (неосновные)</v>
          </cell>
          <cell r="H185">
            <v>2030</v>
          </cell>
          <cell r="I185">
            <v>7920</v>
          </cell>
          <cell r="J185">
            <v>9589.6299999999992</v>
          </cell>
          <cell r="K185">
            <v>1</v>
          </cell>
          <cell r="L185">
            <v>0</v>
          </cell>
          <cell r="M185">
            <v>0</v>
          </cell>
          <cell r="N185">
            <v>0</v>
          </cell>
          <cell r="R185">
            <v>0</v>
          </cell>
          <cell r="S185">
            <v>0</v>
          </cell>
          <cell r="T185">
            <v>0</v>
          </cell>
          <cell r="U185">
            <v>35</v>
          </cell>
          <cell r="V185">
            <v>0</v>
          </cell>
          <cell r="W185">
            <v>0</v>
          </cell>
          <cell r="AA185">
            <v>0</v>
          </cell>
          <cell r="AB185">
            <v>0</v>
          </cell>
          <cell r="AC185">
            <v>0</v>
          </cell>
          <cell r="AD185">
            <v>35</v>
          </cell>
          <cell r="AE185">
            <v>420000</v>
          </cell>
          <cell r="AF185">
            <v>0</v>
          </cell>
          <cell r="AI185">
            <v>2251</v>
          </cell>
          <cell r="AK185">
            <v>0</v>
          </cell>
          <cell r="AM185">
            <v>484</v>
          </cell>
          <cell r="AN185">
            <v>1</v>
          </cell>
          <cell r="AO185">
            <v>393216</v>
          </cell>
          <cell r="AQ185">
            <v>0</v>
          </cell>
          <cell r="AR185">
            <v>0</v>
          </cell>
          <cell r="AS185" t="str">
            <v>Ы</v>
          </cell>
          <cell r="AT185" t="str">
            <v>Ы</v>
          </cell>
          <cell r="AU185">
            <v>0</v>
          </cell>
          <cell r="AV185">
            <v>0</v>
          </cell>
          <cell r="AW185">
            <v>23</v>
          </cell>
          <cell r="AX185">
            <v>1</v>
          </cell>
          <cell r="AY185">
            <v>0</v>
          </cell>
          <cell r="AZ185">
            <v>0</v>
          </cell>
          <cell r="BA185">
            <v>0</v>
          </cell>
          <cell r="BB185">
            <v>0</v>
          </cell>
          <cell r="BC185">
            <v>38828</v>
          </cell>
        </row>
        <row r="186">
          <cell r="A186">
            <v>2006</v>
          </cell>
          <cell r="B186">
            <v>2</v>
          </cell>
          <cell r="C186">
            <v>356</v>
          </cell>
          <cell r="D186">
            <v>21</v>
          </cell>
          <cell r="E186">
            <v>792030</v>
          </cell>
          <cell r="F186">
            <v>0</v>
          </cell>
          <cell r="G186" t="str">
            <v>Затраты по ШПЗ (неосновные)</v>
          </cell>
          <cell r="H186">
            <v>2030</v>
          </cell>
          <cell r="I186">
            <v>7920</v>
          </cell>
          <cell r="J186">
            <v>227.79</v>
          </cell>
          <cell r="K186">
            <v>1</v>
          </cell>
          <cell r="L186">
            <v>0</v>
          </cell>
          <cell r="M186">
            <v>0</v>
          </cell>
          <cell r="N186">
            <v>0</v>
          </cell>
          <cell r="R186">
            <v>0</v>
          </cell>
          <cell r="S186">
            <v>0</v>
          </cell>
          <cell r="T186">
            <v>0</v>
          </cell>
          <cell r="U186">
            <v>35</v>
          </cell>
          <cell r="V186">
            <v>0</v>
          </cell>
          <cell r="W186">
            <v>0</v>
          </cell>
          <cell r="AA186">
            <v>0</v>
          </cell>
          <cell r="AB186">
            <v>0</v>
          </cell>
          <cell r="AC186">
            <v>0</v>
          </cell>
          <cell r="AD186">
            <v>35</v>
          </cell>
          <cell r="AE186">
            <v>430000</v>
          </cell>
          <cell r="AF186">
            <v>0</v>
          </cell>
          <cell r="AI186">
            <v>2251</v>
          </cell>
          <cell r="AK186">
            <v>0</v>
          </cell>
          <cell r="AM186">
            <v>485</v>
          </cell>
          <cell r="AN186">
            <v>1</v>
          </cell>
          <cell r="AO186">
            <v>393216</v>
          </cell>
          <cell r="AQ186">
            <v>0</v>
          </cell>
          <cell r="AR186">
            <v>0</v>
          </cell>
          <cell r="AS186" t="str">
            <v>Ы</v>
          </cell>
          <cell r="AT186" t="str">
            <v>Ы</v>
          </cell>
          <cell r="AU186">
            <v>0</v>
          </cell>
          <cell r="AV186">
            <v>0</v>
          </cell>
          <cell r="AW186">
            <v>23</v>
          </cell>
          <cell r="AX186">
            <v>1</v>
          </cell>
          <cell r="AY186">
            <v>0</v>
          </cell>
          <cell r="AZ186">
            <v>0</v>
          </cell>
          <cell r="BA186">
            <v>0</v>
          </cell>
          <cell r="BB186">
            <v>0</v>
          </cell>
          <cell r="BC186">
            <v>38828</v>
          </cell>
        </row>
        <row r="187">
          <cell r="A187">
            <v>2006</v>
          </cell>
          <cell r="B187">
            <v>2</v>
          </cell>
          <cell r="C187">
            <v>357</v>
          </cell>
          <cell r="D187">
            <v>21</v>
          </cell>
          <cell r="E187">
            <v>792030</v>
          </cell>
          <cell r="F187">
            <v>0</v>
          </cell>
          <cell r="G187" t="str">
            <v>Затраты по ШПЗ (неосновные)</v>
          </cell>
          <cell r="H187">
            <v>2030</v>
          </cell>
          <cell r="I187">
            <v>7920</v>
          </cell>
          <cell r="J187">
            <v>1501.98</v>
          </cell>
          <cell r="K187">
            <v>1</v>
          </cell>
          <cell r="L187">
            <v>0</v>
          </cell>
          <cell r="M187">
            <v>0</v>
          </cell>
          <cell r="N187">
            <v>0</v>
          </cell>
          <cell r="R187">
            <v>0</v>
          </cell>
          <cell r="S187">
            <v>0</v>
          </cell>
          <cell r="T187">
            <v>0</v>
          </cell>
          <cell r="U187">
            <v>35</v>
          </cell>
          <cell r="V187">
            <v>0</v>
          </cell>
          <cell r="W187">
            <v>0</v>
          </cell>
          <cell r="AA187">
            <v>0</v>
          </cell>
          <cell r="AB187">
            <v>0</v>
          </cell>
          <cell r="AC187">
            <v>0</v>
          </cell>
          <cell r="AD187">
            <v>35</v>
          </cell>
          <cell r="AE187">
            <v>430110</v>
          </cell>
          <cell r="AF187">
            <v>0</v>
          </cell>
          <cell r="AI187">
            <v>2251</v>
          </cell>
          <cell r="AK187">
            <v>0</v>
          </cell>
          <cell r="AM187">
            <v>486</v>
          </cell>
          <cell r="AN187">
            <v>1</v>
          </cell>
          <cell r="AO187">
            <v>393216</v>
          </cell>
          <cell r="AQ187">
            <v>0</v>
          </cell>
          <cell r="AR187">
            <v>0</v>
          </cell>
          <cell r="AS187" t="str">
            <v>Ы</v>
          </cell>
          <cell r="AT187" t="str">
            <v>Ы</v>
          </cell>
          <cell r="AU187">
            <v>0</v>
          </cell>
          <cell r="AV187">
            <v>0</v>
          </cell>
          <cell r="AW187">
            <v>23</v>
          </cell>
          <cell r="AX187">
            <v>1</v>
          </cell>
          <cell r="AY187">
            <v>0</v>
          </cell>
          <cell r="AZ187">
            <v>0</v>
          </cell>
          <cell r="BA187">
            <v>0</v>
          </cell>
          <cell r="BB187">
            <v>0</v>
          </cell>
          <cell r="BC187">
            <v>38828</v>
          </cell>
        </row>
        <row r="188">
          <cell r="A188">
            <v>2006</v>
          </cell>
          <cell r="B188">
            <v>2</v>
          </cell>
          <cell r="C188">
            <v>358</v>
          </cell>
          <cell r="D188">
            <v>21</v>
          </cell>
          <cell r="E188">
            <v>792030</v>
          </cell>
          <cell r="F188">
            <v>0</v>
          </cell>
          <cell r="G188" t="str">
            <v>Затраты по ШПЗ (неосновные)</v>
          </cell>
          <cell r="H188">
            <v>2030</v>
          </cell>
          <cell r="I188">
            <v>7920</v>
          </cell>
          <cell r="J188">
            <v>523.36</v>
          </cell>
          <cell r="K188">
            <v>1</v>
          </cell>
          <cell r="L188">
            <v>0</v>
          </cell>
          <cell r="M188">
            <v>0</v>
          </cell>
          <cell r="N188">
            <v>0</v>
          </cell>
          <cell r="R188">
            <v>0</v>
          </cell>
          <cell r="S188">
            <v>0</v>
          </cell>
          <cell r="T188">
            <v>0</v>
          </cell>
          <cell r="U188">
            <v>35</v>
          </cell>
          <cell r="V188">
            <v>0</v>
          </cell>
          <cell r="W188">
            <v>0</v>
          </cell>
          <cell r="AA188">
            <v>0</v>
          </cell>
          <cell r="AB188">
            <v>0</v>
          </cell>
          <cell r="AC188">
            <v>0</v>
          </cell>
          <cell r="AD188">
            <v>35</v>
          </cell>
          <cell r="AE188">
            <v>430120</v>
          </cell>
          <cell r="AF188">
            <v>0</v>
          </cell>
          <cell r="AI188">
            <v>2251</v>
          </cell>
          <cell r="AK188">
            <v>0</v>
          </cell>
          <cell r="AM188">
            <v>487</v>
          </cell>
          <cell r="AN188">
            <v>1</v>
          </cell>
          <cell r="AO188">
            <v>393216</v>
          </cell>
          <cell r="AQ188">
            <v>0</v>
          </cell>
          <cell r="AR188">
            <v>0</v>
          </cell>
          <cell r="AS188" t="str">
            <v>Ы</v>
          </cell>
          <cell r="AT188" t="str">
            <v>Ы</v>
          </cell>
          <cell r="AU188">
            <v>0</v>
          </cell>
          <cell r="AV188">
            <v>0</v>
          </cell>
          <cell r="AW188">
            <v>23</v>
          </cell>
          <cell r="AX188">
            <v>1</v>
          </cell>
          <cell r="AY188">
            <v>0</v>
          </cell>
          <cell r="AZ188">
            <v>0</v>
          </cell>
          <cell r="BA188">
            <v>0</v>
          </cell>
          <cell r="BB188">
            <v>0</v>
          </cell>
          <cell r="BC188">
            <v>38828</v>
          </cell>
        </row>
        <row r="189">
          <cell r="A189">
            <v>2006</v>
          </cell>
          <cell r="B189">
            <v>2</v>
          </cell>
          <cell r="C189">
            <v>359</v>
          </cell>
          <cell r="D189">
            <v>21</v>
          </cell>
          <cell r="E189">
            <v>792030</v>
          </cell>
          <cell r="F189">
            <v>0</v>
          </cell>
          <cell r="G189" t="str">
            <v>Затраты по ШПЗ (неосновные)</v>
          </cell>
          <cell r="H189">
            <v>2030</v>
          </cell>
          <cell r="I189">
            <v>7920</v>
          </cell>
          <cell r="J189">
            <v>2890.48</v>
          </cell>
          <cell r="K189">
            <v>1</v>
          </cell>
          <cell r="L189">
            <v>0</v>
          </cell>
          <cell r="M189">
            <v>0</v>
          </cell>
          <cell r="N189">
            <v>0</v>
          </cell>
          <cell r="R189">
            <v>0</v>
          </cell>
          <cell r="S189">
            <v>0</v>
          </cell>
          <cell r="T189">
            <v>0</v>
          </cell>
          <cell r="U189">
            <v>35</v>
          </cell>
          <cell r="V189">
            <v>0</v>
          </cell>
          <cell r="W189">
            <v>0</v>
          </cell>
          <cell r="AA189">
            <v>0</v>
          </cell>
          <cell r="AB189">
            <v>0</v>
          </cell>
          <cell r="AC189">
            <v>0</v>
          </cell>
          <cell r="AD189">
            <v>35</v>
          </cell>
          <cell r="AE189">
            <v>430130</v>
          </cell>
          <cell r="AF189">
            <v>0</v>
          </cell>
          <cell r="AI189">
            <v>2251</v>
          </cell>
          <cell r="AK189">
            <v>0</v>
          </cell>
          <cell r="AM189">
            <v>488</v>
          </cell>
          <cell r="AN189">
            <v>1</v>
          </cell>
          <cell r="AO189">
            <v>393216</v>
          </cell>
          <cell r="AQ189">
            <v>0</v>
          </cell>
          <cell r="AR189">
            <v>0</v>
          </cell>
          <cell r="AS189" t="str">
            <v>Ы</v>
          </cell>
          <cell r="AT189" t="str">
            <v>Ы</v>
          </cell>
          <cell r="AU189">
            <v>0</v>
          </cell>
          <cell r="AV189">
            <v>0</v>
          </cell>
          <cell r="AW189">
            <v>23</v>
          </cell>
          <cell r="AX189">
            <v>1</v>
          </cell>
          <cell r="AY189">
            <v>0</v>
          </cell>
          <cell r="AZ189">
            <v>0</v>
          </cell>
          <cell r="BA189">
            <v>0</v>
          </cell>
          <cell r="BB189">
            <v>0</v>
          </cell>
          <cell r="BC189">
            <v>38828</v>
          </cell>
        </row>
        <row r="190">
          <cell r="A190">
            <v>2006</v>
          </cell>
          <cell r="B190">
            <v>2</v>
          </cell>
          <cell r="C190">
            <v>360</v>
          </cell>
          <cell r="D190">
            <v>21</v>
          </cell>
          <cell r="E190">
            <v>792030</v>
          </cell>
          <cell r="F190">
            <v>0</v>
          </cell>
          <cell r="G190" t="str">
            <v>Затраты по ШПЗ (неосновные)</v>
          </cell>
          <cell r="H190">
            <v>2030</v>
          </cell>
          <cell r="I190">
            <v>7920</v>
          </cell>
          <cell r="J190">
            <v>1766.3</v>
          </cell>
          <cell r="K190">
            <v>1</v>
          </cell>
          <cell r="L190">
            <v>0</v>
          </cell>
          <cell r="M190">
            <v>0</v>
          </cell>
          <cell r="N190">
            <v>0</v>
          </cell>
          <cell r="R190">
            <v>0</v>
          </cell>
          <cell r="S190">
            <v>0</v>
          </cell>
          <cell r="T190">
            <v>0</v>
          </cell>
          <cell r="U190">
            <v>35</v>
          </cell>
          <cell r="V190">
            <v>0</v>
          </cell>
          <cell r="W190">
            <v>0</v>
          </cell>
          <cell r="AA190">
            <v>0</v>
          </cell>
          <cell r="AB190">
            <v>0</v>
          </cell>
          <cell r="AC190">
            <v>0</v>
          </cell>
          <cell r="AD190">
            <v>35</v>
          </cell>
          <cell r="AE190">
            <v>430140</v>
          </cell>
          <cell r="AF190">
            <v>0</v>
          </cell>
          <cell r="AI190">
            <v>2251</v>
          </cell>
          <cell r="AK190">
            <v>0</v>
          </cell>
          <cell r="AM190">
            <v>489</v>
          </cell>
          <cell r="AN190">
            <v>1</v>
          </cell>
          <cell r="AO190">
            <v>393216</v>
          </cell>
          <cell r="AQ190">
            <v>0</v>
          </cell>
          <cell r="AR190">
            <v>0</v>
          </cell>
          <cell r="AS190" t="str">
            <v>Ы</v>
          </cell>
          <cell r="AT190" t="str">
            <v>Ы</v>
          </cell>
          <cell r="AU190">
            <v>0</v>
          </cell>
          <cell r="AV190">
            <v>0</v>
          </cell>
          <cell r="AW190">
            <v>23</v>
          </cell>
          <cell r="AX190">
            <v>1</v>
          </cell>
          <cell r="AY190">
            <v>0</v>
          </cell>
          <cell r="AZ190">
            <v>0</v>
          </cell>
          <cell r="BA190">
            <v>0</v>
          </cell>
          <cell r="BB190">
            <v>0</v>
          </cell>
          <cell r="BC190">
            <v>38828</v>
          </cell>
        </row>
        <row r="191">
          <cell r="A191">
            <v>2006</v>
          </cell>
          <cell r="B191">
            <v>2</v>
          </cell>
          <cell r="C191">
            <v>361</v>
          </cell>
          <cell r="D191">
            <v>21</v>
          </cell>
          <cell r="E191">
            <v>792030</v>
          </cell>
          <cell r="F191">
            <v>0</v>
          </cell>
          <cell r="G191" t="str">
            <v>Затраты по ШПЗ (неосновные)</v>
          </cell>
          <cell r="H191">
            <v>2030</v>
          </cell>
          <cell r="I191">
            <v>7920</v>
          </cell>
          <cell r="J191">
            <v>5.34</v>
          </cell>
          <cell r="K191">
            <v>1</v>
          </cell>
          <cell r="L191">
            <v>0</v>
          </cell>
          <cell r="M191">
            <v>0</v>
          </cell>
          <cell r="N191">
            <v>0</v>
          </cell>
          <cell r="R191">
            <v>0</v>
          </cell>
          <cell r="S191">
            <v>0</v>
          </cell>
          <cell r="T191">
            <v>0</v>
          </cell>
          <cell r="U191">
            <v>35</v>
          </cell>
          <cell r="V191">
            <v>0</v>
          </cell>
          <cell r="W191">
            <v>0</v>
          </cell>
          <cell r="AA191">
            <v>0</v>
          </cell>
          <cell r="AB191">
            <v>0</v>
          </cell>
          <cell r="AC191">
            <v>0</v>
          </cell>
          <cell r="AD191">
            <v>35</v>
          </cell>
          <cell r="AE191">
            <v>430230</v>
          </cell>
          <cell r="AF191">
            <v>0</v>
          </cell>
          <cell r="AI191">
            <v>2251</v>
          </cell>
          <cell r="AK191">
            <v>0</v>
          </cell>
          <cell r="AM191">
            <v>490</v>
          </cell>
          <cell r="AN191">
            <v>1</v>
          </cell>
          <cell r="AO191">
            <v>393216</v>
          </cell>
          <cell r="AQ191">
            <v>0</v>
          </cell>
          <cell r="AR191">
            <v>0</v>
          </cell>
          <cell r="AS191" t="str">
            <v>Ы</v>
          </cell>
          <cell r="AT191" t="str">
            <v>Ы</v>
          </cell>
          <cell r="AU191">
            <v>0</v>
          </cell>
          <cell r="AV191">
            <v>0</v>
          </cell>
          <cell r="AW191">
            <v>23</v>
          </cell>
          <cell r="AX191">
            <v>1</v>
          </cell>
          <cell r="AY191">
            <v>0</v>
          </cell>
          <cell r="AZ191">
            <v>0</v>
          </cell>
          <cell r="BA191">
            <v>0</v>
          </cell>
          <cell r="BB191">
            <v>0</v>
          </cell>
          <cell r="BC191">
            <v>38828</v>
          </cell>
        </row>
        <row r="192">
          <cell r="A192">
            <v>2006</v>
          </cell>
          <cell r="B192">
            <v>2</v>
          </cell>
          <cell r="C192">
            <v>362</v>
          </cell>
          <cell r="D192">
            <v>21</v>
          </cell>
          <cell r="E192">
            <v>792030</v>
          </cell>
          <cell r="F192">
            <v>0</v>
          </cell>
          <cell r="G192" t="str">
            <v>Затраты по ШПЗ (неосновные)</v>
          </cell>
          <cell r="H192">
            <v>2030</v>
          </cell>
          <cell r="I192">
            <v>7920</v>
          </cell>
          <cell r="J192">
            <v>18.7</v>
          </cell>
          <cell r="K192">
            <v>1</v>
          </cell>
          <cell r="L192">
            <v>0</v>
          </cell>
          <cell r="M192">
            <v>0</v>
          </cell>
          <cell r="N192">
            <v>0</v>
          </cell>
          <cell r="R192">
            <v>0</v>
          </cell>
          <cell r="S192">
            <v>0</v>
          </cell>
          <cell r="T192">
            <v>0</v>
          </cell>
          <cell r="U192">
            <v>35</v>
          </cell>
          <cell r="V192">
            <v>0</v>
          </cell>
          <cell r="W192">
            <v>0</v>
          </cell>
          <cell r="AA192">
            <v>0</v>
          </cell>
          <cell r="AB192">
            <v>0</v>
          </cell>
          <cell r="AC192">
            <v>0</v>
          </cell>
          <cell r="AD192">
            <v>35</v>
          </cell>
          <cell r="AE192">
            <v>430240</v>
          </cell>
          <cell r="AF192">
            <v>0</v>
          </cell>
          <cell r="AI192">
            <v>2251</v>
          </cell>
          <cell r="AK192">
            <v>0</v>
          </cell>
          <cell r="AM192">
            <v>491</v>
          </cell>
          <cell r="AN192">
            <v>1</v>
          </cell>
          <cell r="AO192">
            <v>393216</v>
          </cell>
          <cell r="AQ192">
            <v>0</v>
          </cell>
          <cell r="AR192">
            <v>0</v>
          </cell>
          <cell r="AS192" t="str">
            <v>Ы</v>
          </cell>
          <cell r="AT192" t="str">
            <v>Ы</v>
          </cell>
          <cell r="AU192">
            <v>0</v>
          </cell>
          <cell r="AV192">
            <v>0</v>
          </cell>
          <cell r="AW192">
            <v>23</v>
          </cell>
          <cell r="AX192">
            <v>1</v>
          </cell>
          <cell r="AY192">
            <v>0</v>
          </cell>
          <cell r="AZ192">
            <v>0</v>
          </cell>
          <cell r="BA192">
            <v>0</v>
          </cell>
          <cell r="BB192">
            <v>0</v>
          </cell>
          <cell r="BC192">
            <v>38828</v>
          </cell>
        </row>
        <row r="193">
          <cell r="A193">
            <v>2006</v>
          </cell>
          <cell r="B193">
            <v>2</v>
          </cell>
          <cell r="C193">
            <v>363</v>
          </cell>
          <cell r="D193">
            <v>21</v>
          </cell>
          <cell r="E193">
            <v>792030</v>
          </cell>
          <cell r="F193">
            <v>0</v>
          </cell>
          <cell r="G193" t="str">
            <v>Затраты по ШПЗ (неосновные)</v>
          </cell>
          <cell r="H193">
            <v>2030</v>
          </cell>
          <cell r="I193">
            <v>7920</v>
          </cell>
          <cell r="J193">
            <v>1843.62</v>
          </cell>
          <cell r="K193">
            <v>1</v>
          </cell>
          <cell r="L193">
            <v>0</v>
          </cell>
          <cell r="M193">
            <v>0</v>
          </cell>
          <cell r="N193">
            <v>0</v>
          </cell>
          <cell r="R193">
            <v>0</v>
          </cell>
          <cell r="S193">
            <v>0</v>
          </cell>
          <cell r="T193">
            <v>0</v>
          </cell>
          <cell r="U193">
            <v>35</v>
          </cell>
          <cell r="V193">
            <v>0</v>
          </cell>
          <cell r="W193">
            <v>0</v>
          </cell>
          <cell r="AA193">
            <v>0</v>
          </cell>
          <cell r="AB193">
            <v>0</v>
          </cell>
          <cell r="AC193">
            <v>0</v>
          </cell>
          <cell r="AD193">
            <v>35</v>
          </cell>
          <cell r="AE193">
            <v>450000</v>
          </cell>
          <cell r="AF193">
            <v>0</v>
          </cell>
          <cell r="AI193">
            <v>2251</v>
          </cell>
          <cell r="AK193">
            <v>0</v>
          </cell>
          <cell r="AM193">
            <v>492</v>
          </cell>
          <cell r="AN193">
            <v>1</v>
          </cell>
          <cell r="AO193">
            <v>393216</v>
          </cell>
          <cell r="AQ193">
            <v>0</v>
          </cell>
          <cell r="AR193">
            <v>0</v>
          </cell>
          <cell r="AS193" t="str">
            <v>Ы</v>
          </cell>
          <cell r="AT193" t="str">
            <v>Ы</v>
          </cell>
          <cell r="AU193">
            <v>0</v>
          </cell>
          <cell r="AV193">
            <v>0</v>
          </cell>
          <cell r="AW193">
            <v>23</v>
          </cell>
          <cell r="AX193">
            <v>1</v>
          </cell>
          <cell r="AY193">
            <v>0</v>
          </cell>
          <cell r="AZ193">
            <v>0</v>
          </cell>
          <cell r="BA193">
            <v>0</v>
          </cell>
          <cell r="BB193">
            <v>0</v>
          </cell>
          <cell r="BC193">
            <v>38828</v>
          </cell>
        </row>
        <row r="194">
          <cell r="A194">
            <v>2006</v>
          </cell>
          <cell r="B194">
            <v>2</v>
          </cell>
          <cell r="C194">
            <v>364</v>
          </cell>
          <cell r="D194">
            <v>21</v>
          </cell>
          <cell r="E194">
            <v>792030</v>
          </cell>
          <cell r="F194">
            <v>0</v>
          </cell>
          <cell r="G194" t="str">
            <v>Затраты по ШПЗ (неосновные)</v>
          </cell>
          <cell r="H194">
            <v>2030</v>
          </cell>
          <cell r="I194">
            <v>7920</v>
          </cell>
          <cell r="J194">
            <v>186.54</v>
          </cell>
          <cell r="K194">
            <v>1</v>
          </cell>
          <cell r="L194">
            <v>0</v>
          </cell>
          <cell r="M194">
            <v>0</v>
          </cell>
          <cell r="N194">
            <v>0</v>
          </cell>
          <cell r="R194">
            <v>0</v>
          </cell>
          <cell r="S194">
            <v>0</v>
          </cell>
          <cell r="T194">
            <v>0</v>
          </cell>
          <cell r="U194">
            <v>35</v>
          </cell>
          <cell r="V194">
            <v>0</v>
          </cell>
          <cell r="W194">
            <v>0</v>
          </cell>
          <cell r="AA194">
            <v>0</v>
          </cell>
          <cell r="AB194">
            <v>0</v>
          </cell>
          <cell r="AC194">
            <v>0</v>
          </cell>
          <cell r="AD194">
            <v>35</v>
          </cell>
          <cell r="AE194">
            <v>460000</v>
          </cell>
          <cell r="AF194">
            <v>0</v>
          </cell>
          <cell r="AI194">
            <v>2251</v>
          </cell>
          <cell r="AK194">
            <v>0</v>
          </cell>
          <cell r="AM194">
            <v>493</v>
          </cell>
          <cell r="AN194">
            <v>1</v>
          </cell>
          <cell r="AO194">
            <v>393216</v>
          </cell>
          <cell r="AQ194">
            <v>0</v>
          </cell>
          <cell r="AR194">
            <v>0</v>
          </cell>
          <cell r="AS194" t="str">
            <v>Ы</v>
          </cell>
          <cell r="AT194" t="str">
            <v>Ы</v>
          </cell>
          <cell r="AU194">
            <v>0</v>
          </cell>
          <cell r="AV194">
            <v>0</v>
          </cell>
          <cell r="AW194">
            <v>23</v>
          </cell>
          <cell r="AX194">
            <v>1</v>
          </cell>
          <cell r="AY194">
            <v>0</v>
          </cell>
          <cell r="AZ194">
            <v>0</v>
          </cell>
          <cell r="BA194">
            <v>0</v>
          </cell>
          <cell r="BB194">
            <v>0</v>
          </cell>
          <cell r="BC194">
            <v>38828</v>
          </cell>
        </row>
        <row r="195">
          <cell r="A195">
            <v>2006</v>
          </cell>
          <cell r="B195">
            <v>2</v>
          </cell>
          <cell r="C195">
            <v>365</v>
          </cell>
          <cell r="D195">
            <v>21</v>
          </cell>
          <cell r="E195">
            <v>792030</v>
          </cell>
          <cell r="F195">
            <v>0</v>
          </cell>
          <cell r="G195" t="str">
            <v>Затраты по ШПЗ (неосновные)</v>
          </cell>
          <cell r="H195">
            <v>2030</v>
          </cell>
          <cell r="I195">
            <v>7920</v>
          </cell>
          <cell r="J195">
            <v>74.84</v>
          </cell>
          <cell r="K195">
            <v>1</v>
          </cell>
          <cell r="L195">
            <v>0</v>
          </cell>
          <cell r="M195">
            <v>0</v>
          </cell>
          <cell r="N195">
            <v>0</v>
          </cell>
          <cell r="R195">
            <v>0</v>
          </cell>
          <cell r="S195">
            <v>0</v>
          </cell>
          <cell r="T195">
            <v>0</v>
          </cell>
          <cell r="U195">
            <v>35</v>
          </cell>
          <cell r="V195">
            <v>0</v>
          </cell>
          <cell r="W195">
            <v>0</v>
          </cell>
          <cell r="AA195">
            <v>0</v>
          </cell>
          <cell r="AB195">
            <v>0</v>
          </cell>
          <cell r="AC195">
            <v>0</v>
          </cell>
          <cell r="AD195">
            <v>35</v>
          </cell>
          <cell r="AE195">
            <v>465000</v>
          </cell>
          <cell r="AF195">
            <v>0</v>
          </cell>
          <cell r="AI195">
            <v>2251</v>
          </cell>
          <cell r="AK195">
            <v>0</v>
          </cell>
          <cell r="AM195">
            <v>494</v>
          </cell>
          <cell r="AN195">
            <v>1</v>
          </cell>
          <cell r="AO195">
            <v>393216</v>
          </cell>
          <cell r="AQ195">
            <v>0</v>
          </cell>
          <cell r="AR195">
            <v>0</v>
          </cell>
          <cell r="AS195" t="str">
            <v>Ы</v>
          </cell>
          <cell r="AT195" t="str">
            <v>Ы</v>
          </cell>
          <cell r="AU195">
            <v>0</v>
          </cell>
          <cell r="AV195">
            <v>0</v>
          </cell>
          <cell r="AW195">
            <v>23</v>
          </cell>
          <cell r="AX195">
            <v>1</v>
          </cell>
          <cell r="AY195">
            <v>0</v>
          </cell>
          <cell r="AZ195">
            <v>0</v>
          </cell>
          <cell r="BA195">
            <v>0</v>
          </cell>
          <cell r="BB195">
            <v>0</v>
          </cell>
          <cell r="BC195">
            <v>38828</v>
          </cell>
        </row>
        <row r="196">
          <cell r="A196">
            <v>2006</v>
          </cell>
          <cell r="B196">
            <v>2</v>
          </cell>
          <cell r="C196">
            <v>366</v>
          </cell>
          <cell r="D196">
            <v>21</v>
          </cell>
          <cell r="E196">
            <v>792030</v>
          </cell>
          <cell r="F196">
            <v>0</v>
          </cell>
          <cell r="G196" t="str">
            <v>Затраты по ШПЗ (неосновные)</v>
          </cell>
          <cell r="H196">
            <v>2030</v>
          </cell>
          <cell r="I196">
            <v>7920</v>
          </cell>
          <cell r="J196">
            <v>2551.69</v>
          </cell>
          <cell r="K196">
            <v>1</v>
          </cell>
          <cell r="L196">
            <v>0</v>
          </cell>
          <cell r="M196">
            <v>0</v>
          </cell>
          <cell r="N196">
            <v>0</v>
          </cell>
          <cell r="R196">
            <v>0</v>
          </cell>
          <cell r="S196">
            <v>0</v>
          </cell>
          <cell r="T196">
            <v>0</v>
          </cell>
          <cell r="U196">
            <v>35</v>
          </cell>
          <cell r="V196">
            <v>0</v>
          </cell>
          <cell r="W196">
            <v>0</v>
          </cell>
          <cell r="AA196">
            <v>0</v>
          </cell>
          <cell r="AB196">
            <v>0</v>
          </cell>
          <cell r="AC196">
            <v>0</v>
          </cell>
          <cell r="AD196">
            <v>35</v>
          </cell>
          <cell r="AE196">
            <v>503000</v>
          </cell>
          <cell r="AF196">
            <v>0</v>
          </cell>
          <cell r="AI196">
            <v>2251</v>
          </cell>
          <cell r="AK196">
            <v>0</v>
          </cell>
          <cell r="AM196">
            <v>495</v>
          </cell>
          <cell r="AN196">
            <v>1</v>
          </cell>
          <cell r="AO196">
            <v>393216</v>
          </cell>
          <cell r="AQ196">
            <v>0</v>
          </cell>
          <cell r="AR196">
            <v>0</v>
          </cell>
          <cell r="AS196" t="str">
            <v>Ы</v>
          </cell>
          <cell r="AT196" t="str">
            <v>Ы</v>
          </cell>
          <cell r="AU196">
            <v>0</v>
          </cell>
          <cell r="AV196">
            <v>0</v>
          </cell>
          <cell r="AW196">
            <v>23</v>
          </cell>
          <cell r="AX196">
            <v>1</v>
          </cell>
          <cell r="AY196">
            <v>0</v>
          </cell>
          <cell r="AZ196">
            <v>0</v>
          </cell>
          <cell r="BA196">
            <v>0</v>
          </cell>
          <cell r="BB196">
            <v>0</v>
          </cell>
          <cell r="BC196">
            <v>38828</v>
          </cell>
        </row>
        <row r="197">
          <cell r="A197">
            <v>2006</v>
          </cell>
          <cell r="B197">
            <v>2</v>
          </cell>
          <cell r="C197">
            <v>367</v>
          </cell>
          <cell r="D197">
            <v>21</v>
          </cell>
          <cell r="E197">
            <v>792030</v>
          </cell>
          <cell r="F197">
            <v>0</v>
          </cell>
          <cell r="G197" t="str">
            <v>Затраты по ШПЗ (неосновные)</v>
          </cell>
          <cell r="H197">
            <v>2030</v>
          </cell>
          <cell r="I197">
            <v>7920</v>
          </cell>
          <cell r="J197">
            <v>702.68</v>
          </cell>
          <cell r="K197">
            <v>1</v>
          </cell>
          <cell r="L197">
            <v>0</v>
          </cell>
          <cell r="M197">
            <v>0</v>
          </cell>
          <cell r="N197">
            <v>0</v>
          </cell>
          <cell r="R197">
            <v>0</v>
          </cell>
          <cell r="S197">
            <v>0</v>
          </cell>
          <cell r="T197">
            <v>0</v>
          </cell>
          <cell r="U197">
            <v>35</v>
          </cell>
          <cell r="V197">
            <v>0</v>
          </cell>
          <cell r="W197">
            <v>0</v>
          </cell>
          <cell r="AA197">
            <v>0</v>
          </cell>
          <cell r="AB197">
            <v>0</v>
          </cell>
          <cell r="AC197">
            <v>0</v>
          </cell>
          <cell r="AD197">
            <v>35</v>
          </cell>
          <cell r="AE197">
            <v>504100</v>
          </cell>
          <cell r="AF197">
            <v>0</v>
          </cell>
          <cell r="AI197">
            <v>2251</v>
          </cell>
          <cell r="AK197">
            <v>0</v>
          </cell>
          <cell r="AM197">
            <v>496</v>
          </cell>
          <cell r="AN197">
            <v>1</v>
          </cell>
          <cell r="AO197">
            <v>393216</v>
          </cell>
          <cell r="AQ197">
            <v>0</v>
          </cell>
          <cell r="AR197">
            <v>0</v>
          </cell>
          <cell r="AS197" t="str">
            <v>Ы</v>
          </cell>
          <cell r="AT197" t="str">
            <v>Ы</v>
          </cell>
          <cell r="AU197">
            <v>0</v>
          </cell>
          <cell r="AV197">
            <v>0</v>
          </cell>
          <cell r="AW197">
            <v>23</v>
          </cell>
          <cell r="AX197">
            <v>1</v>
          </cell>
          <cell r="AY197">
            <v>0</v>
          </cell>
          <cell r="AZ197">
            <v>0</v>
          </cell>
          <cell r="BA197">
            <v>0</v>
          </cell>
          <cell r="BB197">
            <v>0</v>
          </cell>
          <cell r="BC197">
            <v>38828</v>
          </cell>
        </row>
        <row r="198">
          <cell r="A198">
            <v>2006</v>
          </cell>
          <cell r="B198">
            <v>2</v>
          </cell>
          <cell r="C198">
            <v>368</v>
          </cell>
          <cell r="D198">
            <v>21</v>
          </cell>
          <cell r="E198">
            <v>792030</v>
          </cell>
          <cell r="F198">
            <v>0</v>
          </cell>
          <cell r="G198" t="str">
            <v>Затраты по ШПЗ (неосновные)</v>
          </cell>
          <cell r="H198">
            <v>2030</v>
          </cell>
          <cell r="I198">
            <v>7920</v>
          </cell>
          <cell r="J198">
            <v>1646.92</v>
          </cell>
          <cell r="K198">
            <v>1</v>
          </cell>
          <cell r="L198">
            <v>0</v>
          </cell>
          <cell r="M198">
            <v>0</v>
          </cell>
          <cell r="N198">
            <v>0</v>
          </cell>
          <cell r="R198">
            <v>0</v>
          </cell>
          <cell r="S198">
            <v>0</v>
          </cell>
          <cell r="T198">
            <v>0</v>
          </cell>
          <cell r="U198">
            <v>35</v>
          </cell>
          <cell r="V198">
            <v>0</v>
          </cell>
          <cell r="W198">
            <v>0</v>
          </cell>
          <cell r="AA198">
            <v>0</v>
          </cell>
          <cell r="AB198">
            <v>0</v>
          </cell>
          <cell r="AC198">
            <v>0</v>
          </cell>
          <cell r="AD198">
            <v>35</v>
          </cell>
          <cell r="AE198">
            <v>504200</v>
          </cell>
          <cell r="AF198">
            <v>0</v>
          </cell>
          <cell r="AI198">
            <v>2251</v>
          </cell>
          <cell r="AK198">
            <v>0</v>
          </cell>
          <cell r="AM198">
            <v>497</v>
          </cell>
          <cell r="AN198">
            <v>1</v>
          </cell>
          <cell r="AO198">
            <v>393216</v>
          </cell>
          <cell r="AQ198">
            <v>0</v>
          </cell>
          <cell r="AR198">
            <v>0</v>
          </cell>
          <cell r="AS198" t="str">
            <v>Ы</v>
          </cell>
          <cell r="AT198" t="str">
            <v>Ы</v>
          </cell>
          <cell r="AU198">
            <v>0</v>
          </cell>
          <cell r="AV198">
            <v>0</v>
          </cell>
          <cell r="AW198">
            <v>23</v>
          </cell>
          <cell r="AX198">
            <v>1</v>
          </cell>
          <cell r="AY198">
            <v>0</v>
          </cell>
          <cell r="AZ198">
            <v>0</v>
          </cell>
          <cell r="BA198">
            <v>0</v>
          </cell>
          <cell r="BB198">
            <v>0</v>
          </cell>
          <cell r="BC198">
            <v>38828</v>
          </cell>
        </row>
        <row r="199">
          <cell r="A199">
            <v>2006</v>
          </cell>
          <cell r="B199">
            <v>2</v>
          </cell>
          <cell r="C199">
            <v>369</v>
          </cell>
          <cell r="D199">
            <v>21</v>
          </cell>
          <cell r="E199">
            <v>792030</v>
          </cell>
          <cell r="F199">
            <v>0</v>
          </cell>
          <cell r="G199" t="str">
            <v>Затраты по ШПЗ (неосновные)</v>
          </cell>
          <cell r="H199">
            <v>2030</v>
          </cell>
          <cell r="I199">
            <v>7920</v>
          </cell>
          <cell r="J199">
            <v>128.11000000000001</v>
          </cell>
          <cell r="K199">
            <v>1</v>
          </cell>
          <cell r="L199">
            <v>0</v>
          </cell>
          <cell r="M199">
            <v>0</v>
          </cell>
          <cell r="N199">
            <v>0</v>
          </cell>
          <cell r="R199">
            <v>0</v>
          </cell>
          <cell r="S199">
            <v>0</v>
          </cell>
          <cell r="T199">
            <v>0</v>
          </cell>
          <cell r="U199">
            <v>35</v>
          </cell>
          <cell r="V199">
            <v>0</v>
          </cell>
          <cell r="W199">
            <v>0</v>
          </cell>
          <cell r="AA199">
            <v>0</v>
          </cell>
          <cell r="AB199">
            <v>0</v>
          </cell>
          <cell r="AC199">
            <v>0</v>
          </cell>
          <cell r="AD199">
            <v>35</v>
          </cell>
          <cell r="AE199">
            <v>504400</v>
          </cell>
          <cell r="AF199">
            <v>0</v>
          </cell>
          <cell r="AI199">
            <v>2251</v>
          </cell>
          <cell r="AK199">
            <v>0</v>
          </cell>
          <cell r="AM199">
            <v>498</v>
          </cell>
          <cell r="AN199">
            <v>1</v>
          </cell>
          <cell r="AO199">
            <v>393216</v>
          </cell>
          <cell r="AQ199">
            <v>0</v>
          </cell>
          <cell r="AR199">
            <v>0</v>
          </cell>
          <cell r="AS199" t="str">
            <v>Ы</v>
          </cell>
          <cell r="AT199" t="str">
            <v>Ы</v>
          </cell>
          <cell r="AU199">
            <v>0</v>
          </cell>
          <cell r="AV199">
            <v>0</v>
          </cell>
          <cell r="AW199">
            <v>23</v>
          </cell>
          <cell r="AX199">
            <v>1</v>
          </cell>
          <cell r="AY199">
            <v>0</v>
          </cell>
          <cell r="AZ199">
            <v>0</v>
          </cell>
          <cell r="BA199">
            <v>0</v>
          </cell>
          <cell r="BB199">
            <v>0</v>
          </cell>
          <cell r="BC199">
            <v>38828</v>
          </cell>
        </row>
        <row r="200">
          <cell r="A200">
            <v>2006</v>
          </cell>
          <cell r="B200">
            <v>2</v>
          </cell>
          <cell r="C200">
            <v>370</v>
          </cell>
          <cell r="D200">
            <v>21</v>
          </cell>
          <cell r="E200">
            <v>792030</v>
          </cell>
          <cell r="F200">
            <v>0</v>
          </cell>
          <cell r="G200" t="str">
            <v>Затраты по ШПЗ (неосновные)</v>
          </cell>
          <cell r="H200">
            <v>2030</v>
          </cell>
          <cell r="I200">
            <v>7920</v>
          </cell>
          <cell r="J200">
            <v>1754.25</v>
          </cell>
          <cell r="K200">
            <v>1</v>
          </cell>
          <cell r="L200">
            <v>0</v>
          </cell>
          <cell r="M200">
            <v>0</v>
          </cell>
          <cell r="N200">
            <v>0</v>
          </cell>
          <cell r="R200">
            <v>0</v>
          </cell>
          <cell r="S200">
            <v>0</v>
          </cell>
          <cell r="T200">
            <v>0</v>
          </cell>
          <cell r="U200">
            <v>35</v>
          </cell>
          <cell r="V200">
            <v>0</v>
          </cell>
          <cell r="W200">
            <v>0</v>
          </cell>
          <cell r="AA200">
            <v>0</v>
          </cell>
          <cell r="AB200">
            <v>0</v>
          </cell>
          <cell r="AC200">
            <v>0</v>
          </cell>
          <cell r="AD200">
            <v>35</v>
          </cell>
          <cell r="AE200">
            <v>505100</v>
          </cell>
          <cell r="AF200">
            <v>0</v>
          </cell>
          <cell r="AI200">
            <v>2251</v>
          </cell>
          <cell r="AK200">
            <v>0</v>
          </cell>
          <cell r="AM200">
            <v>499</v>
          </cell>
          <cell r="AN200">
            <v>1</v>
          </cell>
          <cell r="AO200">
            <v>393216</v>
          </cell>
          <cell r="AQ200">
            <v>0</v>
          </cell>
          <cell r="AR200">
            <v>0</v>
          </cell>
          <cell r="AS200" t="str">
            <v>Ы</v>
          </cell>
          <cell r="AT200" t="str">
            <v>Ы</v>
          </cell>
          <cell r="AU200">
            <v>0</v>
          </cell>
          <cell r="AV200">
            <v>0</v>
          </cell>
          <cell r="AW200">
            <v>23</v>
          </cell>
          <cell r="AX200">
            <v>1</v>
          </cell>
          <cell r="AY200">
            <v>0</v>
          </cell>
          <cell r="AZ200">
            <v>0</v>
          </cell>
          <cell r="BA200">
            <v>0</v>
          </cell>
          <cell r="BB200">
            <v>0</v>
          </cell>
          <cell r="BC200">
            <v>38828</v>
          </cell>
        </row>
        <row r="201">
          <cell r="A201">
            <v>2006</v>
          </cell>
          <cell r="B201">
            <v>2</v>
          </cell>
          <cell r="C201">
            <v>371</v>
          </cell>
          <cell r="D201">
            <v>21</v>
          </cell>
          <cell r="E201">
            <v>792030</v>
          </cell>
          <cell r="F201">
            <v>0</v>
          </cell>
          <cell r="G201" t="str">
            <v>Затраты по ШПЗ (неосновные)</v>
          </cell>
          <cell r="H201">
            <v>2030</v>
          </cell>
          <cell r="I201">
            <v>7920</v>
          </cell>
          <cell r="J201">
            <v>948.48</v>
          </cell>
          <cell r="K201">
            <v>1</v>
          </cell>
          <cell r="L201">
            <v>0</v>
          </cell>
          <cell r="M201">
            <v>0</v>
          </cell>
          <cell r="N201">
            <v>0</v>
          </cell>
          <cell r="R201">
            <v>0</v>
          </cell>
          <cell r="S201">
            <v>0</v>
          </cell>
          <cell r="T201">
            <v>0</v>
          </cell>
          <cell r="U201">
            <v>35</v>
          </cell>
          <cell r="V201">
            <v>0</v>
          </cell>
          <cell r="W201">
            <v>0</v>
          </cell>
          <cell r="AA201">
            <v>0</v>
          </cell>
          <cell r="AB201">
            <v>0</v>
          </cell>
          <cell r="AC201">
            <v>0</v>
          </cell>
          <cell r="AD201">
            <v>35</v>
          </cell>
          <cell r="AE201">
            <v>506200</v>
          </cell>
          <cell r="AF201">
            <v>0</v>
          </cell>
          <cell r="AI201">
            <v>2251</v>
          </cell>
          <cell r="AK201">
            <v>0</v>
          </cell>
          <cell r="AM201">
            <v>500</v>
          </cell>
          <cell r="AN201">
            <v>1</v>
          </cell>
          <cell r="AO201">
            <v>393216</v>
          </cell>
          <cell r="AQ201">
            <v>0</v>
          </cell>
          <cell r="AR201">
            <v>0</v>
          </cell>
          <cell r="AS201" t="str">
            <v>Ы</v>
          </cell>
          <cell r="AT201" t="str">
            <v>Ы</v>
          </cell>
          <cell r="AU201">
            <v>0</v>
          </cell>
          <cell r="AV201">
            <v>0</v>
          </cell>
          <cell r="AW201">
            <v>23</v>
          </cell>
          <cell r="AX201">
            <v>1</v>
          </cell>
          <cell r="AY201">
            <v>0</v>
          </cell>
          <cell r="AZ201">
            <v>0</v>
          </cell>
          <cell r="BA201">
            <v>0</v>
          </cell>
          <cell r="BB201">
            <v>0</v>
          </cell>
          <cell r="BC201">
            <v>38828</v>
          </cell>
        </row>
        <row r="202">
          <cell r="A202">
            <v>2006</v>
          </cell>
          <cell r="B202">
            <v>2</v>
          </cell>
          <cell r="C202">
            <v>372</v>
          </cell>
          <cell r="D202">
            <v>21</v>
          </cell>
          <cell r="E202">
            <v>792030</v>
          </cell>
          <cell r="F202">
            <v>0</v>
          </cell>
          <cell r="G202" t="str">
            <v>Затраты по ШПЗ (неосновные)</v>
          </cell>
          <cell r="H202">
            <v>2030</v>
          </cell>
          <cell r="I202">
            <v>7920</v>
          </cell>
          <cell r="J202">
            <v>6600.12</v>
          </cell>
          <cell r="K202">
            <v>1</v>
          </cell>
          <cell r="L202">
            <v>0</v>
          </cell>
          <cell r="M202">
            <v>0</v>
          </cell>
          <cell r="N202">
            <v>0</v>
          </cell>
          <cell r="R202">
            <v>0</v>
          </cell>
          <cell r="S202">
            <v>0</v>
          </cell>
          <cell r="T202">
            <v>0</v>
          </cell>
          <cell r="U202">
            <v>35</v>
          </cell>
          <cell r="V202">
            <v>0</v>
          </cell>
          <cell r="W202">
            <v>0</v>
          </cell>
          <cell r="AA202">
            <v>0</v>
          </cell>
          <cell r="AB202">
            <v>0</v>
          </cell>
          <cell r="AC202">
            <v>0</v>
          </cell>
          <cell r="AD202">
            <v>35</v>
          </cell>
          <cell r="AE202">
            <v>510100</v>
          </cell>
          <cell r="AF202">
            <v>0</v>
          </cell>
          <cell r="AI202">
            <v>2251</v>
          </cell>
          <cell r="AK202">
            <v>0</v>
          </cell>
          <cell r="AM202">
            <v>501</v>
          </cell>
          <cell r="AN202">
            <v>1</v>
          </cell>
          <cell r="AO202">
            <v>393216</v>
          </cell>
          <cell r="AQ202">
            <v>0</v>
          </cell>
          <cell r="AR202">
            <v>0</v>
          </cell>
          <cell r="AS202" t="str">
            <v>Ы</v>
          </cell>
          <cell r="AT202" t="str">
            <v>Ы</v>
          </cell>
          <cell r="AU202">
            <v>0</v>
          </cell>
          <cell r="AV202">
            <v>0</v>
          </cell>
          <cell r="AW202">
            <v>23</v>
          </cell>
          <cell r="AX202">
            <v>1</v>
          </cell>
          <cell r="AY202">
            <v>0</v>
          </cell>
          <cell r="AZ202">
            <v>0</v>
          </cell>
          <cell r="BA202">
            <v>0</v>
          </cell>
          <cell r="BB202">
            <v>0</v>
          </cell>
          <cell r="BC202">
            <v>38828</v>
          </cell>
        </row>
        <row r="203">
          <cell r="A203">
            <v>2006</v>
          </cell>
          <cell r="B203">
            <v>2</v>
          </cell>
          <cell r="C203">
            <v>373</v>
          </cell>
          <cell r="D203">
            <v>21</v>
          </cell>
          <cell r="E203">
            <v>792030</v>
          </cell>
          <cell r="F203">
            <v>0</v>
          </cell>
          <cell r="G203" t="str">
            <v>Затраты по ШПЗ (неосновные)</v>
          </cell>
          <cell r="H203">
            <v>2030</v>
          </cell>
          <cell r="I203">
            <v>7920</v>
          </cell>
          <cell r="J203">
            <v>151.28</v>
          </cell>
          <cell r="K203">
            <v>1</v>
          </cell>
          <cell r="L203">
            <v>0</v>
          </cell>
          <cell r="M203">
            <v>0</v>
          </cell>
          <cell r="N203">
            <v>0</v>
          </cell>
          <cell r="R203">
            <v>0</v>
          </cell>
          <cell r="S203">
            <v>0</v>
          </cell>
          <cell r="T203">
            <v>0</v>
          </cell>
          <cell r="U203">
            <v>35</v>
          </cell>
          <cell r="V203">
            <v>0</v>
          </cell>
          <cell r="W203">
            <v>0</v>
          </cell>
          <cell r="AA203">
            <v>0</v>
          </cell>
          <cell r="AB203">
            <v>0</v>
          </cell>
          <cell r="AC203">
            <v>0</v>
          </cell>
          <cell r="AD203">
            <v>35</v>
          </cell>
          <cell r="AE203">
            <v>510200</v>
          </cell>
          <cell r="AF203">
            <v>0</v>
          </cell>
          <cell r="AI203">
            <v>2251</v>
          </cell>
          <cell r="AK203">
            <v>0</v>
          </cell>
          <cell r="AM203">
            <v>502</v>
          </cell>
          <cell r="AN203">
            <v>1</v>
          </cell>
          <cell r="AO203">
            <v>393216</v>
          </cell>
          <cell r="AQ203">
            <v>0</v>
          </cell>
          <cell r="AR203">
            <v>0</v>
          </cell>
          <cell r="AS203" t="str">
            <v>Ы</v>
          </cell>
          <cell r="AT203" t="str">
            <v>Ы</v>
          </cell>
          <cell r="AU203">
            <v>0</v>
          </cell>
          <cell r="AV203">
            <v>0</v>
          </cell>
          <cell r="AW203">
            <v>23</v>
          </cell>
          <cell r="AX203">
            <v>1</v>
          </cell>
          <cell r="AY203">
            <v>0</v>
          </cell>
          <cell r="AZ203">
            <v>0</v>
          </cell>
          <cell r="BA203">
            <v>0</v>
          </cell>
          <cell r="BB203">
            <v>0</v>
          </cell>
          <cell r="BC203">
            <v>38828</v>
          </cell>
        </row>
        <row r="204">
          <cell r="A204">
            <v>2006</v>
          </cell>
          <cell r="B204">
            <v>2</v>
          </cell>
          <cell r="C204">
            <v>374</v>
          </cell>
          <cell r="D204">
            <v>21</v>
          </cell>
          <cell r="E204">
            <v>792030</v>
          </cell>
          <cell r="F204">
            <v>0</v>
          </cell>
          <cell r="G204" t="str">
            <v>Затраты по ШПЗ (неосновные)</v>
          </cell>
          <cell r="H204">
            <v>2030</v>
          </cell>
          <cell r="I204">
            <v>7920</v>
          </cell>
          <cell r="J204">
            <v>65.83</v>
          </cell>
          <cell r="K204">
            <v>1</v>
          </cell>
          <cell r="L204">
            <v>0</v>
          </cell>
          <cell r="M204">
            <v>0</v>
          </cell>
          <cell r="N204">
            <v>0</v>
          </cell>
          <cell r="R204">
            <v>0</v>
          </cell>
          <cell r="S204">
            <v>0</v>
          </cell>
          <cell r="T204">
            <v>0</v>
          </cell>
          <cell r="U204">
            <v>35</v>
          </cell>
          <cell r="V204">
            <v>0</v>
          </cell>
          <cell r="W204">
            <v>0</v>
          </cell>
          <cell r="AA204">
            <v>0</v>
          </cell>
          <cell r="AB204">
            <v>0</v>
          </cell>
          <cell r="AC204">
            <v>0</v>
          </cell>
          <cell r="AD204">
            <v>35</v>
          </cell>
          <cell r="AE204">
            <v>510300</v>
          </cell>
          <cell r="AF204">
            <v>0</v>
          </cell>
          <cell r="AI204">
            <v>2251</v>
          </cell>
          <cell r="AK204">
            <v>0</v>
          </cell>
          <cell r="AM204">
            <v>503</v>
          </cell>
          <cell r="AN204">
            <v>1</v>
          </cell>
          <cell r="AO204">
            <v>393216</v>
          </cell>
          <cell r="AQ204">
            <v>0</v>
          </cell>
          <cell r="AR204">
            <v>0</v>
          </cell>
          <cell r="AS204" t="str">
            <v>Ы</v>
          </cell>
          <cell r="AT204" t="str">
            <v>Ы</v>
          </cell>
          <cell r="AU204">
            <v>0</v>
          </cell>
          <cell r="AV204">
            <v>0</v>
          </cell>
          <cell r="AW204">
            <v>23</v>
          </cell>
          <cell r="AX204">
            <v>1</v>
          </cell>
          <cell r="AY204">
            <v>0</v>
          </cell>
          <cell r="AZ204">
            <v>0</v>
          </cell>
          <cell r="BA204">
            <v>0</v>
          </cell>
          <cell r="BB204">
            <v>0</v>
          </cell>
          <cell r="BC204">
            <v>38828</v>
          </cell>
        </row>
        <row r="205">
          <cell r="A205">
            <v>2006</v>
          </cell>
          <cell r="B205">
            <v>2</v>
          </cell>
          <cell r="C205">
            <v>375</v>
          </cell>
          <cell r="D205">
            <v>21</v>
          </cell>
          <cell r="E205">
            <v>792030</v>
          </cell>
          <cell r="F205">
            <v>0</v>
          </cell>
          <cell r="G205" t="str">
            <v>Затраты по ШПЗ (неосновные)</v>
          </cell>
          <cell r="H205">
            <v>2030</v>
          </cell>
          <cell r="I205">
            <v>7920</v>
          </cell>
          <cell r="J205">
            <v>379.68</v>
          </cell>
          <cell r="K205">
            <v>1</v>
          </cell>
          <cell r="L205">
            <v>0</v>
          </cell>
          <cell r="M205">
            <v>0</v>
          </cell>
          <cell r="N205">
            <v>0</v>
          </cell>
          <cell r="R205">
            <v>0</v>
          </cell>
          <cell r="S205">
            <v>0</v>
          </cell>
          <cell r="T205">
            <v>0</v>
          </cell>
          <cell r="U205">
            <v>35</v>
          </cell>
          <cell r="V205">
            <v>0</v>
          </cell>
          <cell r="W205">
            <v>0</v>
          </cell>
          <cell r="AA205">
            <v>0</v>
          </cell>
          <cell r="AB205">
            <v>0</v>
          </cell>
          <cell r="AC205">
            <v>0</v>
          </cell>
          <cell r="AD205">
            <v>35</v>
          </cell>
          <cell r="AE205">
            <v>510400</v>
          </cell>
          <cell r="AF205">
            <v>0</v>
          </cell>
          <cell r="AI205">
            <v>2251</v>
          </cell>
          <cell r="AK205">
            <v>0</v>
          </cell>
          <cell r="AM205">
            <v>504</v>
          </cell>
          <cell r="AN205">
            <v>1</v>
          </cell>
          <cell r="AO205">
            <v>393216</v>
          </cell>
          <cell r="AQ205">
            <v>0</v>
          </cell>
          <cell r="AR205">
            <v>0</v>
          </cell>
          <cell r="AS205" t="str">
            <v>Ы</v>
          </cell>
          <cell r="AT205" t="str">
            <v>Ы</v>
          </cell>
          <cell r="AU205">
            <v>0</v>
          </cell>
          <cell r="AV205">
            <v>0</v>
          </cell>
          <cell r="AW205">
            <v>23</v>
          </cell>
          <cell r="AX205">
            <v>1</v>
          </cell>
          <cell r="AY205">
            <v>0</v>
          </cell>
          <cell r="AZ205">
            <v>0</v>
          </cell>
          <cell r="BA205">
            <v>0</v>
          </cell>
          <cell r="BB205">
            <v>0</v>
          </cell>
          <cell r="BC205">
            <v>38828</v>
          </cell>
        </row>
        <row r="206">
          <cell r="A206">
            <v>2006</v>
          </cell>
          <cell r="B206">
            <v>2</v>
          </cell>
          <cell r="C206">
            <v>376</v>
          </cell>
          <cell r="D206">
            <v>21</v>
          </cell>
          <cell r="E206">
            <v>792030</v>
          </cell>
          <cell r="F206">
            <v>0</v>
          </cell>
          <cell r="G206" t="str">
            <v>Затраты по ШПЗ (неосновные)</v>
          </cell>
          <cell r="H206">
            <v>2030</v>
          </cell>
          <cell r="I206">
            <v>7920</v>
          </cell>
          <cell r="J206">
            <v>22585.54</v>
          </cell>
          <cell r="K206">
            <v>1</v>
          </cell>
          <cell r="L206">
            <v>0</v>
          </cell>
          <cell r="M206">
            <v>0</v>
          </cell>
          <cell r="N206">
            <v>0</v>
          </cell>
          <cell r="R206">
            <v>0</v>
          </cell>
          <cell r="S206">
            <v>0</v>
          </cell>
          <cell r="T206">
            <v>0</v>
          </cell>
          <cell r="U206">
            <v>35</v>
          </cell>
          <cell r="V206">
            <v>0</v>
          </cell>
          <cell r="W206">
            <v>0</v>
          </cell>
          <cell r="AA206">
            <v>0</v>
          </cell>
          <cell r="AB206">
            <v>0</v>
          </cell>
          <cell r="AC206">
            <v>0</v>
          </cell>
          <cell r="AD206">
            <v>35</v>
          </cell>
          <cell r="AE206">
            <v>510600</v>
          </cell>
          <cell r="AF206">
            <v>0</v>
          </cell>
          <cell r="AI206">
            <v>2251</v>
          </cell>
          <cell r="AK206">
            <v>0</v>
          </cell>
          <cell r="AM206">
            <v>505</v>
          </cell>
          <cell r="AN206">
            <v>1</v>
          </cell>
          <cell r="AO206">
            <v>393216</v>
          </cell>
          <cell r="AQ206">
            <v>0</v>
          </cell>
          <cell r="AR206">
            <v>0</v>
          </cell>
          <cell r="AS206" t="str">
            <v>Ы</v>
          </cell>
          <cell r="AT206" t="str">
            <v>Ы</v>
          </cell>
          <cell r="AU206">
            <v>0</v>
          </cell>
          <cell r="AV206">
            <v>0</v>
          </cell>
          <cell r="AW206">
            <v>23</v>
          </cell>
          <cell r="AX206">
            <v>1</v>
          </cell>
          <cell r="AY206">
            <v>0</v>
          </cell>
          <cell r="AZ206">
            <v>0</v>
          </cell>
          <cell r="BA206">
            <v>0</v>
          </cell>
          <cell r="BB206">
            <v>0</v>
          </cell>
          <cell r="BC206">
            <v>38828</v>
          </cell>
        </row>
        <row r="207">
          <cell r="A207">
            <v>2006</v>
          </cell>
          <cell r="B207">
            <v>2</v>
          </cell>
          <cell r="C207">
            <v>377</v>
          </cell>
          <cell r="D207">
            <v>21</v>
          </cell>
          <cell r="E207">
            <v>792030</v>
          </cell>
          <cell r="F207">
            <v>0</v>
          </cell>
          <cell r="G207" t="str">
            <v>Затраты по ШПЗ (неосновные)</v>
          </cell>
          <cell r="H207">
            <v>2030</v>
          </cell>
          <cell r="I207">
            <v>7920</v>
          </cell>
          <cell r="J207">
            <v>1.95</v>
          </cell>
          <cell r="K207">
            <v>1</v>
          </cell>
          <cell r="L207">
            <v>0</v>
          </cell>
          <cell r="M207">
            <v>0</v>
          </cell>
          <cell r="N207">
            <v>0</v>
          </cell>
          <cell r="R207">
            <v>0</v>
          </cell>
          <cell r="S207">
            <v>0</v>
          </cell>
          <cell r="T207">
            <v>0</v>
          </cell>
          <cell r="U207">
            <v>35</v>
          </cell>
          <cell r="V207">
            <v>0</v>
          </cell>
          <cell r="W207">
            <v>0</v>
          </cell>
          <cell r="AA207">
            <v>0</v>
          </cell>
          <cell r="AB207">
            <v>0</v>
          </cell>
          <cell r="AC207">
            <v>0</v>
          </cell>
          <cell r="AD207">
            <v>35</v>
          </cell>
          <cell r="AE207">
            <v>512000</v>
          </cell>
          <cell r="AF207">
            <v>0</v>
          </cell>
          <cell r="AI207">
            <v>2251</v>
          </cell>
          <cell r="AK207">
            <v>0</v>
          </cell>
          <cell r="AM207">
            <v>506</v>
          </cell>
          <cell r="AN207">
            <v>1</v>
          </cell>
          <cell r="AO207">
            <v>393216</v>
          </cell>
          <cell r="AQ207">
            <v>0</v>
          </cell>
          <cell r="AR207">
            <v>0</v>
          </cell>
          <cell r="AS207" t="str">
            <v>Ы</v>
          </cell>
          <cell r="AT207" t="str">
            <v>Ы</v>
          </cell>
          <cell r="AU207">
            <v>0</v>
          </cell>
          <cell r="AV207">
            <v>0</v>
          </cell>
          <cell r="AW207">
            <v>23</v>
          </cell>
          <cell r="AX207">
            <v>1</v>
          </cell>
          <cell r="AY207">
            <v>0</v>
          </cell>
          <cell r="AZ207">
            <v>0</v>
          </cell>
          <cell r="BA207">
            <v>0</v>
          </cell>
          <cell r="BB207">
            <v>0</v>
          </cell>
          <cell r="BC207">
            <v>38828</v>
          </cell>
        </row>
        <row r="208">
          <cell r="A208">
            <v>2006</v>
          </cell>
          <cell r="B208">
            <v>2</v>
          </cell>
          <cell r="C208">
            <v>493</v>
          </cell>
          <cell r="D208">
            <v>21</v>
          </cell>
          <cell r="E208">
            <v>792030</v>
          </cell>
          <cell r="F208">
            <v>0</v>
          </cell>
          <cell r="G208" t="str">
            <v>Затраты по ШПЗ (неосновные)</v>
          </cell>
          <cell r="H208">
            <v>2030</v>
          </cell>
          <cell r="I208">
            <v>7920</v>
          </cell>
          <cell r="J208">
            <v>3020.36</v>
          </cell>
          <cell r="K208">
            <v>1</v>
          </cell>
          <cell r="L208">
            <v>0</v>
          </cell>
          <cell r="M208">
            <v>0</v>
          </cell>
          <cell r="N208">
            <v>0</v>
          </cell>
          <cell r="R208">
            <v>0</v>
          </cell>
          <cell r="S208">
            <v>0</v>
          </cell>
          <cell r="T208">
            <v>0</v>
          </cell>
          <cell r="U208">
            <v>42</v>
          </cell>
          <cell r="V208">
            <v>0</v>
          </cell>
          <cell r="W208">
            <v>0</v>
          </cell>
          <cell r="AA208">
            <v>0</v>
          </cell>
          <cell r="AB208">
            <v>0</v>
          </cell>
          <cell r="AC208">
            <v>0</v>
          </cell>
          <cell r="AD208">
            <v>42</v>
          </cell>
          <cell r="AE208">
            <v>110000</v>
          </cell>
          <cell r="AF208">
            <v>0</v>
          </cell>
          <cell r="AI208">
            <v>2251</v>
          </cell>
          <cell r="AK208">
            <v>0</v>
          </cell>
          <cell r="AM208">
            <v>622</v>
          </cell>
          <cell r="AN208">
            <v>1</v>
          </cell>
          <cell r="AO208">
            <v>393216</v>
          </cell>
          <cell r="AQ208">
            <v>0</v>
          </cell>
          <cell r="AR208">
            <v>0</v>
          </cell>
          <cell r="AS208" t="str">
            <v>Ы</v>
          </cell>
          <cell r="AT208" t="str">
            <v>Ы</v>
          </cell>
          <cell r="AU208">
            <v>0</v>
          </cell>
          <cell r="AV208">
            <v>0</v>
          </cell>
          <cell r="AW208">
            <v>23</v>
          </cell>
          <cell r="AX208">
            <v>1</v>
          </cell>
          <cell r="AY208">
            <v>0</v>
          </cell>
          <cell r="AZ208">
            <v>0</v>
          </cell>
          <cell r="BA208">
            <v>0</v>
          </cell>
          <cell r="BB208">
            <v>0</v>
          </cell>
          <cell r="BC208">
            <v>38828</v>
          </cell>
        </row>
        <row r="209">
          <cell r="A209">
            <v>2006</v>
          </cell>
          <cell r="B209">
            <v>2</v>
          </cell>
          <cell r="C209">
            <v>494</v>
          </cell>
          <cell r="D209">
            <v>21</v>
          </cell>
          <cell r="E209">
            <v>792030</v>
          </cell>
          <cell r="F209">
            <v>0</v>
          </cell>
          <cell r="G209" t="str">
            <v>Затраты по ШПЗ (неосновные)</v>
          </cell>
          <cell r="H209">
            <v>2030</v>
          </cell>
          <cell r="I209">
            <v>7920</v>
          </cell>
          <cell r="J209">
            <v>359.2</v>
          </cell>
          <cell r="K209">
            <v>1</v>
          </cell>
          <cell r="L209">
            <v>0</v>
          </cell>
          <cell r="M209">
            <v>0</v>
          </cell>
          <cell r="N209">
            <v>0</v>
          </cell>
          <cell r="R209">
            <v>0</v>
          </cell>
          <cell r="S209">
            <v>0</v>
          </cell>
          <cell r="T209">
            <v>0</v>
          </cell>
          <cell r="U209">
            <v>42</v>
          </cell>
          <cell r="V209">
            <v>0</v>
          </cell>
          <cell r="W209">
            <v>0</v>
          </cell>
          <cell r="AA209">
            <v>0</v>
          </cell>
          <cell r="AB209">
            <v>0</v>
          </cell>
          <cell r="AC209">
            <v>0</v>
          </cell>
          <cell r="AD209">
            <v>42</v>
          </cell>
          <cell r="AE209">
            <v>114020</v>
          </cell>
          <cell r="AF209">
            <v>0</v>
          </cell>
          <cell r="AI209">
            <v>2251</v>
          </cell>
          <cell r="AK209">
            <v>0</v>
          </cell>
          <cell r="AM209">
            <v>623</v>
          </cell>
          <cell r="AN209">
            <v>1</v>
          </cell>
          <cell r="AO209">
            <v>393216</v>
          </cell>
          <cell r="AQ209">
            <v>0</v>
          </cell>
          <cell r="AR209">
            <v>0</v>
          </cell>
          <cell r="AS209" t="str">
            <v>Ы</v>
          </cell>
          <cell r="AT209" t="str">
            <v>Ы</v>
          </cell>
          <cell r="AU209">
            <v>0</v>
          </cell>
          <cell r="AV209">
            <v>0</v>
          </cell>
          <cell r="AW209">
            <v>23</v>
          </cell>
          <cell r="AX209">
            <v>1</v>
          </cell>
          <cell r="AY209">
            <v>0</v>
          </cell>
          <cell r="AZ209">
            <v>0</v>
          </cell>
          <cell r="BA209">
            <v>0</v>
          </cell>
          <cell r="BB209">
            <v>0</v>
          </cell>
          <cell r="BC209">
            <v>38828</v>
          </cell>
        </row>
        <row r="210">
          <cell r="A210">
            <v>2006</v>
          </cell>
          <cell r="B210">
            <v>2</v>
          </cell>
          <cell r="C210">
            <v>495</v>
          </cell>
          <cell r="D210">
            <v>21</v>
          </cell>
          <cell r="E210">
            <v>792030</v>
          </cell>
          <cell r="F210">
            <v>0</v>
          </cell>
          <cell r="G210" t="str">
            <v>Затраты по ШПЗ (неосновные)</v>
          </cell>
          <cell r="H210">
            <v>2030</v>
          </cell>
          <cell r="I210">
            <v>7920</v>
          </cell>
          <cell r="J210">
            <v>1053.83</v>
          </cell>
          <cell r="K210">
            <v>1</v>
          </cell>
          <cell r="L210">
            <v>0</v>
          </cell>
          <cell r="M210">
            <v>0</v>
          </cell>
          <cell r="N210">
            <v>0</v>
          </cell>
          <cell r="R210">
            <v>0</v>
          </cell>
          <cell r="S210">
            <v>0</v>
          </cell>
          <cell r="T210">
            <v>0</v>
          </cell>
          <cell r="U210">
            <v>42</v>
          </cell>
          <cell r="V210">
            <v>0</v>
          </cell>
          <cell r="W210">
            <v>0</v>
          </cell>
          <cell r="AA210">
            <v>0</v>
          </cell>
          <cell r="AB210">
            <v>0</v>
          </cell>
          <cell r="AC210">
            <v>0</v>
          </cell>
          <cell r="AD210">
            <v>42</v>
          </cell>
          <cell r="AE210">
            <v>117000</v>
          </cell>
          <cell r="AF210">
            <v>0</v>
          </cell>
          <cell r="AI210">
            <v>2251</v>
          </cell>
          <cell r="AK210">
            <v>0</v>
          </cell>
          <cell r="AM210">
            <v>624</v>
          </cell>
          <cell r="AN210">
            <v>1</v>
          </cell>
          <cell r="AO210">
            <v>393216</v>
          </cell>
          <cell r="AQ210">
            <v>0</v>
          </cell>
          <cell r="AR210">
            <v>0</v>
          </cell>
          <cell r="AS210" t="str">
            <v>Ы</v>
          </cell>
          <cell r="AT210" t="str">
            <v>Ы</v>
          </cell>
          <cell r="AU210">
            <v>0</v>
          </cell>
          <cell r="AV210">
            <v>0</v>
          </cell>
          <cell r="AW210">
            <v>23</v>
          </cell>
          <cell r="AX210">
            <v>1</v>
          </cell>
          <cell r="AY210">
            <v>0</v>
          </cell>
          <cell r="AZ210">
            <v>0</v>
          </cell>
          <cell r="BA210">
            <v>0</v>
          </cell>
          <cell r="BB210">
            <v>0</v>
          </cell>
          <cell r="BC210">
            <v>38828</v>
          </cell>
        </row>
        <row r="211">
          <cell r="A211">
            <v>2006</v>
          </cell>
          <cell r="B211">
            <v>2</v>
          </cell>
          <cell r="C211">
            <v>496</v>
          </cell>
          <cell r="D211">
            <v>21</v>
          </cell>
          <cell r="E211">
            <v>792030</v>
          </cell>
          <cell r="F211">
            <v>0</v>
          </cell>
          <cell r="G211" t="str">
            <v>Затраты по ШПЗ (неосновные)</v>
          </cell>
          <cell r="H211">
            <v>2030</v>
          </cell>
          <cell r="I211">
            <v>7920</v>
          </cell>
          <cell r="J211">
            <v>2667.19</v>
          </cell>
          <cell r="K211">
            <v>1</v>
          </cell>
          <cell r="L211">
            <v>0</v>
          </cell>
          <cell r="M211">
            <v>0</v>
          </cell>
          <cell r="N211">
            <v>0</v>
          </cell>
          <cell r="R211">
            <v>0</v>
          </cell>
          <cell r="S211">
            <v>0</v>
          </cell>
          <cell r="T211">
            <v>0</v>
          </cell>
          <cell r="U211">
            <v>42</v>
          </cell>
          <cell r="V211">
            <v>0</v>
          </cell>
          <cell r="W211">
            <v>0</v>
          </cell>
          <cell r="AA211">
            <v>0</v>
          </cell>
          <cell r="AB211">
            <v>0</v>
          </cell>
          <cell r="AC211">
            <v>0</v>
          </cell>
          <cell r="AD211">
            <v>42</v>
          </cell>
          <cell r="AE211">
            <v>118000</v>
          </cell>
          <cell r="AF211">
            <v>0</v>
          </cell>
          <cell r="AI211">
            <v>2251</v>
          </cell>
          <cell r="AK211">
            <v>0</v>
          </cell>
          <cell r="AM211">
            <v>625</v>
          </cell>
          <cell r="AN211">
            <v>1</v>
          </cell>
          <cell r="AO211">
            <v>393216</v>
          </cell>
          <cell r="AQ211">
            <v>0</v>
          </cell>
          <cell r="AR211">
            <v>0</v>
          </cell>
          <cell r="AS211" t="str">
            <v>Ы</v>
          </cell>
          <cell r="AT211" t="str">
            <v>Ы</v>
          </cell>
          <cell r="AU211">
            <v>0</v>
          </cell>
          <cell r="AV211">
            <v>0</v>
          </cell>
          <cell r="AW211">
            <v>23</v>
          </cell>
          <cell r="AX211">
            <v>1</v>
          </cell>
          <cell r="AY211">
            <v>0</v>
          </cell>
          <cell r="AZ211">
            <v>0</v>
          </cell>
          <cell r="BA211">
            <v>0</v>
          </cell>
          <cell r="BB211">
            <v>0</v>
          </cell>
          <cell r="BC211">
            <v>38828</v>
          </cell>
        </row>
        <row r="212">
          <cell r="A212">
            <v>2006</v>
          </cell>
          <cell r="B212">
            <v>2</v>
          </cell>
          <cell r="C212">
            <v>497</v>
          </cell>
          <cell r="D212">
            <v>21</v>
          </cell>
          <cell r="E212">
            <v>792030</v>
          </cell>
          <cell r="F212">
            <v>0</v>
          </cell>
          <cell r="G212" t="str">
            <v>Затраты по ШПЗ (неосновные)</v>
          </cell>
          <cell r="H212">
            <v>2030</v>
          </cell>
          <cell r="I212">
            <v>7920</v>
          </cell>
          <cell r="J212">
            <v>325.89999999999998</v>
          </cell>
          <cell r="K212">
            <v>1</v>
          </cell>
          <cell r="L212">
            <v>0</v>
          </cell>
          <cell r="M212">
            <v>0</v>
          </cell>
          <cell r="N212">
            <v>0</v>
          </cell>
          <cell r="R212">
            <v>0</v>
          </cell>
          <cell r="S212">
            <v>0</v>
          </cell>
          <cell r="T212">
            <v>0</v>
          </cell>
          <cell r="U212">
            <v>42</v>
          </cell>
          <cell r="V212">
            <v>0</v>
          </cell>
          <cell r="W212">
            <v>0</v>
          </cell>
          <cell r="AA212">
            <v>0</v>
          </cell>
          <cell r="AB212">
            <v>0</v>
          </cell>
          <cell r="AC212">
            <v>0</v>
          </cell>
          <cell r="AD212">
            <v>42</v>
          </cell>
          <cell r="AE212">
            <v>130000</v>
          </cell>
          <cell r="AF212">
            <v>0</v>
          </cell>
          <cell r="AI212">
            <v>2251</v>
          </cell>
          <cell r="AK212">
            <v>0</v>
          </cell>
          <cell r="AM212">
            <v>626</v>
          </cell>
          <cell r="AN212">
            <v>1</v>
          </cell>
          <cell r="AO212">
            <v>393216</v>
          </cell>
          <cell r="AQ212">
            <v>0</v>
          </cell>
          <cell r="AR212">
            <v>0</v>
          </cell>
          <cell r="AS212" t="str">
            <v>Ы</v>
          </cell>
          <cell r="AT212" t="str">
            <v>Ы</v>
          </cell>
          <cell r="AU212">
            <v>0</v>
          </cell>
          <cell r="AV212">
            <v>0</v>
          </cell>
          <cell r="AW212">
            <v>23</v>
          </cell>
          <cell r="AX212">
            <v>1</v>
          </cell>
          <cell r="AY212">
            <v>0</v>
          </cell>
          <cell r="AZ212">
            <v>0</v>
          </cell>
          <cell r="BA212">
            <v>0</v>
          </cell>
          <cell r="BB212">
            <v>0</v>
          </cell>
          <cell r="BC212">
            <v>38828</v>
          </cell>
        </row>
        <row r="213">
          <cell r="A213">
            <v>2006</v>
          </cell>
          <cell r="B213">
            <v>2</v>
          </cell>
          <cell r="C213">
            <v>498</v>
          </cell>
          <cell r="D213">
            <v>21</v>
          </cell>
          <cell r="E213">
            <v>792030</v>
          </cell>
          <cell r="F213">
            <v>0</v>
          </cell>
          <cell r="G213" t="str">
            <v>Затраты по ШПЗ (неосновные)</v>
          </cell>
          <cell r="H213">
            <v>2030</v>
          </cell>
          <cell r="I213">
            <v>7920</v>
          </cell>
          <cell r="J213">
            <v>1208.8399999999999</v>
          </cell>
          <cell r="K213">
            <v>1</v>
          </cell>
          <cell r="L213">
            <v>0</v>
          </cell>
          <cell r="M213">
            <v>0</v>
          </cell>
          <cell r="N213">
            <v>0</v>
          </cell>
          <cell r="R213">
            <v>0</v>
          </cell>
          <cell r="S213">
            <v>0</v>
          </cell>
          <cell r="T213">
            <v>0</v>
          </cell>
          <cell r="U213">
            <v>42</v>
          </cell>
          <cell r="V213">
            <v>0</v>
          </cell>
          <cell r="W213">
            <v>0</v>
          </cell>
          <cell r="AA213">
            <v>0</v>
          </cell>
          <cell r="AB213">
            <v>0</v>
          </cell>
          <cell r="AC213">
            <v>0</v>
          </cell>
          <cell r="AD213">
            <v>42</v>
          </cell>
          <cell r="AE213">
            <v>131000</v>
          </cell>
          <cell r="AF213">
            <v>0</v>
          </cell>
          <cell r="AI213">
            <v>2251</v>
          </cell>
          <cell r="AK213">
            <v>0</v>
          </cell>
          <cell r="AM213">
            <v>627</v>
          </cell>
          <cell r="AN213">
            <v>1</v>
          </cell>
          <cell r="AO213">
            <v>393216</v>
          </cell>
          <cell r="AQ213">
            <v>0</v>
          </cell>
          <cell r="AR213">
            <v>0</v>
          </cell>
          <cell r="AS213" t="str">
            <v>Ы</v>
          </cell>
          <cell r="AT213" t="str">
            <v>Ы</v>
          </cell>
          <cell r="AU213">
            <v>0</v>
          </cell>
          <cell r="AV213">
            <v>0</v>
          </cell>
          <cell r="AW213">
            <v>23</v>
          </cell>
          <cell r="AX213">
            <v>1</v>
          </cell>
          <cell r="AY213">
            <v>0</v>
          </cell>
          <cell r="AZ213">
            <v>0</v>
          </cell>
          <cell r="BA213">
            <v>0</v>
          </cell>
          <cell r="BB213">
            <v>0</v>
          </cell>
          <cell r="BC213">
            <v>38828</v>
          </cell>
        </row>
        <row r="214">
          <cell r="A214">
            <v>2006</v>
          </cell>
          <cell r="B214">
            <v>2</v>
          </cell>
          <cell r="C214">
            <v>499</v>
          </cell>
          <cell r="D214">
            <v>21</v>
          </cell>
          <cell r="E214">
            <v>792030</v>
          </cell>
          <cell r="F214">
            <v>0</v>
          </cell>
          <cell r="G214" t="str">
            <v>Затраты по ШПЗ (неосновные)</v>
          </cell>
          <cell r="H214">
            <v>2030</v>
          </cell>
          <cell r="I214">
            <v>7920</v>
          </cell>
          <cell r="J214">
            <v>8722.66</v>
          </cell>
          <cell r="K214">
            <v>1</v>
          </cell>
          <cell r="L214">
            <v>0</v>
          </cell>
          <cell r="M214">
            <v>0</v>
          </cell>
          <cell r="N214">
            <v>0</v>
          </cell>
          <cell r="R214">
            <v>0</v>
          </cell>
          <cell r="S214">
            <v>0</v>
          </cell>
          <cell r="T214">
            <v>0</v>
          </cell>
          <cell r="U214">
            <v>42</v>
          </cell>
          <cell r="V214">
            <v>0</v>
          </cell>
          <cell r="W214">
            <v>0</v>
          </cell>
          <cell r="AA214">
            <v>0</v>
          </cell>
          <cell r="AB214">
            <v>0</v>
          </cell>
          <cell r="AC214">
            <v>0</v>
          </cell>
          <cell r="AD214">
            <v>42</v>
          </cell>
          <cell r="AE214">
            <v>132000</v>
          </cell>
          <cell r="AF214">
            <v>0</v>
          </cell>
          <cell r="AI214">
            <v>2251</v>
          </cell>
          <cell r="AK214">
            <v>0</v>
          </cell>
          <cell r="AM214">
            <v>628</v>
          </cell>
          <cell r="AN214">
            <v>1</v>
          </cell>
          <cell r="AO214">
            <v>393216</v>
          </cell>
          <cell r="AQ214">
            <v>0</v>
          </cell>
          <cell r="AR214">
            <v>0</v>
          </cell>
          <cell r="AS214" t="str">
            <v>Ы</v>
          </cell>
          <cell r="AT214" t="str">
            <v>Ы</v>
          </cell>
          <cell r="AU214">
            <v>0</v>
          </cell>
          <cell r="AV214">
            <v>0</v>
          </cell>
          <cell r="AW214">
            <v>23</v>
          </cell>
          <cell r="AX214">
            <v>1</v>
          </cell>
          <cell r="AY214">
            <v>0</v>
          </cell>
          <cell r="AZ214">
            <v>0</v>
          </cell>
          <cell r="BA214">
            <v>0</v>
          </cell>
          <cell r="BB214">
            <v>0</v>
          </cell>
          <cell r="BC214">
            <v>38828</v>
          </cell>
        </row>
        <row r="215">
          <cell r="A215">
            <v>2006</v>
          </cell>
          <cell r="B215">
            <v>2</v>
          </cell>
          <cell r="C215">
            <v>500</v>
          </cell>
          <cell r="D215">
            <v>21</v>
          </cell>
          <cell r="E215">
            <v>792030</v>
          </cell>
          <cell r="F215">
            <v>0</v>
          </cell>
          <cell r="G215" t="str">
            <v>Затраты по ШПЗ (неосновные)</v>
          </cell>
          <cell r="H215">
            <v>2030</v>
          </cell>
          <cell r="I215">
            <v>7920</v>
          </cell>
          <cell r="J215">
            <v>854.14</v>
          </cell>
          <cell r="K215">
            <v>1</v>
          </cell>
          <cell r="L215">
            <v>0</v>
          </cell>
          <cell r="M215">
            <v>0</v>
          </cell>
          <cell r="N215">
            <v>0</v>
          </cell>
          <cell r="R215">
            <v>0</v>
          </cell>
          <cell r="S215">
            <v>0</v>
          </cell>
          <cell r="T215">
            <v>0</v>
          </cell>
          <cell r="U215">
            <v>42</v>
          </cell>
          <cell r="V215">
            <v>0</v>
          </cell>
          <cell r="W215">
            <v>0</v>
          </cell>
          <cell r="AA215">
            <v>0</v>
          </cell>
          <cell r="AB215">
            <v>0</v>
          </cell>
          <cell r="AC215">
            <v>0</v>
          </cell>
          <cell r="AD215">
            <v>42</v>
          </cell>
          <cell r="AE215">
            <v>135000</v>
          </cell>
          <cell r="AF215">
            <v>0</v>
          </cell>
          <cell r="AI215">
            <v>2251</v>
          </cell>
          <cell r="AK215">
            <v>0</v>
          </cell>
          <cell r="AM215">
            <v>629</v>
          </cell>
          <cell r="AN215">
            <v>1</v>
          </cell>
          <cell r="AO215">
            <v>393216</v>
          </cell>
          <cell r="AQ215">
            <v>0</v>
          </cell>
          <cell r="AR215">
            <v>0</v>
          </cell>
          <cell r="AS215" t="str">
            <v>Ы</v>
          </cell>
          <cell r="AT215" t="str">
            <v>Ы</v>
          </cell>
          <cell r="AU215">
            <v>0</v>
          </cell>
          <cell r="AV215">
            <v>0</v>
          </cell>
          <cell r="AW215">
            <v>23</v>
          </cell>
          <cell r="AX215">
            <v>1</v>
          </cell>
          <cell r="AY215">
            <v>0</v>
          </cell>
          <cell r="AZ215">
            <v>0</v>
          </cell>
          <cell r="BA215">
            <v>0</v>
          </cell>
          <cell r="BB215">
            <v>0</v>
          </cell>
          <cell r="BC215">
            <v>38828</v>
          </cell>
        </row>
        <row r="216">
          <cell r="A216">
            <v>2006</v>
          </cell>
          <cell r="B216">
            <v>2</v>
          </cell>
          <cell r="C216">
            <v>501</v>
          </cell>
          <cell r="D216">
            <v>21</v>
          </cell>
          <cell r="E216">
            <v>792030</v>
          </cell>
          <cell r="F216">
            <v>0</v>
          </cell>
          <cell r="G216" t="str">
            <v>Затраты по ШПЗ (неосновные)</v>
          </cell>
          <cell r="H216">
            <v>2030</v>
          </cell>
          <cell r="I216">
            <v>7920</v>
          </cell>
          <cell r="J216">
            <v>26256.86</v>
          </cell>
          <cell r="K216">
            <v>1</v>
          </cell>
          <cell r="L216">
            <v>0</v>
          </cell>
          <cell r="M216">
            <v>0</v>
          </cell>
          <cell r="N216">
            <v>0</v>
          </cell>
          <cell r="R216">
            <v>0</v>
          </cell>
          <cell r="S216">
            <v>0</v>
          </cell>
          <cell r="T216">
            <v>0</v>
          </cell>
          <cell r="U216">
            <v>42</v>
          </cell>
          <cell r="V216">
            <v>0</v>
          </cell>
          <cell r="W216">
            <v>0</v>
          </cell>
          <cell r="AA216">
            <v>0</v>
          </cell>
          <cell r="AB216">
            <v>0</v>
          </cell>
          <cell r="AC216">
            <v>0</v>
          </cell>
          <cell r="AD216">
            <v>42</v>
          </cell>
          <cell r="AE216">
            <v>143000</v>
          </cell>
          <cell r="AF216">
            <v>0</v>
          </cell>
          <cell r="AI216">
            <v>2251</v>
          </cell>
          <cell r="AK216">
            <v>0</v>
          </cell>
          <cell r="AM216">
            <v>630</v>
          </cell>
          <cell r="AN216">
            <v>1</v>
          </cell>
          <cell r="AO216">
            <v>393216</v>
          </cell>
          <cell r="AQ216">
            <v>0</v>
          </cell>
          <cell r="AR216">
            <v>0</v>
          </cell>
          <cell r="AS216" t="str">
            <v>Ы</v>
          </cell>
          <cell r="AT216" t="str">
            <v>Ы</v>
          </cell>
          <cell r="AU216">
            <v>0</v>
          </cell>
          <cell r="AV216">
            <v>0</v>
          </cell>
          <cell r="AW216">
            <v>23</v>
          </cell>
          <cell r="AX216">
            <v>1</v>
          </cell>
          <cell r="AY216">
            <v>0</v>
          </cell>
          <cell r="AZ216">
            <v>0</v>
          </cell>
          <cell r="BA216">
            <v>0</v>
          </cell>
          <cell r="BB216">
            <v>0</v>
          </cell>
          <cell r="BC216">
            <v>38828</v>
          </cell>
        </row>
        <row r="217">
          <cell r="A217">
            <v>2006</v>
          </cell>
          <cell r="B217">
            <v>2</v>
          </cell>
          <cell r="C217">
            <v>502</v>
          </cell>
          <cell r="D217">
            <v>21</v>
          </cell>
          <cell r="E217">
            <v>792030</v>
          </cell>
          <cell r="F217">
            <v>0</v>
          </cell>
          <cell r="G217" t="str">
            <v>Затраты по ШПЗ (неосновные)</v>
          </cell>
          <cell r="H217">
            <v>2030</v>
          </cell>
          <cell r="I217">
            <v>7920</v>
          </cell>
          <cell r="J217">
            <v>4395023</v>
          </cell>
          <cell r="K217">
            <v>1</v>
          </cell>
          <cell r="L217">
            <v>0</v>
          </cell>
          <cell r="M217">
            <v>0</v>
          </cell>
          <cell r="N217">
            <v>0</v>
          </cell>
          <cell r="R217">
            <v>0</v>
          </cell>
          <cell r="S217">
            <v>0</v>
          </cell>
          <cell r="T217">
            <v>0</v>
          </cell>
          <cell r="U217">
            <v>42</v>
          </cell>
          <cell r="V217">
            <v>0</v>
          </cell>
          <cell r="W217">
            <v>0</v>
          </cell>
          <cell r="AA217">
            <v>0</v>
          </cell>
          <cell r="AB217">
            <v>0</v>
          </cell>
          <cell r="AC217">
            <v>0</v>
          </cell>
          <cell r="AD217">
            <v>42</v>
          </cell>
          <cell r="AE217">
            <v>240000</v>
          </cell>
          <cell r="AF217">
            <v>0</v>
          </cell>
          <cell r="AI217">
            <v>2251</v>
          </cell>
          <cell r="AK217">
            <v>0</v>
          </cell>
          <cell r="AM217">
            <v>631</v>
          </cell>
          <cell r="AN217">
            <v>1</v>
          </cell>
          <cell r="AO217">
            <v>393216</v>
          </cell>
          <cell r="AQ217">
            <v>0</v>
          </cell>
          <cell r="AR217">
            <v>0</v>
          </cell>
          <cell r="AS217" t="str">
            <v>Ы</v>
          </cell>
          <cell r="AT217" t="str">
            <v>Ы</v>
          </cell>
          <cell r="AU217">
            <v>0</v>
          </cell>
          <cell r="AV217">
            <v>0</v>
          </cell>
          <cell r="AW217">
            <v>23</v>
          </cell>
          <cell r="AX217">
            <v>1</v>
          </cell>
          <cell r="AY217">
            <v>0</v>
          </cell>
          <cell r="AZ217">
            <v>0</v>
          </cell>
          <cell r="BA217">
            <v>0</v>
          </cell>
          <cell r="BB217">
            <v>0</v>
          </cell>
          <cell r="BC217">
            <v>38828</v>
          </cell>
        </row>
        <row r="218">
          <cell r="A218">
            <v>2006</v>
          </cell>
          <cell r="B218">
            <v>2</v>
          </cell>
          <cell r="C218">
            <v>503</v>
          </cell>
          <cell r="D218">
            <v>21</v>
          </cell>
          <cell r="E218">
            <v>792030</v>
          </cell>
          <cell r="F218">
            <v>0</v>
          </cell>
          <cell r="G218" t="str">
            <v>Затраты по ШПЗ (неосновные)</v>
          </cell>
          <cell r="H218">
            <v>2030</v>
          </cell>
          <cell r="I218">
            <v>7920</v>
          </cell>
          <cell r="J218">
            <v>127329.93</v>
          </cell>
          <cell r="K218">
            <v>1</v>
          </cell>
          <cell r="L218">
            <v>0</v>
          </cell>
          <cell r="M218">
            <v>0</v>
          </cell>
          <cell r="N218">
            <v>0</v>
          </cell>
          <cell r="R218">
            <v>0</v>
          </cell>
          <cell r="S218">
            <v>0</v>
          </cell>
          <cell r="T218">
            <v>0</v>
          </cell>
          <cell r="U218">
            <v>42</v>
          </cell>
          <cell r="V218">
            <v>0</v>
          </cell>
          <cell r="W218">
            <v>0</v>
          </cell>
          <cell r="AA218">
            <v>0</v>
          </cell>
          <cell r="AB218">
            <v>0</v>
          </cell>
          <cell r="AC218">
            <v>0</v>
          </cell>
          <cell r="AD218">
            <v>42</v>
          </cell>
          <cell r="AE218">
            <v>311000</v>
          </cell>
          <cell r="AF218">
            <v>0</v>
          </cell>
          <cell r="AI218">
            <v>2251</v>
          </cell>
          <cell r="AK218">
            <v>0</v>
          </cell>
          <cell r="AM218">
            <v>632</v>
          </cell>
          <cell r="AN218">
            <v>1</v>
          </cell>
          <cell r="AO218">
            <v>393216</v>
          </cell>
          <cell r="AQ218">
            <v>0</v>
          </cell>
          <cell r="AR218">
            <v>0</v>
          </cell>
          <cell r="AS218" t="str">
            <v>Ы</v>
          </cell>
          <cell r="AT218" t="str">
            <v>Ы</v>
          </cell>
          <cell r="AU218">
            <v>0</v>
          </cell>
          <cell r="AV218">
            <v>0</v>
          </cell>
          <cell r="AW218">
            <v>23</v>
          </cell>
          <cell r="AX218">
            <v>1</v>
          </cell>
          <cell r="AY218">
            <v>0</v>
          </cell>
          <cell r="AZ218">
            <v>0</v>
          </cell>
          <cell r="BA218">
            <v>0</v>
          </cell>
          <cell r="BB218">
            <v>0</v>
          </cell>
          <cell r="BC218">
            <v>38828</v>
          </cell>
        </row>
        <row r="219">
          <cell r="A219">
            <v>2006</v>
          </cell>
          <cell r="B219">
            <v>2</v>
          </cell>
          <cell r="C219">
            <v>504</v>
          </cell>
          <cell r="D219">
            <v>21</v>
          </cell>
          <cell r="E219">
            <v>792030</v>
          </cell>
          <cell r="F219">
            <v>0</v>
          </cell>
          <cell r="G219" t="str">
            <v>Затраты по ШПЗ (неосновные)</v>
          </cell>
          <cell r="H219">
            <v>2030</v>
          </cell>
          <cell r="I219">
            <v>7920</v>
          </cell>
          <cell r="J219">
            <v>878744.45</v>
          </cell>
          <cell r="K219">
            <v>1</v>
          </cell>
          <cell r="L219">
            <v>0</v>
          </cell>
          <cell r="M219">
            <v>0</v>
          </cell>
          <cell r="N219">
            <v>0</v>
          </cell>
          <cell r="R219">
            <v>0</v>
          </cell>
          <cell r="S219">
            <v>0</v>
          </cell>
          <cell r="T219">
            <v>0</v>
          </cell>
          <cell r="U219">
            <v>42</v>
          </cell>
          <cell r="V219">
            <v>0</v>
          </cell>
          <cell r="W219">
            <v>0</v>
          </cell>
          <cell r="AA219">
            <v>0</v>
          </cell>
          <cell r="AB219">
            <v>0</v>
          </cell>
          <cell r="AC219">
            <v>0</v>
          </cell>
          <cell r="AD219">
            <v>42</v>
          </cell>
          <cell r="AE219">
            <v>312000</v>
          </cell>
          <cell r="AF219">
            <v>0</v>
          </cell>
          <cell r="AI219">
            <v>2251</v>
          </cell>
          <cell r="AK219">
            <v>0</v>
          </cell>
          <cell r="AM219">
            <v>633</v>
          </cell>
          <cell r="AN219">
            <v>1</v>
          </cell>
          <cell r="AO219">
            <v>393216</v>
          </cell>
          <cell r="AQ219">
            <v>0</v>
          </cell>
          <cell r="AR219">
            <v>0</v>
          </cell>
          <cell r="AS219" t="str">
            <v>Ы</v>
          </cell>
          <cell r="AT219" t="str">
            <v>Ы</v>
          </cell>
          <cell r="AU219">
            <v>0</v>
          </cell>
          <cell r="AV219">
            <v>0</v>
          </cell>
          <cell r="AW219">
            <v>23</v>
          </cell>
          <cell r="AX219">
            <v>1</v>
          </cell>
          <cell r="AY219">
            <v>0</v>
          </cell>
          <cell r="AZ219">
            <v>0</v>
          </cell>
          <cell r="BA219">
            <v>0</v>
          </cell>
          <cell r="BB219">
            <v>0</v>
          </cell>
          <cell r="BC219">
            <v>38828</v>
          </cell>
        </row>
        <row r="220">
          <cell r="A220">
            <v>2006</v>
          </cell>
          <cell r="B220">
            <v>2</v>
          </cell>
          <cell r="C220">
            <v>505</v>
          </cell>
          <cell r="D220">
            <v>21</v>
          </cell>
          <cell r="E220">
            <v>792030</v>
          </cell>
          <cell r="F220">
            <v>0</v>
          </cell>
          <cell r="G220" t="str">
            <v>Затраты по ШПЗ (неосновные)</v>
          </cell>
          <cell r="H220">
            <v>2030</v>
          </cell>
          <cell r="I220">
            <v>7920</v>
          </cell>
          <cell r="J220">
            <v>48297.71</v>
          </cell>
          <cell r="K220">
            <v>1</v>
          </cell>
          <cell r="L220">
            <v>0</v>
          </cell>
          <cell r="M220">
            <v>0</v>
          </cell>
          <cell r="N220">
            <v>0</v>
          </cell>
          <cell r="R220">
            <v>0</v>
          </cell>
          <cell r="S220">
            <v>0</v>
          </cell>
          <cell r="T220">
            <v>0</v>
          </cell>
          <cell r="U220">
            <v>42</v>
          </cell>
          <cell r="V220">
            <v>0</v>
          </cell>
          <cell r="W220">
            <v>0</v>
          </cell>
          <cell r="AA220">
            <v>0</v>
          </cell>
          <cell r="AB220">
            <v>0</v>
          </cell>
          <cell r="AC220">
            <v>0</v>
          </cell>
          <cell r="AD220">
            <v>42</v>
          </cell>
          <cell r="AE220">
            <v>313000</v>
          </cell>
          <cell r="AF220">
            <v>0</v>
          </cell>
          <cell r="AI220">
            <v>2251</v>
          </cell>
          <cell r="AK220">
            <v>0</v>
          </cell>
          <cell r="AM220">
            <v>634</v>
          </cell>
          <cell r="AN220">
            <v>1</v>
          </cell>
          <cell r="AO220">
            <v>393216</v>
          </cell>
          <cell r="AQ220">
            <v>0</v>
          </cell>
          <cell r="AR220">
            <v>0</v>
          </cell>
          <cell r="AS220" t="str">
            <v>Ы</v>
          </cell>
          <cell r="AT220" t="str">
            <v>Ы</v>
          </cell>
          <cell r="AU220">
            <v>0</v>
          </cell>
          <cell r="AV220">
            <v>0</v>
          </cell>
          <cell r="AW220">
            <v>23</v>
          </cell>
          <cell r="AX220">
            <v>1</v>
          </cell>
          <cell r="AY220">
            <v>0</v>
          </cell>
          <cell r="AZ220">
            <v>0</v>
          </cell>
          <cell r="BA220">
            <v>0</v>
          </cell>
          <cell r="BB220">
            <v>0</v>
          </cell>
          <cell r="BC220">
            <v>38828</v>
          </cell>
        </row>
        <row r="221">
          <cell r="A221">
            <v>2006</v>
          </cell>
          <cell r="B221">
            <v>2</v>
          </cell>
          <cell r="C221">
            <v>506</v>
          </cell>
          <cell r="D221">
            <v>21</v>
          </cell>
          <cell r="E221">
            <v>792030</v>
          </cell>
          <cell r="F221">
            <v>0</v>
          </cell>
          <cell r="G221" t="str">
            <v>Затраты по ШПЗ (неосновные)</v>
          </cell>
          <cell r="H221">
            <v>2030</v>
          </cell>
          <cell r="I221">
            <v>7920</v>
          </cell>
          <cell r="J221">
            <v>87813.74</v>
          </cell>
          <cell r="K221">
            <v>1</v>
          </cell>
          <cell r="L221">
            <v>0</v>
          </cell>
          <cell r="M221">
            <v>0</v>
          </cell>
          <cell r="N221">
            <v>0</v>
          </cell>
          <cell r="R221">
            <v>0</v>
          </cell>
          <cell r="S221">
            <v>0</v>
          </cell>
          <cell r="T221">
            <v>0</v>
          </cell>
          <cell r="U221">
            <v>42</v>
          </cell>
          <cell r="V221">
            <v>0</v>
          </cell>
          <cell r="W221">
            <v>0</v>
          </cell>
          <cell r="AA221">
            <v>0</v>
          </cell>
          <cell r="AB221">
            <v>0</v>
          </cell>
          <cell r="AC221">
            <v>0</v>
          </cell>
          <cell r="AD221">
            <v>42</v>
          </cell>
          <cell r="AE221">
            <v>314000</v>
          </cell>
          <cell r="AF221">
            <v>0</v>
          </cell>
          <cell r="AI221">
            <v>2251</v>
          </cell>
          <cell r="AK221">
            <v>0</v>
          </cell>
          <cell r="AM221">
            <v>635</v>
          </cell>
          <cell r="AN221">
            <v>1</v>
          </cell>
          <cell r="AO221">
            <v>393216</v>
          </cell>
          <cell r="AQ221">
            <v>0</v>
          </cell>
          <cell r="AR221">
            <v>0</v>
          </cell>
          <cell r="AS221" t="str">
            <v>Ы</v>
          </cell>
          <cell r="AT221" t="str">
            <v>Ы</v>
          </cell>
          <cell r="AU221">
            <v>0</v>
          </cell>
          <cell r="AV221">
            <v>0</v>
          </cell>
          <cell r="AW221">
            <v>23</v>
          </cell>
          <cell r="AX221">
            <v>1</v>
          </cell>
          <cell r="AY221">
            <v>0</v>
          </cell>
          <cell r="AZ221">
            <v>0</v>
          </cell>
          <cell r="BA221">
            <v>0</v>
          </cell>
          <cell r="BB221">
            <v>0</v>
          </cell>
          <cell r="BC221">
            <v>38828</v>
          </cell>
        </row>
        <row r="222">
          <cell r="A222">
            <v>2006</v>
          </cell>
          <cell r="B222">
            <v>2</v>
          </cell>
          <cell r="C222">
            <v>507</v>
          </cell>
          <cell r="D222">
            <v>21</v>
          </cell>
          <cell r="E222">
            <v>792030</v>
          </cell>
          <cell r="F222">
            <v>0</v>
          </cell>
          <cell r="G222" t="str">
            <v>Затраты по ШПЗ (неосновные)</v>
          </cell>
          <cell r="H222">
            <v>2030</v>
          </cell>
          <cell r="I222">
            <v>7920</v>
          </cell>
          <cell r="J222">
            <v>17573.16</v>
          </cell>
          <cell r="K222">
            <v>1</v>
          </cell>
          <cell r="L222">
            <v>0</v>
          </cell>
          <cell r="M222">
            <v>0</v>
          </cell>
          <cell r="N222">
            <v>0</v>
          </cell>
          <cell r="R222">
            <v>0</v>
          </cell>
          <cell r="S222">
            <v>0</v>
          </cell>
          <cell r="T222">
            <v>0</v>
          </cell>
          <cell r="U222">
            <v>42</v>
          </cell>
          <cell r="V222">
            <v>0</v>
          </cell>
          <cell r="W222">
            <v>0</v>
          </cell>
          <cell r="AA222">
            <v>0</v>
          </cell>
          <cell r="AB222">
            <v>0</v>
          </cell>
          <cell r="AC222">
            <v>0</v>
          </cell>
          <cell r="AD222">
            <v>42</v>
          </cell>
          <cell r="AE222">
            <v>315000</v>
          </cell>
          <cell r="AF222">
            <v>0</v>
          </cell>
          <cell r="AI222">
            <v>2251</v>
          </cell>
          <cell r="AK222">
            <v>0</v>
          </cell>
          <cell r="AM222">
            <v>636</v>
          </cell>
          <cell r="AN222">
            <v>1</v>
          </cell>
          <cell r="AO222">
            <v>393216</v>
          </cell>
          <cell r="AQ222">
            <v>0</v>
          </cell>
          <cell r="AR222">
            <v>0</v>
          </cell>
          <cell r="AS222" t="str">
            <v>Ы</v>
          </cell>
          <cell r="AT222" t="str">
            <v>Ы</v>
          </cell>
          <cell r="AU222">
            <v>0</v>
          </cell>
          <cell r="AV222">
            <v>0</v>
          </cell>
          <cell r="AW222">
            <v>23</v>
          </cell>
          <cell r="AX222">
            <v>1</v>
          </cell>
          <cell r="AY222">
            <v>0</v>
          </cell>
          <cell r="AZ222">
            <v>0</v>
          </cell>
          <cell r="BA222">
            <v>0</v>
          </cell>
          <cell r="BB222">
            <v>0</v>
          </cell>
          <cell r="BC222">
            <v>38828</v>
          </cell>
        </row>
        <row r="223">
          <cell r="A223">
            <v>2006</v>
          </cell>
          <cell r="B223">
            <v>2</v>
          </cell>
          <cell r="C223">
            <v>508</v>
          </cell>
          <cell r="D223">
            <v>21</v>
          </cell>
          <cell r="E223">
            <v>792030</v>
          </cell>
          <cell r="F223">
            <v>0</v>
          </cell>
          <cell r="G223" t="str">
            <v>Затраты по ШПЗ (неосновные)</v>
          </cell>
          <cell r="H223">
            <v>2030</v>
          </cell>
          <cell r="I223">
            <v>7920</v>
          </cell>
          <cell r="J223">
            <v>2621.2399999999998</v>
          </cell>
          <cell r="K223">
            <v>1</v>
          </cell>
          <cell r="L223">
            <v>0</v>
          </cell>
          <cell r="M223">
            <v>0</v>
          </cell>
          <cell r="N223">
            <v>0</v>
          </cell>
          <cell r="R223">
            <v>0</v>
          </cell>
          <cell r="S223">
            <v>0</v>
          </cell>
          <cell r="T223">
            <v>0</v>
          </cell>
          <cell r="U223">
            <v>42</v>
          </cell>
          <cell r="V223">
            <v>0</v>
          </cell>
          <cell r="W223">
            <v>0</v>
          </cell>
          <cell r="AA223">
            <v>0</v>
          </cell>
          <cell r="AB223">
            <v>0</v>
          </cell>
          <cell r="AC223">
            <v>0</v>
          </cell>
          <cell r="AD223">
            <v>42</v>
          </cell>
          <cell r="AE223">
            <v>410000</v>
          </cell>
          <cell r="AF223">
            <v>0</v>
          </cell>
          <cell r="AI223">
            <v>2251</v>
          </cell>
          <cell r="AK223">
            <v>0</v>
          </cell>
          <cell r="AM223">
            <v>637</v>
          </cell>
          <cell r="AN223">
            <v>1</v>
          </cell>
          <cell r="AO223">
            <v>393216</v>
          </cell>
          <cell r="AQ223">
            <v>0</v>
          </cell>
          <cell r="AR223">
            <v>0</v>
          </cell>
          <cell r="AS223" t="str">
            <v>Ы</v>
          </cell>
          <cell r="AT223" t="str">
            <v>Ы</v>
          </cell>
          <cell r="AU223">
            <v>0</v>
          </cell>
          <cell r="AV223">
            <v>0</v>
          </cell>
          <cell r="AW223">
            <v>23</v>
          </cell>
          <cell r="AX223">
            <v>1</v>
          </cell>
          <cell r="AY223">
            <v>0</v>
          </cell>
          <cell r="AZ223">
            <v>0</v>
          </cell>
          <cell r="BA223">
            <v>0</v>
          </cell>
          <cell r="BB223">
            <v>0</v>
          </cell>
          <cell r="BC223">
            <v>38828</v>
          </cell>
        </row>
        <row r="224">
          <cell r="A224">
            <v>2006</v>
          </cell>
          <cell r="B224">
            <v>2</v>
          </cell>
          <cell r="C224">
            <v>509</v>
          </cell>
          <cell r="D224">
            <v>21</v>
          </cell>
          <cell r="E224">
            <v>792030</v>
          </cell>
          <cell r="F224">
            <v>0</v>
          </cell>
          <cell r="G224" t="str">
            <v>Затраты по ШПЗ (неосновные)</v>
          </cell>
          <cell r="H224">
            <v>2030</v>
          </cell>
          <cell r="I224">
            <v>7920</v>
          </cell>
          <cell r="J224">
            <v>42337.4</v>
          </cell>
          <cell r="K224">
            <v>1</v>
          </cell>
          <cell r="L224">
            <v>0</v>
          </cell>
          <cell r="M224">
            <v>0</v>
          </cell>
          <cell r="N224">
            <v>0</v>
          </cell>
          <cell r="R224">
            <v>0</v>
          </cell>
          <cell r="S224">
            <v>0</v>
          </cell>
          <cell r="T224">
            <v>0</v>
          </cell>
          <cell r="U224">
            <v>42</v>
          </cell>
          <cell r="V224">
            <v>0</v>
          </cell>
          <cell r="W224">
            <v>0</v>
          </cell>
          <cell r="AA224">
            <v>0</v>
          </cell>
          <cell r="AB224">
            <v>0</v>
          </cell>
          <cell r="AC224">
            <v>0</v>
          </cell>
          <cell r="AD224">
            <v>42</v>
          </cell>
          <cell r="AE224">
            <v>420000</v>
          </cell>
          <cell r="AF224">
            <v>0</v>
          </cell>
          <cell r="AI224">
            <v>2251</v>
          </cell>
          <cell r="AK224">
            <v>0</v>
          </cell>
          <cell r="AM224">
            <v>638</v>
          </cell>
          <cell r="AN224">
            <v>1</v>
          </cell>
          <cell r="AO224">
            <v>393216</v>
          </cell>
          <cell r="AQ224">
            <v>0</v>
          </cell>
          <cell r="AR224">
            <v>0</v>
          </cell>
          <cell r="AS224" t="str">
            <v>Ы</v>
          </cell>
          <cell r="AT224" t="str">
            <v>Ы</v>
          </cell>
          <cell r="AU224">
            <v>0</v>
          </cell>
          <cell r="AV224">
            <v>0</v>
          </cell>
          <cell r="AW224">
            <v>23</v>
          </cell>
          <cell r="AX224">
            <v>1</v>
          </cell>
          <cell r="AY224">
            <v>0</v>
          </cell>
          <cell r="AZ224">
            <v>0</v>
          </cell>
          <cell r="BA224">
            <v>0</v>
          </cell>
          <cell r="BB224">
            <v>0</v>
          </cell>
          <cell r="BC224">
            <v>38828</v>
          </cell>
        </row>
        <row r="225">
          <cell r="A225">
            <v>2006</v>
          </cell>
          <cell r="B225">
            <v>2</v>
          </cell>
          <cell r="C225">
            <v>510</v>
          </cell>
          <cell r="D225">
            <v>21</v>
          </cell>
          <cell r="E225">
            <v>792030</v>
          </cell>
          <cell r="F225">
            <v>0</v>
          </cell>
          <cell r="G225" t="str">
            <v>Затраты по ШПЗ (неосновные)</v>
          </cell>
          <cell r="H225">
            <v>2030</v>
          </cell>
          <cell r="I225">
            <v>7920</v>
          </cell>
          <cell r="J225">
            <v>6431.39</v>
          </cell>
          <cell r="K225">
            <v>1</v>
          </cell>
          <cell r="L225">
            <v>0</v>
          </cell>
          <cell r="M225">
            <v>0</v>
          </cell>
          <cell r="N225">
            <v>0</v>
          </cell>
          <cell r="R225">
            <v>0</v>
          </cell>
          <cell r="S225">
            <v>0</v>
          </cell>
          <cell r="T225">
            <v>0</v>
          </cell>
          <cell r="U225">
            <v>42</v>
          </cell>
          <cell r="V225">
            <v>0</v>
          </cell>
          <cell r="W225">
            <v>0</v>
          </cell>
          <cell r="AA225">
            <v>0</v>
          </cell>
          <cell r="AB225">
            <v>0</v>
          </cell>
          <cell r="AC225">
            <v>0</v>
          </cell>
          <cell r="AD225">
            <v>42</v>
          </cell>
          <cell r="AE225">
            <v>430000</v>
          </cell>
          <cell r="AF225">
            <v>0</v>
          </cell>
          <cell r="AI225">
            <v>2251</v>
          </cell>
          <cell r="AK225">
            <v>0</v>
          </cell>
          <cell r="AM225">
            <v>639</v>
          </cell>
          <cell r="AN225">
            <v>1</v>
          </cell>
          <cell r="AO225">
            <v>393216</v>
          </cell>
          <cell r="AQ225">
            <v>0</v>
          </cell>
          <cell r="AR225">
            <v>0</v>
          </cell>
          <cell r="AS225" t="str">
            <v>Ы</v>
          </cell>
          <cell r="AT225" t="str">
            <v>Ы</v>
          </cell>
          <cell r="AU225">
            <v>0</v>
          </cell>
          <cell r="AV225">
            <v>0</v>
          </cell>
          <cell r="AW225">
            <v>23</v>
          </cell>
          <cell r="AX225">
            <v>1</v>
          </cell>
          <cell r="AY225">
            <v>0</v>
          </cell>
          <cell r="AZ225">
            <v>0</v>
          </cell>
          <cell r="BA225">
            <v>0</v>
          </cell>
          <cell r="BB225">
            <v>0</v>
          </cell>
          <cell r="BC225">
            <v>38828</v>
          </cell>
        </row>
        <row r="226">
          <cell r="A226">
            <v>2006</v>
          </cell>
          <cell r="B226">
            <v>2</v>
          </cell>
          <cell r="C226">
            <v>511</v>
          </cell>
          <cell r="D226">
            <v>21</v>
          </cell>
          <cell r="E226">
            <v>792030</v>
          </cell>
          <cell r="F226">
            <v>0</v>
          </cell>
          <cell r="G226" t="str">
            <v>Затраты по ШПЗ (неосновные)</v>
          </cell>
          <cell r="H226">
            <v>2030</v>
          </cell>
          <cell r="I226">
            <v>7920</v>
          </cell>
          <cell r="J226">
            <v>4051.88</v>
          </cell>
          <cell r="K226">
            <v>1</v>
          </cell>
          <cell r="L226">
            <v>0</v>
          </cell>
          <cell r="M226">
            <v>0</v>
          </cell>
          <cell r="N226">
            <v>0</v>
          </cell>
          <cell r="R226">
            <v>0</v>
          </cell>
          <cell r="S226">
            <v>0</v>
          </cell>
          <cell r="T226">
            <v>0</v>
          </cell>
          <cell r="U226">
            <v>42</v>
          </cell>
          <cell r="V226">
            <v>0</v>
          </cell>
          <cell r="W226">
            <v>0</v>
          </cell>
          <cell r="AA226">
            <v>0</v>
          </cell>
          <cell r="AB226">
            <v>0</v>
          </cell>
          <cell r="AC226">
            <v>0</v>
          </cell>
          <cell r="AD226">
            <v>42</v>
          </cell>
          <cell r="AE226">
            <v>450000</v>
          </cell>
          <cell r="AF226">
            <v>0</v>
          </cell>
          <cell r="AI226">
            <v>2251</v>
          </cell>
          <cell r="AK226">
            <v>0</v>
          </cell>
          <cell r="AM226">
            <v>640</v>
          </cell>
          <cell r="AN226">
            <v>1</v>
          </cell>
          <cell r="AO226">
            <v>393216</v>
          </cell>
          <cell r="AQ226">
            <v>0</v>
          </cell>
          <cell r="AR226">
            <v>0</v>
          </cell>
          <cell r="AS226" t="str">
            <v>Ы</v>
          </cell>
          <cell r="AT226" t="str">
            <v>Ы</v>
          </cell>
          <cell r="AU226">
            <v>0</v>
          </cell>
          <cell r="AV226">
            <v>0</v>
          </cell>
          <cell r="AW226">
            <v>23</v>
          </cell>
          <cell r="AX226">
            <v>1</v>
          </cell>
          <cell r="AY226">
            <v>0</v>
          </cell>
          <cell r="AZ226">
            <v>0</v>
          </cell>
          <cell r="BA226">
            <v>0</v>
          </cell>
          <cell r="BB226">
            <v>0</v>
          </cell>
          <cell r="BC226">
            <v>38828</v>
          </cell>
        </row>
        <row r="227">
          <cell r="A227">
            <v>2006</v>
          </cell>
          <cell r="B227">
            <v>2</v>
          </cell>
          <cell r="C227">
            <v>512</v>
          </cell>
          <cell r="D227">
            <v>21</v>
          </cell>
          <cell r="E227">
            <v>792030</v>
          </cell>
          <cell r="F227">
            <v>0</v>
          </cell>
          <cell r="G227" t="str">
            <v>Затраты по ШПЗ (неосновные)</v>
          </cell>
          <cell r="H227">
            <v>2030</v>
          </cell>
          <cell r="I227">
            <v>7920</v>
          </cell>
          <cell r="J227">
            <v>1009.97</v>
          </cell>
          <cell r="K227">
            <v>1</v>
          </cell>
          <cell r="L227">
            <v>0</v>
          </cell>
          <cell r="M227">
            <v>0</v>
          </cell>
          <cell r="N227">
            <v>0</v>
          </cell>
          <cell r="R227">
            <v>0</v>
          </cell>
          <cell r="S227">
            <v>0</v>
          </cell>
          <cell r="T227">
            <v>0</v>
          </cell>
          <cell r="U227">
            <v>42</v>
          </cell>
          <cell r="V227">
            <v>0</v>
          </cell>
          <cell r="W227">
            <v>0</v>
          </cell>
          <cell r="AA227">
            <v>0</v>
          </cell>
          <cell r="AB227">
            <v>0</v>
          </cell>
          <cell r="AC227">
            <v>0</v>
          </cell>
          <cell r="AD227">
            <v>42</v>
          </cell>
          <cell r="AE227">
            <v>460000</v>
          </cell>
          <cell r="AF227">
            <v>0</v>
          </cell>
          <cell r="AI227">
            <v>2251</v>
          </cell>
          <cell r="AK227">
            <v>0</v>
          </cell>
          <cell r="AM227">
            <v>641</v>
          </cell>
          <cell r="AN227">
            <v>1</v>
          </cell>
          <cell r="AO227">
            <v>393216</v>
          </cell>
          <cell r="AQ227">
            <v>0</v>
          </cell>
          <cell r="AR227">
            <v>0</v>
          </cell>
          <cell r="AS227" t="str">
            <v>Ы</v>
          </cell>
          <cell r="AT227" t="str">
            <v>Ы</v>
          </cell>
          <cell r="AU227">
            <v>0</v>
          </cell>
          <cell r="AV227">
            <v>0</v>
          </cell>
          <cell r="AW227">
            <v>23</v>
          </cell>
          <cell r="AX227">
            <v>1</v>
          </cell>
          <cell r="AY227">
            <v>0</v>
          </cell>
          <cell r="AZ227">
            <v>0</v>
          </cell>
          <cell r="BA227">
            <v>0</v>
          </cell>
          <cell r="BB227">
            <v>0</v>
          </cell>
          <cell r="BC227">
            <v>38828</v>
          </cell>
        </row>
        <row r="228">
          <cell r="A228">
            <v>2006</v>
          </cell>
          <cell r="B228">
            <v>2</v>
          </cell>
          <cell r="C228">
            <v>513</v>
          </cell>
          <cell r="D228">
            <v>21</v>
          </cell>
          <cell r="E228">
            <v>792030</v>
          </cell>
          <cell r="F228">
            <v>0</v>
          </cell>
          <cell r="G228" t="str">
            <v>Затраты по ШПЗ (неосновные)</v>
          </cell>
          <cell r="H228">
            <v>2030</v>
          </cell>
          <cell r="I228">
            <v>7920</v>
          </cell>
          <cell r="J228">
            <v>39.770000000000003</v>
          </cell>
          <cell r="K228">
            <v>1</v>
          </cell>
          <cell r="L228">
            <v>0</v>
          </cell>
          <cell r="M228">
            <v>0</v>
          </cell>
          <cell r="N228">
            <v>0</v>
          </cell>
          <cell r="R228">
            <v>0</v>
          </cell>
          <cell r="S228">
            <v>0</v>
          </cell>
          <cell r="T228">
            <v>0</v>
          </cell>
          <cell r="U228">
            <v>42</v>
          </cell>
          <cell r="V228">
            <v>0</v>
          </cell>
          <cell r="W228">
            <v>0</v>
          </cell>
          <cell r="AA228">
            <v>0</v>
          </cell>
          <cell r="AB228">
            <v>0</v>
          </cell>
          <cell r="AC228">
            <v>0</v>
          </cell>
          <cell r="AD228">
            <v>42</v>
          </cell>
          <cell r="AE228">
            <v>465000</v>
          </cell>
          <cell r="AF228">
            <v>0</v>
          </cell>
          <cell r="AI228">
            <v>2251</v>
          </cell>
          <cell r="AK228">
            <v>0</v>
          </cell>
          <cell r="AM228">
            <v>642</v>
          </cell>
          <cell r="AN228">
            <v>1</v>
          </cell>
          <cell r="AO228">
            <v>393216</v>
          </cell>
          <cell r="AQ228">
            <v>0</v>
          </cell>
          <cell r="AR228">
            <v>0</v>
          </cell>
          <cell r="AS228" t="str">
            <v>Ы</v>
          </cell>
          <cell r="AT228" t="str">
            <v>Ы</v>
          </cell>
          <cell r="AU228">
            <v>0</v>
          </cell>
          <cell r="AV228">
            <v>0</v>
          </cell>
          <cell r="AW228">
            <v>23</v>
          </cell>
          <cell r="AX228">
            <v>1</v>
          </cell>
          <cell r="AY228">
            <v>0</v>
          </cell>
          <cell r="AZ228">
            <v>0</v>
          </cell>
          <cell r="BA228">
            <v>0</v>
          </cell>
          <cell r="BB228">
            <v>0</v>
          </cell>
          <cell r="BC228">
            <v>38828</v>
          </cell>
        </row>
        <row r="229">
          <cell r="A229">
            <v>2006</v>
          </cell>
          <cell r="B229">
            <v>2</v>
          </cell>
          <cell r="C229">
            <v>514</v>
          </cell>
          <cell r="D229">
            <v>21</v>
          </cell>
          <cell r="E229">
            <v>792030</v>
          </cell>
          <cell r="F229">
            <v>0</v>
          </cell>
          <cell r="G229" t="str">
            <v>Затраты по ШПЗ (неосновные)</v>
          </cell>
          <cell r="H229">
            <v>2030</v>
          </cell>
          <cell r="I229">
            <v>7920</v>
          </cell>
          <cell r="J229">
            <v>78250.55</v>
          </cell>
          <cell r="K229">
            <v>1</v>
          </cell>
          <cell r="L229">
            <v>0</v>
          </cell>
          <cell r="M229">
            <v>0</v>
          </cell>
          <cell r="N229">
            <v>0</v>
          </cell>
          <cell r="R229">
            <v>0</v>
          </cell>
          <cell r="S229">
            <v>0</v>
          </cell>
          <cell r="T229">
            <v>0</v>
          </cell>
          <cell r="U229">
            <v>42</v>
          </cell>
          <cell r="V229">
            <v>0</v>
          </cell>
          <cell r="W229">
            <v>0</v>
          </cell>
          <cell r="AA229">
            <v>0</v>
          </cell>
          <cell r="AB229">
            <v>0</v>
          </cell>
          <cell r="AC229">
            <v>0</v>
          </cell>
          <cell r="AD229">
            <v>42</v>
          </cell>
          <cell r="AE229">
            <v>502100</v>
          </cell>
          <cell r="AF229">
            <v>0</v>
          </cell>
          <cell r="AI229">
            <v>2251</v>
          </cell>
          <cell r="AK229">
            <v>0</v>
          </cell>
          <cell r="AM229">
            <v>643</v>
          </cell>
          <cell r="AN229">
            <v>1</v>
          </cell>
          <cell r="AO229">
            <v>393216</v>
          </cell>
          <cell r="AQ229">
            <v>0</v>
          </cell>
          <cell r="AR229">
            <v>0</v>
          </cell>
          <cell r="AS229" t="str">
            <v>Ы</v>
          </cell>
          <cell r="AT229" t="str">
            <v>Ы</v>
          </cell>
          <cell r="AU229">
            <v>0</v>
          </cell>
          <cell r="AV229">
            <v>0</v>
          </cell>
          <cell r="AW229">
            <v>23</v>
          </cell>
          <cell r="AX229">
            <v>1</v>
          </cell>
          <cell r="AY229">
            <v>0</v>
          </cell>
          <cell r="AZ229">
            <v>0</v>
          </cell>
          <cell r="BA229">
            <v>0</v>
          </cell>
          <cell r="BB229">
            <v>0</v>
          </cell>
          <cell r="BC229">
            <v>38828</v>
          </cell>
        </row>
        <row r="230">
          <cell r="A230">
            <v>2006</v>
          </cell>
          <cell r="B230">
            <v>2</v>
          </cell>
          <cell r="C230">
            <v>515</v>
          </cell>
          <cell r="D230">
            <v>21</v>
          </cell>
          <cell r="E230">
            <v>792030</v>
          </cell>
          <cell r="F230">
            <v>0</v>
          </cell>
          <cell r="G230" t="str">
            <v>Затраты по ШПЗ (неосновные)</v>
          </cell>
          <cell r="H230">
            <v>2030</v>
          </cell>
          <cell r="I230">
            <v>7920</v>
          </cell>
          <cell r="J230">
            <v>21591.85</v>
          </cell>
          <cell r="K230">
            <v>1</v>
          </cell>
          <cell r="L230">
            <v>0</v>
          </cell>
          <cell r="M230">
            <v>0</v>
          </cell>
          <cell r="N230">
            <v>0</v>
          </cell>
          <cell r="R230">
            <v>0</v>
          </cell>
          <cell r="S230">
            <v>0</v>
          </cell>
          <cell r="T230">
            <v>0</v>
          </cell>
          <cell r="U230">
            <v>42</v>
          </cell>
          <cell r="V230">
            <v>0</v>
          </cell>
          <cell r="W230">
            <v>0</v>
          </cell>
          <cell r="AA230">
            <v>0</v>
          </cell>
          <cell r="AB230">
            <v>0</v>
          </cell>
          <cell r="AC230">
            <v>0</v>
          </cell>
          <cell r="AD230">
            <v>42</v>
          </cell>
          <cell r="AE230">
            <v>503000</v>
          </cell>
          <cell r="AF230">
            <v>0</v>
          </cell>
          <cell r="AI230">
            <v>2251</v>
          </cell>
          <cell r="AK230">
            <v>0</v>
          </cell>
          <cell r="AM230">
            <v>644</v>
          </cell>
          <cell r="AN230">
            <v>1</v>
          </cell>
          <cell r="AO230">
            <v>393216</v>
          </cell>
          <cell r="AQ230">
            <v>0</v>
          </cell>
          <cell r="AR230">
            <v>0</v>
          </cell>
          <cell r="AS230" t="str">
            <v>Ы</v>
          </cell>
          <cell r="AT230" t="str">
            <v>Ы</v>
          </cell>
          <cell r="AU230">
            <v>0</v>
          </cell>
          <cell r="AV230">
            <v>0</v>
          </cell>
          <cell r="AW230">
            <v>23</v>
          </cell>
          <cell r="AX230">
            <v>1</v>
          </cell>
          <cell r="AY230">
            <v>0</v>
          </cell>
          <cell r="AZ230">
            <v>0</v>
          </cell>
          <cell r="BA230">
            <v>0</v>
          </cell>
          <cell r="BB230">
            <v>0</v>
          </cell>
          <cell r="BC230">
            <v>38828</v>
          </cell>
        </row>
        <row r="231">
          <cell r="A231">
            <v>2006</v>
          </cell>
          <cell r="B231">
            <v>2</v>
          </cell>
          <cell r="C231">
            <v>516</v>
          </cell>
          <cell r="D231">
            <v>21</v>
          </cell>
          <cell r="E231">
            <v>792030</v>
          </cell>
          <cell r="F231">
            <v>0</v>
          </cell>
          <cell r="G231" t="str">
            <v>Затраты по ШПЗ (неосновные)</v>
          </cell>
          <cell r="H231">
            <v>2030</v>
          </cell>
          <cell r="I231">
            <v>7920</v>
          </cell>
          <cell r="J231">
            <v>1377.62</v>
          </cell>
          <cell r="K231">
            <v>1</v>
          </cell>
          <cell r="L231">
            <v>0</v>
          </cell>
          <cell r="M231">
            <v>0</v>
          </cell>
          <cell r="N231">
            <v>0</v>
          </cell>
          <cell r="R231">
            <v>0</v>
          </cell>
          <cell r="S231">
            <v>0</v>
          </cell>
          <cell r="T231">
            <v>0</v>
          </cell>
          <cell r="U231">
            <v>42</v>
          </cell>
          <cell r="V231">
            <v>0</v>
          </cell>
          <cell r="W231">
            <v>0</v>
          </cell>
          <cell r="AA231">
            <v>0</v>
          </cell>
          <cell r="AB231">
            <v>0</v>
          </cell>
          <cell r="AC231">
            <v>0</v>
          </cell>
          <cell r="AD231">
            <v>42</v>
          </cell>
          <cell r="AE231">
            <v>504900</v>
          </cell>
          <cell r="AF231">
            <v>0</v>
          </cell>
          <cell r="AI231">
            <v>2251</v>
          </cell>
          <cell r="AK231">
            <v>0</v>
          </cell>
          <cell r="AM231">
            <v>645</v>
          </cell>
          <cell r="AN231">
            <v>1</v>
          </cell>
          <cell r="AO231">
            <v>393216</v>
          </cell>
          <cell r="AQ231">
            <v>0</v>
          </cell>
          <cell r="AR231">
            <v>0</v>
          </cell>
          <cell r="AS231" t="str">
            <v>Ы</v>
          </cell>
          <cell r="AT231" t="str">
            <v>Ы</v>
          </cell>
          <cell r="AU231">
            <v>0</v>
          </cell>
          <cell r="AV231">
            <v>0</v>
          </cell>
          <cell r="AW231">
            <v>23</v>
          </cell>
          <cell r="AX231">
            <v>1</v>
          </cell>
          <cell r="AY231">
            <v>0</v>
          </cell>
          <cell r="AZ231">
            <v>0</v>
          </cell>
          <cell r="BA231">
            <v>0</v>
          </cell>
          <cell r="BB231">
            <v>0</v>
          </cell>
          <cell r="BC231">
            <v>38828</v>
          </cell>
        </row>
        <row r="232">
          <cell r="A232">
            <v>2006</v>
          </cell>
          <cell r="B232">
            <v>2</v>
          </cell>
          <cell r="C232">
            <v>517</v>
          </cell>
          <cell r="D232">
            <v>21</v>
          </cell>
          <cell r="E232">
            <v>792030</v>
          </cell>
          <cell r="F232">
            <v>0</v>
          </cell>
          <cell r="G232" t="str">
            <v>Затраты по ШПЗ (неосновные)</v>
          </cell>
          <cell r="H232">
            <v>2030</v>
          </cell>
          <cell r="I232">
            <v>7920</v>
          </cell>
          <cell r="J232">
            <v>10318.14</v>
          </cell>
          <cell r="K232">
            <v>1</v>
          </cell>
          <cell r="L232">
            <v>0</v>
          </cell>
          <cell r="M232">
            <v>0</v>
          </cell>
          <cell r="N232">
            <v>0</v>
          </cell>
          <cell r="R232">
            <v>0</v>
          </cell>
          <cell r="S232">
            <v>0</v>
          </cell>
          <cell r="T232">
            <v>0</v>
          </cell>
          <cell r="U232">
            <v>42</v>
          </cell>
          <cell r="V232">
            <v>0</v>
          </cell>
          <cell r="W232">
            <v>0</v>
          </cell>
          <cell r="AA232">
            <v>0</v>
          </cell>
          <cell r="AB232">
            <v>0</v>
          </cell>
          <cell r="AC232">
            <v>0</v>
          </cell>
          <cell r="AD232">
            <v>42</v>
          </cell>
          <cell r="AE232">
            <v>505100</v>
          </cell>
          <cell r="AF232">
            <v>0</v>
          </cell>
          <cell r="AI232">
            <v>2251</v>
          </cell>
          <cell r="AK232">
            <v>0</v>
          </cell>
          <cell r="AM232">
            <v>646</v>
          </cell>
          <cell r="AN232">
            <v>1</v>
          </cell>
          <cell r="AO232">
            <v>393216</v>
          </cell>
          <cell r="AQ232">
            <v>0</v>
          </cell>
          <cell r="AR232">
            <v>0</v>
          </cell>
          <cell r="AS232" t="str">
            <v>Ы</v>
          </cell>
          <cell r="AT232" t="str">
            <v>Ы</v>
          </cell>
          <cell r="AU232">
            <v>0</v>
          </cell>
          <cell r="AV232">
            <v>0</v>
          </cell>
          <cell r="AW232">
            <v>23</v>
          </cell>
          <cell r="AX232">
            <v>1</v>
          </cell>
          <cell r="AY232">
            <v>0</v>
          </cell>
          <cell r="AZ232">
            <v>0</v>
          </cell>
          <cell r="BA232">
            <v>0</v>
          </cell>
          <cell r="BB232">
            <v>0</v>
          </cell>
          <cell r="BC232">
            <v>38828</v>
          </cell>
        </row>
        <row r="233">
          <cell r="A233">
            <v>2006</v>
          </cell>
          <cell r="B233">
            <v>2</v>
          </cell>
          <cell r="C233">
            <v>518</v>
          </cell>
          <cell r="D233">
            <v>21</v>
          </cell>
          <cell r="E233">
            <v>792030</v>
          </cell>
          <cell r="F233">
            <v>0</v>
          </cell>
          <cell r="G233" t="str">
            <v>Затраты по ШПЗ (неосновные)</v>
          </cell>
          <cell r="H233">
            <v>2030</v>
          </cell>
          <cell r="I233">
            <v>7920</v>
          </cell>
          <cell r="J233">
            <v>2636.91</v>
          </cell>
          <cell r="K233">
            <v>1</v>
          </cell>
          <cell r="L233">
            <v>0</v>
          </cell>
          <cell r="M233">
            <v>0</v>
          </cell>
          <cell r="N233">
            <v>0</v>
          </cell>
          <cell r="R233">
            <v>0</v>
          </cell>
          <cell r="S233">
            <v>0</v>
          </cell>
          <cell r="T233">
            <v>0</v>
          </cell>
          <cell r="U233">
            <v>42</v>
          </cell>
          <cell r="V233">
            <v>0</v>
          </cell>
          <cell r="W233">
            <v>0</v>
          </cell>
          <cell r="AA233">
            <v>0</v>
          </cell>
          <cell r="AB233">
            <v>0</v>
          </cell>
          <cell r="AC233">
            <v>0</v>
          </cell>
          <cell r="AD233">
            <v>42</v>
          </cell>
          <cell r="AE233">
            <v>505200</v>
          </cell>
          <cell r="AF233">
            <v>0</v>
          </cell>
          <cell r="AI233">
            <v>2251</v>
          </cell>
          <cell r="AK233">
            <v>0</v>
          </cell>
          <cell r="AM233">
            <v>647</v>
          </cell>
          <cell r="AN233">
            <v>1</v>
          </cell>
          <cell r="AO233">
            <v>393216</v>
          </cell>
          <cell r="AQ233">
            <v>0</v>
          </cell>
          <cell r="AR233">
            <v>0</v>
          </cell>
          <cell r="AS233" t="str">
            <v>Ы</v>
          </cell>
          <cell r="AT233" t="str">
            <v>Ы</v>
          </cell>
          <cell r="AU233">
            <v>0</v>
          </cell>
          <cell r="AV233">
            <v>0</v>
          </cell>
          <cell r="AW233">
            <v>23</v>
          </cell>
          <cell r="AX233">
            <v>1</v>
          </cell>
          <cell r="AY233">
            <v>0</v>
          </cell>
          <cell r="AZ233">
            <v>0</v>
          </cell>
          <cell r="BA233">
            <v>0</v>
          </cell>
          <cell r="BB233">
            <v>0</v>
          </cell>
          <cell r="BC233">
            <v>38828</v>
          </cell>
        </row>
        <row r="234">
          <cell r="A234">
            <v>2006</v>
          </cell>
          <cell r="B234">
            <v>2</v>
          </cell>
          <cell r="C234">
            <v>519</v>
          </cell>
          <cell r="D234">
            <v>21</v>
          </cell>
          <cell r="E234">
            <v>792030</v>
          </cell>
          <cell r="F234">
            <v>0</v>
          </cell>
          <cell r="G234" t="str">
            <v>Затраты по ШПЗ (неосновные)</v>
          </cell>
          <cell r="H234">
            <v>2030</v>
          </cell>
          <cell r="I234">
            <v>7920</v>
          </cell>
          <cell r="J234">
            <v>169.17</v>
          </cell>
          <cell r="K234">
            <v>1</v>
          </cell>
          <cell r="L234">
            <v>0</v>
          </cell>
          <cell r="M234">
            <v>0</v>
          </cell>
          <cell r="N234">
            <v>0</v>
          </cell>
          <cell r="R234">
            <v>0</v>
          </cell>
          <cell r="S234">
            <v>0</v>
          </cell>
          <cell r="T234">
            <v>0</v>
          </cell>
          <cell r="U234">
            <v>42</v>
          </cell>
          <cell r="V234">
            <v>0</v>
          </cell>
          <cell r="W234">
            <v>0</v>
          </cell>
          <cell r="AA234">
            <v>0</v>
          </cell>
          <cell r="AB234">
            <v>0</v>
          </cell>
          <cell r="AC234">
            <v>0</v>
          </cell>
          <cell r="AD234">
            <v>42</v>
          </cell>
          <cell r="AE234">
            <v>505400</v>
          </cell>
          <cell r="AF234">
            <v>0</v>
          </cell>
          <cell r="AI234">
            <v>2251</v>
          </cell>
          <cell r="AK234">
            <v>0</v>
          </cell>
          <cell r="AM234">
            <v>648</v>
          </cell>
          <cell r="AN234">
            <v>1</v>
          </cell>
          <cell r="AO234">
            <v>393216</v>
          </cell>
          <cell r="AQ234">
            <v>0</v>
          </cell>
          <cell r="AR234">
            <v>0</v>
          </cell>
          <cell r="AS234" t="str">
            <v>Ы</v>
          </cell>
          <cell r="AT234" t="str">
            <v>Ы</v>
          </cell>
          <cell r="AU234">
            <v>0</v>
          </cell>
          <cell r="AV234">
            <v>0</v>
          </cell>
          <cell r="AW234">
            <v>23</v>
          </cell>
          <cell r="AX234">
            <v>1</v>
          </cell>
          <cell r="AY234">
            <v>0</v>
          </cell>
          <cell r="AZ234">
            <v>0</v>
          </cell>
          <cell r="BA234">
            <v>0</v>
          </cell>
          <cell r="BB234">
            <v>0</v>
          </cell>
          <cell r="BC234">
            <v>38828</v>
          </cell>
        </row>
        <row r="235">
          <cell r="A235">
            <v>2006</v>
          </cell>
          <cell r="B235">
            <v>2</v>
          </cell>
          <cell r="C235">
            <v>520</v>
          </cell>
          <cell r="D235">
            <v>21</v>
          </cell>
          <cell r="E235">
            <v>792030</v>
          </cell>
          <cell r="F235">
            <v>0</v>
          </cell>
          <cell r="G235" t="str">
            <v>Затраты по ШПЗ (неосновные)</v>
          </cell>
          <cell r="H235">
            <v>2030</v>
          </cell>
          <cell r="I235">
            <v>7920</v>
          </cell>
          <cell r="J235">
            <v>1247.26</v>
          </cell>
          <cell r="K235">
            <v>1</v>
          </cell>
          <cell r="L235">
            <v>0</v>
          </cell>
          <cell r="M235">
            <v>0</v>
          </cell>
          <cell r="N235">
            <v>0</v>
          </cell>
          <cell r="R235">
            <v>0</v>
          </cell>
          <cell r="S235">
            <v>0</v>
          </cell>
          <cell r="T235">
            <v>0</v>
          </cell>
          <cell r="U235">
            <v>42</v>
          </cell>
          <cell r="V235">
            <v>0</v>
          </cell>
          <cell r="W235">
            <v>0</v>
          </cell>
          <cell r="AA235">
            <v>0</v>
          </cell>
          <cell r="AB235">
            <v>0</v>
          </cell>
          <cell r="AC235">
            <v>0</v>
          </cell>
          <cell r="AD235">
            <v>42</v>
          </cell>
          <cell r="AE235">
            <v>506200</v>
          </cell>
          <cell r="AF235">
            <v>0</v>
          </cell>
          <cell r="AI235">
            <v>2251</v>
          </cell>
          <cell r="AK235">
            <v>0</v>
          </cell>
          <cell r="AM235">
            <v>649</v>
          </cell>
          <cell r="AN235">
            <v>1</v>
          </cell>
          <cell r="AO235">
            <v>393216</v>
          </cell>
          <cell r="AQ235">
            <v>0</v>
          </cell>
          <cell r="AR235">
            <v>0</v>
          </cell>
          <cell r="AS235" t="str">
            <v>Ы</v>
          </cell>
          <cell r="AT235" t="str">
            <v>Ы</v>
          </cell>
          <cell r="AU235">
            <v>0</v>
          </cell>
          <cell r="AV235">
            <v>0</v>
          </cell>
          <cell r="AW235">
            <v>23</v>
          </cell>
          <cell r="AX235">
            <v>1</v>
          </cell>
          <cell r="AY235">
            <v>0</v>
          </cell>
          <cell r="AZ235">
            <v>0</v>
          </cell>
          <cell r="BA235">
            <v>0</v>
          </cell>
          <cell r="BB235">
            <v>0</v>
          </cell>
          <cell r="BC235">
            <v>38828</v>
          </cell>
        </row>
        <row r="236">
          <cell r="A236">
            <v>2006</v>
          </cell>
          <cell r="B236">
            <v>2</v>
          </cell>
          <cell r="C236">
            <v>521</v>
          </cell>
          <cell r="D236">
            <v>21</v>
          </cell>
          <cell r="E236">
            <v>792030</v>
          </cell>
          <cell r="F236">
            <v>0</v>
          </cell>
          <cell r="G236" t="str">
            <v>Затраты по ШПЗ (неосновные)</v>
          </cell>
          <cell r="H236">
            <v>2030</v>
          </cell>
          <cell r="I236">
            <v>7920</v>
          </cell>
          <cell r="J236">
            <v>2138.16</v>
          </cell>
          <cell r="K236">
            <v>1</v>
          </cell>
          <cell r="L236">
            <v>0</v>
          </cell>
          <cell r="M236">
            <v>0</v>
          </cell>
          <cell r="N236">
            <v>0</v>
          </cell>
          <cell r="R236">
            <v>0</v>
          </cell>
          <cell r="S236">
            <v>0</v>
          </cell>
          <cell r="T236">
            <v>0</v>
          </cell>
          <cell r="U236">
            <v>42</v>
          </cell>
          <cell r="V236">
            <v>0</v>
          </cell>
          <cell r="W236">
            <v>0</v>
          </cell>
          <cell r="AA236">
            <v>0</v>
          </cell>
          <cell r="AB236">
            <v>0</v>
          </cell>
          <cell r="AC236">
            <v>0</v>
          </cell>
          <cell r="AD236">
            <v>42</v>
          </cell>
          <cell r="AE236">
            <v>508310</v>
          </cell>
          <cell r="AF236">
            <v>0</v>
          </cell>
          <cell r="AI236">
            <v>2251</v>
          </cell>
          <cell r="AK236">
            <v>0</v>
          </cell>
          <cell r="AM236">
            <v>650</v>
          </cell>
          <cell r="AN236">
            <v>1</v>
          </cell>
          <cell r="AO236">
            <v>393216</v>
          </cell>
          <cell r="AQ236">
            <v>0</v>
          </cell>
          <cell r="AR236">
            <v>0</v>
          </cell>
          <cell r="AS236" t="str">
            <v>Ы</v>
          </cell>
          <cell r="AT236" t="str">
            <v>Ы</v>
          </cell>
          <cell r="AU236">
            <v>0</v>
          </cell>
          <cell r="AV236">
            <v>0</v>
          </cell>
          <cell r="AW236">
            <v>23</v>
          </cell>
          <cell r="AX236">
            <v>1</v>
          </cell>
          <cell r="AY236">
            <v>0</v>
          </cell>
          <cell r="AZ236">
            <v>0</v>
          </cell>
          <cell r="BA236">
            <v>0</v>
          </cell>
          <cell r="BB236">
            <v>0</v>
          </cell>
          <cell r="BC236">
            <v>38828</v>
          </cell>
        </row>
        <row r="237">
          <cell r="A237">
            <v>2006</v>
          </cell>
          <cell r="B237">
            <v>2</v>
          </cell>
          <cell r="C237">
            <v>522</v>
          </cell>
          <cell r="D237">
            <v>21</v>
          </cell>
          <cell r="E237">
            <v>792030</v>
          </cell>
          <cell r="F237">
            <v>0</v>
          </cell>
          <cell r="G237" t="str">
            <v>Затраты по ШПЗ (неосновные)</v>
          </cell>
          <cell r="H237">
            <v>2030</v>
          </cell>
          <cell r="I237">
            <v>7920</v>
          </cell>
          <cell r="J237">
            <v>314.31</v>
          </cell>
          <cell r="K237">
            <v>1</v>
          </cell>
          <cell r="L237">
            <v>0</v>
          </cell>
          <cell r="M237">
            <v>0</v>
          </cell>
          <cell r="N237">
            <v>0</v>
          </cell>
          <cell r="R237">
            <v>0</v>
          </cell>
          <cell r="S237">
            <v>0</v>
          </cell>
          <cell r="T237">
            <v>0</v>
          </cell>
          <cell r="U237">
            <v>42</v>
          </cell>
          <cell r="V237">
            <v>0</v>
          </cell>
          <cell r="W237">
            <v>0</v>
          </cell>
          <cell r="AA237">
            <v>0</v>
          </cell>
          <cell r="AB237">
            <v>0</v>
          </cell>
          <cell r="AC237">
            <v>0</v>
          </cell>
          <cell r="AD237">
            <v>42</v>
          </cell>
          <cell r="AE237">
            <v>508700</v>
          </cell>
          <cell r="AF237">
            <v>0</v>
          </cell>
          <cell r="AI237">
            <v>2251</v>
          </cell>
          <cell r="AK237">
            <v>0</v>
          </cell>
          <cell r="AM237">
            <v>651</v>
          </cell>
          <cell r="AN237">
            <v>1</v>
          </cell>
          <cell r="AO237">
            <v>393216</v>
          </cell>
          <cell r="AQ237">
            <v>0</v>
          </cell>
          <cell r="AR237">
            <v>0</v>
          </cell>
          <cell r="AS237" t="str">
            <v>Ы</v>
          </cell>
          <cell r="AT237" t="str">
            <v>Ы</v>
          </cell>
          <cell r="AU237">
            <v>0</v>
          </cell>
          <cell r="AV237">
            <v>0</v>
          </cell>
          <cell r="AW237">
            <v>23</v>
          </cell>
          <cell r="AX237">
            <v>1</v>
          </cell>
          <cell r="AY237">
            <v>0</v>
          </cell>
          <cell r="AZ237">
            <v>0</v>
          </cell>
          <cell r="BA237">
            <v>0</v>
          </cell>
          <cell r="BB237">
            <v>0</v>
          </cell>
          <cell r="BC237">
            <v>38828</v>
          </cell>
        </row>
        <row r="238">
          <cell r="A238">
            <v>2006</v>
          </cell>
          <cell r="B238">
            <v>2</v>
          </cell>
          <cell r="C238">
            <v>523</v>
          </cell>
          <cell r="D238">
            <v>21</v>
          </cell>
          <cell r="E238">
            <v>792030</v>
          </cell>
          <cell r="F238">
            <v>0</v>
          </cell>
          <cell r="G238" t="str">
            <v>Затраты по ШПЗ (неосновные)</v>
          </cell>
          <cell r="H238">
            <v>2030</v>
          </cell>
          <cell r="I238">
            <v>7920</v>
          </cell>
          <cell r="J238">
            <v>33650.519999999997</v>
          </cell>
          <cell r="K238">
            <v>1</v>
          </cell>
          <cell r="L238">
            <v>0</v>
          </cell>
          <cell r="M238">
            <v>0</v>
          </cell>
          <cell r="N238">
            <v>0</v>
          </cell>
          <cell r="R238">
            <v>0</v>
          </cell>
          <cell r="S238">
            <v>0</v>
          </cell>
          <cell r="T238">
            <v>0</v>
          </cell>
          <cell r="U238">
            <v>42</v>
          </cell>
          <cell r="V238">
            <v>0</v>
          </cell>
          <cell r="W238">
            <v>0</v>
          </cell>
          <cell r="AA238">
            <v>0</v>
          </cell>
          <cell r="AB238">
            <v>0</v>
          </cell>
          <cell r="AC238">
            <v>0</v>
          </cell>
          <cell r="AD238">
            <v>42</v>
          </cell>
          <cell r="AE238">
            <v>510100</v>
          </cell>
          <cell r="AF238">
            <v>0</v>
          </cell>
          <cell r="AI238">
            <v>2251</v>
          </cell>
          <cell r="AK238">
            <v>0</v>
          </cell>
          <cell r="AM238">
            <v>652</v>
          </cell>
          <cell r="AN238">
            <v>1</v>
          </cell>
          <cell r="AO238">
            <v>393216</v>
          </cell>
          <cell r="AQ238">
            <v>0</v>
          </cell>
          <cell r="AR238">
            <v>0</v>
          </cell>
          <cell r="AS238" t="str">
            <v>Ы</v>
          </cell>
          <cell r="AT238" t="str">
            <v>Ы</v>
          </cell>
          <cell r="AU238">
            <v>0</v>
          </cell>
          <cell r="AV238">
            <v>0</v>
          </cell>
          <cell r="AW238">
            <v>23</v>
          </cell>
          <cell r="AX238">
            <v>1</v>
          </cell>
          <cell r="AY238">
            <v>0</v>
          </cell>
          <cell r="AZ238">
            <v>0</v>
          </cell>
          <cell r="BA238">
            <v>0</v>
          </cell>
          <cell r="BB238">
            <v>0</v>
          </cell>
          <cell r="BC238">
            <v>38828</v>
          </cell>
        </row>
        <row r="239">
          <cell r="A239">
            <v>2006</v>
          </cell>
          <cell r="B239">
            <v>2</v>
          </cell>
          <cell r="C239">
            <v>524</v>
          </cell>
          <cell r="D239">
            <v>21</v>
          </cell>
          <cell r="E239">
            <v>792030</v>
          </cell>
          <cell r="F239">
            <v>0</v>
          </cell>
          <cell r="G239" t="str">
            <v>Затраты по ШПЗ (неосновные)</v>
          </cell>
          <cell r="H239">
            <v>2030</v>
          </cell>
          <cell r="I239">
            <v>7920</v>
          </cell>
          <cell r="J239">
            <v>48.11</v>
          </cell>
          <cell r="K239">
            <v>1</v>
          </cell>
          <cell r="L239">
            <v>0</v>
          </cell>
          <cell r="M239">
            <v>0</v>
          </cell>
          <cell r="N239">
            <v>0</v>
          </cell>
          <cell r="R239">
            <v>0</v>
          </cell>
          <cell r="S239">
            <v>0</v>
          </cell>
          <cell r="T239">
            <v>0</v>
          </cell>
          <cell r="U239">
            <v>42</v>
          </cell>
          <cell r="V239">
            <v>0</v>
          </cell>
          <cell r="W239">
            <v>0</v>
          </cell>
          <cell r="AA239">
            <v>0</v>
          </cell>
          <cell r="AB239">
            <v>0</v>
          </cell>
          <cell r="AC239">
            <v>0</v>
          </cell>
          <cell r="AD239">
            <v>42</v>
          </cell>
          <cell r="AE239">
            <v>510200</v>
          </cell>
          <cell r="AF239">
            <v>0</v>
          </cell>
          <cell r="AI239">
            <v>2251</v>
          </cell>
          <cell r="AK239">
            <v>0</v>
          </cell>
          <cell r="AM239">
            <v>653</v>
          </cell>
          <cell r="AN239">
            <v>1</v>
          </cell>
          <cell r="AO239">
            <v>393216</v>
          </cell>
          <cell r="AQ239">
            <v>0</v>
          </cell>
          <cell r="AR239">
            <v>0</v>
          </cell>
          <cell r="AS239" t="str">
            <v>Ы</v>
          </cell>
          <cell r="AT239" t="str">
            <v>Ы</v>
          </cell>
          <cell r="AU239">
            <v>0</v>
          </cell>
          <cell r="AV239">
            <v>0</v>
          </cell>
          <cell r="AW239">
            <v>23</v>
          </cell>
          <cell r="AX239">
            <v>1</v>
          </cell>
          <cell r="AY239">
            <v>0</v>
          </cell>
          <cell r="AZ239">
            <v>0</v>
          </cell>
          <cell r="BA239">
            <v>0</v>
          </cell>
          <cell r="BB239">
            <v>0</v>
          </cell>
          <cell r="BC239">
            <v>38828</v>
          </cell>
        </row>
        <row r="240">
          <cell r="A240">
            <v>2006</v>
          </cell>
          <cell r="B240">
            <v>2</v>
          </cell>
          <cell r="C240">
            <v>525</v>
          </cell>
          <cell r="D240">
            <v>21</v>
          </cell>
          <cell r="E240">
            <v>792030</v>
          </cell>
          <cell r="F240">
            <v>0</v>
          </cell>
          <cell r="G240" t="str">
            <v>Затраты по ШПЗ (неосновные)</v>
          </cell>
          <cell r="H240">
            <v>2030</v>
          </cell>
          <cell r="I240">
            <v>7920</v>
          </cell>
          <cell r="J240">
            <v>3273.44</v>
          </cell>
          <cell r="K240">
            <v>1</v>
          </cell>
          <cell r="L240">
            <v>0</v>
          </cell>
          <cell r="M240">
            <v>0</v>
          </cell>
          <cell r="N240">
            <v>0</v>
          </cell>
          <cell r="R240">
            <v>0</v>
          </cell>
          <cell r="S240">
            <v>0</v>
          </cell>
          <cell r="T240">
            <v>0</v>
          </cell>
          <cell r="U240">
            <v>42</v>
          </cell>
          <cell r="V240">
            <v>0</v>
          </cell>
          <cell r="W240">
            <v>0</v>
          </cell>
          <cell r="AA240">
            <v>0</v>
          </cell>
          <cell r="AB240">
            <v>0</v>
          </cell>
          <cell r="AC240">
            <v>0</v>
          </cell>
          <cell r="AD240">
            <v>42</v>
          </cell>
          <cell r="AE240">
            <v>510300</v>
          </cell>
          <cell r="AF240">
            <v>0</v>
          </cell>
          <cell r="AI240">
            <v>2251</v>
          </cell>
          <cell r="AK240">
            <v>0</v>
          </cell>
          <cell r="AM240">
            <v>654</v>
          </cell>
          <cell r="AN240">
            <v>1</v>
          </cell>
          <cell r="AO240">
            <v>393216</v>
          </cell>
          <cell r="AQ240">
            <v>0</v>
          </cell>
          <cell r="AR240">
            <v>0</v>
          </cell>
          <cell r="AS240" t="str">
            <v>Ы</v>
          </cell>
          <cell r="AT240" t="str">
            <v>Ы</v>
          </cell>
          <cell r="AU240">
            <v>0</v>
          </cell>
          <cell r="AV240">
            <v>0</v>
          </cell>
          <cell r="AW240">
            <v>23</v>
          </cell>
          <cell r="AX240">
            <v>1</v>
          </cell>
          <cell r="AY240">
            <v>0</v>
          </cell>
          <cell r="AZ240">
            <v>0</v>
          </cell>
          <cell r="BA240">
            <v>0</v>
          </cell>
          <cell r="BB240">
            <v>0</v>
          </cell>
          <cell r="BC240">
            <v>38828</v>
          </cell>
        </row>
        <row r="241">
          <cell r="A241">
            <v>2006</v>
          </cell>
          <cell r="B241">
            <v>2</v>
          </cell>
          <cell r="C241">
            <v>526</v>
          </cell>
          <cell r="D241">
            <v>21</v>
          </cell>
          <cell r="E241">
            <v>792030</v>
          </cell>
          <cell r="F241">
            <v>0</v>
          </cell>
          <cell r="G241" t="str">
            <v>Затраты по ШПЗ (неосновные)</v>
          </cell>
          <cell r="H241">
            <v>2030</v>
          </cell>
          <cell r="I241">
            <v>7920</v>
          </cell>
          <cell r="J241">
            <v>526.98</v>
          </cell>
          <cell r="K241">
            <v>1</v>
          </cell>
          <cell r="L241">
            <v>0</v>
          </cell>
          <cell r="M241">
            <v>0</v>
          </cell>
          <cell r="N241">
            <v>0</v>
          </cell>
          <cell r="R241">
            <v>0</v>
          </cell>
          <cell r="S241">
            <v>0</v>
          </cell>
          <cell r="T241">
            <v>0</v>
          </cell>
          <cell r="U241">
            <v>42</v>
          </cell>
          <cell r="V241">
            <v>0</v>
          </cell>
          <cell r="W241">
            <v>0</v>
          </cell>
          <cell r="AA241">
            <v>0</v>
          </cell>
          <cell r="AB241">
            <v>0</v>
          </cell>
          <cell r="AC241">
            <v>0</v>
          </cell>
          <cell r="AD241">
            <v>42</v>
          </cell>
          <cell r="AE241">
            <v>510400</v>
          </cell>
          <cell r="AF241">
            <v>0</v>
          </cell>
          <cell r="AI241">
            <v>2251</v>
          </cell>
          <cell r="AK241">
            <v>0</v>
          </cell>
          <cell r="AM241">
            <v>655</v>
          </cell>
          <cell r="AN241">
            <v>1</v>
          </cell>
          <cell r="AO241">
            <v>393216</v>
          </cell>
          <cell r="AQ241">
            <v>0</v>
          </cell>
          <cell r="AR241">
            <v>0</v>
          </cell>
          <cell r="AS241" t="str">
            <v>Ы</v>
          </cell>
          <cell r="AT241" t="str">
            <v>Ы</v>
          </cell>
          <cell r="AU241">
            <v>0</v>
          </cell>
          <cell r="AV241">
            <v>0</v>
          </cell>
          <cell r="AW241">
            <v>23</v>
          </cell>
          <cell r="AX241">
            <v>1</v>
          </cell>
          <cell r="AY241">
            <v>0</v>
          </cell>
          <cell r="AZ241">
            <v>0</v>
          </cell>
          <cell r="BA241">
            <v>0</v>
          </cell>
          <cell r="BB241">
            <v>0</v>
          </cell>
          <cell r="BC241">
            <v>38828</v>
          </cell>
        </row>
        <row r="242">
          <cell r="A242">
            <v>2006</v>
          </cell>
          <cell r="B242">
            <v>2</v>
          </cell>
          <cell r="C242">
            <v>527</v>
          </cell>
          <cell r="D242">
            <v>21</v>
          </cell>
          <cell r="E242">
            <v>792030</v>
          </cell>
          <cell r="F242">
            <v>0</v>
          </cell>
          <cell r="G242" t="str">
            <v>Затраты по ШПЗ (неосновные)</v>
          </cell>
          <cell r="H242">
            <v>2030</v>
          </cell>
          <cell r="I242">
            <v>7920</v>
          </cell>
          <cell r="J242">
            <v>163.36000000000001</v>
          </cell>
          <cell r="K242">
            <v>1</v>
          </cell>
          <cell r="L242">
            <v>0</v>
          </cell>
          <cell r="M242">
            <v>0</v>
          </cell>
          <cell r="N242">
            <v>0</v>
          </cell>
          <cell r="R242">
            <v>0</v>
          </cell>
          <cell r="S242">
            <v>0</v>
          </cell>
          <cell r="T242">
            <v>0</v>
          </cell>
          <cell r="U242">
            <v>42</v>
          </cell>
          <cell r="V242">
            <v>0</v>
          </cell>
          <cell r="W242">
            <v>0</v>
          </cell>
          <cell r="AA242">
            <v>0</v>
          </cell>
          <cell r="AB242">
            <v>0</v>
          </cell>
          <cell r="AC242">
            <v>0</v>
          </cell>
          <cell r="AD242">
            <v>42</v>
          </cell>
          <cell r="AE242">
            <v>510500</v>
          </cell>
          <cell r="AF242">
            <v>0</v>
          </cell>
          <cell r="AI242">
            <v>2251</v>
          </cell>
          <cell r="AK242">
            <v>0</v>
          </cell>
          <cell r="AM242">
            <v>656</v>
          </cell>
          <cell r="AN242">
            <v>1</v>
          </cell>
          <cell r="AO242">
            <v>393216</v>
          </cell>
          <cell r="AQ242">
            <v>0</v>
          </cell>
          <cell r="AR242">
            <v>0</v>
          </cell>
          <cell r="AS242" t="str">
            <v>Ы</v>
          </cell>
          <cell r="AT242" t="str">
            <v>Ы</v>
          </cell>
          <cell r="AU242">
            <v>0</v>
          </cell>
          <cell r="AV242">
            <v>0</v>
          </cell>
          <cell r="AW242">
            <v>23</v>
          </cell>
          <cell r="AX242">
            <v>1</v>
          </cell>
          <cell r="AY242">
            <v>0</v>
          </cell>
          <cell r="AZ242">
            <v>0</v>
          </cell>
          <cell r="BA242">
            <v>0</v>
          </cell>
          <cell r="BB242">
            <v>0</v>
          </cell>
          <cell r="BC242">
            <v>38828</v>
          </cell>
        </row>
        <row r="243">
          <cell r="A243">
            <v>2006</v>
          </cell>
          <cell r="B243">
            <v>2</v>
          </cell>
          <cell r="C243">
            <v>528</v>
          </cell>
          <cell r="D243">
            <v>21</v>
          </cell>
          <cell r="E243">
            <v>792030</v>
          </cell>
          <cell r="F243">
            <v>0</v>
          </cell>
          <cell r="G243" t="str">
            <v>Затраты по ШПЗ (неосновные)</v>
          </cell>
          <cell r="H243">
            <v>2030</v>
          </cell>
          <cell r="I243">
            <v>7920</v>
          </cell>
          <cell r="J243">
            <v>13924.13</v>
          </cell>
          <cell r="K243">
            <v>1</v>
          </cell>
          <cell r="L243">
            <v>0</v>
          </cell>
          <cell r="M243">
            <v>0</v>
          </cell>
          <cell r="N243">
            <v>0</v>
          </cell>
          <cell r="R243">
            <v>0</v>
          </cell>
          <cell r="S243">
            <v>0</v>
          </cell>
          <cell r="T243">
            <v>0</v>
          </cell>
          <cell r="U243">
            <v>42</v>
          </cell>
          <cell r="V243">
            <v>0</v>
          </cell>
          <cell r="W243">
            <v>0</v>
          </cell>
          <cell r="AA243">
            <v>0</v>
          </cell>
          <cell r="AB243">
            <v>0</v>
          </cell>
          <cell r="AC243">
            <v>0</v>
          </cell>
          <cell r="AD243">
            <v>42</v>
          </cell>
          <cell r="AE243">
            <v>510600</v>
          </cell>
          <cell r="AF243">
            <v>0</v>
          </cell>
          <cell r="AI243">
            <v>2251</v>
          </cell>
          <cell r="AK243">
            <v>0</v>
          </cell>
          <cell r="AM243">
            <v>657</v>
          </cell>
          <cell r="AN243">
            <v>1</v>
          </cell>
          <cell r="AO243">
            <v>393216</v>
          </cell>
          <cell r="AQ243">
            <v>0</v>
          </cell>
          <cell r="AR243">
            <v>0</v>
          </cell>
          <cell r="AS243" t="str">
            <v>Ы</v>
          </cell>
          <cell r="AT243" t="str">
            <v>Ы</v>
          </cell>
          <cell r="AU243">
            <v>0</v>
          </cell>
          <cell r="AV243">
            <v>0</v>
          </cell>
          <cell r="AW243">
            <v>23</v>
          </cell>
          <cell r="AX243">
            <v>1</v>
          </cell>
          <cell r="AY243">
            <v>0</v>
          </cell>
          <cell r="AZ243">
            <v>0</v>
          </cell>
          <cell r="BA243">
            <v>0</v>
          </cell>
          <cell r="BB243">
            <v>0</v>
          </cell>
          <cell r="BC243">
            <v>38828</v>
          </cell>
        </row>
        <row r="244">
          <cell r="A244">
            <v>2006</v>
          </cell>
          <cell r="B244">
            <v>2</v>
          </cell>
          <cell r="C244">
            <v>529</v>
          </cell>
          <cell r="D244">
            <v>21</v>
          </cell>
          <cell r="E244">
            <v>792030</v>
          </cell>
          <cell r="F244">
            <v>0</v>
          </cell>
          <cell r="G244" t="str">
            <v>Затраты по ШПЗ (неосновные)</v>
          </cell>
          <cell r="H244">
            <v>2030</v>
          </cell>
          <cell r="I244">
            <v>7920</v>
          </cell>
          <cell r="J244">
            <v>136.31</v>
          </cell>
          <cell r="K244">
            <v>1</v>
          </cell>
          <cell r="L244">
            <v>0</v>
          </cell>
          <cell r="M244">
            <v>0</v>
          </cell>
          <cell r="N244">
            <v>0</v>
          </cell>
          <cell r="R244">
            <v>0</v>
          </cell>
          <cell r="S244">
            <v>0</v>
          </cell>
          <cell r="T244">
            <v>0</v>
          </cell>
          <cell r="U244">
            <v>42</v>
          </cell>
          <cell r="V244">
            <v>0</v>
          </cell>
          <cell r="W244">
            <v>0</v>
          </cell>
          <cell r="AA244">
            <v>0</v>
          </cell>
          <cell r="AB244">
            <v>0</v>
          </cell>
          <cell r="AC244">
            <v>0</v>
          </cell>
          <cell r="AD244">
            <v>42</v>
          </cell>
          <cell r="AE244">
            <v>510630</v>
          </cell>
          <cell r="AF244">
            <v>0</v>
          </cell>
          <cell r="AI244">
            <v>2251</v>
          </cell>
          <cell r="AK244">
            <v>0</v>
          </cell>
          <cell r="AM244">
            <v>658</v>
          </cell>
          <cell r="AN244">
            <v>1</v>
          </cell>
          <cell r="AO244">
            <v>393216</v>
          </cell>
          <cell r="AQ244">
            <v>0</v>
          </cell>
          <cell r="AR244">
            <v>0</v>
          </cell>
          <cell r="AS244" t="str">
            <v>Ы</v>
          </cell>
          <cell r="AT244" t="str">
            <v>Ы</v>
          </cell>
          <cell r="AU244">
            <v>0</v>
          </cell>
          <cell r="AV244">
            <v>0</v>
          </cell>
          <cell r="AW244">
            <v>23</v>
          </cell>
          <cell r="AX244">
            <v>1</v>
          </cell>
          <cell r="AY244">
            <v>0</v>
          </cell>
          <cell r="AZ244">
            <v>0</v>
          </cell>
          <cell r="BA244">
            <v>0</v>
          </cell>
          <cell r="BB244">
            <v>0</v>
          </cell>
          <cell r="BC244">
            <v>38828</v>
          </cell>
        </row>
        <row r="245">
          <cell r="A245">
            <v>2006</v>
          </cell>
          <cell r="B245">
            <v>3</v>
          </cell>
          <cell r="C245">
            <v>1</v>
          </cell>
          <cell r="D245">
            <v>21</v>
          </cell>
          <cell r="E245">
            <v>792030</v>
          </cell>
          <cell r="F245">
            <v>0</v>
          </cell>
          <cell r="G245" t="str">
            <v>Затраты по ШПЗ (неосновные)</v>
          </cell>
          <cell r="H245">
            <v>2030</v>
          </cell>
          <cell r="I245">
            <v>7920</v>
          </cell>
          <cell r="J245">
            <v>11238</v>
          </cell>
          <cell r="K245">
            <v>1</v>
          </cell>
          <cell r="L245">
            <v>0</v>
          </cell>
          <cell r="M245">
            <v>0</v>
          </cell>
          <cell r="N245">
            <v>0</v>
          </cell>
          <cell r="R245">
            <v>0</v>
          </cell>
          <cell r="S245">
            <v>0</v>
          </cell>
          <cell r="T245">
            <v>0</v>
          </cell>
          <cell r="U245">
            <v>33</v>
          </cell>
          <cell r="V245">
            <v>0</v>
          </cell>
          <cell r="W245">
            <v>0</v>
          </cell>
          <cell r="AA245">
            <v>0</v>
          </cell>
          <cell r="AB245">
            <v>0</v>
          </cell>
          <cell r="AC245">
            <v>0</v>
          </cell>
          <cell r="AD245">
            <v>33</v>
          </cell>
          <cell r="AE245">
            <v>143000</v>
          </cell>
          <cell r="AF245">
            <v>0</v>
          </cell>
          <cell r="AI245">
            <v>2282</v>
          </cell>
          <cell r="AK245">
            <v>0</v>
          </cell>
          <cell r="AM245">
            <v>158</v>
          </cell>
          <cell r="AN245">
            <v>1</v>
          </cell>
          <cell r="AO245">
            <v>393216</v>
          </cell>
          <cell r="AQ245">
            <v>0</v>
          </cell>
          <cell r="AR245">
            <v>0</v>
          </cell>
          <cell r="AS245" t="str">
            <v>Ы</v>
          </cell>
          <cell r="AT245" t="str">
            <v>Ы</v>
          </cell>
          <cell r="AU245">
            <v>0</v>
          </cell>
          <cell r="AV245">
            <v>0</v>
          </cell>
          <cell r="AW245">
            <v>23</v>
          </cell>
          <cell r="AX245">
            <v>1</v>
          </cell>
          <cell r="AY245">
            <v>0</v>
          </cell>
          <cell r="AZ245">
            <v>0</v>
          </cell>
          <cell r="BA245">
            <v>0</v>
          </cell>
          <cell r="BB245">
            <v>0</v>
          </cell>
          <cell r="BC245">
            <v>38828</v>
          </cell>
        </row>
        <row r="246">
          <cell r="A246">
            <v>2006</v>
          </cell>
          <cell r="B246">
            <v>3</v>
          </cell>
          <cell r="C246">
            <v>2</v>
          </cell>
          <cell r="D246">
            <v>21</v>
          </cell>
          <cell r="E246">
            <v>792030</v>
          </cell>
          <cell r="F246">
            <v>0</v>
          </cell>
          <cell r="G246" t="str">
            <v>Затраты по ШПЗ (неосновные)</v>
          </cell>
          <cell r="H246">
            <v>2030</v>
          </cell>
          <cell r="I246">
            <v>7920</v>
          </cell>
          <cell r="J246">
            <v>252500</v>
          </cell>
          <cell r="K246">
            <v>1</v>
          </cell>
          <cell r="L246">
            <v>0</v>
          </cell>
          <cell r="M246">
            <v>0</v>
          </cell>
          <cell r="N246">
            <v>0</v>
          </cell>
          <cell r="R246">
            <v>0</v>
          </cell>
          <cell r="S246">
            <v>0</v>
          </cell>
          <cell r="T246">
            <v>0</v>
          </cell>
          <cell r="U246">
            <v>33</v>
          </cell>
          <cell r="V246">
            <v>0</v>
          </cell>
          <cell r="W246">
            <v>0</v>
          </cell>
          <cell r="AA246">
            <v>0</v>
          </cell>
          <cell r="AB246">
            <v>0</v>
          </cell>
          <cell r="AC246">
            <v>0</v>
          </cell>
          <cell r="AD246">
            <v>33</v>
          </cell>
          <cell r="AE246">
            <v>240000</v>
          </cell>
          <cell r="AF246">
            <v>0</v>
          </cell>
          <cell r="AI246">
            <v>2282</v>
          </cell>
          <cell r="AK246">
            <v>0</v>
          </cell>
          <cell r="AM246">
            <v>159</v>
          </cell>
          <cell r="AN246">
            <v>1</v>
          </cell>
          <cell r="AO246">
            <v>393216</v>
          </cell>
          <cell r="AQ246">
            <v>0</v>
          </cell>
          <cell r="AR246">
            <v>0</v>
          </cell>
          <cell r="AS246" t="str">
            <v>Ы</v>
          </cell>
          <cell r="AT246" t="str">
            <v>Ы</v>
          </cell>
          <cell r="AU246">
            <v>0</v>
          </cell>
          <cell r="AV246">
            <v>0</v>
          </cell>
          <cell r="AW246">
            <v>23</v>
          </cell>
          <cell r="AX246">
            <v>1</v>
          </cell>
          <cell r="AY246">
            <v>0</v>
          </cell>
          <cell r="AZ246">
            <v>0</v>
          </cell>
          <cell r="BA246">
            <v>0</v>
          </cell>
          <cell r="BB246">
            <v>0</v>
          </cell>
          <cell r="BC246">
            <v>38828</v>
          </cell>
        </row>
        <row r="247">
          <cell r="A247">
            <v>2006</v>
          </cell>
          <cell r="B247">
            <v>3</v>
          </cell>
          <cell r="C247">
            <v>3</v>
          </cell>
          <cell r="D247">
            <v>21</v>
          </cell>
          <cell r="E247">
            <v>792030</v>
          </cell>
          <cell r="F247">
            <v>0</v>
          </cell>
          <cell r="G247" t="str">
            <v>Затраты по ШПЗ (неосновные)</v>
          </cell>
          <cell r="H247">
            <v>2030</v>
          </cell>
          <cell r="I247">
            <v>7920</v>
          </cell>
          <cell r="J247">
            <v>7252.89</v>
          </cell>
          <cell r="K247">
            <v>1</v>
          </cell>
          <cell r="L247">
            <v>0</v>
          </cell>
          <cell r="M247">
            <v>0</v>
          </cell>
          <cell r="N247">
            <v>0</v>
          </cell>
          <cell r="R247">
            <v>0</v>
          </cell>
          <cell r="S247">
            <v>0</v>
          </cell>
          <cell r="T247">
            <v>0</v>
          </cell>
          <cell r="U247">
            <v>33</v>
          </cell>
          <cell r="V247">
            <v>0</v>
          </cell>
          <cell r="W247">
            <v>0</v>
          </cell>
          <cell r="AA247">
            <v>0</v>
          </cell>
          <cell r="AB247">
            <v>0</v>
          </cell>
          <cell r="AC247">
            <v>0</v>
          </cell>
          <cell r="AD247">
            <v>33</v>
          </cell>
          <cell r="AE247">
            <v>311000</v>
          </cell>
          <cell r="AF247">
            <v>0</v>
          </cell>
          <cell r="AI247">
            <v>2282</v>
          </cell>
          <cell r="AK247">
            <v>0</v>
          </cell>
          <cell r="AM247">
            <v>160</v>
          </cell>
          <cell r="AN247">
            <v>1</v>
          </cell>
          <cell r="AO247">
            <v>393216</v>
          </cell>
          <cell r="AQ247">
            <v>0</v>
          </cell>
          <cell r="AR247">
            <v>0</v>
          </cell>
          <cell r="AS247" t="str">
            <v>Ы</v>
          </cell>
          <cell r="AT247" t="str">
            <v>Ы</v>
          </cell>
          <cell r="AU247">
            <v>0</v>
          </cell>
          <cell r="AV247">
            <v>0</v>
          </cell>
          <cell r="AW247">
            <v>23</v>
          </cell>
          <cell r="AX247">
            <v>1</v>
          </cell>
          <cell r="AY247">
            <v>0</v>
          </cell>
          <cell r="AZ247">
            <v>0</v>
          </cell>
          <cell r="BA247">
            <v>0</v>
          </cell>
          <cell r="BB247">
            <v>0</v>
          </cell>
          <cell r="BC247">
            <v>38828</v>
          </cell>
        </row>
        <row r="248">
          <cell r="A248">
            <v>2006</v>
          </cell>
          <cell r="B248">
            <v>3</v>
          </cell>
          <cell r="C248">
            <v>4</v>
          </cell>
          <cell r="D248">
            <v>21</v>
          </cell>
          <cell r="E248">
            <v>792030</v>
          </cell>
          <cell r="F248">
            <v>0</v>
          </cell>
          <cell r="G248" t="str">
            <v>Затраты по ШПЗ (неосновные)</v>
          </cell>
          <cell r="H248">
            <v>2030</v>
          </cell>
          <cell r="I248">
            <v>7920</v>
          </cell>
          <cell r="J248">
            <v>15005.99</v>
          </cell>
          <cell r="K248">
            <v>1</v>
          </cell>
          <cell r="L248">
            <v>0</v>
          </cell>
          <cell r="M248">
            <v>0</v>
          </cell>
          <cell r="N248">
            <v>0</v>
          </cell>
          <cell r="R248">
            <v>0</v>
          </cell>
          <cell r="S248">
            <v>0</v>
          </cell>
          <cell r="T248">
            <v>0</v>
          </cell>
          <cell r="U248">
            <v>33</v>
          </cell>
          <cell r="V248">
            <v>0</v>
          </cell>
          <cell r="W248">
            <v>0</v>
          </cell>
          <cell r="AA248">
            <v>0</v>
          </cell>
          <cell r="AB248">
            <v>0</v>
          </cell>
          <cell r="AC248">
            <v>0</v>
          </cell>
          <cell r="AD248">
            <v>33</v>
          </cell>
          <cell r="AE248">
            <v>312000</v>
          </cell>
          <cell r="AF248">
            <v>0</v>
          </cell>
          <cell r="AI248">
            <v>2282</v>
          </cell>
          <cell r="AK248">
            <v>0</v>
          </cell>
          <cell r="AM248">
            <v>161</v>
          </cell>
          <cell r="AN248">
            <v>1</v>
          </cell>
          <cell r="AO248">
            <v>393216</v>
          </cell>
          <cell r="AQ248">
            <v>0</v>
          </cell>
          <cell r="AR248">
            <v>0</v>
          </cell>
          <cell r="AS248" t="str">
            <v>Ы</v>
          </cell>
          <cell r="AT248" t="str">
            <v>Ы</v>
          </cell>
          <cell r="AU248">
            <v>0</v>
          </cell>
          <cell r="AV248">
            <v>0</v>
          </cell>
          <cell r="AW248">
            <v>23</v>
          </cell>
          <cell r="AX248">
            <v>1</v>
          </cell>
          <cell r="AY248">
            <v>0</v>
          </cell>
          <cell r="AZ248">
            <v>0</v>
          </cell>
          <cell r="BA248">
            <v>0</v>
          </cell>
          <cell r="BB248">
            <v>0</v>
          </cell>
          <cell r="BC248">
            <v>38828</v>
          </cell>
        </row>
        <row r="249">
          <cell r="A249">
            <v>2006</v>
          </cell>
          <cell r="B249">
            <v>3</v>
          </cell>
          <cell r="C249">
            <v>5</v>
          </cell>
          <cell r="D249">
            <v>21</v>
          </cell>
          <cell r="E249">
            <v>792030</v>
          </cell>
          <cell r="F249">
            <v>0</v>
          </cell>
          <cell r="G249" t="str">
            <v>Затраты по ШПЗ (неосновные)</v>
          </cell>
          <cell r="H249">
            <v>2030</v>
          </cell>
          <cell r="I249">
            <v>7920</v>
          </cell>
          <cell r="J249">
            <v>2192</v>
          </cell>
          <cell r="K249">
            <v>1</v>
          </cell>
          <cell r="L249">
            <v>0</v>
          </cell>
          <cell r="M249">
            <v>0</v>
          </cell>
          <cell r="N249">
            <v>0</v>
          </cell>
          <cell r="R249">
            <v>0</v>
          </cell>
          <cell r="S249">
            <v>0</v>
          </cell>
          <cell r="T249">
            <v>0</v>
          </cell>
          <cell r="U249">
            <v>33</v>
          </cell>
          <cell r="V249">
            <v>0</v>
          </cell>
          <cell r="W249">
            <v>0</v>
          </cell>
          <cell r="AA249">
            <v>0</v>
          </cell>
          <cell r="AB249">
            <v>0</v>
          </cell>
          <cell r="AC249">
            <v>0</v>
          </cell>
          <cell r="AD249">
            <v>33</v>
          </cell>
          <cell r="AE249">
            <v>312100</v>
          </cell>
          <cell r="AF249">
            <v>0</v>
          </cell>
          <cell r="AI249">
            <v>2282</v>
          </cell>
          <cell r="AK249">
            <v>0</v>
          </cell>
          <cell r="AM249">
            <v>162</v>
          </cell>
          <cell r="AN249">
            <v>1</v>
          </cell>
          <cell r="AO249">
            <v>393216</v>
          </cell>
          <cell r="AQ249">
            <v>0</v>
          </cell>
          <cell r="AR249">
            <v>0</v>
          </cell>
          <cell r="AS249" t="str">
            <v>Ы</v>
          </cell>
          <cell r="AT249" t="str">
            <v>Ы</v>
          </cell>
          <cell r="AU249">
            <v>0</v>
          </cell>
          <cell r="AV249">
            <v>0</v>
          </cell>
          <cell r="AW249">
            <v>23</v>
          </cell>
          <cell r="AX249">
            <v>1</v>
          </cell>
          <cell r="AY249">
            <v>0</v>
          </cell>
          <cell r="AZ249">
            <v>0</v>
          </cell>
          <cell r="BA249">
            <v>0</v>
          </cell>
          <cell r="BB249">
            <v>0</v>
          </cell>
          <cell r="BC249">
            <v>38828</v>
          </cell>
        </row>
        <row r="250">
          <cell r="A250">
            <v>2006</v>
          </cell>
          <cell r="B250">
            <v>3</v>
          </cell>
          <cell r="C250">
            <v>6</v>
          </cell>
          <cell r="D250">
            <v>21</v>
          </cell>
          <cell r="E250">
            <v>792030</v>
          </cell>
          <cell r="F250">
            <v>0</v>
          </cell>
          <cell r="G250" t="str">
            <v>Затраты по ШПЗ (неосновные)</v>
          </cell>
          <cell r="H250">
            <v>2030</v>
          </cell>
          <cell r="I250">
            <v>7920</v>
          </cell>
          <cell r="J250">
            <v>33158.01</v>
          </cell>
          <cell r="K250">
            <v>1</v>
          </cell>
          <cell r="L250">
            <v>0</v>
          </cell>
          <cell r="M250">
            <v>0</v>
          </cell>
          <cell r="N250">
            <v>0</v>
          </cell>
          <cell r="R250">
            <v>0</v>
          </cell>
          <cell r="S250">
            <v>0</v>
          </cell>
          <cell r="T250">
            <v>0</v>
          </cell>
          <cell r="U250">
            <v>33</v>
          </cell>
          <cell r="V250">
            <v>0</v>
          </cell>
          <cell r="W250">
            <v>0</v>
          </cell>
          <cell r="AA250">
            <v>0</v>
          </cell>
          <cell r="AB250">
            <v>0</v>
          </cell>
          <cell r="AC250">
            <v>0</v>
          </cell>
          <cell r="AD250">
            <v>33</v>
          </cell>
          <cell r="AE250">
            <v>312200</v>
          </cell>
          <cell r="AF250">
            <v>0</v>
          </cell>
          <cell r="AI250">
            <v>2282</v>
          </cell>
          <cell r="AK250">
            <v>0</v>
          </cell>
          <cell r="AM250">
            <v>163</v>
          </cell>
          <cell r="AN250">
            <v>1</v>
          </cell>
          <cell r="AO250">
            <v>393216</v>
          </cell>
          <cell r="AQ250">
            <v>0</v>
          </cell>
          <cell r="AR250">
            <v>0</v>
          </cell>
          <cell r="AS250" t="str">
            <v>Ы</v>
          </cell>
          <cell r="AT250" t="str">
            <v>Ы</v>
          </cell>
          <cell r="AU250">
            <v>0</v>
          </cell>
          <cell r="AV250">
            <v>0</v>
          </cell>
          <cell r="AW250">
            <v>23</v>
          </cell>
          <cell r="AX250">
            <v>1</v>
          </cell>
          <cell r="AY250">
            <v>0</v>
          </cell>
          <cell r="AZ250">
            <v>0</v>
          </cell>
          <cell r="BA250">
            <v>0</v>
          </cell>
          <cell r="BB250">
            <v>0</v>
          </cell>
          <cell r="BC250">
            <v>38828</v>
          </cell>
        </row>
        <row r="251">
          <cell r="A251">
            <v>2006</v>
          </cell>
          <cell r="B251">
            <v>3</v>
          </cell>
          <cell r="C251">
            <v>7</v>
          </cell>
          <cell r="D251">
            <v>21</v>
          </cell>
          <cell r="E251">
            <v>792030</v>
          </cell>
          <cell r="F251">
            <v>0</v>
          </cell>
          <cell r="G251" t="str">
            <v>Затраты по ШПЗ (неосновные)</v>
          </cell>
          <cell r="H251">
            <v>2030</v>
          </cell>
          <cell r="I251">
            <v>7920</v>
          </cell>
          <cell r="J251">
            <v>2751.1</v>
          </cell>
          <cell r="K251">
            <v>1</v>
          </cell>
          <cell r="L251">
            <v>0</v>
          </cell>
          <cell r="M251">
            <v>0</v>
          </cell>
          <cell r="N251">
            <v>0</v>
          </cell>
          <cell r="R251">
            <v>0</v>
          </cell>
          <cell r="S251">
            <v>0</v>
          </cell>
          <cell r="T251">
            <v>0</v>
          </cell>
          <cell r="U251">
            <v>33</v>
          </cell>
          <cell r="V251">
            <v>0</v>
          </cell>
          <cell r="W251">
            <v>0</v>
          </cell>
          <cell r="AA251">
            <v>0</v>
          </cell>
          <cell r="AB251">
            <v>0</v>
          </cell>
          <cell r="AC251">
            <v>0</v>
          </cell>
          <cell r="AD251">
            <v>33</v>
          </cell>
          <cell r="AE251">
            <v>313000</v>
          </cell>
          <cell r="AF251">
            <v>0</v>
          </cell>
          <cell r="AI251">
            <v>2282</v>
          </cell>
          <cell r="AK251">
            <v>0</v>
          </cell>
          <cell r="AM251">
            <v>164</v>
          </cell>
          <cell r="AN251">
            <v>1</v>
          </cell>
          <cell r="AO251">
            <v>393216</v>
          </cell>
          <cell r="AQ251">
            <v>0</v>
          </cell>
          <cell r="AR251">
            <v>0</v>
          </cell>
          <cell r="AS251" t="str">
            <v>Ы</v>
          </cell>
          <cell r="AT251" t="str">
            <v>Ы</v>
          </cell>
          <cell r="AU251">
            <v>0</v>
          </cell>
          <cell r="AV251">
            <v>0</v>
          </cell>
          <cell r="AW251">
            <v>23</v>
          </cell>
          <cell r="AX251">
            <v>1</v>
          </cell>
          <cell r="AY251">
            <v>0</v>
          </cell>
          <cell r="AZ251">
            <v>0</v>
          </cell>
          <cell r="BA251">
            <v>0</v>
          </cell>
          <cell r="BB251">
            <v>0</v>
          </cell>
          <cell r="BC251">
            <v>38828</v>
          </cell>
        </row>
        <row r="252">
          <cell r="A252">
            <v>2006</v>
          </cell>
          <cell r="B252">
            <v>3</v>
          </cell>
          <cell r="C252">
            <v>8</v>
          </cell>
          <cell r="D252">
            <v>21</v>
          </cell>
          <cell r="E252">
            <v>792030</v>
          </cell>
          <cell r="F252">
            <v>0</v>
          </cell>
          <cell r="G252" t="str">
            <v>Затраты по ШПЗ (неосновные)</v>
          </cell>
          <cell r="H252">
            <v>2030</v>
          </cell>
          <cell r="I252">
            <v>7920</v>
          </cell>
          <cell r="J252">
            <v>5001.99</v>
          </cell>
          <cell r="K252">
            <v>1</v>
          </cell>
          <cell r="L252">
            <v>0</v>
          </cell>
          <cell r="M252">
            <v>0</v>
          </cell>
          <cell r="N252">
            <v>0</v>
          </cell>
          <cell r="R252">
            <v>0</v>
          </cell>
          <cell r="S252">
            <v>0</v>
          </cell>
          <cell r="T252">
            <v>0</v>
          </cell>
          <cell r="U252">
            <v>33</v>
          </cell>
          <cell r="V252">
            <v>0</v>
          </cell>
          <cell r="W252">
            <v>0</v>
          </cell>
          <cell r="AA252">
            <v>0</v>
          </cell>
          <cell r="AB252">
            <v>0</v>
          </cell>
          <cell r="AC252">
            <v>0</v>
          </cell>
          <cell r="AD252">
            <v>33</v>
          </cell>
          <cell r="AE252">
            <v>314000</v>
          </cell>
          <cell r="AF252">
            <v>0</v>
          </cell>
          <cell r="AI252">
            <v>2282</v>
          </cell>
          <cell r="AK252">
            <v>0</v>
          </cell>
          <cell r="AM252">
            <v>165</v>
          </cell>
          <cell r="AN252">
            <v>1</v>
          </cell>
          <cell r="AO252">
            <v>393216</v>
          </cell>
          <cell r="AQ252">
            <v>0</v>
          </cell>
          <cell r="AR252">
            <v>0</v>
          </cell>
          <cell r="AS252" t="str">
            <v>Ы</v>
          </cell>
          <cell r="AT252" t="str">
            <v>Ы</v>
          </cell>
          <cell r="AU252">
            <v>0</v>
          </cell>
          <cell r="AV252">
            <v>0</v>
          </cell>
          <cell r="AW252">
            <v>23</v>
          </cell>
          <cell r="AX252">
            <v>1</v>
          </cell>
          <cell r="AY252">
            <v>0</v>
          </cell>
          <cell r="AZ252">
            <v>0</v>
          </cell>
          <cell r="BA252">
            <v>0</v>
          </cell>
          <cell r="BB252">
            <v>0</v>
          </cell>
          <cell r="BC252">
            <v>38828</v>
          </cell>
        </row>
        <row r="253">
          <cell r="A253">
            <v>2006</v>
          </cell>
          <cell r="B253">
            <v>3</v>
          </cell>
          <cell r="C253">
            <v>9</v>
          </cell>
          <cell r="D253">
            <v>21</v>
          </cell>
          <cell r="E253">
            <v>792030</v>
          </cell>
          <cell r="F253">
            <v>0</v>
          </cell>
          <cell r="G253" t="str">
            <v>Затраты по ШПЗ (неосновные)</v>
          </cell>
          <cell r="H253">
            <v>2030</v>
          </cell>
          <cell r="I253">
            <v>7920</v>
          </cell>
          <cell r="J253">
            <v>1006.16</v>
          </cell>
          <cell r="K253">
            <v>1</v>
          </cell>
          <cell r="L253">
            <v>0</v>
          </cell>
          <cell r="M253">
            <v>0</v>
          </cell>
          <cell r="N253">
            <v>0</v>
          </cell>
          <cell r="R253">
            <v>0</v>
          </cell>
          <cell r="S253">
            <v>0</v>
          </cell>
          <cell r="T253">
            <v>0</v>
          </cell>
          <cell r="U253">
            <v>33</v>
          </cell>
          <cell r="V253">
            <v>0</v>
          </cell>
          <cell r="W253">
            <v>0</v>
          </cell>
          <cell r="AA253">
            <v>0</v>
          </cell>
          <cell r="AB253">
            <v>0</v>
          </cell>
          <cell r="AC253">
            <v>0</v>
          </cell>
          <cell r="AD253">
            <v>33</v>
          </cell>
          <cell r="AE253">
            <v>315000</v>
          </cell>
          <cell r="AF253">
            <v>0</v>
          </cell>
          <cell r="AI253">
            <v>2282</v>
          </cell>
          <cell r="AK253">
            <v>0</v>
          </cell>
          <cell r="AM253">
            <v>166</v>
          </cell>
          <cell r="AN253">
            <v>1</v>
          </cell>
          <cell r="AO253">
            <v>393216</v>
          </cell>
          <cell r="AQ253">
            <v>0</v>
          </cell>
          <cell r="AR253">
            <v>0</v>
          </cell>
          <cell r="AS253" t="str">
            <v>Ы</v>
          </cell>
          <cell r="AT253" t="str">
            <v>Ы</v>
          </cell>
          <cell r="AU253">
            <v>0</v>
          </cell>
          <cell r="AV253">
            <v>0</v>
          </cell>
          <cell r="AW253">
            <v>23</v>
          </cell>
          <cell r="AX253">
            <v>1</v>
          </cell>
          <cell r="AY253">
            <v>0</v>
          </cell>
          <cell r="AZ253">
            <v>0</v>
          </cell>
          <cell r="BA253">
            <v>0</v>
          </cell>
          <cell r="BB253">
            <v>0</v>
          </cell>
          <cell r="BC253">
            <v>38828</v>
          </cell>
        </row>
        <row r="254">
          <cell r="A254">
            <v>2006</v>
          </cell>
          <cell r="B254">
            <v>3</v>
          </cell>
          <cell r="C254">
            <v>10</v>
          </cell>
          <cell r="D254">
            <v>21</v>
          </cell>
          <cell r="E254">
            <v>792030</v>
          </cell>
          <cell r="F254">
            <v>0</v>
          </cell>
          <cell r="G254" t="str">
            <v>Затраты по ШПЗ (неосновные)</v>
          </cell>
          <cell r="H254">
            <v>2030</v>
          </cell>
          <cell r="I254">
            <v>7920</v>
          </cell>
          <cell r="J254">
            <v>314</v>
          </cell>
          <cell r="K254">
            <v>1</v>
          </cell>
          <cell r="L254">
            <v>0</v>
          </cell>
          <cell r="M254">
            <v>0</v>
          </cell>
          <cell r="N254">
            <v>0</v>
          </cell>
          <cell r="R254">
            <v>0</v>
          </cell>
          <cell r="S254">
            <v>0</v>
          </cell>
          <cell r="T254">
            <v>0</v>
          </cell>
          <cell r="U254">
            <v>33</v>
          </cell>
          <cell r="V254">
            <v>0</v>
          </cell>
          <cell r="W254">
            <v>0</v>
          </cell>
          <cell r="AA254">
            <v>0</v>
          </cell>
          <cell r="AB254">
            <v>0</v>
          </cell>
          <cell r="AC254">
            <v>0</v>
          </cell>
          <cell r="AD254">
            <v>33</v>
          </cell>
          <cell r="AE254">
            <v>503000</v>
          </cell>
          <cell r="AF254">
            <v>0</v>
          </cell>
          <cell r="AI254">
            <v>2282</v>
          </cell>
          <cell r="AK254">
            <v>0</v>
          </cell>
          <cell r="AM254">
            <v>167</v>
          </cell>
          <cell r="AN254">
            <v>1</v>
          </cell>
          <cell r="AO254">
            <v>393216</v>
          </cell>
          <cell r="AQ254">
            <v>0</v>
          </cell>
          <cell r="AR254">
            <v>0</v>
          </cell>
          <cell r="AS254" t="str">
            <v>Ы</v>
          </cell>
          <cell r="AT254" t="str">
            <v>Ы</v>
          </cell>
          <cell r="AU254">
            <v>0</v>
          </cell>
          <cell r="AV254">
            <v>0</v>
          </cell>
          <cell r="AW254">
            <v>23</v>
          </cell>
          <cell r="AX254">
            <v>1</v>
          </cell>
          <cell r="AY254">
            <v>0</v>
          </cell>
          <cell r="AZ254">
            <v>0</v>
          </cell>
          <cell r="BA254">
            <v>0</v>
          </cell>
          <cell r="BB254">
            <v>0</v>
          </cell>
          <cell r="BC254">
            <v>38828</v>
          </cell>
        </row>
        <row r="255">
          <cell r="A255">
            <v>2006</v>
          </cell>
          <cell r="B255">
            <v>3</v>
          </cell>
          <cell r="C255">
            <v>11</v>
          </cell>
          <cell r="D255">
            <v>21</v>
          </cell>
          <cell r="E255">
            <v>792030</v>
          </cell>
          <cell r="F255">
            <v>0</v>
          </cell>
          <cell r="G255" t="str">
            <v>Затраты по ШПЗ (неосновные)</v>
          </cell>
          <cell r="H255">
            <v>2030</v>
          </cell>
          <cell r="I255">
            <v>7920</v>
          </cell>
          <cell r="J255">
            <v>848</v>
          </cell>
          <cell r="K255">
            <v>1</v>
          </cell>
          <cell r="L255">
            <v>0</v>
          </cell>
          <cell r="M255">
            <v>0</v>
          </cell>
          <cell r="N255">
            <v>0</v>
          </cell>
          <cell r="R255">
            <v>0</v>
          </cell>
          <cell r="S255">
            <v>0</v>
          </cell>
          <cell r="T255">
            <v>0</v>
          </cell>
          <cell r="U255">
            <v>33</v>
          </cell>
          <cell r="V255">
            <v>0</v>
          </cell>
          <cell r="W255">
            <v>0</v>
          </cell>
          <cell r="AA255">
            <v>0</v>
          </cell>
          <cell r="AB255">
            <v>0</v>
          </cell>
          <cell r="AC255">
            <v>0</v>
          </cell>
          <cell r="AD255">
            <v>33</v>
          </cell>
          <cell r="AE255">
            <v>510100</v>
          </cell>
          <cell r="AF255">
            <v>0</v>
          </cell>
          <cell r="AI255">
            <v>2282</v>
          </cell>
          <cell r="AK255">
            <v>0</v>
          </cell>
          <cell r="AM255">
            <v>168</v>
          </cell>
          <cell r="AN255">
            <v>1</v>
          </cell>
          <cell r="AO255">
            <v>393216</v>
          </cell>
          <cell r="AQ255">
            <v>0</v>
          </cell>
          <cell r="AR255">
            <v>0</v>
          </cell>
          <cell r="AS255" t="str">
            <v>Ы</v>
          </cell>
          <cell r="AT255" t="str">
            <v>Ы</v>
          </cell>
          <cell r="AU255">
            <v>0</v>
          </cell>
          <cell r="AV255">
            <v>0</v>
          </cell>
          <cell r="AW255">
            <v>23</v>
          </cell>
          <cell r="AX255">
            <v>1</v>
          </cell>
          <cell r="AY255">
            <v>0</v>
          </cell>
          <cell r="AZ255">
            <v>0</v>
          </cell>
          <cell r="BA255">
            <v>0</v>
          </cell>
          <cell r="BB255">
            <v>0</v>
          </cell>
          <cell r="BC255">
            <v>38828</v>
          </cell>
        </row>
        <row r="256">
          <cell r="A256">
            <v>2006</v>
          </cell>
          <cell r="B256">
            <v>3</v>
          </cell>
          <cell r="C256">
            <v>76</v>
          </cell>
          <cell r="D256">
            <v>21</v>
          </cell>
          <cell r="E256">
            <v>792030</v>
          </cell>
          <cell r="F256">
            <v>0</v>
          </cell>
          <cell r="G256" t="str">
            <v>Затраты по ШПЗ (неосновные)</v>
          </cell>
          <cell r="H256">
            <v>2030</v>
          </cell>
          <cell r="I256">
            <v>7920</v>
          </cell>
          <cell r="J256">
            <v>9881.84</v>
          </cell>
          <cell r="K256">
            <v>1</v>
          </cell>
          <cell r="L256">
            <v>0</v>
          </cell>
          <cell r="M256">
            <v>0</v>
          </cell>
          <cell r="N256">
            <v>0</v>
          </cell>
          <cell r="R256">
            <v>0</v>
          </cell>
          <cell r="S256">
            <v>0</v>
          </cell>
          <cell r="T256">
            <v>0</v>
          </cell>
          <cell r="U256">
            <v>35</v>
          </cell>
          <cell r="V256">
            <v>0</v>
          </cell>
          <cell r="W256">
            <v>0</v>
          </cell>
          <cell r="AA256">
            <v>0</v>
          </cell>
          <cell r="AB256">
            <v>0</v>
          </cell>
          <cell r="AC256">
            <v>0</v>
          </cell>
          <cell r="AD256">
            <v>35</v>
          </cell>
          <cell r="AE256">
            <v>110000</v>
          </cell>
          <cell r="AF256">
            <v>0</v>
          </cell>
          <cell r="AI256">
            <v>2282</v>
          </cell>
          <cell r="AK256">
            <v>0</v>
          </cell>
          <cell r="AM256">
            <v>233</v>
          </cell>
          <cell r="AN256">
            <v>1</v>
          </cell>
          <cell r="AO256">
            <v>393216</v>
          </cell>
          <cell r="AQ256">
            <v>0</v>
          </cell>
          <cell r="AR256">
            <v>0</v>
          </cell>
          <cell r="AS256" t="str">
            <v>Ы</v>
          </cell>
          <cell r="AT256" t="str">
            <v>Ы</v>
          </cell>
          <cell r="AU256">
            <v>0</v>
          </cell>
          <cell r="AV256">
            <v>0</v>
          </cell>
          <cell r="AW256">
            <v>23</v>
          </cell>
          <cell r="AX256">
            <v>1</v>
          </cell>
          <cell r="AY256">
            <v>0</v>
          </cell>
          <cell r="AZ256">
            <v>0</v>
          </cell>
          <cell r="BA256">
            <v>0</v>
          </cell>
          <cell r="BB256">
            <v>0</v>
          </cell>
          <cell r="BC256">
            <v>38828</v>
          </cell>
        </row>
        <row r="257">
          <cell r="A257">
            <v>2006</v>
          </cell>
          <cell r="B257">
            <v>3</v>
          </cell>
          <cell r="C257">
            <v>77</v>
          </cell>
          <cell r="D257">
            <v>21</v>
          </cell>
          <cell r="E257">
            <v>792030</v>
          </cell>
          <cell r="F257">
            <v>0</v>
          </cell>
          <cell r="G257" t="str">
            <v>Затраты по ШПЗ (неосновные)</v>
          </cell>
          <cell r="H257">
            <v>2030</v>
          </cell>
          <cell r="I257">
            <v>7920</v>
          </cell>
          <cell r="J257">
            <v>11.12</v>
          </cell>
          <cell r="K257">
            <v>1</v>
          </cell>
          <cell r="L257">
            <v>0</v>
          </cell>
          <cell r="M257">
            <v>0</v>
          </cell>
          <cell r="N257">
            <v>0</v>
          </cell>
          <cell r="R257">
            <v>0</v>
          </cell>
          <cell r="S257">
            <v>0</v>
          </cell>
          <cell r="T257">
            <v>0</v>
          </cell>
          <cell r="U257">
            <v>35</v>
          </cell>
          <cell r="V257">
            <v>0</v>
          </cell>
          <cell r="W257">
            <v>0</v>
          </cell>
          <cell r="AA257">
            <v>0</v>
          </cell>
          <cell r="AB257">
            <v>0</v>
          </cell>
          <cell r="AC257">
            <v>0</v>
          </cell>
          <cell r="AD257">
            <v>35</v>
          </cell>
          <cell r="AE257">
            <v>114020</v>
          </cell>
          <cell r="AF257">
            <v>0</v>
          </cell>
          <cell r="AI257">
            <v>2282</v>
          </cell>
          <cell r="AK257">
            <v>0</v>
          </cell>
          <cell r="AM257">
            <v>234</v>
          </cell>
          <cell r="AN257">
            <v>1</v>
          </cell>
          <cell r="AO257">
            <v>393216</v>
          </cell>
          <cell r="AQ257">
            <v>0</v>
          </cell>
          <cell r="AR257">
            <v>0</v>
          </cell>
          <cell r="AS257" t="str">
            <v>Ы</v>
          </cell>
          <cell r="AT257" t="str">
            <v>Ы</v>
          </cell>
          <cell r="AU257">
            <v>0</v>
          </cell>
          <cell r="AV257">
            <v>0</v>
          </cell>
          <cell r="AW257">
            <v>23</v>
          </cell>
          <cell r="AX257">
            <v>1</v>
          </cell>
          <cell r="AY257">
            <v>0</v>
          </cell>
          <cell r="AZ257">
            <v>0</v>
          </cell>
          <cell r="BA257">
            <v>0</v>
          </cell>
          <cell r="BB257">
            <v>0</v>
          </cell>
          <cell r="BC257">
            <v>38828</v>
          </cell>
        </row>
        <row r="258">
          <cell r="A258">
            <v>2006</v>
          </cell>
          <cell r="B258">
            <v>3</v>
          </cell>
          <cell r="C258">
            <v>78</v>
          </cell>
          <cell r="D258">
            <v>21</v>
          </cell>
          <cell r="E258">
            <v>792030</v>
          </cell>
          <cell r="F258">
            <v>0</v>
          </cell>
          <cell r="G258" t="str">
            <v>Затраты по ШПЗ (неосновные)</v>
          </cell>
          <cell r="H258">
            <v>2030</v>
          </cell>
          <cell r="I258">
            <v>7920</v>
          </cell>
          <cell r="J258">
            <v>1.27</v>
          </cell>
          <cell r="K258">
            <v>1</v>
          </cell>
          <cell r="L258">
            <v>0</v>
          </cell>
          <cell r="M258">
            <v>0</v>
          </cell>
          <cell r="N258">
            <v>0</v>
          </cell>
          <cell r="R258">
            <v>0</v>
          </cell>
          <cell r="S258">
            <v>0</v>
          </cell>
          <cell r="T258">
            <v>0</v>
          </cell>
          <cell r="U258">
            <v>35</v>
          </cell>
          <cell r="V258">
            <v>0</v>
          </cell>
          <cell r="W258">
            <v>0</v>
          </cell>
          <cell r="AA258">
            <v>0</v>
          </cell>
          <cell r="AB258">
            <v>0</v>
          </cell>
          <cell r="AC258">
            <v>0</v>
          </cell>
          <cell r="AD258">
            <v>35</v>
          </cell>
          <cell r="AE258">
            <v>117000</v>
          </cell>
          <cell r="AF258">
            <v>0</v>
          </cell>
          <cell r="AI258">
            <v>2282</v>
          </cell>
          <cell r="AK258">
            <v>0</v>
          </cell>
          <cell r="AM258">
            <v>235</v>
          </cell>
          <cell r="AN258">
            <v>1</v>
          </cell>
          <cell r="AO258">
            <v>393216</v>
          </cell>
          <cell r="AQ258">
            <v>0</v>
          </cell>
          <cell r="AR258">
            <v>0</v>
          </cell>
          <cell r="AS258" t="str">
            <v>Ы</v>
          </cell>
          <cell r="AT258" t="str">
            <v>Ы</v>
          </cell>
          <cell r="AU258">
            <v>0</v>
          </cell>
          <cell r="AV258">
            <v>0</v>
          </cell>
          <cell r="AW258">
            <v>23</v>
          </cell>
          <cell r="AX258">
            <v>1</v>
          </cell>
          <cell r="AY258">
            <v>0</v>
          </cell>
          <cell r="AZ258">
            <v>0</v>
          </cell>
          <cell r="BA258">
            <v>0</v>
          </cell>
          <cell r="BB258">
            <v>0</v>
          </cell>
          <cell r="BC258">
            <v>38828</v>
          </cell>
        </row>
        <row r="259">
          <cell r="A259">
            <v>2006</v>
          </cell>
          <cell r="B259">
            <v>3</v>
          </cell>
          <cell r="C259">
            <v>79</v>
          </cell>
          <cell r="D259">
            <v>21</v>
          </cell>
          <cell r="E259">
            <v>792030</v>
          </cell>
          <cell r="F259">
            <v>0</v>
          </cell>
          <cell r="G259" t="str">
            <v>Затраты по ШПЗ (неосновные)</v>
          </cell>
          <cell r="H259">
            <v>2030</v>
          </cell>
          <cell r="I259">
            <v>7920</v>
          </cell>
          <cell r="J259">
            <v>26.02</v>
          </cell>
          <cell r="K259">
            <v>1</v>
          </cell>
          <cell r="L259">
            <v>0</v>
          </cell>
          <cell r="M259">
            <v>0</v>
          </cell>
          <cell r="N259">
            <v>0</v>
          </cell>
          <cell r="R259">
            <v>0</v>
          </cell>
          <cell r="S259">
            <v>0</v>
          </cell>
          <cell r="T259">
            <v>0</v>
          </cell>
          <cell r="U259">
            <v>35</v>
          </cell>
          <cell r="V259">
            <v>0</v>
          </cell>
          <cell r="W259">
            <v>0</v>
          </cell>
          <cell r="AA259">
            <v>0</v>
          </cell>
          <cell r="AB259">
            <v>0</v>
          </cell>
          <cell r="AC259">
            <v>0</v>
          </cell>
          <cell r="AD259">
            <v>35</v>
          </cell>
          <cell r="AE259">
            <v>118000</v>
          </cell>
          <cell r="AF259">
            <v>0</v>
          </cell>
          <cell r="AI259">
            <v>2282</v>
          </cell>
          <cell r="AK259">
            <v>0</v>
          </cell>
          <cell r="AM259">
            <v>236</v>
          </cell>
          <cell r="AN259">
            <v>1</v>
          </cell>
          <cell r="AO259">
            <v>393216</v>
          </cell>
          <cell r="AQ259">
            <v>0</v>
          </cell>
          <cell r="AR259">
            <v>0</v>
          </cell>
          <cell r="AS259" t="str">
            <v>Ы</v>
          </cell>
          <cell r="AT259" t="str">
            <v>Ы</v>
          </cell>
          <cell r="AU259">
            <v>0</v>
          </cell>
          <cell r="AV259">
            <v>0</v>
          </cell>
          <cell r="AW259">
            <v>23</v>
          </cell>
          <cell r="AX259">
            <v>1</v>
          </cell>
          <cell r="AY259">
            <v>0</v>
          </cell>
          <cell r="AZ259">
            <v>0</v>
          </cell>
          <cell r="BA259">
            <v>0</v>
          </cell>
          <cell r="BB259">
            <v>0</v>
          </cell>
          <cell r="BC259">
            <v>38828</v>
          </cell>
        </row>
        <row r="260">
          <cell r="A260">
            <v>2006</v>
          </cell>
          <cell r="B260">
            <v>3</v>
          </cell>
          <cell r="C260">
            <v>80</v>
          </cell>
          <cell r="D260">
            <v>21</v>
          </cell>
          <cell r="E260">
            <v>792030</v>
          </cell>
          <cell r="F260">
            <v>0</v>
          </cell>
          <cell r="G260" t="str">
            <v>Затраты по ШПЗ (неосновные)</v>
          </cell>
          <cell r="H260">
            <v>2030</v>
          </cell>
          <cell r="I260">
            <v>7920</v>
          </cell>
          <cell r="J260">
            <v>3.22</v>
          </cell>
          <cell r="K260">
            <v>1</v>
          </cell>
          <cell r="L260">
            <v>0</v>
          </cell>
          <cell r="M260">
            <v>0</v>
          </cell>
          <cell r="N260">
            <v>0</v>
          </cell>
          <cell r="R260">
            <v>0</v>
          </cell>
          <cell r="S260">
            <v>0</v>
          </cell>
          <cell r="T260">
            <v>0</v>
          </cell>
          <cell r="U260">
            <v>35</v>
          </cell>
          <cell r="V260">
            <v>0</v>
          </cell>
          <cell r="W260">
            <v>0</v>
          </cell>
          <cell r="AA260">
            <v>0</v>
          </cell>
          <cell r="AB260">
            <v>0</v>
          </cell>
          <cell r="AC260">
            <v>0</v>
          </cell>
          <cell r="AD260">
            <v>35</v>
          </cell>
          <cell r="AE260">
            <v>131000</v>
          </cell>
          <cell r="AF260">
            <v>0</v>
          </cell>
          <cell r="AI260">
            <v>2282</v>
          </cell>
          <cell r="AK260">
            <v>0</v>
          </cell>
          <cell r="AM260">
            <v>237</v>
          </cell>
          <cell r="AN260">
            <v>1</v>
          </cell>
          <cell r="AO260">
            <v>393216</v>
          </cell>
          <cell r="AQ260">
            <v>0</v>
          </cell>
          <cell r="AR260">
            <v>0</v>
          </cell>
          <cell r="AS260" t="str">
            <v>Ы</v>
          </cell>
          <cell r="AT260" t="str">
            <v>Ы</v>
          </cell>
          <cell r="AU260">
            <v>0</v>
          </cell>
          <cell r="AV260">
            <v>0</v>
          </cell>
          <cell r="AW260">
            <v>23</v>
          </cell>
          <cell r="AX260">
            <v>1</v>
          </cell>
          <cell r="AY260">
            <v>0</v>
          </cell>
          <cell r="AZ260">
            <v>0</v>
          </cell>
          <cell r="BA260">
            <v>0</v>
          </cell>
          <cell r="BB260">
            <v>0</v>
          </cell>
          <cell r="BC260">
            <v>38828</v>
          </cell>
        </row>
        <row r="261">
          <cell r="A261">
            <v>2006</v>
          </cell>
          <cell r="B261">
            <v>3</v>
          </cell>
          <cell r="C261">
            <v>81</v>
          </cell>
          <cell r="D261">
            <v>21</v>
          </cell>
          <cell r="E261">
            <v>792030</v>
          </cell>
          <cell r="F261">
            <v>0</v>
          </cell>
          <cell r="G261" t="str">
            <v>Затраты по ШПЗ (неосновные)</v>
          </cell>
          <cell r="H261">
            <v>2030</v>
          </cell>
          <cell r="I261">
            <v>7920</v>
          </cell>
          <cell r="J261">
            <v>0.36</v>
          </cell>
          <cell r="K261">
            <v>1</v>
          </cell>
          <cell r="L261">
            <v>0</v>
          </cell>
          <cell r="M261">
            <v>0</v>
          </cell>
          <cell r="N261">
            <v>0</v>
          </cell>
          <cell r="R261">
            <v>0</v>
          </cell>
          <cell r="S261">
            <v>0</v>
          </cell>
          <cell r="T261">
            <v>0</v>
          </cell>
          <cell r="U261">
            <v>35</v>
          </cell>
          <cell r="V261">
            <v>0</v>
          </cell>
          <cell r="W261">
            <v>0</v>
          </cell>
          <cell r="AA261">
            <v>0</v>
          </cell>
          <cell r="AB261">
            <v>0</v>
          </cell>
          <cell r="AC261">
            <v>0</v>
          </cell>
          <cell r="AD261">
            <v>35</v>
          </cell>
          <cell r="AE261">
            <v>131100</v>
          </cell>
          <cell r="AF261">
            <v>0</v>
          </cell>
          <cell r="AI261">
            <v>2282</v>
          </cell>
          <cell r="AK261">
            <v>0</v>
          </cell>
          <cell r="AM261">
            <v>238</v>
          </cell>
          <cell r="AN261">
            <v>1</v>
          </cell>
          <cell r="AO261">
            <v>393216</v>
          </cell>
          <cell r="AQ261">
            <v>0</v>
          </cell>
          <cell r="AR261">
            <v>0</v>
          </cell>
          <cell r="AS261" t="str">
            <v>Ы</v>
          </cell>
          <cell r="AT261" t="str">
            <v>Ы</v>
          </cell>
          <cell r="AU261">
            <v>0</v>
          </cell>
          <cell r="AV261">
            <v>0</v>
          </cell>
          <cell r="AW261">
            <v>23</v>
          </cell>
          <cell r="AX261">
            <v>1</v>
          </cell>
          <cell r="AY261">
            <v>0</v>
          </cell>
          <cell r="AZ261">
            <v>0</v>
          </cell>
          <cell r="BA261">
            <v>0</v>
          </cell>
          <cell r="BB261">
            <v>0</v>
          </cell>
          <cell r="BC261">
            <v>38828</v>
          </cell>
        </row>
        <row r="262">
          <cell r="A262">
            <v>2006</v>
          </cell>
          <cell r="B262">
            <v>3</v>
          </cell>
          <cell r="C262">
            <v>82</v>
          </cell>
          <cell r="D262">
            <v>21</v>
          </cell>
          <cell r="E262">
            <v>792030</v>
          </cell>
          <cell r="F262">
            <v>0</v>
          </cell>
          <cell r="G262" t="str">
            <v>Затраты по ШПЗ (неосновные)</v>
          </cell>
          <cell r="H262">
            <v>2030</v>
          </cell>
          <cell r="I262">
            <v>7920</v>
          </cell>
          <cell r="J262">
            <v>2.46</v>
          </cell>
          <cell r="K262">
            <v>1</v>
          </cell>
          <cell r="L262">
            <v>0</v>
          </cell>
          <cell r="M262">
            <v>0</v>
          </cell>
          <cell r="N262">
            <v>0</v>
          </cell>
          <cell r="R262">
            <v>0</v>
          </cell>
          <cell r="S262">
            <v>0</v>
          </cell>
          <cell r="T262">
            <v>0</v>
          </cell>
          <cell r="U262">
            <v>35</v>
          </cell>
          <cell r="V262">
            <v>0</v>
          </cell>
          <cell r="W262">
            <v>0</v>
          </cell>
          <cell r="AA262">
            <v>0</v>
          </cell>
          <cell r="AB262">
            <v>0</v>
          </cell>
          <cell r="AC262">
            <v>0</v>
          </cell>
          <cell r="AD262">
            <v>35</v>
          </cell>
          <cell r="AE262">
            <v>132000</v>
          </cell>
          <cell r="AF262">
            <v>0</v>
          </cell>
          <cell r="AI262">
            <v>2282</v>
          </cell>
          <cell r="AK262">
            <v>0</v>
          </cell>
          <cell r="AM262">
            <v>239</v>
          </cell>
          <cell r="AN262">
            <v>1</v>
          </cell>
          <cell r="AO262">
            <v>393216</v>
          </cell>
          <cell r="AQ262">
            <v>0</v>
          </cell>
          <cell r="AR262">
            <v>0</v>
          </cell>
          <cell r="AS262" t="str">
            <v>Ы</v>
          </cell>
          <cell r="AT262" t="str">
            <v>Ы</v>
          </cell>
          <cell r="AU262">
            <v>0</v>
          </cell>
          <cell r="AV262">
            <v>0</v>
          </cell>
          <cell r="AW262">
            <v>23</v>
          </cell>
          <cell r="AX262">
            <v>1</v>
          </cell>
          <cell r="AY262">
            <v>0</v>
          </cell>
          <cell r="AZ262">
            <v>0</v>
          </cell>
          <cell r="BA262">
            <v>0</v>
          </cell>
          <cell r="BB262">
            <v>0</v>
          </cell>
          <cell r="BC262">
            <v>38828</v>
          </cell>
        </row>
        <row r="263">
          <cell r="A263">
            <v>2006</v>
          </cell>
          <cell r="B263">
            <v>3</v>
          </cell>
          <cell r="C263">
            <v>83</v>
          </cell>
          <cell r="D263">
            <v>21</v>
          </cell>
          <cell r="E263">
            <v>792030</v>
          </cell>
          <cell r="F263">
            <v>0</v>
          </cell>
          <cell r="G263" t="str">
            <v>Затраты по ШПЗ (неосновные)</v>
          </cell>
          <cell r="H263">
            <v>2030</v>
          </cell>
          <cell r="I263">
            <v>7920</v>
          </cell>
          <cell r="J263">
            <v>3.94</v>
          </cell>
          <cell r="K263">
            <v>1</v>
          </cell>
          <cell r="L263">
            <v>0</v>
          </cell>
          <cell r="M263">
            <v>0</v>
          </cell>
          <cell r="N263">
            <v>0</v>
          </cell>
          <cell r="R263">
            <v>0</v>
          </cell>
          <cell r="S263">
            <v>0</v>
          </cell>
          <cell r="T263">
            <v>0</v>
          </cell>
          <cell r="U263">
            <v>35</v>
          </cell>
          <cell r="V263">
            <v>0</v>
          </cell>
          <cell r="W263">
            <v>0</v>
          </cell>
          <cell r="AA263">
            <v>0</v>
          </cell>
          <cell r="AB263">
            <v>0</v>
          </cell>
          <cell r="AC263">
            <v>0</v>
          </cell>
          <cell r="AD263">
            <v>35</v>
          </cell>
          <cell r="AE263">
            <v>135000</v>
          </cell>
          <cell r="AF263">
            <v>0</v>
          </cell>
          <cell r="AI263">
            <v>2282</v>
          </cell>
          <cell r="AK263">
            <v>0</v>
          </cell>
          <cell r="AM263">
            <v>240</v>
          </cell>
          <cell r="AN263">
            <v>1</v>
          </cell>
          <cell r="AO263">
            <v>393216</v>
          </cell>
          <cell r="AQ263">
            <v>0</v>
          </cell>
          <cell r="AR263">
            <v>0</v>
          </cell>
          <cell r="AS263" t="str">
            <v>Ы</v>
          </cell>
          <cell r="AT263" t="str">
            <v>Ы</v>
          </cell>
          <cell r="AU263">
            <v>0</v>
          </cell>
          <cell r="AV263">
            <v>0</v>
          </cell>
          <cell r="AW263">
            <v>23</v>
          </cell>
          <cell r="AX263">
            <v>1</v>
          </cell>
          <cell r="AY263">
            <v>0</v>
          </cell>
          <cell r="AZ263">
            <v>0</v>
          </cell>
          <cell r="BA263">
            <v>0</v>
          </cell>
          <cell r="BB263">
            <v>0</v>
          </cell>
          <cell r="BC263">
            <v>38828</v>
          </cell>
        </row>
        <row r="264">
          <cell r="A264">
            <v>2006</v>
          </cell>
          <cell r="B264">
            <v>3</v>
          </cell>
          <cell r="C264">
            <v>84</v>
          </cell>
          <cell r="D264">
            <v>21</v>
          </cell>
          <cell r="E264">
            <v>792030</v>
          </cell>
          <cell r="F264">
            <v>0</v>
          </cell>
          <cell r="G264" t="str">
            <v>Затраты по ШПЗ (неосновные)</v>
          </cell>
          <cell r="H264">
            <v>2030</v>
          </cell>
          <cell r="I264">
            <v>7920</v>
          </cell>
          <cell r="J264">
            <v>5147.26</v>
          </cell>
          <cell r="K264">
            <v>1</v>
          </cell>
          <cell r="L264">
            <v>0</v>
          </cell>
          <cell r="M264">
            <v>0</v>
          </cell>
          <cell r="N264">
            <v>0</v>
          </cell>
          <cell r="R264">
            <v>0</v>
          </cell>
          <cell r="S264">
            <v>0</v>
          </cell>
          <cell r="T264">
            <v>0</v>
          </cell>
          <cell r="U264">
            <v>35</v>
          </cell>
          <cell r="V264">
            <v>0</v>
          </cell>
          <cell r="W264">
            <v>0</v>
          </cell>
          <cell r="AA264">
            <v>0</v>
          </cell>
          <cell r="AB264">
            <v>0</v>
          </cell>
          <cell r="AC264">
            <v>0</v>
          </cell>
          <cell r="AD264">
            <v>35</v>
          </cell>
          <cell r="AE264">
            <v>143000</v>
          </cell>
          <cell r="AF264">
            <v>0</v>
          </cell>
          <cell r="AI264">
            <v>2282</v>
          </cell>
          <cell r="AK264">
            <v>0</v>
          </cell>
          <cell r="AM264">
            <v>241</v>
          </cell>
          <cell r="AN264">
            <v>1</v>
          </cell>
          <cell r="AO264">
            <v>393216</v>
          </cell>
          <cell r="AQ264">
            <v>0</v>
          </cell>
          <cell r="AR264">
            <v>0</v>
          </cell>
          <cell r="AS264" t="str">
            <v>Ы</v>
          </cell>
          <cell r="AT264" t="str">
            <v>Ы</v>
          </cell>
          <cell r="AU264">
            <v>0</v>
          </cell>
          <cell r="AV264">
            <v>0</v>
          </cell>
          <cell r="AW264">
            <v>23</v>
          </cell>
          <cell r="AX264">
            <v>1</v>
          </cell>
          <cell r="AY264">
            <v>0</v>
          </cell>
          <cell r="AZ264">
            <v>0</v>
          </cell>
          <cell r="BA264">
            <v>0</v>
          </cell>
          <cell r="BB264">
            <v>0</v>
          </cell>
          <cell r="BC264">
            <v>38828</v>
          </cell>
        </row>
        <row r="265">
          <cell r="A265">
            <v>2006</v>
          </cell>
          <cell r="B265">
            <v>3</v>
          </cell>
          <cell r="C265">
            <v>85</v>
          </cell>
          <cell r="D265">
            <v>21</v>
          </cell>
          <cell r="E265">
            <v>792030</v>
          </cell>
          <cell r="F265">
            <v>0</v>
          </cell>
          <cell r="G265" t="str">
            <v>Затраты по ШПЗ (неосновные)</v>
          </cell>
          <cell r="H265">
            <v>2030</v>
          </cell>
          <cell r="I265">
            <v>7920</v>
          </cell>
          <cell r="J265">
            <v>63.53</v>
          </cell>
          <cell r="K265">
            <v>1</v>
          </cell>
          <cell r="L265">
            <v>0</v>
          </cell>
          <cell r="M265">
            <v>0</v>
          </cell>
          <cell r="N265">
            <v>0</v>
          </cell>
          <cell r="R265">
            <v>0</v>
          </cell>
          <cell r="S265">
            <v>0</v>
          </cell>
          <cell r="T265">
            <v>0</v>
          </cell>
          <cell r="U265">
            <v>35</v>
          </cell>
          <cell r="V265">
            <v>0</v>
          </cell>
          <cell r="W265">
            <v>0</v>
          </cell>
          <cell r="AA265">
            <v>0</v>
          </cell>
          <cell r="AB265">
            <v>0</v>
          </cell>
          <cell r="AC265">
            <v>0</v>
          </cell>
          <cell r="AD265">
            <v>35</v>
          </cell>
          <cell r="AE265">
            <v>410000</v>
          </cell>
          <cell r="AF265">
            <v>0</v>
          </cell>
          <cell r="AI265">
            <v>2282</v>
          </cell>
          <cell r="AK265">
            <v>0</v>
          </cell>
          <cell r="AM265">
            <v>242</v>
          </cell>
          <cell r="AN265">
            <v>1</v>
          </cell>
          <cell r="AO265">
            <v>393216</v>
          </cell>
          <cell r="AQ265">
            <v>0</v>
          </cell>
          <cell r="AR265">
            <v>0</v>
          </cell>
          <cell r="AS265" t="str">
            <v>Ы</v>
          </cell>
          <cell r="AT265" t="str">
            <v>Ы</v>
          </cell>
          <cell r="AU265">
            <v>0</v>
          </cell>
          <cell r="AV265">
            <v>0</v>
          </cell>
          <cell r="AW265">
            <v>23</v>
          </cell>
          <cell r="AX265">
            <v>1</v>
          </cell>
          <cell r="AY265">
            <v>0</v>
          </cell>
          <cell r="AZ265">
            <v>0</v>
          </cell>
          <cell r="BA265">
            <v>0</v>
          </cell>
          <cell r="BB265">
            <v>0</v>
          </cell>
          <cell r="BC265">
            <v>38828</v>
          </cell>
        </row>
        <row r="266">
          <cell r="A266">
            <v>2006</v>
          </cell>
          <cell r="B266">
            <v>3</v>
          </cell>
          <cell r="C266">
            <v>86</v>
          </cell>
          <cell r="D266">
            <v>21</v>
          </cell>
          <cell r="E266">
            <v>792030</v>
          </cell>
          <cell r="F266">
            <v>0</v>
          </cell>
          <cell r="G266" t="str">
            <v>Затраты по ШПЗ (неосновные)</v>
          </cell>
          <cell r="H266">
            <v>2030</v>
          </cell>
          <cell r="I266">
            <v>7920</v>
          </cell>
          <cell r="J266">
            <v>457.07</v>
          </cell>
          <cell r="K266">
            <v>1</v>
          </cell>
          <cell r="L266">
            <v>0</v>
          </cell>
          <cell r="M266">
            <v>0</v>
          </cell>
          <cell r="N266">
            <v>0</v>
          </cell>
          <cell r="R266">
            <v>0</v>
          </cell>
          <cell r="S266">
            <v>0</v>
          </cell>
          <cell r="T266">
            <v>0</v>
          </cell>
          <cell r="U266">
            <v>35</v>
          </cell>
          <cell r="V266">
            <v>0</v>
          </cell>
          <cell r="W266">
            <v>0</v>
          </cell>
          <cell r="AA266">
            <v>0</v>
          </cell>
          <cell r="AB266">
            <v>0</v>
          </cell>
          <cell r="AC266">
            <v>0</v>
          </cell>
          <cell r="AD266">
            <v>35</v>
          </cell>
          <cell r="AE266">
            <v>420000</v>
          </cell>
          <cell r="AF266">
            <v>0</v>
          </cell>
          <cell r="AI266">
            <v>2282</v>
          </cell>
          <cell r="AK266">
            <v>0</v>
          </cell>
          <cell r="AM266">
            <v>243</v>
          </cell>
          <cell r="AN266">
            <v>1</v>
          </cell>
          <cell r="AO266">
            <v>393216</v>
          </cell>
          <cell r="AQ266">
            <v>0</v>
          </cell>
          <cell r="AR266">
            <v>0</v>
          </cell>
          <cell r="AS266" t="str">
            <v>Ы</v>
          </cell>
          <cell r="AT266" t="str">
            <v>Ы</v>
          </cell>
          <cell r="AU266">
            <v>0</v>
          </cell>
          <cell r="AV266">
            <v>0</v>
          </cell>
          <cell r="AW266">
            <v>23</v>
          </cell>
          <cell r="AX266">
            <v>1</v>
          </cell>
          <cell r="AY266">
            <v>0</v>
          </cell>
          <cell r="AZ266">
            <v>0</v>
          </cell>
          <cell r="BA266">
            <v>0</v>
          </cell>
          <cell r="BB266">
            <v>0</v>
          </cell>
          <cell r="BC266">
            <v>38828</v>
          </cell>
        </row>
        <row r="267">
          <cell r="A267">
            <v>2006</v>
          </cell>
          <cell r="B267">
            <v>3</v>
          </cell>
          <cell r="C267">
            <v>87</v>
          </cell>
          <cell r="D267">
            <v>21</v>
          </cell>
          <cell r="E267">
            <v>792030</v>
          </cell>
          <cell r="F267">
            <v>0</v>
          </cell>
          <cell r="G267" t="str">
            <v>Затраты по ШПЗ (неосновные)</v>
          </cell>
          <cell r="H267">
            <v>2030</v>
          </cell>
          <cell r="I267">
            <v>7920</v>
          </cell>
          <cell r="J267">
            <v>10.87</v>
          </cell>
          <cell r="K267">
            <v>1</v>
          </cell>
          <cell r="L267">
            <v>0</v>
          </cell>
          <cell r="M267">
            <v>0</v>
          </cell>
          <cell r="N267">
            <v>0</v>
          </cell>
          <cell r="R267">
            <v>0</v>
          </cell>
          <cell r="S267">
            <v>0</v>
          </cell>
          <cell r="T267">
            <v>0</v>
          </cell>
          <cell r="U267">
            <v>35</v>
          </cell>
          <cell r="V267">
            <v>0</v>
          </cell>
          <cell r="W267">
            <v>0</v>
          </cell>
          <cell r="AA267">
            <v>0</v>
          </cell>
          <cell r="AB267">
            <v>0</v>
          </cell>
          <cell r="AC267">
            <v>0</v>
          </cell>
          <cell r="AD267">
            <v>35</v>
          </cell>
          <cell r="AE267">
            <v>430000</v>
          </cell>
          <cell r="AF267">
            <v>0</v>
          </cell>
          <cell r="AI267">
            <v>2282</v>
          </cell>
          <cell r="AK267">
            <v>0</v>
          </cell>
          <cell r="AM267">
            <v>244</v>
          </cell>
          <cell r="AN267">
            <v>1</v>
          </cell>
          <cell r="AO267">
            <v>393216</v>
          </cell>
          <cell r="AQ267">
            <v>0</v>
          </cell>
          <cell r="AR267">
            <v>0</v>
          </cell>
          <cell r="AS267" t="str">
            <v>Ы</v>
          </cell>
          <cell r="AT267" t="str">
            <v>Ы</v>
          </cell>
          <cell r="AU267">
            <v>0</v>
          </cell>
          <cell r="AV267">
            <v>0</v>
          </cell>
          <cell r="AW267">
            <v>23</v>
          </cell>
          <cell r="AX267">
            <v>1</v>
          </cell>
          <cell r="AY267">
            <v>0</v>
          </cell>
          <cell r="AZ267">
            <v>0</v>
          </cell>
          <cell r="BA267">
            <v>0</v>
          </cell>
          <cell r="BB267">
            <v>0</v>
          </cell>
          <cell r="BC267">
            <v>38828</v>
          </cell>
        </row>
        <row r="268">
          <cell r="A268">
            <v>2006</v>
          </cell>
          <cell r="B268">
            <v>3</v>
          </cell>
          <cell r="C268">
            <v>88</v>
          </cell>
          <cell r="D268">
            <v>21</v>
          </cell>
          <cell r="E268">
            <v>792030</v>
          </cell>
          <cell r="F268">
            <v>0</v>
          </cell>
          <cell r="G268" t="str">
            <v>Затраты по ШПЗ (неосновные)</v>
          </cell>
          <cell r="H268">
            <v>2030</v>
          </cell>
          <cell r="I268">
            <v>7920</v>
          </cell>
          <cell r="J268">
            <v>71.72</v>
          </cell>
          <cell r="K268">
            <v>1</v>
          </cell>
          <cell r="L268">
            <v>0</v>
          </cell>
          <cell r="M268">
            <v>0</v>
          </cell>
          <cell r="N268">
            <v>0</v>
          </cell>
          <cell r="R268">
            <v>0</v>
          </cell>
          <cell r="S268">
            <v>0</v>
          </cell>
          <cell r="T268">
            <v>0</v>
          </cell>
          <cell r="U268">
            <v>35</v>
          </cell>
          <cell r="V268">
            <v>0</v>
          </cell>
          <cell r="W268">
            <v>0</v>
          </cell>
          <cell r="AA268">
            <v>0</v>
          </cell>
          <cell r="AB268">
            <v>0</v>
          </cell>
          <cell r="AC268">
            <v>0</v>
          </cell>
          <cell r="AD268">
            <v>35</v>
          </cell>
          <cell r="AE268">
            <v>430110</v>
          </cell>
          <cell r="AF268">
            <v>0</v>
          </cell>
          <cell r="AI268">
            <v>2282</v>
          </cell>
          <cell r="AK268">
            <v>0</v>
          </cell>
          <cell r="AM268">
            <v>245</v>
          </cell>
          <cell r="AN268">
            <v>1</v>
          </cell>
          <cell r="AO268">
            <v>393216</v>
          </cell>
          <cell r="AQ268">
            <v>0</v>
          </cell>
          <cell r="AR268">
            <v>0</v>
          </cell>
          <cell r="AS268" t="str">
            <v>Ы</v>
          </cell>
          <cell r="AT268" t="str">
            <v>Ы</v>
          </cell>
          <cell r="AU268">
            <v>0</v>
          </cell>
          <cell r="AV268">
            <v>0</v>
          </cell>
          <cell r="AW268">
            <v>23</v>
          </cell>
          <cell r="AX268">
            <v>1</v>
          </cell>
          <cell r="AY268">
            <v>0</v>
          </cell>
          <cell r="AZ268">
            <v>0</v>
          </cell>
          <cell r="BA268">
            <v>0</v>
          </cell>
          <cell r="BB268">
            <v>0</v>
          </cell>
          <cell r="BC268">
            <v>38828</v>
          </cell>
        </row>
        <row r="269">
          <cell r="A269">
            <v>2006</v>
          </cell>
          <cell r="B269">
            <v>3</v>
          </cell>
          <cell r="C269">
            <v>89</v>
          </cell>
          <cell r="D269">
            <v>21</v>
          </cell>
          <cell r="E269">
            <v>792030</v>
          </cell>
          <cell r="F269">
            <v>0</v>
          </cell>
          <cell r="G269" t="str">
            <v>Затраты по ШПЗ (неосновные)</v>
          </cell>
          <cell r="H269">
            <v>2030</v>
          </cell>
          <cell r="I269">
            <v>7920</v>
          </cell>
          <cell r="J269">
            <v>24.99</v>
          </cell>
          <cell r="K269">
            <v>1</v>
          </cell>
          <cell r="L269">
            <v>0</v>
          </cell>
          <cell r="M269">
            <v>0</v>
          </cell>
          <cell r="N269">
            <v>0</v>
          </cell>
          <cell r="R269">
            <v>0</v>
          </cell>
          <cell r="S269">
            <v>0</v>
          </cell>
          <cell r="T269">
            <v>0</v>
          </cell>
          <cell r="U269">
            <v>35</v>
          </cell>
          <cell r="V269">
            <v>0</v>
          </cell>
          <cell r="W269">
            <v>0</v>
          </cell>
          <cell r="AA269">
            <v>0</v>
          </cell>
          <cell r="AB269">
            <v>0</v>
          </cell>
          <cell r="AC269">
            <v>0</v>
          </cell>
          <cell r="AD269">
            <v>35</v>
          </cell>
          <cell r="AE269">
            <v>430120</v>
          </cell>
          <cell r="AF269">
            <v>0</v>
          </cell>
          <cell r="AI269">
            <v>2282</v>
          </cell>
          <cell r="AK269">
            <v>0</v>
          </cell>
          <cell r="AM269">
            <v>246</v>
          </cell>
          <cell r="AN269">
            <v>1</v>
          </cell>
          <cell r="AO269">
            <v>393216</v>
          </cell>
          <cell r="AQ269">
            <v>0</v>
          </cell>
          <cell r="AR269">
            <v>0</v>
          </cell>
          <cell r="AS269" t="str">
            <v>Ы</v>
          </cell>
          <cell r="AT269" t="str">
            <v>Ы</v>
          </cell>
          <cell r="AU269">
            <v>0</v>
          </cell>
          <cell r="AV269">
            <v>0</v>
          </cell>
          <cell r="AW269">
            <v>23</v>
          </cell>
          <cell r="AX269">
            <v>1</v>
          </cell>
          <cell r="AY269">
            <v>0</v>
          </cell>
          <cell r="AZ269">
            <v>0</v>
          </cell>
          <cell r="BA269">
            <v>0</v>
          </cell>
          <cell r="BB269">
            <v>0</v>
          </cell>
          <cell r="BC269">
            <v>38828</v>
          </cell>
        </row>
        <row r="270">
          <cell r="A270">
            <v>2006</v>
          </cell>
          <cell r="B270">
            <v>3</v>
          </cell>
          <cell r="C270">
            <v>90</v>
          </cell>
          <cell r="D270">
            <v>21</v>
          </cell>
          <cell r="E270">
            <v>792030</v>
          </cell>
          <cell r="F270">
            <v>0</v>
          </cell>
          <cell r="G270" t="str">
            <v>Затраты по ШПЗ (неосновные)</v>
          </cell>
          <cell r="H270">
            <v>2030</v>
          </cell>
          <cell r="I270">
            <v>7920</v>
          </cell>
          <cell r="J270">
            <v>138.01</v>
          </cell>
          <cell r="K270">
            <v>1</v>
          </cell>
          <cell r="L270">
            <v>0</v>
          </cell>
          <cell r="M270">
            <v>0</v>
          </cell>
          <cell r="N270">
            <v>0</v>
          </cell>
          <cell r="R270">
            <v>0</v>
          </cell>
          <cell r="S270">
            <v>0</v>
          </cell>
          <cell r="T270">
            <v>0</v>
          </cell>
          <cell r="U270">
            <v>35</v>
          </cell>
          <cell r="V270">
            <v>0</v>
          </cell>
          <cell r="W270">
            <v>0</v>
          </cell>
          <cell r="AA270">
            <v>0</v>
          </cell>
          <cell r="AB270">
            <v>0</v>
          </cell>
          <cell r="AC270">
            <v>0</v>
          </cell>
          <cell r="AD270">
            <v>35</v>
          </cell>
          <cell r="AE270">
            <v>430130</v>
          </cell>
          <cell r="AF270">
            <v>0</v>
          </cell>
          <cell r="AI270">
            <v>2282</v>
          </cell>
          <cell r="AK270">
            <v>0</v>
          </cell>
          <cell r="AM270">
            <v>247</v>
          </cell>
          <cell r="AN270">
            <v>1</v>
          </cell>
          <cell r="AO270">
            <v>393216</v>
          </cell>
          <cell r="AQ270">
            <v>0</v>
          </cell>
          <cell r="AR270">
            <v>0</v>
          </cell>
          <cell r="AS270" t="str">
            <v>Ы</v>
          </cell>
          <cell r="AT270" t="str">
            <v>Ы</v>
          </cell>
          <cell r="AU270">
            <v>0</v>
          </cell>
          <cell r="AV270">
            <v>0</v>
          </cell>
          <cell r="AW270">
            <v>23</v>
          </cell>
          <cell r="AX270">
            <v>1</v>
          </cell>
          <cell r="AY270">
            <v>0</v>
          </cell>
          <cell r="AZ270">
            <v>0</v>
          </cell>
          <cell r="BA270">
            <v>0</v>
          </cell>
          <cell r="BB270">
            <v>0</v>
          </cell>
          <cell r="BC270">
            <v>38828</v>
          </cell>
        </row>
        <row r="271">
          <cell r="A271">
            <v>2006</v>
          </cell>
          <cell r="B271">
            <v>3</v>
          </cell>
          <cell r="C271">
            <v>91</v>
          </cell>
          <cell r="D271">
            <v>21</v>
          </cell>
          <cell r="E271">
            <v>792030</v>
          </cell>
          <cell r="F271">
            <v>0</v>
          </cell>
          <cell r="G271" t="str">
            <v>Затраты по ШПЗ (неосновные)</v>
          </cell>
          <cell r="H271">
            <v>2030</v>
          </cell>
          <cell r="I271">
            <v>7920</v>
          </cell>
          <cell r="J271">
            <v>84.33</v>
          </cell>
          <cell r="K271">
            <v>1</v>
          </cell>
          <cell r="L271">
            <v>0</v>
          </cell>
          <cell r="M271">
            <v>0</v>
          </cell>
          <cell r="N271">
            <v>0</v>
          </cell>
          <cell r="R271">
            <v>0</v>
          </cell>
          <cell r="S271">
            <v>0</v>
          </cell>
          <cell r="T271">
            <v>0</v>
          </cell>
          <cell r="U271">
            <v>35</v>
          </cell>
          <cell r="V271">
            <v>0</v>
          </cell>
          <cell r="W271">
            <v>0</v>
          </cell>
          <cell r="AA271">
            <v>0</v>
          </cell>
          <cell r="AB271">
            <v>0</v>
          </cell>
          <cell r="AC271">
            <v>0</v>
          </cell>
          <cell r="AD271">
            <v>35</v>
          </cell>
          <cell r="AE271">
            <v>430140</v>
          </cell>
          <cell r="AF271">
            <v>0</v>
          </cell>
          <cell r="AI271">
            <v>2282</v>
          </cell>
          <cell r="AK271">
            <v>0</v>
          </cell>
          <cell r="AM271">
            <v>248</v>
          </cell>
          <cell r="AN271">
            <v>1</v>
          </cell>
          <cell r="AO271">
            <v>393216</v>
          </cell>
          <cell r="AQ271">
            <v>0</v>
          </cell>
          <cell r="AR271">
            <v>0</v>
          </cell>
          <cell r="AS271" t="str">
            <v>Ы</v>
          </cell>
          <cell r="AT271" t="str">
            <v>Ы</v>
          </cell>
          <cell r="AU271">
            <v>0</v>
          </cell>
          <cell r="AV271">
            <v>0</v>
          </cell>
          <cell r="AW271">
            <v>23</v>
          </cell>
          <cell r="AX271">
            <v>1</v>
          </cell>
          <cell r="AY271">
            <v>0</v>
          </cell>
          <cell r="AZ271">
            <v>0</v>
          </cell>
          <cell r="BA271">
            <v>0</v>
          </cell>
          <cell r="BB271">
            <v>0</v>
          </cell>
          <cell r="BC271">
            <v>38828</v>
          </cell>
        </row>
        <row r="272">
          <cell r="A272">
            <v>2006</v>
          </cell>
          <cell r="B272">
            <v>3</v>
          </cell>
          <cell r="C272">
            <v>92</v>
          </cell>
          <cell r="D272">
            <v>21</v>
          </cell>
          <cell r="E272">
            <v>792030</v>
          </cell>
          <cell r="F272">
            <v>0</v>
          </cell>
          <cell r="G272" t="str">
            <v>Затраты по ШПЗ (неосновные)</v>
          </cell>
          <cell r="H272">
            <v>2030</v>
          </cell>
          <cell r="I272">
            <v>7920</v>
          </cell>
          <cell r="J272">
            <v>0.25</v>
          </cell>
          <cell r="K272">
            <v>1</v>
          </cell>
          <cell r="L272">
            <v>0</v>
          </cell>
          <cell r="M272">
            <v>0</v>
          </cell>
          <cell r="N272">
            <v>0</v>
          </cell>
          <cell r="R272">
            <v>0</v>
          </cell>
          <cell r="S272">
            <v>0</v>
          </cell>
          <cell r="T272">
            <v>0</v>
          </cell>
          <cell r="U272">
            <v>35</v>
          </cell>
          <cell r="V272">
            <v>0</v>
          </cell>
          <cell r="W272">
            <v>0</v>
          </cell>
          <cell r="AA272">
            <v>0</v>
          </cell>
          <cell r="AB272">
            <v>0</v>
          </cell>
          <cell r="AC272">
            <v>0</v>
          </cell>
          <cell r="AD272">
            <v>35</v>
          </cell>
          <cell r="AE272">
            <v>430230</v>
          </cell>
          <cell r="AF272">
            <v>0</v>
          </cell>
          <cell r="AI272">
            <v>2282</v>
          </cell>
          <cell r="AK272">
            <v>0</v>
          </cell>
          <cell r="AM272">
            <v>249</v>
          </cell>
          <cell r="AN272">
            <v>1</v>
          </cell>
          <cell r="AO272">
            <v>393216</v>
          </cell>
          <cell r="AQ272">
            <v>0</v>
          </cell>
          <cell r="AR272">
            <v>0</v>
          </cell>
          <cell r="AS272" t="str">
            <v>Ы</v>
          </cell>
          <cell r="AT272" t="str">
            <v>Ы</v>
          </cell>
          <cell r="AU272">
            <v>0</v>
          </cell>
          <cell r="AV272">
            <v>0</v>
          </cell>
          <cell r="AW272">
            <v>23</v>
          </cell>
          <cell r="AX272">
            <v>1</v>
          </cell>
          <cell r="AY272">
            <v>0</v>
          </cell>
          <cell r="AZ272">
            <v>0</v>
          </cell>
          <cell r="BA272">
            <v>0</v>
          </cell>
          <cell r="BB272">
            <v>0</v>
          </cell>
          <cell r="BC272">
            <v>38828</v>
          </cell>
        </row>
        <row r="273">
          <cell r="A273">
            <v>2006</v>
          </cell>
          <cell r="B273">
            <v>3</v>
          </cell>
          <cell r="C273">
            <v>93</v>
          </cell>
          <cell r="D273">
            <v>21</v>
          </cell>
          <cell r="E273">
            <v>792030</v>
          </cell>
          <cell r="F273">
            <v>0</v>
          </cell>
          <cell r="G273" t="str">
            <v>Затраты по ШПЗ (неосновные)</v>
          </cell>
          <cell r="H273">
            <v>2030</v>
          </cell>
          <cell r="I273">
            <v>7920</v>
          </cell>
          <cell r="J273">
            <v>0.9</v>
          </cell>
          <cell r="K273">
            <v>1</v>
          </cell>
          <cell r="L273">
            <v>0</v>
          </cell>
          <cell r="M273">
            <v>0</v>
          </cell>
          <cell r="N273">
            <v>0</v>
          </cell>
          <cell r="R273">
            <v>0</v>
          </cell>
          <cell r="S273">
            <v>0</v>
          </cell>
          <cell r="T273">
            <v>0</v>
          </cell>
          <cell r="U273">
            <v>35</v>
          </cell>
          <cell r="V273">
            <v>0</v>
          </cell>
          <cell r="W273">
            <v>0</v>
          </cell>
          <cell r="AA273">
            <v>0</v>
          </cell>
          <cell r="AB273">
            <v>0</v>
          </cell>
          <cell r="AC273">
            <v>0</v>
          </cell>
          <cell r="AD273">
            <v>35</v>
          </cell>
          <cell r="AE273">
            <v>430240</v>
          </cell>
          <cell r="AF273">
            <v>0</v>
          </cell>
          <cell r="AI273">
            <v>2282</v>
          </cell>
          <cell r="AK273">
            <v>0</v>
          </cell>
          <cell r="AM273">
            <v>250</v>
          </cell>
          <cell r="AN273">
            <v>1</v>
          </cell>
          <cell r="AO273">
            <v>393216</v>
          </cell>
          <cell r="AQ273">
            <v>0</v>
          </cell>
          <cell r="AR273">
            <v>0</v>
          </cell>
          <cell r="AS273" t="str">
            <v>Ы</v>
          </cell>
          <cell r="AT273" t="str">
            <v>Ы</v>
          </cell>
          <cell r="AU273">
            <v>0</v>
          </cell>
          <cell r="AV273">
            <v>0</v>
          </cell>
          <cell r="AW273">
            <v>23</v>
          </cell>
          <cell r="AX273">
            <v>1</v>
          </cell>
          <cell r="AY273">
            <v>0</v>
          </cell>
          <cell r="AZ273">
            <v>0</v>
          </cell>
          <cell r="BA273">
            <v>0</v>
          </cell>
          <cell r="BB273">
            <v>0</v>
          </cell>
          <cell r="BC273">
            <v>38828</v>
          </cell>
        </row>
        <row r="274">
          <cell r="A274">
            <v>2006</v>
          </cell>
          <cell r="B274">
            <v>3</v>
          </cell>
          <cell r="C274">
            <v>94</v>
          </cell>
          <cell r="D274">
            <v>21</v>
          </cell>
          <cell r="E274">
            <v>792030</v>
          </cell>
          <cell r="F274">
            <v>0</v>
          </cell>
          <cell r="G274" t="str">
            <v>Затраты по ШПЗ (неосновные)</v>
          </cell>
          <cell r="H274">
            <v>2030</v>
          </cell>
          <cell r="I274">
            <v>7920</v>
          </cell>
          <cell r="J274">
            <v>87.11</v>
          </cell>
          <cell r="K274">
            <v>1</v>
          </cell>
          <cell r="L274">
            <v>0</v>
          </cell>
          <cell r="M274">
            <v>0</v>
          </cell>
          <cell r="N274">
            <v>0</v>
          </cell>
          <cell r="R274">
            <v>0</v>
          </cell>
          <cell r="S274">
            <v>0</v>
          </cell>
          <cell r="T274">
            <v>0</v>
          </cell>
          <cell r="U274">
            <v>35</v>
          </cell>
          <cell r="V274">
            <v>0</v>
          </cell>
          <cell r="W274">
            <v>0</v>
          </cell>
          <cell r="AA274">
            <v>0</v>
          </cell>
          <cell r="AB274">
            <v>0</v>
          </cell>
          <cell r="AC274">
            <v>0</v>
          </cell>
          <cell r="AD274">
            <v>35</v>
          </cell>
          <cell r="AE274">
            <v>450000</v>
          </cell>
          <cell r="AF274">
            <v>0</v>
          </cell>
          <cell r="AI274">
            <v>2282</v>
          </cell>
          <cell r="AK274">
            <v>0</v>
          </cell>
          <cell r="AM274">
            <v>251</v>
          </cell>
          <cell r="AN274">
            <v>1</v>
          </cell>
          <cell r="AO274">
            <v>393216</v>
          </cell>
          <cell r="AQ274">
            <v>0</v>
          </cell>
          <cell r="AR274">
            <v>0</v>
          </cell>
          <cell r="AS274" t="str">
            <v>Ы</v>
          </cell>
          <cell r="AT274" t="str">
            <v>Ы</v>
          </cell>
          <cell r="AU274">
            <v>0</v>
          </cell>
          <cell r="AV274">
            <v>0</v>
          </cell>
          <cell r="AW274">
            <v>23</v>
          </cell>
          <cell r="AX274">
            <v>1</v>
          </cell>
          <cell r="AY274">
            <v>0</v>
          </cell>
          <cell r="AZ274">
            <v>0</v>
          </cell>
          <cell r="BA274">
            <v>0</v>
          </cell>
          <cell r="BB274">
            <v>0</v>
          </cell>
          <cell r="BC274">
            <v>38828</v>
          </cell>
        </row>
        <row r="275">
          <cell r="A275">
            <v>2006</v>
          </cell>
          <cell r="B275">
            <v>3</v>
          </cell>
          <cell r="C275">
            <v>95</v>
          </cell>
          <cell r="D275">
            <v>21</v>
          </cell>
          <cell r="E275">
            <v>792030</v>
          </cell>
          <cell r="F275">
            <v>0</v>
          </cell>
          <cell r="G275" t="str">
            <v>Затраты по ШПЗ (неосновные)</v>
          </cell>
          <cell r="H275">
            <v>2030</v>
          </cell>
          <cell r="I275">
            <v>7920</v>
          </cell>
          <cell r="J275">
            <v>8.8800000000000008</v>
          </cell>
          <cell r="K275">
            <v>1</v>
          </cell>
          <cell r="L275">
            <v>0</v>
          </cell>
          <cell r="M275">
            <v>0</v>
          </cell>
          <cell r="N275">
            <v>0</v>
          </cell>
          <cell r="R275">
            <v>0</v>
          </cell>
          <cell r="S275">
            <v>0</v>
          </cell>
          <cell r="T275">
            <v>0</v>
          </cell>
          <cell r="U275">
            <v>35</v>
          </cell>
          <cell r="V275">
            <v>0</v>
          </cell>
          <cell r="W275">
            <v>0</v>
          </cell>
          <cell r="AA275">
            <v>0</v>
          </cell>
          <cell r="AB275">
            <v>0</v>
          </cell>
          <cell r="AC275">
            <v>0</v>
          </cell>
          <cell r="AD275">
            <v>35</v>
          </cell>
          <cell r="AE275">
            <v>460000</v>
          </cell>
          <cell r="AF275">
            <v>0</v>
          </cell>
          <cell r="AI275">
            <v>2282</v>
          </cell>
          <cell r="AK275">
            <v>0</v>
          </cell>
          <cell r="AM275">
            <v>252</v>
          </cell>
          <cell r="AN275">
            <v>1</v>
          </cell>
          <cell r="AO275">
            <v>393216</v>
          </cell>
          <cell r="AQ275">
            <v>0</v>
          </cell>
          <cell r="AR275">
            <v>0</v>
          </cell>
          <cell r="AS275" t="str">
            <v>Ы</v>
          </cell>
          <cell r="AT275" t="str">
            <v>Ы</v>
          </cell>
          <cell r="AU275">
            <v>0</v>
          </cell>
          <cell r="AV275">
            <v>0</v>
          </cell>
          <cell r="AW275">
            <v>23</v>
          </cell>
          <cell r="AX275">
            <v>1</v>
          </cell>
          <cell r="AY275">
            <v>0</v>
          </cell>
          <cell r="AZ275">
            <v>0</v>
          </cell>
          <cell r="BA275">
            <v>0</v>
          </cell>
          <cell r="BB275">
            <v>0</v>
          </cell>
          <cell r="BC275">
            <v>38828</v>
          </cell>
        </row>
        <row r="276">
          <cell r="A276">
            <v>2006</v>
          </cell>
          <cell r="B276">
            <v>3</v>
          </cell>
          <cell r="C276">
            <v>96</v>
          </cell>
          <cell r="D276">
            <v>21</v>
          </cell>
          <cell r="E276">
            <v>792030</v>
          </cell>
          <cell r="F276">
            <v>0</v>
          </cell>
          <cell r="G276" t="str">
            <v>Затраты по ШПЗ (неосновные)</v>
          </cell>
          <cell r="H276">
            <v>2030</v>
          </cell>
          <cell r="I276">
            <v>7920</v>
          </cell>
          <cell r="J276">
            <v>3.42</v>
          </cell>
          <cell r="K276">
            <v>1</v>
          </cell>
          <cell r="L276">
            <v>0</v>
          </cell>
          <cell r="M276">
            <v>0</v>
          </cell>
          <cell r="N276">
            <v>0</v>
          </cell>
          <cell r="R276">
            <v>0</v>
          </cell>
          <cell r="S276">
            <v>0</v>
          </cell>
          <cell r="T276">
            <v>0</v>
          </cell>
          <cell r="U276">
            <v>35</v>
          </cell>
          <cell r="V276">
            <v>0</v>
          </cell>
          <cell r="W276">
            <v>0</v>
          </cell>
          <cell r="AA276">
            <v>0</v>
          </cell>
          <cell r="AB276">
            <v>0</v>
          </cell>
          <cell r="AC276">
            <v>0</v>
          </cell>
          <cell r="AD276">
            <v>35</v>
          </cell>
          <cell r="AE276">
            <v>465000</v>
          </cell>
          <cell r="AF276">
            <v>0</v>
          </cell>
          <cell r="AI276">
            <v>2282</v>
          </cell>
          <cell r="AK276">
            <v>0</v>
          </cell>
          <cell r="AM276">
            <v>253</v>
          </cell>
          <cell r="AN276">
            <v>1</v>
          </cell>
          <cell r="AO276">
            <v>393216</v>
          </cell>
          <cell r="AQ276">
            <v>0</v>
          </cell>
          <cell r="AR276">
            <v>0</v>
          </cell>
          <cell r="AS276" t="str">
            <v>Ы</v>
          </cell>
          <cell r="AT276" t="str">
            <v>Ы</v>
          </cell>
          <cell r="AU276">
            <v>0</v>
          </cell>
          <cell r="AV276">
            <v>0</v>
          </cell>
          <cell r="AW276">
            <v>23</v>
          </cell>
          <cell r="AX276">
            <v>1</v>
          </cell>
          <cell r="AY276">
            <v>0</v>
          </cell>
          <cell r="AZ276">
            <v>0</v>
          </cell>
          <cell r="BA276">
            <v>0</v>
          </cell>
          <cell r="BB276">
            <v>0</v>
          </cell>
          <cell r="BC276">
            <v>38828</v>
          </cell>
        </row>
        <row r="277">
          <cell r="A277">
            <v>2006</v>
          </cell>
          <cell r="B277">
            <v>3</v>
          </cell>
          <cell r="C277">
            <v>97</v>
          </cell>
          <cell r="D277">
            <v>21</v>
          </cell>
          <cell r="E277">
            <v>792030</v>
          </cell>
          <cell r="F277">
            <v>0</v>
          </cell>
          <cell r="G277" t="str">
            <v>Затраты по ШПЗ (неосновные)</v>
          </cell>
          <cell r="H277">
            <v>2030</v>
          </cell>
          <cell r="I277">
            <v>7920</v>
          </cell>
          <cell r="J277">
            <v>180.53</v>
          </cell>
          <cell r="K277">
            <v>1</v>
          </cell>
          <cell r="L277">
            <v>0</v>
          </cell>
          <cell r="M277">
            <v>0</v>
          </cell>
          <cell r="N277">
            <v>0</v>
          </cell>
          <cell r="R277">
            <v>0</v>
          </cell>
          <cell r="S277">
            <v>0</v>
          </cell>
          <cell r="T277">
            <v>0</v>
          </cell>
          <cell r="U277">
            <v>35</v>
          </cell>
          <cell r="V277">
            <v>0</v>
          </cell>
          <cell r="W277">
            <v>0</v>
          </cell>
          <cell r="AA277">
            <v>0</v>
          </cell>
          <cell r="AB277">
            <v>0</v>
          </cell>
          <cell r="AC277">
            <v>0</v>
          </cell>
          <cell r="AD277">
            <v>35</v>
          </cell>
          <cell r="AE277">
            <v>501102</v>
          </cell>
          <cell r="AF277">
            <v>0</v>
          </cell>
          <cell r="AI277">
            <v>2282</v>
          </cell>
          <cell r="AK277">
            <v>0</v>
          </cell>
          <cell r="AM277">
            <v>254</v>
          </cell>
          <cell r="AN277">
            <v>1</v>
          </cell>
          <cell r="AO277">
            <v>393216</v>
          </cell>
          <cell r="AQ277">
            <v>0</v>
          </cell>
          <cell r="AR277">
            <v>0</v>
          </cell>
          <cell r="AS277" t="str">
            <v>Ы</v>
          </cell>
          <cell r="AT277" t="str">
            <v>Ы</v>
          </cell>
          <cell r="AU277">
            <v>0</v>
          </cell>
          <cell r="AV277">
            <v>0</v>
          </cell>
          <cell r="AW277">
            <v>23</v>
          </cell>
          <cell r="AX277">
            <v>1</v>
          </cell>
          <cell r="AY277">
            <v>0</v>
          </cell>
          <cell r="AZ277">
            <v>0</v>
          </cell>
          <cell r="BA277">
            <v>0</v>
          </cell>
          <cell r="BB277">
            <v>0</v>
          </cell>
          <cell r="BC277">
            <v>38828</v>
          </cell>
        </row>
        <row r="278">
          <cell r="A278">
            <v>2006</v>
          </cell>
          <cell r="B278">
            <v>3</v>
          </cell>
          <cell r="C278">
            <v>98</v>
          </cell>
          <cell r="D278">
            <v>21</v>
          </cell>
          <cell r="E278">
            <v>792030</v>
          </cell>
          <cell r="F278">
            <v>0</v>
          </cell>
          <cell r="G278" t="str">
            <v>Затраты по ШПЗ (неосновные)</v>
          </cell>
          <cell r="H278">
            <v>2030</v>
          </cell>
          <cell r="I278">
            <v>7920</v>
          </cell>
          <cell r="J278">
            <v>108.6</v>
          </cell>
          <cell r="K278">
            <v>1</v>
          </cell>
          <cell r="L278">
            <v>0</v>
          </cell>
          <cell r="M278">
            <v>0</v>
          </cell>
          <cell r="N278">
            <v>0</v>
          </cell>
          <cell r="R278">
            <v>0</v>
          </cell>
          <cell r="S278">
            <v>0</v>
          </cell>
          <cell r="T278">
            <v>0</v>
          </cell>
          <cell r="U278">
            <v>35</v>
          </cell>
          <cell r="V278">
            <v>0</v>
          </cell>
          <cell r="W278">
            <v>0</v>
          </cell>
          <cell r="AA278">
            <v>0</v>
          </cell>
          <cell r="AB278">
            <v>0</v>
          </cell>
          <cell r="AC278">
            <v>0</v>
          </cell>
          <cell r="AD278">
            <v>35</v>
          </cell>
          <cell r="AE278">
            <v>501103</v>
          </cell>
          <cell r="AF278">
            <v>0</v>
          </cell>
          <cell r="AI278">
            <v>2282</v>
          </cell>
          <cell r="AK278">
            <v>0</v>
          </cell>
          <cell r="AM278">
            <v>255</v>
          </cell>
          <cell r="AN278">
            <v>1</v>
          </cell>
          <cell r="AO278">
            <v>393216</v>
          </cell>
          <cell r="AQ278">
            <v>0</v>
          </cell>
          <cell r="AR278">
            <v>0</v>
          </cell>
          <cell r="AS278" t="str">
            <v>Ы</v>
          </cell>
          <cell r="AT278" t="str">
            <v>Ы</v>
          </cell>
          <cell r="AU278">
            <v>0</v>
          </cell>
          <cell r="AV278">
            <v>0</v>
          </cell>
          <cell r="AW278">
            <v>23</v>
          </cell>
          <cell r="AX278">
            <v>1</v>
          </cell>
          <cell r="AY278">
            <v>0</v>
          </cell>
          <cell r="AZ278">
            <v>0</v>
          </cell>
          <cell r="BA278">
            <v>0</v>
          </cell>
          <cell r="BB278">
            <v>0</v>
          </cell>
          <cell r="BC278">
            <v>38828</v>
          </cell>
        </row>
        <row r="279">
          <cell r="A279">
            <v>2006</v>
          </cell>
          <cell r="B279">
            <v>3</v>
          </cell>
          <cell r="C279">
            <v>99</v>
          </cell>
          <cell r="D279">
            <v>21</v>
          </cell>
          <cell r="E279">
            <v>792030</v>
          </cell>
          <cell r="F279">
            <v>0</v>
          </cell>
          <cell r="G279" t="str">
            <v>Затраты по ШПЗ (неосновные)</v>
          </cell>
          <cell r="H279">
            <v>2030</v>
          </cell>
          <cell r="I279">
            <v>7920</v>
          </cell>
          <cell r="J279">
            <v>207.47</v>
          </cell>
          <cell r="K279">
            <v>1</v>
          </cell>
          <cell r="L279">
            <v>0</v>
          </cell>
          <cell r="M279">
            <v>0</v>
          </cell>
          <cell r="N279">
            <v>0</v>
          </cell>
          <cell r="R279">
            <v>0</v>
          </cell>
          <cell r="S279">
            <v>0</v>
          </cell>
          <cell r="T279">
            <v>0</v>
          </cell>
          <cell r="U279">
            <v>35</v>
          </cell>
          <cell r="V279">
            <v>0</v>
          </cell>
          <cell r="W279">
            <v>0</v>
          </cell>
          <cell r="AA279">
            <v>0</v>
          </cell>
          <cell r="AB279">
            <v>0</v>
          </cell>
          <cell r="AC279">
            <v>0</v>
          </cell>
          <cell r="AD279">
            <v>35</v>
          </cell>
          <cell r="AE279">
            <v>501105</v>
          </cell>
          <cell r="AF279">
            <v>0</v>
          </cell>
          <cell r="AI279">
            <v>2282</v>
          </cell>
          <cell r="AK279">
            <v>0</v>
          </cell>
          <cell r="AM279">
            <v>256</v>
          </cell>
          <cell r="AN279">
            <v>1</v>
          </cell>
          <cell r="AO279">
            <v>393216</v>
          </cell>
          <cell r="AQ279">
            <v>0</v>
          </cell>
          <cell r="AR279">
            <v>0</v>
          </cell>
          <cell r="AS279" t="str">
            <v>Ы</v>
          </cell>
          <cell r="AT279" t="str">
            <v>Ы</v>
          </cell>
          <cell r="AU279">
            <v>0</v>
          </cell>
          <cell r="AV279">
            <v>0</v>
          </cell>
          <cell r="AW279">
            <v>23</v>
          </cell>
          <cell r="AX279">
            <v>1</v>
          </cell>
          <cell r="AY279">
            <v>0</v>
          </cell>
          <cell r="AZ279">
            <v>0</v>
          </cell>
          <cell r="BA279">
            <v>0</v>
          </cell>
          <cell r="BB279">
            <v>0</v>
          </cell>
          <cell r="BC279">
            <v>38828</v>
          </cell>
        </row>
        <row r="280">
          <cell r="A280">
            <v>2006</v>
          </cell>
          <cell r="B280">
            <v>3</v>
          </cell>
          <cell r="C280">
            <v>100</v>
          </cell>
          <cell r="D280">
            <v>21</v>
          </cell>
          <cell r="E280">
            <v>792030</v>
          </cell>
          <cell r="F280">
            <v>0</v>
          </cell>
          <cell r="G280" t="str">
            <v>Затраты по ШПЗ (неосновные)</v>
          </cell>
          <cell r="H280">
            <v>2030</v>
          </cell>
          <cell r="I280">
            <v>7920</v>
          </cell>
          <cell r="J280">
            <v>37.01</v>
          </cell>
          <cell r="K280">
            <v>1</v>
          </cell>
          <cell r="L280">
            <v>0</v>
          </cell>
          <cell r="M280">
            <v>0</v>
          </cell>
          <cell r="N280">
            <v>0</v>
          </cell>
          <cell r="R280">
            <v>0</v>
          </cell>
          <cell r="S280">
            <v>0</v>
          </cell>
          <cell r="T280">
            <v>0</v>
          </cell>
          <cell r="U280">
            <v>35</v>
          </cell>
          <cell r="V280">
            <v>0</v>
          </cell>
          <cell r="W280">
            <v>0</v>
          </cell>
          <cell r="AA280">
            <v>0</v>
          </cell>
          <cell r="AB280">
            <v>0</v>
          </cell>
          <cell r="AC280">
            <v>0</v>
          </cell>
          <cell r="AD280">
            <v>35</v>
          </cell>
          <cell r="AE280">
            <v>501106</v>
          </cell>
          <cell r="AF280">
            <v>0</v>
          </cell>
          <cell r="AI280">
            <v>2282</v>
          </cell>
          <cell r="AK280">
            <v>0</v>
          </cell>
          <cell r="AM280">
            <v>257</v>
          </cell>
          <cell r="AN280">
            <v>1</v>
          </cell>
          <cell r="AO280">
            <v>393216</v>
          </cell>
          <cell r="AQ280">
            <v>0</v>
          </cell>
          <cell r="AR280">
            <v>0</v>
          </cell>
          <cell r="AS280" t="str">
            <v>Ы</v>
          </cell>
          <cell r="AT280" t="str">
            <v>Ы</v>
          </cell>
          <cell r="AU280">
            <v>0</v>
          </cell>
          <cell r="AV280">
            <v>0</v>
          </cell>
          <cell r="AW280">
            <v>23</v>
          </cell>
          <cell r="AX280">
            <v>1</v>
          </cell>
          <cell r="AY280">
            <v>0</v>
          </cell>
          <cell r="AZ280">
            <v>0</v>
          </cell>
          <cell r="BA280">
            <v>0</v>
          </cell>
          <cell r="BB280">
            <v>0</v>
          </cell>
          <cell r="BC280">
            <v>38828</v>
          </cell>
        </row>
        <row r="281">
          <cell r="A281">
            <v>2006</v>
          </cell>
          <cell r="B281">
            <v>3</v>
          </cell>
          <cell r="C281">
            <v>101</v>
          </cell>
          <cell r="D281">
            <v>21</v>
          </cell>
          <cell r="E281">
            <v>792030</v>
          </cell>
          <cell r="F281">
            <v>0</v>
          </cell>
          <cell r="G281" t="str">
            <v>Затраты по ШПЗ (неосновные)</v>
          </cell>
          <cell r="H281">
            <v>2030</v>
          </cell>
          <cell r="I281">
            <v>7920</v>
          </cell>
          <cell r="J281">
            <v>112.89</v>
          </cell>
          <cell r="K281">
            <v>1</v>
          </cell>
          <cell r="L281">
            <v>0</v>
          </cell>
          <cell r="M281">
            <v>0</v>
          </cell>
          <cell r="N281">
            <v>0</v>
          </cell>
          <cell r="R281">
            <v>0</v>
          </cell>
          <cell r="S281">
            <v>0</v>
          </cell>
          <cell r="T281">
            <v>0</v>
          </cell>
          <cell r="U281">
            <v>35</v>
          </cell>
          <cell r="V281">
            <v>0</v>
          </cell>
          <cell r="W281">
            <v>0</v>
          </cell>
          <cell r="AA281">
            <v>0</v>
          </cell>
          <cell r="AB281">
            <v>0</v>
          </cell>
          <cell r="AC281">
            <v>0</v>
          </cell>
          <cell r="AD281">
            <v>35</v>
          </cell>
          <cell r="AE281">
            <v>503000</v>
          </cell>
          <cell r="AF281">
            <v>0</v>
          </cell>
          <cell r="AI281">
            <v>2282</v>
          </cell>
          <cell r="AK281">
            <v>0</v>
          </cell>
          <cell r="AM281">
            <v>258</v>
          </cell>
          <cell r="AN281">
            <v>1</v>
          </cell>
          <cell r="AO281">
            <v>393216</v>
          </cell>
          <cell r="AQ281">
            <v>0</v>
          </cell>
          <cell r="AR281">
            <v>0</v>
          </cell>
          <cell r="AS281" t="str">
            <v>Ы</v>
          </cell>
          <cell r="AT281" t="str">
            <v>Ы</v>
          </cell>
          <cell r="AU281">
            <v>0</v>
          </cell>
          <cell r="AV281">
            <v>0</v>
          </cell>
          <cell r="AW281">
            <v>23</v>
          </cell>
          <cell r="AX281">
            <v>1</v>
          </cell>
          <cell r="AY281">
            <v>0</v>
          </cell>
          <cell r="AZ281">
            <v>0</v>
          </cell>
          <cell r="BA281">
            <v>0</v>
          </cell>
          <cell r="BB281">
            <v>0</v>
          </cell>
          <cell r="BC281">
            <v>38828</v>
          </cell>
        </row>
        <row r="282">
          <cell r="A282">
            <v>2006</v>
          </cell>
          <cell r="B282">
            <v>3</v>
          </cell>
          <cell r="C282">
            <v>102</v>
          </cell>
          <cell r="D282">
            <v>21</v>
          </cell>
          <cell r="E282">
            <v>792030</v>
          </cell>
          <cell r="F282">
            <v>0</v>
          </cell>
          <cell r="G282" t="str">
            <v>Затраты по ШПЗ (неосновные)</v>
          </cell>
          <cell r="H282">
            <v>2030</v>
          </cell>
          <cell r="I282">
            <v>7920</v>
          </cell>
          <cell r="J282">
            <v>9.64</v>
          </cell>
          <cell r="K282">
            <v>1</v>
          </cell>
          <cell r="L282">
            <v>0</v>
          </cell>
          <cell r="M282">
            <v>0</v>
          </cell>
          <cell r="N282">
            <v>0</v>
          </cell>
          <cell r="R282">
            <v>0</v>
          </cell>
          <cell r="S282">
            <v>0</v>
          </cell>
          <cell r="T282">
            <v>0</v>
          </cell>
          <cell r="U282">
            <v>35</v>
          </cell>
          <cell r="V282">
            <v>0</v>
          </cell>
          <cell r="W282">
            <v>0</v>
          </cell>
          <cell r="AA282">
            <v>0</v>
          </cell>
          <cell r="AB282">
            <v>0</v>
          </cell>
          <cell r="AC282">
            <v>0</v>
          </cell>
          <cell r="AD282">
            <v>35</v>
          </cell>
          <cell r="AE282">
            <v>504100</v>
          </cell>
          <cell r="AF282">
            <v>0</v>
          </cell>
          <cell r="AI282">
            <v>2282</v>
          </cell>
          <cell r="AK282">
            <v>0</v>
          </cell>
          <cell r="AM282">
            <v>259</v>
          </cell>
          <cell r="AN282">
            <v>1</v>
          </cell>
          <cell r="AO282">
            <v>393216</v>
          </cell>
          <cell r="AQ282">
            <v>0</v>
          </cell>
          <cell r="AR282">
            <v>0</v>
          </cell>
          <cell r="AS282" t="str">
            <v>Ы</v>
          </cell>
          <cell r="AT282" t="str">
            <v>Ы</v>
          </cell>
          <cell r="AU282">
            <v>0</v>
          </cell>
          <cell r="AV282">
            <v>0</v>
          </cell>
          <cell r="AW282">
            <v>23</v>
          </cell>
          <cell r="AX282">
            <v>1</v>
          </cell>
          <cell r="AY282">
            <v>0</v>
          </cell>
          <cell r="AZ282">
            <v>0</v>
          </cell>
          <cell r="BA282">
            <v>0</v>
          </cell>
          <cell r="BB282">
            <v>0</v>
          </cell>
          <cell r="BC282">
            <v>38828</v>
          </cell>
        </row>
        <row r="283">
          <cell r="A283">
            <v>2006</v>
          </cell>
          <cell r="B283">
            <v>3</v>
          </cell>
          <cell r="C283">
            <v>103</v>
          </cell>
          <cell r="D283">
            <v>21</v>
          </cell>
          <cell r="E283">
            <v>792030</v>
          </cell>
          <cell r="F283">
            <v>0</v>
          </cell>
          <cell r="G283" t="str">
            <v>Затраты по ШПЗ (неосновные)</v>
          </cell>
          <cell r="H283">
            <v>2030</v>
          </cell>
          <cell r="I283">
            <v>7920</v>
          </cell>
          <cell r="J283">
            <v>97.19</v>
          </cell>
          <cell r="K283">
            <v>1</v>
          </cell>
          <cell r="L283">
            <v>0</v>
          </cell>
          <cell r="M283">
            <v>0</v>
          </cell>
          <cell r="N283">
            <v>0</v>
          </cell>
          <cell r="R283">
            <v>0</v>
          </cell>
          <cell r="S283">
            <v>0</v>
          </cell>
          <cell r="T283">
            <v>0</v>
          </cell>
          <cell r="U283">
            <v>35</v>
          </cell>
          <cell r="V283">
            <v>0</v>
          </cell>
          <cell r="W283">
            <v>0</v>
          </cell>
          <cell r="AA283">
            <v>0</v>
          </cell>
          <cell r="AB283">
            <v>0</v>
          </cell>
          <cell r="AC283">
            <v>0</v>
          </cell>
          <cell r="AD283">
            <v>35</v>
          </cell>
          <cell r="AE283">
            <v>504200</v>
          </cell>
          <cell r="AF283">
            <v>0</v>
          </cell>
          <cell r="AI283">
            <v>2282</v>
          </cell>
          <cell r="AK283">
            <v>0</v>
          </cell>
          <cell r="AM283">
            <v>260</v>
          </cell>
          <cell r="AN283">
            <v>1</v>
          </cell>
          <cell r="AO283">
            <v>393216</v>
          </cell>
          <cell r="AQ283">
            <v>0</v>
          </cell>
          <cell r="AR283">
            <v>0</v>
          </cell>
          <cell r="AS283" t="str">
            <v>Ы</v>
          </cell>
          <cell r="AT283" t="str">
            <v>Ы</v>
          </cell>
          <cell r="AU283">
            <v>0</v>
          </cell>
          <cell r="AV283">
            <v>0</v>
          </cell>
          <cell r="AW283">
            <v>23</v>
          </cell>
          <cell r="AX283">
            <v>1</v>
          </cell>
          <cell r="AY283">
            <v>0</v>
          </cell>
          <cell r="AZ283">
            <v>0</v>
          </cell>
          <cell r="BA283">
            <v>0</v>
          </cell>
          <cell r="BB283">
            <v>0</v>
          </cell>
          <cell r="BC283">
            <v>38828</v>
          </cell>
        </row>
        <row r="284">
          <cell r="A284">
            <v>2006</v>
          </cell>
          <cell r="B284">
            <v>3</v>
          </cell>
          <cell r="C284">
            <v>104</v>
          </cell>
          <cell r="D284">
            <v>21</v>
          </cell>
          <cell r="E284">
            <v>792030</v>
          </cell>
          <cell r="F284">
            <v>0</v>
          </cell>
          <cell r="G284" t="str">
            <v>Затраты по ШПЗ (неосновные)</v>
          </cell>
          <cell r="H284">
            <v>2030</v>
          </cell>
          <cell r="I284">
            <v>7920</v>
          </cell>
          <cell r="J284">
            <v>10.84</v>
          </cell>
          <cell r="K284">
            <v>1</v>
          </cell>
          <cell r="L284">
            <v>0</v>
          </cell>
          <cell r="M284">
            <v>0</v>
          </cell>
          <cell r="N284">
            <v>0</v>
          </cell>
          <cell r="R284">
            <v>0</v>
          </cell>
          <cell r="S284">
            <v>0</v>
          </cell>
          <cell r="T284">
            <v>0</v>
          </cell>
          <cell r="U284">
            <v>35</v>
          </cell>
          <cell r="V284">
            <v>0</v>
          </cell>
          <cell r="W284">
            <v>0</v>
          </cell>
          <cell r="AA284">
            <v>0</v>
          </cell>
          <cell r="AB284">
            <v>0</v>
          </cell>
          <cell r="AC284">
            <v>0</v>
          </cell>
          <cell r="AD284">
            <v>35</v>
          </cell>
          <cell r="AE284">
            <v>504400</v>
          </cell>
          <cell r="AF284">
            <v>0</v>
          </cell>
          <cell r="AI284">
            <v>2282</v>
          </cell>
          <cell r="AK284">
            <v>0</v>
          </cell>
          <cell r="AM284">
            <v>261</v>
          </cell>
          <cell r="AN284">
            <v>1</v>
          </cell>
          <cell r="AO284">
            <v>393216</v>
          </cell>
          <cell r="AQ284">
            <v>0</v>
          </cell>
          <cell r="AR284">
            <v>0</v>
          </cell>
          <cell r="AS284" t="str">
            <v>Ы</v>
          </cell>
          <cell r="AT284" t="str">
            <v>Ы</v>
          </cell>
          <cell r="AU284">
            <v>0</v>
          </cell>
          <cell r="AV284">
            <v>0</v>
          </cell>
          <cell r="AW284">
            <v>23</v>
          </cell>
          <cell r="AX284">
            <v>1</v>
          </cell>
          <cell r="AY284">
            <v>0</v>
          </cell>
          <cell r="AZ284">
            <v>0</v>
          </cell>
          <cell r="BA284">
            <v>0</v>
          </cell>
          <cell r="BB284">
            <v>0</v>
          </cell>
          <cell r="BC284">
            <v>38828</v>
          </cell>
        </row>
        <row r="285">
          <cell r="A285">
            <v>2006</v>
          </cell>
          <cell r="B285">
            <v>3</v>
          </cell>
          <cell r="C285">
            <v>105</v>
          </cell>
          <cell r="D285">
            <v>21</v>
          </cell>
          <cell r="E285">
            <v>792030</v>
          </cell>
          <cell r="F285">
            <v>0</v>
          </cell>
          <cell r="G285" t="str">
            <v>Затраты по ШПЗ (неосновные)</v>
          </cell>
          <cell r="H285">
            <v>2030</v>
          </cell>
          <cell r="I285">
            <v>7920</v>
          </cell>
          <cell r="J285">
            <v>125.06</v>
          </cell>
          <cell r="K285">
            <v>1</v>
          </cell>
          <cell r="L285">
            <v>0</v>
          </cell>
          <cell r="M285">
            <v>0</v>
          </cell>
          <cell r="N285">
            <v>0</v>
          </cell>
          <cell r="R285">
            <v>0</v>
          </cell>
          <cell r="S285">
            <v>0</v>
          </cell>
          <cell r="T285">
            <v>0</v>
          </cell>
          <cell r="U285">
            <v>35</v>
          </cell>
          <cell r="V285">
            <v>0</v>
          </cell>
          <cell r="W285">
            <v>0</v>
          </cell>
          <cell r="AA285">
            <v>0</v>
          </cell>
          <cell r="AB285">
            <v>0</v>
          </cell>
          <cell r="AC285">
            <v>0</v>
          </cell>
          <cell r="AD285">
            <v>35</v>
          </cell>
          <cell r="AE285">
            <v>505100</v>
          </cell>
          <cell r="AF285">
            <v>0</v>
          </cell>
          <cell r="AI285">
            <v>2282</v>
          </cell>
          <cell r="AK285">
            <v>0</v>
          </cell>
          <cell r="AM285">
            <v>262</v>
          </cell>
          <cell r="AN285">
            <v>1</v>
          </cell>
          <cell r="AO285">
            <v>393216</v>
          </cell>
          <cell r="AQ285">
            <v>0</v>
          </cell>
          <cell r="AR285">
            <v>0</v>
          </cell>
          <cell r="AS285" t="str">
            <v>Ы</v>
          </cell>
          <cell r="AT285" t="str">
            <v>Ы</v>
          </cell>
          <cell r="AU285">
            <v>0</v>
          </cell>
          <cell r="AV285">
            <v>0</v>
          </cell>
          <cell r="AW285">
            <v>23</v>
          </cell>
          <cell r="AX285">
            <v>1</v>
          </cell>
          <cell r="AY285">
            <v>0</v>
          </cell>
          <cell r="AZ285">
            <v>0</v>
          </cell>
          <cell r="BA285">
            <v>0</v>
          </cell>
          <cell r="BB285">
            <v>0</v>
          </cell>
          <cell r="BC285">
            <v>38828</v>
          </cell>
        </row>
        <row r="286">
          <cell r="A286">
            <v>2006</v>
          </cell>
          <cell r="B286">
            <v>3</v>
          </cell>
          <cell r="C286">
            <v>106</v>
          </cell>
          <cell r="D286">
            <v>21</v>
          </cell>
          <cell r="E286">
            <v>792030</v>
          </cell>
          <cell r="F286">
            <v>0</v>
          </cell>
          <cell r="G286" t="str">
            <v>Затраты по ШПЗ (неосновные)</v>
          </cell>
          <cell r="H286">
            <v>2030</v>
          </cell>
          <cell r="I286">
            <v>7920</v>
          </cell>
          <cell r="J286">
            <v>6.67</v>
          </cell>
          <cell r="K286">
            <v>1</v>
          </cell>
          <cell r="L286">
            <v>0</v>
          </cell>
          <cell r="M286">
            <v>0</v>
          </cell>
          <cell r="N286">
            <v>0</v>
          </cell>
          <cell r="R286">
            <v>0</v>
          </cell>
          <cell r="S286">
            <v>0</v>
          </cell>
          <cell r="T286">
            <v>0</v>
          </cell>
          <cell r="U286">
            <v>35</v>
          </cell>
          <cell r="V286">
            <v>0</v>
          </cell>
          <cell r="W286">
            <v>0</v>
          </cell>
          <cell r="AA286">
            <v>0</v>
          </cell>
          <cell r="AB286">
            <v>0</v>
          </cell>
          <cell r="AC286">
            <v>0</v>
          </cell>
          <cell r="AD286">
            <v>35</v>
          </cell>
          <cell r="AE286">
            <v>508700</v>
          </cell>
          <cell r="AF286">
            <v>0</v>
          </cell>
          <cell r="AI286">
            <v>2282</v>
          </cell>
          <cell r="AK286">
            <v>0</v>
          </cell>
          <cell r="AM286">
            <v>263</v>
          </cell>
          <cell r="AN286">
            <v>1</v>
          </cell>
          <cell r="AO286">
            <v>393216</v>
          </cell>
          <cell r="AQ286">
            <v>0</v>
          </cell>
          <cell r="AR286">
            <v>0</v>
          </cell>
          <cell r="AS286" t="str">
            <v>Ы</v>
          </cell>
          <cell r="AT286" t="str">
            <v>Ы</v>
          </cell>
          <cell r="AU286">
            <v>0</v>
          </cell>
          <cell r="AV286">
            <v>0</v>
          </cell>
          <cell r="AW286">
            <v>23</v>
          </cell>
          <cell r="AX286">
            <v>1</v>
          </cell>
          <cell r="AY286">
            <v>0</v>
          </cell>
          <cell r="AZ286">
            <v>0</v>
          </cell>
          <cell r="BA286">
            <v>0</v>
          </cell>
          <cell r="BB286">
            <v>0</v>
          </cell>
          <cell r="BC286">
            <v>38828</v>
          </cell>
        </row>
        <row r="287">
          <cell r="A287">
            <v>2006</v>
          </cell>
          <cell r="B287">
            <v>3</v>
          </cell>
          <cell r="C287">
            <v>107</v>
          </cell>
          <cell r="D287">
            <v>21</v>
          </cell>
          <cell r="E287">
            <v>792030</v>
          </cell>
          <cell r="F287">
            <v>0</v>
          </cell>
          <cell r="G287" t="str">
            <v>Затраты по ШПЗ (неосновные)</v>
          </cell>
          <cell r="H287">
            <v>2030</v>
          </cell>
          <cell r="I287">
            <v>7920</v>
          </cell>
          <cell r="J287">
            <v>302.51</v>
          </cell>
          <cell r="K287">
            <v>1</v>
          </cell>
          <cell r="L287">
            <v>0</v>
          </cell>
          <cell r="M287">
            <v>0</v>
          </cell>
          <cell r="N287">
            <v>0</v>
          </cell>
          <cell r="R287">
            <v>0</v>
          </cell>
          <cell r="S287">
            <v>0</v>
          </cell>
          <cell r="T287">
            <v>0</v>
          </cell>
          <cell r="U287">
            <v>35</v>
          </cell>
          <cell r="V287">
            <v>0</v>
          </cell>
          <cell r="W287">
            <v>0</v>
          </cell>
          <cell r="AA287">
            <v>0</v>
          </cell>
          <cell r="AB287">
            <v>0</v>
          </cell>
          <cell r="AC287">
            <v>0</v>
          </cell>
          <cell r="AD287">
            <v>35</v>
          </cell>
          <cell r="AE287">
            <v>510100</v>
          </cell>
          <cell r="AF287">
            <v>0</v>
          </cell>
          <cell r="AI287">
            <v>2282</v>
          </cell>
          <cell r="AK287">
            <v>0</v>
          </cell>
          <cell r="AM287">
            <v>264</v>
          </cell>
          <cell r="AN287">
            <v>1</v>
          </cell>
          <cell r="AO287">
            <v>393216</v>
          </cell>
          <cell r="AQ287">
            <v>0</v>
          </cell>
          <cell r="AR287">
            <v>0</v>
          </cell>
          <cell r="AS287" t="str">
            <v>Ы</v>
          </cell>
          <cell r="AT287" t="str">
            <v>Ы</v>
          </cell>
          <cell r="AU287">
            <v>0</v>
          </cell>
          <cell r="AV287">
            <v>0</v>
          </cell>
          <cell r="AW287">
            <v>23</v>
          </cell>
          <cell r="AX287">
            <v>1</v>
          </cell>
          <cell r="AY287">
            <v>0</v>
          </cell>
          <cell r="AZ287">
            <v>0</v>
          </cell>
          <cell r="BA287">
            <v>0</v>
          </cell>
          <cell r="BB287">
            <v>0</v>
          </cell>
          <cell r="BC287">
            <v>38828</v>
          </cell>
        </row>
        <row r="288">
          <cell r="A288">
            <v>2006</v>
          </cell>
          <cell r="B288">
            <v>3</v>
          </cell>
          <cell r="C288">
            <v>108</v>
          </cell>
          <cell r="D288">
            <v>21</v>
          </cell>
          <cell r="E288">
            <v>792030</v>
          </cell>
          <cell r="F288">
            <v>0</v>
          </cell>
          <cell r="G288" t="str">
            <v>Затраты по ШПЗ (неосновные)</v>
          </cell>
          <cell r="H288">
            <v>2030</v>
          </cell>
          <cell r="I288">
            <v>7920</v>
          </cell>
          <cell r="J288">
            <v>3.6</v>
          </cell>
          <cell r="K288">
            <v>1</v>
          </cell>
          <cell r="L288">
            <v>0</v>
          </cell>
          <cell r="M288">
            <v>0</v>
          </cell>
          <cell r="N288">
            <v>0</v>
          </cell>
          <cell r="R288">
            <v>0</v>
          </cell>
          <cell r="S288">
            <v>0</v>
          </cell>
          <cell r="T288">
            <v>0</v>
          </cell>
          <cell r="U288">
            <v>35</v>
          </cell>
          <cell r="V288">
            <v>0</v>
          </cell>
          <cell r="W288">
            <v>0</v>
          </cell>
          <cell r="AA288">
            <v>0</v>
          </cell>
          <cell r="AB288">
            <v>0</v>
          </cell>
          <cell r="AC288">
            <v>0</v>
          </cell>
          <cell r="AD288">
            <v>35</v>
          </cell>
          <cell r="AE288">
            <v>510200</v>
          </cell>
          <cell r="AF288">
            <v>0</v>
          </cell>
          <cell r="AI288">
            <v>2282</v>
          </cell>
          <cell r="AK288">
            <v>0</v>
          </cell>
          <cell r="AM288">
            <v>265</v>
          </cell>
          <cell r="AN288">
            <v>1</v>
          </cell>
          <cell r="AO288">
            <v>393216</v>
          </cell>
          <cell r="AQ288">
            <v>0</v>
          </cell>
          <cell r="AR288">
            <v>0</v>
          </cell>
          <cell r="AS288" t="str">
            <v>Ы</v>
          </cell>
          <cell r="AT288" t="str">
            <v>Ы</v>
          </cell>
          <cell r="AU288">
            <v>0</v>
          </cell>
          <cell r="AV288">
            <v>0</v>
          </cell>
          <cell r="AW288">
            <v>23</v>
          </cell>
          <cell r="AX288">
            <v>1</v>
          </cell>
          <cell r="AY288">
            <v>0</v>
          </cell>
          <cell r="AZ288">
            <v>0</v>
          </cell>
          <cell r="BA288">
            <v>0</v>
          </cell>
          <cell r="BB288">
            <v>0</v>
          </cell>
          <cell r="BC288">
            <v>38828</v>
          </cell>
        </row>
        <row r="289">
          <cell r="A289">
            <v>2006</v>
          </cell>
          <cell r="B289">
            <v>3</v>
          </cell>
          <cell r="C289">
            <v>109</v>
          </cell>
          <cell r="D289">
            <v>21</v>
          </cell>
          <cell r="E289">
            <v>792030</v>
          </cell>
          <cell r="F289">
            <v>0</v>
          </cell>
          <cell r="G289" t="str">
            <v>Затраты по ШПЗ (неосновные)</v>
          </cell>
          <cell r="H289">
            <v>2030</v>
          </cell>
          <cell r="I289">
            <v>7920</v>
          </cell>
          <cell r="J289">
            <v>2.91</v>
          </cell>
          <cell r="K289">
            <v>1</v>
          </cell>
          <cell r="L289">
            <v>0</v>
          </cell>
          <cell r="M289">
            <v>0</v>
          </cell>
          <cell r="N289">
            <v>0</v>
          </cell>
          <cell r="R289">
            <v>0</v>
          </cell>
          <cell r="S289">
            <v>0</v>
          </cell>
          <cell r="T289">
            <v>0</v>
          </cell>
          <cell r="U289">
            <v>35</v>
          </cell>
          <cell r="V289">
            <v>0</v>
          </cell>
          <cell r="W289">
            <v>0</v>
          </cell>
          <cell r="AA289">
            <v>0</v>
          </cell>
          <cell r="AB289">
            <v>0</v>
          </cell>
          <cell r="AC289">
            <v>0</v>
          </cell>
          <cell r="AD289">
            <v>35</v>
          </cell>
          <cell r="AE289">
            <v>510300</v>
          </cell>
          <cell r="AF289">
            <v>0</v>
          </cell>
          <cell r="AI289">
            <v>2282</v>
          </cell>
          <cell r="AK289">
            <v>0</v>
          </cell>
          <cell r="AM289">
            <v>266</v>
          </cell>
          <cell r="AN289">
            <v>1</v>
          </cell>
          <cell r="AO289">
            <v>393216</v>
          </cell>
          <cell r="AQ289">
            <v>0</v>
          </cell>
          <cell r="AR289">
            <v>0</v>
          </cell>
          <cell r="AS289" t="str">
            <v>Ы</v>
          </cell>
          <cell r="AT289" t="str">
            <v>Ы</v>
          </cell>
          <cell r="AU289">
            <v>0</v>
          </cell>
          <cell r="AV289">
            <v>0</v>
          </cell>
          <cell r="AW289">
            <v>23</v>
          </cell>
          <cell r="AX289">
            <v>1</v>
          </cell>
          <cell r="AY289">
            <v>0</v>
          </cell>
          <cell r="AZ289">
            <v>0</v>
          </cell>
          <cell r="BA289">
            <v>0</v>
          </cell>
          <cell r="BB289">
            <v>0</v>
          </cell>
          <cell r="BC289">
            <v>38828</v>
          </cell>
        </row>
        <row r="290">
          <cell r="A290">
            <v>2006</v>
          </cell>
          <cell r="B290">
            <v>3</v>
          </cell>
          <cell r="C290">
            <v>110</v>
          </cell>
          <cell r="D290">
            <v>21</v>
          </cell>
          <cell r="E290">
            <v>792030</v>
          </cell>
          <cell r="F290">
            <v>0</v>
          </cell>
          <cell r="G290" t="str">
            <v>Затраты по ШПЗ (неосновные)</v>
          </cell>
          <cell r="H290">
            <v>2030</v>
          </cell>
          <cell r="I290">
            <v>7920</v>
          </cell>
          <cell r="J290">
            <v>16.95</v>
          </cell>
          <cell r="K290">
            <v>1</v>
          </cell>
          <cell r="L290">
            <v>0</v>
          </cell>
          <cell r="M290">
            <v>0</v>
          </cell>
          <cell r="N290">
            <v>0</v>
          </cell>
          <cell r="R290">
            <v>0</v>
          </cell>
          <cell r="S290">
            <v>0</v>
          </cell>
          <cell r="T290">
            <v>0</v>
          </cell>
          <cell r="U290">
            <v>35</v>
          </cell>
          <cell r="V290">
            <v>0</v>
          </cell>
          <cell r="W290">
            <v>0</v>
          </cell>
          <cell r="AA290">
            <v>0</v>
          </cell>
          <cell r="AB290">
            <v>0</v>
          </cell>
          <cell r="AC290">
            <v>0</v>
          </cell>
          <cell r="AD290">
            <v>35</v>
          </cell>
          <cell r="AE290">
            <v>510400</v>
          </cell>
          <cell r="AF290">
            <v>0</v>
          </cell>
          <cell r="AI290">
            <v>2282</v>
          </cell>
          <cell r="AK290">
            <v>0</v>
          </cell>
          <cell r="AM290">
            <v>267</v>
          </cell>
          <cell r="AN290">
            <v>1</v>
          </cell>
          <cell r="AO290">
            <v>393216</v>
          </cell>
          <cell r="AQ290">
            <v>0</v>
          </cell>
          <cell r="AR290">
            <v>0</v>
          </cell>
          <cell r="AS290" t="str">
            <v>Ы</v>
          </cell>
          <cell r="AT290" t="str">
            <v>Ы</v>
          </cell>
          <cell r="AU290">
            <v>0</v>
          </cell>
          <cell r="AV290">
            <v>0</v>
          </cell>
          <cell r="AW290">
            <v>23</v>
          </cell>
          <cell r="AX290">
            <v>1</v>
          </cell>
          <cell r="AY290">
            <v>0</v>
          </cell>
          <cell r="AZ290">
            <v>0</v>
          </cell>
          <cell r="BA290">
            <v>0</v>
          </cell>
          <cell r="BB290">
            <v>0</v>
          </cell>
          <cell r="BC290">
            <v>38828</v>
          </cell>
        </row>
        <row r="291">
          <cell r="A291">
            <v>2006</v>
          </cell>
          <cell r="B291">
            <v>3</v>
          </cell>
          <cell r="C291">
            <v>111</v>
          </cell>
          <cell r="D291">
            <v>21</v>
          </cell>
          <cell r="E291">
            <v>792030</v>
          </cell>
          <cell r="F291">
            <v>0</v>
          </cell>
          <cell r="G291" t="str">
            <v>Затраты по ШПЗ (неосновные)</v>
          </cell>
          <cell r="H291">
            <v>2030</v>
          </cell>
          <cell r="I291">
            <v>7920</v>
          </cell>
          <cell r="J291">
            <v>1024.74</v>
          </cell>
          <cell r="K291">
            <v>1</v>
          </cell>
          <cell r="L291">
            <v>0</v>
          </cell>
          <cell r="M291">
            <v>0</v>
          </cell>
          <cell r="N291">
            <v>0</v>
          </cell>
          <cell r="R291">
            <v>0</v>
          </cell>
          <cell r="S291">
            <v>0</v>
          </cell>
          <cell r="T291">
            <v>0</v>
          </cell>
          <cell r="U291">
            <v>35</v>
          </cell>
          <cell r="V291">
            <v>0</v>
          </cell>
          <cell r="W291">
            <v>0</v>
          </cell>
          <cell r="AA291">
            <v>0</v>
          </cell>
          <cell r="AB291">
            <v>0</v>
          </cell>
          <cell r="AC291">
            <v>0</v>
          </cell>
          <cell r="AD291">
            <v>35</v>
          </cell>
          <cell r="AE291">
            <v>510600</v>
          </cell>
          <cell r="AF291">
            <v>0</v>
          </cell>
          <cell r="AI291">
            <v>2282</v>
          </cell>
          <cell r="AK291">
            <v>0</v>
          </cell>
          <cell r="AM291">
            <v>268</v>
          </cell>
          <cell r="AN291">
            <v>1</v>
          </cell>
          <cell r="AO291">
            <v>393216</v>
          </cell>
          <cell r="AQ291">
            <v>0</v>
          </cell>
          <cell r="AR291">
            <v>0</v>
          </cell>
          <cell r="AS291" t="str">
            <v>Ы</v>
          </cell>
          <cell r="AT291" t="str">
            <v>Ы</v>
          </cell>
          <cell r="AU291">
            <v>0</v>
          </cell>
          <cell r="AV291">
            <v>0</v>
          </cell>
          <cell r="AW291">
            <v>23</v>
          </cell>
          <cell r="AX291">
            <v>1</v>
          </cell>
          <cell r="AY291">
            <v>0</v>
          </cell>
          <cell r="AZ291">
            <v>0</v>
          </cell>
          <cell r="BA291">
            <v>0</v>
          </cell>
          <cell r="BB291">
            <v>0</v>
          </cell>
          <cell r="BC291">
            <v>38828</v>
          </cell>
        </row>
        <row r="292">
          <cell r="A292">
            <v>2006</v>
          </cell>
          <cell r="B292">
            <v>3</v>
          </cell>
          <cell r="C292">
            <v>112</v>
          </cell>
          <cell r="D292">
            <v>21</v>
          </cell>
          <cell r="E292">
            <v>792030</v>
          </cell>
          <cell r="F292">
            <v>0</v>
          </cell>
          <cell r="G292" t="str">
            <v>Затраты по ШПЗ (неосновные)</v>
          </cell>
          <cell r="H292">
            <v>2030</v>
          </cell>
          <cell r="I292">
            <v>7920</v>
          </cell>
          <cell r="J292">
            <v>0.09</v>
          </cell>
          <cell r="K292">
            <v>1</v>
          </cell>
          <cell r="L292">
            <v>0</v>
          </cell>
          <cell r="M292">
            <v>0</v>
          </cell>
          <cell r="N292">
            <v>0</v>
          </cell>
          <cell r="R292">
            <v>0</v>
          </cell>
          <cell r="S292">
            <v>0</v>
          </cell>
          <cell r="T292">
            <v>0</v>
          </cell>
          <cell r="U292">
            <v>35</v>
          </cell>
          <cell r="V292">
            <v>0</v>
          </cell>
          <cell r="W292">
            <v>0</v>
          </cell>
          <cell r="AA292">
            <v>0</v>
          </cell>
          <cell r="AB292">
            <v>0</v>
          </cell>
          <cell r="AC292">
            <v>0</v>
          </cell>
          <cell r="AD292">
            <v>35</v>
          </cell>
          <cell r="AE292">
            <v>512000</v>
          </cell>
          <cell r="AF292">
            <v>0</v>
          </cell>
          <cell r="AI292">
            <v>2282</v>
          </cell>
          <cell r="AK292">
            <v>0</v>
          </cell>
          <cell r="AM292">
            <v>269</v>
          </cell>
          <cell r="AN292">
            <v>1</v>
          </cell>
          <cell r="AO292">
            <v>393216</v>
          </cell>
          <cell r="AQ292">
            <v>0</v>
          </cell>
          <cell r="AR292">
            <v>0</v>
          </cell>
          <cell r="AS292" t="str">
            <v>Ы</v>
          </cell>
          <cell r="AT292" t="str">
            <v>Ы</v>
          </cell>
          <cell r="AU292">
            <v>0</v>
          </cell>
          <cell r="AV292">
            <v>0</v>
          </cell>
          <cell r="AW292">
            <v>23</v>
          </cell>
          <cell r="AX292">
            <v>1</v>
          </cell>
          <cell r="AY292">
            <v>0</v>
          </cell>
          <cell r="AZ292">
            <v>0</v>
          </cell>
          <cell r="BA292">
            <v>0</v>
          </cell>
          <cell r="BB292">
            <v>0</v>
          </cell>
          <cell r="BC292">
            <v>38828</v>
          </cell>
        </row>
        <row r="293">
          <cell r="A293">
            <v>2006</v>
          </cell>
          <cell r="B293">
            <v>3</v>
          </cell>
          <cell r="C293">
            <v>113</v>
          </cell>
          <cell r="D293">
            <v>21</v>
          </cell>
          <cell r="E293">
            <v>792030</v>
          </cell>
          <cell r="F293">
            <v>0</v>
          </cell>
          <cell r="G293" t="str">
            <v>Затраты по ШПЗ (неосновные)</v>
          </cell>
          <cell r="H293">
            <v>2030</v>
          </cell>
          <cell r="I293">
            <v>7920</v>
          </cell>
          <cell r="J293">
            <v>14.49</v>
          </cell>
          <cell r="K293">
            <v>1</v>
          </cell>
          <cell r="L293">
            <v>0</v>
          </cell>
          <cell r="M293">
            <v>0</v>
          </cell>
          <cell r="N293">
            <v>0</v>
          </cell>
          <cell r="R293">
            <v>0</v>
          </cell>
          <cell r="S293">
            <v>0</v>
          </cell>
          <cell r="T293">
            <v>0</v>
          </cell>
          <cell r="U293">
            <v>35</v>
          </cell>
          <cell r="V293">
            <v>0</v>
          </cell>
          <cell r="W293">
            <v>0</v>
          </cell>
          <cell r="AA293">
            <v>0</v>
          </cell>
          <cell r="AB293">
            <v>0</v>
          </cell>
          <cell r="AC293">
            <v>0</v>
          </cell>
          <cell r="AD293">
            <v>35</v>
          </cell>
          <cell r="AE293">
            <v>523000</v>
          </cell>
          <cell r="AF293">
            <v>0</v>
          </cell>
          <cell r="AI293">
            <v>2282</v>
          </cell>
          <cell r="AK293">
            <v>0</v>
          </cell>
          <cell r="AM293">
            <v>270</v>
          </cell>
          <cell r="AN293">
            <v>1</v>
          </cell>
          <cell r="AO293">
            <v>393216</v>
          </cell>
          <cell r="AQ293">
            <v>0</v>
          </cell>
          <cell r="AR293">
            <v>0</v>
          </cell>
          <cell r="AS293" t="str">
            <v>Ы</v>
          </cell>
          <cell r="AT293" t="str">
            <v>Ы</v>
          </cell>
          <cell r="AU293">
            <v>0</v>
          </cell>
          <cell r="AV293">
            <v>0</v>
          </cell>
          <cell r="AW293">
            <v>23</v>
          </cell>
          <cell r="AX293">
            <v>1</v>
          </cell>
          <cell r="AY293">
            <v>0</v>
          </cell>
          <cell r="AZ293">
            <v>0</v>
          </cell>
          <cell r="BA293">
            <v>0</v>
          </cell>
          <cell r="BB293">
            <v>0</v>
          </cell>
          <cell r="BC293">
            <v>38828</v>
          </cell>
        </row>
        <row r="294">
          <cell r="A294">
            <v>2006</v>
          </cell>
          <cell r="B294">
            <v>3</v>
          </cell>
          <cell r="C294">
            <v>177</v>
          </cell>
          <cell r="D294">
            <v>21</v>
          </cell>
          <cell r="E294">
            <v>792030</v>
          </cell>
          <cell r="F294">
            <v>0</v>
          </cell>
          <cell r="G294" t="str">
            <v>Затраты по ШПЗ (неосновные)</v>
          </cell>
          <cell r="H294">
            <v>2030</v>
          </cell>
          <cell r="I294">
            <v>7920</v>
          </cell>
          <cell r="J294">
            <v>20.37</v>
          </cell>
          <cell r="K294">
            <v>1</v>
          </cell>
          <cell r="L294">
            <v>0</v>
          </cell>
          <cell r="M294">
            <v>0</v>
          </cell>
          <cell r="N294">
            <v>0</v>
          </cell>
          <cell r="R294">
            <v>0</v>
          </cell>
          <cell r="S294">
            <v>0</v>
          </cell>
          <cell r="T294">
            <v>0</v>
          </cell>
          <cell r="U294">
            <v>42</v>
          </cell>
          <cell r="V294">
            <v>0</v>
          </cell>
          <cell r="W294">
            <v>0</v>
          </cell>
          <cell r="AA294">
            <v>0</v>
          </cell>
          <cell r="AB294">
            <v>0</v>
          </cell>
          <cell r="AC294">
            <v>0</v>
          </cell>
          <cell r="AD294">
            <v>42</v>
          </cell>
          <cell r="AE294">
            <v>110000</v>
          </cell>
          <cell r="AF294">
            <v>0</v>
          </cell>
          <cell r="AI294">
            <v>2282</v>
          </cell>
          <cell r="AK294">
            <v>0</v>
          </cell>
          <cell r="AM294">
            <v>334</v>
          </cell>
          <cell r="AN294">
            <v>1</v>
          </cell>
          <cell r="AO294">
            <v>393216</v>
          </cell>
          <cell r="AQ294">
            <v>0</v>
          </cell>
          <cell r="AR294">
            <v>0</v>
          </cell>
          <cell r="AS294" t="str">
            <v>Ы</v>
          </cell>
          <cell r="AT294" t="str">
            <v>Ы</v>
          </cell>
          <cell r="AU294">
            <v>0</v>
          </cell>
          <cell r="AV294">
            <v>0</v>
          </cell>
          <cell r="AW294">
            <v>23</v>
          </cell>
          <cell r="AX294">
            <v>1</v>
          </cell>
          <cell r="AY294">
            <v>0</v>
          </cell>
          <cell r="AZ294">
            <v>0</v>
          </cell>
          <cell r="BA294">
            <v>0</v>
          </cell>
          <cell r="BB294">
            <v>0</v>
          </cell>
          <cell r="BC294">
            <v>38828</v>
          </cell>
        </row>
        <row r="295">
          <cell r="A295">
            <v>2006</v>
          </cell>
          <cell r="B295">
            <v>3</v>
          </cell>
          <cell r="C295">
            <v>178</v>
          </cell>
          <cell r="D295">
            <v>21</v>
          </cell>
          <cell r="E295">
            <v>792030</v>
          </cell>
          <cell r="F295">
            <v>0</v>
          </cell>
          <cell r="G295" t="str">
            <v>Затраты по ШПЗ (неосновные)</v>
          </cell>
          <cell r="H295">
            <v>2030</v>
          </cell>
          <cell r="I295">
            <v>7920</v>
          </cell>
          <cell r="J295">
            <v>1.57</v>
          </cell>
          <cell r="K295">
            <v>1</v>
          </cell>
          <cell r="L295">
            <v>0</v>
          </cell>
          <cell r="M295">
            <v>0</v>
          </cell>
          <cell r="N295">
            <v>0</v>
          </cell>
          <cell r="R295">
            <v>0</v>
          </cell>
          <cell r="S295">
            <v>0</v>
          </cell>
          <cell r="T295">
            <v>0</v>
          </cell>
          <cell r="U295">
            <v>42</v>
          </cell>
          <cell r="V295">
            <v>0</v>
          </cell>
          <cell r="W295">
            <v>0</v>
          </cell>
          <cell r="AA295">
            <v>0</v>
          </cell>
          <cell r="AB295">
            <v>0</v>
          </cell>
          <cell r="AC295">
            <v>0</v>
          </cell>
          <cell r="AD295">
            <v>42</v>
          </cell>
          <cell r="AE295">
            <v>114020</v>
          </cell>
          <cell r="AF295">
            <v>0</v>
          </cell>
          <cell r="AI295">
            <v>2282</v>
          </cell>
          <cell r="AK295">
            <v>0</v>
          </cell>
          <cell r="AM295">
            <v>335</v>
          </cell>
          <cell r="AN295">
            <v>1</v>
          </cell>
          <cell r="AO295">
            <v>393216</v>
          </cell>
          <cell r="AQ295">
            <v>0</v>
          </cell>
          <cell r="AR295">
            <v>0</v>
          </cell>
          <cell r="AS295" t="str">
            <v>Ы</v>
          </cell>
          <cell r="AT295" t="str">
            <v>Ы</v>
          </cell>
          <cell r="AU295">
            <v>0</v>
          </cell>
          <cell r="AV295">
            <v>0</v>
          </cell>
          <cell r="AW295">
            <v>23</v>
          </cell>
          <cell r="AX295">
            <v>1</v>
          </cell>
          <cell r="AY295">
            <v>0</v>
          </cell>
          <cell r="AZ295">
            <v>0</v>
          </cell>
          <cell r="BA295">
            <v>0</v>
          </cell>
          <cell r="BB295">
            <v>0</v>
          </cell>
          <cell r="BC295">
            <v>38828</v>
          </cell>
        </row>
        <row r="296">
          <cell r="A296">
            <v>2006</v>
          </cell>
          <cell r="B296">
            <v>3</v>
          </cell>
          <cell r="C296">
            <v>179</v>
          </cell>
          <cell r="D296">
            <v>21</v>
          </cell>
          <cell r="E296">
            <v>792030</v>
          </cell>
          <cell r="F296">
            <v>0</v>
          </cell>
          <cell r="G296" t="str">
            <v>Затраты по ШПЗ (неосновные)</v>
          </cell>
          <cell r="H296">
            <v>2030</v>
          </cell>
          <cell r="I296">
            <v>7920</v>
          </cell>
          <cell r="J296">
            <v>7077.31</v>
          </cell>
          <cell r="K296">
            <v>1</v>
          </cell>
          <cell r="L296">
            <v>0</v>
          </cell>
          <cell r="M296">
            <v>0</v>
          </cell>
          <cell r="N296">
            <v>0</v>
          </cell>
          <cell r="R296">
            <v>0</v>
          </cell>
          <cell r="S296">
            <v>0</v>
          </cell>
          <cell r="T296">
            <v>0</v>
          </cell>
          <cell r="U296">
            <v>42</v>
          </cell>
          <cell r="V296">
            <v>0</v>
          </cell>
          <cell r="W296">
            <v>0</v>
          </cell>
          <cell r="AA296">
            <v>0</v>
          </cell>
          <cell r="AB296">
            <v>0</v>
          </cell>
          <cell r="AC296">
            <v>0</v>
          </cell>
          <cell r="AD296">
            <v>42</v>
          </cell>
          <cell r="AE296">
            <v>117000</v>
          </cell>
          <cell r="AF296">
            <v>0</v>
          </cell>
          <cell r="AI296">
            <v>2282</v>
          </cell>
          <cell r="AK296">
            <v>0</v>
          </cell>
          <cell r="AM296">
            <v>336</v>
          </cell>
          <cell r="AN296">
            <v>1</v>
          </cell>
          <cell r="AO296">
            <v>393216</v>
          </cell>
          <cell r="AQ296">
            <v>0</v>
          </cell>
          <cell r="AR296">
            <v>0</v>
          </cell>
          <cell r="AS296" t="str">
            <v>Ы</v>
          </cell>
          <cell r="AT296" t="str">
            <v>Ы</v>
          </cell>
          <cell r="AU296">
            <v>0</v>
          </cell>
          <cell r="AV296">
            <v>0</v>
          </cell>
          <cell r="AW296">
            <v>23</v>
          </cell>
          <cell r="AX296">
            <v>1</v>
          </cell>
          <cell r="AY296">
            <v>0</v>
          </cell>
          <cell r="AZ296">
            <v>0</v>
          </cell>
          <cell r="BA296">
            <v>0</v>
          </cell>
          <cell r="BB296">
            <v>0</v>
          </cell>
          <cell r="BC296">
            <v>38828</v>
          </cell>
        </row>
        <row r="297">
          <cell r="A297">
            <v>2006</v>
          </cell>
          <cell r="B297">
            <v>3</v>
          </cell>
          <cell r="C297">
            <v>180</v>
          </cell>
          <cell r="D297">
            <v>21</v>
          </cell>
          <cell r="E297">
            <v>792030</v>
          </cell>
          <cell r="F297">
            <v>0</v>
          </cell>
          <cell r="G297" t="str">
            <v>Затраты по ШПЗ (неосновные)</v>
          </cell>
          <cell r="H297">
            <v>2030</v>
          </cell>
          <cell r="I297">
            <v>7920</v>
          </cell>
          <cell r="J297">
            <v>31.83</v>
          </cell>
          <cell r="K297">
            <v>1</v>
          </cell>
          <cell r="L297">
            <v>0</v>
          </cell>
          <cell r="M297">
            <v>0</v>
          </cell>
          <cell r="N297">
            <v>0</v>
          </cell>
          <cell r="R297">
            <v>0</v>
          </cell>
          <cell r="S297">
            <v>0</v>
          </cell>
          <cell r="T297">
            <v>0</v>
          </cell>
          <cell r="U297">
            <v>42</v>
          </cell>
          <cell r="V297">
            <v>0</v>
          </cell>
          <cell r="W297">
            <v>0</v>
          </cell>
          <cell r="AA297">
            <v>0</v>
          </cell>
          <cell r="AB297">
            <v>0</v>
          </cell>
          <cell r="AC297">
            <v>0</v>
          </cell>
          <cell r="AD297">
            <v>42</v>
          </cell>
          <cell r="AE297">
            <v>118000</v>
          </cell>
          <cell r="AF297">
            <v>0</v>
          </cell>
          <cell r="AI297">
            <v>2282</v>
          </cell>
          <cell r="AK297">
            <v>0</v>
          </cell>
          <cell r="AM297">
            <v>337</v>
          </cell>
          <cell r="AN297">
            <v>1</v>
          </cell>
          <cell r="AO297">
            <v>393216</v>
          </cell>
          <cell r="AQ297">
            <v>0</v>
          </cell>
          <cell r="AR297">
            <v>0</v>
          </cell>
          <cell r="AS297" t="str">
            <v>Ы</v>
          </cell>
          <cell r="AT297" t="str">
            <v>Ы</v>
          </cell>
          <cell r="AU297">
            <v>0</v>
          </cell>
          <cell r="AV297">
            <v>0</v>
          </cell>
          <cell r="AW297">
            <v>23</v>
          </cell>
          <cell r="AX297">
            <v>1</v>
          </cell>
          <cell r="AY297">
            <v>0</v>
          </cell>
          <cell r="AZ297">
            <v>0</v>
          </cell>
          <cell r="BA297">
            <v>0</v>
          </cell>
          <cell r="BB297">
            <v>0</v>
          </cell>
          <cell r="BC297">
            <v>38828</v>
          </cell>
        </row>
        <row r="298">
          <cell r="A298">
            <v>2006</v>
          </cell>
          <cell r="B298">
            <v>3</v>
          </cell>
          <cell r="C298">
            <v>181</v>
          </cell>
          <cell r="D298">
            <v>21</v>
          </cell>
          <cell r="E298">
            <v>792030</v>
          </cell>
          <cell r="F298">
            <v>0</v>
          </cell>
          <cell r="G298" t="str">
            <v>Затраты по ШПЗ (неосновные)</v>
          </cell>
          <cell r="H298">
            <v>2030</v>
          </cell>
          <cell r="I298">
            <v>7920</v>
          </cell>
          <cell r="J298">
            <v>8.34</v>
          </cell>
          <cell r="K298">
            <v>1</v>
          </cell>
          <cell r="L298">
            <v>0</v>
          </cell>
          <cell r="M298">
            <v>0</v>
          </cell>
          <cell r="N298">
            <v>0</v>
          </cell>
          <cell r="R298">
            <v>0</v>
          </cell>
          <cell r="S298">
            <v>0</v>
          </cell>
          <cell r="T298">
            <v>0</v>
          </cell>
          <cell r="U298">
            <v>42</v>
          </cell>
          <cell r="V298">
            <v>0</v>
          </cell>
          <cell r="W298">
            <v>0</v>
          </cell>
          <cell r="AA298">
            <v>0</v>
          </cell>
          <cell r="AB298">
            <v>0</v>
          </cell>
          <cell r="AC298">
            <v>0</v>
          </cell>
          <cell r="AD298">
            <v>42</v>
          </cell>
          <cell r="AE298">
            <v>130000</v>
          </cell>
          <cell r="AF298">
            <v>0</v>
          </cell>
          <cell r="AI298">
            <v>2282</v>
          </cell>
          <cell r="AK298">
            <v>0</v>
          </cell>
          <cell r="AM298">
            <v>338</v>
          </cell>
          <cell r="AN298">
            <v>1</v>
          </cell>
          <cell r="AO298">
            <v>393216</v>
          </cell>
          <cell r="AQ298">
            <v>0</v>
          </cell>
          <cell r="AR298">
            <v>0</v>
          </cell>
          <cell r="AS298" t="str">
            <v>Ы</v>
          </cell>
          <cell r="AT298" t="str">
            <v>Ы</v>
          </cell>
          <cell r="AU298">
            <v>0</v>
          </cell>
          <cell r="AV298">
            <v>0</v>
          </cell>
          <cell r="AW298">
            <v>23</v>
          </cell>
          <cell r="AX298">
            <v>1</v>
          </cell>
          <cell r="AY298">
            <v>0</v>
          </cell>
          <cell r="AZ298">
            <v>0</v>
          </cell>
          <cell r="BA298">
            <v>0</v>
          </cell>
          <cell r="BB298">
            <v>0</v>
          </cell>
          <cell r="BC298">
            <v>38828</v>
          </cell>
        </row>
        <row r="299">
          <cell r="A299">
            <v>2006</v>
          </cell>
          <cell r="B299">
            <v>3</v>
          </cell>
          <cell r="C299">
            <v>182</v>
          </cell>
          <cell r="D299">
            <v>21</v>
          </cell>
          <cell r="E299">
            <v>792030</v>
          </cell>
          <cell r="F299">
            <v>0</v>
          </cell>
          <cell r="G299" t="str">
            <v>Затраты по ШПЗ (неосновные)</v>
          </cell>
          <cell r="H299">
            <v>2030</v>
          </cell>
          <cell r="I299">
            <v>7920</v>
          </cell>
          <cell r="J299">
            <v>49.42</v>
          </cell>
          <cell r="K299">
            <v>1</v>
          </cell>
          <cell r="L299">
            <v>0</v>
          </cell>
          <cell r="M299">
            <v>0</v>
          </cell>
          <cell r="N299">
            <v>0</v>
          </cell>
          <cell r="R299">
            <v>0</v>
          </cell>
          <cell r="S299">
            <v>0</v>
          </cell>
          <cell r="T299">
            <v>0</v>
          </cell>
          <cell r="U299">
            <v>42</v>
          </cell>
          <cell r="V299">
            <v>0</v>
          </cell>
          <cell r="W299">
            <v>0</v>
          </cell>
          <cell r="AA299">
            <v>0</v>
          </cell>
          <cell r="AB299">
            <v>0</v>
          </cell>
          <cell r="AC299">
            <v>0</v>
          </cell>
          <cell r="AD299">
            <v>42</v>
          </cell>
          <cell r="AE299">
            <v>131000</v>
          </cell>
          <cell r="AF299">
            <v>0</v>
          </cell>
          <cell r="AI299">
            <v>2282</v>
          </cell>
          <cell r="AK299">
            <v>0</v>
          </cell>
          <cell r="AM299">
            <v>339</v>
          </cell>
          <cell r="AN299">
            <v>1</v>
          </cell>
          <cell r="AO299">
            <v>393216</v>
          </cell>
          <cell r="AQ299">
            <v>0</v>
          </cell>
          <cell r="AR299">
            <v>0</v>
          </cell>
          <cell r="AS299" t="str">
            <v>Ы</v>
          </cell>
          <cell r="AT299" t="str">
            <v>Ы</v>
          </cell>
          <cell r="AU299">
            <v>0</v>
          </cell>
          <cell r="AV299">
            <v>0</v>
          </cell>
          <cell r="AW299">
            <v>23</v>
          </cell>
          <cell r="AX299">
            <v>1</v>
          </cell>
          <cell r="AY299">
            <v>0</v>
          </cell>
          <cell r="AZ299">
            <v>0</v>
          </cell>
          <cell r="BA299">
            <v>0</v>
          </cell>
          <cell r="BB299">
            <v>0</v>
          </cell>
          <cell r="BC299">
            <v>38828</v>
          </cell>
        </row>
        <row r="300">
          <cell r="A300">
            <v>2006</v>
          </cell>
          <cell r="B300">
            <v>3</v>
          </cell>
          <cell r="C300">
            <v>183</v>
          </cell>
          <cell r="D300">
            <v>21</v>
          </cell>
          <cell r="E300">
            <v>792030</v>
          </cell>
          <cell r="F300">
            <v>0</v>
          </cell>
          <cell r="G300" t="str">
            <v>Затраты по ШПЗ (неосновные)</v>
          </cell>
          <cell r="H300">
            <v>2030</v>
          </cell>
          <cell r="I300">
            <v>7920</v>
          </cell>
          <cell r="J300">
            <v>41.76</v>
          </cell>
          <cell r="K300">
            <v>1</v>
          </cell>
          <cell r="L300">
            <v>0</v>
          </cell>
          <cell r="M300">
            <v>0</v>
          </cell>
          <cell r="N300">
            <v>0</v>
          </cell>
          <cell r="R300">
            <v>0</v>
          </cell>
          <cell r="S300">
            <v>0</v>
          </cell>
          <cell r="T300">
            <v>0</v>
          </cell>
          <cell r="U300">
            <v>42</v>
          </cell>
          <cell r="V300">
            <v>0</v>
          </cell>
          <cell r="W300">
            <v>0</v>
          </cell>
          <cell r="AA300">
            <v>0</v>
          </cell>
          <cell r="AB300">
            <v>0</v>
          </cell>
          <cell r="AC300">
            <v>0</v>
          </cell>
          <cell r="AD300">
            <v>42</v>
          </cell>
          <cell r="AE300">
            <v>132000</v>
          </cell>
          <cell r="AF300">
            <v>0</v>
          </cell>
          <cell r="AI300">
            <v>2282</v>
          </cell>
          <cell r="AK300">
            <v>0</v>
          </cell>
          <cell r="AM300">
            <v>340</v>
          </cell>
          <cell r="AN300">
            <v>1</v>
          </cell>
          <cell r="AO300">
            <v>393216</v>
          </cell>
          <cell r="AQ300">
            <v>0</v>
          </cell>
          <cell r="AR300">
            <v>0</v>
          </cell>
          <cell r="AS300" t="str">
            <v>Ы</v>
          </cell>
          <cell r="AT300" t="str">
            <v>Ы</v>
          </cell>
          <cell r="AU300">
            <v>0</v>
          </cell>
          <cell r="AV300">
            <v>0</v>
          </cell>
          <cell r="AW300">
            <v>23</v>
          </cell>
          <cell r="AX300">
            <v>1</v>
          </cell>
          <cell r="AY300">
            <v>0</v>
          </cell>
          <cell r="AZ300">
            <v>0</v>
          </cell>
          <cell r="BA300">
            <v>0</v>
          </cell>
          <cell r="BB300">
            <v>0</v>
          </cell>
          <cell r="BC300">
            <v>38828</v>
          </cell>
        </row>
        <row r="301">
          <cell r="A301">
            <v>2006</v>
          </cell>
          <cell r="B301">
            <v>3</v>
          </cell>
          <cell r="C301">
            <v>184</v>
          </cell>
          <cell r="D301">
            <v>21</v>
          </cell>
          <cell r="E301">
            <v>792030</v>
          </cell>
          <cell r="F301">
            <v>0</v>
          </cell>
          <cell r="G301" t="str">
            <v>Затраты по ШПЗ (неосновные)</v>
          </cell>
          <cell r="H301">
            <v>2030</v>
          </cell>
          <cell r="I301">
            <v>7920</v>
          </cell>
          <cell r="J301">
            <v>5.34</v>
          </cell>
          <cell r="K301">
            <v>1</v>
          </cell>
          <cell r="L301">
            <v>0</v>
          </cell>
          <cell r="M301">
            <v>0</v>
          </cell>
          <cell r="N301">
            <v>0</v>
          </cell>
          <cell r="R301">
            <v>0</v>
          </cell>
          <cell r="S301">
            <v>0</v>
          </cell>
          <cell r="T301">
            <v>0</v>
          </cell>
          <cell r="U301">
            <v>42</v>
          </cell>
          <cell r="V301">
            <v>0</v>
          </cell>
          <cell r="W301">
            <v>0</v>
          </cell>
          <cell r="AA301">
            <v>0</v>
          </cell>
          <cell r="AB301">
            <v>0</v>
          </cell>
          <cell r="AC301">
            <v>0</v>
          </cell>
          <cell r="AD301">
            <v>42</v>
          </cell>
          <cell r="AE301">
            <v>135000</v>
          </cell>
          <cell r="AF301">
            <v>0</v>
          </cell>
          <cell r="AI301">
            <v>2282</v>
          </cell>
          <cell r="AK301">
            <v>0</v>
          </cell>
          <cell r="AM301">
            <v>341</v>
          </cell>
          <cell r="AN301">
            <v>1</v>
          </cell>
          <cell r="AO301">
            <v>393216</v>
          </cell>
          <cell r="AQ301">
            <v>0</v>
          </cell>
          <cell r="AR301">
            <v>0</v>
          </cell>
          <cell r="AS301" t="str">
            <v>Ы</v>
          </cell>
          <cell r="AT301" t="str">
            <v>Ы</v>
          </cell>
          <cell r="AU301">
            <v>0</v>
          </cell>
          <cell r="AV301">
            <v>0</v>
          </cell>
          <cell r="AW301">
            <v>23</v>
          </cell>
          <cell r="AX301">
            <v>1</v>
          </cell>
          <cell r="AY301">
            <v>0</v>
          </cell>
          <cell r="AZ301">
            <v>0</v>
          </cell>
          <cell r="BA301">
            <v>0</v>
          </cell>
          <cell r="BB301">
            <v>0</v>
          </cell>
          <cell r="BC301">
            <v>38828</v>
          </cell>
        </row>
        <row r="302">
          <cell r="A302">
            <v>2006</v>
          </cell>
          <cell r="B302">
            <v>3</v>
          </cell>
          <cell r="C302">
            <v>185</v>
          </cell>
          <cell r="D302">
            <v>21</v>
          </cell>
          <cell r="E302">
            <v>792030</v>
          </cell>
          <cell r="F302">
            <v>0</v>
          </cell>
          <cell r="G302" t="str">
            <v>Затраты по ШПЗ (неосновные)</v>
          </cell>
          <cell r="H302">
            <v>2030</v>
          </cell>
          <cell r="I302">
            <v>7920</v>
          </cell>
          <cell r="J302">
            <v>18359.439999999999</v>
          </cell>
          <cell r="K302">
            <v>1</v>
          </cell>
          <cell r="L302">
            <v>0</v>
          </cell>
          <cell r="M302">
            <v>0</v>
          </cell>
          <cell r="N302">
            <v>0</v>
          </cell>
          <cell r="R302">
            <v>0</v>
          </cell>
          <cell r="S302">
            <v>0</v>
          </cell>
          <cell r="T302">
            <v>0</v>
          </cell>
          <cell r="U302">
            <v>42</v>
          </cell>
          <cell r="V302">
            <v>0</v>
          </cell>
          <cell r="W302">
            <v>0</v>
          </cell>
          <cell r="AA302">
            <v>0</v>
          </cell>
          <cell r="AB302">
            <v>0</v>
          </cell>
          <cell r="AC302">
            <v>0</v>
          </cell>
          <cell r="AD302">
            <v>42</v>
          </cell>
          <cell r="AE302">
            <v>143000</v>
          </cell>
          <cell r="AF302">
            <v>0</v>
          </cell>
          <cell r="AI302">
            <v>2282</v>
          </cell>
          <cell r="AK302">
            <v>0</v>
          </cell>
          <cell r="AM302">
            <v>342</v>
          </cell>
          <cell r="AN302">
            <v>1</v>
          </cell>
          <cell r="AO302">
            <v>393216</v>
          </cell>
          <cell r="AQ302">
            <v>0</v>
          </cell>
          <cell r="AR302">
            <v>0</v>
          </cell>
          <cell r="AS302" t="str">
            <v>Ы</v>
          </cell>
          <cell r="AT302" t="str">
            <v>Ы</v>
          </cell>
          <cell r="AU302">
            <v>0</v>
          </cell>
          <cell r="AV302">
            <v>0</v>
          </cell>
          <cell r="AW302">
            <v>23</v>
          </cell>
          <cell r="AX302">
            <v>1</v>
          </cell>
          <cell r="AY302">
            <v>0</v>
          </cell>
          <cell r="AZ302">
            <v>0</v>
          </cell>
          <cell r="BA302">
            <v>0</v>
          </cell>
          <cell r="BB302">
            <v>0</v>
          </cell>
          <cell r="BC302">
            <v>38828</v>
          </cell>
        </row>
        <row r="303">
          <cell r="A303">
            <v>2006</v>
          </cell>
          <cell r="B303">
            <v>3</v>
          </cell>
          <cell r="C303">
            <v>186</v>
          </cell>
          <cell r="D303">
            <v>21</v>
          </cell>
          <cell r="E303">
            <v>792030</v>
          </cell>
          <cell r="F303">
            <v>0</v>
          </cell>
          <cell r="G303" t="str">
            <v>Затраты по ШПЗ (неосновные)</v>
          </cell>
          <cell r="H303">
            <v>2030</v>
          </cell>
          <cell r="I303">
            <v>7920</v>
          </cell>
          <cell r="J303">
            <v>9.58</v>
          </cell>
          <cell r="K303">
            <v>1</v>
          </cell>
          <cell r="L303">
            <v>0</v>
          </cell>
          <cell r="M303">
            <v>0</v>
          </cell>
          <cell r="N303">
            <v>0</v>
          </cell>
          <cell r="R303">
            <v>0</v>
          </cell>
          <cell r="S303">
            <v>0</v>
          </cell>
          <cell r="T303">
            <v>0</v>
          </cell>
          <cell r="U303">
            <v>42</v>
          </cell>
          <cell r="V303">
            <v>0</v>
          </cell>
          <cell r="W303">
            <v>0</v>
          </cell>
          <cell r="AA303">
            <v>0</v>
          </cell>
          <cell r="AB303">
            <v>0</v>
          </cell>
          <cell r="AC303">
            <v>0</v>
          </cell>
          <cell r="AD303">
            <v>42</v>
          </cell>
          <cell r="AE303">
            <v>410000</v>
          </cell>
          <cell r="AF303">
            <v>0</v>
          </cell>
          <cell r="AI303">
            <v>2282</v>
          </cell>
          <cell r="AK303">
            <v>0</v>
          </cell>
          <cell r="AM303">
            <v>343</v>
          </cell>
          <cell r="AN303">
            <v>1</v>
          </cell>
          <cell r="AO303">
            <v>393216</v>
          </cell>
          <cell r="AQ303">
            <v>0</v>
          </cell>
          <cell r="AR303">
            <v>0</v>
          </cell>
          <cell r="AS303" t="str">
            <v>Ы</v>
          </cell>
          <cell r="AT303" t="str">
            <v>Ы</v>
          </cell>
          <cell r="AU303">
            <v>0</v>
          </cell>
          <cell r="AV303">
            <v>0</v>
          </cell>
          <cell r="AW303">
            <v>23</v>
          </cell>
          <cell r="AX303">
            <v>1</v>
          </cell>
          <cell r="AY303">
            <v>0</v>
          </cell>
          <cell r="AZ303">
            <v>0</v>
          </cell>
          <cell r="BA303">
            <v>0</v>
          </cell>
          <cell r="BB303">
            <v>0</v>
          </cell>
          <cell r="BC303">
            <v>38828</v>
          </cell>
        </row>
        <row r="304">
          <cell r="A304">
            <v>2006</v>
          </cell>
          <cell r="B304">
            <v>3</v>
          </cell>
          <cell r="C304">
            <v>187</v>
          </cell>
          <cell r="D304">
            <v>21</v>
          </cell>
          <cell r="E304">
            <v>792030</v>
          </cell>
          <cell r="F304">
            <v>0</v>
          </cell>
          <cell r="G304" t="str">
            <v>Затраты по ШПЗ (неосновные)</v>
          </cell>
          <cell r="H304">
            <v>2030</v>
          </cell>
          <cell r="I304">
            <v>7920</v>
          </cell>
          <cell r="J304">
            <v>220</v>
          </cell>
          <cell r="K304">
            <v>1</v>
          </cell>
          <cell r="L304">
            <v>0</v>
          </cell>
          <cell r="M304">
            <v>0</v>
          </cell>
          <cell r="N304">
            <v>0</v>
          </cell>
          <cell r="R304">
            <v>0</v>
          </cell>
          <cell r="S304">
            <v>0</v>
          </cell>
          <cell r="T304">
            <v>0</v>
          </cell>
          <cell r="U304">
            <v>42</v>
          </cell>
          <cell r="V304">
            <v>0</v>
          </cell>
          <cell r="W304">
            <v>0</v>
          </cell>
          <cell r="AA304">
            <v>0</v>
          </cell>
          <cell r="AB304">
            <v>0</v>
          </cell>
          <cell r="AC304">
            <v>0</v>
          </cell>
          <cell r="AD304">
            <v>42</v>
          </cell>
          <cell r="AE304">
            <v>420000</v>
          </cell>
          <cell r="AF304">
            <v>0</v>
          </cell>
          <cell r="AI304">
            <v>2282</v>
          </cell>
          <cell r="AK304">
            <v>0</v>
          </cell>
          <cell r="AM304">
            <v>344</v>
          </cell>
          <cell r="AN304">
            <v>1</v>
          </cell>
          <cell r="AO304">
            <v>393216</v>
          </cell>
          <cell r="AQ304">
            <v>0</v>
          </cell>
          <cell r="AR304">
            <v>0</v>
          </cell>
          <cell r="AS304" t="str">
            <v>Ы</v>
          </cell>
          <cell r="AT304" t="str">
            <v>Ы</v>
          </cell>
          <cell r="AU304">
            <v>0</v>
          </cell>
          <cell r="AV304">
            <v>0</v>
          </cell>
          <cell r="AW304">
            <v>23</v>
          </cell>
          <cell r="AX304">
            <v>1</v>
          </cell>
          <cell r="AY304">
            <v>0</v>
          </cell>
          <cell r="AZ304">
            <v>0</v>
          </cell>
          <cell r="BA304">
            <v>0</v>
          </cell>
          <cell r="BB304">
            <v>0</v>
          </cell>
          <cell r="BC304">
            <v>38828</v>
          </cell>
        </row>
        <row r="305">
          <cell r="A305">
            <v>2006</v>
          </cell>
          <cell r="B305">
            <v>3</v>
          </cell>
          <cell r="C305">
            <v>188</v>
          </cell>
          <cell r="D305">
            <v>21</v>
          </cell>
          <cell r="E305">
            <v>792030</v>
          </cell>
          <cell r="F305">
            <v>0</v>
          </cell>
          <cell r="G305" t="str">
            <v>Затраты по ШПЗ (неосновные)</v>
          </cell>
          <cell r="H305">
            <v>2030</v>
          </cell>
          <cell r="I305">
            <v>7920</v>
          </cell>
          <cell r="J305">
            <v>34.36</v>
          </cell>
          <cell r="K305">
            <v>1</v>
          </cell>
          <cell r="L305">
            <v>0</v>
          </cell>
          <cell r="M305">
            <v>0</v>
          </cell>
          <cell r="N305">
            <v>0</v>
          </cell>
          <cell r="R305">
            <v>0</v>
          </cell>
          <cell r="S305">
            <v>0</v>
          </cell>
          <cell r="T305">
            <v>0</v>
          </cell>
          <cell r="U305">
            <v>42</v>
          </cell>
          <cell r="V305">
            <v>0</v>
          </cell>
          <cell r="W305">
            <v>0</v>
          </cell>
          <cell r="AA305">
            <v>0</v>
          </cell>
          <cell r="AB305">
            <v>0</v>
          </cell>
          <cell r="AC305">
            <v>0</v>
          </cell>
          <cell r="AD305">
            <v>42</v>
          </cell>
          <cell r="AE305">
            <v>430000</v>
          </cell>
          <cell r="AF305">
            <v>0</v>
          </cell>
          <cell r="AI305">
            <v>2282</v>
          </cell>
          <cell r="AK305">
            <v>0</v>
          </cell>
          <cell r="AM305">
            <v>345</v>
          </cell>
          <cell r="AN305">
            <v>1</v>
          </cell>
          <cell r="AO305">
            <v>393216</v>
          </cell>
          <cell r="AQ305">
            <v>0</v>
          </cell>
          <cell r="AR305">
            <v>0</v>
          </cell>
          <cell r="AS305" t="str">
            <v>Ы</v>
          </cell>
          <cell r="AT305" t="str">
            <v>Ы</v>
          </cell>
          <cell r="AU305">
            <v>0</v>
          </cell>
          <cell r="AV305">
            <v>0</v>
          </cell>
          <cell r="AW305">
            <v>23</v>
          </cell>
          <cell r="AX305">
            <v>1</v>
          </cell>
          <cell r="AY305">
            <v>0</v>
          </cell>
          <cell r="AZ305">
            <v>0</v>
          </cell>
          <cell r="BA305">
            <v>0</v>
          </cell>
          <cell r="BB305">
            <v>0</v>
          </cell>
          <cell r="BC305">
            <v>38828</v>
          </cell>
        </row>
        <row r="306">
          <cell r="A306">
            <v>2006</v>
          </cell>
          <cell r="B306">
            <v>3</v>
          </cell>
          <cell r="C306">
            <v>189</v>
          </cell>
          <cell r="D306">
            <v>21</v>
          </cell>
          <cell r="E306">
            <v>792030</v>
          </cell>
          <cell r="F306">
            <v>0</v>
          </cell>
          <cell r="G306" t="str">
            <v>Затраты по ШПЗ (неосновные)</v>
          </cell>
          <cell r="H306">
            <v>2030</v>
          </cell>
          <cell r="I306">
            <v>7920</v>
          </cell>
          <cell r="J306">
            <v>14.04</v>
          </cell>
          <cell r="K306">
            <v>1</v>
          </cell>
          <cell r="L306">
            <v>0</v>
          </cell>
          <cell r="M306">
            <v>0</v>
          </cell>
          <cell r="N306">
            <v>0</v>
          </cell>
          <cell r="R306">
            <v>0</v>
          </cell>
          <cell r="S306">
            <v>0</v>
          </cell>
          <cell r="T306">
            <v>0</v>
          </cell>
          <cell r="U306">
            <v>42</v>
          </cell>
          <cell r="V306">
            <v>0</v>
          </cell>
          <cell r="W306">
            <v>0</v>
          </cell>
          <cell r="AA306">
            <v>0</v>
          </cell>
          <cell r="AB306">
            <v>0</v>
          </cell>
          <cell r="AC306">
            <v>0</v>
          </cell>
          <cell r="AD306">
            <v>42</v>
          </cell>
          <cell r="AE306">
            <v>450000</v>
          </cell>
          <cell r="AF306">
            <v>0</v>
          </cell>
          <cell r="AI306">
            <v>2282</v>
          </cell>
          <cell r="AK306">
            <v>0</v>
          </cell>
          <cell r="AM306">
            <v>346</v>
          </cell>
          <cell r="AN306">
            <v>1</v>
          </cell>
          <cell r="AO306">
            <v>393216</v>
          </cell>
          <cell r="AQ306">
            <v>0</v>
          </cell>
          <cell r="AR306">
            <v>0</v>
          </cell>
          <cell r="AS306" t="str">
            <v>Ы</v>
          </cell>
          <cell r="AT306" t="str">
            <v>Ы</v>
          </cell>
          <cell r="AU306">
            <v>0</v>
          </cell>
          <cell r="AV306">
            <v>0</v>
          </cell>
          <cell r="AW306">
            <v>23</v>
          </cell>
          <cell r="AX306">
            <v>1</v>
          </cell>
          <cell r="AY306">
            <v>0</v>
          </cell>
          <cell r="AZ306">
            <v>0</v>
          </cell>
          <cell r="BA306">
            <v>0</v>
          </cell>
          <cell r="BB306">
            <v>0</v>
          </cell>
          <cell r="BC306">
            <v>38828</v>
          </cell>
        </row>
        <row r="307">
          <cell r="A307">
            <v>2006</v>
          </cell>
          <cell r="B307">
            <v>3</v>
          </cell>
          <cell r="C307">
            <v>190</v>
          </cell>
          <cell r="D307">
            <v>21</v>
          </cell>
          <cell r="E307">
            <v>792030</v>
          </cell>
          <cell r="F307">
            <v>0</v>
          </cell>
          <cell r="G307" t="str">
            <v>Затраты по ШПЗ (неосновные)</v>
          </cell>
          <cell r="H307">
            <v>2030</v>
          </cell>
          <cell r="I307">
            <v>7920</v>
          </cell>
          <cell r="J307">
            <v>4.45</v>
          </cell>
          <cell r="K307">
            <v>1</v>
          </cell>
          <cell r="L307">
            <v>0</v>
          </cell>
          <cell r="M307">
            <v>0</v>
          </cell>
          <cell r="N307">
            <v>0</v>
          </cell>
          <cell r="R307">
            <v>0</v>
          </cell>
          <cell r="S307">
            <v>0</v>
          </cell>
          <cell r="T307">
            <v>0</v>
          </cell>
          <cell r="U307">
            <v>42</v>
          </cell>
          <cell r="V307">
            <v>0</v>
          </cell>
          <cell r="W307">
            <v>0</v>
          </cell>
          <cell r="AA307">
            <v>0</v>
          </cell>
          <cell r="AB307">
            <v>0</v>
          </cell>
          <cell r="AC307">
            <v>0</v>
          </cell>
          <cell r="AD307">
            <v>42</v>
          </cell>
          <cell r="AE307">
            <v>460000</v>
          </cell>
          <cell r="AF307">
            <v>0</v>
          </cell>
          <cell r="AI307">
            <v>2282</v>
          </cell>
          <cell r="AK307">
            <v>0</v>
          </cell>
          <cell r="AM307">
            <v>347</v>
          </cell>
          <cell r="AN307">
            <v>1</v>
          </cell>
          <cell r="AO307">
            <v>393216</v>
          </cell>
          <cell r="AQ307">
            <v>0</v>
          </cell>
          <cell r="AR307">
            <v>0</v>
          </cell>
          <cell r="AS307" t="str">
            <v>Ы</v>
          </cell>
          <cell r="AT307" t="str">
            <v>Ы</v>
          </cell>
          <cell r="AU307">
            <v>0</v>
          </cell>
          <cell r="AV307">
            <v>0</v>
          </cell>
          <cell r="AW307">
            <v>23</v>
          </cell>
          <cell r="AX307">
            <v>1</v>
          </cell>
          <cell r="AY307">
            <v>0</v>
          </cell>
          <cell r="AZ307">
            <v>0</v>
          </cell>
          <cell r="BA307">
            <v>0</v>
          </cell>
          <cell r="BB307">
            <v>0</v>
          </cell>
          <cell r="BC307">
            <v>38828</v>
          </cell>
        </row>
        <row r="308">
          <cell r="A308">
            <v>2006</v>
          </cell>
          <cell r="B308">
            <v>3</v>
          </cell>
          <cell r="C308">
            <v>191</v>
          </cell>
          <cell r="D308">
            <v>21</v>
          </cell>
          <cell r="E308">
            <v>792030</v>
          </cell>
          <cell r="F308">
            <v>0</v>
          </cell>
          <cell r="G308" t="str">
            <v>Затраты по ШПЗ (неосновные)</v>
          </cell>
          <cell r="H308">
            <v>2030</v>
          </cell>
          <cell r="I308">
            <v>7920</v>
          </cell>
          <cell r="J308">
            <v>0.13</v>
          </cell>
          <cell r="K308">
            <v>1</v>
          </cell>
          <cell r="L308">
            <v>0</v>
          </cell>
          <cell r="M308">
            <v>0</v>
          </cell>
          <cell r="N308">
            <v>0</v>
          </cell>
          <cell r="R308">
            <v>0</v>
          </cell>
          <cell r="S308">
            <v>0</v>
          </cell>
          <cell r="T308">
            <v>0</v>
          </cell>
          <cell r="U308">
            <v>42</v>
          </cell>
          <cell r="V308">
            <v>0</v>
          </cell>
          <cell r="W308">
            <v>0</v>
          </cell>
          <cell r="AA308">
            <v>0</v>
          </cell>
          <cell r="AB308">
            <v>0</v>
          </cell>
          <cell r="AC308">
            <v>0</v>
          </cell>
          <cell r="AD308">
            <v>42</v>
          </cell>
          <cell r="AE308">
            <v>465000</v>
          </cell>
          <cell r="AF308">
            <v>0</v>
          </cell>
          <cell r="AI308">
            <v>2282</v>
          </cell>
          <cell r="AK308">
            <v>0</v>
          </cell>
          <cell r="AM308">
            <v>348</v>
          </cell>
          <cell r="AN308">
            <v>1</v>
          </cell>
          <cell r="AO308">
            <v>393216</v>
          </cell>
          <cell r="AQ308">
            <v>0</v>
          </cell>
          <cell r="AR308">
            <v>0</v>
          </cell>
          <cell r="AS308" t="str">
            <v>Ы</v>
          </cell>
          <cell r="AT308" t="str">
            <v>Ы</v>
          </cell>
          <cell r="AU308">
            <v>0</v>
          </cell>
          <cell r="AV308">
            <v>0</v>
          </cell>
          <cell r="AW308">
            <v>23</v>
          </cell>
          <cell r="AX308">
            <v>1</v>
          </cell>
          <cell r="AY308">
            <v>0</v>
          </cell>
          <cell r="AZ308">
            <v>0</v>
          </cell>
          <cell r="BA308">
            <v>0</v>
          </cell>
          <cell r="BB308">
            <v>0</v>
          </cell>
          <cell r="BC308">
            <v>38828</v>
          </cell>
        </row>
        <row r="309">
          <cell r="A309">
            <v>2006</v>
          </cell>
          <cell r="B309">
            <v>3</v>
          </cell>
          <cell r="C309">
            <v>192</v>
          </cell>
          <cell r="D309">
            <v>21</v>
          </cell>
          <cell r="E309">
            <v>792030</v>
          </cell>
          <cell r="F309">
            <v>0</v>
          </cell>
          <cell r="G309" t="str">
            <v>Затраты по ШПЗ (неосновные)</v>
          </cell>
          <cell r="H309">
            <v>2030</v>
          </cell>
          <cell r="I309">
            <v>7920</v>
          </cell>
          <cell r="J309">
            <v>5.61</v>
          </cell>
          <cell r="K309">
            <v>1</v>
          </cell>
          <cell r="L309">
            <v>0</v>
          </cell>
          <cell r="M309">
            <v>0</v>
          </cell>
          <cell r="N309">
            <v>0</v>
          </cell>
          <cell r="R309">
            <v>0</v>
          </cell>
          <cell r="S309">
            <v>0</v>
          </cell>
          <cell r="T309">
            <v>0</v>
          </cell>
          <cell r="U309">
            <v>42</v>
          </cell>
          <cell r="V309">
            <v>0</v>
          </cell>
          <cell r="W309">
            <v>0</v>
          </cell>
          <cell r="AA309">
            <v>0</v>
          </cell>
          <cell r="AB309">
            <v>0</v>
          </cell>
          <cell r="AC309">
            <v>0</v>
          </cell>
          <cell r="AD309">
            <v>42</v>
          </cell>
          <cell r="AE309">
            <v>501103</v>
          </cell>
          <cell r="AF309">
            <v>0</v>
          </cell>
          <cell r="AI309">
            <v>2282</v>
          </cell>
          <cell r="AK309">
            <v>0</v>
          </cell>
          <cell r="AM309">
            <v>349</v>
          </cell>
          <cell r="AN309">
            <v>1</v>
          </cell>
          <cell r="AO309">
            <v>393216</v>
          </cell>
          <cell r="AQ309">
            <v>0</v>
          </cell>
          <cell r="AR309">
            <v>0</v>
          </cell>
          <cell r="AS309" t="str">
            <v>Ы</v>
          </cell>
          <cell r="AT309" t="str">
            <v>Ы</v>
          </cell>
          <cell r="AU309">
            <v>0</v>
          </cell>
          <cell r="AV309">
            <v>0</v>
          </cell>
          <cell r="AW309">
            <v>23</v>
          </cell>
          <cell r="AX309">
            <v>1</v>
          </cell>
          <cell r="AY309">
            <v>0</v>
          </cell>
          <cell r="AZ309">
            <v>0</v>
          </cell>
          <cell r="BA309">
            <v>0</v>
          </cell>
          <cell r="BB309">
            <v>0</v>
          </cell>
          <cell r="BC309">
            <v>38828</v>
          </cell>
        </row>
        <row r="310">
          <cell r="A310">
            <v>2006</v>
          </cell>
          <cell r="B310">
            <v>3</v>
          </cell>
          <cell r="C310">
            <v>193</v>
          </cell>
          <cell r="D310">
            <v>21</v>
          </cell>
          <cell r="E310">
            <v>792030</v>
          </cell>
          <cell r="F310">
            <v>0</v>
          </cell>
          <cell r="G310" t="str">
            <v>Затраты по ШПЗ (неосновные)</v>
          </cell>
          <cell r="H310">
            <v>2030</v>
          </cell>
          <cell r="I310">
            <v>7920</v>
          </cell>
          <cell r="J310">
            <v>15.69</v>
          </cell>
          <cell r="K310">
            <v>1</v>
          </cell>
          <cell r="L310">
            <v>0</v>
          </cell>
          <cell r="M310">
            <v>0</v>
          </cell>
          <cell r="N310">
            <v>0</v>
          </cell>
          <cell r="R310">
            <v>0</v>
          </cell>
          <cell r="S310">
            <v>0</v>
          </cell>
          <cell r="T310">
            <v>0</v>
          </cell>
          <cell r="U310">
            <v>42</v>
          </cell>
          <cell r="V310">
            <v>0</v>
          </cell>
          <cell r="W310">
            <v>0</v>
          </cell>
          <cell r="AA310">
            <v>0</v>
          </cell>
          <cell r="AB310">
            <v>0</v>
          </cell>
          <cell r="AC310">
            <v>0</v>
          </cell>
          <cell r="AD310">
            <v>42</v>
          </cell>
          <cell r="AE310">
            <v>501106</v>
          </cell>
          <cell r="AF310">
            <v>0</v>
          </cell>
          <cell r="AI310">
            <v>2282</v>
          </cell>
          <cell r="AK310">
            <v>0</v>
          </cell>
          <cell r="AM310">
            <v>350</v>
          </cell>
          <cell r="AN310">
            <v>1</v>
          </cell>
          <cell r="AO310">
            <v>393216</v>
          </cell>
          <cell r="AQ310">
            <v>0</v>
          </cell>
          <cell r="AR310">
            <v>0</v>
          </cell>
          <cell r="AS310" t="str">
            <v>Ы</v>
          </cell>
          <cell r="AT310" t="str">
            <v>Ы</v>
          </cell>
          <cell r="AU310">
            <v>0</v>
          </cell>
          <cell r="AV310">
            <v>0</v>
          </cell>
          <cell r="AW310">
            <v>23</v>
          </cell>
          <cell r="AX310">
            <v>1</v>
          </cell>
          <cell r="AY310">
            <v>0</v>
          </cell>
          <cell r="AZ310">
            <v>0</v>
          </cell>
          <cell r="BA310">
            <v>0</v>
          </cell>
          <cell r="BB310">
            <v>0</v>
          </cell>
          <cell r="BC310">
            <v>38828</v>
          </cell>
        </row>
        <row r="311">
          <cell r="A311">
            <v>2006</v>
          </cell>
          <cell r="B311">
            <v>3</v>
          </cell>
          <cell r="C311">
            <v>194</v>
          </cell>
          <cell r="D311">
            <v>21</v>
          </cell>
          <cell r="E311">
            <v>792030</v>
          </cell>
          <cell r="F311">
            <v>0</v>
          </cell>
          <cell r="G311" t="str">
            <v>Затраты по ШПЗ (неосновные)</v>
          </cell>
          <cell r="H311">
            <v>2030</v>
          </cell>
          <cell r="I311">
            <v>7920</v>
          </cell>
          <cell r="J311">
            <v>137.29</v>
          </cell>
          <cell r="K311">
            <v>1</v>
          </cell>
          <cell r="L311">
            <v>0</v>
          </cell>
          <cell r="M311">
            <v>0</v>
          </cell>
          <cell r="N311">
            <v>0</v>
          </cell>
          <cell r="R311">
            <v>0</v>
          </cell>
          <cell r="S311">
            <v>0</v>
          </cell>
          <cell r="T311">
            <v>0</v>
          </cell>
          <cell r="U311">
            <v>42</v>
          </cell>
          <cell r="V311">
            <v>0</v>
          </cell>
          <cell r="W311">
            <v>0</v>
          </cell>
          <cell r="AA311">
            <v>0</v>
          </cell>
          <cell r="AB311">
            <v>0</v>
          </cell>
          <cell r="AC311">
            <v>0</v>
          </cell>
          <cell r="AD311">
            <v>42</v>
          </cell>
          <cell r="AE311">
            <v>502100</v>
          </cell>
          <cell r="AF311">
            <v>0</v>
          </cell>
          <cell r="AI311">
            <v>2282</v>
          </cell>
          <cell r="AK311">
            <v>0</v>
          </cell>
          <cell r="AM311">
            <v>351</v>
          </cell>
          <cell r="AN311">
            <v>1</v>
          </cell>
          <cell r="AO311">
            <v>393216</v>
          </cell>
          <cell r="AQ311">
            <v>0</v>
          </cell>
          <cell r="AR311">
            <v>0</v>
          </cell>
          <cell r="AS311" t="str">
            <v>Ы</v>
          </cell>
          <cell r="AT311" t="str">
            <v>Ы</v>
          </cell>
          <cell r="AU311">
            <v>0</v>
          </cell>
          <cell r="AV311">
            <v>0</v>
          </cell>
          <cell r="AW311">
            <v>23</v>
          </cell>
          <cell r="AX311">
            <v>1</v>
          </cell>
          <cell r="AY311">
            <v>0</v>
          </cell>
          <cell r="AZ311">
            <v>0</v>
          </cell>
          <cell r="BA311">
            <v>0</v>
          </cell>
          <cell r="BB311">
            <v>0</v>
          </cell>
          <cell r="BC311">
            <v>38828</v>
          </cell>
        </row>
        <row r="312">
          <cell r="A312">
            <v>2006</v>
          </cell>
          <cell r="B312">
            <v>3</v>
          </cell>
          <cell r="C312">
            <v>195</v>
          </cell>
          <cell r="D312">
            <v>21</v>
          </cell>
          <cell r="E312">
            <v>792030</v>
          </cell>
          <cell r="F312">
            <v>0</v>
          </cell>
          <cell r="G312" t="str">
            <v>Затраты по ШПЗ (неосновные)</v>
          </cell>
          <cell r="H312">
            <v>2030</v>
          </cell>
          <cell r="I312">
            <v>7920</v>
          </cell>
          <cell r="J312">
            <v>2.96</v>
          </cell>
          <cell r="K312">
            <v>1</v>
          </cell>
          <cell r="L312">
            <v>0</v>
          </cell>
          <cell r="M312">
            <v>0</v>
          </cell>
          <cell r="N312">
            <v>0</v>
          </cell>
          <cell r="R312">
            <v>0</v>
          </cell>
          <cell r="S312">
            <v>0</v>
          </cell>
          <cell r="T312">
            <v>0</v>
          </cell>
          <cell r="U312">
            <v>42</v>
          </cell>
          <cell r="V312">
            <v>0</v>
          </cell>
          <cell r="W312">
            <v>0</v>
          </cell>
          <cell r="AA312">
            <v>0</v>
          </cell>
          <cell r="AB312">
            <v>0</v>
          </cell>
          <cell r="AC312">
            <v>0</v>
          </cell>
          <cell r="AD312">
            <v>42</v>
          </cell>
          <cell r="AE312">
            <v>503000</v>
          </cell>
          <cell r="AF312">
            <v>0</v>
          </cell>
          <cell r="AI312">
            <v>2282</v>
          </cell>
          <cell r="AK312">
            <v>0</v>
          </cell>
          <cell r="AM312">
            <v>352</v>
          </cell>
          <cell r="AN312">
            <v>1</v>
          </cell>
          <cell r="AO312">
            <v>393216</v>
          </cell>
          <cell r="AQ312">
            <v>0</v>
          </cell>
          <cell r="AR312">
            <v>0</v>
          </cell>
          <cell r="AS312" t="str">
            <v>Ы</v>
          </cell>
          <cell r="AT312" t="str">
            <v>Ы</v>
          </cell>
          <cell r="AU312">
            <v>0</v>
          </cell>
          <cell r="AV312">
            <v>0</v>
          </cell>
          <cell r="AW312">
            <v>23</v>
          </cell>
          <cell r="AX312">
            <v>1</v>
          </cell>
          <cell r="AY312">
            <v>0</v>
          </cell>
          <cell r="AZ312">
            <v>0</v>
          </cell>
          <cell r="BA312">
            <v>0</v>
          </cell>
          <cell r="BB312">
            <v>0</v>
          </cell>
          <cell r="BC312">
            <v>38828</v>
          </cell>
        </row>
        <row r="313">
          <cell r="A313">
            <v>2006</v>
          </cell>
          <cell r="B313">
            <v>3</v>
          </cell>
          <cell r="C313">
            <v>196</v>
          </cell>
          <cell r="D313">
            <v>21</v>
          </cell>
          <cell r="E313">
            <v>792030</v>
          </cell>
          <cell r="F313">
            <v>0</v>
          </cell>
          <cell r="G313" t="str">
            <v>Затраты по ШПЗ (неосновные)</v>
          </cell>
          <cell r="H313">
            <v>2030</v>
          </cell>
          <cell r="I313">
            <v>7920</v>
          </cell>
          <cell r="J313">
            <v>7.31</v>
          </cell>
          <cell r="K313">
            <v>1</v>
          </cell>
          <cell r="L313">
            <v>0</v>
          </cell>
          <cell r="M313">
            <v>0</v>
          </cell>
          <cell r="N313">
            <v>0</v>
          </cell>
          <cell r="R313">
            <v>0</v>
          </cell>
          <cell r="S313">
            <v>0</v>
          </cell>
          <cell r="T313">
            <v>0</v>
          </cell>
          <cell r="U313">
            <v>42</v>
          </cell>
          <cell r="V313">
            <v>0</v>
          </cell>
          <cell r="W313">
            <v>0</v>
          </cell>
          <cell r="AA313">
            <v>0</v>
          </cell>
          <cell r="AB313">
            <v>0</v>
          </cell>
          <cell r="AC313">
            <v>0</v>
          </cell>
          <cell r="AD313">
            <v>42</v>
          </cell>
          <cell r="AE313">
            <v>504900</v>
          </cell>
          <cell r="AF313">
            <v>0</v>
          </cell>
          <cell r="AI313">
            <v>2282</v>
          </cell>
          <cell r="AK313">
            <v>0</v>
          </cell>
          <cell r="AM313">
            <v>353</v>
          </cell>
          <cell r="AN313">
            <v>1</v>
          </cell>
          <cell r="AO313">
            <v>393216</v>
          </cell>
          <cell r="AQ313">
            <v>0</v>
          </cell>
          <cell r="AR313">
            <v>0</v>
          </cell>
          <cell r="AS313" t="str">
            <v>Ы</v>
          </cell>
          <cell r="AT313" t="str">
            <v>Ы</v>
          </cell>
          <cell r="AU313">
            <v>0</v>
          </cell>
          <cell r="AV313">
            <v>0</v>
          </cell>
          <cell r="AW313">
            <v>23</v>
          </cell>
          <cell r="AX313">
            <v>1</v>
          </cell>
          <cell r="AY313">
            <v>0</v>
          </cell>
          <cell r="AZ313">
            <v>0</v>
          </cell>
          <cell r="BA313">
            <v>0</v>
          </cell>
          <cell r="BB313">
            <v>0</v>
          </cell>
          <cell r="BC313">
            <v>38828</v>
          </cell>
        </row>
        <row r="314">
          <cell r="A314">
            <v>2006</v>
          </cell>
          <cell r="B314">
            <v>3</v>
          </cell>
          <cell r="C314">
            <v>197</v>
          </cell>
          <cell r="D314">
            <v>21</v>
          </cell>
          <cell r="E314">
            <v>792030</v>
          </cell>
          <cell r="F314">
            <v>0</v>
          </cell>
          <cell r="G314" t="str">
            <v>Затраты по ШПЗ (неосновные)</v>
          </cell>
          <cell r="H314">
            <v>2030</v>
          </cell>
          <cell r="I314">
            <v>7920</v>
          </cell>
          <cell r="J314">
            <v>16.5</v>
          </cell>
          <cell r="K314">
            <v>1</v>
          </cell>
          <cell r="L314">
            <v>0</v>
          </cell>
          <cell r="M314">
            <v>0</v>
          </cell>
          <cell r="N314">
            <v>0</v>
          </cell>
          <cell r="R314">
            <v>0</v>
          </cell>
          <cell r="S314">
            <v>0</v>
          </cell>
          <cell r="T314">
            <v>0</v>
          </cell>
          <cell r="U314">
            <v>42</v>
          </cell>
          <cell r="V314">
            <v>0</v>
          </cell>
          <cell r="W314">
            <v>0</v>
          </cell>
          <cell r="AA314">
            <v>0</v>
          </cell>
          <cell r="AB314">
            <v>0</v>
          </cell>
          <cell r="AC314">
            <v>0</v>
          </cell>
          <cell r="AD314">
            <v>42</v>
          </cell>
          <cell r="AE314">
            <v>505100</v>
          </cell>
          <cell r="AF314">
            <v>0</v>
          </cell>
          <cell r="AI314">
            <v>2282</v>
          </cell>
          <cell r="AK314">
            <v>0</v>
          </cell>
          <cell r="AM314">
            <v>354</v>
          </cell>
          <cell r="AN314">
            <v>1</v>
          </cell>
          <cell r="AO314">
            <v>393216</v>
          </cell>
          <cell r="AQ314">
            <v>0</v>
          </cell>
          <cell r="AR314">
            <v>0</v>
          </cell>
          <cell r="AS314" t="str">
            <v>Ы</v>
          </cell>
          <cell r="AT314" t="str">
            <v>Ы</v>
          </cell>
          <cell r="AU314">
            <v>0</v>
          </cell>
          <cell r="AV314">
            <v>0</v>
          </cell>
          <cell r="AW314">
            <v>23</v>
          </cell>
          <cell r="AX314">
            <v>1</v>
          </cell>
          <cell r="AY314">
            <v>0</v>
          </cell>
          <cell r="AZ314">
            <v>0</v>
          </cell>
          <cell r="BA314">
            <v>0</v>
          </cell>
          <cell r="BB314">
            <v>0</v>
          </cell>
          <cell r="BC314">
            <v>38828</v>
          </cell>
        </row>
        <row r="315">
          <cell r="A315">
            <v>2006</v>
          </cell>
          <cell r="B315">
            <v>3</v>
          </cell>
          <cell r="C315">
            <v>198</v>
          </cell>
          <cell r="D315">
            <v>21</v>
          </cell>
          <cell r="E315">
            <v>792030</v>
          </cell>
          <cell r="F315">
            <v>0</v>
          </cell>
          <cell r="G315" t="str">
            <v>Затраты по ШПЗ (неосновные)</v>
          </cell>
          <cell r="H315">
            <v>2030</v>
          </cell>
          <cell r="I315">
            <v>7920</v>
          </cell>
          <cell r="J315">
            <v>17.14</v>
          </cell>
          <cell r="K315">
            <v>1</v>
          </cell>
          <cell r="L315">
            <v>0</v>
          </cell>
          <cell r="M315">
            <v>0</v>
          </cell>
          <cell r="N315">
            <v>0</v>
          </cell>
          <cell r="R315">
            <v>0</v>
          </cell>
          <cell r="S315">
            <v>0</v>
          </cell>
          <cell r="T315">
            <v>0</v>
          </cell>
          <cell r="U315">
            <v>42</v>
          </cell>
          <cell r="V315">
            <v>0</v>
          </cell>
          <cell r="W315">
            <v>0</v>
          </cell>
          <cell r="AA315">
            <v>0</v>
          </cell>
          <cell r="AB315">
            <v>0</v>
          </cell>
          <cell r="AC315">
            <v>0</v>
          </cell>
          <cell r="AD315">
            <v>42</v>
          </cell>
          <cell r="AE315">
            <v>505200</v>
          </cell>
          <cell r="AF315">
            <v>0</v>
          </cell>
          <cell r="AI315">
            <v>2282</v>
          </cell>
          <cell r="AK315">
            <v>0</v>
          </cell>
          <cell r="AM315">
            <v>355</v>
          </cell>
          <cell r="AN315">
            <v>1</v>
          </cell>
          <cell r="AO315">
            <v>393216</v>
          </cell>
          <cell r="AQ315">
            <v>0</v>
          </cell>
          <cell r="AR315">
            <v>0</v>
          </cell>
          <cell r="AS315" t="str">
            <v>Ы</v>
          </cell>
          <cell r="AT315" t="str">
            <v>Ы</v>
          </cell>
          <cell r="AU315">
            <v>0</v>
          </cell>
          <cell r="AV315">
            <v>0</v>
          </cell>
          <cell r="AW315">
            <v>23</v>
          </cell>
          <cell r="AX315">
            <v>1</v>
          </cell>
          <cell r="AY315">
            <v>0</v>
          </cell>
          <cell r="AZ315">
            <v>0</v>
          </cell>
          <cell r="BA315">
            <v>0</v>
          </cell>
          <cell r="BB315">
            <v>0</v>
          </cell>
          <cell r="BC315">
            <v>38828</v>
          </cell>
        </row>
        <row r="316">
          <cell r="A316">
            <v>2006</v>
          </cell>
          <cell r="B316">
            <v>3</v>
          </cell>
          <cell r="C316">
            <v>199</v>
          </cell>
          <cell r="D316">
            <v>21</v>
          </cell>
          <cell r="E316">
            <v>792030</v>
          </cell>
          <cell r="F316">
            <v>0</v>
          </cell>
          <cell r="G316" t="str">
            <v>Затраты по ШПЗ (неосновные)</v>
          </cell>
          <cell r="H316">
            <v>2030</v>
          </cell>
          <cell r="I316">
            <v>7920</v>
          </cell>
          <cell r="J316">
            <v>0.92</v>
          </cell>
          <cell r="K316">
            <v>1</v>
          </cell>
          <cell r="L316">
            <v>0</v>
          </cell>
          <cell r="M316">
            <v>0</v>
          </cell>
          <cell r="N316">
            <v>0</v>
          </cell>
          <cell r="R316">
            <v>0</v>
          </cell>
          <cell r="S316">
            <v>0</v>
          </cell>
          <cell r="T316">
            <v>0</v>
          </cell>
          <cell r="U316">
            <v>42</v>
          </cell>
          <cell r="V316">
            <v>0</v>
          </cell>
          <cell r="W316">
            <v>0</v>
          </cell>
          <cell r="AA316">
            <v>0</v>
          </cell>
          <cell r="AB316">
            <v>0</v>
          </cell>
          <cell r="AC316">
            <v>0</v>
          </cell>
          <cell r="AD316">
            <v>42</v>
          </cell>
          <cell r="AE316">
            <v>506200</v>
          </cell>
          <cell r="AF316">
            <v>0</v>
          </cell>
          <cell r="AI316">
            <v>2282</v>
          </cell>
          <cell r="AK316">
            <v>0</v>
          </cell>
          <cell r="AM316">
            <v>356</v>
          </cell>
          <cell r="AN316">
            <v>1</v>
          </cell>
          <cell r="AO316">
            <v>393216</v>
          </cell>
          <cell r="AQ316">
            <v>0</v>
          </cell>
          <cell r="AR316">
            <v>0</v>
          </cell>
          <cell r="AS316" t="str">
            <v>Ы</v>
          </cell>
          <cell r="AT316" t="str">
            <v>Ы</v>
          </cell>
          <cell r="AU316">
            <v>0</v>
          </cell>
          <cell r="AV316">
            <v>0</v>
          </cell>
          <cell r="AW316">
            <v>23</v>
          </cell>
          <cell r="AX316">
            <v>1</v>
          </cell>
          <cell r="AY316">
            <v>0</v>
          </cell>
          <cell r="AZ316">
            <v>0</v>
          </cell>
          <cell r="BA316">
            <v>0</v>
          </cell>
          <cell r="BB316">
            <v>0</v>
          </cell>
          <cell r="BC316">
            <v>38828</v>
          </cell>
        </row>
        <row r="317">
          <cell r="A317">
            <v>2006</v>
          </cell>
          <cell r="B317">
            <v>3</v>
          </cell>
          <cell r="C317">
            <v>200</v>
          </cell>
          <cell r="D317">
            <v>21</v>
          </cell>
          <cell r="E317">
            <v>792030</v>
          </cell>
          <cell r="F317">
            <v>0</v>
          </cell>
          <cell r="G317" t="str">
            <v>Затраты по ШПЗ (неосновные)</v>
          </cell>
          <cell r="H317">
            <v>2030</v>
          </cell>
          <cell r="I317">
            <v>7920</v>
          </cell>
          <cell r="J317">
            <v>0.04</v>
          </cell>
          <cell r="K317">
            <v>1</v>
          </cell>
          <cell r="L317">
            <v>0</v>
          </cell>
          <cell r="M317">
            <v>0</v>
          </cell>
          <cell r="N317">
            <v>0</v>
          </cell>
          <cell r="R317">
            <v>0</v>
          </cell>
          <cell r="S317">
            <v>0</v>
          </cell>
          <cell r="T317">
            <v>0</v>
          </cell>
          <cell r="U317">
            <v>42</v>
          </cell>
          <cell r="V317">
            <v>0</v>
          </cell>
          <cell r="W317">
            <v>0</v>
          </cell>
          <cell r="AA317">
            <v>0</v>
          </cell>
          <cell r="AB317">
            <v>0</v>
          </cell>
          <cell r="AC317">
            <v>0</v>
          </cell>
          <cell r="AD317">
            <v>42</v>
          </cell>
          <cell r="AE317">
            <v>508400</v>
          </cell>
          <cell r="AF317">
            <v>0</v>
          </cell>
          <cell r="AI317">
            <v>2282</v>
          </cell>
          <cell r="AK317">
            <v>0</v>
          </cell>
          <cell r="AM317">
            <v>357</v>
          </cell>
          <cell r="AN317">
            <v>1</v>
          </cell>
          <cell r="AO317">
            <v>393216</v>
          </cell>
          <cell r="AQ317">
            <v>0</v>
          </cell>
          <cell r="AR317">
            <v>0</v>
          </cell>
          <cell r="AS317" t="str">
            <v>Ы</v>
          </cell>
          <cell r="AT317" t="str">
            <v>Ы</v>
          </cell>
          <cell r="AU317">
            <v>0</v>
          </cell>
          <cell r="AV317">
            <v>0</v>
          </cell>
          <cell r="AW317">
            <v>23</v>
          </cell>
          <cell r="AX317">
            <v>1</v>
          </cell>
          <cell r="AY317">
            <v>0</v>
          </cell>
          <cell r="AZ317">
            <v>0</v>
          </cell>
          <cell r="BA317">
            <v>0</v>
          </cell>
          <cell r="BB317">
            <v>0</v>
          </cell>
          <cell r="BC317">
            <v>38828</v>
          </cell>
        </row>
        <row r="318">
          <cell r="A318">
            <v>2006</v>
          </cell>
          <cell r="B318">
            <v>3</v>
          </cell>
          <cell r="C318">
            <v>201</v>
          </cell>
          <cell r="D318">
            <v>21</v>
          </cell>
          <cell r="E318">
            <v>792030</v>
          </cell>
          <cell r="F318">
            <v>0</v>
          </cell>
          <cell r="G318" t="str">
            <v>Затраты по ШПЗ (неосновные)</v>
          </cell>
          <cell r="H318">
            <v>2030</v>
          </cell>
          <cell r="I318">
            <v>7920</v>
          </cell>
          <cell r="J318">
            <v>0.67</v>
          </cell>
          <cell r="K318">
            <v>1</v>
          </cell>
          <cell r="L318">
            <v>0</v>
          </cell>
          <cell r="M318">
            <v>0</v>
          </cell>
          <cell r="N318">
            <v>0</v>
          </cell>
          <cell r="R318">
            <v>0</v>
          </cell>
          <cell r="S318">
            <v>0</v>
          </cell>
          <cell r="T318">
            <v>0</v>
          </cell>
          <cell r="U318">
            <v>42</v>
          </cell>
          <cell r="V318">
            <v>0</v>
          </cell>
          <cell r="W318">
            <v>0</v>
          </cell>
          <cell r="AA318">
            <v>0</v>
          </cell>
          <cell r="AB318">
            <v>0</v>
          </cell>
          <cell r="AC318">
            <v>0</v>
          </cell>
          <cell r="AD318">
            <v>42</v>
          </cell>
          <cell r="AE318">
            <v>508700</v>
          </cell>
          <cell r="AF318">
            <v>0</v>
          </cell>
          <cell r="AI318">
            <v>2282</v>
          </cell>
          <cell r="AK318">
            <v>0</v>
          </cell>
          <cell r="AM318">
            <v>358</v>
          </cell>
          <cell r="AN318">
            <v>1</v>
          </cell>
          <cell r="AO318">
            <v>393216</v>
          </cell>
          <cell r="AQ318">
            <v>0</v>
          </cell>
          <cell r="AR318">
            <v>0</v>
          </cell>
          <cell r="AS318" t="str">
            <v>Ы</v>
          </cell>
          <cell r="AT318" t="str">
            <v>Ы</v>
          </cell>
          <cell r="AU318">
            <v>0</v>
          </cell>
          <cell r="AV318">
            <v>0</v>
          </cell>
          <cell r="AW318">
            <v>23</v>
          </cell>
          <cell r="AX318">
            <v>1</v>
          </cell>
          <cell r="AY318">
            <v>0</v>
          </cell>
          <cell r="AZ318">
            <v>0</v>
          </cell>
          <cell r="BA318">
            <v>0</v>
          </cell>
          <cell r="BB318">
            <v>0</v>
          </cell>
          <cell r="BC318">
            <v>38828</v>
          </cell>
        </row>
        <row r="319">
          <cell r="A319">
            <v>2006</v>
          </cell>
          <cell r="B319">
            <v>3</v>
          </cell>
          <cell r="C319">
            <v>202</v>
          </cell>
          <cell r="D319">
            <v>21</v>
          </cell>
          <cell r="E319">
            <v>792030</v>
          </cell>
          <cell r="F319">
            <v>0</v>
          </cell>
          <cell r="G319" t="str">
            <v>Затраты по ШПЗ (неосновные)</v>
          </cell>
          <cell r="H319">
            <v>2030</v>
          </cell>
          <cell r="I319">
            <v>7920</v>
          </cell>
          <cell r="J319">
            <v>123.84</v>
          </cell>
          <cell r="K319">
            <v>1</v>
          </cell>
          <cell r="L319">
            <v>0</v>
          </cell>
          <cell r="M319">
            <v>0</v>
          </cell>
          <cell r="N319">
            <v>0</v>
          </cell>
          <cell r="R319">
            <v>0</v>
          </cell>
          <cell r="S319">
            <v>0</v>
          </cell>
          <cell r="T319">
            <v>0</v>
          </cell>
          <cell r="U319">
            <v>42</v>
          </cell>
          <cell r="V319">
            <v>0</v>
          </cell>
          <cell r="W319">
            <v>0</v>
          </cell>
          <cell r="AA319">
            <v>0</v>
          </cell>
          <cell r="AB319">
            <v>0</v>
          </cell>
          <cell r="AC319">
            <v>0</v>
          </cell>
          <cell r="AD319">
            <v>42</v>
          </cell>
          <cell r="AE319">
            <v>510100</v>
          </cell>
          <cell r="AF319">
            <v>0</v>
          </cell>
          <cell r="AI319">
            <v>2282</v>
          </cell>
          <cell r="AK319">
            <v>0</v>
          </cell>
          <cell r="AM319">
            <v>359</v>
          </cell>
          <cell r="AN319">
            <v>1</v>
          </cell>
          <cell r="AO319">
            <v>393216</v>
          </cell>
          <cell r="AQ319">
            <v>0</v>
          </cell>
          <cell r="AR319">
            <v>0</v>
          </cell>
          <cell r="AS319" t="str">
            <v>Ы</v>
          </cell>
          <cell r="AT319" t="str">
            <v>Ы</v>
          </cell>
          <cell r="AU319">
            <v>0</v>
          </cell>
          <cell r="AV319">
            <v>0</v>
          </cell>
          <cell r="AW319">
            <v>23</v>
          </cell>
          <cell r="AX319">
            <v>1</v>
          </cell>
          <cell r="AY319">
            <v>0</v>
          </cell>
          <cell r="AZ319">
            <v>0</v>
          </cell>
          <cell r="BA319">
            <v>0</v>
          </cell>
          <cell r="BB319">
            <v>0</v>
          </cell>
          <cell r="BC319">
            <v>38828</v>
          </cell>
        </row>
        <row r="320">
          <cell r="A320">
            <v>2006</v>
          </cell>
          <cell r="B320">
            <v>3</v>
          </cell>
          <cell r="C320">
            <v>203</v>
          </cell>
          <cell r="D320">
            <v>21</v>
          </cell>
          <cell r="E320">
            <v>792030</v>
          </cell>
          <cell r="F320">
            <v>0</v>
          </cell>
          <cell r="G320" t="str">
            <v>Затраты по ШПЗ (неосновные)</v>
          </cell>
          <cell r="H320">
            <v>2030</v>
          </cell>
          <cell r="I320">
            <v>7920</v>
          </cell>
          <cell r="J320">
            <v>0.28000000000000003</v>
          </cell>
          <cell r="K320">
            <v>1</v>
          </cell>
          <cell r="L320">
            <v>0</v>
          </cell>
          <cell r="M320">
            <v>0</v>
          </cell>
          <cell r="N320">
            <v>0</v>
          </cell>
          <cell r="R320">
            <v>0</v>
          </cell>
          <cell r="S320">
            <v>0</v>
          </cell>
          <cell r="T320">
            <v>0</v>
          </cell>
          <cell r="U320">
            <v>42</v>
          </cell>
          <cell r="V320">
            <v>0</v>
          </cell>
          <cell r="W320">
            <v>0</v>
          </cell>
          <cell r="AA320">
            <v>0</v>
          </cell>
          <cell r="AB320">
            <v>0</v>
          </cell>
          <cell r="AC320">
            <v>0</v>
          </cell>
          <cell r="AD320">
            <v>42</v>
          </cell>
          <cell r="AE320">
            <v>510200</v>
          </cell>
          <cell r="AF320">
            <v>0</v>
          </cell>
          <cell r="AI320">
            <v>2282</v>
          </cell>
          <cell r="AK320">
            <v>0</v>
          </cell>
          <cell r="AM320">
            <v>360</v>
          </cell>
          <cell r="AN320">
            <v>1</v>
          </cell>
          <cell r="AO320">
            <v>393216</v>
          </cell>
          <cell r="AQ320">
            <v>0</v>
          </cell>
          <cell r="AR320">
            <v>0</v>
          </cell>
          <cell r="AS320" t="str">
            <v>Ы</v>
          </cell>
          <cell r="AT320" t="str">
            <v>Ы</v>
          </cell>
          <cell r="AU320">
            <v>0</v>
          </cell>
          <cell r="AV320">
            <v>0</v>
          </cell>
          <cell r="AW320">
            <v>23</v>
          </cell>
          <cell r="AX320">
            <v>1</v>
          </cell>
          <cell r="AY320">
            <v>0</v>
          </cell>
          <cell r="AZ320">
            <v>0</v>
          </cell>
          <cell r="BA320">
            <v>0</v>
          </cell>
          <cell r="BB320">
            <v>0</v>
          </cell>
          <cell r="BC320">
            <v>38828</v>
          </cell>
        </row>
        <row r="321">
          <cell r="A321">
            <v>2006</v>
          </cell>
          <cell r="B321">
            <v>3</v>
          </cell>
          <cell r="C321">
            <v>204</v>
          </cell>
          <cell r="D321">
            <v>21</v>
          </cell>
          <cell r="E321">
            <v>792030</v>
          </cell>
          <cell r="F321">
            <v>0</v>
          </cell>
          <cell r="G321" t="str">
            <v>Затраты по ШПЗ (неосновные)</v>
          </cell>
          <cell r="H321">
            <v>2030</v>
          </cell>
          <cell r="I321">
            <v>7920</v>
          </cell>
          <cell r="J321">
            <v>-35.94</v>
          </cell>
          <cell r="K321">
            <v>1</v>
          </cell>
          <cell r="L321">
            <v>0</v>
          </cell>
          <cell r="M321">
            <v>0</v>
          </cell>
          <cell r="N321">
            <v>0</v>
          </cell>
          <cell r="R321">
            <v>0</v>
          </cell>
          <cell r="S321">
            <v>0</v>
          </cell>
          <cell r="T321">
            <v>0</v>
          </cell>
          <cell r="U321">
            <v>42</v>
          </cell>
          <cell r="V321">
            <v>0</v>
          </cell>
          <cell r="W321">
            <v>0</v>
          </cell>
          <cell r="AA321">
            <v>0</v>
          </cell>
          <cell r="AB321">
            <v>0</v>
          </cell>
          <cell r="AC321">
            <v>0</v>
          </cell>
          <cell r="AD321">
            <v>42</v>
          </cell>
          <cell r="AE321">
            <v>510300</v>
          </cell>
          <cell r="AF321">
            <v>0</v>
          </cell>
          <cell r="AI321">
            <v>2282</v>
          </cell>
          <cell r="AK321">
            <v>0</v>
          </cell>
          <cell r="AM321">
            <v>361</v>
          </cell>
          <cell r="AN321">
            <v>1</v>
          </cell>
          <cell r="AO321">
            <v>393216</v>
          </cell>
          <cell r="AQ321">
            <v>0</v>
          </cell>
          <cell r="AR321">
            <v>0</v>
          </cell>
          <cell r="AS321" t="str">
            <v>Ы</v>
          </cell>
          <cell r="AT321" t="str">
            <v>Ы</v>
          </cell>
          <cell r="AU321">
            <v>0</v>
          </cell>
          <cell r="AV321">
            <v>0</v>
          </cell>
          <cell r="AW321">
            <v>23</v>
          </cell>
          <cell r="AX321">
            <v>1</v>
          </cell>
          <cell r="AY321">
            <v>0</v>
          </cell>
          <cell r="AZ321">
            <v>0</v>
          </cell>
          <cell r="BA321">
            <v>0</v>
          </cell>
          <cell r="BB321">
            <v>0</v>
          </cell>
          <cell r="BC321">
            <v>38828</v>
          </cell>
        </row>
        <row r="322">
          <cell r="A322">
            <v>2006</v>
          </cell>
          <cell r="B322">
            <v>3</v>
          </cell>
          <cell r="C322">
            <v>205</v>
          </cell>
          <cell r="D322">
            <v>21</v>
          </cell>
          <cell r="E322">
            <v>792030</v>
          </cell>
          <cell r="F322">
            <v>0</v>
          </cell>
          <cell r="G322" t="str">
            <v>Затраты по ШПЗ (неосновные)</v>
          </cell>
          <cell r="H322">
            <v>2030</v>
          </cell>
          <cell r="I322">
            <v>7920</v>
          </cell>
          <cell r="J322">
            <v>1.83</v>
          </cell>
          <cell r="K322">
            <v>1</v>
          </cell>
          <cell r="L322">
            <v>0</v>
          </cell>
          <cell r="M322">
            <v>0</v>
          </cell>
          <cell r="N322">
            <v>0</v>
          </cell>
          <cell r="R322">
            <v>0</v>
          </cell>
          <cell r="S322">
            <v>0</v>
          </cell>
          <cell r="T322">
            <v>0</v>
          </cell>
          <cell r="U322">
            <v>42</v>
          </cell>
          <cell r="V322">
            <v>0</v>
          </cell>
          <cell r="W322">
            <v>0</v>
          </cell>
          <cell r="AA322">
            <v>0</v>
          </cell>
          <cell r="AB322">
            <v>0</v>
          </cell>
          <cell r="AC322">
            <v>0</v>
          </cell>
          <cell r="AD322">
            <v>42</v>
          </cell>
          <cell r="AE322">
            <v>510400</v>
          </cell>
          <cell r="AF322">
            <v>0</v>
          </cell>
          <cell r="AI322">
            <v>2282</v>
          </cell>
          <cell r="AK322">
            <v>0</v>
          </cell>
          <cell r="AM322">
            <v>362</v>
          </cell>
          <cell r="AN322">
            <v>1</v>
          </cell>
          <cell r="AO322">
            <v>393216</v>
          </cell>
          <cell r="AQ322">
            <v>0</v>
          </cell>
          <cell r="AR322">
            <v>0</v>
          </cell>
          <cell r="AS322" t="str">
            <v>Ы</v>
          </cell>
          <cell r="AT322" t="str">
            <v>Ы</v>
          </cell>
          <cell r="AU322">
            <v>0</v>
          </cell>
          <cell r="AV322">
            <v>0</v>
          </cell>
          <cell r="AW322">
            <v>23</v>
          </cell>
          <cell r="AX322">
            <v>1</v>
          </cell>
          <cell r="AY322">
            <v>0</v>
          </cell>
          <cell r="AZ322">
            <v>0</v>
          </cell>
          <cell r="BA322">
            <v>0</v>
          </cell>
          <cell r="BB322">
            <v>0</v>
          </cell>
          <cell r="BC322">
            <v>38828</v>
          </cell>
        </row>
        <row r="323">
          <cell r="A323">
            <v>2006</v>
          </cell>
          <cell r="B323">
            <v>3</v>
          </cell>
          <cell r="C323">
            <v>206</v>
          </cell>
          <cell r="D323">
            <v>21</v>
          </cell>
          <cell r="E323">
            <v>792030</v>
          </cell>
          <cell r="F323">
            <v>0</v>
          </cell>
          <cell r="G323" t="str">
            <v>Затраты по ШПЗ (неосновные)</v>
          </cell>
          <cell r="H323">
            <v>2030</v>
          </cell>
          <cell r="I323">
            <v>7920</v>
          </cell>
          <cell r="J323">
            <v>1.31</v>
          </cell>
          <cell r="K323">
            <v>1</v>
          </cell>
          <cell r="L323">
            <v>0</v>
          </cell>
          <cell r="M323">
            <v>0</v>
          </cell>
          <cell r="N323">
            <v>0</v>
          </cell>
          <cell r="R323">
            <v>0</v>
          </cell>
          <cell r="S323">
            <v>0</v>
          </cell>
          <cell r="T323">
            <v>0</v>
          </cell>
          <cell r="U323">
            <v>42</v>
          </cell>
          <cell r="V323">
            <v>0</v>
          </cell>
          <cell r="W323">
            <v>0</v>
          </cell>
          <cell r="AA323">
            <v>0</v>
          </cell>
          <cell r="AB323">
            <v>0</v>
          </cell>
          <cell r="AC323">
            <v>0</v>
          </cell>
          <cell r="AD323">
            <v>42</v>
          </cell>
          <cell r="AE323">
            <v>510500</v>
          </cell>
          <cell r="AF323">
            <v>0</v>
          </cell>
          <cell r="AI323">
            <v>2282</v>
          </cell>
          <cell r="AK323">
            <v>0</v>
          </cell>
          <cell r="AM323">
            <v>363</v>
          </cell>
          <cell r="AN323">
            <v>1</v>
          </cell>
          <cell r="AO323">
            <v>393216</v>
          </cell>
          <cell r="AQ323">
            <v>0</v>
          </cell>
          <cell r="AR323">
            <v>0</v>
          </cell>
          <cell r="AS323" t="str">
            <v>Ы</v>
          </cell>
          <cell r="AT323" t="str">
            <v>Ы</v>
          </cell>
          <cell r="AU323">
            <v>0</v>
          </cell>
          <cell r="AV323">
            <v>0</v>
          </cell>
          <cell r="AW323">
            <v>23</v>
          </cell>
          <cell r="AX323">
            <v>1</v>
          </cell>
          <cell r="AY323">
            <v>0</v>
          </cell>
          <cell r="AZ323">
            <v>0</v>
          </cell>
          <cell r="BA323">
            <v>0</v>
          </cell>
          <cell r="BB323">
            <v>0</v>
          </cell>
          <cell r="BC323">
            <v>38828</v>
          </cell>
        </row>
        <row r="324">
          <cell r="A324">
            <v>2006</v>
          </cell>
          <cell r="B324">
            <v>3</v>
          </cell>
          <cell r="C324">
            <v>207</v>
          </cell>
          <cell r="D324">
            <v>21</v>
          </cell>
          <cell r="E324">
            <v>792030</v>
          </cell>
          <cell r="F324">
            <v>0</v>
          </cell>
          <cell r="G324" t="str">
            <v>Затраты по ШПЗ (неосновные)</v>
          </cell>
          <cell r="H324">
            <v>2030</v>
          </cell>
          <cell r="I324">
            <v>7920</v>
          </cell>
          <cell r="J324">
            <v>54.03</v>
          </cell>
          <cell r="K324">
            <v>1</v>
          </cell>
          <cell r="L324">
            <v>0</v>
          </cell>
          <cell r="M324">
            <v>0</v>
          </cell>
          <cell r="N324">
            <v>0</v>
          </cell>
          <cell r="R324">
            <v>0</v>
          </cell>
          <cell r="S324">
            <v>0</v>
          </cell>
          <cell r="T324">
            <v>0</v>
          </cell>
          <cell r="U324">
            <v>42</v>
          </cell>
          <cell r="V324">
            <v>0</v>
          </cell>
          <cell r="W324">
            <v>0</v>
          </cell>
          <cell r="AA324">
            <v>0</v>
          </cell>
          <cell r="AB324">
            <v>0</v>
          </cell>
          <cell r="AC324">
            <v>0</v>
          </cell>
          <cell r="AD324">
            <v>42</v>
          </cell>
          <cell r="AE324">
            <v>510600</v>
          </cell>
          <cell r="AF324">
            <v>0</v>
          </cell>
          <cell r="AI324">
            <v>2282</v>
          </cell>
          <cell r="AK324">
            <v>0</v>
          </cell>
          <cell r="AM324">
            <v>364</v>
          </cell>
          <cell r="AN324">
            <v>1</v>
          </cell>
          <cell r="AO324">
            <v>393216</v>
          </cell>
          <cell r="AQ324">
            <v>0</v>
          </cell>
          <cell r="AR324">
            <v>0</v>
          </cell>
          <cell r="AS324" t="str">
            <v>Ы</v>
          </cell>
          <cell r="AT324" t="str">
            <v>Ы</v>
          </cell>
          <cell r="AU324">
            <v>0</v>
          </cell>
          <cell r="AV324">
            <v>0</v>
          </cell>
          <cell r="AW324">
            <v>23</v>
          </cell>
          <cell r="AX324">
            <v>1</v>
          </cell>
          <cell r="AY324">
            <v>0</v>
          </cell>
          <cell r="AZ324">
            <v>0</v>
          </cell>
          <cell r="BA324">
            <v>0</v>
          </cell>
          <cell r="BB324">
            <v>0</v>
          </cell>
          <cell r="BC324">
            <v>38828</v>
          </cell>
        </row>
        <row r="325">
          <cell r="A325">
            <v>2006</v>
          </cell>
          <cell r="B325">
            <v>3</v>
          </cell>
          <cell r="C325">
            <v>208</v>
          </cell>
          <cell r="D325">
            <v>21</v>
          </cell>
          <cell r="E325">
            <v>792030</v>
          </cell>
          <cell r="F325">
            <v>0</v>
          </cell>
          <cell r="G325" t="str">
            <v>Затраты по ШПЗ (неосновные)</v>
          </cell>
          <cell r="H325">
            <v>2030</v>
          </cell>
          <cell r="I325">
            <v>7920</v>
          </cell>
          <cell r="J325">
            <v>0.47</v>
          </cell>
          <cell r="K325">
            <v>1</v>
          </cell>
          <cell r="L325">
            <v>0</v>
          </cell>
          <cell r="M325">
            <v>0</v>
          </cell>
          <cell r="N325">
            <v>0</v>
          </cell>
          <cell r="R325">
            <v>0</v>
          </cell>
          <cell r="S325">
            <v>0</v>
          </cell>
          <cell r="T325">
            <v>0</v>
          </cell>
          <cell r="U325">
            <v>42</v>
          </cell>
          <cell r="V325">
            <v>0</v>
          </cell>
          <cell r="W325">
            <v>0</v>
          </cell>
          <cell r="AA325">
            <v>0</v>
          </cell>
          <cell r="AB325">
            <v>0</v>
          </cell>
          <cell r="AC325">
            <v>0</v>
          </cell>
          <cell r="AD325">
            <v>42</v>
          </cell>
          <cell r="AE325">
            <v>510630</v>
          </cell>
          <cell r="AF325">
            <v>0</v>
          </cell>
          <cell r="AI325">
            <v>2282</v>
          </cell>
          <cell r="AK325">
            <v>0</v>
          </cell>
          <cell r="AM325">
            <v>365</v>
          </cell>
          <cell r="AN325">
            <v>1</v>
          </cell>
          <cell r="AO325">
            <v>393216</v>
          </cell>
          <cell r="AQ325">
            <v>0</v>
          </cell>
          <cell r="AR325">
            <v>0</v>
          </cell>
          <cell r="AS325" t="str">
            <v>Ы</v>
          </cell>
          <cell r="AT325" t="str">
            <v>Ы</v>
          </cell>
          <cell r="AU325">
            <v>0</v>
          </cell>
          <cell r="AV325">
            <v>0</v>
          </cell>
          <cell r="AW325">
            <v>23</v>
          </cell>
          <cell r="AX325">
            <v>1</v>
          </cell>
          <cell r="AY325">
            <v>0</v>
          </cell>
          <cell r="AZ325">
            <v>0</v>
          </cell>
          <cell r="BA325">
            <v>0</v>
          </cell>
          <cell r="BB325">
            <v>0</v>
          </cell>
          <cell r="BC325">
            <v>38828</v>
          </cell>
        </row>
        <row r="326">
          <cell r="A326">
            <v>2006</v>
          </cell>
          <cell r="B326">
            <v>3</v>
          </cell>
          <cell r="C326">
            <v>268</v>
          </cell>
          <cell r="D326">
            <v>21</v>
          </cell>
          <cell r="E326">
            <v>792030</v>
          </cell>
          <cell r="F326">
            <v>0</v>
          </cell>
          <cell r="G326" t="str">
            <v>Затраты по ШПЗ (неосновные)</v>
          </cell>
          <cell r="H326">
            <v>2030</v>
          </cell>
          <cell r="I326">
            <v>7920</v>
          </cell>
          <cell r="J326">
            <v>2000</v>
          </cell>
          <cell r="K326">
            <v>1</v>
          </cell>
          <cell r="L326">
            <v>0</v>
          </cell>
          <cell r="M326">
            <v>0</v>
          </cell>
          <cell r="N326">
            <v>0</v>
          </cell>
          <cell r="R326">
            <v>0</v>
          </cell>
          <cell r="S326">
            <v>0</v>
          </cell>
          <cell r="T326">
            <v>0</v>
          </cell>
          <cell r="U326">
            <v>31</v>
          </cell>
          <cell r="V326">
            <v>0</v>
          </cell>
          <cell r="W326">
            <v>0</v>
          </cell>
          <cell r="AA326">
            <v>0</v>
          </cell>
          <cell r="AB326">
            <v>0</v>
          </cell>
          <cell r="AC326">
            <v>0</v>
          </cell>
          <cell r="AD326">
            <v>31</v>
          </cell>
          <cell r="AE326">
            <v>110000</v>
          </cell>
          <cell r="AF326">
            <v>0</v>
          </cell>
          <cell r="AI326">
            <v>2282</v>
          </cell>
          <cell r="AK326">
            <v>0</v>
          </cell>
          <cell r="AM326">
            <v>425</v>
          </cell>
          <cell r="AN326">
            <v>1</v>
          </cell>
          <cell r="AO326">
            <v>393216</v>
          </cell>
          <cell r="AQ326">
            <v>0</v>
          </cell>
          <cell r="AR326">
            <v>0</v>
          </cell>
          <cell r="AS326" t="str">
            <v>Ы</v>
          </cell>
          <cell r="AT326" t="str">
            <v>Ы</v>
          </cell>
          <cell r="AU326">
            <v>0</v>
          </cell>
          <cell r="AV326">
            <v>0</v>
          </cell>
          <cell r="AW326">
            <v>23</v>
          </cell>
          <cell r="AX326">
            <v>1</v>
          </cell>
          <cell r="AY326">
            <v>0</v>
          </cell>
          <cell r="AZ326">
            <v>0</v>
          </cell>
          <cell r="BA326">
            <v>0</v>
          </cell>
          <cell r="BB326">
            <v>0</v>
          </cell>
          <cell r="BC326">
            <v>38828</v>
          </cell>
        </row>
        <row r="327">
          <cell r="A327">
            <v>2006</v>
          </cell>
          <cell r="B327">
            <v>3</v>
          </cell>
          <cell r="C327">
            <v>269</v>
          </cell>
          <cell r="D327">
            <v>21</v>
          </cell>
          <cell r="E327">
            <v>792030</v>
          </cell>
          <cell r="F327">
            <v>0</v>
          </cell>
          <cell r="G327" t="str">
            <v>Затраты по ШПЗ (неосновные)</v>
          </cell>
          <cell r="H327">
            <v>2030</v>
          </cell>
          <cell r="I327">
            <v>7920</v>
          </cell>
          <cell r="J327">
            <v>1000</v>
          </cell>
          <cell r="K327">
            <v>1</v>
          </cell>
          <cell r="L327">
            <v>0</v>
          </cell>
          <cell r="M327">
            <v>0</v>
          </cell>
          <cell r="N327">
            <v>0</v>
          </cell>
          <cell r="R327">
            <v>0</v>
          </cell>
          <cell r="S327">
            <v>0</v>
          </cell>
          <cell r="T327">
            <v>0</v>
          </cell>
          <cell r="U327">
            <v>31</v>
          </cell>
          <cell r="V327">
            <v>0</v>
          </cell>
          <cell r="W327">
            <v>0</v>
          </cell>
          <cell r="AA327">
            <v>0</v>
          </cell>
          <cell r="AB327">
            <v>0</v>
          </cell>
          <cell r="AC327">
            <v>0</v>
          </cell>
          <cell r="AD327">
            <v>31</v>
          </cell>
          <cell r="AE327">
            <v>114020</v>
          </cell>
          <cell r="AF327">
            <v>0</v>
          </cell>
          <cell r="AI327">
            <v>2282</v>
          </cell>
          <cell r="AK327">
            <v>0</v>
          </cell>
          <cell r="AM327">
            <v>426</v>
          </cell>
          <cell r="AN327">
            <v>1</v>
          </cell>
          <cell r="AO327">
            <v>393216</v>
          </cell>
          <cell r="AQ327">
            <v>0</v>
          </cell>
          <cell r="AR327">
            <v>0</v>
          </cell>
          <cell r="AS327" t="str">
            <v>Ы</v>
          </cell>
          <cell r="AT327" t="str">
            <v>Ы</v>
          </cell>
          <cell r="AU327">
            <v>0</v>
          </cell>
          <cell r="AV327">
            <v>0</v>
          </cell>
          <cell r="AW327">
            <v>23</v>
          </cell>
          <cell r="AX327">
            <v>1</v>
          </cell>
          <cell r="AY327">
            <v>0</v>
          </cell>
          <cell r="AZ327">
            <v>0</v>
          </cell>
          <cell r="BA327">
            <v>0</v>
          </cell>
          <cell r="BB327">
            <v>0</v>
          </cell>
          <cell r="BC327">
            <v>38828</v>
          </cell>
        </row>
        <row r="328">
          <cell r="A328">
            <v>2006</v>
          </cell>
          <cell r="B328">
            <v>3</v>
          </cell>
          <cell r="C328">
            <v>270</v>
          </cell>
          <cell r="D328">
            <v>21</v>
          </cell>
          <cell r="E328">
            <v>792030</v>
          </cell>
          <cell r="F328">
            <v>0</v>
          </cell>
          <cell r="G328" t="str">
            <v>Затраты по ШПЗ (неосновные)</v>
          </cell>
          <cell r="H328">
            <v>2030</v>
          </cell>
          <cell r="I328">
            <v>7920</v>
          </cell>
          <cell r="J328">
            <v>1000</v>
          </cell>
          <cell r="K328">
            <v>1</v>
          </cell>
          <cell r="L328">
            <v>0</v>
          </cell>
          <cell r="M328">
            <v>0</v>
          </cell>
          <cell r="N328">
            <v>0</v>
          </cell>
          <cell r="R328">
            <v>0</v>
          </cell>
          <cell r="S328">
            <v>0</v>
          </cell>
          <cell r="T328">
            <v>0</v>
          </cell>
          <cell r="U328">
            <v>31</v>
          </cell>
          <cell r="V328">
            <v>0</v>
          </cell>
          <cell r="W328">
            <v>0</v>
          </cell>
          <cell r="AA328">
            <v>0</v>
          </cell>
          <cell r="AB328">
            <v>0</v>
          </cell>
          <cell r="AC328">
            <v>0</v>
          </cell>
          <cell r="AD328">
            <v>31</v>
          </cell>
          <cell r="AE328">
            <v>135000</v>
          </cell>
          <cell r="AF328">
            <v>0</v>
          </cell>
          <cell r="AI328">
            <v>2282</v>
          </cell>
          <cell r="AK328">
            <v>0</v>
          </cell>
          <cell r="AM328">
            <v>427</v>
          </cell>
          <cell r="AN328">
            <v>1</v>
          </cell>
          <cell r="AO328">
            <v>393216</v>
          </cell>
          <cell r="AQ328">
            <v>0</v>
          </cell>
          <cell r="AR328">
            <v>0</v>
          </cell>
          <cell r="AS328" t="str">
            <v>Ы</v>
          </cell>
          <cell r="AT328" t="str">
            <v>Ы</v>
          </cell>
          <cell r="AU328">
            <v>0</v>
          </cell>
          <cell r="AV328">
            <v>0</v>
          </cell>
          <cell r="AW328">
            <v>23</v>
          </cell>
          <cell r="AX328">
            <v>1</v>
          </cell>
          <cell r="AY328">
            <v>0</v>
          </cell>
          <cell r="AZ328">
            <v>0</v>
          </cell>
          <cell r="BA328">
            <v>0</v>
          </cell>
          <cell r="BB328">
            <v>0</v>
          </cell>
          <cell r="BC328">
            <v>38828</v>
          </cell>
        </row>
        <row r="329">
          <cell r="A329">
            <v>2006</v>
          </cell>
          <cell r="B329">
            <v>3</v>
          </cell>
          <cell r="C329">
            <v>271</v>
          </cell>
          <cell r="D329">
            <v>21</v>
          </cell>
          <cell r="E329">
            <v>792030</v>
          </cell>
          <cell r="F329">
            <v>0</v>
          </cell>
          <cell r="G329" t="str">
            <v>Затраты по ШПЗ (неосновные)</v>
          </cell>
          <cell r="H329">
            <v>2030</v>
          </cell>
          <cell r="I329">
            <v>7920</v>
          </cell>
          <cell r="J329">
            <v>48000</v>
          </cell>
          <cell r="K329">
            <v>1</v>
          </cell>
          <cell r="L329">
            <v>0</v>
          </cell>
          <cell r="M329">
            <v>0</v>
          </cell>
          <cell r="N329">
            <v>0</v>
          </cell>
          <cell r="R329">
            <v>0</v>
          </cell>
          <cell r="S329">
            <v>0</v>
          </cell>
          <cell r="T329">
            <v>0</v>
          </cell>
          <cell r="U329">
            <v>31</v>
          </cell>
          <cell r="V329">
            <v>0</v>
          </cell>
          <cell r="W329">
            <v>0</v>
          </cell>
          <cell r="AA329">
            <v>0</v>
          </cell>
          <cell r="AB329">
            <v>0</v>
          </cell>
          <cell r="AC329">
            <v>0</v>
          </cell>
          <cell r="AD329">
            <v>31</v>
          </cell>
          <cell r="AE329">
            <v>151000</v>
          </cell>
          <cell r="AF329">
            <v>0</v>
          </cell>
          <cell r="AI329">
            <v>2282</v>
          </cell>
          <cell r="AK329">
            <v>0</v>
          </cell>
          <cell r="AM329">
            <v>428</v>
          </cell>
          <cell r="AN329">
            <v>1</v>
          </cell>
          <cell r="AO329">
            <v>393216</v>
          </cell>
          <cell r="AQ329">
            <v>0</v>
          </cell>
          <cell r="AR329">
            <v>0</v>
          </cell>
          <cell r="AS329" t="str">
            <v>Ы</v>
          </cell>
          <cell r="AT329" t="str">
            <v>Ы</v>
          </cell>
          <cell r="AU329">
            <v>0</v>
          </cell>
          <cell r="AV329">
            <v>0</v>
          </cell>
          <cell r="AW329">
            <v>23</v>
          </cell>
          <cell r="AX329">
            <v>1</v>
          </cell>
          <cell r="AY329">
            <v>0</v>
          </cell>
          <cell r="AZ329">
            <v>0</v>
          </cell>
          <cell r="BA329">
            <v>0</v>
          </cell>
          <cell r="BB329">
            <v>0</v>
          </cell>
          <cell r="BC329">
            <v>38828</v>
          </cell>
        </row>
        <row r="330">
          <cell r="A330">
            <v>2006</v>
          </cell>
          <cell r="B330">
            <v>3</v>
          </cell>
          <cell r="C330">
            <v>272</v>
          </cell>
          <cell r="D330">
            <v>21</v>
          </cell>
          <cell r="E330">
            <v>792030</v>
          </cell>
          <cell r="F330">
            <v>0</v>
          </cell>
          <cell r="G330" t="str">
            <v>Затраты по ШПЗ (неосновные)</v>
          </cell>
          <cell r="H330">
            <v>2030</v>
          </cell>
          <cell r="I330">
            <v>7920</v>
          </cell>
          <cell r="J330">
            <v>22000</v>
          </cell>
          <cell r="K330">
            <v>1</v>
          </cell>
          <cell r="L330">
            <v>0</v>
          </cell>
          <cell r="M330">
            <v>0</v>
          </cell>
          <cell r="N330">
            <v>0</v>
          </cell>
          <cell r="R330">
            <v>0</v>
          </cell>
          <cell r="S330">
            <v>0</v>
          </cell>
          <cell r="T330">
            <v>0</v>
          </cell>
          <cell r="U330">
            <v>31</v>
          </cell>
          <cell r="V330">
            <v>0</v>
          </cell>
          <cell r="W330">
            <v>0</v>
          </cell>
          <cell r="AA330">
            <v>0</v>
          </cell>
          <cell r="AB330">
            <v>0</v>
          </cell>
          <cell r="AC330">
            <v>0</v>
          </cell>
          <cell r="AD330">
            <v>31</v>
          </cell>
          <cell r="AE330">
            <v>152000</v>
          </cell>
          <cell r="AF330">
            <v>0</v>
          </cell>
          <cell r="AI330">
            <v>2282</v>
          </cell>
          <cell r="AK330">
            <v>0</v>
          </cell>
          <cell r="AM330">
            <v>429</v>
          </cell>
          <cell r="AN330">
            <v>1</v>
          </cell>
          <cell r="AO330">
            <v>393216</v>
          </cell>
          <cell r="AQ330">
            <v>0</v>
          </cell>
          <cell r="AR330">
            <v>0</v>
          </cell>
          <cell r="AS330" t="str">
            <v>Ы</v>
          </cell>
          <cell r="AT330" t="str">
            <v>Ы</v>
          </cell>
          <cell r="AU330">
            <v>0</v>
          </cell>
          <cell r="AV330">
            <v>0</v>
          </cell>
          <cell r="AW330">
            <v>23</v>
          </cell>
          <cell r="AX330">
            <v>1</v>
          </cell>
          <cell r="AY330">
            <v>0</v>
          </cell>
          <cell r="AZ330">
            <v>0</v>
          </cell>
          <cell r="BA330">
            <v>0</v>
          </cell>
          <cell r="BB330">
            <v>0</v>
          </cell>
          <cell r="BC330">
            <v>38828</v>
          </cell>
        </row>
        <row r="331">
          <cell r="A331">
            <v>2006</v>
          </cell>
          <cell r="B331">
            <v>3</v>
          </cell>
          <cell r="C331">
            <v>273</v>
          </cell>
          <cell r="D331">
            <v>21</v>
          </cell>
          <cell r="E331">
            <v>792030</v>
          </cell>
          <cell r="F331">
            <v>0</v>
          </cell>
          <cell r="G331" t="str">
            <v>Затраты по ШПЗ (неосновные)</v>
          </cell>
          <cell r="H331">
            <v>2030</v>
          </cell>
          <cell r="I331">
            <v>7920</v>
          </cell>
          <cell r="J331">
            <v>559000</v>
          </cell>
          <cell r="K331">
            <v>1</v>
          </cell>
          <cell r="L331">
            <v>0</v>
          </cell>
          <cell r="M331">
            <v>0</v>
          </cell>
          <cell r="N331">
            <v>0</v>
          </cell>
          <cell r="R331">
            <v>0</v>
          </cell>
          <cell r="S331">
            <v>0</v>
          </cell>
          <cell r="T331">
            <v>0</v>
          </cell>
          <cell r="U331">
            <v>31</v>
          </cell>
          <cell r="V331">
            <v>0</v>
          </cell>
          <cell r="W331">
            <v>0</v>
          </cell>
          <cell r="AA331">
            <v>0</v>
          </cell>
          <cell r="AB331">
            <v>0</v>
          </cell>
          <cell r="AC331">
            <v>0</v>
          </cell>
          <cell r="AD331">
            <v>31</v>
          </cell>
          <cell r="AE331">
            <v>240000</v>
          </cell>
          <cell r="AF331">
            <v>0</v>
          </cell>
          <cell r="AI331">
            <v>2282</v>
          </cell>
          <cell r="AK331">
            <v>0</v>
          </cell>
          <cell r="AM331">
            <v>430</v>
          </cell>
          <cell r="AN331">
            <v>1</v>
          </cell>
          <cell r="AO331">
            <v>393216</v>
          </cell>
          <cell r="AQ331">
            <v>0</v>
          </cell>
          <cell r="AR331">
            <v>0</v>
          </cell>
          <cell r="AS331" t="str">
            <v>Ы</v>
          </cell>
          <cell r="AT331" t="str">
            <v>Ы</v>
          </cell>
          <cell r="AU331">
            <v>0</v>
          </cell>
          <cell r="AV331">
            <v>0</v>
          </cell>
          <cell r="AW331">
            <v>23</v>
          </cell>
          <cell r="AX331">
            <v>1</v>
          </cell>
          <cell r="AY331">
            <v>0</v>
          </cell>
          <cell r="AZ331">
            <v>0</v>
          </cell>
          <cell r="BA331">
            <v>0</v>
          </cell>
          <cell r="BB331">
            <v>0</v>
          </cell>
          <cell r="BC331">
            <v>38828</v>
          </cell>
        </row>
        <row r="332">
          <cell r="A332">
            <v>2006</v>
          </cell>
          <cell r="B332">
            <v>3</v>
          </cell>
          <cell r="C332">
            <v>274</v>
          </cell>
          <cell r="D332">
            <v>21</v>
          </cell>
          <cell r="E332">
            <v>792030</v>
          </cell>
          <cell r="F332">
            <v>0</v>
          </cell>
          <cell r="G332" t="str">
            <v>Затраты по ШПЗ (неосновные)</v>
          </cell>
          <cell r="H332">
            <v>2030</v>
          </cell>
          <cell r="I332">
            <v>7920</v>
          </cell>
          <cell r="J332">
            <v>4279.7</v>
          </cell>
          <cell r="K332">
            <v>1</v>
          </cell>
          <cell r="L332">
            <v>0</v>
          </cell>
          <cell r="M332">
            <v>0</v>
          </cell>
          <cell r="N332">
            <v>0</v>
          </cell>
          <cell r="R332">
            <v>0</v>
          </cell>
          <cell r="S332">
            <v>0</v>
          </cell>
          <cell r="T332">
            <v>0</v>
          </cell>
          <cell r="U332">
            <v>31</v>
          </cell>
          <cell r="V332">
            <v>0</v>
          </cell>
          <cell r="W332">
            <v>0</v>
          </cell>
          <cell r="AA332">
            <v>0</v>
          </cell>
          <cell r="AB332">
            <v>0</v>
          </cell>
          <cell r="AC332">
            <v>0</v>
          </cell>
          <cell r="AD332">
            <v>31</v>
          </cell>
          <cell r="AE332">
            <v>311000</v>
          </cell>
          <cell r="AF332">
            <v>0</v>
          </cell>
          <cell r="AI332">
            <v>2282</v>
          </cell>
          <cell r="AK332">
            <v>0</v>
          </cell>
          <cell r="AM332">
            <v>431</v>
          </cell>
          <cell r="AN332">
            <v>1</v>
          </cell>
          <cell r="AO332">
            <v>393216</v>
          </cell>
          <cell r="AQ332">
            <v>0</v>
          </cell>
          <cell r="AR332">
            <v>0</v>
          </cell>
          <cell r="AS332" t="str">
            <v>Ы</v>
          </cell>
          <cell r="AT332" t="str">
            <v>Ы</v>
          </cell>
          <cell r="AU332">
            <v>0</v>
          </cell>
          <cell r="AV332">
            <v>0</v>
          </cell>
          <cell r="AW332">
            <v>23</v>
          </cell>
          <cell r="AX332">
            <v>1</v>
          </cell>
          <cell r="AY332">
            <v>0</v>
          </cell>
          <cell r="AZ332">
            <v>0</v>
          </cell>
          <cell r="BA332">
            <v>0</v>
          </cell>
          <cell r="BB332">
            <v>0</v>
          </cell>
          <cell r="BC332">
            <v>38828</v>
          </cell>
        </row>
        <row r="333">
          <cell r="A333">
            <v>2006</v>
          </cell>
          <cell r="B333">
            <v>3</v>
          </cell>
          <cell r="C333">
            <v>275</v>
          </cell>
          <cell r="D333">
            <v>21</v>
          </cell>
          <cell r="E333">
            <v>792030</v>
          </cell>
          <cell r="F333">
            <v>0</v>
          </cell>
          <cell r="G333" t="str">
            <v>Затраты по ШПЗ (неосновные)</v>
          </cell>
          <cell r="H333">
            <v>2030</v>
          </cell>
          <cell r="I333">
            <v>7920</v>
          </cell>
          <cell r="J333">
            <v>8854.56</v>
          </cell>
          <cell r="K333">
            <v>1</v>
          </cell>
          <cell r="L333">
            <v>0</v>
          </cell>
          <cell r="M333">
            <v>0</v>
          </cell>
          <cell r="N333">
            <v>0</v>
          </cell>
          <cell r="R333">
            <v>0</v>
          </cell>
          <cell r="S333">
            <v>0</v>
          </cell>
          <cell r="T333">
            <v>0</v>
          </cell>
          <cell r="U333">
            <v>31</v>
          </cell>
          <cell r="V333">
            <v>0</v>
          </cell>
          <cell r="W333">
            <v>0</v>
          </cell>
          <cell r="AA333">
            <v>0</v>
          </cell>
          <cell r="AB333">
            <v>0</v>
          </cell>
          <cell r="AC333">
            <v>0</v>
          </cell>
          <cell r="AD333">
            <v>31</v>
          </cell>
          <cell r="AE333">
            <v>312000</v>
          </cell>
          <cell r="AF333">
            <v>0</v>
          </cell>
          <cell r="AI333">
            <v>2282</v>
          </cell>
          <cell r="AK333">
            <v>0</v>
          </cell>
          <cell r="AM333">
            <v>432</v>
          </cell>
          <cell r="AN333">
            <v>1</v>
          </cell>
          <cell r="AO333">
            <v>393216</v>
          </cell>
          <cell r="AQ333">
            <v>0</v>
          </cell>
          <cell r="AR333">
            <v>0</v>
          </cell>
          <cell r="AS333" t="str">
            <v>Ы</v>
          </cell>
          <cell r="AT333" t="str">
            <v>Ы</v>
          </cell>
          <cell r="AU333">
            <v>0</v>
          </cell>
          <cell r="AV333">
            <v>0</v>
          </cell>
          <cell r="AW333">
            <v>23</v>
          </cell>
          <cell r="AX333">
            <v>1</v>
          </cell>
          <cell r="AY333">
            <v>0</v>
          </cell>
          <cell r="AZ333">
            <v>0</v>
          </cell>
          <cell r="BA333">
            <v>0</v>
          </cell>
          <cell r="BB333">
            <v>0</v>
          </cell>
          <cell r="BC333">
            <v>38828</v>
          </cell>
        </row>
        <row r="334">
          <cell r="A334">
            <v>2006</v>
          </cell>
          <cell r="B334">
            <v>3</v>
          </cell>
          <cell r="C334">
            <v>276</v>
          </cell>
          <cell r="D334">
            <v>21</v>
          </cell>
          <cell r="E334">
            <v>792030</v>
          </cell>
          <cell r="F334">
            <v>0</v>
          </cell>
          <cell r="G334" t="str">
            <v>Затраты по ШПЗ (неосновные)</v>
          </cell>
          <cell r="H334">
            <v>2030</v>
          </cell>
          <cell r="I334">
            <v>7920</v>
          </cell>
          <cell r="J334">
            <v>129276.56</v>
          </cell>
          <cell r="K334">
            <v>1</v>
          </cell>
          <cell r="L334">
            <v>0</v>
          </cell>
          <cell r="M334">
            <v>0</v>
          </cell>
          <cell r="N334">
            <v>0</v>
          </cell>
          <cell r="R334">
            <v>0</v>
          </cell>
          <cell r="S334">
            <v>0</v>
          </cell>
          <cell r="T334">
            <v>0</v>
          </cell>
          <cell r="U334">
            <v>31</v>
          </cell>
          <cell r="V334">
            <v>0</v>
          </cell>
          <cell r="W334">
            <v>0</v>
          </cell>
          <cell r="AA334">
            <v>0</v>
          </cell>
          <cell r="AB334">
            <v>0</v>
          </cell>
          <cell r="AC334">
            <v>0</v>
          </cell>
          <cell r="AD334">
            <v>31</v>
          </cell>
          <cell r="AE334">
            <v>312200</v>
          </cell>
          <cell r="AF334">
            <v>0</v>
          </cell>
          <cell r="AI334">
            <v>2282</v>
          </cell>
          <cell r="AK334">
            <v>0</v>
          </cell>
          <cell r="AM334">
            <v>433</v>
          </cell>
          <cell r="AN334">
            <v>1</v>
          </cell>
          <cell r="AO334">
            <v>393216</v>
          </cell>
          <cell r="AQ334">
            <v>0</v>
          </cell>
          <cell r="AR334">
            <v>0</v>
          </cell>
          <cell r="AS334" t="str">
            <v>Ы</v>
          </cell>
          <cell r="AT334" t="str">
            <v>Ы</v>
          </cell>
          <cell r="AU334">
            <v>0</v>
          </cell>
          <cell r="AV334">
            <v>0</v>
          </cell>
          <cell r="AW334">
            <v>23</v>
          </cell>
          <cell r="AX334">
            <v>1</v>
          </cell>
          <cell r="AY334">
            <v>0</v>
          </cell>
          <cell r="AZ334">
            <v>0</v>
          </cell>
          <cell r="BA334">
            <v>0</v>
          </cell>
          <cell r="BB334">
            <v>0</v>
          </cell>
          <cell r="BC334">
            <v>38828</v>
          </cell>
        </row>
        <row r="335">
          <cell r="A335">
            <v>2006</v>
          </cell>
          <cell r="B335">
            <v>3</v>
          </cell>
          <cell r="C335">
            <v>277</v>
          </cell>
          <cell r="D335">
            <v>21</v>
          </cell>
          <cell r="E335">
            <v>792030</v>
          </cell>
          <cell r="F335">
            <v>0</v>
          </cell>
          <cell r="G335" t="str">
            <v>Затраты по ШПЗ (неосновные)</v>
          </cell>
          <cell r="H335">
            <v>2030</v>
          </cell>
          <cell r="I335">
            <v>7920</v>
          </cell>
          <cell r="J335">
            <v>1623.36</v>
          </cell>
          <cell r="K335">
            <v>1</v>
          </cell>
          <cell r="L335">
            <v>0</v>
          </cell>
          <cell r="M335">
            <v>0</v>
          </cell>
          <cell r="N335">
            <v>0</v>
          </cell>
          <cell r="R335">
            <v>0</v>
          </cell>
          <cell r="S335">
            <v>0</v>
          </cell>
          <cell r="T335">
            <v>0</v>
          </cell>
          <cell r="U335">
            <v>31</v>
          </cell>
          <cell r="V335">
            <v>0</v>
          </cell>
          <cell r="W335">
            <v>0</v>
          </cell>
          <cell r="AA335">
            <v>0</v>
          </cell>
          <cell r="AB335">
            <v>0</v>
          </cell>
          <cell r="AC335">
            <v>0</v>
          </cell>
          <cell r="AD335">
            <v>31</v>
          </cell>
          <cell r="AE335">
            <v>313000</v>
          </cell>
          <cell r="AF335">
            <v>0</v>
          </cell>
          <cell r="AI335">
            <v>2282</v>
          </cell>
          <cell r="AK335">
            <v>0</v>
          </cell>
          <cell r="AM335">
            <v>434</v>
          </cell>
          <cell r="AN335">
            <v>1</v>
          </cell>
          <cell r="AO335">
            <v>393216</v>
          </cell>
          <cell r="AQ335">
            <v>0</v>
          </cell>
          <cell r="AR335">
            <v>0</v>
          </cell>
          <cell r="AS335" t="str">
            <v>Ы</v>
          </cell>
          <cell r="AT335" t="str">
            <v>Ы</v>
          </cell>
          <cell r="AU335">
            <v>0</v>
          </cell>
          <cell r="AV335">
            <v>0</v>
          </cell>
          <cell r="AW335">
            <v>23</v>
          </cell>
          <cell r="AX335">
            <v>1</v>
          </cell>
          <cell r="AY335">
            <v>0</v>
          </cell>
          <cell r="AZ335">
            <v>0</v>
          </cell>
          <cell r="BA335">
            <v>0</v>
          </cell>
          <cell r="BB335">
            <v>0</v>
          </cell>
          <cell r="BC335">
            <v>38828</v>
          </cell>
        </row>
        <row r="336">
          <cell r="A336">
            <v>2006</v>
          </cell>
          <cell r="B336">
            <v>3</v>
          </cell>
          <cell r="C336">
            <v>278</v>
          </cell>
          <cell r="D336">
            <v>21</v>
          </cell>
          <cell r="E336">
            <v>792030</v>
          </cell>
          <cell r="F336">
            <v>0</v>
          </cell>
          <cell r="G336" t="str">
            <v>Затраты по ШПЗ (неосновные)</v>
          </cell>
          <cell r="H336">
            <v>2030</v>
          </cell>
          <cell r="I336">
            <v>7920</v>
          </cell>
          <cell r="J336">
            <v>2951.52</v>
          </cell>
          <cell r="K336">
            <v>1</v>
          </cell>
          <cell r="L336">
            <v>0</v>
          </cell>
          <cell r="M336">
            <v>0</v>
          </cell>
          <cell r="N336">
            <v>0</v>
          </cell>
          <cell r="R336">
            <v>0</v>
          </cell>
          <cell r="S336">
            <v>0</v>
          </cell>
          <cell r="T336">
            <v>0</v>
          </cell>
          <cell r="U336">
            <v>31</v>
          </cell>
          <cell r="V336">
            <v>0</v>
          </cell>
          <cell r="W336">
            <v>0</v>
          </cell>
          <cell r="AA336">
            <v>0</v>
          </cell>
          <cell r="AB336">
            <v>0</v>
          </cell>
          <cell r="AC336">
            <v>0</v>
          </cell>
          <cell r="AD336">
            <v>31</v>
          </cell>
          <cell r="AE336">
            <v>314000</v>
          </cell>
          <cell r="AF336">
            <v>0</v>
          </cell>
          <cell r="AI336">
            <v>2282</v>
          </cell>
          <cell r="AK336">
            <v>0</v>
          </cell>
          <cell r="AM336">
            <v>435</v>
          </cell>
          <cell r="AN336">
            <v>1</v>
          </cell>
          <cell r="AO336">
            <v>393216</v>
          </cell>
          <cell r="AQ336">
            <v>0</v>
          </cell>
          <cell r="AR336">
            <v>0</v>
          </cell>
          <cell r="AS336" t="str">
            <v>Ы</v>
          </cell>
          <cell r="AT336" t="str">
            <v>Ы</v>
          </cell>
          <cell r="AU336">
            <v>0</v>
          </cell>
          <cell r="AV336">
            <v>0</v>
          </cell>
          <cell r="AW336">
            <v>23</v>
          </cell>
          <cell r="AX336">
            <v>1</v>
          </cell>
          <cell r="AY336">
            <v>0</v>
          </cell>
          <cell r="AZ336">
            <v>0</v>
          </cell>
          <cell r="BA336">
            <v>0</v>
          </cell>
          <cell r="BB336">
            <v>0</v>
          </cell>
          <cell r="BC336">
            <v>38828</v>
          </cell>
        </row>
        <row r="337">
          <cell r="A337">
            <v>2006</v>
          </cell>
          <cell r="B337">
            <v>3</v>
          </cell>
          <cell r="C337">
            <v>279</v>
          </cell>
          <cell r="D337">
            <v>21</v>
          </cell>
          <cell r="E337">
            <v>792030</v>
          </cell>
          <cell r="F337">
            <v>0</v>
          </cell>
          <cell r="G337" t="str">
            <v>Затраты по ШПЗ (неосновные)</v>
          </cell>
          <cell r="H337">
            <v>2030</v>
          </cell>
          <cell r="I337">
            <v>7920</v>
          </cell>
          <cell r="J337">
            <v>590.29999999999995</v>
          </cell>
          <cell r="K337">
            <v>1</v>
          </cell>
          <cell r="L337">
            <v>0</v>
          </cell>
          <cell r="M337">
            <v>0</v>
          </cell>
          <cell r="N337">
            <v>0</v>
          </cell>
          <cell r="R337">
            <v>0</v>
          </cell>
          <cell r="S337">
            <v>0</v>
          </cell>
          <cell r="T337">
            <v>0</v>
          </cell>
          <cell r="U337">
            <v>31</v>
          </cell>
          <cell r="V337">
            <v>0</v>
          </cell>
          <cell r="W337">
            <v>0</v>
          </cell>
          <cell r="AA337">
            <v>0</v>
          </cell>
          <cell r="AB337">
            <v>0</v>
          </cell>
          <cell r="AC337">
            <v>0</v>
          </cell>
          <cell r="AD337">
            <v>31</v>
          </cell>
          <cell r="AE337">
            <v>315000</v>
          </cell>
          <cell r="AF337">
            <v>0</v>
          </cell>
          <cell r="AI337">
            <v>2282</v>
          </cell>
          <cell r="AK337">
            <v>0</v>
          </cell>
          <cell r="AM337">
            <v>436</v>
          </cell>
          <cell r="AN337">
            <v>1</v>
          </cell>
          <cell r="AO337">
            <v>393216</v>
          </cell>
          <cell r="AQ337">
            <v>0</v>
          </cell>
          <cell r="AR337">
            <v>0</v>
          </cell>
          <cell r="AS337" t="str">
            <v>Ы</v>
          </cell>
          <cell r="AT337" t="str">
            <v>Ы</v>
          </cell>
          <cell r="AU337">
            <v>0</v>
          </cell>
          <cell r="AV337">
            <v>0</v>
          </cell>
          <cell r="AW337">
            <v>23</v>
          </cell>
          <cell r="AX337">
            <v>1</v>
          </cell>
          <cell r="AY337">
            <v>0</v>
          </cell>
          <cell r="AZ337">
            <v>0</v>
          </cell>
          <cell r="BA337">
            <v>0</v>
          </cell>
          <cell r="BB337">
            <v>0</v>
          </cell>
          <cell r="BC337">
            <v>38828</v>
          </cell>
        </row>
        <row r="338">
          <cell r="A338">
            <v>2006</v>
          </cell>
          <cell r="B338">
            <v>3</v>
          </cell>
          <cell r="C338">
            <v>280</v>
          </cell>
          <cell r="D338">
            <v>21</v>
          </cell>
          <cell r="E338">
            <v>792030</v>
          </cell>
          <cell r="F338">
            <v>0</v>
          </cell>
          <cell r="G338" t="str">
            <v>Затраты по ШПЗ (неосновные)</v>
          </cell>
          <cell r="H338">
            <v>2030</v>
          </cell>
          <cell r="I338">
            <v>7920</v>
          </cell>
          <cell r="J338">
            <v>-16000</v>
          </cell>
          <cell r="K338">
            <v>1</v>
          </cell>
          <cell r="L338">
            <v>0</v>
          </cell>
          <cell r="M338">
            <v>0</v>
          </cell>
          <cell r="N338">
            <v>0</v>
          </cell>
          <cell r="R338">
            <v>0</v>
          </cell>
          <cell r="S338">
            <v>0</v>
          </cell>
          <cell r="T338">
            <v>0</v>
          </cell>
          <cell r="U338">
            <v>31</v>
          </cell>
          <cell r="V338">
            <v>0</v>
          </cell>
          <cell r="W338">
            <v>0</v>
          </cell>
          <cell r="AA338">
            <v>0</v>
          </cell>
          <cell r="AB338">
            <v>0</v>
          </cell>
          <cell r="AC338">
            <v>0</v>
          </cell>
          <cell r="AD338">
            <v>31</v>
          </cell>
          <cell r="AE338">
            <v>501102</v>
          </cell>
          <cell r="AF338">
            <v>0</v>
          </cell>
          <cell r="AI338">
            <v>2282</v>
          </cell>
          <cell r="AK338">
            <v>0</v>
          </cell>
          <cell r="AM338">
            <v>437</v>
          </cell>
          <cell r="AN338">
            <v>1</v>
          </cell>
          <cell r="AO338">
            <v>393216</v>
          </cell>
          <cell r="AQ338">
            <v>0</v>
          </cell>
          <cell r="AR338">
            <v>0</v>
          </cell>
          <cell r="AS338" t="str">
            <v>Ы</v>
          </cell>
          <cell r="AT338" t="str">
            <v>Ы</v>
          </cell>
          <cell r="AU338">
            <v>0</v>
          </cell>
          <cell r="AV338">
            <v>0</v>
          </cell>
          <cell r="AW338">
            <v>23</v>
          </cell>
          <cell r="AX338">
            <v>1</v>
          </cell>
          <cell r="AY338">
            <v>0</v>
          </cell>
          <cell r="AZ338">
            <v>0</v>
          </cell>
          <cell r="BA338">
            <v>0</v>
          </cell>
          <cell r="BB338">
            <v>0</v>
          </cell>
          <cell r="BC338">
            <v>38828</v>
          </cell>
        </row>
        <row r="339">
          <cell r="A339">
            <v>2006</v>
          </cell>
          <cell r="B339">
            <v>3</v>
          </cell>
          <cell r="C339">
            <v>281</v>
          </cell>
          <cell r="D339">
            <v>21</v>
          </cell>
          <cell r="E339">
            <v>792030</v>
          </cell>
          <cell r="F339">
            <v>0</v>
          </cell>
          <cell r="G339" t="str">
            <v>Затраты по ШПЗ (неосновные)</v>
          </cell>
          <cell r="H339">
            <v>2030</v>
          </cell>
          <cell r="I339">
            <v>7920</v>
          </cell>
          <cell r="J339">
            <v>8000</v>
          </cell>
          <cell r="K339">
            <v>1</v>
          </cell>
          <cell r="L339">
            <v>0</v>
          </cell>
          <cell r="M339">
            <v>0</v>
          </cell>
          <cell r="N339">
            <v>0</v>
          </cell>
          <cell r="R339">
            <v>0</v>
          </cell>
          <cell r="S339">
            <v>0</v>
          </cell>
          <cell r="T339">
            <v>0</v>
          </cell>
          <cell r="U339">
            <v>31</v>
          </cell>
          <cell r="V339">
            <v>0</v>
          </cell>
          <cell r="W339">
            <v>0</v>
          </cell>
          <cell r="AA339">
            <v>0</v>
          </cell>
          <cell r="AB339">
            <v>0</v>
          </cell>
          <cell r="AC339">
            <v>0</v>
          </cell>
          <cell r="AD339">
            <v>31</v>
          </cell>
          <cell r="AE339">
            <v>510100</v>
          </cell>
          <cell r="AF339">
            <v>0</v>
          </cell>
          <cell r="AI339">
            <v>2282</v>
          </cell>
          <cell r="AK339">
            <v>0</v>
          </cell>
          <cell r="AM339">
            <v>438</v>
          </cell>
          <cell r="AN339">
            <v>1</v>
          </cell>
          <cell r="AO339">
            <v>393216</v>
          </cell>
          <cell r="AQ339">
            <v>0</v>
          </cell>
          <cell r="AR339">
            <v>0</v>
          </cell>
          <cell r="AS339" t="str">
            <v>Ы</v>
          </cell>
          <cell r="AT339" t="str">
            <v>Ы</v>
          </cell>
          <cell r="AU339">
            <v>0</v>
          </cell>
          <cell r="AV339">
            <v>0</v>
          </cell>
          <cell r="AW339">
            <v>23</v>
          </cell>
          <cell r="AX339">
            <v>1</v>
          </cell>
          <cell r="AY339">
            <v>0</v>
          </cell>
          <cell r="AZ339">
            <v>0</v>
          </cell>
          <cell r="BA339">
            <v>0</v>
          </cell>
          <cell r="BB339">
            <v>0</v>
          </cell>
          <cell r="BC339">
            <v>38828</v>
          </cell>
        </row>
        <row r="340">
          <cell r="A340">
            <v>2006</v>
          </cell>
          <cell r="B340">
            <v>3</v>
          </cell>
          <cell r="C340">
            <v>423</v>
          </cell>
          <cell r="D340">
            <v>21</v>
          </cell>
          <cell r="E340">
            <v>792030</v>
          </cell>
          <cell r="F340">
            <v>0</v>
          </cell>
          <cell r="G340" t="str">
            <v>Затраты по ШПЗ (неосновные)</v>
          </cell>
          <cell r="H340">
            <v>2030</v>
          </cell>
          <cell r="I340">
            <v>7920</v>
          </cell>
          <cell r="J340">
            <v>88824.6</v>
          </cell>
          <cell r="K340">
            <v>1</v>
          </cell>
          <cell r="L340">
            <v>0</v>
          </cell>
          <cell r="M340">
            <v>0</v>
          </cell>
          <cell r="N340">
            <v>0</v>
          </cell>
          <cell r="R340">
            <v>0</v>
          </cell>
          <cell r="S340">
            <v>0</v>
          </cell>
          <cell r="T340">
            <v>0</v>
          </cell>
          <cell r="U340">
            <v>36</v>
          </cell>
          <cell r="V340">
            <v>0</v>
          </cell>
          <cell r="W340">
            <v>0</v>
          </cell>
          <cell r="AA340">
            <v>0</v>
          </cell>
          <cell r="AB340">
            <v>0</v>
          </cell>
          <cell r="AC340">
            <v>0</v>
          </cell>
          <cell r="AD340">
            <v>36</v>
          </cell>
          <cell r="AE340">
            <v>110000</v>
          </cell>
          <cell r="AF340">
            <v>0</v>
          </cell>
          <cell r="AI340">
            <v>2282</v>
          </cell>
          <cell r="AK340">
            <v>0</v>
          </cell>
          <cell r="AM340">
            <v>580</v>
          </cell>
          <cell r="AN340">
            <v>1</v>
          </cell>
          <cell r="AO340">
            <v>393216</v>
          </cell>
          <cell r="AQ340">
            <v>0</v>
          </cell>
          <cell r="AR340">
            <v>0</v>
          </cell>
          <cell r="AS340" t="str">
            <v>Ы</v>
          </cell>
          <cell r="AT340" t="str">
            <v>Ы</v>
          </cell>
          <cell r="AU340">
            <v>0</v>
          </cell>
          <cell r="AV340">
            <v>0</v>
          </cell>
          <cell r="AW340">
            <v>23</v>
          </cell>
          <cell r="AX340">
            <v>1</v>
          </cell>
          <cell r="AY340">
            <v>0</v>
          </cell>
          <cell r="AZ340">
            <v>0</v>
          </cell>
          <cell r="BA340">
            <v>0</v>
          </cell>
          <cell r="BB340">
            <v>0</v>
          </cell>
          <cell r="BC340">
            <v>38828</v>
          </cell>
        </row>
        <row r="341">
          <cell r="A341">
            <v>2006</v>
          </cell>
          <cell r="B341">
            <v>3</v>
          </cell>
          <cell r="C341">
            <v>424</v>
          </cell>
          <cell r="D341">
            <v>21</v>
          </cell>
          <cell r="E341">
            <v>792030</v>
          </cell>
          <cell r="F341">
            <v>0</v>
          </cell>
          <cell r="G341" t="str">
            <v>Затраты по ШПЗ (неосновные)</v>
          </cell>
          <cell r="H341">
            <v>2030</v>
          </cell>
          <cell r="I341">
            <v>7920</v>
          </cell>
          <cell r="J341">
            <v>400350</v>
          </cell>
          <cell r="K341">
            <v>1</v>
          </cell>
          <cell r="L341">
            <v>0</v>
          </cell>
          <cell r="M341">
            <v>0</v>
          </cell>
          <cell r="N341">
            <v>0</v>
          </cell>
          <cell r="R341">
            <v>0</v>
          </cell>
          <cell r="S341">
            <v>0</v>
          </cell>
          <cell r="T341">
            <v>0</v>
          </cell>
          <cell r="U341">
            <v>36</v>
          </cell>
          <cell r="V341">
            <v>0</v>
          </cell>
          <cell r="W341">
            <v>0</v>
          </cell>
          <cell r="AA341">
            <v>0</v>
          </cell>
          <cell r="AB341">
            <v>0</v>
          </cell>
          <cell r="AC341">
            <v>0</v>
          </cell>
          <cell r="AD341">
            <v>36</v>
          </cell>
          <cell r="AE341">
            <v>230000</v>
          </cell>
          <cell r="AF341">
            <v>0</v>
          </cell>
          <cell r="AI341">
            <v>2282</v>
          </cell>
          <cell r="AK341">
            <v>0</v>
          </cell>
          <cell r="AM341">
            <v>581</v>
          </cell>
          <cell r="AN341">
            <v>1</v>
          </cell>
          <cell r="AO341">
            <v>393216</v>
          </cell>
          <cell r="AQ341">
            <v>0</v>
          </cell>
          <cell r="AR341">
            <v>0</v>
          </cell>
          <cell r="AS341" t="str">
            <v>Ы</v>
          </cell>
          <cell r="AT341" t="str">
            <v>Ы</v>
          </cell>
          <cell r="AU341">
            <v>0</v>
          </cell>
          <cell r="AV341">
            <v>0</v>
          </cell>
          <cell r="AW341">
            <v>23</v>
          </cell>
          <cell r="AX341">
            <v>1</v>
          </cell>
          <cell r="AY341">
            <v>0</v>
          </cell>
          <cell r="AZ341">
            <v>0</v>
          </cell>
          <cell r="BA341">
            <v>0</v>
          </cell>
          <cell r="BB341">
            <v>0</v>
          </cell>
          <cell r="BC341">
            <v>38828</v>
          </cell>
        </row>
        <row r="342">
          <cell r="A342">
            <v>2006</v>
          </cell>
          <cell r="B342">
            <v>3</v>
          </cell>
          <cell r="C342">
            <v>425</v>
          </cell>
          <cell r="D342">
            <v>21</v>
          </cell>
          <cell r="E342">
            <v>792030</v>
          </cell>
          <cell r="F342">
            <v>0</v>
          </cell>
          <cell r="G342" t="str">
            <v>Затраты по ШПЗ (неосновные)</v>
          </cell>
          <cell r="H342">
            <v>2030</v>
          </cell>
          <cell r="I342">
            <v>7920</v>
          </cell>
          <cell r="J342">
            <v>11610.15</v>
          </cell>
          <cell r="K342">
            <v>1</v>
          </cell>
          <cell r="L342">
            <v>0</v>
          </cell>
          <cell r="M342">
            <v>0</v>
          </cell>
          <cell r="N342">
            <v>0</v>
          </cell>
          <cell r="R342">
            <v>0</v>
          </cell>
          <cell r="S342">
            <v>0</v>
          </cell>
          <cell r="T342">
            <v>0</v>
          </cell>
          <cell r="U342">
            <v>36</v>
          </cell>
          <cell r="V342">
            <v>0</v>
          </cell>
          <cell r="W342">
            <v>0</v>
          </cell>
          <cell r="AA342">
            <v>0</v>
          </cell>
          <cell r="AB342">
            <v>0</v>
          </cell>
          <cell r="AC342">
            <v>0</v>
          </cell>
          <cell r="AD342">
            <v>36</v>
          </cell>
          <cell r="AE342">
            <v>311000</v>
          </cell>
          <cell r="AF342">
            <v>0</v>
          </cell>
          <cell r="AI342">
            <v>2282</v>
          </cell>
          <cell r="AK342">
            <v>0</v>
          </cell>
          <cell r="AM342">
            <v>582</v>
          </cell>
          <cell r="AN342">
            <v>1</v>
          </cell>
          <cell r="AO342">
            <v>393216</v>
          </cell>
          <cell r="AQ342">
            <v>0</v>
          </cell>
          <cell r="AR342">
            <v>0</v>
          </cell>
          <cell r="AS342" t="str">
            <v>Ы</v>
          </cell>
          <cell r="AT342" t="str">
            <v>Ы</v>
          </cell>
          <cell r="AU342">
            <v>0</v>
          </cell>
          <cell r="AV342">
            <v>0</v>
          </cell>
          <cell r="AW342">
            <v>23</v>
          </cell>
          <cell r="AX342">
            <v>1</v>
          </cell>
          <cell r="AY342">
            <v>0</v>
          </cell>
          <cell r="AZ342">
            <v>0</v>
          </cell>
          <cell r="BA342">
            <v>0</v>
          </cell>
          <cell r="BB342">
            <v>0</v>
          </cell>
          <cell r="BC342">
            <v>38828</v>
          </cell>
        </row>
        <row r="343">
          <cell r="A343">
            <v>2006</v>
          </cell>
          <cell r="B343">
            <v>3</v>
          </cell>
          <cell r="C343">
            <v>426</v>
          </cell>
          <cell r="D343">
            <v>21</v>
          </cell>
          <cell r="E343">
            <v>792030</v>
          </cell>
          <cell r="F343">
            <v>0</v>
          </cell>
          <cell r="G343" t="str">
            <v>Затраты по ШПЗ (неосновные)</v>
          </cell>
          <cell r="H343">
            <v>2030</v>
          </cell>
          <cell r="I343">
            <v>7920</v>
          </cell>
          <cell r="J343">
            <v>40035</v>
          </cell>
          <cell r="K343">
            <v>1</v>
          </cell>
          <cell r="L343">
            <v>0</v>
          </cell>
          <cell r="M343">
            <v>0</v>
          </cell>
          <cell r="N343">
            <v>0</v>
          </cell>
          <cell r="R343">
            <v>0</v>
          </cell>
          <cell r="S343">
            <v>0</v>
          </cell>
          <cell r="T343">
            <v>0</v>
          </cell>
          <cell r="U343">
            <v>36</v>
          </cell>
          <cell r="V343">
            <v>0</v>
          </cell>
          <cell r="W343">
            <v>0</v>
          </cell>
          <cell r="AA343">
            <v>0</v>
          </cell>
          <cell r="AB343">
            <v>0</v>
          </cell>
          <cell r="AC343">
            <v>0</v>
          </cell>
          <cell r="AD343">
            <v>36</v>
          </cell>
          <cell r="AE343">
            <v>312000</v>
          </cell>
          <cell r="AF343">
            <v>0</v>
          </cell>
          <cell r="AI343">
            <v>2282</v>
          </cell>
          <cell r="AK343">
            <v>0</v>
          </cell>
          <cell r="AM343">
            <v>583</v>
          </cell>
          <cell r="AN343">
            <v>1</v>
          </cell>
          <cell r="AO343">
            <v>393216</v>
          </cell>
          <cell r="AQ343">
            <v>0</v>
          </cell>
          <cell r="AR343">
            <v>0</v>
          </cell>
          <cell r="AS343" t="str">
            <v>Ы</v>
          </cell>
          <cell r="AT343" t="str">
            <v>Ы</v>
          </cell>
          <cell r="AU343">
            <v>0</v>
          </cell>
          <cell r="AV343">
            <v>0</v>
          </cell>
          <cell r="AW343">
            <v>23</v>
          </cell>
          <cell r="AX343">
            <v>1</v>
          </cell>
          <cell r="AY343">
            <v>0</v>
          </cell>
          <cell r="AZ343">
            <v>0</v>
          </cell>
          <cell r="BA343">
            <v>0</v>
          </cell>
          <cell r="BB343">
            <v>0</v>
          </cell>
          <cell r="BC343">
            <v>38828</v>
          </cell>
        </row>
        <row r="344">
          <cell r="A344">
            <v>2006</v>
          </cell>
          <cell r="B344">
            <v>3</v>
          </cell>
          <cell r="C344">
            <v>427</v>
          </cell>
          <cell r="D344">
            <v>21</v>
          </cell>
          <cell r="E344">
            <v>792030</v>
          </cell>
          <cell r="F344">
            <v>0</v>
          </cell>
          <cell r="G344" t="str">
            <v>Затраты по ШПЗ (неосновные)</v>
          </cell>
          <cell r="H344">
            <v>2030</v>
          </cell>
          <cell r="I344">
            <v>7920</v>
          </cell>
          <cell r="J344">
            <v>40035</v>
          </cell>
          <cell r="K344">
            <v>1</v>
          </cell>
          <cell r="L344">
            <v>0</v>
          </cell>
          <cell r="M344">
            <v>0</v>
          </cell>
          <cell r="N344">
            <v>0</v>
          </cell>
          <cell r="R344">
            <v>0</v>
          </cell>
          <cell r="S344">
            <v>0</v>
          </cell>
          <cell r="T344">
            <v>0</v>
          </cell>
          <cell r="U344">
            <v>36</v>
          </cell>
          <cell r="V344">
            <v>0</v>
          </cell>
          <cell r="W344">
            <v>0</v>
          </cell>
          <cell r="AA344">
            <v>0</v>
          </cell>
          <cell r="AB344">
            <v>0</v>
          </cell>
          <cell r="AC344">
            <v>0</v>
          </cell>
          <cell r="AD344">
            <v>36</v>
          </cell>
          <cell r="AE344">
            <v>312200</v>
          </cell>
          <cell r="AF344">
            <v>0</v>
          </cell>
          <cell r="AI344">
            <v>2282</v>
          </cell>
          <cell r="AK344">
            <v>0</v>
          </cell>
          <cell r="AM344">
            <v>584</v>
          </cell>
          <cell r="AN344">
            <v>1</v>
          </cell>
          <cell r="AO344">
            <v>393216</v>
          </cell>
          <cell r="AQ344">
            <v>0</v>
          </cell>
          <cell r="AR344">
            <v>0</v>
          </cell>
          <cell r="AS344" t="str">
            <v>Ы</v>
          </cell>
          <cell r="AT344" t="str">
            <v>Ы</v>
          </cell>
          <cell r="AU344">
            <v>0</v>
          </cell>
          <cell r="AV344">
            <v>0</v>
          </cell>
          <cell r="AW344">
            <v>23</v>
          </cell>
          <cell r="AX344">
            <v>1</v>
          </cell>
          <cell r="AY344">
            <v>0</v>
          </cell>
          <cell r="AZ344">
            <v>0</v>
          </cell>
          <cell r="BA344">
            <v>0</v>
          </cell>
          <cell r="BB344">
            <v>0</v>
          </cell>
          <cell r="BC344">
            <v>38828</v>
          </cell>
        </row>
        <row r="345">
          <cell r="A345">
            <v>2006</v>
          </cell>
          <cell r="B345">
            <v>3</v>
          </cell>
          <cell r="C345">
            <v>428</v>
          </cell>
          <cell r="D345">
            <v>21</v>
          </cell>
          <cell r="E345">
            <v>792030</v>
          </cell>
          <cell r="F345">
            <v>0</v>
          </cell>
          <cell r="G345" t="str">
            <v>Затраты по ШПЗ (неосновные)</v>
          </cell>
          <cell r="H345">
            <v>2030</v>
          </cell>
          <cell r="I345">
            <v>7920</v>
          </cell>
          <cell r="J345">
            <v>4403.8500000000004</v>
          </cell>
          <cell r="K345">
            <v>1</v>
          </cell>
          <cell r="L345">
            <v>0</v>
          </cell>
          <cell r="M345">
            <v>0</v>
          </cell>
          <cell r="N345">
            <v>0</v>
          </cell>
          <cell r="R345">
            <v>0</v>
          </cell>
          <cell r="S345">
            <v>0</v>
          </cell>
          <cell r="T345">
            <v>0</v>
          </cell>
          <cell r="U345">
            <v>36</v>
          </cell>
          <cell r="V345">
            <v>0</v>
          </cell>
          <cell r="W345">
            <v>0</v>
          </cell>
          <cell r="AA345">
            <v>0</v>
          </cell>
          <cell r="AB345">
            <v>0</v>
          </cell>
          <cell r="AC345">
            <v>0</v>
          </cell>
          <cell r="AD345">
            <v>36</v>
          </cell>
          <cell r="AE345">
            <v>313000</v>
          </cell>
          <cell r="AF345">
            <v>0</v>
          </cell>
          <cell r="AI345">
            <v>2282</v>
          </cell>
          <cell r="AK345">
            <v>0</v>
          </cell>
          <cell r="AM345">
            <v>585</v>
          </cell>
          <cell r="AN345">
            <v>1</v>
          </cell>
          <cell r="AO345">
            <v>393216</v>
          </cell>
          <cell r="AQ345">
            <v>0</v>
          </cell>
          <cell r="AR345">
            <v>0</v>
          </cell>
          <cell r="AS345" t="str">
            <v>Ы</v>
          </cell>
          <cell r="AT345" t="str">
            <v>Ы</v>
          </cell>
          <cell r="AU345">
            <v>0</v>
          </cell>
          <cell r="AV345">
            <v>0</v>
          </cell>
          <cell r="AW345">
            <v>23</v>
          </cell>
          <cell r="AX345">
            <v>1</v>
          </cell>
          <cell r="AY345">
            <v>0</v>
          </cell>
          <cell r="AZ345">
            <v>0</v>
          </cell>
          <cell r="BA345">
            <v>0</v>
          </cell>
          <cell r="BB345">
            <v>0</v>
          </cell>
          <cell r="BC345">
            <v>38828</v>
          </cell>
        </row>
        <row r="346">
          <cell r="A346">
            <v>2006</v>
          </cell>
          <cell r="B346">
            <v>3</v>
          </cell>
          <cell r="C346">
            <v>429</v>
          </cell>
          <cell r="D346">
            <v>21</v>
          </cell>
          <cell r="E346">
            <v>792030</v>
          </cell>
          <cell r="F346">
            <v>0</v>
          </cell>
          <cell r="G346" t="str">
            <v>Затраты по ШПЗ (неосновные)</v>
          </cell>
          <cell r="H346">
            <v>2030</v>
          </cell>
          <cell r="I346">
            <v>7920</v>
          </cell>
          <cell r="J346">
            <v>8007</v>
          </cell>
          <cell r="K346">
            <v>1</v>
          </cell>
          <cell r="L346">
            <v>0</v>
          </cell>
          <cell r="M346">
            <v>0</v>
          </cell>
          <cell r="N346">
            <v>0</v>
          </cell>
          <cell r="R346">
            <v>0</v>
          </cell>
          <cell r="S346">
            <v>0</v>
          </cell>
          <cell r="T346">
            <v>0</v>
          </cell>
          <cell r="U346">
            <v>36</v>
          </cell>
          <cell r="V346">
            <v>0</v>
          </cell>
          <cell r="W346">
            <v>0</v>
          </cell>
          <cell r="AA346">
            <v>0</v>
          </cell>
          <cell r="AB346">
            <v>0</v>
          </cell>
          <cell r="AC346">
            <v>0</v>
          </cell>
          <cell r="AD346">
            <v>36</v>
          </cell>
          <cell r="AE346">
            <v>314000</v>
          </cell>
          <cell r="AF346">
            <v>0</v>
          </cell>
          <cell r="AI346">
            <v>2282</v>
          </cell>
          <cell r="AK346">
            <v>0</v>
          </cell>
          <cell r="AM346">
            <v>586</v>
          </cell>
          <cell r="AN346">
            <v>1</v>
          </cell>
          <cell r="AO346">
            <v>393216</v>
          </cell>
          <cell r="AQ346">
            <v>0</v>
          </cell>
          <cell r="AR346">
            <v>0</v>
          </cell>
          <cell r="AS346" t="str">
            <v>Ы</v>
          </cell>
          <cell r="AT346" t="str">
            <v>Ы</v>
          </cell>
          <cell r="AU346">
            <v>0</v>
          </cell>
          <cell r="AV346">
            <v>0</v>
          </cell>
          <cell r="AW346">
            <v>23</v>
          </cell>
          <cell r="AX346">
            <v>1</v>
          </cell>
          <cell r="AY346">
            <v>0</v>
          </cell>
          <cell r="AZ346">
            <v>0</v>
          </cell>
          <cell r="BA346">
            <v>0</v>
          </cell>
          <cell r="BB346">
            <v>0</v>
          </cell>
          <cell r="BC346">
            <v>38828</v>
          </cell>
        </row>
        <row r="347">
          <cell r="A347">
            <v>2006</v>
          </cell>
          <cell r="B347">
            <v>3</v>
          </cell>
          <cell r="C347">
            <v>430</v>
          </cell>
          <cell r="D347">
            <v>21</v>
          </cell>
          <cell r="E347">
            <v>792030</v>
          </cell>
          <cell r="F347">
            <v>0</v>
          </cell>
          <cell r="G347" t="str">
            <v>Затраты по ШПЗ (неосновные)</v>
          </cell>
          <cell r="H347">
            <v>2030</v>
          </cell>
          <cell r="I347">
            <v>7920</v>
          </cell>
          <cell r="J347">
            <v>1601.4</v>
          </cell>
          <cell r="K347">
            <v>1</v>
          </cell>
          <cell r="L347">
            <v>0</v>
          </cell>
          <cell r="M347">
            <v>0</v>
          </cell>
          <cell r="N347">
            <v>0</v>
          </cell>
          <cell r="R347">
            <v>0</v>
          </cell>
          <cell r="S347">
            <v>0</v>
          </cell>
          <cell r="T347">
            <v>0</v>
          </cell>
          <cell r="U347">
            <v>36</v>
          </cell>
          <cell r="V347">
            <v>0</v>
          </cell>
          <cell r="W347">
            <v>0</v>
          </cell>
          <cell r="AA347">
            <v>0</v>
          </cell>
          <cell r="AB347">
            <v>0</v>
          </cell>
          <cell r="AC347">
            <v>0</v>
          </cell>
          <cell r="AD347">
            <v>36</v>
          </cell>
          <cell r="AE347">
            <v>315000</v>
          </cell>
          <cell r="AF347">
            <v>0</v>
          </cell>
          <cell r="AI347">
            <v>2282</v>
          </cell>
          <cell r="AK347">
            <v>0</v>
          </cell>
          <cell r="AM347">
            <v>587</v>
          </cell>
          <cell r="AN347">
            <v>1</v>
          </cell>
          <cell r="AO347">
            <v>393216</v>
          </cell>
          <cell r="AQ347">
            <v>0</v>
          </cell>
          <cell r="AR347">
            <v>0</v>
          </cell>
          <cell r="AS347" t="str">
            <v>Ы</v>
          </cell>
          <cell r="AT347" t="str">
            <v>Ы</v>
          </cell>
          <cell r="AU347">
            <v>0</v>
          </cell>
          <cell r="AV347">
            <v>0</v>
          </cell>
          <cell r="AW347">
            <v>23</v>
          </cell>
          <cell r="AX347">
            <v>1</v>
          </cell>
          <cell r="AY347">
            <v>0</v>
          </cell>
          <cell r="AZ347">
            <v>0</v>
          </cell>
          <cell r="BA347">
            <v>0</v>
          </cell>
          <cell r="BB347">
            <v>0</v>
          </cell>
          <cell r="BC347">
            <v>38828</v>
          </cell>
        </row>
        <row r="348">
          <cell r="A348">
            <v>2006</v>
          </cell>
          <cell r="B348">
            <v>3</v>
          </cell>
          <cell r="C348">
            <v>431</v>
          </cell>
          <cell r="D348">
            <v>21</v>
          </cell>
          <cell r="E348">
            <v>792030</v>
          </cell>
          <cell r="F348">
            <v>0</v>
          </cell>
          <cell r="G348" t="str">
            <v>Затраты по ШПЗ (неосновные)</v>
          </cell>
          <cell r="H348">
            <v>2030</v>
          </cell>
          <cell r="I348">
            <v>7920</v>
          </cell>
          <cell r="J348">
            <v>13314.11</v>
          </cell>
          <cell r="K348">
            <v>1</v>
          </cell>
          <cell r="L348">
            <v>0</v>
          </cell>
          <cell r="M348">
            <v>0</v>
          </cell>
          <cell r="N348">
            <v>0</v>
          </cell>
          <cell r="R348">
            <v>0</v>
          </cell>
          <cell r="S348">
            <v>0</v>
          </cell>
          <cell r="T348">
            <v>0</v>
          </cell>
          <cell r="U348">
            <v>34</v>
          </cell>
          <cell r="V348">
            <v>0</v>
          </cell>
          <cell r="W348">
            <v>0</v>
          </cell>
          <cell r="AA348">
            <v>0</v>
          </cell>
          <cell r="AB348">
            <v>0</v>
          </cell>
          <cell r="AC348">
            <v>0</v>
          </cell>
          <cell r="AD348">
            <v>34</v>
          </cell>
          <cell r="AE348">
            <v>110000</v>
          </cell>
          <cell r="AF348">
            <v>0</v>
          </cell>
          <cell r="AI348">
            <v>2282</v>
          </cell>
          <cell r="AK348">
            <v>0</v>
          </cell>
          <cell r="AM348">
            <v>588</v>
          </cell>
          <cell r="AN348">
            <v>1</v>
          </cell>
          <cell r="AO348">
            <v>393216</v>
          </cell>
          <cell r="AQ348">
            <v>0</v>
          </cell>
          <cell r="AR348">
            <v>0</v>
          </cell>
          <cell r="AS348" t="str">
            <v>Ы</v>
          </cell>
          <cell r="AT348" t="str">
            <v>Ы</v>
          </cell>
          <cell r="AU348">
            <v>0</v>
          </cell>
          <cell r="AV348">
            <v>0</v>
          </cell>
          <cell r="AW348">
            <v>23</v>
          </cell>
          <cell r="AX348">
            <v>1</v>
          </cell>
          <cell r="AY348">
            <v>0</v>
          </cell>
          <cell r="AZ348">
            <v>0</v>
          </cell>
          <cell r="BA348">
            <v>0</v>
          </cell>
          <cell r="BB348">
            <v>0</v>
          </cell>
          <cell r="BC348">
            <v>38828</v>
          </cell>
        </row>
        <row r="349">
          <cell r="A349">
            <v>2006</v>
          </cell>
          <cell r="B349">
            <v>3</v>
          </cell>
          <cell r="C349">
            <v>432</v>
          </cell>
          <cell r="D349">
            <v>21</v>
          </cell>
          <cell r="E349">
            <v>792030</v>
          </cell>
          <cell r="F349">
            <v>0</v>
          </cell>
          <cell r="G349" t="str">
            <v>Затраты по ШПЗ (неосновные)</v>
          </cell>
          <cell r="H349">
            <v>2030</v>
          </cell>
          <cell r="I349">
            <v>7920</v>
          </cell>
          <cell r="J349">
            <v>339635</v>
          </cell>
          <cell r="K349">
            <v>1</v>
          </cell>
          <cell r="L349">
            <v>0</v>
          </cell>
          <cell r="M349">
            <v>0</v>
          </cell>
          <cell r="N349">
            <v>0</v>
          </cell>
          <cell r="R349">
            <v>0</v>
          </cell>
          <cell r="S349">
            <v>0</v>
          </cell>
          <cell r="T349">
            <v>0</v>
          </cell>
          <cell r="U349">
            <v>34</v>
          </cell>
          <cell r="V349">
            <v>0</v>
          </cell>
          <cell r="W349">
            <v>0</v>
          </cell>
          <cell r="AA349">
            <v>0</v>
          </cell>
          <cell r="AB349">
            <v>0</v>
          </cell>
          <cell r="AC349">
            <v>0</v>
          </cell>
          <cell r="AD349">
            <v>34</v>
          </cell>
          <cell r="AE349">
            <v>240000</v>
          </cell>
          <cell r="AF349">
            <v>0</v>
          </cell>
          <cell r="AI349">
            <v>2282</v>
          </cell>
          <cell r="AK349">
            <v>0</v>
          </cell>
          <cell r="AM349">
            <v>589</v>
          </cell>
          <cell r="AN349">
            <v>1</v>
          </cell>
          <cell r="AO349">
            <v>393216</v>
          </cell>
          <cell r="AQ349">
            <v>0</v>
          </cell>
          <cell r="AR349">
            <v>0</v>
          </cell>
          <cell r="AS349" t="str">
            <v>Ы</v>
          </cell>
          <cell r="AT349" t="str">
            <v>Ы</v>
          </cell>
          <cell r="AU349">
            <v>0</v>
          </cell>
          <cell r="AV349">
            <v>0</v>
          </cell>
          <cell r="AW349">
            <v>23</v>
          </cell>
          <cell r="AX349">
            <v>1</v>
          </cell>
          <cell r="AY349">
            <v>0</v>
          </cell>
          <cell r="AZ349">
            <v>0</v>
          </cell>
          <cell r="BA349">
            <v>0</v>
          </cell>
          <cell r="BB349">
            <v>0</v>
          </cell>
          <cell r="BC349">
            <v>38828</v>
          </cell>
        </row>
        <row r="350">
          <cell r="A350">
            <v>2006</v>
          </cell>
          <cell r="B350">
            <v>3</v>
          </cell>
          <cell r="C350">
            <v>433</v>
          </cell>
          <cell r="D350">
            <v>21</v>
          </cell>
          <cell r="E350">
            <v>792030</v>
          </cell>
          <cell r="F350">
            <v>0</v>
          </cell>
          <cell r="G350" t="str">
            <v>Затраты по ШПЗ (неосновные)</v>
          </cell>
          <cell r="H350">
            <v>2030</v>
          </cell>
          <cell r="I350">
            <v>7920</v>
          </cell>
          <cell r="J350">
            <v>9849.42</v>
          </cell>
          <cell r="K350">
            <v>1</v>
          </cell>
          <cell r="L350">
            <v>0</v>
          </cell>
          <cell r="M350">
            <v>0</v>
          </cell>
          <cell r="N350">
            <v>0</v>
          </cell>
          <cell r="R350">
            <v>0</v>
          </cell>
          <cell r="S350">
            <v>0</v>
          </cell>
          <cell r="T350">
            <v>0</v>
          </cell>
          <cell r="U350">
            <v>34</v>
          </cell>
          <cell r="V350">
            <v>0</v>
          </cell>
          <cell r="W350">
            <v>0</v>
          </cell>
          <cell r="AA350">
            <v>0</v>
          </cell>
          <cell r="AB350">
            <v>0</v>
          </cell>
          <cell r="AC350">
            <v>0</v>
          </cell>
          <cell r="AD350">
            <v>34</v>
          </cell>
          <cell r="AE350">
            <v>311000</v>
          </cell>
          <cell r="AF350">
            <v>0</v>
          </cell>
          <cell r="AI350">
            <v>2282</v>
          </cell>
          <cell r="AK350">
            <v>0</v>
          </cell>
          <cell r="AM350">
            <v>590</v>
          </cell>
          <cell r="AN350">
            <v>1</v>
          </cell>
          <cell r="AO350">
            <v>393216</v>
          </cell>
          <cell r="AQ350">
            <v>0</v>
          </cell>
          <cell r="AR350">
            <v>0</v>
          </cell>
          <cell r="AS350" t="str">
            <v>Ы</v>
          </cell>
          <cell r="AT350" t="str">
            <v>Ы</v>
          </cell>
          <cell r="AU350">
            <v>0</v>
          </cell>
          <cell r="AV350">
            <v>0</v>
          </cell>
          <cell r="AW350">
            <v>23</v>
          </cell>
          <cell r="AX350">
            <v>1</v>
          </cell>
          <cell r="AY350">
            <v>0</v>
          </cell>
          <cell r="AZ350">
            <v>0</v>
          </cell>
          <cell r="BA350">
            <v>0</v>
          </cell>
          <cell r="BB350">
            <v>0</v>
          </cell>
          <cell r="BC350">
            <v>38828</v>
          </cell>
        </row>
        <row r="351">
          <cell r="A351">
            <v>2006</v>
          </cell>
          <cell r="B351">
            <v>3</v>
          </cell>
          <cell r="C351">
            <v>434</v>
          </cell>
          <cell r="D351">
            <v>21</v>
          </cell>
          <cell r="E351">
            <v>792030</v>
          </cell>
          <cell r="F351">
            <v>0</v>
          </cell>
          <cell r="G351" t="str">
            <v>Затраты по ШПЗ (неосновные)</v>
          </cell>
          <cell r="H351">
            <v>2030</v>
          </cell>
          <cell r="I351">
            <v>7920</v>
          </cell>
          <cell r="J351">
            <v>20378.099999999999</v>
          </cell>
          <cell r="K351">
            <v>1</v>
          </cell>
          <cell r="L351">
            <v>0</v>
          </cell>
          <cell r="M351">
            <v>0</v>
          </cell>
          <cell r="N351">
            <v>0</v>
          </cell>
          <cell r="R351">
            <v>0</v>
          </cell>
          <cell r="S351">
            <v>0</v>
          </cell>
          <cell r="T351">
            <v>0</v>
          </cell>
          <cell r="U351">
            <v>34</v>
          </cell>
          <cell r="V351">
            <v>0</v>
          </cell>
          <cell r="W351">
            <v>0</v>
          </cell>
          <cell r="AA351">
            <v>0</v>
          </cell>
          <cell r="AB351">
            <v>0</v>
          </cell>
          <cell r="AC351">
            <v>0</v>
          </cell>
          <cell r="AD351">
            <v>34</v>
          </cell>
          <cell r="AE351">
            <v>312000</v>
          </cell>
          <cell r="AF351">
            <v>0</v>
          </cell>
          <cell r="AI351">
            <v>2282</v>
          </cell>
          <cell r="AK351">
            <v>0</v>
          </cell>
          <cell r="AM351">
            <v>591</v>
          </cell>
          <cell r="AN351">
            <v>1</v>
          </cell>
          <cell r="AO351">
            <v>393216</v>
          </cell>
          <cell r="AQ351">
            <v>0</v>
          </cell>
          <cell r="AR351">
            <v>0</v>
          </cell>
          <cell r="AS351" t="str">
            <v>Ы</v>
          </cell>
          <cell r="AT351" t="str">
            <v>Ы</v>
          </cell>
          <cell r="AU351">
            <v>0</v>
          </cell>
          <cell r="AV351">
            <v>0</v>
          </cell>
          <cell r="AW351">
            <v>23</v>
          </cell>
          <cell r="AX351">
            <v>1</v>
          </cell>
          <cell r="AY351">
            <v>0</v>
          </cell>
          <cell r="AZ351">
            <v>0</v>
          </cell>
          <cell r="BA351">
            <v>0</v>
          </cell>
          <cell r="BB351">
            <v>0</v>
          </cell>
          <cell r="BC351">
            <v>38828</v>
          </cell>
        </row>
        <row r="352">
          <cell r="A352">
            <v>2006</v>
          </cell>
          <cell r="B352">
            <v>3</v>
          </cell>
          <cell r="C352">
            <v>435</v>
          </cell>
          <cell r="D352">
            <v>21</v>
          </cell>
          <cell r="E352">
            <v>792030</v>
          </cell>
          <cell r="F352">
            <v>0</v>
          </cell>
          <cell r="G352" t="str">
            <v>Затраты по ШПЗ (неосновные)</v>
          </cell>
          <cell r="H352">
            <v>2030</v>
          </cell>
          <cell r="I352">
            <v>7920</v>
          </cell>
          <cell r="J352">
            <v>4143.55</v>
          </cell>
          <cell r="K352">
            <v>1</v>
          </cell>
          <cell r="L352">
            <v>0</v>
          </cell>
          <cell r="M352">
            <v>0</v>
          </cell>
          <cell r="N352">
            <v>0</v>
          </cell>
          <cell r="R352">
            <v>0</v>
          </cell>
          <cell r="S352">
            <v>0</v>
          </cell>
          <cell r="T352">
            <v>0</v>
          </cell>
          <cell r="U352">
            <v>34</v>
          </cell>
          <cell r="V352">
            <v>0</v>
          </cell>
          <cell r="W352">
            <v>0</v>
          </cell>
          <cell r="AA352">
            <v>0</v>
          </cell>
          <cell r="AB352">
            <v>0</v>
          </cell>
          <cell r="AC352">
            <v>0</v>
          </cell>
          <cell r="AD352">
            <v>34</v>
          </cell>
          <cell r="AE352">
            <v>312100</v>
          </cell>
          <cell r="AF352">
            <v>0</v>
          </cell>
          <cell r="AI352">
            <v>2282</v>
          </cell>
          <cell r="AK352">
            <v>0</v>
          </cell>
          <cell r="AM352">
            <v>592</v>
          </cell>
          <cell r="AN352">
            <v>1</v>
          </cell>
          <cell r="AO352">
            <v>393216</v>
          </cell>
          <cell r="AQ352">
            <v>0</v>
          </cell>
          <cell r="AR352">
            <v>0</v>
          </cell>
          <cell r="AS352" t="str">
            <v>Ы</v>
          </cell>
          <cell r="AT352" t="str">
            <v>Ы</v>
          </cell>
          <cell r="AU352">
            <v>0</v>
          </cell>
          <cell r="AV352">
            <v>0</v>
          </cell>
          <cell r="AW352">
            <v>23</v>
          </cell>
          <cell r="AX352">
            <v>1</v>
          </cell>
          <cell r="AY352">
            <v>0</v>
          </cell>
          <cell r="AZ352">
            <v>0</v>
          </cell>
          <cell r="BA352">
            <v>0</v>
          </cell>
          <cell r="BB352">
            <v>0</v>
          </cell>
          <cell r="BC352">
            <v>38828</v>
          </cell>
        </row>
        <row r="353">
          <cell r="A353">
            <v>2006</v>
          </cell>
          <cell r="B353">
            <v>3</v>
          </cell>
          <cell r="C353">
            <v>436</v>
          </cell>
          <cell r="D353">
            <v>21</v>
          </cell>
          <cell r="E353">
            <v>792030</v>
          </cell>
          <cell r="F353">
            <v>0</v>
          </cell>
          <cell r="G353" t="str">
            <v>Затраты по ШПЗ (неосновные)</v>
          </cell>
          <cell r="H353">
            <v>2030</v>
          </cell>
          <cell r="I353">
            <v>7920</v>
          </cell>
          <cell r="J353">
            <v>43405.35</v>
          </cell>
          <cell r="K353">
            <v>1</v>
          </cell>
          <cell r="L353">
            <v>0</v>
          </cell>
          <cell r="M353">
            <v>0</v>
          </cell>
          <cell r="N353">
            <v>0</v>
          </cell>
          <cell r="R353">
            <v>0</v>
          </cell>
          <cell r="S353">
            <v>0</v>
          </cell>
          <cell r="T353">
            <v>0</v>
          </cell>
          <cell r="U353">
            <v>34</v>
          </cell>
          <cell r="V353">
            <v>0</v>
          </cell>
          <cell r="W353">
            <v>0</v>
          </cell>
          <cell r="AA353">
            <v>0</v>
          </cell>
          <cell r="AB353">
            <v>0</v>
          </cell>
          <cell r="AC353">
            <v>0</v>
          </cell>
          <cell r="AD353">
            <v>34</v>
          </cell>
          <cell r="AE353">
            <v>312200</v>
          </cell>
          <cell r="AF353">
            <v>0</v>
          </cell>
          <cell r="AI353">
            <v>2282</v>
          </cell>
          <cell r="AK353">
            <v>0</v>
          </cell>
          <cell r="AM353">
            <v>593</v>
          </cell>
          <cell r="AN353">
            <v>1</v>
          </cell>
          <cell r="AO353">
            <v>393216</v>
          </cell>
          <cell r="AQ353">
            <v>0</v>
          </cell>
          <cell r="AR353">
            <v>0</v>
          </cell>
          <cell r="AS353" t="str">
            <v>Ы</v>
          </cell>
          <cell r="AT353" t="str">
            <v>Ы</v>
          </cell>
          <cell r="AU353">
            <v>0</v>
          </cell>
          <cell r="AV353">
            <v>0</v>
          </cell>
          <cell r="AW353">
            <v>23</v>
          </cell>
          <cell r="AX353">
            <v>1</v>
          </cell>
          <cell r="AY353">
            <v>0</v>
          </cell>
          <cell r="AZ353">
            <v>0</v>
          </cell>
          <cell r="BA353">
            <v>0</v>
          </cell>
          <cell r="BB353">
            <v>0</v>
          </cell>
          <cell r="BC353">
            <v>38828</v>
          </cell>
        </row>
        <row r="354">
          <cell r="A354">
            <v>2006</v>
          </cell>
          <cell r="B354">
            <v>3</v>
          </cell>
          <cell r="C354">
            <v>437</v>
          </cell>
          <cell r="D354">
            <v>21</v>
          </cell>
          <cell r="E354">
            <v>792030</v>
          </cell>
          <cell r="F354">
            <v>0</v>
          </cell>
          <cell r="G354" t="str">
            <v>Затраты по ШПЗ (неосновные)</v>
          </cell>
          <cell r="H354">
            <v>2030</v>
          </cell>
          <cell r="I354">
            <v>7920</v>
          </cell>
          <cell r="J354">
            <v>3735.99</v>
          </cell>
          <cell r="K354">
            <v>1</v>
          </cell>
          <cell r="L354">
            <v>0</v>
          </cell>
          <cell r="M354">
            <v>0</v>
          </cell>
          <cell r="N354">
            <v>0</v>
          </cell>
          <cell r="R354">
            <v>0</v>
          </cell>
          <cell r="S354">
            <v>0</v>
          </cell>
          <cell r="T354">
            <v>0</v>
          </cell>
          <cell r="U354">
            <v>34</v>
          </cell>
          <cell r="V354">
            <v>0</v>
          </cell>
          <cell r="W354">
            <v>0</v>
          </cell>
          <cell r="AA354">
            <v>0</v>
          </cell>
          <cell r="AB354">
            <v>0</v>
          </cell>
          <cell r="AC354">
            <v>0</v>
          </cell>
          <cell r="AD354">
            <v>34</v>
          </cell>
          <cell r="AE354">
            <v>313000</v>
          </cell>
          <cell r="AF354">
            <v>0</v>
          </cell>
          <cell r="AI354">
            <v>2282</v>
          </cell>
          <cell r="AK354">
            <v>0</v>
          </cell>
          <cell r="AM354">
            <v>594</v>
          </cell>
          <cell r="AN354">
            <v>1</v>
          </cell>
          <cell r="AO354">
            <v>393216</v>
          </cell>
          <cell r="AQ354">
            <v>0</v>
          </cell>
          <cell r="AR354">
            <v>0</v>
          </cell>
          <cell r="AS354" t="str">
            <v>Ы</v>
          </cell>
          <cell r="AT354" t="str">
            <v>Ы</v>
          </cell>
          <cell r="AU354">
            <v>0</v>
          </cell>
          <cell r="AV354">
            <v>0</v>
          </cell>
          <cell r="AW354">
            <v>23</v>
          </cell>
          <cell r="AX354">
            <v>1</v>
          </cell>
          <cell r="AY354">
            <v>0</v>
          </cell>
          <cell r="AZ354">
            <v>0</v>
          </cell>
          <cell r="BA354">
            <v>0</v>
          </cell>
          <cell r="BB354">
            <v>0</v>
          </cell>
          <cell r="BC354">
            <v>38828</v>
          </cell>
        </row>
        <row r="355">
          <cell r="A355">
            <v>2006</v>
          </cell>
          <cell r="B355">
            <v>3</v>
          </cell>
          <cell r="C355">
            <v>438</v>
          </cell>
          <cell r="D355">
            <v>21</v>
          </cell>
          <cell r="E355">
            <v>792030</v>
          </cell>
          <cell r="F355">
            <v>0</v>
          </cell>
          <cell r="G355" t="str">
            <v>Затраты по ШПЗ (неосновные)</v>
          </cell>
          <cell r="H355">
            <v>2030</v>
          </cell>
          <cell r="I355">
            <v>7920</v>
          </cell>
          <cell r="J355">
            <v>6792.7</v>
          </cell>
          <cell r="K355">
            <v>1</v>
          </cell>
          <cell r="L355">
            <v>0</v>
          </cell>
          <cell r="M355">
            <v>0</v>
          </cell>
          <cell r="N355">
            <v>0</v>
          </cell>
          <cell r="R355">
            <v>0</v>
          </cell>
          <cell r="S355">
            <v>0</v>
          </cell>
          <cell r="T355">
            <v>0</v>
          </cell>
          <cell r="U355">
            <v>34</v>
          </cell>
          <cell r="V355">
            <v>0</v>
          </cell>
          <cell r="W355">
            <v>0</v>
          </cell>
          <cell r="AA355">
            <v>0</v>
          </cell>
          <cell r="AB355">
            <v>0</v>
          </cell>
          <cell r="AC355">
            <v>0</v>
          </cell>
          <cell r="AD355">
            <v>34</v>
          </cell>
          <cell r="AE355">
            <v>314000</v>
          </cell>
          <cell r="AF355">
            <v>0</v>
          </cell>
          <cell r="AI355">
            <v>2282</v>
          </cell>
          <cell r="AK355">
            <v>0</v>
          </cell>
          <cell r="AM355">
            <v>595</v>
          </cell>
          <cell r="AN355">
            <v>1</v>
          </cell>
          <cell r="AO355">
            <v>393216</v>
          </cell>
          <cell r="AQ355">
            <v>0</v>
          </cell>
          <cell r="AR355">
            <v>0</v>
          </cell>
          <cell r="AS355" t="str">
            <v>Ы</v>
          </cell>
          <cell r="AT355" t="str">
            <v>Ы</v>
          </cell>
          <cell r="AU355">
            <v>0</v>
          </cell>
          <cell r="AV355">
            <v>0</v>
          </cell>
          <cell r="AW355">
            <v>23</v>
          </cell>
          <cell r="AX355">
            <v>1</v>
          </cell>
          <cell r="AY355">
            <v>0</v>
          </cell>
          <cell r="AZ355">
            <v>0</v>
          </cell>
          <cell r="BA355">
            <v>0</v>
          </cell>
          <cell r="BB355">
            <v>0</v>
          </cell>
          <cell r="BC355">
            <v>38828</v>
          </cell>
        </row>
        <row r="356">
          <cell r="A356">
            <v>2006</v>
          </cell>
          <cell r="B356">
            <v>3</v>
          </cell>
          <cell r="C356">
            <v>439</v>
          </cell>
          <cell r="D356">
            <v>21</v>
          </cell>
          <cell r="E356">
            <v>792030</v>
          </cell>
          <cell r="F356">
            <v>0</v>
          </cell>
          <cell r="G356" t="str">
            <v>Затраты по ШПЗ (неосновные)</v>
          </cell>
          <cell r="H356">
            <v>2030</v>
          </cell>
          <cell r="I356">
            <v>7920</v>
          </cell>
          <cell r="J356">
            <v>1358.53</v>
          </cell>
          <cell r="K356">
            <v>1</v>
          </cell>
          <cell r="L356">
            <v>0</v>
          </cell>
          <cell r="M356">
            <v>0</v>
          </cell>
          <cell r="N356">
            <v>0</v>
          </cell>
          <cell r="R356">
            <v>0</v>
          </cell>
          <cell r="S356">
            <v>0</v>
          </cell>
          <cell r="T356">
            <v>0</v>
          </cell>
          <cell r="U356">
            <v>34</v>
          </cell>
          <cell r="V356">
            <v>0</v>
          </cell>
          <cell r="W356">
            <v>0</v>
          </cell>
          <cell r="AA356">
            <v>0</v>
          </cell>
          <cell r="AB356">
            <v>0</v>
          </cell>
          <cell r="AC356">
            <v>0</v>
          </cell>
          <cell r="AD356">
            <v>34</v>
          </cell>
          <cell r="AE356">
            <v>315000</v>
          </cell>
          <cell r="AF356">
            <v>0</v>
          </cell>
          <cell r="AI356">
            <v>2282</v>
          </cell>
          <cell r="AK356">
            <v>0</v>
          </cell>
          <cell r="AM356">
            <v>596</v>
          </cell>
          <cell r="AN356">
            <v>1</v>
          </cell>
          <cell r="AO356">
            <v>393216</v>
          </cell>
          <cell r="AQ356">
            <v>0</v>
          </cell>
          <cell r="AR356">
            <v>0</v>
          </cell>
          <cell r="AS356" t="str">
            <v>Ы</v>
          </cell>
          <cell r="AT356" t="str">
            <v>Ы</v>
          </cell>
          <cell r="AU356">
            <v>0</v>
          </cell>
          <cell r="AV356">
            <v>0</v>
          </cell>
          <cell r="AW356">
            <v>23</v>
          </cell>
          <cell r="AX356">
            <v>1</v>
          </cell>
          <cell r="AY356">
            <v>0</v>
          </cell>
          <cell r="AZ356">
            <v>0</v>
          </cell>
          <cell r="BA356">
            <v>0</v>
          </cell>
          <cell r="BB356">
            <v>0</v>
          </cell>
          <cell r="BC356">
            <v>38828</v>
          </cell>
        </row>
        <row r="357">
          <cell r="A357">
            <v>2006</v>
          </cell>
          <cell r="B357">
            <v>3</v>
          </cell>
          <cell r="C357">
            <v>501</v>
          </cell>
          <cell r="D357">
            <v>21</v>
          </cell>
          <cell r="E357">
            <v>792030</v>
          </cell>
          <cell r="F357">
            <v>0</v>
          </cell>
          <cell r="G357" t="str">
            <v>Затраты по ШПЗ (неосновные)</v>
          </cell>
          <cell r="H357">
            <v>2030</v>
          </cell>
          <cell r="I357">
            <v>7920</v>
          </cell>
          <cell r="J357">
            <v>203040</v>
          </cell>
          <cell r="K357">
            <v>1</v>
          </cell>
          <cell r="L357">
            <v>0</v>
          </cell>
          <cell r="M357">
            <v>0</v>
          </cell>
          <cell r="N357">
            <v>0</v>
          </cell>
          <cell r="R357">
            <v>0</v>
          </cell>
          <cell r="S357">
            <v>0</v>
          </cell>
          <cell r="T357">
            <v>0</v>
          </cell>
          <cell r="U357">
            <v>37</v>
          </cell>
          <cell r="V357">
            <v>0</v>
          </cell>
          <cell r="W357">
            <v>0</v>
          </cell>
          <cell r="AA357">
            <v>0</v>
          </cell>
          <cell r="AB357">
            <v>0</v>
          </cell>
          <cell r="AC357">
            <v>0</v>
          </cell>
          <cell r="AD357">
            <v>37</v>
          </cell>
          <cell r="AE357">
            <v>110000</v>
          </cell>
          <cell r="AF357">
            <v>0</v>
          </cell>
          <cell r="AI357">
            <v>2282</v>
          </cell>
          <cell r="AK357">
            <v>0</v>
          </cell>
          <cell r="AM357">
            <v>658</v>
          </cell>
          <cell r="AN357">
            <v>1</v>
          </cell>
          <cell r="AO357">
            <v>393216</v>
          </cell>
          <cell r="AQ357">
            <v>0</v>
          </cell>
          <cell r="AR357">
            <v>0</v>
          </cell>
          <cell r="AS357" t="str">
            <v>Ы</v>
          </cell>
          <cell r="AT357" t="str">
            <v>Ы</v>
          </cell>
          <cell r="AU357">
            <v>0</v>
          </cell>
          <cell r="AV357">
            <v>0</v>
          </cell>
          <cell r="AW357">
            <v>23</v>
          </cell>
          <cell r="AX357">
            <v>1</v>
          </cell>
          <cell r="AY357">
            <v>0</v>
          </cell>
          <cell r="AZ357">
            <v>0</v>
          </cell>
          <cell r="BA357">
            <v>0</v>
          </cell>
          <cell r="BB357">
            <v>0</v>
          </cell>
          <cell r="BC357">
            <v>38828</v>
          </cell>
        </row>
        <row r="358">
          <cell r="A358">
            <v>2006</v>
          </cell>
          <cell r="B358">
            <v>3</v>
          </cell>
          <cell r="C358">
            <v>502</v>
          </cell>
          <cell r="D358">
            <v>21</v>
          </cell>
          <cell r="E358">
            <v>792030</v>
          </cell>
          <cell r="F358">
            <v>0</v>
          </cell>
          <cell r="G358" t="str">
            <v>Затраты по ШПЗ (неосновные)</v>
          </cell>
          <cell r="H358">
            <v>2030</v>
          </cell>
          <cell r="I358">
            <v>7920</v>
          </cell>
          <cell r="J358">
            <v>68000</v>
          </cell>
          <cell r="K358">
            <v>1</v>
          </cell>
          <cell r="L358">
            <v>0</v>
          </cell>
          <cell r="M358">
            <v>0</v>
          </cell>
          <cell r="N358">
            <v>0</v>
          </cell>
          <cell r="R358">
            <v>0</v>
          </cell>
          <cell r="S358">
            <v>0</v>
          </cell>
          <cell r="T358">
            <v>0</v>
          </cell>
          <cell r="U358">
            <v>37</v>
          </cell>
          <cell r="V358">
            <v>0</v>
          </cell>
          <cell r="W358">
            <v>0</v>
          </cell>
          <cell r="AA358">
            <v>0</v>
          </cell>
          <cell r="AB358">
            <v>0</v>
          </cell>
          <cell r="AC358">
            <v>0</v>
          </cell>
          <cell r="AD358">
            <v>37</v>
          </cell>
          <cell r="AE358">
            <v>131000</v>
          </cell>
          <cell r="AF358">
            <v>0</v>
          </cell>
          <cell r="AI358">
            <v>2282</v>
          </cell>
          <cell r="AK358">
            <v>0</v>
          </cell>
          <cell r="AM358">
            <v>659</v>
          </cell>
          <cell r="AN358">
            <v>1</v>
          </cell>
          <cell r="AO358">
            <v>393216</v>
          </cell>
          <cell r="AQ358">
            <v>0</v>
          </cell>
          <cell r="AR358">
            <v>0</v>
          </cell>
          <cell r="AS358" t="str">
            <v>Ы</v>
          </cell>
          <cell r="AT358" t="str">
            <v>Ы</v>
          </cell>
          <cell r="AU358">
            <v>0</v>
          </cell>
          <cell r="AV358">
            <v>0</v>
          </cell>
          <cell r="AW358">
            <v>23</v>
          </cell>
          <cell r="AX358">
            <v>1</v>
          </cell>
          <cell r="AY358">
            <v>0</v>
          </cell>
          <cell r="AZ358">
            <v>0</v>
          </cell>
          <cell r="BA358">
            <v>0</v>
          </cell>
          <cell r="BB358">
            <v>0</v>
          </cell>
          <cell r="BC358">
            <v>38828</v>
          </cell>
        </row>
        <row r="359">
          <cell r="A359">
            <v>2006</v>
          </cell>
          <cell r="B359">
            <v>3</v>
          </cell>
          <cell r="C359">
            <v>503</v>
          </cell>
          <cell r="D359">
            <v>21</v>
          </cell>
          <cell r="E359">
            <v>792030</v>
          </cell>
          <cell r="F359">
            <v>0</v>
          </cell>
          <cell r="G359" t="str">
            <v>Затраты по ШПЗ (неосновные)</v>
          </cell>
          <cell r="H359">
            <v>2030</v>
          </cell>
          <cell r="I359">
            <v>7920</v>
          </cell>
          <cell r="J359">
            <v>2546270</v>
          </cell>
          <cell r="K359">
            <v>1</v>
          </cell>
          <cell r="L359">
            <v>0</v>
          </cell>
          <cell r="M359">
            <v>0</v>
          </cell>
          <cell r="N359">
            <v>0</v>
          </cell>
          <cell r="R359">
            <v>0</v>
          </cell>
          <cell r="S359">
            <v>0</v>
          </cell>
          <cell r="T359">
            <v>0</v>
          </cell>
          <cell r="U359">
            <v>37</v>
          </cell>
          <cell r="V359">
            <v>0</v>
          </cell>
          <cell r="W359">
            <v>0</v>
          </cell>
          <cell r="AA359">
            <v>0</v>
          </cell>
          <cell r="AB359">
            <v>0</v>
          </cell>
          <cell r="AC359">
            <v>0</v>
          </cell>
          <cell r="AD359">
            <v>37</v>
          </cell>
          <cell r="AE359">
            <v>240000</v>
          </cell>
          <cell r="AF359">
            <v>0</v>
          </cell>
          <cell r="AI359">
            <v>2282</v>
          </cell>
          <cell r="AK359">
            <v>0</v>
          </cell>
          <cell r="AM359">
            <v>660</v>
          </cell>
          <cell r="AN359">
            <v>1</v>
          </cell>
          <cell r="AO359">
            <v>393216</v>
          </cell>
          <cell r="AQ359">
            <v>0</v>
          </cell>
          <cell r="AR359">
            <v>0</v>
          </cell>
          <cell r="AS359" t="str">
            <v>Ы</v>
          </cell>
          <cell r="AT359" t="str">
            <v>Ы</v>
          </cell>
          <cell r="AU359">
            <v>0</v>
          </cell>
          <cell r="AV359">
            <v>0</v>
          </cell>
          <cell r="AW359">
            <v>23</v>
          </cell>
          <cell r="AX359">
            <v>1</v>
          </cell>
          <cell r="AY359">
            <v>0</v>
          </cell>
          <cell r="AZ359">
            <v>0</v>
          </cell>
          <cell r="BA359">
            <v>0</v>
          </cell>
          <cell r="BB359">
            <v>0</v>
          </cell>
          <cell r="BC359">
            <v>38828</v>
          </cell>
        </row>
        <row r="360">
          <cell r="A360">
            <v>2006</v>
          </cell>
          <cell r="B360">
            <v>3</v>
          </cell>
          <cell r="C360">
            <v>504</v>
          </cell>
          <cell r="D360">
            <v>21</v>
          </cell>
          <cell r="E360">
            <v>792030</v>
          </cell>
          <cell r="F360">
            <v>0</v>
          </cell>
          <cell r="G360" t="str">
            <v>Затраты по ШПЗ (неосновные)</v>
          </cell>
          <cell r="H360">
            <v>2030</v>
          </cell>
          <cell r="I360">
            <v>7920</v>
          </cell>
          <cell r="J360">
            <v>120008.04</v>
          </cell>
          <cell r="K360">
            <v>1</v>
          </cell>
          <cell r="L360">
            <v>0</v>
          </cell>
          <cell r="M360">
            <v>0</v>
          </cell>
          <cell r="N360">
            <v>0</v>
          </cell>
          <cell r="R360">
            <v>0</v>
          </cell>
          <cell r="S360">
            <v>0</v>
          </cell>
          <cell r="T360">
            <v>0</v>
          </cell>
          <cell r="U360">
            <v>37</v>
          </cell>
          <cell r="V360">
            <v>0</v>
          </cell>
          <cell r="W360">
            <v>0</v>
          </cell>
          <cell r="AA360">
            <v>0</v>
          </cell>
          <cell r="AB360">
            <v>0</v>
          </cell>
          <cell r="AC360">
            <v>0</v>
          </cell>
          <cell r="AD360">
            <v>37</v>
          </cell>
          <cell r="AE360">
            <v>311000</v>
          </cell>
          <cell r="AF360">
            <v>0</v>
          </cell>
          <cell r="AI360">
            <v>2282</v>
          </cell>
          <cell r="AK360">
            <v>0</v>
          </cell>
          <cell r="AM360">
            <v>661</v>
          </cell>
          <cell r="AN360">
            <v>1</v>
          </cell>
          <cell r="AO360">
            <v>393216</v>
          </cell>
          <cell r="AQ360">
            <v>0</v>
          </cell>
          <cell r="AR360">
            <v>0</v>
          </cell>
          <cell r="AS360" t="str">
            <v>Ы</v>
          </cell>
          <cell r="AT360" t="str">
            <v>Ы</v>
          </cell>
          <cell r="AU360">
            <v>0</v>
          </cell>
          <cell r="AV360">
            <v>0</v>
          </cell>
          <cell r="AW360">
            <v>23</v>
          </cell>
          <cell r="AX360">
            <v>1</v>
          </cell>
          <cell r="AY360">
            <v>0</v>
          </cell>
          <cell r="AZ360">
            <v>0</v>
          </cell>
          <cell r="BA360">
            <v>0</v>
          </cell>
          <cell r="BB360">
            <v>0</v>
          </cell>
          <cell r="BC360">
            <v>38828</v>
          </cell>
        </row>
        <row r="361">
          <cell r="A361">
            <v>2006</v>
          </cell>
          <cell r="B361">
            <v>3</v>
          </cell>
          <cell r="C361">
            <v>505</v>
          </cell>
          <cell r="D361">
            <v>21</v>
          </cell>
          <cell r="E361">
            <v>792030</v>
          </cell>
          <cell r="F361">
            <v>0</v>
          </cell>
          <cell r="G361" t="str">
            <v>Затраты по ШПЗ (неосновные)</v>
          </cell>
          <cell r="H361">
            <v>2030</v>
          </cell>
          <cell r="I361">
            <v>7920</v>
          </cell>
          <cell r="J361">
            <v>469750.03</v>
          </cell>
          <cell r="K361">
            <v>1</v>
          </cell>
          <cell r="L361">
            <v>0</v>
          </cell>
          <cell r="M361">
            <v>0</v>
          </cell>
          <cell r="N361">
            <v>0</v>
          </cell>
          <cell r="R361">
            <v>0</v>
          </cell>
          <cell r="S361">
            <v>0</v>
          </cell>
          <cell r="T361">
            <v>0</v>
          </cell>
          <cell r="U361">
            <v>37</v>
          </cell>
          <cell r="V361">
            <v>0</v>
          </cell>
          <cell r="W361">
            <v>0</v>
          </cell>
          <cell r="AA361">
            <v>0</v>
          </cell>
          <cell r="AB361">
            <v>0</v>
          </cell>
          <cell r="AC361">
            <v>0</v>
          </cell>
          <cell r="AD361">
            <v>37</v>
          </cell>
          <cell r="AE361">
            <v>312000</v>
          </cell>
          <cell r="AF361">
            <v>0</v>
          </cell>
          <cell r="AI361">
            <v>2282</v>
          </cell>
          <cell r="AK361">
            <v>0</v>
          </cell>
          <cell r="AM361">
            <v>662</v>
          </cell>
          <cell r="AN361">
            <v>1</v>
          </cell>
          <cell r="AO361">
            <v>393216</v>
          </cell>
          <cell r="AQ361">
            <v>0</v>
          </cell>
          <cell r="AR361">
            <v>0</v>
          </cell>
          <cell r="AS361" t="str">
            <v>Ы</v>
          </cell>
          <cell r="AT361" t="str">
            <v>Ы</v>
          </cell>
          <cell r="AU361">
            <v>0</v>
          </cell>
          <cell r="AV361">
            <v>0</v>
          </cell>
          <cell r="AW361">
            <v>23</v>
          </cell>
          <cell r="AX361">
            <v>1</v>
          </cell>
          <cell r="AY361">
            <v>0</v>
          </cell>
          <cell r="AZ361">
            <v>0</v>
          </cell>
          <cell r="BA361">
            <v>0</v>
          </cell>
          <cell r="BB361">
            <v>0</v>
          </cell>
          <cell r="BC361">
            <v>38828</v>
          </cell>
        </row>
        <row r="362">
          <cell r="A362">
            <v>2006</v>
          </cell>
          <cell r="B362">
            <v>3</v>
          </cell>
          <cell r="C362">
            <v>506</v>
          </cell>
          <cell r="D362">
            <v>21</v>
          </cell>
          <cell r="E362">
            <v>792030</v>
          </cell>
          <cell r="F362">
            <v>0</v>
          </cell>
          <cell r="G362" t="str">
            <v>Затраты по ШПЗ (неосновные)</v>
          </cell>
          <cell r="H362">
            <v>2030</v>
          </cell>
          <cell r="I362">
            <v>7920</v>
          </cell>
          <cell r="J362">
            <v>25817.02</v>
          </cell>
          <cell r="K362">
            <v>1</v>
          </cell>
          <cell r="L362">
            <v>0</v>
          </cell>
          <cell r="M362">
            <v>0</v>
          </cell>
          <cell r="N362">
            <v>0</v>
          </cell>
          <cell r="R362">
            <v>0</v>
          </cell>
          <cell r="S362">
            <v>0</v>
          </cell>
          <cell r="T362">
            <v>0</v>
          </cell>
          <cell r="U362">
            <v>37</v>
          </cell>
          <cell r="V362">
            <v>0</v>
          </cell>
          <cell r="W362">
            <v>0</v>
          </cell>
          <cell r="AA362">
            <v>0</v>
          </cell>
          <cell r="AB362">
            <v>0</v>
          </cell>
          <cell r="AC362">
            <v>0</v>
          </cell>
          <cell r="AD362">
            <v>37</v>
          </cell>
          <cell r="AE362">
            <v>313000</v>
          </cell>
          <cell r="AF362">
            <v>0</v>
          </cell>
          <cell r="AI362">
            <v>2282</v>
          </cell>
          <cell r="AK362">
            <v>0</v>
          </cell>
          <cell r="AM362">
            <v>663</v>
          </cell>
          <cell r="AN362">
            <v>1</v>
          </cell>
          <cell r="AO362">
            <v>393216</v>
          </cell>
          <cell r="AQ362">
            <v>0</v>
          </cell>
          <cell r="AR362">
            <v>0</v>
          </cell>
          <cell r="AS362" t="str">
            <v>Ы</v>
          </cell>
          <cell r="AT362" t="str">
            <v>Ы</v>
          </cell>
          <cell r="AU362">
            <v>0</v>
          </cell>
          <cell r="AV362">
            <v>0</v>
          </cell>
          <cell r="AW362">
            <v>23</v>
          </cell>
          <cell r="AX362">
            <v>1</v>
          </cell>
          <cell r="AY362">
            <v>0</v>
          </cell>
          <cell r="AZ362">
            <v>0</v>
          </cell>
          <cell r="BA362">
            <v>0</v>
          </cell>
          <cell r="BB362">
            <v>0</v>
          </cell>
          <cell r="BC362">
            <v>38828</v>
          </cell>
        </row>
        <row r="363">
          <cell r="A363">
            <v>2006</v>
          </cell>
          <cell r="B363">
            <v>3</v>
          </cell>
          <cell r="C363">
            <v>507</v>
          </cell>
          <cell r="D363">
            <v>21</v>
          </cell>
          <cell r="E363">
            <v>792030</v>
          </cell>
          <cell r="F363">
            <v>0</v>
          </cell>
          <cell r="G363" t="str">
            <v>Затраты по ШПЗ (неосновные)</v>
          </cell>
          <cell r="H363">
            <v>2030</v>
          </cell>
          <cell r="I363">
            <v>7920</v>
          </cell>
          <cell r="J363">
            <v>46939.99</v>
          </cell>
          <cell r="K363">
            <v>1</v>
          </cell>
          <cell r="L363">
            <v>0</v>
          </cell>
          <cell r="M363">
            <v>0</v>
          </cell>
          <cell r="N363">
            <v>0</v>
          </cell>
          <cell r="R363">
            <v>0</v>
          </cell>
          <cell r="S363">
            <v>0</v>
          </cell>
          <cell r="T363">
            <v>0</v>
          </cell>
          <cell r="U363">
            <v>37</v>
          </cell>
          <cell r="V363">
            <v>0</v>
          </cell>
          <cell r="W363">
            <v>0</v>
          </cell>
          <cell r="AA363">
            <v>0</v>
          </cell>
          <cell r="AB363">
            <v>0</v>
          </cell>
          <cell r="AC363">
            <v>0</v>
          </cell>
          <cell r="AD363">
            <v>37</v>
          </cell>
          <cell r="AE363">
            <v>314000</v>
          </cell>
          <cell r="AF363">
            <v>0</v>
          </cell>
          <cell r="AI363">
            <v>2282</v>
          </cell>
          <cell r="AK363">
            <v>0</v>
          </cell>
          <cell r="AM363">
            <v>664</v>
          </cell>
          <cell r="AN363">
            <v>1</v>
          </cell>
          <cell r="AO363">
            <v>393216</v>
          </cell>
          <cell r="AQ363">
            <v>0</v>
          </cell>
          <cell r="AR363">
            <v>0</v>
          </cell>
          <cell r="AS363" t="str">
            <v>Ы</v>
          </cell>
          <cell r="AT363" t="str">
            <v>Ы</v>
          </cell>
          <cell r="AU363">
            <v>0</v>
          </cell>
          <cell r="AV363">
            <v>0</v>
          </cell>
          <cell r="AW363">
            <v>23</v>
          </cell>
          <cell r="AX363">
            <v>1</v>
          </cell>
          <cell r="AY363">
            <v>0</v>
          </cell>
          <cell r="AZ363">
            <v>0</v>
          </cell>
          <cell r="BA363">
            <v>0</v>
          </cell>
          <cell r="BB363">
            <v>0</v>
          </cell>
          <cell r="BC363">
            <v>38828</v>
          </cell>
        </row>
        <row r="364">
          <cell r="A364">
            <v>2006</v>
          </cell>
          <cell r="B364">
            <v>3</v>
          </cell>
          <cell r="C364">
            <v>508</v>
          </cell>
          <cell r="D364">
            <v>21</v>
          </cell>
          <cell r="E364">
            <v>792030</v>
          </cell>
          <cell r="F364">
            <v>0</v>
          </cell>
          <cell r="G364" t="str">
            <v>Затраты по ШПЗ (неосновные)</v>
          </cell>
          <cell r="H364">
            <v>2030</v>
          </cell>
          <cell r="I364">
            <v>7920</v>
          </cell>
          <cell r="J364">
            <v>9394.02</v>
          </cell>
          <cell r="K364">
            <v>1</v>
          </cell>
          <cell r="L364">
            <v>0</v>
          </cell>
          <cell r="M364">
            <v>0</v>
          </cell>
          <cell r="N364">
            <v>0</v>
          </cell>
          <cell r="R364">
            <v>0</v>
          </cell>
          <cell r="S364">
            <v>0</v>
          </cell>
          <cell r="T364">
            <v>0</v>
          </cell>
          <cell r="U364">
            <v>37</v>
          </cell>
          <cell r="V364">
            <v>0</v>
          </cell>
          <cell r="W364">
            <v>0</v>
          </cell>
          <cell r="AA364">
            <v>0</v>
          </cell>
          <cell r="AB364">
            <v>0</v>
          </cell>
          <cell r="AC364">
            <v>0</v>
          </cell>
          <cell r="AD364">
            <v>37</v>
          </cell>
          <cell r="AE364">
            <v>315000</v>
          </cell>
          <cell r="AF364">
            <v>0</v>
          </cell>
          <cell r="AI364">
            <v>2282</v>
          </cell>
          <cell r="AK364">
            <v>0</v>
          </cell>
          <cell r="AM364">
            <v>665</v>
          </cell>
          <cell r="AN364">
            <v>1</v>
          </cell>
          <cell r="AO364">
            <v>393216</v>
          </cell>
          <cell r="AQ364">
            <v>0</v>
          </cell>
          <cell r="AR364">
            <v>0</v>
          </cell>
          <cell r="AS364" t="str">
            <v>Ы</v>
          </cell>
          <cell r="AT364" t="str">
            <v>Ы</v>
          </cell>
          <cell r="AU364">
            <v>0</v>
          </cell>
          <cell r="AV364">
            <v>0</v>
          </cell>
          <cell r="AW364">
            <v>23</v>
          </cell>
          <cell r="AX364">
            <v>1</v>
          </cell>
          <cell r="AY364">
            <v>0</v>
          </cell>
          <cell r="AZ364">
            <v>0</v>
          </cell>
          <cell r="BA364">
            <v>0</v>
          </cell>
          <cell r="BB364">
            <v>0</v>
          </cell>
          <cell r="BC364">
            <v>38828</v>
          </cell>
        </row>
        <row r="365">
          <cell r="A365">
            <v>2006</v>
          </cell>
          <cell r="B365">
            <v>3</v>
          </cell>
          <cell r="C365">
            <v>509</v>
          </cell>
          <cell r="D365">
            <v>21</v>
          </cell>
          <cell r="E365">
            <v>792030</v>
          </cell>
          <cell r="F365">
            <v>0</v>
          </cell>
          <cell r="G365" t="str">
            <v>Затраты по ШПЗ (неосновные)</v>
          </cell>
          <cell r="H365">
            <v>2030</v>
          </cell>
          <cell r="I365">
            <v>7920</v>
          </cell>
          <cell r="J365">
            <v>140082</v>
          </cell>
          <cell r="K365">
            <v>1</v>
          </cell>
          <cell r="L365">
            <v>0</v>
          </cell>
          <cell r="M365">
            <v>0</v>
          </cell>
          <cell r="N365">
            <v>0</v>
          </cell>
          <cell r="R365">
            <v>0</v>
          </cell>
          <cell r="S365">
            <v>0</v>
          </cell>
          <cell r="T365">
            <v>0</v>
          </cell>
          <cell r="U365">
            <v>37</v>
          </cell>
          <cell r="V365">
            <v>0</v>
          </cell>
          <cell r="W365">
            <v>0</v>
          </cell>
          <cell r="AA365">
            <v>0</v>
          </cell>
          <cell r="AB365">
            <v>0</v>
          </cell>
          <cell r="AC365">
            <v>0</v>
          </cell>
          <cell r="AD365">
            <v>37</v>
          </cell>
          <cell r="AE365">
            <v>450000</v>
          </cell>
          <cell r="AF365">
            <v>0</v>
          </cell>
          <cell r="AI365">
            <v>2282</v>
          </cell>
          <cell r="AK365">
            <v>0</v>
          </cell>
          <cell r="AM365">
            <v>666</v>
          </cell>
          <cell r="AN365">
            <v>1</v>
          </cell>
          <cell r="AO365">
            <v>393216</v>
          </cell>
          <cell r="AQ365">
            <v>0</v>
          </cell>
          <cell r="AR365">
            <v>0</v>
          </cell>
          <cell r="AS365" t="str">
            <v>Ы</v>
          </cell>
          <cell r="AT365" t="str">
            <v>Ы</v>
          </cell>
          <cell r="AU365">
            <v>0</v>
          </cell>
          <cell r="AV365">
            <v>0</v>
          </cell>
          <cell r="AW365">
            <v>23</v>
          </cell>
          <cell r="AX365">
            <v>1</v>
          </cell>
          <cell r="AY365">
            <v>0</v>
          </cell>
          <cell r="AZ365">
            <v>0</v>
          </cell>
          <cell r="BA365">
            <v>0</v>
          </cell>
          <cell r="BB365">
            <v>0</v>
          </cell>
          <cell r="BC365">
            <v>38828</v>
          </cell>
        </row>
        <row r="366">
          <cell r="A366">
            <v>2006</v>
          </cell>
          <cell r="B366">
            <v>3</v>
          </cell>
          <cell r="C366">
            <v>510</v>
          </cell>
          <cell r="D366">
            <v>21</v>
          </cell>
          <cell r="E366">
            <v>792030</v>
          </cell>
          <cell r="F366">
            <v>0</v>
          </cell>
          <cell r="G366" t="str">
            <v>Затраты по ШПЗ (неосновные)</v>
          </cell>
          <cell r="H366">
            <v>2030</v>
          </cell>
          <cell r="I366">
            <v>7920</v>
          </cell>
          <cell r="J366">
            <v>76325</v>
          </cell>
          <cell r="K366">
            <v>1</v>
          </cell>
          <cell r="L366">
            <v>0</v>
          </cell>
          <cell r="M366">
            <v>0</v>
          </cell>
          <cell r="N366">
            <v>0</v>
          </cell>
          <cell r="R366">
            <v>0</v>
          </cell>
          <cell r="S366">
            <v>0</v>
          </cell>
          <cell r="T366">
            <v>0</v>
          </cell>
          <cell r="U366">
            <v>37</v>
          </cell>
          <cell r="V366">
            <v>0</v>
          </cell>
          <cell r="W366">
            <v>0</v>
          </cell>
          <cell r="AA366">
            <v>0</v>
          </cell>
          <cell r="AB366">
            <v>0</v>
          </cell>
          <cell r="AC366">
            <v>0</v>
          </cell>
          <cell r="AD366">
            <v>37</v>
          </cell>
          <cell r="AE366">
            <v>503000</v>
          </cell>
          <cell r="AF366">
            <v>0</v>
          </cell>
          <cell r="AI366">
            <v>2282</v>
          </cell>
          <cell r="AK366">
            <v>0</v>
          </cell>
          <cell r="AM366">
            <v>667</v>
          </cell>
          <cell r="AN366">
            <v>1</v>
          </cell>
          <cell r="AO366">
            <v>393216</v>
          </cell>
          <cell r="AQ366">
            <v>0</v>
          </cell>
          <cell r="AR366">
            <v>0</v>
          </cell>
          <cell r="AS366" t="str">
            <v>Ы</v>
          </cell>
          <cell r="AT366" t="str">
            <v>Ы</v>
          </cell>
          <cell r="AU366">
            <v>0</v>
          </cell>
          <cell r="AV366">
            <v>0</v>
          </cell>
          <cell r="AW366">
            <v>23</v>
          </cell>
          <cell r="AX366">
            <v>1</v>
          </cell>
          <cell r="AY366">
            <v>0</v>
          </cell>
          <cell r="AZ366">
            <v>0</v>
          </cell>
          <cell r="BA366">
            <v>0</v>
          </cell>
          <cell r="BB366">
            <v>0</v>
          </cell>
          <cell r="BC366">
            <v>38828</v>
          </cell>
        </row>
        <row r="367">
          <cell r="A367">
            <v>2006</v>
          </cell>
          <cell r="B367">
            <v>3</v>
          </cell>
          <cell r="C367">
            <v>511</v>
          </cell>
          <cell r="D367">
            <v>21</v>
          </cell>
          <cell r="E367">
            <v>792030</v>
          </cell>
          <cell r="F367">
            <v>0</v>
          </cell>
          <cell r="G367" t="str">
            <v>Затраты по ШПЗ (неосновные)</v>
          </cell>
          <cell r="H367">
            <v>2030</v>
          </cell>
          <cell r="I367">
            <v>7920</v>
          </cell>
          <cell r="J367">
            <v>213000</v>
          </cell>
          <cell r="K367">
            <v>1</v>
          </cell>
          <cell r="L367">
            <v>0</v>
          </cell>
          <cell r="M367">
            <v>0</v>
          </cell>
          <cell r="N367">
            <v>0</v>
          </cell>
          <cell r="R367">
            <v>0</v>
          </cell>
          <cell r="S367">
            <v>0</v>
          </cell>
          <cell r="T367">
            <v>0</v>
          </cell>
          <cell r="U367">
            <v>37</v>
          </cell>
          <cell r="V367">
            <v>0</v>
          </cell>
          <cell r="W367">
            <v>0</v>
          </cell>
          <cell r="AA367">
            <v>0</v>
          </cell>
          <cell r="AB367">
            <v>0</v>
          </cell>
          <cell r="AC367">
            <v>0</v>
          </cell>
          <cell r="AD367">
            <v>37</v>
          </cell>
          <cell r="AE367">
            <v>510100</v>
          </cell>
          <cell r="AF367">
            <v>0</v>
          </cell>
          <cell r="AI367">
            <v>2282</v>
          </cell>
          <cell r="AK367">
            <v>0</v>
          </cell>
          <cell r="AM367">
            <v>668</v>
          </cell>
          <cell r="AN367">
            <v>1</v>
          </cell>
          <cell r="AO367">
            <v>393216</v>
          </cell>
          <cell r="AQ367">
            <v>0</v>
          </cell>
          <cell r="AR367">
            <v>0</v>
          </cell>
          <cell r="AS367" t="str">
            <v>Ы</v>
          </cell>
          <cell r="AT367" t="str">
            <v>Ы</v>
          </cell>
          <cell r="AU367">
            <v>0</v>
          </cell>
          <cell r="AV367">
            <v>0</v>
          </cell>
          <cell r="AW367">
            <v>23</v>
          </cell>
          <cell r="AX367">
            <v>1</v>
          </cell>
          <cell r="AY367">
            <v>0</v>
          </cell>
          <cell r="AZ367">
            <v>0</v>
          </cell>
          <cell r="BA367">
            <v>0</v>
          </cell>
          <cell r="BB367">
            <v>0</v>
          </cell>
          <cell r="BC367">
            <v>38828</v>
          </cell>
        </row>
        <row r="368">
          <cell r="A368">
            <v>2006</v>
          </cell>
          <cell r="B368">
            <v>3</v>
          </cell>
          <cell r="C368">
            <v>512</v>
          </cell>
          <cell r="D368">
            <v>21</v>
          </cell>
          <cell r="E368">
            <v>792030</v>
          </cell>
          <cell r="F368">
            <v>0</v>
          </cell>
          <cell r="G368" t="str">
            <v>Затраты по ШПЗ (неосновные)</v>
          </cell>
          <cell r="H368">
            <v>2030</v>
          </cell>
          <cell r="I368">
            <v>7920</v>
          </cell>
          <cell r="J368">
            <v>177000</v>
          </cell>
          <cell r="K368">
            <v>1</v>
          </cell>
          <cell r="L368">
            <v>0</v>
          </cell>
          <cell r="M368">
            <v>0</v>
          </cell>
          <cell r="N368">
            <v>0</v>
          </cell>
          <cell r="R368">
            <v>0</v>
          </cell>
          <cell r="S368">
            <v>0</v>
          </cell>
          <cell r="T368">
            <v>0</v>
          </cell>
          <cell r="U368">
            <v>37</v>
          </cell>
          <cell r="V368">
            <v>0</v>
          </cell>
          <cell r="W368">
            <v>0</v>
          </cell>
          <cell r="AA368">
            <v>0</v>
          </cell>
          <cell r="AB368">
            <v>0</v>
          </cell>
          <cell r="AC368">
            <v>0</v>
          </cell>
          <cell r="AD368">
            <v>37</v>
          </cell>
          <cell r="AE368">
            <v>510600</v>
          </cell>
          <cell r="AF368">
            <v>0</v>
          </cell>
          <cell r="AI368">
            <v>2282</v>
          </cell>
          <cell r="AK368">
            <v>0</v>
          </cell>
          <cell r="AM368">
            <v>669</v>
          </cell>
          <cell r="AN368">
            <v>1</v>
          </cell>
          <cell r="AO368">
            <v>393216</v>
          </cell>
          <cell r="AQ368">
            <v>0</v>
          </cell>
          <cell r="AR368">
            <v>0</v>
          </cell>
          <cell r="AS368" t="str">
            <v>Ы</v>
          </cell>
          <cell r="AT368" t="str">
            <v>Ы</v>
          </cell>
          <cell r="AU368">
            <v>0</v>
          </cell>
          <cell r="AV368">
            <v>0</v>
          </cell>
          <cell r="AW368">
            <v>23</v>
          </cell>
          <cell r="AX368">
            <v>1</v>
          </cell>
          <cell r="AY368">
            <v>0</v>
          </cell>
          <cell r="AZ368">
            <v>0</v>
          </cell>
          <cell r="BA368">
            <v>0</v>
          </cell>
          <cell r="BB368">
            <v>0</v>
          </cell>
          <cell r="BC368">
            <v>38828</v>
          </cell>
        </row>
        <row r="369">
          <cell r="A369">
            <v>2006</v>
          </cell>
          <cell r="B369">
            <v>3</v>
          </cell>
          <cell r="C369">
            <v>648</v>
          </cell>
          <cell r="D369">
            <v>21</v>
          </cell>
          <cell r="E369">
            <v>792030</v>
          </cell>
          <cell r="F369">
            <v>0</v>
          </cell>
          <cell r="G369" t="str">
            <v>Затраты по ШПЗ (неосновные)</v>
          </cell>
          <cell r="H369">
            <v>2030</v>
          </cell>
          <cell r="I369">
            <v>7920</v>
          </cell>
          <cell r="J369">
            <v>5468.34</v>
          </cell>
          <cell r="K369">
            <v>1</v>
          </cell>
          <cell r="L369">
            <v>0</v>
          </cell>
          <cell r="M369">
            <v>0</v>
          </cell>
          <cell r="N369">
            <v>0</v>
          </cell>
          <cell r="R369">
            <v>0</v>
          </cell>
          <cell r="S369">
            <v>0</v>
          </cell>
          <cell r="T369">
            <v>0</v>
          </cell>
          <cell r="U369">
            <v>38</v>
          </cell>
          <cell r="V369">
            <v>0</v>
          </cell>
          <cell r="W369">
            <v>0</v>
          </cell>
          <cell r="AA369">
            <v>0</v>
          </cell>
          <cell r="AB369">
            <v>0</v>
          </cell>
          <cell r="AC369">
            <v>0</v>
          </cell>
          <cell r="AD369">
            <v>38</v>
          </cell>
          <cell r="AE369">
            <v>110000</v>
          </cell>
          <cell r="AF369">
            <v>0</v>
          </cell>
          <cell r="AI369">
            <v>2282</v>
          </cell>
          <cell r="AK369">
            <v>0</v>
          </cell>
          <cell r="AM369">
            <v>805</v>
          </cell>
          <cell r="AN369">
            <v>1</v>
          </cell>
          <cell r="AO369">
            <v>393216</v>
          </cell>
          <cell r="AQ369">
            <v>0</v>
          </cell>
          <cell r="AR369">
            <v>0</v>
          </cell>
          <cell r="AS369" t="str">
            <v>Ы</v>
          </cell>
          <cell r="AT369" t="str">
            <v>Ы</v>
          </cell>
          <cell r="AU369">
            <v>0</v>
          </cell>
          <cell r="AV369">
            <v>0</v>
          </cell>
          <cell r="AW369">
            <v>23</v>
          </cell>
          <cell r="AX369">
            <v>1</v>
          </cell>
          <cell r="AY369">
            <v>0</v>
          </cell>
          <cell r="AZ369">
            <v>0</v>
          </cell>
          <cell r="BA369">
            <v>0</v>
          </cell>
          <cell r="BB369">
            <v>0</v>
          </cell>
          <cell r="BC369">
            <v>38828</v>
          </cell>
        </row>
        <row r="370">
          <cell r="A370">
            <v>2006</v>
          </cell>
          <cell r="B370">
            <v>3</v>
          </cell>
          <cell r="C370">
            <v>649</v>
          </cell>
          <cell r="D370">
            <v>21</v>
          </cell>
          <cell r="E370">
            <v>792030</v>
          </cell>
          <cell r="F370">
            <v>0</v>
          </cell>
          <cell r="G370" t="str">
            <v>Затраты по ШПЗ (неосновные)</v>
          </cell>
          <cell r="H370">
            <v>2030</v>
          </cell>
          <cell r="I370">
            <v>7920</v>
          </cell>
          <cell r="J370">
            <v>281.07</v>
          </cell>
          <cell r="K370">
            <v>1</v>
          </cell>
          <cell r="L370">
            <v>0</v>
          </cell>
          <cell r="M370">
            <v>0</v>
          </cell>
          <cell r="N370">
            <v>0</v>
          </cell>
          <cell r="R370">
            <v>0</v>
          </cell>
          <cell r="S370">
            <v>0</v>
          </cell>
          <cell r="T370">
            <v>0</v>
          </cell>
          <cell r="U370">
            <v>38</v>
          </cell>
          <cell r="V370">
            <v>0</v>
          </cell>
          <cell r="W370">
            <v>0</v>
          </cell>
          <cell r="AA370">
            <v>0</v>
          </cell>
          <cell r="AB370">
            <v>0</v>
          </cell>
          <cell r="AC370">
            <v>0</v>
          </cell>
          <cell r="AD370">
            <v>38</v>
          </cell>
          <cell r="AE370">
            <v>114020</v>
          </cell>
          <cell r="AF370">
            <v>0</v>
          </cell>
          <cell r="AI370">
            <v>2282</v>
          </cell>
          <cell r="AK370">
            <v>0</v>
          </cell>
          <cell r="AM370">
            <v>806</v>
          </cell>
          <cell r="AN370">
            <v>1</v>
          </cell>
          <cell r="AO370">
            <v>393216</v>
          </cell>
          <cell r="AQ370">
            <v>0</v>
          </cell>
          <cell r="AR370">
            <v>0</v>
          </cell>
          <cell r="AS370" t="str">
            <v>Ы</v>
          </cell>
          <cell r="AT370" t="str">
            <v>Ы</v>
          </cell>
          <cell r="AU370">
            <v>0</v>
          </cell>
          <cell r="AV370">
            <v>0</v>
          </cell>
          <cell r="AW370">
            <v>23</v>
          </cell>
          <cell r="AX370">
            <v>1</v>
          </cell>
          <cell r="AY370">
            <v>0</v>
          </cell>
          <cell r="AZ370">
            <v>0</v>
          </cell>
          <cell r="BA370">
            <v>0</v>
          </cell>
          <cell r="BB370">
            <v>0</v>
          </cell>
          <cell r="BC370">
            <v>38828</v>
          </cell>
        </row>
        <row r="371">
          <cell r="A371">
            <v>2006</v>
          </cell>
          <cell r="B371">
            <v>3</v>
          </cell>
          <cell r="C371">
            <v>650</v>
          </cell>
          <cell r="D371">
            <v>21</v>
          </cell>
          <cell r="E371">
            <v>792030</v>
          </cell>
          <cell r="F371">
            <v>0</v>
          </cell>
          <cell r="G371" t="str">
            <v>Затраты по ШПЗ (неосновные)</v>
          </cell>
          <cell r="H371">
            <v>2030</v>
          </cell>
          <cell r="I371">
            <v>7920</v>
          </cell>
          <cell r="J371">
            <v>285.94</v>
          </cell>
          <cell r="K371">
            <v>1</v>
          </cell>
          <cell r="L371">
            <v>0</v>
          </cell>
          <cell r="M371">
            <v>0</v>
          </cell>
          <cell r="N371">
            <v>0</v>
          </cell>
          <cell r="R371">
            <v>0</v>
          </cell>
          <cell r="S371">
            <v>0</v>
          </cell>
          <cell r="T371">
            <v>0</v>
          </cell>
          <cell r="U371">
            <v>38</v>
          </cell>
          <cell r="V371">
            <v>0</v>
          </cell>
          <cell r="W371">
            <v>0</v>
          </cell>
          <cell r="AA371">
            <v>0</v>
          </cell>
          <cell r="AB371">
            <v>0</v>
          </cell>
          <cell r="AC371">
            <v>0</v>
          </cell>
          <cell r="AD371">
            <v>38</v>
          </cell>
          <cell r="AE371">
            <v>117000</v>
          </cell>
          <cell r="AF371">
            <v>0</v>
          </cell>
          <cell r="AI371">
            <v>2282</v>
          </cell>
          <cell r="AK371">
            <v>0</v>
          </cell>
          <cell r="AM371">
            <v>807</v>
          </cell>
          <cell r="AN371">
            <v>1</v>
          </cell>
          <cell r="AO371">
            <v>393216</v>
          </cell>
          <cell r="AQ371">
            <v>0</v>
          </cell>
          <cell r="AR371">
            <v>0</v>
          </cell>
          <cell r="AS371" t="str">
            <v>Ы</v>
          </cell>
          <cell r="AT371" t="str">
            <v>Ы</v>
          </cell>
          <cell r="AU371">
            <v>0</v>
          </cell>
          <cell r="AV371">
            <v>0</v>
          </cell>
          <cell r="AW371">
            <v>23</v>
          </cell>
          <cell r="AX371">
            <v>1</v>
          </cell>
          <cell r="AY371">
            <v>0</v>
          </cell>
          <cell r="AZ371">
            <v>0</v>
          </cell>
          <cell r="BA371">
            <v>0</v>
          </cell>
          <cell r="BB371">
            <v>0</v>
          </cell>
          <cell r="BC371">
            <v>38828</v>
          </cell>
        </row>
        <row r="372">
          <cell r="A372">
            <v>2006</v>
          </cell>
          <cell r="B372">
            <v>3</v>
          </cell>
          <cell r="C372">
            <v>651</v>
          </cell>
          <cell r="D372">
            <v>21</v>
          </cell>
          <cell r="E372">
            <v>792030</v>
          </cell>
          <cell r="F372">
            <v>0</v>
          </cell>
          <cell r="G372" t="str">
            <v>Затраты по ШПЗ (неосновные)</v>
          </cell>
          <cell r="H372">
            <v>2030</v>
          </cell>
          <cell r="I372">
            <v>7920</v>
          </cell>
          <cell r="J372">
            <v>84.7</v>
          </cell>
          <cell r="K372">
            <v>1</v>
          </cell>
          <cell r="L372">
            <v>0</v>
          </cell>
          <cell r="M372">
            <v>0</v>
          </cell>
          <cell r="N372">
            <v>0</v>
          </cell>
          <cell r="R372">
            <v>0</v>
          </cell>
          <cell r="S372">
            <v>0</v>
          </cell>
          <cell r="T372">
            <v>0</v>
          </cell>
          <cell r="U372">
            <v>38</v>
          </cell>
          <cell r="V372">
            <v>0</v>
          </cell>
          <cell r="W372">
            <v>0</v>
          </cell>
          <cell r="AA372">
            <v>0</v>
          </cell>
          <cell r="AB372">
            <v>0</v>
          </cell>
          <cell r="AC372">
            <v>0</v>
          </cell>
          <cell r="AD372">
            <v>38</v>
          </cell>
          <cell r="AE372">
            <v>118000</v>
          </cell>
          <cell r="AF372">
            <v>0</v>
          </cell>
          <cell r="AI372">
            <v>2282</v>
          </cell>
          <cell r="AK372">
            <v>0</v>
          </cell>
          <cell r="AM372">
            <v>808</v>
          </cell>
          <cell r="AN372">
            <v>1</v>
          </cell>
          <cell r="AO372">
            <v>393216</v>
          </cell>
          <cell r="AQ372">
            <v>0</v>
          </cell>
          <cell r="AR372">
            <v>0</v>
          </cell>
          <cell r="AS372" t="str">
            <v>Ы</v>
          </cell>
          <cell r="AT372" t="str">
            <v>Ы</v>
          </cell>
          <cell r="AU372">
            <v>0</v>
          </cell>
          <cell r="AV372">
            <v>0</v>
          </cell>
          <cell r="AW372">
            <v>23</v>
          </cell>
          <cell r="AX372">
            <v>1</v>
          </cell>
          <cell r="AY372">
            <v>0</v>
          </cell>
          <cell r="AZ372">
            <v>0</v>
          </cell>
          <cell r="BA372">
            <v>0</v>
          </cell>
          <cell r="BB372">
            <v>0</v>
          </cell>
          <cell r="BC372">
            <v>38828</v>
          </cell>
        </row>
        <row r="373">
          <cell r="A373">
            <v>2006</v>
          </cell>
          <cell r="B373">
            <v>3</v>
          </cell>
          <cell r="C373">
            <v>652</v>
          </cell>
          <cell r="D373">
            <v>21</v>
          </cell>
          <cell r="E373">
            <v>792030</v>
          </cell>
          <cell r="F373">
            <v>0</v>
          </cell>
          <cell r="G373" t="str">
            <v>Затраты по ШПЗ (неосновные)</v>
          </cell>
          <cell r="H373">
            <v>2030</v>
          </cell>
          <cell r="I373">
            <v>7920</v>
          </cell>
          <cell r="J373">
            <v>22.45</v>
          </cell>
          <cell r="K373">
            <v>1</v>
          </cell>
          <cell r="L373">
            <v>0</v>
          </cell>
          <cell r="M373">
            <v>0</v>
          </cell>
          <cell r="N373">
            <v>0</v>
          </cell>
          <cell r="R373">
            <v>0</v>
          </cell>
          <cell r="S373">
            <v>0</v>
          </cell>
          <cell r="T373">
            <v>0</v>
          </cell>
          <cell r="U373">
            <v>38</v>
          </cell>
          <cell r="V373">
            <v>0</v>
          </cell>
          <cell r="W373">
            <v>0</v>
          </cell>
          <cell r="AA373">
            <v>0</v>
          </cell>
          <cell r="AB373">
            <v>0</v>
          </cell>
          <cell r="AC373">
            <v>0</v>
          </cell>
          <cell r="AD373">
            <v>38</v>
          </cell>
          <cell r="AE373">
            <v>131000</v>
          </cell>
          <cell r="AF373">
            <v>0</v>
          </cell>
          <cell r="AI373">
            <v>2282</v>
          </cell>
          <cell r="AK373">
            <v>0</v>
          </cell>
          <cell r="AM373">
            <v>809</v>
          </cell>
          <cell r="AN373">
            <v>1</v>
          </cell>
          <cell r="AO373">
            <v>393216</v>
          </cell>
          <cell r="AQ373">
            <v>0</v>
          </cell>
          <cell r="AR373">
            <v>0</v>
          </cell>
          <cell r="AS373" t="str">
            <v>Ы</v>
          </cell>
          <cell r="AT373" t="str">
            <v>Ы</v>
          </cell>
          <cell r="AU373">
            <v>0</v>
          </cell>
          <cell r="AV373">
            <v>0</v>
          </cell>
          <cell r="AW373">
            <v>23</v>
          </cell>
          <cell r="AX373">
            <v>1</v>
          </cell>
          <cell r="AY373">
            <v>0</v>
          </cell>
          <cell r="AZ373">
            <v>0</v>
          </cell>
          <cell r="BA373">
            <v>0</v>
          </cell>
          <cell r="BB373">
            <v>0</v>
          </cell>
          <cell r="BC373">
            <v>38828</v>
          </cell>
        </row>
        <row r="374">
          <cell r="A374">
            <v>2006</v>
          </cell>
          <cell r="B374">
            <v>3</v>
          </cell>
          <cell r="C374">
            <v>653</v>
          </cell>
          <cell r="D374">
            <v>21</v>
          </cell>
          <cell r="E374">
            <v>792030</v>
          </cell>
          <cell r="F374">
            <v>0</v>
          </cell>
          <cell r="G374" t="str">
            <v>Затраты по ШПЗ (неосновные)</v>
          </cell>
          <cell r="H374">
            <v>2030</v>
          </cell>
          <cell r="I374">
            <v>7920</v>
          </cell>
          <cell r="J374">
            <v>870.71</v>
          </cell>
          <cell r="K374">
            <v>1</v>
          </cell>
          <cell r="L374">
            <v>0</v>
          </cell>
          <cell r="M374">
            <v>0</v>
          </cell>
          <cell r="N374">
            <v>0</v>
          </cell>
          <cell r="R374">
            <v>0</v>
          </cell>
          <cell r="S374">
            <v>0</v>
          </cell>
          <cell r="T374">
            <v>0</v>
          </cell>
          <cell r="U374">
            <v>38</v>
          </cell>
          <cell r="V374">
            <v>0</v>
          </cell>
          <cell r="W374">
            <v>0</v>
          </cell>
          <cell r="AA374">
            <v>0</v>
          </cell>
          <cell r="AB374">
            <v>0</v>
          </cell>
          <cell r="AC374">
            <v>0</v>
          </cell>
          <cell r="AD374">
            <v>38</v>
          </cell>
          <cell r="AE374">
            <v>132000</v>
          </cell>
          <cell r="AF374">
            <v>0</v>
          </cell>
          <cell r="AI374">
            <v>2282</v>
          </cell>
          <cell r="AK374">
            <v>0</v>
          </cell>
          <cell r="AM374">
            <v>810</v>
          </cell>
          <cell r="AN374">
            <v>1</v>
          </cell>
          <cell r="AO374">
            <v>393216</v>
          </cell>
          <cell r="AQ374">
            <v>0</v>
          </cell>
          <cell r="AR374">
            <v>0</v>
          </cell>
          <cell r="AS374" t="str">
            <v>Ы</v>
          </cell>
          <cell r="AT374" t="str">
            <v>Ы</v>
          </cell>
          <cell r="AU374">
            <v>0</v>
          </cell>
          <cell r="AV374">
            <v>0</v>
          </cell>
          <cell r="AW374">
            <v>23</v>
          </cell>
          <cell r="AX374">
            <v>1</v>
          </cell>
          <cell r="AY374">
            <v>0</v>
          </cell>
          <cell r="AZ374">
            <v>0</v>
          </cell>
          <cell r="BA374">
            <v>0</v>
          </cell>
          <cell r="BB374">
            <v>0</v>
          </cell>
          <cell r="BC374">
            <v>38828</v>
          </cell>
        </row>
        <row r="375">
          <cell r="A375">
            <v>2006</v>
          </cell>
          <cell r="B375">
            <v>3</v>
          </cell>
          <cell r="C375">
            <v>654</v>
          </cell>
          <cell r="D375">
            <v>21</v>
          </cell>
          <cell r="E375">
            <v>792030</v>
          </cell>
          <cell r="F375">
            <v>0</v>
          </cell>
          <cell r="G375" t="str">
            <v>Затраты по ШПЗ (неосновные)</v>
          </cell>
          <cell r="H375">
            <v>2030</v>
          </cell>
          <cell r="I375">
            <v>7920</v>
          </cell>
          <cell r="J375">
            <v>44.5</v>
          </cell>
          <cell r="K375">
            <v>1</v>
          </cell>
          <cell r="L375">
            <v>0</v>
          </cell>
          <cell r="M375">
            <v>0</v>
          </cell>
          <cell r="N375">
            <v>0</v>
          </cell>
          <cell r="R375">
            <v>0</v>
          </cell>
          <cell r="S375">
            <v>0</v>
          </cell>
          <cell r="T375">
            <v>0</v>
          </cell>
          <cell r="U375">
            <v>38</v>
          </cell>
          <cell r="V375">
            <v>0</v>
          </cell>
          <cell r="W375">
            <v>0</v>
          </cell>
          <cell r="AA375">
            <v>0</v>
          </cell>
          <cell r="AB375">
            <v>0</v>
          </cell>
          <cell r="AC375">
            <v>0</v>
          </cell>
          <cell r="AD375">
            <v>38</v>
          </cell>
          <cell r="AE375">
            <v>135000</v>
          </cell>
          <cell r="AF375">
            <v>0</v>
          </cell>
          <cell r="AI375">
            <v>2282</v>
          </cell>
          <cell r="AK375">
            <v>0</v>
          </cell>
          <cell r="AM375">
            <v>811</v>
          </cell>
          <cell r="AN375">
            <v>1</v>
          </cell>
          <cell r="AO375">
            <v>393216</v>
          </cell>
          <cell r="AQ375">
            <v>0</v>
          </cell>
          <cell r="AR375">
            <v>0</v>
          </cell>
          <cell r="AS375" t="str">
            <v>Ы</v>
          </cell>
          <cell r="AT375" t="str">
            <v>Ы</v>
          </cell>
          <cell r="AU375">
            <v>0</v>
          </cell>
          <cell r="AV375">
            <v>0</v>
          </cell>
          <cell r="AW375">
            <v>23</v>
          </cell>
          <cell r="AX375">
            <v>1</v>
          </cell>
          <cell r="AY375">
            <v>0</v>
          </cell>
          <cell r="AZ375">
            <v>0</v>
          </cell>
          <cell r="BA375">
            <v>0</v>
          </cell>
          <cell r="BB375">
            <v>0</v>
          </cell>
          <cell r="BC375">
            <v>38828</v>
          </cell>
        </row>
        <row r="376">
          <cell r="A376">
            <v>2006</v>
          </cell>
          <cell r="B376">
            <v>3</v>
          </cell>
          <cell r="C376">
            <v>655</v>
          </cell>
          <cell r="D376">
            <v>21</v>
          </cell>
          <cell r="E376">
            <v>792030</v>
          </cell>
          <cell r="F376">
            <v>0</v>
          </cell>
          <cell r="G376" t="str">
            <v>Затраты по ШПЗ (неосновные)</v>
          </cell>
          <cell r="H376">
            <v>2030</v>
          </cell>
          <cell r="I376">
            <v>7920</v>
          </cell>
          <cell r="J376">
            <v>3717.38</v>
          </cell>
          <cell r="K376">
            <v>1</v>
          </cell>
          <cell r="L376">
            <v>0</v>
          </cell>
          <cell r="M376">
            <v>0</v>
          </cell>
          <cell r="N376">
            <v>0</v>
          </cell>
          <cell r="R376">
            <v>0</v>
          </cell>
          <cell r="S376">
            <v>0</v>
          </cell>
          <cell r="T376">
            <v>0</v>
          </cell>
          <cell r="U376">
            <v>38</v>
          </cell>
          <cell r="V376">
            <v>0</v>
          </cell>
          <cell r="W376">
            <v>0</v>
          </cell>
          <cell r="AA376">
            <v>0</v>
          </cell>
          <cell r="AB376">
            <v>0</v>
          </cell>
          <cell r="AC376">
            <v>0</v>
          </cell>
          <cell r="AD376">
            <v>38</v>
          </cell>
          <cell r="AE376">
            <v>143000</v>
          </cell>
          <cell r="AF376">
            <v>0</v>
          </cell>
          <cell r="AI376">
            <v>2282</v>
          </cell>
          <cell r="AK376">
            <v>0</v>
          </cell>
          <cell r="AM376">
            <v>812</v>
          </cell>
          <cell r="AN376">
            <v>1</v>
          </cell>
          <cell r="AO376">
            <v>393216</v>
          </cell>
          <cell r="AQ376">
            <v>0</v>
          </cell>
          <cell r="AR376">
            <v>0</v>
          </cell>
          <cell r="AS376" t="str">
            <v>Ы</v>
          </cell>
          <cell r="AT376" t="str">
            <v>Ы</v>
          </cell>
          <cell r="AU376">
            <v>0</v>
          </cell>
          <cell r="AV376">
            <v>0</v>
          </cell>
          <cell r="AW376">
            <v>23</v>
          </cell>
          <cell r="AX376">
            <v>1</v>
          </cell>
          <cell r="AY376">
            <v>0</v>
          </cell>
          <cell r="AZ376">
            <v>0</v>
          </cell>
          <cell r="BA376">
            <v>0</v>
          </cell>
          <cell r="BB376">
            <v>0</v>
          </cell>
          <cell r="BC376">
            <v>38828</v>
          </cell>
        </row>
        <row r="377">
          <cell r="A377">
            <v>2006</v>
          </cell>
          <cell r="B377">
            <v>3</v>
          </cell>
          <cell r="C377">
            <v>656</v>
          </cell>
          <cell r="D377">
            <v>21</v>
          </cell>
          <cell r="E377">
            <v>792030</v>
          </cell>
          <cell r="F377">
            <v>0</v>
          </cell>
          <cell r="G377" t="str">
            <v>Затраты по ШПЗ (неосновные)</v>
          </cell>
          <cell r="H377">
            <v>2030</v>
          </cell>
          <cell r="I377">
            <v>7920</v>
          </cell>
          <cell r="J377">
            <v>370</v>
          </cell>
          <cell r="K377">
            <v>1</v>
          </cell>
          <cell r="L377">
            <v>0</v>
          </cell>
          <cell r="M377">
            <v>0</v>
          </cell>
          <cell r="N377">
            <v>0</v>
          </cell>
          <cell r="R377">
            <v>0</v>
          </cell>
          <cell r="S377">
            <v>0</v>
          </cell>
          <cell r="T377">
            <v>0</v>
          </cell>
          <cell r="U377">
            <v>38</v>
          </cell>
          <cell r="V377">
            <v>0</v>
          </cell>
          <cell r="W377">
            <v>0</v>
          </cell>
          <cell r="AA377">
            <v>0</v>
          </cell>
          <cell r="AB377">
            <v>0</v>
          </cell>
          <cell r="AC377">
            <v>0</v>
          </cell>
          <cell r="AD377">
            <v>38</v>
          </cell>
          <cell r="AE377">
            <v>151000</v>
          </cell>
          <cell r="AF377">
            <v>0</v>
          </cell>
          <cell r="AI377">
            <v>2282</v>
          </cell>
          <cell r="AK377">
            <v>0</v>
          </cell>
          <cell r="AM377">
            <v>813</v>
          </cell>
          <cell r="AN377">
            <v>1</v>
          </cell>
          <cell r="AO377">
            <v>393216</v>
          </cell>
          <cell r="AQ377">
            <v>0</v>
          </cell>
          <cell r="AR377">
            <v>0</v>
          </cell>
          <cell r="AS377" t="str">
            <v>Ы</v>
          </cell>
          <cell r="AT377" t="str">
            <v>Ы</v>
          </cell>
          <cell r="AU377">
            <v>0</v>
          </cell>
          <cell r="AV377">
            <v>0</v>
          </cell>
          <cell r="AW377">
            <v>23</v>
          </cell>
          <cell r="AX377">
            <v>1</v>
          </cell>
          <cell r="AY377">
            <v>0</v>
          </cell>
          <cell r="AZ377">
            <v>0</v>
          </cell>
          <cell r="BA377">
            <v>0</v>
          </cell>
          <cell r="BB377">
            <v>0</v>
          </cell>
          <cell r="BC377">
            <v>38828</v>
          </cell>
        </row>
        <row r="378">
          <cell r="A378">
            <v>2006</v>
          </cell>
          <cell r="B378">
            <v>3</v>
          </cell>
          <cell r="C378">
            <v>657</v>
          </cell>
          <cell r="D378">
            <v>21</v>
          </cell>
          <cell r="E378">
            <v>792030</v>
          </cell>
          <cell r="F378">
            <v>0</v>
          </cell>
          <cell r="G378" t="str">
            <v>Затраты по ШПЗ (неосновные)</v>
          </cell>
          <cell r="H378">
            <v>2030</v>
          </cell>
          <cell r="I378">
            <v>7920</v>
          </cell>
          <cell r="J378">
            <v>460</v>
          </cell>
          <cell r="K378">
            <v>1</v>
          </cell>
          <cell r="L378">
            <v>0</v>
          </cell>
          <cell r="M378">
            <v>0</v>
          </cell>
          <cell r="N378">
            <v>0</v>
          </cell>
          <cell r="R378">
            <v>0</v>
          </cell>
          <cell r="S378">
            <v>0</v>
          </cell>
          <cell r="T378">
            <v>0</v>
          </cell>
          <cell r="U378">
            <v>38</v>
          </cell>
          <cell r="V378">
            <v>0</v>
          </cell>
          <cell r="W378">
            <v>0</v>
          </cell>
          <cell r="AA378">
            <v>0</v>
          </cell>
          <cell r="AB378">
            <v>0</v>
          </cell>
          <cell r="AC378">
            <v>0</v>
          </cell>
          <cell r="AD378">
            <v>38</v>
          </cell>
          <cell r="AE378">
            <v>152000</v>
          </cell>
          <cell r="AF378">
            <v>0</v>
          </cell>
          <cell r="AI378">
            <v>2282</v>
          </cell>
          <cell r="AK378">
            <v>0</v>
          </cell>
          <cell r="AM378">
            <v>814</v>
          </cell>
          <cell r="AN378">
            <v>1</v>
          </cell>
          <cell r="AO378">
            <v>393216</v>
          </cell>
          <cell r="AQ378">
            <v>0</v>
          </cell>
          <cell r="AR378">
            <v>0</v>
          </cell>
          <cell r="AS378" t="str">
            <v>Ы</v>
          </cell>
          <cell r="AT378" t="str">
            <v>Ы</v>
          </cell>
          <cell r="AU378">
            <v>0</v>
          </cell>
          <cell r="AV378">
            <v>0</v>
          </cell>
          <cell r="AW378">
            <v>23</v>
          </cell>
          <cell r="AX378">
            <v>1</v>
          </cell>
          <cell r="AY378">
            <v>0</v>
          </cell>
          <cell r="AZ378">
            <v>0</v>
          </cell>
          <cell r="BA378">
            <v>0</v>
          </cell>
          <cell r="BB378">
            <v>0</v>
          </cell>
          <cell r="BC378">
            <v>38828</v>
          </cell>
        </row>
        <row r="379">
          <cell r="A379">
            <v>2006</v>
          </cell>
          <cell r="B379">
            <v>3</v>
          </cell>
          <cell r="C379">
            <v>658</v>
          </cell>
          <cell r="D379">
            <v>21</v>
          </cell>
          <cell r="E379">
            <v>792030</v>
          </cell>
          <cell r="F379">
            <v>0</v>
          </cell>
          <cell r="G379" t="str">
            <v>Затраты по ШПЗ (неосновные)</v>
          </cell>
          <cell r="H379">
            <v>2030</v>
          </cell>
          <cell r="I379">
            <v>7920</v>
          </cell>
          <cell r="J379">
            <v>296600</v>
          </cell>
          <cell r="K379">
            <v>1</v>
          </cell>
          <cell r="L379">
            <v>0</v>
          </cell>
          <cell r="M379">
            <v>0</v>
          </cell>
          <cell r="N379">
            <v>0</v>
          </cell>
          <cell r="R379">
            <v>0</v>
          </cell>
          <cell r="S379">
            <v>0</v>
          </cell>
          <cell r="T379">
            <v>0</v>
          </cell>
          <cell r="U379">
            <v>38</v>
          </cell>
          <cell r="V379">
            <v>0</v>
          </cell>
          <cell r="W379">
            <v>0</v>
          </cell>
          <cell r="AA379">
            <v>0</v>
          </cell>
          <cell r="AB379">
            <v>0</v>
          </cell>
          <cell r="AC379">
            <v>0</v>
          </cell>
          <cell r="AD379">
            <v>38</v>
          </cell>
          <cell r="AE379">
            <v>240000</v>
          </cell>
          <cell r="AF379">
            <v>0</v>
          </cell>
          <cell r="AI379">
            <v>2282</v>
          </cell>
          <cell r="AK379">
            <v>0</v>
          </cell>
          <cell r="AM379">
            <v>815</v>
          </cell>
          <cell r="AN379">
            <v>1</v>
          </cell>
          <cell r="AO379">
            <v>393216</v>
          </cell>
          <cell r="AQ379">
            <v>0</v>
          </cell>
          <cell r="AR379">
            <v>0</v>
          </cell>
          <cell r="AS379" t="str">
            <v>Ы</v>
          </cell>
          <cell r="AT379" t="str">
            <v>Ы</v>
          </cell>
          <cell r="AU379">
            <v>0</v>
          </cell>
          <cell r="AV379">
            <v>0</v>
          </cell>
          <cell r="AW379">
            <v>23</v>
          </cell>
          <cell r="AX379">
            <v>1</v>
          </cell>
          <cell r="AY379">
            <v>0</v>
          </cell>
          <cell r="AZ379">
            <v>0</v>
          </cell>
          <cell r="BA379">
            <v>0</v>
          </cell>
          <cell r="BB379">
            <v>0</v>
          </cell>
          <cell r="BC379">
            <v>38828</v>
          </cell>
        </row>
        <row r="380">
          <cell r="A380">
            <v>2006</v>
          </cell>
          <cell r="B380">
            <v>3</v>
          </cell>
          <cell r="C380">
            <v>659</v>
          </cell>
          <cell r="D380">
            <v>21</v>
          </cell>
          <cell r="E380">
            <v>792030</v>
          </cell>
          <cell r="F380">
            <v>0</v>
          </cell>
          <cell r="G380" t="str">
            <v>Затраты по ШПЗ (неосновные)</v>
          </cell>
          <cell r="H380">
            <v>2030</v>
          </cell>
          <cell r="I380">
            <v>7920</v>
          </cell>
          <cell r="J380">
            <v>8586.9</v>
          </cell>
          <cell r="K380">
            <v>1</v>
          </cell>
          <cell r="L380">
            <v>0</v>
          </cell>
          <cell r="M380">
            <v>0</v>
          </cell>
          <cell r="N380">
            <v>0</v>
          </cell>
          <cell r="R380">
            <v>0</v>
          </cell>
          <cell r="S380">
            <v>0</v>
          </cell>
          <cell r="T380">
            <v>0</v>
          </cell>
          <cell r="U380">
            <v>38</v>
          </cell>
          <cell r="V380">
            <v>0</v>
          </cell>
          <cell r="W380">
            <v>0</v>
          </cell>
          <cell r="AA380">
            <v>0</v>
          </cell>
          <cell r="AB380">
            <v>0</v>
          </cell>
          <cell r="AC380">
            <v>0</v>
          </cell>
          <cell r="AD380">
            <v>38</v>
          </cell>
          <cell r="AE380">
            <v>311000</v>
          </cell>
          <cell r="AF380">
            <v>0</v>
          </cell>
          <cell r="AI380">
            <v>2282</v>
          </cell>
          <cell r="AK380">
            <v>0</v>
          </cell>
          <cell r="AM380">
            <v>816</v>
          </cell>
          <cell r="AN380">
            <v>1</v>
          </cell>
          <cell r="AO380">
            <v>393216</v>
          </cell>
          <cell r="AQ380">
            <v>0</v>
          </cell>
          <cell r="AR380">
            <v>0</v>
          </cell>
          <cell r="AS380" t="str">
            <v>Ы</v>
          </cell>
          <cell r="AT380" t="str">
            <v>Ы</v>
          </cell>
          <cell r="AU380">
            <v>0</v>
          </cell>
          <cell r="AV380">
            <v>0</v>
          </cell>
          <cell r="AW380">
            <v>23</v>
          </cell>
          <cell r="AX380">
            <v>1</v>
          </cell>
          <cell r="AY380">
            <v>0</v>
          </cell>
          <cell r="AZ380">
            <v>0</v>
          </cell>
          <cell r="BA380">
            <v>0</v>
          </cell>
          <cell r="BB380">
            <v>0</v>
          </cell>
          <cell r="BC380">
            <v>38828</v>
          </cell>
        </row>
        <row r="381">
          <cell r="A381">
            <v>2006</v>
          </cell>
          <cell r="B381">
            <v>3</v>
          </cell>
          <cell r="C381">
            <v>660</v>
          </cell>
          <cell r="D381">
            <v>21</v>
          </cell>
          <cell r="E381">
            <v>792030</v>
          </cell>
          <cell r="F381">
            <v>0</v>
          </cell>
          <cell r="G381" t="str">
            <v>Затраты по ШПЗ (неосновные)</v>
          </cell>
          <cell r="H381">
            <v>2030</v>
          </cell>
          <cell r="I381">
            <v>7920</v>
          </cell>
          <cell r="J381">
            <v>17766</v>
          </cell>
          <cell r="K381">
            <v>1</v>
          </cell>
          <cell r="L381">
            <v>0</v>
          </cell>
          <cell r="M381">
            <v>0</v>
          </cell>
          <cell r="N381">
            <v>0</v>
          </cell>
          <cell r="R381">
            <v>0</v>
          </cell>
          <cell r="S381">
            <v>0</v>
          </cell>
          <cell r="T381">
            <v>0</v>
          </cell>
          <cell r="U381">
            <v>38</v>
          </cell>
          <cell r="V381">
            <v>0</v>
          </cell>
          <cell r="W381">
            <v>0</v>
          </cell>
          <cell r="AA381">
            <v>0</v>
          </cell>
          <cell r="AB381">
            <v>0</v>
          </cell>
          <cell r="AC381">
            <v>0</v>
          </cell>
          <cell r="AD381">
            <v>38</v>
          </cell>
          <cell r="AE381">
            <v>312000</v>
          </cell>
          <cell r="AF381">
            <v>0</v>
          </cell>
          <cell r="AI381">
            <v>2282</v>
          </cell>
          <cell r="AK381">
            <v>0</v>
          </cell>
          <cell r="AM381">
            <v>817</v>
          </cell>
          <cell r="AN381">
            <v>1</v>
          </cell>
          <cell r="AO381">
            <v>393216</v>
          </cell>
          <cell r="AQ381">
            <v>0</v>
          </cell>
          <cell r="AR381">
            <v>0</v>
          </cell>
          <cell r="AS381" t="str">
            <v>Ы</v>
          </cell>
          <cell r="AT381" t="str">
            <v>Ы</v>
          </cell>
          <cell r="AU381">
            <v>0</v>
          </cell>
          <cell r="AV381">
            <v>0</v>
          </cell>
          <cell r="AW381">
            <v>23</v>
          </cell>
          <cell r="AX381">
            <v>1</v>
          </cell>
          <cell r="AY381">
            <v>0</v>
          </cell>
          <cell r="AZ381">
            <v>0</v>
          </cell>
          <cell r="BA381">
            <v>0</v>
          </cell>
          <cell r="BB381">
            <v>0</v>
          </cell>
          <cell r="BC381">
            <v>38828</v>
          </cell>
        </row>
        <row r="382">
          <cell r="A382">
            <v>2006</v>
          </cell>
          <cell r="B382">
            <v>3</v>
          </cell>
          <cell r="C382">
            <v>661</v>
          </cell>
          <cell r="D382">
            <v>21</v>
          </cell>
          <cell r="E382">
            <v>792030</v>
          </cell>
          <cell r="F382">
            <v>0</v>
          </cell>
          <cell r="G382" t="str">
            <v>Затраты по ШПЗ (неосновные)</v>
          </cell>
          <cell r="H382">
            <v>2030</v>
          </cell>
          <cell r="I382">
            <v>7920</v>
          </cell>
          <cell r="J382">
            <v>3025.2</v>
          </cell>
          <cell r="K382">
            <v>1</v>
          </cell>
          <cell r="L382">
            <v>0</v>
          </cell>
          <cell r="M382">
            <v>0</v>
          </cell>
          <cell r="N382">
            <v>0</v>
          </cell>
          <cell r="R382">
            <v>0</v>
          </cell>
          <cell r="S382">
            <v>0</v>
          </cell>
          <cell r="T382">
            <v>0</v>
          </cell>
          <cell r="U382">
            <v>38</v>
          </cell>
          <cell r="V382">
            <v>0</v>
          </cell>
          <cell r="W382">
            <v>0</v>
          </cell>
          <cell r="AA382">
            <v>0</v>
          </cell>
          <cell r="AB382">
            <v>0</v>
          </cell>
          <cell r="AC382">
            <v>0</v>
          </cell>
          <cell r="AD382">
            <v>38</v>
          </cell>
          <cell r="AE382">
            <v>312100</v>
          </cell>
          <cell r="AF382">
            <v>0</v>
          </cell>
          <cell r="AI382">
            <v>2282</v>
          </cell>
          <cell r="AK382">
            <v>0</v>
          </cell>
          <cell r="AM382">
            <v>818</v>
          </cell>
          <cell r="AN382">
            <v>1</v>
          </cell>
          <cell r="AO382">
            <v>393216</v>
          </cell>
          <cell r="AQ382">
            <v>0</v>
          </cell>
          <cell r="AR382">
            <v>0</v>
          </cell>
          <cell r="AS382" t="str">
            <v>Ы</v>
          </cell>
          <cell r="AT382" t="str">
            <v>Ы</v>
          </cell>
          <cell r="AU382">
            <v>0</v>
          </cell>
          <cell r="AV382">
            <v>0</v>
          </cell>
          <cell r="AW382">
            <v>23</v>
          </cell>
          <cell r="AX382">
            <v>1</v>
          </cell>
          <cell r="AY382">
            <v>0</v>
          </cell>
          <cell r="AZ382">
            <v>0</v>
          </cell>
          <cell r="BA382">
            <v>0</v>
          </cell>
          <cell r="BB382">
            <v>0</v>
          </cell>
          <cell r="BC382">
            <v>38828</v>
          </cell>
        </row>
        <row r="383">
          <cell r="A383">
            <v>2006</v>
          </cell>
          <cell r="B383">
            <v>3</v>
          </cell>
          <cell r="C383">
            <v>662</v>
          </cell>
          <cell r="D383">
            <v>21</v>
          </cell>
          <cell r="E383">
            <v>792030</v>
          </cell>
          <cell r="F383">
            <v>0</v>
          </cell>
          <cell r="G383" t="str">
            <v>Затраты по ШПЗ (неосновные)</v>
          </cell>
          <cell r="H383">
            <v>2030</v>
          </cell>
          <cell r="I383">
            <v>7920</v>
          </cell>
          <cell r="J383">
            <v>38498.800000000003</v>
          </cell>
          <cell r="K383">
            <v>1</v>
          </cell>
          <cell r="L383">
            <v>0</v>
          </cell>
          <cell r="M383">
            <v>0</v>
          </cell>
          <cell r="N383">
            <v>0</v>
          </cell>
          <cell r="R383">
            <v>0</v>
          </cell>
          <cell r="S383">
            <v>0</v>
          </cell>
          <cell r="T383">
            <v>0</v>
          </cell>
          <cell r="U383">
            <v>38</v>
          </cell>
          <cell r="V383">
            <v>0</v>
          </cell>
          <cell r="W383">
            <v>0</v>
          </cell>
          <cell r="AA383">
            <v>0</v>
          </cell>
          <cell r="AB383">
            <v>0</v>
          </cell>
          <cell r="AC383">
            <v>0</v>
          </cell>
          <cell r="AD383">
            <v>38</v>
          </cell>
          <cell r="AE383">
            <v>312200</v>
          </cell>
          <cell r="AF383">
            <v>0</v>
          </cell>
          <cell r="AI383">
            <v>2282</v>
          </cell>
          <cell r="AK383">
            <v>0</v>
          </cell>
          <cell r="AM383">
            <v>819</v>
          </cell>
          <cell r="AN383">
            <v>1</v>
          </cell>
          <cell r="AO383">
            <v>393216</v>
          </cell>
          <cell r="AQ383">
            <v>0</v>
          </cell>
          <cell r="AR383">
            <v>0</v>
          </cell>
          <cell r="AS383" t="str">
            <v>Ы</v>
          </cell>
          <cell r="AT383" t="str">
            <v>Ы</v>
          </cell>
          <cell r="AU383">
            <v>0</v>
          </cell>
          <cell r="AV383">
            <v>0</v>
          </cell>
          <cell r="AW383">
            <v>23</v>
          </cell>
          <cell r="AX383">
            <v>1</v>
          </cell>
          <cell r="AY383">
            <v>0</v>
          </cell>
          <cell r="AZ383">
            <v>0</v>
          </cell>
          <cell r="BA383">
            <v>0</v>
          </cell>
          <cell r="BB383">
            <v>0</v>
          </cell>
          <cell r="BC383">
            <v>38828</v>
          </cell>
        </row>
        <row r="384">
          <cell r="A384">
            <v>2006</v>
          </cell>
          <cell r="B384">
            <v>3</v>
          </cell>
          <cell r="C384">
            <v>663</v>
          </cell>
          <cell r="D384">
            <v>21</v>
          </cell>
          <cell r="E384">
            <v>792030</v>
          </cell>
          <cell r="F384">
            <v>0</v>
          </cell>
          <cell r="G384" t="str">
            <v>Затраты по ШПЗ (неосновные)</v>
          </cell>
          <cell r="H384">
            <v>2030</v>
          </cell>
          <cell r="I384">
            <v>7920</v>
          </cell>
          <cell r="J384">
            <v>3257.1</v>
          </cell>
          <cell r="K384">
            <v>1</v>
          </cell>
          <cell r="L384">
            <v>0</v>
          </cell>
          <cell r="M384">
            <v>0</v>
          </cell>
          <cell r="N384">
            <v>0</v>
          </cell>
          <cell r="R384">
            <v>0</v>
          </cell>
          <cell r="S384">
            <v>0</v>
          </cell>
          <cell r="T384">
            <v>0</v>
          </cell>
          <cell r="U384">
            <v>38</v>
          </cell>
          <cell r="V384">
            <v>0</v>
          </cell>
          <cell r="W384">
            <v>0</v>
          </cell>
          <cell r="AA384">
            <v>0</v>
          </cell>
          <cell r="AB384">
            <v>0</v>
          </cell>
          <cell r="AC384">
            <v>0</v>
          </cell>
          <cell r="AD384">
            <v>38</v>
          </cell>
          <cell r="AE384">
            <v>313000</v>
          </cell>
          <cell r="AF384">
            <v>0</v>
          </cell>
          <cell r="AI384">
            <v>2282</v>
          </cell>
          <cell r="AK384">
            <v>0</v>
          </cell>
          <cell r="AM384">
            <v>820</v>
          </cell>
          <cell r="AN384">
            <v>1</v>
          </cell>
          <cell r="AO384">
            <v>393216</v>
          </cell>
          <cell r="AQ384">
            <v>0</v>
          </cell>
          <cell r="AR384">
            <v>0</v>
          </cell>
          <cell r="AS384" t="str">
            <v>Ы</v>
          </cell>
          <cell r="AT384" t="str">
            <v>Ы</v>
          </cell>
          <cell r="AU384">
            <v>0</v>
          </cell>
          <cell r="AV384">
            <v>0</v>
          </cell>
          <cell r="AW384">
            <v>23</v>
          </cell>
          <cell r="AX384">
            <v>1</v>
          </cell>
          <cell r="AY384">
            <v>0</v>
          </cell>
          <cell r="AZ384">
            <v>0</v>
          </cell>
          <cell r="BA384">
            <v>0</v>
          </cell>
          <cell r="BB384">
            <v>0</v>
          </cell>
          <cell r="BC384">
            <v>38828</v>
          </cell>
        </row>
        <row r="385">
          <cell r="A385">
            <v>2006</v>
          </cell>
          <cell r="B385">
            <v>3</v>
          </cell>
          <cell r="C385">
            <v>664</v>
          </cell>
          <cell r="D385">
            <v>21</v>
          </cell>
          <cell r="E385">
            <v>792030</v>
          </cell>
          <cell r="F385">
            <v>0</v>
          </cell>
          <cell r="G385" t="str">
            <v>Затраты по ШПЗ (неосновные)</v>
          </cell>
          <cell r="H385">
            <v>2030</v>
          </cell>
          <cell r="I385">
            <v>7920</v>
          </cell>
          <cell r="J385">
            <v>5922</v>
          </cell>
          <cell r="K385">
            <v>1</v>
          </cell>
          <cell r="L385">
            <v>0</v>
          </cell>
          <cell r="M385">
            <v>0</v>
          </cell>
          <cell r="N385">
            <v>0</v>
          </cell>
          <cell r="R385">
            <v>0</v>
          </cell>
          <cell r="S385">
            <v>0</v>
          </cell>
          <cell r="T385">
            <v>0</v>
          </cell>
          <cell r="U385">
            <v>38</v>
          </cell>
          <cell r="V385">
            <v>0</v>
          </cell>
          <cell r="W385">
            <v>0</v>
          </cell>
          <cell r="AA385">
            <v>0</v>
          </cell>
          <cell r="AB385">
            <v>0</v>
          </cell>
          <cell r="AC385">
            <v>0</v>
          </cell>
          <cell r="AD385">
            <v>38</v>
          </cell>
          <cell r="AE385">
            <v>314000</v>
          </cell>
          <cell r="AF385">
            <v>0</v>
          </cell>
          <cell r="AI385">
            <v>2282</v>
          </cell>
          <cell r="AK385">
            <v>0</v>
          </cell>
          <cell r="AM385">
            <v>821</v>
          </cell>
          <cell r="AN385">
            <v>1</v>
          </cell>
          <cell r="AO385">
            <v>393216</v>
          </cell>
          <cell r="AQ385">
            <v>0</v>
          </cell>
          <cell r="AR385">
            <v>0</v>
          </cell>
          <cell r="AS385" t="str">
            <v>Ы</v>
          </cell>
          <cell r="AT385" t="str">
            <v>Ы</v>
          </cell>
          <cell r="AU385">
            <v>0</v>
          </cell>
          <cell r="AV385">
            <v>0</v>
          </cell>
          <cell r="AW385">
            <v>23</v>
          </cell>
          <cell r="AX385">
            <v>1</v>
          </cell>
          <cell r="AY385">
            <v>0</v>
          </cell>
          <cell r="AZ385">
            <v>0</v>
          </cell>
          <cell r="BA385">
            <v>0</v>
          </cell>
          <cell r="BB385">
            <v>0</v>
          </cell>
          <cell r="BC385">
            <v>38828</v>
          </cell>
        </row>
        <row r="386">
          <cell r="A386">
            <v>2006</v>
          </cell>
          <cell r="B386">
            <v>3</v>
          </cell>
          <cell r="C386">
            <v>665</v>
          </cell>
          <cell r="D386">
            <v>21</v>
          </cell>
          <cell r="E386">
            <v>792030</v>
          </cell>
          <cell r="F386">
            <v>0</v>
          </cell>
          <cell r="G386" t="str">
            <v>Затраты по ШПЗ (неосновные)</v>
          </cell>
          <cell r="H386">
            <v>2030</v>
          </cell>
          <cell r="I386">
            <v>7920</v>
          </cell>
          <cell r="J386">
            <v>1185.5999999999999</v>
          </cell>
          <cell r="K386">
            <v>1</v>
          </cell>
          <cell r="L386">
            <v>0</v>
          </cell>
          <cell r="M386">
            <v>0</v>
          </cell>
          <cell r="N386">
            <v>0</v>
          </cell>
          <cell r="R386">
            <v>0</v>
          </cell>
          <cell r="S386">
            <v>0</v>
          </cell>
          <cell r="T386">
            <v>0</v>
          </cell>
          <cell r="U386">
            <v>38</v>
          </cell>
          <cell r="V386">
            <v>0</v>
          </cell>
          <cell r="W386">
            <v>0</v>
          </cell>
          <cell r="AA386">
            <v>0</v>
          </cell>
          <cell r="AB386">
            <v>0</v>
          </cell>
          <cell r="AC386">
            <v>0</v>
          </cell>
          <cell r="AD386">
            <v>38</v>
          </cell>
          <cell r="AE386">
            <v>315000</v>
          </cell>
          <cell r="AF386">
            <v>0</v>
          </cell>
          <cell r="AI386">
            <v>2282</v>
          </cell>
          <cell r="AK386">
            <v>0</v>
          </cell>
          <cell r="AM386">
            <v>822</v>
          </cell>
          <cell r="AN386">
            <v>1</v>
          </cell>
          <cell r="AO386">
            <v>393216</v>
          </cell>
          <cell r="AQ386">
            <v>0</v>
          </cell>
          <cell r="AR386">
            <v>0</v>
          </cell>
          <cell r="AS386" t="str">
            <v>Ы</v>
          </cell>
          <cell r="AT386" t="str">
            <v>Ы</v>
          </cell>
          <cell r="AU386">
            <v>0</v>
          </cell>
          <cell r="AV386">
            <v>0</v>
          </cell>
          <cell r="AW386">
            <v>23</v>
          </cell>
          <cell r="AX386">
            <v>1</v>
          </cell>
          <cell r="AY386">
            <v>0</v>
          </cell>
          <cell r="AZ386">
            <v>0</v>
          </cell>
          <cell r="BA386">
            <v>0</v>
          </cell>
          <cell r="BB386">
            <v>0</v>
          </cell>
          <cell r="BC386">
            <v>38828</v>
          </cell>
        </row>
        <row r="387">
          <cell r="A387">
            <v>2006</v>
          </cell>
          <cell r="B387">
            <v>3</v>
          </cell>
          <cell r="C387">
            <v>666</v>
          </cell>
          <cell r="D387">
            <v>21</v>
          </cell>
          <cell r="E387">
            <v>792030</v>
          </cell>
          <cell r="F387">
            <v>0</v>
          </cell>
          <cell r="G387" t="str">
            <v>Затраты по ШПЗ (неосновные)</v>
          </cell>
          <cell r="H387">
            <v>2030</v>
          </cell>
          <cell r="I387">
            <v>7920</v>
          </cell>
          <cell r="J387">
            <v>1652.01</v>
          </cell>
          <cell r="K387">
            <v>1</v>
          </cell>
          <cell r="L387">
            <v>0</v>
          </cell>
          <cell r="M387">
            <v>0</v>
          </cell>
          <cell r="N387">
            <v>0</v>
          </cell>
          <cell r="R387">
            <v>0</v>
          </cell>
          <cell r="S387">
            <v>0</v>
          </cell>
          <cell r="T387">
            <v>0</v>
          </cell>
          <cell r="U387">
            <v>38</v>
          </cell>
          <cell r="V387">
            <v>0</v>
          </cell>
          <cell r="W387">
            <v>0</v>
          </cell>
          <cell r="AA387">
            <v>0</v>
          </cell>
          <cell r="AB387">
            <v>0</v>
          </cell>
          <cell r="AC387">
            <v>0</v>
          </cell>
          <cell r="AD387">
            <v>38</v>
          </cell>
          <cell r="AE387">
            <v>410000</v>
          </cell>
          <cell r="AF387">
            <v>0</v>
          </cell>
          <cell r="AI387">
            <v>2282</v>
          </cell>
          <cell r="AK387">
            <v>0</v>
          </cell>
          <cell r="AM387">
            <v>823</v>
          </cell>
          <cell r="AN387">
            <v>1</v>
          </cell>
          <cell r="AO387">
            <v>393216</v>
          </cell>
          <cell r="AQ387">
            <v>0</v>
          </cell>
          <cell r="AR387">
            <v>0</v>
          </cell>
          <cell r="AS387" t="str">
            <v>Ы</v>
          </cell>
          <cell r="AT387" t="str">
            <v>Ы</v>
          </cell>
          <cell r="AU387">
            <v>0</v>
          </cell>
          <cell r="AV387">
            <v>0</v>
          </cell>
          <cell r="AW387">
            <v>23</v>
          </cell>
          <cell r="AX387">
            <v>1</v>
          </cell>
          <cell r="AY387">
            <v>0</v>
          </cell>
          <cell r="AZ387">
            <v>0</v>
          </cell>
          <cell r="BA387">
            <v>0</v>
          </cell>
          <cell r="BB387">
            <v>0</v>
          </cell>
          <cell r="BC387">
            <v>38828</v>
          </cell>
        </row>
        <row r="388">
          <cell r="A388">
            <v>2006</v>
          </cell>
          <cell r="B388">
            <v>3</v>
          </cell>
          <cell r="C388">
            <v>667</v>
          </cell>
          <cell r="D388">
            <v>21</v>
          </cell>
          <cell r="E388">
            <v>792030</v>
          </cell>
          <cell r="F388">
            <v>0</v>
          </cell>
          <cell r="G388" t="str">
            <v>Затраты по ШПЗ (неосновные)</v>
          </cell>
          <cell r="H388">
            <v>2030</v>
          </cell>
          <cell r="I388">
            <v>7920</v>
          </cell>
          <cell r="J388">
            <v>7418.85</v>
          </cell>
          <cell r="K388">
            <v>1</v>
          </cell>
          <cell r="L388">
            <v>0</v>
          </cell>
          <cell r="M388">
            <v>0</v>
          </cell>
          <cell r="N388">
            <v>0</v>
          </cell>
          <cell r="R388">
            <v>0</v>
          </cell>
          <cell r="S388">
            <v>0</v>
          </cell>
          <cell r="T388">
            <v>0</v>
          </cell>
          <cell r="U388">
            <v>38</v>
          </cell>
          <cell r="V388">
            <v>0</v>
          </cell>
          <cell r="W388">
            <v>0</v>
          </cell>
          <cell r="AA388">
            <v>0</v>
          </cell>
          <cell r="AB388">
            <v>0</v>
          </cell>
          <cell r="AC388">
            <v>0</v>
          </cell>
          <cell r="AD388">
            <v>38</v>
          </cell>
          <cell r="AE388">
            <v>420000</v>
          </cell>
          <cell r="AF388">
            <v>0</v>
          </cell>
          <cell r="AI388">
            <v>2282</v>
          </cell>
          <cell r="AK388">
            <v>0</v>
          </cell>
          <cell r="AM388">
            <v>824</v>
          </cell>
          <cell r="AN388">
            <v>1</v>
          </cell>
          <cell r="AO388">
            <v>393216</v>
          </cell>
          <cell r="AQ388">
            <v>0</v>
          </cell>
          <cell r="AR388">
            <v>0</v>
          </cell>
          <cell r="AS388" t="str">
            <v>Ы</v>
          </cell>
          <cell r="AT388" t="str">
            <v>Ы</v>
          </cell>
          <cell r="AU388">
            <v>0</v>
          </cell>
          <cell r="AV388">
            <v>0</v>
          </cell>
          <cell r="AW388">
            <v>23</v>
          </cell>
          <cell r="AX388">
            <v>1</v>
          </cell>
          <cell r="AY388">
            <v>0</v>
          </cell>
          <cell r="AZ388">
            <v>0</v>
          </cell>
          <cell r="BA388">
            <v>0</v>
          </cell>
          <cell r="BB388">
            <v>0</v>
          </cell>
          <cell r="BC388">
            <v>38828</v>
          </cell>
        </row>
        <row r="389">
          <cell r="A389">
            <v>2006</v>
          </cell>
          <cell r="B389">
            <v>3</v>
          </cell>
          <cell r="C389">
            <v>668</v>
          </cell>
          <cell r="D389">
            <v>21</v>
          </cell>
          <cell r="E389">
            <v>792030</v>
          </cell>
          <cell r="F389">
            <v>0</v>
          </cell>
          <cell r="G389" t="str">
            <v>Затраты по ШПЗ (неосновные)</v>
          </cell>
          <cell r="H389">
            <v>2030</v>
          </cell>
          <cell r="I389">
            <v>7920</v>
          </cell>
          <cell r="J389">
            <v>2822.17</v>
          </cell>
          <cell r="K389">
            <v>1</v>
          </cell>
          <cell r="L389">
            <v>0</v>
          </cell>
          <cell r="M389">
            <v>0</v>
          </cell>
          <cell r="N389">
            <v>0</v>
          </cell>
          <cell r="R389">
            <v>0</v>
          </cell>
          <cell r="S389">
            <v>0</v>
          </cell>
          <cell r="T389">
            <v>0</v>
          </cell>
          <cell r="U389">
            <v>38</v>
          </cell>
          <cell r="V389">
            <v>0</v>
          </cell>
          <cell r="W389">
            <v>0</v>
          </cell>
          <cell r="AA389">
            <v>0</v>
          </cell>
          <cell r="AB389">
            <v>0</v>
          </cell>
          <cell r="AC389">
            <v>0</v>
          </cell>
          <cell r="AD389">
            <v>38</v>
          </cell>
          <cell r="AE389">
            <v>430000</v>
          </cell>
          <cell r="AF389">
            <v>0</v>
          </cell>
          <cell r="AI389">
            <v>2282</v>
          </cell>
          <cell r="AK389">
            <v>0</v>
          </cell>
          <cell r="AM389">
            <v>825</v>
          </cell>
          <cell r="AN389">
            <v>1</v>
          </cell>
          <cell r="AO389">
            <v>393216</v>
          </cell>
          <cell r="AQ389">
            <v>0</v>
          </cell>
          <cell r="AR389">
            <v>0</v>
          </cell>
          <cell r="AS389" t="str">
            <v>Ы</v>
          </cell>
          <cell r="AT389" t="str">
            <v>Ы</v>
          </cell>
          <cell r="AU389">
            <v>0</v>
          </cell>
          <cell r="AV389">
            <v>0</v>
          </cell>
          <cell r="AW389">
            <v>23</v>
          </cell>
          <cell r="AX389">
            <v>1</v>
          </cell>
          <cell r="AY389">
            <v>0</v>
          </cell>
          <cell r="AZ389">
            <v>0</v>
          </cell>
          <cell r="BA389">
            <v>0</v>
          </cell>
          <cell r="BB389">
            <v>0</v>
          </cell>
          <cell r="BC389">
            <v>38828</v>
          </cell>
        </row>
        <row r="390">
          <cell r="A390">
            <v>2006</v>
          </cell>
          <cell r="B390">
            <v>3</v>
          </cell>
          <cell r="C390">
            <v>669</v>
          </cell>
          <cell r="D390">
            <v>21</v>
          </cell>
          <cell r="E390">
            <v>792030</v>
          </cell>
          <cell r="F390">
            <v>0</v>
          </cell>
          <cell r="G390" t="str">
            <v>Затраты по ШПЗ (неосновные)</v>
          </cell>
          <cell r="H390">
            <v>2030</v>
          </cell>
          <cell r="I390">
            <v>7920</v>
          </cell>
          <cell r="J390">
            <v>543.89</v>
          </cell>
          <cell r="K390">
            <v>1</v>
          </cell>
          <cell r="L390">
            <v>0</v>
          </cell>
          <cell r="M390">
            <v>0</v>
          </cell>
          <cell r="N390">
            <v>0</v>
          </cell>
          <cell r="R390">
            <v>0</v>
          </cell>
          <cell r="S390">
            <v>0</v>
          </cell>
          <cell r="T390">
            <v>0</v>
          </cell>
          <cell r="U390">
            <v>38</v>
          </cell>
          <cell r="V390">
            <v>0</v>
          </cell>
          <cell r="W390">
            <v>0</v>
          </cell>
          <cell r="AA390">
            <v>0</v>
          </cell>
          <cell r="AB390">
            <v>0</v>
          </cell>
          <cell r="AC390">
            <v>0</v>
          </cell>
          <cell r="AD390">
            <v>38</v>
          </cell>
          <cell r="AE390">
            <v>450000</v>
          </cell>
          <cell r="AF390">
            <v>0</v>
          </cell>
          <cell r="AI390">
            <v>2282</v>
          </cell>
          <cell r="AK390">
            <v>0</v>
          </cell>
          <cell r="AM390">
            <v>826</v>
          </cell>
          <cell r="AN390">
            <v>1</v>
          </cell>
          <cell r="AO390">
            <v>393216</v>
          </cell>
          <cell r="AQ390">
            <v>0</v>
          </cell>
          <cell r="AR390">
            <v>0</v>
          </cell>
          <cell r="AS390" t="str">
            <v>Ы</v>
          </cell>
          <cell r="AT390" t="str">
            <v>Ы</v>
          </cell>
          <cell r="AU390">
            <v>0</v>
          </cell>
          <cell r="AV390">
            <v>0</v>
          </cell>
          <cell r="AW390">
            <v>23</v>
          </cell>
          <cell r="AX390">
            <v>1</v>
          </cell>
          <cell r="AY390">
            <v>0</v>
          </cell>
          <cell r="AZ390">
            <v>0</v>
          </cell>
          <cell r="BA390">
            <v>0</v>
          </cell>
          <cell r="BB390">
            <v>0</v>
          </cell>
          <cell r="BC390">
            <v>38828</v>
          </cell>
        </row>
        <row r="391">
          <cell r="A391">
            <v>2006</v>
          </cell>
          <cell r="B391">
            <v>3</v>
          </cell>
          <cell r="C391">
            <v>670</v>
          </cell>
          <cell r="D391">
            <v>21</v>
          </cell>
          <cell r="E391">
            <v>792030</v>
          </cell>
          <cell r="F391">
            <v>0</v>
          </cell>
          <cell r="G391" t="str">
            <v>Затраты по ШПЗ (неосновные)</v>
          </cell>
          <cell r="H391">
            <v>2030</v>
          </cell>
          <cell r="I391">
            <v>7920</v>
          </cell>
          <cell r="J391">
            <v>38</v>
          </cell>
          <cell r="K391">
            <v>1</v>
          </cell>
          <cell r="L391">
            <v>0</v>
          </cell>
          <cell r="M391">
            <v>0</v>
          </cell>
          <cell r="N391">
            <v>0</v>
          </cell>
          <cell r="R391">
            <v>0</v>
          </cell>
          <cell r="S391">
            <v>0</v>
          </cell>
          <cell r="T391">
            <v>0</v>
          </cell>
          <cell r="U391">
            <v>38</v>
          </cell>
          <cell r="V391">
            <v>0</v>
          </cell>
          <cell r="W391">
            <v>0</v>
          </cell>
          <cell r="AA391">
            <v>0</v>
          </cell>
          <cell r="AB391">
            <v>0</v>
          </cell>
          <cell r="AC391">
            <v>0</v>
          </cell>
          <cell r="AD391">
            <v>38</v>
          </cell>
          <cell r="AE391">
            <v>460000</v>
          </cell>
          <cell r="AF391">
            <v>0</v>
          </cell>
          <cell r="AI391">
            <v>2282</v>
          </cell>
          <cell r="AK391">
            <v>0</v>
          </cell>
          <cell r="AM391">
            <v>827</v>
          </cell>
          <cell r="AN391">
            <v>1</v>
          </cell>
          <cell r="AO391">
            <v>393216</v>
          </cell>
          <cell r="AQ391">
            <v>0</v>
          </cell>
          <cell r="AR391">
            <v>0</v>
          </cell>
          <cell r="AS391" t="str">
            <v>Ы</v>
          </cell>
          <cell r="AT391" t="str">
            <v>Ы</v>
          </cell>
          <cell r="AU391">
            <v>0</v>
          </cell>
          <cell r="AV391">
            <v>0</v>
          </cell>
          <cell r="AW391">
            <v>23</v>
          </cell>
          <cell r="AX391">
            <v>1</v>
          </cell>
          <cell r="AY391">
            <v>0</v>
          </cell>
          <cell r="AZ391">
            <v>0</v>
          </cell>
          <cell r="BA391">
            <v>0</v>
          </cell>
          <cell r="BB391">
            <v>0</v>
          </cell>
          <cell r="BC391">
            <v>38828</v>
          </cell>
        </row>
        <row r="392">
          <cell r="A392">
            <v>2006</v>
          </cell>
          <cell r="B392">
            <v>3</v>
          </cell>
          <cell r="C392">
            <v>671</v>
          </cell>
          <cell r="D392">
            <v>21</v>
          </cell>
          <cell r="E392">
            <v>792030</v>
          </cell>
          <cell r="F392">
            <v>0</v>
          </cell>
          <cell r="G392" t="str">
            <v>Затраты по ШПЗ (неосновные)</v>
          </cell>
          <cell r="H392">
            <v>2030</v>
          </cell>
          <cell r="I392">
            <v>7920</v>
          </cell>
          <cell r="J392">
            <v>8.9</v>
          </cell>
          <cell r="K392">
            <v>1</v>
          </cell>
          <cell r="L392">
            <v>0</v>
          </cell>
          <cell r="M392">
            <v>0</v>
          </cell>
          <cell r="N392">
            <v>0</v>
          </cell>
          <cell r="R392">
            <v>0</v>
          </cell>
          <cell r="S392">
            <v>0</v>
          </cell>
          <cell r="T392">
            <v>0</v>
          </cell>
          <cell r="U392">
            <v>38</v>
          </cell>
          <cell r="V392">
            <v>0</v>
          </cell>
          <cell r="W392">
            <v>0</v>
          </cell>
          <cell r="AA392">
            <v>0</v>
          </cell>
          <cell r="AB392">
            <v>0</v>
          </cell>
          <cell r="AC392">
            <v>0</v>
          </cell>
          <cell r="AD392">
            <v>38</v>
          </cell>
          <cell r="AE392">
            <v>465000</v>
          </cell>
          <cell r="AF392">
            <v>0</v>
          </cell>
          <cell r="AI392">
            <v>2282</v>
          </cell>
          <cell r="AK392">
            <v>0</v>
          </cell>
          <cell r="AM392">
            <v>828</v>
          </cell>
          <cell r="AN392">
            <v>1</v>
          </cell>
          <cell r="AO392">
            <v>393216</v>
          </cell>
          <cell r="AQ392">
            <v>0</v>
          </cell>
          <cell r="AR392">
            <v>0</v>
          </cell>
          <cell r="AS392" t="str">
            <v>Ы</v>
          </cell>
          <cell r="AT392" t="str">
            <v>Ы</v>
          </cell>
          <cell r="AU392">
            <v>0</v>
          </cell>
          <cell r="AV392">
            <v>0</v>
          </cell>
          <cell r="AW392">
            <v>23</v>
          </cell>
          <cell r="AX392">
            <v>1</v>
          </cell>
          <cell r="AY392">
            <v>0</v>
          </cell>
          <cell r="AZ392">
            <v>0</v>
          </cell>
          <cell r="BA392">
            <v>0</v>
          </cell>
          <cell r="BB392">
            <v>0</v>
          </cell>
          <cell r="BC392">
            <v>38828</v>
          </cell>
        </row>
        <row r="393">
          <cell r="A393">
            <v>2006</v>
          </cell>
          <cell r="B393">
            <v>3</v>
          </cell>
          <cell r="C393">
            <v>672</v>
          </cell>
          <cell r="D393">
            <v>21</v>
          </cell>
          <cell r="E393">
            <v>792030</v>
          </cell>
          <cell r="F393">
            <v>0</v>
          </cell>
          <cell r="G393" t="str">
            <v>Затраты по ШПЗ (неосновные)</v>
          </cell>
          <cell r="H393">
            <v>2030</v>
          </cell>
          <cell r="I393">
            <v>7920</v>
          </cell>
          <cell r="J393">
            <v>2910.45</v>
          </cell>
          <cell r="K393">
            <v>1</v>
          </cell>
          <cell r="L393">
            <v>0</v>
          </cell>
          <cell r="M393">
            <v>0</v>
          </cell>
          <cell r="N393">
            <v>0</v>
          </cell>
          <cell r="R393">
            <v>0</v>
          </cell>
          <cell r="S393">
            <v>0</v>
          </cell>
          <cell r="T393">
            <v>0</v>
          </cell>
          <cell r="U393">
            <v>38</v>
          </cell>
          <cell r="V393">
            <v>0</v>
          </cell>
          <cell r="W393">
            <v>0</v>
          </cell>
          <cell r="AA393">
            <v>0</v>
          </cell>
          <cell r="AB393">
            <v>0</v>
          </cell>
          <cell r="AC393">
            <v>0</v>
          </cell>
          <cell r="AD393">
            <v>38</v>
          </cell>
          <cell r="AE393">
            <v>501102</v>
          </cell>
          <cell r="AF393">
            <v>0</v>
          </cell>
          <cell r="AI393">
            <v>2282</v>
          </cell>
          <cell r="AK393">
            <v>0</v>
          </cell>
          <cell r="AM393">
            <v>829</v>
          </cell>
          <cell r="AN393">
            <v>1</v>
          </cell>
          <cell r="AO393">
            <v>393216</v>
          </cell>
          <cell r="AQ393">
            <v>0</v>
          </cell>
          <cell r="AR393">
            <v>0</v>
          </cell>
          <cell r="AS393" t="str">
            <v>Ы</v>
          </cell>
          <cell r="AT393" t="str">
            <v>Ы</v>
          </cell>
          <cell r="AU393">
            <v>0</v>
          </cell>
          <cell r="AV393">
            <v>0</v>
          </cell>
          <cell r="AW393">
            <v>23</v>
          </cell>
          <cell r="AX393">
            <v>1</v>
          </cell>
          <cell r="AY393">
            <v>0</v>
          </cell>
          <cell r="AZ393">
            <v>0</v>
          </cell>
          <cell r="BA393">
            <v>0</v>
          </cell>
          <cell r="BB393">
            <v>0</v>
          </cell>
          <cell r="BC393">
            <v>38828</v>
          </cell>
        </row>
        <row r="394">
          <cell r="A394">
            <v>2006</v>
          </cell>
          <cell r="B394">
            <v>3</v>
          </cell>
          <cell r="C394">
            <v>673</v>
          </cell>
          <cell r="D394">
            <v>21</v>
          </cell>
          <cell r="E394">
            <v>792030</v>
          </cell>
          <cell r="F394">
            <v>0</v>
          </cell>
          <cell r="G394" t="str">
            <v>Затраты по ШПЗ (неосновные)</v>
          </cell>
          <cell r="H394">
            <v>2030</v>
          </cell>
          <cell r="I394">
            <v>7920</v>
          </cell>
          <cell r="J394">
            <v>8346.8799999999992</v>
          </cell>
          <cell r="K394">
            <v>1</v>
          </cell>
          <cell r="L394">
            <v>0</v>
          </cell>
          <cell r="M394">
            <v>0</v>
          </cell>
          <cell r="N394">
            <v>0</v>
          </cell>
          <cell r="R394">
            <v>0</v>
          </cell>
          <cell r="S394">
            <v>0</v>
          </cell>
          <cell r="T394">
            <v>0</v>
          </cell>
          <cell r="U394">
            <v>38</v>
          </cell>
          <cell r="V394">
            <v>0</v>
          </cell>
          <cell r="W394">
            <v>0</v>
          </cell>
          <cell r="AA394">
            <v>0</v>
          </cell>
          <cell r="AB394">
            <v>0</v>
          </cell>
          <cell r="AC394">
            <v>0</v>
          </cell>
          <cell r="AD394">
            <v>38</v>
          </cell>
          <cell r="AE394">
            <v>501103</v>
          </cell>
          <cell r="AF394">
            <v>0</v>
          </cell>
          <cell r="AI394">
            <v>2282</v>
          </cell>
          <cell r="AK394">
            <v>0</v>
          </cell>
          <cell r="AM394">
            <v>830</v>
          </cell>
          <cell r="AN394">
            <v>1</v>
          </cell>
          <cell r="AO394">
            <v>393216</v>
          </cell>
          <cell r="AQ394">
            <v>0</v>
          </cell>
          <cell r="AR394">
            <v>0</v>
          </cell>
          <cell r="AS394" t="str">
            <v>Ы</v>
          </cell>
          <cell r="AT394" t="str">
            <v>Ы</v>
          </cell>
          <cell r="AU394">
            <v>0</v>
          </cell>
          <cell r="AV394">
            <v>0</v>
          </cell>
          <cell r="AW394">
            <v>23</v>
          </cell>
          <cell r="AX394">
            <v>1</v>
          </cell>
          <cell r="AY394">
            <v>0</v>
          </cell>
          <cell r="AZ394">
            <v>0</v>
          </cell>
          <cell r="BA394">
            <v>0</v>
          </cell>
          <cell r="BB394">
            <v>0</v>
          </cell>
          <cell r="BC394">
            <v>38828</v>
          </cell>
        </row>
        <row r="395">
          <cell r="A395">
            <v>2006</v>
          </cell>
          <cell r="B395">
            <v>3</v>
          </cell>
          <cell r="C395">
            <v>674</v>
          </cell>
          <cell r="D395">
            <v>21</v>
          </cell>
          <cell r="E395">
            <v>792030</v>
          </cell>
          <cell r="F395">
            <v>0</v>
          </cell>
          <cell r="G395" t="str">
            <v>Затраты по ШПЗ (неосновные)</v>
          </cell>
          <cell r="H395">
            <v>2030</v>
          </cell>
          <cell r="I395">
            <v>7920</v>
          </cell>
          <cell r="J395">
            <v>5897.32</v>
          </cell>
          <cell r="K395">
            <v>1</v>
          </cell>
          <cell r="L395">
            <v>0</v>
          </cell>
          <cell r="M395">
            <v>0</v>
          </cell>
          <cell r="N395">
            <v>0</v>
          </cell>
          <cell r="R395">
            <v>0</v>
          </cell>
          <cell r="S395">
            <v>0</v>
          </cell>
          <cell r="T395">
            <v>0</v>
          </cell>
          <cell r="U395">
            <v>38</v>
          </cell>
          <cell r="V395">
            <v>0</v>
          </cell>
          <cell r="W395">
            <v>0</v>
          </cell>
          <cell r="AA395">
            <v>0</v>
          </cell>
          <cell r="AB395">
            <v>0</v>
          </cell>
          <cell r="AC395">
            <v>0</v>
          </cell>
          <cell r="AD395">
            <v>38</v>
          </cell>
          <cell r="AE395">
            <v>501105</v>
          </cell>
          <cell r="AF395">
            <v>0</v>
          </cell>
          <cell r="AI395">
            <v>2282</v>
          </cell>
          <cell r="AK395">
            <v>0</v>
          </cell>
          <cell r="AM395">
            <v>831</v>
          </cell>
          <cell r="AN395">
            <v>1</v>
          </cell>
          <cell r="AO395">
            <v>393216</v>
          </cell>
          <cell r="AQ395">
            <v>0</v>
          </cell>
          <cell r="AR395">
            <v>0</v>
          </cell>
          <cell r="AS395" t="str">
            <v>Ы</v>
          </cell>
          <cell r="AT395" t="str">
            <v>Ы</v>
          </cell>
          <cell r="AU395">
            <v>0</v>
          </cell>
          <cell r="AV395">
            <v>0</v>
          </cell>
          <cell r="AW395">
            <v>23</v>
          </cell>
          <cell r="AX395">
            <v>1</v>
          </cell>
          <cell r="AY395">
            <v>0</v>
          </cell>
          <cell r="AZ395">
            <v>0</v>
          </cell>
          <cell r="BA395">
            <v>0</v>
          </cell>
          <cell r="BB395">
            <v>0</v>
          </cell>
          <cell r="BC395">
            <v>38828</v>
          </cell>
        </row>
        <row r="396">
          <cell r="A396">
            <v>2006</v>
          </cell>
          <cell r="B396">
            <v>3</v>
          </cell>
          <cell r="C396">
            <v>675</v>
          </cell>
          <cell r="D396">
            <v>21</v>
          </cell>
          <cell r="E396">
            <v>792030</v>
          </cell>
          <cell r="F396">
            <v>0</v>
          </cell>
          <cell r="G396" t="str">
            <v>Затраты по ШПЗ (неосновные)</v>
          </cell>
          <cell r="H396">
            <v>2030</v>
          </cell>
          <cell r="I396">
            <v>7920</v>
          </cell>
          <cell r="J396">
            <v>10655.32</v>
          </cell>
          <cell r="K396">
            <v>1</v>
          </cell>
          <cell r="L396">
            <v>0</v>
          </cell>
          <cell r="M396">
            <v>0</v>
          </cell>
          <cell r="N396">
            <v>0</v>
          </cell>
          <cell r="R396">
            <v>0</v>
          </cell>
          <cell r="S396">
            <v>0</v>
          </cell>
          <cell r="T396">
            <v>0</v>
          </cell>
          <cell r="U396">
            <v>38</v>
          </cell>
          <cell r="V396">
            <v>0</v>
          </cell>
          <cell r="W396">
            <v>0</v>
          </cell>
          <cell r="AA396">
            <v>0</v>
          </cell>
          <cell r="AB396">
            <v>0</v>
          </cell>
          <cell r="AC396">
            <v>0</v>
          </cell>
          <cell r="AD396">
            <v>38</v>
          </cell>
          <cell r="AE396">
            <v>501106</v>
          </cell>
          <cell r="AF396">
            <v>0</v>
          </cell>
          <cell r="AI396">
            <v>2282</v>
          </cell>
          <cell r="AK396">
            <v>0</v>
          </cell>
          <cell r="AM396">
            <v>832</v>
          </cell>
          <cell r="AN396">
            <v>1</v>
          </cell>
          <cell r="AO396">
            <v>393216</v>
          </cell>
          <cell r="AQ396">
            <v>0</v>
          </cell>
          <cell r="AR396">
            <v>0</v>
          </cell>
          <cell r="AS396" t="str">
            <v>Ы</v>
          </cell>
          <cell r="AT396" t="str">
            <v>Ы</v>
          </cell>
          <cell r="AU396">
            <v>0</v>
          </cell>
          <cell r="AV396">
            <v>0</v>
          </cell>
          <cell r="AW396">
            <v>23</v>
          </cell>
          <cell r="AX396">
            <v>1</v>
          </cell>
          <cell r="AY396">
            <v>0</v>
          </cell>
          <cell r="AZ396">
            <v>0</v>
          </cell>
          <cell r="BA396">
            <v>0</v>
          </cell>
          <cell r="BB396">
            <v>0</v>
          </cell>
          <cell r="BC396">
            <v>38828</v>
          </cell>
        </row>
        <row r="397">
          <cell r="A397">
            <v>2006</v>
          </cell>
          <cell r="B397">
            <v>3</v>
          </cell>
          <cell r="C397">
            <v>676</v>
          </cell>
          <cell r="D397">
            <v>21</v>
          </cell>
          <cell r="E397">
            <v>792030</v>
          </cell>
          <cell r="F397">
            <v>0</v>
          </cell>
          <cell r="G397" t="str">
            <v>Затраты по ШПЗ (неосновные)</v>
          </cell>
          <cell r="H397">
            <v>2030</v>
          </cell>
          <cell r="I397">
            <v>7920</v>
          </cell>
          <cell r="J397">
            <v>12113.75</v>
          </cell>
          <cell r="K397">
            <v>1</v>
          </cell>
          <cell r="L397">
            <v>0</v>
          </cell>
          <cell r="M397">
            <v>0</v>
          </cell>
          <cell r="N397">
            <v>0</v>
          </cell>
          <cell r="R397">
            <v>0</v>
          </cell>
          <cell r="S397">
            <v>0</v>
          </cell>
          <cell r="T397">
            <v>0</v>
          </cell>
          <cell r="U397">
            <v>38</v>
          </cell>
          <cell r="V397">
            <v>0</v>
          </cell>
          <cell r="W397">
            <v>0</v>
          </cell>
          <cell r="AA397">
            <v>0</v>
          </cell>
          <cell r="AB397">
            <v>0</v>
          </cell>
          <cell r="AC397">
            <v>0</v>
          </cell>
          <cell r="AD397">
            <v>38</v>
          </cell>
          <cell r="AE397">
            <v>503000</v>
          </cell>
          <cell r="AF397">
            <v>0</v>
          </cell>
          <cell r="AI397">
            <v>2282</v>
          </cell>
          <cell r="AK397">
            <v>0</v>
          </cell>
          <cell r="AM397">
            <v>833</v>
          </cell>
          <cell r="AN397">
            <v>1</v>
          </cell>
          <cell r="AO397">
            <v>393216</v>
          </cell>
          <cell r="AQ397">
            <v>0</v>
          </cell>
          <cell r="AR397">
            <v>0</v>
          </cell>
          <cell r="AS397" t="str">
            <v>Ы</v>
          </cell>
          <cell r="AT397" t="str">
            <v>Ы</v>
          </cell>
          <cell r="AU397">
            <v>0</v>
          </cell>
          <cell r="AV397">
            <v>0</v>
          </cell>
          <cell r="AW397">
            <v>23</v>
          </cell>
          <cell r="AX397">
            <v>1</v>
          </cell>
          <cell r="AY397">
            <v>0</v>
          </cell>
          <cell r="AZ397">
            <v>0</v>
          </cell>
          <cell r="BA397">
            <v>0</v>
          </cell>
          <cell r="BB397">
            <v>0</v>
          </cell>
          <cell r="BC397">
            <v>38828</v>
          </cell>
        </row>
        <row r="398">
          <cell r="A398">
            <v>2006</v>
          </cell>
          <cell r="B398">
            <v>3</v>
          </cell>
          <cell r="C398">
            <v>677</v>
          </cell>
          <cell r="D398">
            <v>21</v>
          </cell>
          <cell r="E398">
            <v>792030</v>
          </cell>
          <cell r="F398">
            <v>0</v>
          </cell>
          <cell r="G398" t="str">
            <v>Затраты по ШПЗ (неосновные)</v>
          </cell>
          <cell r="H398">
            <v>2030</v>
          </cell>
          <cell r="I398">
            <v>7920</v>
          </cell>
          <cell r="J398">
            <v>389.07</v>
          </cell>
          <cell r="K398">
            <v>1</v>
          </cell>
          <cell r="L398">
            <v>0</v>
          </cell>
          <cell r="M398">
            <v>0</v>
          </cell>
          <cell r="N398">
            <v>0</v>
          </cell>
          <cell r="R398">
            <v>0</v>
          </cell>
          <cell r="S398">
            <v>0</v>
          </cell>
          <cell r="T398">
            <v>0</v>
          </cell>
          <cell r="U398">
            <v>38</v>
          </cell>
          <cell r="V398">
            <v>0</v>
          </cell>
          <cell r="W398">
            <v>0</v>
          </cell>
          <cell r="AA398">
            <v>0</v>
          </cell>
          <cell r="AB398">
            <v>0</v>
          </cell>
          <cell r="AC398">
            <v>0</v>
          </cell>
          <cell r="AD398">
            <v>38</v>
          </cell>
          <cell r="AE398">
            <v>504100</v>
          </cell>
          <cell r="AF398">
            <v>0</v>
          </cell>
          <cell r="AI398">
            <v>2282</v>
          </cell>
          <cell r="AK398">
            <v>0</v>
          </cell>
          <cell r="AM398">
            <v>834</v>
          </cell>
          <cell r="AN398">
            <v>1</v>
          </cell>
          <cell r="AO398">
            <v>393216</v>
          </cell>
          <cell r="AQ398">
            <v>0</v>
          </cell>
          <cell r="AR398">
            <v>0</v>
          </cell>
          <cell r="AS398" t="str">
            <v>Ы</v>
          </cell>
          <cell r="AT398" t="str">
            <v>Ы</v>
          </cell>
          <cell r="AU398">
            <v>0</v>
          </cell>
          <cell r="AV398">
            <v>0</v>
          </cell>
          <cell r="AW398">
            <v>23</v>
          </cell>
          <cell r="AX398">
            <v>1</v>
          </cell>
          <cell r="AY398">
            <v>0</v>
          </cell>
          <cell r="AZ398">
            <v>0</v>
          </cell>
          <cell r="BA398">
            <v>0</v>
          </cell>
          <cell r="BB398">
            <v>0</v>
          </cell>
          <cell r="BC398">
            <v>38828</v>
          </cell>
        </row>
        <row r="399">
          <cell r="A399">
            <v>2006</v>
          </cell>
          <cell r="B399">
            <v>3</v>
          </cell>
          <cell r="C399">
            <v>678</v>
          </cell>
          <cell r="D399">
            <v>21</v>
          </cell>
          <cell r="E399">
            <v>792030</v>
          </cell>
          <cell r="F399">
            <v>0</v>
          </cell>
          <cell r="G399" t="str">
            <v>Затраты по ШПЗ (неосновные)</v>
          </cell>
          <cell r="H399">
            <v>2030</v>
          </cell>
          <cell r="I399">
            <v>7920</v>
          </cell>
          <cell r="J399">
            <v>6.73</v>
          </cell>
          <cell r="K399">
            <v>1</v>
          </cell>
          <cell r="L399">
            <v>0</v>
          </cell>
          <cell r="M399">
            <v>0</v>
          </cell>
          <cell r="N399">
            <v>0</v>
          </cell>
          <cell r="R399">
            <v>0</v>
          </cell>
          <cell r="S399">
            <v>0</v>
          </cell>
          <cell r="T399">
            <v>0</v>
          </cell>
          <cell r="U399">
            <v>38</v>
          </cell>
          <cell r="V399">
            <v>0</v>
          </cell>
          <cell r="W399">
            <v>0</v>
          </cell>
          <cell r="AA399">
            <v>0</v>
          </cell>
          <cell r="AB399">
            <v>0</v>
          </cell>
          <cell r="AC399">
            <v>0</v>
          </cell>
          <cell r="AD399">
            <v>38</v>
          </cell>
          <cell r="AE399">
            <v>504900</v>
          </cell>
          <cell r="AF399">
            <v>0</v>
          </cell>
          <cell r="AI399">
            <v>2282</v>
          </cell>
          <cell r="AK399">
            <v>0</v>
          </cell>
          <cell r="AM399">
            <v>835</v>
          </cell>
          <cell r="AN399">
            <v>1</v>
          </cell>
          <cell r="AO399">
            <v>393216</v>
          </cell>
          <cell r="AQ399">
            <v>0</v>
          </cell>
          <cell r="AR399">
            <v>0</v>
          </cell>
          <cell r="AS399" t="str">
            <v>Ы</v>
          </cell>
          <cell r="AT399" t="str">
            <v>Ы</v>
          </cell>
          <cell r="AU399">
            <v>0</v>
          </cell>
          <cell r="AV399">
            <v>0</v>
          </cell>
          <cell r="AW399">
            <v>23</v>
          </cell>
          <cell r="AX399">
            <v>1</v>
          </cell>
          <cell r="AY399">
            <v>0</v>
          </cell>
          <cell r="AZ399">
            <v>0</v>
          </cell>
          <cell r="BA399">
            <v>0</v>
          </cell>
          <cell r="BB399">
            <v>0</v>
          </cell>
          <cell r="BC399">
            <v>38828</v>
          </cell>
        </row>
        <row r="400">
          <cell r="A400">
            <v>2006</v>
          </cell>
          <cell r="B400">
            <v>3</v>
          </cell>
          <cell r="C400">
            <v>679</v>
          </cell>
          <cell r="D400">
            <v>21</v>
          </cell>
          <cell r="E400">
            <v>792030</v>
          </cell>
          <cell r="F400">
            <v>0</v>
          </cell>
          <cell r="G400" t="str">
            <v>Затраты по ШПЗ (неосновные)</v>
          </cell>
          <cell r="H400">
            <v>2030</v>
          </cell>
          <cell r="I400">
            <v>7920</v>
          </cell>
          <cell r="J400">
            <v>404.34</v>
          </cell>
          <cell r="K400">
            <v>1</v>
          </cell>
          <cell r="L400">
            <v>0</v>
          </cell>
          <cell r="M400">
            <v>0</v>
          </cell>
          <cell r="N400">
            <v>0</v>
          </cell>
          <cell r="R400">
            <v>0</v>
          </cell>
          <cell r="S400">
            <v>0</v>
          </cell>
          <cell r="T400">
            <v>0</v>
          </cell>
          <cell r="U400">
            <v>38</v>
          </cell>
          <cell r="V400">
            <v>0</v>
          </cell>
          <cell r="W400">
            <v>0</v>
          </cell>
          <cell r="AA400">
            <v>0</v>
          </cell>
          <cell r="AB400">
            <v>0</v>
          </cell>
          <cell r="AC400">
            <v>0</v>
          </cell>
          <cell r="AD400">
            <v>38</v>
          </cell>
          <cell r="AE400">
            <v>505100</v>
          </cell>
          <cell r="AF400">
            <v>0</v>
          </cell>
          <cell r="AI400">
            <v>2282</v>
          </cell>
          <cell r="AK400">
            <v>0</v>
          </cell>
          <cell r="AM400">
            <v>836</v>
          </cell>
          <cell r="AN400">
            <v>1</v>
          </cell>
          <cell r="AO400">
            <v>393216</v>
          </cell>
          <cell r="AQ400">
            <v>0</v>
          </cell>
          <cell r="AR400">
            <v>0</v>
          </cell>
          <cell r="AS400" t="str">
            <v>Ы</v>
          </cell>
          <cell r="AT400" t="str">
            <v>Ы</v>
          </cell>
          <cell r="AU400">
            <v>0</v>
          </cell>
          <cell r="AV400">
            <v>0</v>
          </cell>
          <cell r="AW400">
            <v>23</v>
          </cell>
          <cell r="AX400">
            <v>1</v>
          </cell>
          <cell r="AY400">
            <v>0</v>
          </cell>
          <cell r="AZ400">
            <v>0</v>
          </cell>
          <cell r="BA400">
            <v>0</v>
          </cell>
          <cell r="BB400">
            <v>0</v>
          </cell>
          <cell r="BC400">
            <v>38828</v>
          </cell>
        </row>
        <row r="401">
          <cell r="A401">
            <v>2006</v>
          </cell>
          <cell r="B401">
            <v>3</v>
          </cell>
          <cell r="C401">
            <v>680</v>
          </cell>
          <cell r="D401">
            <v>21</v>
          </cell>
          <cell r="E401">
            <v>792030</v>
          </cell>
          <cell r="F401">
            <v>0</v>
          </cell>
          <cell r="G401" t="str">
            <v>Затраты по ШПЗ (неосновные)</v>
          </cell>
          <cell r="H401">
            <v>2030</v>
          </cell>
          <cell r="I401">
            <v>7920</v>
          </cell>
          <cell r="J401">
            <v>42.84</v>
          </cell>
          <cell r="K401">
            <v>1</v>
          </cell>
          <cell r="L401">
            <v>0</v>
          </cell>
          <cell r="M401">
            <v>0</v>
          </cell>
          <cell r="N401">
            <v>0</v>
          </cell>
          <cell r="R401">
            <v>0</v>
          </cell>
          <cell r="S401">
            <v>0</v>
          </cell>
          <cell r="T401">
            <v>0</v>
          </cell>
          <cell r="U401">
            <v>38</v>
          </cell>
          <cell r="V401">
            <v>0</v>
          </cell>
          <cell r="W401">
            <v>0</v>
          </cell>
          <cell r="AA401">
            <v>0</v>
          </cell>
          <cell r="AB401">
            <v>0</v>
          </cell>
          <cell r="AC401">
            <v>0</v>
          </cell>
          <cell r="AD401">
            <v>38</v>
          </cell>
          <cell r="AE401">
            <v>505200</v>
          </cell>
          <cell r="AF401">
            <v>0</v>
          </cell>
          <cell r="AI401">
            <v>2282</v>
          </cell>
          <cell r="AK401">
            <v>0</v>
          </cell>
          <cell r="AM401">
            <v>837</v>
          </cell>
          <cell r="AN401">
            <v>1</v>
          </cell>
          <cell r="AO401">
            <v>393216</v>
          </cell>
          <cell r="AQ401">
            <v>0</v>
          </cell>
          <cell r="AR401">
            <v>0</v>
          </cell>
          <cell r="AS401" t="str">
            <v>Ы</v>
          </cell>
          <cell r="AT401" t="str">
            <v>Ы</v>
          </cell>
          <cell r="AU401">
            <v>0</v>
          </cell>
          <cell r="AV401">
            <v>0</v>
          </cell>
          <cell r="AW401">
            <v>23</v>
          </cell>
          <cell r="AX401">
            <v>1</v>
          </cell>
          <cell r="AY401">
            <v>0</v>
          </cell>
          <cell r="AZ401">
            <v>0</v>
          </cell>
          <cell r="BA401">
            <v>0</v>
          </cell>
          <cell r="BB401">
            <v>0</v>
          </cell>
          <cell r="BC401">
            <v>38828</v>
          </cell>
        </row>
        <row r="402">
          <cell r="A402">
            <v>2006</v>
          </cell>
          <cell r="B402">
            <v>3</v>
          </cell>
          <cell r="C402">
            <v>681</v>
          </cell>
          <cell r="D402">
            <v>21</v>
          </cell>
          <cell r="E402">
            <v>792030</v>
          </cell>
          <cell r="F402">
            <v>0</v>
          </cell>
          <cell r="G402" t="str">
            <v>Затраты по ШПЗ (неосновные)</v>
          </cell>
          <cell r="H402">
            <v>2030</v>
          </cell>
          <cell r="I402">
            <v>7920</v>
          </cell>
          <cell r="J402">
            <v>14.97</v>
          </cell>
          <cell r="K402">
            <v>1</v>
          </cell>
          <cell r="L402">
            <v>0</v>
          </cell>
          <cell r="M402">
            <v>0</v>
          </cell>
          <cell r="N402">
            <v>0</v>
          </cell>
          <cell r="R402">
            <v>0</v>
          </cell>
          <cell r="S402">
            <v>0</v>
          </cell>
          <cell r="T402">
            <v>0</v>
          </cell>
          <cell r="U402">
            <v>38</v>
          </cell>
          <cell r="V402">
            <v>0</v>
          </cell>
          <cell r="W402">
            <v>0</v>
          </cell>
          <cell r="AA402">
            <v>0</v>
          </cell>
          <cell r="AB402">
            <v>0</v>
          </cell>
          <cell r="AC402">
            <v>0</v>
          </cell>
          <cell r="AD402">
            <v>38</v>
          </cell>
          <cell r="AE402">
            <v>505300</v>
          </cell>
          <cell r="AF402">
            <v>0</v>
          </cell>
          <cell r="AI402">
            <v>2282</v>
          </cell>
          <cell r="AK402">
            <v>0</v>
          </cell>
          <cell r="AM402">
            <v>838</v>
          </cell>
          <cell r="AN402">
            <v>1</v>
          </cell>
          <cell r="AO402">
            <v>393216</v>
          </cell>
          <cell r="AQ402">
            <v>0</v>
          </cell>
          <cell r="AR402">
            <v>0</v>
          </cell>
          <cell r="AS402" t="str">
            <v>Ы</v>
          </cell>
          <cell r="AT402" t="str">
            <v>Ы</v>
          </cell>
          <cell r="AU402">
            <v>0</v>
          </cell>
          <cell r="AV402">
            <v>0</v>
          </cell>
          <cell r="AW402">
            <v>23</v>
          </cell>
          <cell r="AX402">
            <v>1</v>
          </cell>
          <cell r="AY402">
            <v>0</v>
          </cell>
          <cell r="AZ402">
            <v>0</v>
          </cell>
          <cell r="BA402">
            <v>0</v>
          </cell>
          <cell r="BB402">
            <v>0</v>
          </cell>
          <cell r="BC402">
            <v>38828</v>
          </cell>
        </row>
        <row r="403">
          <cell r="A403">
            <v>2006</v>
          </cell>
          <cell r="B403">
            <v>3</v>
          </cell>
          <cell r="C403">
            <v>682</v>
          </cell>
          <cell r="D403">
            <v>21</v>
          </cell>
          <cell r="E403">
            <v>792030</v>
          </cell>
          <cell r="F403">
            <v>0</v>
          </cell>
          <cell r="G403" t="str">
            <v>Затраты по ШПЗ (неосновные)</v>
          </cell>
          <cell r="H403">
            <v>2030</v>
          </cell>
          <cell r="I403">
            <v>7920</v>
          </cell>
          <cell r="J403">
            <v>5840.74</v>
          </cell>
          <cell r="K403">
            <v>1</v>
          </cell>
          <cell r="L403">
            <v>0</v>
          </cell>
          <cell r="M403">
            <v>0</v>
          </cell>
          <cell r="N403">
            <v>0</v>
          </cell>
          <cell r="R403">
            <v>0</v>
          </cell>
          <cell r="S403">
            <v>0</v>
          </cell>
          <cell r="T403">
            <v>0</v>
          </cell>
          <cell r="U403">
            <v>38</v>
          </cell>
          <cell r="V403">
            <v>0</v>
          </cell>
          <cell r="W403">
            <v>0</v>
          </cell>
          <cell r="AA403">
            <v>0</v>
          </cell>
          <cell r="AB403">
            <v>0</v>
          </cell>
          <cell r="AC403">
            <v>0</v>
          </cell>
          <cell r="AD403">
            <v>38</v>
          </cell>
          <cell r="AE403">
            <v>505400</v>
          </cell>
          <cell r="AF403">
            <v>0</v>
          </cell>
          <cell r="AI403">
            <v>2282</v>
          </cell>
          <cell r="AK403">
            <v>0</v>
          </cell>
          <cell r="AM403">
            <v>839</v>
          </cell>
          <cell r="AN403">
            <v>1</v>
          </cell>
          <cell r="AO403">
            <v>393216</v>
          </cell>
          <cell r="AQ403">
            <v>0</v>
          </cell>
          <cell r="AR403">
            <v>0</v>
          </cell>
          <cell r="AS403" t="str">
            <v>Ы</v>
          </cell>
          <cell r="AT403" t="str">
            <v>Ы</v>
          </cell>
          <cell r="AU403">
            <v>0</v>
          </cell>
          <cell r="AV403">
            <v>0</v>
          </cell>
          <cell r="AW403">
            <v>23</v>
          </cell>
          <cell r="AX403">
            <v>1</v>
          </cell>
          <cell r="AY403">
            <v>0</v>
          </cell>
          <cell r="AZ403">
            <v>0</v>
          </cell>
          <cell r="BA403">
            <v>0</v>
          </cell>
          <cell r="BB403">
            <v>0</v>
          </cell>
          <cell r="BC403">
            <v>38828</v>
          </cell>
        </row>
        <row r="404">
          <cell r="A404">
            <v>2006</v>
          </cell>
          <cell r="B404">
            <v>3</v>
          </cell>
          <cell r="C404">
            <v>683</v>
          </cell>
          <cell r="D404">
            <v>21</v>
          </cell>
          <cell r="E404">
            <v>792030</v>
          </cell>
          <cell r="F404">
            <v>0</v>
          </cell>
          <cell r="G404" t="str">
            <v>Затраты по ШПЗ (неосновные)</v>
          </cell>
          <cell r="H404">
            <v>2030</v>
          </cell>
          <cell r="I404">
            <v>7920</v>
          </cell>
          <cell r="J404">
            <v>139.91999999999999</v>
          </cell>
          <cell r="K404">
            <v>1</v>
          </cell>
          <cell r="L404">
            <v>0</v>
          </cell>
          <cell r="M404">
            <v>0</v>
          </cell>
          <cell r="N404">
            <v>0</v>
          </cell>
          <cell r="R404">
            <v>0</v>
          </cell>
          <cell r="S404">
            <v>0</v>
          </cell>
          <cell r="T404">
            <v>0</v>
          </cell>
          <cell r="U404">
            <v>38</v>
          </cell>
          <cell r="V404">
            <v>0</v>
          </cell>
          <cell r="W404">
            <v>0</v>
          </cell>
          <cell r="AA404">
            <v>0</v>
          </cell>
          <cell r="AB404">
            <v>0</v>
          </cell>
          <cell r="AC404">
            <v>0</v>
          </cell>
          <cell r="AD404">
            <v>38</v>
          </cell>
          <cell r="AE404">
            <v>508700</v>
          </cell>
          <cell r="AF404">
            <v>0</v>
          </cell>
          <cell r="AI404">
            <v>2282</v>
          </cell>
          <cell r="AK404">
            <v>0</v>
          </cell>
          <cell r="AM404">
            <v>840</v>
          </cell>
          <cell r="AN404">
            <v>1</v>
          </cell>
          <cell r="AO404">
            <v>393216</v>
          </cell>
          <cell r="AQ404">
            <v>0</v>
          </cell>
          <cell r="AR404">
            <v>0</v>
          </cell>
          <cell r="AS404" t="str">
            <v>Ы</v>
          </cell>
          <cell r="AT404" t="str">
            <v>Ы</v>
          </cell>
          <cell r="AU404">
            <v>0</v>
          </cell>
          <cell r="AV404">
            <v>0</v>
          </cell>
          <cell r="AW404">
            <v>23</v>
          </cell>
          <cell r="AX404">
            <v>1</v>
          </cell>
          <cell r="AY404">
            <v>0</v>
          </cell>
          <cell r="AZ404">
            <v>0</v>
          </cell>
          <cell r="BA404">
            <v>0</v>
          </cell>
          <cell r="BB404">
            <v>0</v>
          </cell>
          <cell r="BC404">
            <v>38828</v>
          </cell>
        </row>
        <row r="405">
          <cell r="A405">
            <v>2006</v>
          </cell>
          <cell r="B405">
            <v>3</v>
          </cell>
          <cell r="C405">
            <v>684</v>
          </cell>
          <cell r="D405">
            <v>21</v>
          </cell>
          <cell r="E405">
            <v>792030</v>
          </cell>
          <cell r="F405">
            <v>0</v>
          </cell>
          <cell r="G405" t="str">
            <v>Затраты по ШПЗ (неосновные)</v>
          </cell>
          <cell r="H405">
            <v>2030</v>
          </cell>
          <cell r="I405">
            <v>7920</v>
          </cell>
          <cell r="J405">
            <v>2993.63</v>
          </cell>
          <cell r="K405">
            <v>1</v>
          </cell>
          <cell r="L405">
            <v>0</v>
          </cell>
          <cell r="M405">
            <v>0</v>
          </cell>
          <cell r="N405">
            <v>0</v>
          </cell>
          <cell r="R405">
            <v>0</v>
          </cell>
          <cell r="S405">
            <v>0</v>
          </cell>
          <cell r="T405">
            <v>0</v>
          </cell>
          <cell r="U405">
            <v>38</v>
          </cell>
          <cell r="V405">
            <v>0</v>
          </cell>
          <cell r="W405">
            <v>0</v>
          </cell>
          <cell r="AA405">
            <v>0</v>
          </cell>
          <cell r="AB405">
            <v>0</v>
          </cell>
          <cell r="AC405">
            <v>0</v>
          </cell>
          <cell r="AD405">
            <v>38</v>
          </cell>
          <cell r="AE405">
            <v>510100</v>
          </cell>
          <cell r="AF405">
            <v>0</v>
          </cell>
          <cell r="AI405">
            <v>2282</v>
          </cell>
          <cell r="AK405">
            <v>0</v>
          </cell>
          <cell r="AM405">
            <v>841</v>
          </cell>
          <cell r="AN405">
            <v>1</v>
          </cell>
          <cell r="AO405">
            <v>393216</v>
          </cell>
          <cell r="AQ405">
            <v>0</v>
          </cell>
          <cell r="AR405">
            <v>0</v>
          </cell>
          <cell r="AS405" t="str">
            <v>Ы</v>
          </cell>
          <cell r="AT405" t="str">
            <v>Ы</v>
          </cell>
          <cell r="AU405">
            <v>0</v>
          </cell>
          <cell r="AV405">
            <v>0</v>
          </cell>
          <cell r="AW405">
            <v>23</v>
          </cell>
          <cell r="AX405">
            <v>1</v>
          </cell>
          <cell r="AY405">
            <v>0</v>
          </cell>
          <cell r="AZ405">
            <v>0</v>
          </cell>
          <cell r="BA405">
            <v>0</v>
          </cell>
          <cell r="BB405">
            <v>0</v>
          </cell>
          <cell r="BC405">
            <v>38828</v>
          </cell>
        </row>
        <row r="406">
          <cell r="A406">
            <v>2006</v>
          </cell>
          <cell r="B406">
            <v>3</v>
          </cell>
          <cell r="C406">
            <v>685</v>
          </cell>
          <cell r="D406">
            <v>21</v>
          </cell>
          <cell r="E406">
            <v>792030</v>
          </cell>
          <cell r="F406">
            <v>0</v>
          </cell>
          <cell r="G406" t="str">
            <v>Затраты по ШПЗ (неосновные)</v>
          </cell>
          <cell r="H406">
            <v>2030</v>
          </cell>
          <cell r="I406">
            <v>7920</v>
          </cell>
          <cell r="J406">
            <v>20.57</v>
          </cell>
          <cell r="K406">
            <v>1</v>
          </cell>
          <cell r="L406">
            <v>0</v>
          </cell>
          <cell r="M406">
            <v>0</v>
          </cell>
          <cell r="N406">
            <v>0</v>
          </cell>
          <cell r="R406">
            <v>0</v>
          </cell>
          <cell r="S406">
            <v>0</v>
          </cell>
          <cell r="T406">
            <v>0</v>
          </cell>
          <cell r="U406">
            <v>38</v>
          </cell>
          <cell r="V406">
            <v>0</v>
          </cell>
          <cell r="W406">
            <v>0</v>
          </cell>
          <cell r="AA406">
            <v>0</v>
          </cell>
          <cell r="AB406">
            <v>0</v>
          </cell>
          <cell r="AC406">
            <v>0</v>
          </cell>
          <cell r="AD406">
            <v>38</v>
          </cell>
          <cell r="AE406">
            <v>510200</v>
          </cell>
          <cell r="AF406">
            <v>0</v>
          </cell>
          <cell r="AI406">
            <v>2282</v>
          </cell>
          <cell r="AK406">
            <v>0</v>
          </cell>
          <cell r="AM406">
            <v>842</v>
          </cell>
          <cell r="AN406">
            <v>1</v>
          </cell>
          <cell r="AO406">
            <v>393216</v>
          </cell>
          <cell r="AQ406">
            <v>0</v>
          </cell>
          <cell r="AR406">
            <v>0</v>
          </cell>
          <cell r="AS406" t="str">
            <v>Ы</v>
          </cell>
          <cell r="AT406" t="str">
            <v>Ы</v>
          </cell>
          <cell r="AU406">
            <v>0</v>
          </cell>
          <cell r="AV406">
            <v>0</v>
          </cell>
          <cell r="AW406">
            <v>23</v>
          </cell>
          <cell r="AX406">
            <v>1</v>
          </cell>
          <cell r="AY406">
            <v>0</v>
          </cell>
          <cell r="AZ406">
            <v>0</v>
          </cell>
          <cell r="BA406">
            <v>0</v>
          </cell>
          <cell r="BB406">
            <v>0</v>
          </cell>
          <cell r="BC406">
            <v>38828</v>
          </cell>
        </row>
        <row r="407">
          <cell r="A407">
            <v>2006</v>
          </cell>
          <cell r="B407">
            <v>3</v>
          </cell>
          <cell r="C407">
            <v>686</v>
          </cell>
          <cell r="D407">
            <v>21</v>
          </cell>
          <cell r="E407">
            <v>792030</v>
          </cell>
          <cell r="F407">
            <v>0</v>
          </cell>
          <cell r="G407" t="str">
            <v>Затраты по ШПЗ (неосновные)</v>
          </cell>
          <cell r="H407">
            <v>2030</v>
          </cell>
          <cell r="I407">
            <v>7920</v>
          </cell>
          <cell r="J407">
            <v>162.82</v>
          </cell>
          <cell r="K407">
            <v>1</v>
          </cell>
          <cell r="L407">
            <v>0</v>
          </cell>
          <cell r="M407">
            <v>0</v>
          </cell>
          <cell r="N407">
            <v>0</v>
          </cell>
          <cell r="R407">
            <v>0</v>
          </cell>
          <cell r="S407">
            <v>0</v>
          </cell>
          <cell r="T407">
            <v>0</v>
          </cell>
          <cell r="U407">
            <v>38</v>
          </cell>
          <cell r="V407">
            <v>0</v>
          </cell>
          <cell r="W407">
            <v>0</v>
          </cell>
          <cell r="AA407">
            <v>0</v>
          </cell>
          <cell r="AB407">
            <v>0</v>
          </cell>
          <cell r="AC407">
            <v>0</v>
          </cell>
          <cell r="AD407">
            <v>38</v>
          </cell>
          <cell r="AE407">
            <v>510300</v>
          </cell>
          <cell r="AF407">
            <v>0</v>
          </cell>
          <cell r="AI407">
            <v>2282</v>
          </cell>
          <cell r="AK407">
            <v>0</v>
          </cell>
          <cell r="AM407">
            <v>843</v>
          </cell>
          <cell r="AN407">
            <v>1</v>
          </cell>
          <cell r="AO407">
            <v>393216</v>
          </cell>
          <cell r="AQ407">
            <v>0</v>
          </cell>
          <cell r="AR407">
            <v>0</v>
          </cell>
          <cell r="AS407" t="str">
            <v>Ы</v>
          </cell>
          <cell r="AT407" t="str">
            <v>Ы</v>
          </cell>
          <cell r="AU407">
            <v>0</v>
          </cell>
          <cell r="AV407">
            <v>0</v>
          </cell>
          <cell r="AW407">
            <v>23</v>
          </cell>
          <cell r="AX407">
            <v>1</v>
          </cell>
          <cell r="AY407">
            <v>0</v>
          </cell>
          <cell r="AZ407">
            <v>0</v>
          </cell>
          <cell r="BA407">
            <v>0</v>
          </cell>
          <cell r="BB407">
            <v>0</v>
          </cell>
          <cell r="BC407">
            <v>38828</v>
          </cell>
        </row>
        <row r="408">
          <cell r="A408">
            <v>2006</v>
          </cell>
          <cell r="B408">
            <v>3</v>
          </cell>
          <cell r="C408">
            <v>687</v>
          </cell>
          <cell r="D408">
            <v>21</v>
          </cell>
          <cell r="E408">
            <v>792030</v>
          </cell>
          <cell r="F408">
            <v>0</v>
          </cell>
          <cell r="G408" t="str">
            <v>Затраты по ШПЗ (неосновные)</v>
          </cell>
          <cell r="H408">
            <v>2030</v>
          </cell>
          <cell r="I408">
            <v>7920</v>
          </cell>
          <cell r="J408">
            <v>224.76</v>
          </cell>
          <cell r="K408">
            <v>1</v>
          </cell>
          <cell r="L408">
            <v>0</v>
          </cell>
          <cell r="M408">
            <v>0</v>
          </cell>
          <cell r="N408">
            <v>0</v>
          </cell>
          <cell r="R408">
            <v>0</v>
          </cell>
          <cell r="S408">
            <v>0</v>
          </cell>
          <cell r="T408">
            <v>0</v>
          </cell>
          <cell r="U408">
            <v>38</v>
          </cell>
          <cell r="V408">
            <v>0</v>
          </cell>
          <cell r="W408">
            <v>0</v>
          </cell>
          <cell r="AA408">
            <v>0</v>
          </cell>
          <cell r="AB408">
            <v>0</v>
          </cell>
          <cell r="AC408">
            <v>0</v>
          </cell>
          <cell r="AD408">
            <v>38</v>
          </cell>
          <cell r="AE408">
            <v>510400</v>
          </cell>
          <cell r="AF408">
            <v>0</v>
          </cell>
          <cell r="AI408">
            <v>2282</v>
          </cell>
          <cell r="AK408">
            <v>0</v>
          </cell>
          <cell r="AM408">
            <v>844</v>
          </cell>
          <cell r="AN408">
            <v>1</v>
          </cell>
          <cell r="AO408">
            <v>393216</v>
          </cell>
          <cell r="AQ408">
            <v>0</v>
          </cell>
          <cell r="AR408">
            <v>0</v>
          </cell>
          <cell r="AS408" t="str">
            <v>Ы</v>
          </cell>
          <cell r="AT408" t="str">
            <v>Ы</v>
          </cell>
          <cell r="AU408">
            <v>0</v>
          </cell>
          <cell r="AV408">
            <v>0</v>
          </cell>
          <cell r="AW408">
            <v>23</v>
          </cell>
          <cell r="AX408">
            <v>1</v>
          </cell>
          <cell r="AY408">
            <v>0</v>
          </cell>
          <cell r="AZ408">
            <v>0</v>
          </cell>
          <cell r="BA408">
            <v>0</v>
          </cell>
          <cell r="BB408">
            <v>0</v>
          </cell>
          <cell r="BC408">
            <v>38828</v>
          </cell>
        </row>
        <row r="409">
          <cell r="A409">
            <v>2006</v>
          </cell>
          <cell r="B409">
            <v>3</v>
          </cell>
          <cell r="C409">
            <v>688</v>
          </cell>
          <cell r="D409">
            <v>21</v>
          </cell>
          <cell r="E409">
            <v>792030</v>
          </cell>
          <cell r="F409">
            <v>0</v>
          </cell>
          <cell r="G409" t="str">
            <v>Затраты по ШПЗ (неосновные)</v>
          </cell>
          <cell r="H409">
            <v>2030</v>
          </cell>
          <cell r="I409">
            <v>7920</v>
          </cell>
          <cell r="J409">
            <v>3053.7</v>
          </cell>
          <cell r="K409">
            <v>1</v>
          </cell>
          <cell r="L409">
            <v>0</v>
          </cell>
          <cell r="M409">
            <v>0</v>
          </cell>
          <cell r="N409">
            <v>0</v>
          </cell>
          <cell r="R409">
            <v>0</v>
          </cell>
          <cell r="S409">
            <v>0</v>
          </cell>
          <cell r="T409">
            <v>0</v>
          </cell>
          <cell r="U409">
            <v>38</v>
          </cell>
          <cell r="V409">
            <v>0</v>
          </cell>
          <cell r="W409">
            <v>0</v>
          </cell>
          <cell r="AA409">
            <v>0</v>
          </cell>
          <cell r="AB409">
            <v>0</v>
          </cell>
          <cell r="AC409">
            <v>0</v>
          </cell>
          <cell r="AD409">
            <v>38</v>
          </cell>
          <cell r="AE409">
            <v>510600</v>
          </cell>
          <cell r="AF409">
            <v>0</v>
          </cell>
          <cell r="AI409">
            <v>2282</v>
          </cell>
          <cell r="AK409">
            <v>0</v>
          </cell>
          <cell r="AM409">
            <v>845</v>
          </cell>
          <cell r="AN409">
            <v>1</v>
          </cell>
          <cell r="AO409">
            <v>393216</v>
          </cell>
          <cell r="AQ409">
            <v>0</v>
          </cell>
          <cell r="AR409">
            <v>0</v>
          </cell>
          <cell r="AS409" t="str">
            <v>Ы</v>
          </cell>
          <cell r="AT409" t="str">
            <v>Ы</v>
          </cell>
          <cell r="AU409">
            <v>0</v>
          </cell>
          <cell r="AV409">
            <v>0</v>
          </cell>
          <cell r="AW409">
            <v>23</v>
          </cell>
          <cell r="AX409">
            <v>1</v>
          </cell>
          <cell r="AY409">
            <v>0</v>
          </cell>
          <cell r="AZ409">
            <v>0</v>
          </cell>
          <cell r="BA409">
            <v>0</v>
          </cell>
          <cell r="BB409">
            <v>0</v>
          </cell>
          <cell r="BC409">
            <v>38828</v>
          </cell>
        </row>
        <row r="410">
          <cell r="A410">
            <v>2006</v>
          </cell>
          <cell r="B410">
            <v>3</v>
          </cell>
          <cell r="C410">
            <v>689</v>
          </cell>
          <cell r="D410">
            <v>21</v>
          </cell>
          <cell r="E410">
            <v>792030</v>
          </cell>
          <cell r="F410">
            <v>0</v>
          </cell>
          <cell r="G410" t="str">
            <v>Затраты по ШПЗ (неосновные)</v>
          </cell>
          <cell r="H410">
            <v>2030</v>
          </cell>
          <cell r="I410">
            <v>7920</v>
          </cell>
          <cell r="J410">
            <v>2132.46</v>
          </cell>
          <cell r="K410">
            <v>1</v>
          </cell>
          <cell r="L410">
            <v>0</v>
          </cell>
          <cell r="M410">
            <v>0</v>
          </cell>
          <cell r="N410">
            <v>0</v>
          </cell>
          <cell r="R410">
            <v>0</v>
          </cell>
          <cell r="S410">
            <v>0</v>
          </cell>
          <cell r="T410">
            <v>0</v>
          </cell>
          <cell r="U410">
            <v>38</v>
          </cell>
          <cell r="V410">
            <v>0</v>
          </cell>
          <cell r="W410">
            <v>0</v>
          </cell>
          <cell r="AA410">
            <v>0</v>
          </cell>
          <cell r="AB410">
            <v>0</v>
          </cell>
          <cell r="AC410">
            <v>0</v>
          </cell>
          <cell r="AD410">
            <v>38</v>
          </cell>
          <cell r="AE410">
            <v>510900</v>
          </cell>
          <cell r="AF410">
            <v>0</v>
          </cell>
          <cell r="AI410">
            <v>2282</v>
          </cell>
          <cell r="AK410">
            <v>0</v>
          </cell>
          <cell r="AM410">
            <v>846</v>
          </cell>
          <cell r="AN410">
            <v>1</v>
          </cell>
          <cell r="AO410">
            <v>393216</v>
          </cell>
          <cell r="AQ410">
            <v>0</v>
          </cell>
          <cell r="AR410">
            <v>0</v>
          </cell>
          <cell r="AS410" t="str">
            <v>Ы</v>
          </cell>
          <cell r="AT410" t="str">
            <v>Ы</v>
          </cell>
          <cell r="AU410">
            <v>0</v>
          </cell>
          <cell r="AV410">
            <v>0</v>
          </cell>
          <cell r="AW410">
            <v>23</v>
          </cell>
          <cell r="AX410">
            <v>1</v>
          </cell>
          <cell r="AY410">
            <v>0</v>
          </cell>
          <cell r="AZ410">
            <v>0</v>
          </cell>
          <cell r="BA410">
            <v>0</v>
          </cell>
          <cell r="BB410">
            <v>0</v>
          </cell>
          <cell r="BC410">
            <v>38828</v>
          </cell>
        </row>
        <row r="411">
          <cell r="A411">
            <v>2006</v>
          </cell>
          <cell r="B411">
            <v>3</v>
          </cell>
          <cell r="C411">
            <v>690</v>
          </cell>
          <cell r="D411">
            <v>21</v>
          </cell>
          <cell r="E411">
            <v>792030</v>
          </cell>
          <cell r="F411">
            <v>0</v>
          </cell>
          <cell r="G411" t="str">
            <v>Затраты по ШПЗ (неосновные)</v>
          </cell>
          <cell r="H411">
            <v>2030</v>
          </cell>
          <cell r="I411">
            <v>7920</v>
          </cell>
          <cell r="J411">
            <v>185.64</v>
          </cell>
          <cell r="K411">
            <v>1</v>
          </cell>
          <cell r="L411">
            <v>0</v>
          </cell>
          <cell r="M411">
            <v>0</v>
          </cell>
          <cell r="N411">
            <v>0</v>
          </cell>
          <cell r="R411">
            <v>0</v>
          </cell>
          <cell r="S411">
            <v>0</v>
          </cell>
          <cell r="T411">
            <v>0</v>
          </cell>
          <cell r="U411">
            <v>38</v>
          </cell>
          <cell r="V411">
            <v>0</v>
          </cell>
          <cell r="W411">
            <v>0</v>
          </cell>
          <cell r="AA411">
            <v>0</v>
          </cell>
          <cell r="AB411">
            <v>0</v>
          </cell>
          <cell r="AC411">
            <v>0</v>
          </cell>
          <cell r="AD411">
            <v>38</v>
          </cell>
          <cell r="AE411">
            <v>513600</v>
          </cell>
          <cell r="AF411">
            <v>0</v>
          </cell>
          <cell r="AI411">
            <v>2282</v>
          </cell>
          <cell r="AK411">
            <v>0</v>
          </cell>
          <cell r="AM411">
            <v>847</v>
          </cell>
          <cell r="AN411">
            <v>1</v>
          </cell>
          <cell r="AO411">
            <v>393216</v>
          </cell>
          <cell r="AQ411">
            <v>0</v>
          </cell>
          <cell r="AR411">
            <v>0</v>
          </cell>
          <cell r="AS411" t="str">
            <v>Ы</v>
          </cell>
          <cell r="AT411" t="str">
            <v>Ы</v>
          </cell>
          <cell r="AU411">
            <v>0</v>
          </cell>
          <cell r="AV411">
            <v>0</v>
          </cell>
          <cell r="AW411">
            <v>23</v>
          </cell>
          <cell r="AX411">
            <v>1</v>
          </cell>
          <cell r="AY411">
            <v>0</v>
          </cell>
          <cell r="AZ411">
            <v>0</v>
          </cell>
          <cell r="BA411">
            <v>0</v>
          </cell>
          <cell r="BB411">
            <v>0</v>
          </cell>
          <cell r="BC411">
            <v>38828</v>
          </cell>
        </row>
        <row r="412">
          <cell r="A412">
            <v>2006</v>
          </cell>
          <cell r="B412">
            <v>3</v>
          </cell>
          <cell r="C412">
            <v>691</v>
          </cell>
          <cell r="D412">
            <v>21</v>
          </cell>
          <cell r="E412">
            <v>792030</v>
          </cell>
          <cell r="F412">
            <v>0</v>
          </cell>
          <cell r="G412" t="str">
            <v>Затраты по ШПЗ (неосновные)</v>
          </cell>
          <cell r="H412">
            <v>2030</v>
          </cell>
          <cell r="I412">
            <v>7920</v>
          </cell>
          <cell r="J412">
            <v>57.24</v>
          </cell>
          <cell r="K412">
            <v>1</v>
          </cell>
          <cell r="L412">
            <v>0</v>
          </cell>
          <cell r="M412">
            <v>0</v>
          </cell>
          <cell r="N412">
            <v>0</v>
          </cell>
          <cell r="R412">
            <v>0</v>
          </cell>
          <cell r="S412">
            <v>0</v>
          </cell>
          <cell r="T412">
            <v>0</v>
          </cell>
          <cell r="U412">
            <v>38</v>
          </cell>
          <cell r="V412">
            <v>0</v>
          </cell>
          <cell r="W412">
            <v>0</v>
          </cell>
          <cell r="AA412">
            <v>0</v>
          </cell>
          <cell r="AB412">
            <v>0</v>
          </cell>
          <cell r="AC412">
            <v>0</v>
          </cell>
          <cell r="AD412">
            <v>38</v>
          </cell>
          <cell r="AE412">
            <v>530000</v>
          </cell>
          <cell r="AF412">
            <v>0</v>
          </cell>
          <cell r="AI412">
            <v>2282</v>
          </cell>
          <cell r="AK412">
            <v>0</v>
          </cell>
          <cell r="AM412">
            <v>848</v>
          </cell>
          <cell r="AN412">
            <v>1</v>
          </cell>
          <cell r="AO412">
            <v>393216</v>
          </cell>
          <cell r="AQ412">
            <v>0</v>
          </cell>
          <cell r="AR412">
            <v>0</v>
          </cell>
          <cell r="AS412" t="str">
            <v>Ы</v>
          </cell>
          <cell r="AT412" t="str">
            <v>Ы</v>
          </cell>
          <cell r="AU412">
            <v>0</v>
          </cell>
          <cell r="AV412">
            <v>0</v>
          </cell>
          <cell r="AW412">
            <v>23</v>
          </cell>
          <cell r="AX412">
            <v>1</v>
          </cell>
          <cell r="AY412">
            <v>0</v>
          </cell>
          <cell r="AZ412">
            <v>0</v>
          </cell>
          <cell r="BA412">
            <v>0</v>
          </cell>
          <cell r="BB412">
            <v>0</v>
          </cell>
          <cell r="BC412">
            <v>38828</v>
          </cell>
        </row>
        <row r="413">
          <cell r="A413">
            <v>2006</v>
          </cell>
          <cell r="B413">
            <v>3</v>
          </cell>
          <cell r="C413">
            <v>692</v>
          </cell>
          <cell r="D413">
            <v>21</v>
          </cell>
          <cell r="E413">
            <v>792030</v>
          </cell>
          <cell r="F413">
            <v>0</v>
          </cell>
          <cell r="G413" t="str">
            <v>Затраты по ШПЗ (неосновные)</v>
          </cell>
          <cell r="H413">
            <v>2030</v>
          </cell>
          <cell r="I413">
            <v>7920</v>
          </cell>
          <cell r="J413">
            <v>44.46</v>
          </cell>
          <cell r="K413">
            <v>1</v>
          </cell>
          <cell r="L413">
            <v>0</v>
          </cell>
          <cell r="M413">
            <v>0</v>
          </cell>
          <cell r="N413">
            <v>0</v>
          </cell>
          <cell r="R413">
            <v>0</v>
          </cell>
          <cell r="S413">
            <v>0</v>
          </cell>
          <cell r="T413">
            <v>0</v>
          </cell>
          <cell r="U413">
            <v>32</v>
          </cell>
          <cell r="V413">
            <v>0</v>
          </cell>
          <cell r="W413">
            <v>0</v>
          </cell>
          <cell r="AA413">
            <v>0</v>
          </cell>
          <cell r="AB413">
            <v>0</v>
          </cell>
          <cell r="AC413">
            <v>0</v>
          </cell>
          <cell r="AD413">
            <v>32</v>
          </cell>
          <cell r="AE413">
            <v>110000</v>
          </cell>
          <cell r="AF413">
            <v>0</v>
          </cell>
          <cell r="AI413">
            <v>2282</v>
          </cell>
          <cell r="AK413">
            <v>0</v>
          </cell>
          <cell r="AM413">
            <v>849</v>
          </cell>
          <cell r="AN413">
            <v>1</v>
          </cell>
          <cell r="AO413">
            <v>393216</v>
          </cell>
          <cell r="AQ413">
            <v>0</v>
          </cell>
          <cell r="AR413">
            <v>0</v>
          </cell>
          <cell r="AS413" t="str">
            <v>Ы</v>
          </cell>
          <cell r="AT413" t="str">
            <v>Ы</v>
          </cell>
          <cell r="AU413">
            <v>0</v>
          </cell>
          <cell r="AV413">
            <v>0</v>
          </cell>
          <cell r="AW413">
            <v>23</v>
          </cell>
          <cell r="AX413">
            <v>1</v>
          </cell>
          <cell r="AY413">
            <v>0</v>
          </cell>
          <cell r="AZ413">
            <v>0</v>
          </cell>
          <cell r="BA413">
            <v>0</v>
          </cell>
          <cell r="BB413">
            <v>0</v>
          </cell>
          <cell r="BC413">
            <v>38828</v>
          </cell>
        </row>
        <row r="414">
          <cell r="A414">
            <v>2006</v>
          </cell>
          <cell r="B414">
            <v>3</v>
          </cell>
          <cell r="C414">
            <v>693</v>
          </cell>
          <cell r="D414">
            <v>21</v>
          </cell>
          <cell r="E414">
            <v>792030</v>
          </cell>
          <cell r="F414">
            <v>0</v>
          </cell>
          <cell r="G414" t="str">
            <v>Затраты по ШПЗ (неосновные)</v>
          </cell>
          <cell r="H414">
            <v>2030</v>
          </cell>
          <cell r="I414">
            <v>7920</v>
          </cell>
          <cell r="J414">
            <v>1.25</v>
          </cell>
          <cell r="K414">
            <v>1</v>
          </cell>
          <cell r="L414">
            <v>0</v>
          </cell>
          <cell r="M414">
            <v>0</v>
          </cell>
          <cell r="N414">
            <v>0</v>
          </cell>
          <cell r="R414">
            <v>0</v>
          </cell>
          <cell r="S414">
            <v>0</v>
          </cell>
          <cell r="T414">
            <v>0</v>
          </cell>
          <cell r="U414">
            <v>32</v>
          </cell>
          <cell r="V414">
            <v>0</v>
          </cell>
          <cell r="W414">
            <v>0</v>
          </cell>
          <cell r="AA414">
            <v>0</v>
          </cell>
          <cell r="AB414">
            <v>0</v>
          </cell>
          <cell r="AC414">
            <v>0</v>
          </cell>
          <cell r="AD414">
            <v>32</v>
          </cell>
          <cell r="AE414">
            <v>114020</v>
          </cell>
          <cell r="AF414">
            <v>0</v>
          </cell>
          <cell r="AI414">
            <v>2282</v>
          </cell>
          <cell r="AK414">
            <v>0</v>
          </cell>
          <cell r="AM414">
            <v>850</v>
          </cell>
          <cell r="AN414">
            <v>1</v>
          </cell>
          <cell r="AO414">
            <v>393216</v>
          </cell>
          <cell r="AQ414">
            <v>0</v>
          </cell>
          <cell r="AR414">
            <v>0</v>
          </cell>
          <cell r="AS414" t="str">
            <v>Ы</v>
          </cell>
          <cell r="AT414" t="str">
            <v>Ы</v>
          </cell>
          <cell r="AU414">
            <v>0</v>
          </cell>
          <cell r="AV414">
            <v>0</v>
          </cell>
          <cell r="AW414">
            <v>23</v>
          </cell>
          <cell r="AX414">
            <v>1</v>
          </cell>
          <cell r="AY414">
            <v>0</v>
          </cell>
          <cell r="AZ414">
            <v>0</v>
          </cell>
          <cell r="BA414">
            <v>0</v>
          </cell>
          <cell r="BB414">
            <v>0</v>
          </cell>
          <cell r="BC414">
            <v>38828</v>
          </cell>
        </row>
        <row r="415">
          <cell r="A415">
            <v>2006</v>
          </cell>
          <cell r="B415">
            <v>3</v>
          </cell>
          <cell r="C415">
            <v>694</v>
          </cell>
          <cell r="D415">
            <v>21</v>
          </cell>
          <cell r="E415">
            <v>792030</v>
          </cell>
          <cell r="F415">
            <v>0</v>
          </cell>
          <cell r="G415" t="str">
            <v>Затраты по ШПЗ (неосновные)</v>
          </cell>
          <cell r="H415">
            <v>2030</v>
          </cell>
          <cell r="I415">
            <v>7920</v>
          </cell>
          <cell r="J415">
            <v>5.87</v>
          </cell>
          <cell r="K415">
            <v>1</v>
          </cell>
          <cell r="L415">
            <v>0</v>
          </cell>
          <cell r="M415">
            <v>0</v>
          </cell>
          <cell r="N415">
            <v>0</v>
          </cell>
          <cell r="R415">
            <v>0</v>
          </cell>
          <cell r="S415">
            <v>0</v>
          </cell>
          <cell r="T415">
            <v>0</v>
          </cell>
          <cell r="U415">
            <v>32</v>
          </cell>
          <cell r="V415">
            <v>0</v>
          </cell>
          <cell r="W415">
            <v>0</v>
          </cell>
          <cell r="AA415">
            <v>0</v>
          </cell>
          <cell r="AB415">
            <v>0</v>
          </cell>
          <cell r="AC415">
            <v>0</v>
          </cell>
          <cell r="AD415">
            <v>32</v>
          </cell>
          <cell r="AE415">
            <v>117000</v>
          </cell>
          <cell r="AF415">
            <v>0</v>
          </cell>
          <cell r="AI415">
            <v>2282</v>
          </cell>
          <cell r="AK415">
            <v>0</v>
          </cell>
          <cell r="AM415">
            <v>851</v>
          </cell>
          <cell r="AN415">
            <v>1</v>
          </cell>
          <cell r="AO415">
            <v>393216</v>
          </cell>
          <cell r="AQ415">
            <v>0</v>
          </cell>
          <cell r="AR415">
            <v>0</v>
          </cell>
          <cell r="AS415" t="str">
            <v>Ы</v>
          </cell>
          <cell r="AT415" t="str">
            <v>Ы</v>
          </cell>
          <cell r="AU415">
            <v>0</v>
          </cell>
          <cell r="AV415">
            <v>0</v>
          </cell>
          <cell r="AW415">
            <v>23</v>
          </cell>
          <cell r="AX415">
            <v>1</v>
          </cell>
          <cell r="AY415">
            <v>0</v>
          </cell>
          <cell r="AZ415">
            <v>0</v>
          </cell>
          <cell r="BA415">
            <v>0</v>
          </cell>
          <cell r="BB415">
            <v>0</v>
          </cell>
          <cell r="BC415">
            <v>38828</v>
          </cell>
        </row>
        <row r="416">
          <cell r="A416">
            <v>2006</v>
          </cell>
          <cell r="B416">
            <v>3</v>
          </cell>
          <cell r="C416">
            <v>695</v>
          </cell>
          <cell r="D416">
            <v>21</v>
          </cell>
          <cell r="E416">
            <v>792030</v>
          </cell>
          <cell r="F416">
            <v>0</v>
          </cell>
          <cell r="G416" t="str">
            <v>Затраты по ШПЗ (неосновные)</v>
          </cell>
          <cell r="H416">
            <v>2030</v>
          </cell>
          <cell r="I416">
            <v>7920</v>
          </cell>
          <cell r="J416">
            <v>-1.71</v>
          </cell>
          <cell r="K416">
            <v>1</v>
          </cell>
          <cell r="L416">
            <v>0</v>
          </cell>
          <cell r="M416">
            <v>0</v>
          </cell>
          <cell r="N416">
            <v>0</v>
          </cell>
          <cell r="R416">
            <v>0</v>
          </cell>
          <cell r="S416">
            <v>0</v>
          </cell>
          <cell r="T416">
            <v>0</v>
          </cell>
          <cell r="U416">
            <v>32</v>
          </cell>
          <cell r="V416">
            <v>0</v>
          </cell>
          <cell r="W416">
            <v>0</v>
          </cell>
          <cell r="AA416">
            <v>0</v>
          </cell>
          <cell r="AB416">
            <v>0</v>
          </cell>
          <cell r="AC416">
            <v>0</v>
          </cell>
          <cell r="AD416">
            <v>32</v>
          </cell>
          <cell r="AE416">
            <v>130000</v>
          </cell>
          <cell r="AF416">
            <v>0</v>
          </cell>
          <cell r="AI416">
            <v>2282</v>
          </cell>
          <cell r="AK416">
            <v>0</v>
          </cell>
          <cell r="AM416">
            <v>852</v>
          </cell>
          <cell r="AN416">
            <v>1</v>
          </cell>
          <cell r="AO416">
            <v>393216</v>
          </cell>
          <cell r="AQ416">
            <v>0</v>
          </cell>
          <cell r="AR416">
            <v>0</v>
          </cell>
          <cell r="AS416" t="str">
            <v>Ы</v>
          </cell>
          <cell r="AT416" t="str">
            <v>Ы</v>
          </cell>
          <cell r="AU416">
            <v>0</v>
          </cell>
          <cell r="AV416">
            <v>0</v>
          </cell>
          <cell r="AW416">
            <v>23</v>
          </cell>
          <cell r="AX416">
            <v>1</v>
          </cell>
          <cell r="AY416">
            <v>0</v>
          </cell>
          <cell r="AZ416">
            <v>0</v>
          </cell>
          <cell r="BA416">
            <v>0</v>
          </cell>
          <cell r="BB416">
            <v>0</v>
          </cell>
          <cell r="BC416">
            <v>38828</v>
          </cell>
        </row>
        <row r="417">
          <cell r="A417">
            <v>2006</v>
          </cell>
          <cell r="B417">
            <v>3</v>
          </cell>
          <cell r="C417">
            <v>696</v>
          </cell>
          <cell r="D417">
            <v>21</v>
          </cell>
          <cell r="E417">
            <v>792030</v>
          </cell>
          <cell r="F417">
            <v>0</v>
          </cell>
          <cell r="G417" t="str">
            <v>Затраты по ШПЗ (неосновные)</v>
          </cell>
          <cell r="H417">
            <v>2030</v>
          </cell>
          <cell r="I417">
            <v>7920</v>
          </cell>
          <cell r="J417">
            <v>4.99</v>
          </cell>
          <cell r="K417">
            <v>1</v>
          </cell>
          <cell r="L417">
            <v>0</v>
          </cell>
          <cell r="M417">
            <v>0</v>
          </cell>
          <cell r="N417">
            <v>0</v>
          </cell>
          <cell r="R417">
            <v>0</v>
          </cell>
          <cell r="S417">
            <v>0</v>
          </cell>
          <cell r="T417">
            <v>0</v>
          </cell>
          <cell r="U417">
            <v>32</v>
          </cell>
          <cell r="V417">
            <v>0</v>
          </cell>
          <cell r="W417">
            <v>0</v>
          </cell>
          <cell r="AA417">
            <v>0</v>
          </cell>
          <cell r="AB417">
            <v>0</v>
          </cell>
          <cell r="AC417">
            <v>0</v>
          </cell>
          <cell r="AD417">
            <v>32</v>
          </cell>
          <cell r="AE417">
            <v>130100</v>
          </cell>
          <cell r="AF417">
            <v>0</v>
          </cell>
          <cell r="AI417">
            <v>2282</v>
          </cell>
          <cell r="AK417">
            <v>0</v>
          </cell>
          <cell r="AM417">
            <v>853</v>
          </cell>
          <cell r="AN417">
            <v>1</v>
          </cell>
          <cell r="AO417">
            <v>393216</v>
          </cell>
          <cell r="AQ417">
            <v>0</v>
          </cell>
          <cell r="AR417">
            <v>0</v>
          </cell>
          <cell r="AS417" t="str">
            <v>Ы</v>
          </cell>
          <cell r="AT417" t="str">
            <v>Ы</v>
          </cell>
          <cell r="AU417">
            <v>0</v>
          </cell>
          <cell r="AV417">
            <v>0</v>
          </cell>
          <cell r="AW417">
            <v>23</v>
          </cell>
          <cell r="AX417">
            <v>1</v>
          </cell>
          <cell r="AY417">
            <v>0</v>
          </cell>
          <cell r="AZ417">
            <v>0</v>
          </cell>
          <cell r="BA417">
            <v>0</v>
          </cell>
          <cell r="BB417">
            <v>0</v>
          </cell>
          <cell r="BC417">
            <v>38828</v>
          </cell>
        </row>
        <row r="418">
          <cell r="A418">
            <v>2006</v>
          </cell>
          <cell r="B418">
            <v>3</v>
          </cell>
          <cell r="C418">
            <v>697</v>
          </cell>
          <cell r="D418">
            <v>21</v>
          </cell>
          <cell r="E418">
            <v>792030</v>
          </cell>
          <cell r="F418">
            <v>0</v>
          </cell>
          <cell r="G418" t="str">
            <v>Затраты по ШПЗ (неосновные)</v>
          </cell>
          <cell r="H418">
            <v>2030</v>
          </cell>
          <cell r="I418">
            <v>7920</v>
          </cell>
          <cell r="J418">
            <v>0.36</v>
          </cell>
          <cell r="K418">
            <v>1</v>
          </cell>
          <cell r="L418">
            <v>0</v>
          </cell>
          <cell r="M418">
            <v>0</v>
          </cell>
          <cell r="N418">
            <v>0</v>
          </cell>
          <cell r="R418">
            <v>0</v>
          </cell>
          <cell r="S418">
            <v>0</v>
          </cell>
          <cell r="T418">
            <v>0</v>
          </cell>
          <cell r="U418">
            <v>32</v>
          </cell>
          <cell r="V418">
            <v>0</v>
          </cell>
          <cell r="W418">
            <v>0</v>
          </cell>
          <cell r="AA418">
            <v>0</v>
          </cell>
          <cell r="AB418">
            <v>0</v>
          </cell>
          <cell r="AC418">
            <v>0</v>
          </cell>
          <cell r="AD418">
            <v>32</v>
          </cell>
          <cell r="AE418">
            <v>131000</v>
          </cell>
          <cell r="AF418">
            <v>0</v>
          </cell>
          <cell r="AI418">
            <v>2282</v>
          </cell>
          <cell r="AK418">
            <v>0</v>
          </cell>
          <cell r="AM418">
            <v>854</v>
          </cell>
          <cell r="AN418">
            <v>1</v>
          </cell>
          <cell r="AO418">
            <v>393216</v>
          </cell>
          <cell r="AQ418">
            <v>0</v>
          </cell>
          <cell r="AR418">
            <v>0</v>
          </cell>
          <cell r="AS418" t="str">
            <v>Ы</v>
          </cell>
          <cell r="AT418" t="str">
            <v>Ы</v>
          </cell>
          <cell r="AU418">
            <v>0</v>
          </cell>
          <cell r="AV418">
            <v>0</v>
          </cell>
          <cell r="AW418">
            <v>23</v>
          </cell>
          <cell r="AX418">
            <v>1</v>
          </cell>
          <cell r="AY418">
            <v>0</v>
          </cell>
          <cell r="AZ418">
            <v>0</v>
          </cell>
          <cell r="BA418">
            <v>0</v>
          </cell>
          <cell r="BB418">
            <v>0</v>
          </cell>
          <cell r="BC418">
            <v>38828</v>
          </cell>
        </row>
        <row r="419">
          <cell r="A419">
            <v>2006</v>
          </cell>
          <cell r="B419">
            <v>3</v>
          </cell>
          <cell r="C419">
            <v>698</v>
          </cell>
          <cell r="D419">
            <v>21</v>
          </cell>
          <cell r="E419">
            <v>792030</v>
          </cell>
          <cell r="F419">
            <v>0</v>
          </cell>
          <cell r="G419" t="str">
            <v>Затраты по ШПЗ (неосновные)</v>
          </cell>
          <cell r="H419">
            <v>2030</v>
          </cell>
          <cell r="I419">
            <v>7920</v>
          </cell>
          <cell r="J419">
            <v>4.37</v>
          </cell>
          <cell r="K419">
            <v>1</v>
          </cell>
          <cell r="L419">
            <v>0</v>
          </cell>
          <cell r="M419">
            <v>0</v>
          </cell>
          <cell r="N419">
            <v>0</v>
          </cell>
          <cell r="R419">
            <v>0</v>
          </cell>
          <cell r="S419">
            <v>0</v>
          </cell>
          <cell r="T419">
            <v>0</v>
          </cell>
          <cell r="U419">
            <v>32</v>
          </cell>
          <cell r="V419">
            <v>0</v>
          </cell>
          <cell r="W419">
            <v>0</v>
          </cell>
          <cell r="AA419">
            <v>0</v>
          </cell>
          <cell r="AB419">
            <v>0</v>
          </cell>
          <cell r="AC419">
            <v>0</v>
          </cell>
          <cell r="AD419">
            <v>32</v>
          </cell>
          <cell r="AE419">
            <v>132000</v>
          </cell>
          <cell r="AF419">
            <v>0</v>
          </cell>
          <cell r="AI419">
            <v>2282</v>
          </cell>
          <cell r="AK419">
            <v>0</v>
          </cell>
          <cell r="AM419">
            <v>855</v>
          </cell>
          <cell r="AN419">
            <v>1</v>
          </cell>
          <cell r="AO419">
            <v>393216</v>
          </cell>
          <cell r="AQ419">
            <v>0</v>
          </cell>
          <cell r="AR419">
            <v>0</v>
          </cell>
          <cell r="AS419" t="str">
            <v>Ы</v>
          </cell>
          <cell r="AT419" t="str">
            <v>Ы</v>
          </cell>
          <cell r="AU419">
            <v>0</v>
          </cell>
          <cell r="AV419">
            <v>0</v>
          </cell>
          <cell r="AW419">
            <v>23</v>
          </cell>
          <cell r="AX419">
            <v>1</v>
          </cell>
          <cell r="AY419">
            <v>0</v>
          </cell>
          <cell r="AZ419">
            <v>0</v>
          </cell>
          <cell r="BA419">
            <v>0</v>
          </cell>
          <cell r="BB419">
            <v>0</v>
          </cell>
          <cell r="BC419">
            <v>38828</v>
          </cell>
        </row>
        <row r="420">
          <cell r="A420">
            <v>2006</v>
          </cell>
          <cell r="B420">
            <v>3</v>
          </cell>
          <cell r="C420">
            <v>699</v>
          </cell>
          <cell r="D420">
            <v>21</v>
          </cell>
          <cell r="E420">
            <v>792030</v>
          </cell>
          <cell r="F420">
            <v>0</v>
          </cell>
          <cell r="G420" t="str">
            <v>Затраты по ШПЗ (неосновные)</v>
          </cell>
          <cell r="H420">
            <v>2030</v>
          </cell>
          <cell r="I420">
            <v>7920</v>
          </cell>
          <cell r="J420">
            <v>3.4</v>
          </cell>
          <cell r="K420">
            <v>1</v>
          </cell>
          <cell r="L420">
            <v>0</v>
          </cell>
          <cell r="M420">
            <v>0</v>
          </cell>
          <cell r="N420">
            <v>0</v>
          </cell>
          <cell r="R420">
            <v>0</v>
          </cell>
          <cell r="S420">
            <v>0</v>
          </cell>
          <cell r="T420">
            <v>0</v>
          </cell>
          <cell r="U420">
            <v>32</v>
          </cell>
          <cell r="V420">
            <v>0</v>
          </cell>
          <cell r="W420">
            <v>0</v>
          </cell>
          <cell r="AA420">
            <v>0</v>
          </cell>
          <cell r="AB420">
            <v>0</v>
          </cell>
          <cell r="AC420">
            <v>0</v>
          </cell>
          <cell r="AD420">
            <v>32</v>
          </cell>
          <cell r="AE420">
            <v>135000</v>
          </cell>
          <cell r="AF420">
            <v>0</v>
          </cell>
          <cell r="AI420">
            <v>2282</v>
          </cell>
          <cell r="AK420">
            <v>0</v>
          </cell>
          <cell r="AM420">
            <v>856</v>
          </cell>
          <cell r="AN420">
            <v>1</v>
          </cell>
          <cell r="AO420">
            <v>393216</v>
          </cell>
          <cell r="AQ420">
            <v>0</v>
          </cell>
          <cell r="AR420">
            <v>0</v>
          </cell>
          <cell r="AS420" t="str">
            <v>Ы</v>
          </cell>
          <cell r="AT420" t="str">
            <v>Ы</v>
          </cell>
          <cell r="AU420">
            <v>0</v>
          </cell>
          <cell r="AV420">
            <v>0</v>
          </cell>
          <cell r="AW420">
            <v>23</v>
          </cell>
          <cell r="AX420">
            <v>1</v>
          </cell>
          <cell r="AY420">
            <v>0</v>
          </cell>
          <cell r="AZ420">
            <v>0</v>
          </cell>
          <cell r="BA420">
            <v>0</v>
          </cell>
          <cell r="BB420">
            <v>0</v>
          </cell>
          <cell r="BC420">
            <v>38828</v>
          </cell>
        </row>
        <row r="421">
          <cell r="A421">
            <v>2006</v>
          </cell>
          <cell r="B421">
            <v>3</v>
          </cell>
          <cell r="C421">
            <v>700</v>
          </cell>
          <cell r="D421">
            <v>21</v>
          </cell>
          <cell r="E421">
            <v>792030</v>
          </cell>
          <cell r="F421">
            <v>0</v>
          </cell>
          <cell r="G421" t="str">
            <v>Затраты по ШПЗ (неосновные)</v>
          </cell>
          <cell r="H421">
            <v>2030</v>
          </cell>
          <cell r="I421">
            <v>7920</v>
          </cell>
          <cell r="J421">
            <v>44865.5</v>
          </cell>
          <cell r="K421">
            <v>1</v>
          </cell>
          <cell r="L421">
            <v>0</v>
          </cell>
          <cell r="M421">
            <v>0</v>
          </cell>
          <cell r="N421">
            <v>0</v>
          </cell>
          <cell r="R421">
            <v>0</v>
          </cell>
          <cell r="S421">
            <v>0</v>
          </cell>
          <cell r="T421">
            <v>0</v>
          </cell>
          <cell r="U421">
            <v>32</v>
          </cell>
          <cell r="V421">
            <v>0</v>
          </cell>
          <cell r="W421">
            <v>0</v>
          </cell>
          <cell r="AA421">
            <v>0</v>
          </cell>
          <cell r="AB421">
            <v>0</v>
          </cell>
          <cell r="AC421">
            <v>0</v>
          </cell>
          <cell r="AD421">
            <v>32</v>
          </cell>
          <cell r="AE421">
            <v>143000</v>
          </cell>
          <cell r="AF421">
            <v>0</v>
          </cell>
          <cell r="AI421">
            <v>2282</v>
          </cell>
          <cell r="AK421">
            <v>0</v>
          </cell>
          <cell r="AM421">
            <v>857</v>
          </cell>
          <cell r="AN421">
            <v>1</v>
          </cell>
          <cell r="AO421">
            <v>393216</v>
          </cell>
          <cell r="AQ421">
            <v>0</v>
          </cell>
          <cell r="AR421">
            <v>0</v>
          </cell>
          <cell r="AS421" t="str">
            <v>Ы</v>
          </cell>
          <cell r="AT421" t="str">
            <v>Ы</v>
          </cell>
          <cell r="AU421">
            <v>0</v>
          </cell>
          <cell r="AV421">
            <v>0</v>
          </cell>
          <cell r="AW421">
            <v>23</v>
          </cell>
          <cell r="AX421">
            <v>1</v>
          </cell>
          <cell r="AY421">
            <v>0</v>
          </cell>
          <cell r="AZ421">
            <v>0</v>
          </cell>
          <cell r="BA421">
            <v>0</v>
          </cell>
          <cell r="BB421">
            <v>0</v>
          </cell>
          <cell r="BC421">
            <v>38828</v>
          </cell>
        </row>
        <row r="422">
          <cell r="A422">
            <v>2006</v>
          </cell>
          <cell r="B422">
            <v>3</v>
          </cell>
          <cell r="C422">
            <v>701</v>
          </cell>
          <cell r="D422">
            <v>21</v>
          </cell>
          <cell r="E422">
            <v>792030</v>
          </cell>
          <cell r="F422">
            <v>0</v>
          </cell>
          <cell r="G422" t="str">
            <v>Затраты по ШПЗ (неосновные)</v>
          </cell>
          <cell r="H422">
            <v>2030</v>
          </cell>
          <cell r="I422">
            <v>7920</v>
          </cell>
          <cell r="J422">
            <v>779800</v>
          </cell>
          <cell r="K422">
            <v>1</v>
          </cell>
          <cell r="L422">
            <v>0</v>
          </cell>
          <cell r="M422">
            <v>0</v>
          </cell>
          <cell r="N422">
            <v>0</v>
          </cell>
          <cell r="R422">
            <v>0</v>
          </cell>
          <cell r="S422">
            <v>0</v>
          </cell>
          <cell r="T422">
            <v>0</v>
          </cell>
          <cell r="U422">
            <v>32</v>
          </cell>
          <cell r="V422">
            <v>0</v>
          </cell>
          <cell r="W422">
            <v>0</v>
          </cell>
          <cell r="AA422">
            <v>0</v>
          </cell>
          <cell r="AB422">
            <v>0</v>
          </cell>
          <cell r="AC422">
            <v>0</v>
          </cell>
          <cell r="AD422">
            <v>32</v>
          </cell>
          <cell r="AE422">
            <v>240000</v>
          </cell>
          <cell r="AF422">
            <v>0</v>
          </cell>
          <cell r="AI422">
            <v>2282</v>
          </cell>
          <cell r="AK422">
            <v>0</v>
          </cell>
          <cell r="AM422">
            <v>858</v>
          </cell>
          <cell r="AN422">
            <v>1</v>
          </cell>
          <cell r="AO422">
            <v>393216</v>
          </cell>
          <cell r="AQ422">
            <v>0</v>
          </cell>
          <cell r="AR422">
            <v>0</v>
          </cell>
          <cell r="AS422" t="str">
            <v>Ы</v>
          </cell>
          <cell r="AT422" t="str">
            <v>Ы</v>
          </cell>
          <cell r="AU422">
            <v>0</v>
          </cell>
          <cell r="AV422">
            <v>0</v>
          </cell>
          <cell r="AW422">
            <v>23</v>
          </cell>
          <cell r="AX422">
            <v>1</v>
          </cell>
          <cell r="AY422">
            <v>0</v>
          </cell>
          <cell r="AZ422">
            <v>0</v>
          </cell>
          <cell r="BA422">
            <v>0</v>
          </cell>
          <cell r="BB422">
            <v>0</v>
          </cell>
          <cell r="BC422">
            <v>38828</v>
          </cell>
        </row>
        <row r="423">
          <cell r="A423">
            <v>2006</v>
          </cell>
          <cell r="B423">
            <v>3</v>
          </cell>
          <cell r="C423">
            <v>702</v>
          </cell>
          <cell r="D423">
            <v>21</v>
          </cell>
          <cell r="E423">
            <v>792030</v>
          </cell>
          <cell r="F423">
            <v>0</v>
          </cell>
          <cell r="G423" t="str">
            <v>Затраты по ШПЗ (неосновные)</v>
          </cell>
          <cell r="H423">
            <v>2030</v>
          </cell>
          <cell r="I423">
            <v>7920</v>
          </cell>
          <cell r="J423">
            <v>22419.91</v>
          </cell>
          <cell r="K423">
            <v>1</v>
          </cell>
          <cell r="L423">
            <v>0</v>
          </cell>
          <cell r="M423">
            <v>0</v>
          </cell>
          <cell r="N423">
            <v>0</v>
          </cell>
          <cell r="R423">
            <v>0</v>
          </cell>
          <cell r="S423">
            <v>0</v>
          </cell>
          <cell r="T423">
            <v>0</v>
          </cell>
          <cell r="U423">
            <v>32</v>
          </cell>
          <cell r="V423">
            <v>0</v>
          </cell>
          <cell r="W423">
            <v>0</v>
          </cell>
          <cell r="AA423">
            <v>0</v>
          </cell>
          <cell r="AB423">
            <v>0</v>
          </cell>
          <cell r="AC423">
            <v>0</v>
          </cell>
          <cell r="AD423">
            <v>32</v>
          </cell>
          <cell r="AE423">
            <v>311000</v>
          </cell>
          <cell r="AF423">
            <v>0</v>
          </cell>
          <cell r="AI423">
            <v>2282</v>
          </cell>
          <cell r="AK423">
            <v>0</v>
          </cell>
          <cell r="AM423">
            <v>859</v>
          </cell>
          <cell r="AN423">
            <v>1</v>
          </cell>
          <cell r="AO423">
            <v>393216</v>
          </cell>
          <cell r="AQ423">
            <v>0</v>
          </cell>
          <cell r="AR423">
            <v>0</v>
          </cell>
          <cell r="AS423" t="str">
            <v>Ы</v>
          </cell>
          <cell r="AT423" t="str">
            <v>Ы</v>
          </cell>
          <cell r="AU423">
            <v>0</v>
          </cell>
          <cell r="AV423">
            <v>0</v>
          </cell>
          <cell r="AW423">
            <v>23</v>
          </cell>
          <cell r="AX423">
            <v>1</v>
          </cell>
          <cell r="AY423">
            <v>0</v>
          </cell>
          <cell r="AZ423">
            <v>0</v>
          </cell>
          <cell r="BA423">
            <v>0</v>
          </cell>
          <cell r="BB423">
            <v>0</v>
          </cell>
          <cell r="BC423">
            <v>38828</v>
          </cell>
        </row>
        <row r="424">
          <cell r="A424">
            <v>2006</v>
          </cell>
          <cell r="B424">
            <v>3</v>
          </cell>
          <cell r="C424">
            <v>703</v>
          </cell>
          <cell r="D424">
            <v>21</v>
          </cell>
          <cell r="E424">
            <v>792030</v>
          </cell>
          <cell r="F424">
            <v>0</v>
          </cell>
          <cell r="G424" t="str">
            <v>Затраты по ШПЗ (неосновные)</v>
          </cell>
          <cell r="H424">
            <v>2030</v>
          </cell>
          <cell r="I424">
            <v>7920</v>
          </cell>
          <cell r="J424">
            <v>155558.01</v>
          </cell>
          <cell r="K424">
            <v>1</v>
          </cell>
          <cell r="L424">
            <v>0</v>
          </cell>
          <cell r="M424">
            <v>0</v>
          </cell>
          <cell r="N424">
            <v>0</v>
          </cell>
          <cell r="R424">
            <v>0</v>
          </cell>
          <cell r="S424">
            <v>0</v>
          </cell>
          <cell r="T424">
            <v>0</v>
          </cell>
          <cell r="U424">
            <v>32</v>
          </cell>
          <cell r="V424">
            <v>0</v>
          </cell>
          <cell r="W424">
            <v>0</v>
          </cell>
          <cell r="AA424">
            <v>0</v>
          </cell>
          <cell r="AB424">
            <v>0</v>
          </cell>
          <cell r="AC424">
            <v>0</v>
          </cell>
          <cell r="AD424">
            <v>32</v>
          </cell>
          <cell r="AE424">
            <v>312000</v>
          </cell>
          <cell r="AF424">
            <v>0</v>
          </cell>
          <cell r="AI424">
            <v>2282</v>
          </cell>
          <cell r="AK424">
            <v>0</v>
          </cell>
          <cell r="AM424">
            <v>860</v>
          </cell>
          <cell r="AN424">
            <v>1</v>
          </cell>
          <cell r="AO424">
            <v>393216</v>
          </cell>
          <cell r="AQ424">
            <v>0</v>
          </cell>
          <cell r="AR424">
            <v>0</v>
          </cell>
          <cell r="AS424" t="str">
            <v>Ы</v>
          </cell>
          <cell r="AT424" t="str">
            <v>Ы</v>
          </cell>
          <cell r="AU424">
            <v>0</v>
          </cell>
          <cell r="AV424">
            <v>0</v>
          </cell>
          <cell r="AW424">
            <v>23</v>
          </cell>
          <cell r="AX424">
            <v>1</v>
          </cell>
          <cell r="AY424">
            <v>0</v>
          </cell>
          <cell r="AZ424">
            <v>0</v>
          </cell>
          <cell r="BA424">
            <v>0</v>
          </cell>
          <cell r="BB424">
            <v>0</v>
          </cell>
          <cell r="BC424">
            <v>38828</v>
          </cell>
        </row>
        <row r="425">
          <cell r="A425">
            <v>2006</v>
          </cell>
          <cell r="B425">
            <v>3</v>
          </cell>
          <cell r="C425">
            <v>704</v>
          </cell>
          <cell r="D425">
            <v>21</v>
          </cell>
          <cell r="E425">
            <v>792030</v>
          </cell>
          <cell r="F425">
            <v>0</v>
          </cell>
          <cell r="G425" t="str">
            <v>Затраты по ШПЗ (неосновные)</v>
          </cell>
          <cell r="H425">
            <v>2030</v>
          </cell>
          <cell r="I425">
            <v>7920</v>
          </cell>
          <cell r="J425">
            <v>8504.09</v>
          </cell>
          <cell r="K425">
            <v>1</v>
          </cell>
          <cell r="L425">
            <v>0</v>
          </cell>
          <cell r="M425">
            <v>0</v>
          </cell>
          <cell r="N425">
            <v>0</v>
          </cell>
          <cell r="R425">
            <v>0</v>
          </cell>
          <cell r="S425">
            <v>0</v>
          </cell>
          <cell r="T425">
            <v>0</v>
          </cell>
          <cell r="U425">
            <v>32</v>
          </cell>
          <cell r="V425">
            <v>0</v>
          </cell>
          <cell r="W425">
            <v>0</v>
          </cell>
          <cell r="AA425">
            <v>0</v>
          </cell>
          <cell r="AB425">
            <v>0</v>
          </cell>
          <cell r="AC425">
            <v>0</v>
          </cell>
          <cell r="AD425">
            <v>32</v>
          </cell>
          <cell r="AE425">
            <v>313000</v>
          </cell>
          <cell r="AF425">
            <v>0</v>
          </cell>
          <cell r="AI425">
            <v>2282</v>
          </cell>
          <cell r="AK425">
            <v>0</v>
          </cell>
          <cell r="AM425">
            <v>861</v>
          </cell>
          <cell r="AN425">
            <v>1</v>
          </cell>
          <cell r="AO425">
            <v>393216</v>
          </cell>
          <cell r="AQ425">
            <v>0</v>
          </cell>
          <cell r="AR425">
            <v>0</v>
          </cell>
          <cell r="AS425" t="str">
            <v>Ы</v>
          </cell>
          <cell r="AT425" t="str">
            <v>Ы</v>
          </cell>
          <cell r="AU425">
            <v>0</v>
          </cell>
          <cell r="AV425">
            <v>0</v>
          </cell>
          <cell r="AW425">
            <v>23</v>
          </cell>
          <cell r="AX425">
            <v>1</v>
          </cell>
          <cell r="AY425">
            <v>0</v>
          </cell>
          <cell r="AZ425">
            <v>0</v>
          </cell>
          <cell r="BA425">
            <v>0</v>
          </cell>
          <cell r="BB425">
            <v>0</v>
          </cell>
          <cell r="BC425">
            <v>38828</v>
          </cell>
        </row>
        <row r="426">
          <cell r="A426">
            <v>2006</v>
          </cell>
          <cell r="B426">
            <v>3</v>
          </cell>
          <cell r="C426">
            <v>705</v>
          </cell>
          <cell r="D426">
            <v>21</v>
          </cell>
          <cell r="E426">
            <v>792030</v>
          </cell>
          <cell r="F426">
            <v>0</v>
          </cell>
          <cell r="G426" t="str">
            <v>Затраты по ШПЗ (неосновные)</v>
          </cell>
          <cell r="H426">
            <v>2030</v>
          </cell>
          <cell r="I426">
            <v>7920</v>
          </cell>
          <cell r="J426">
            <v>15462</v>
          </cell>
          <cell r="K426">
            <v>1</v>
          </cell>
          <cell r="L426">
            <v>0</v>
          </cell>
          <cell r="M426">
            <v>0</v>
          </cell>
          <cell r="N426">
            <v>0</v>
          </cell>
          <cell r="R426">
            <v>0</v>
          </cell>
          <cell r="S426">
            <v>0</v>
          </cell>
          <cell r="T426">
            <v>0</v>
          </cell>
          <cell r="U426">
            <v>32</v>
          </cell>
          <cell r="V426">
            <v>0</v>
          </cell>
          <cell r="W426">
            <v>0</v>
          </cell>
          <cell r="AA426">
            <v>0</v>
          </cell>
          <cell r="AB426">
            <v>0</v>
          </cell>
          <cell r="AC426">
            <v>0</v>
          </cell>
          <cell r="AD426">
            <v>32</v>
          </cell>
          <cell r="AE426">
            <v>314000</v>
          </cell>
          <cell r="AF426">
            <v>0</v>
          </cell>
          <cell r="AI426">
            <v>2282</v>
          </cell>
          <cell r="AK426">
            <v>0</v>
          </cell>
          <cell r="AM426">
            <v>862</v>
          </cell>
          <cell r="AN426">
            <v>1</v>
          </cell>
          <cell r="AO426">
            <v>393216</v>
          </cell>
          <cell r="AQ426">
            <v>0</v>
          </cell>
          <cell r="AR426">
            <v>0</v>
          </cell>
          <cell r="AS426" t="str">
            <v>Ы</v>
          </cell>
          <cell r="AT426" t="str">
            <v>Ы</v>
          </cell>
          <cell r="AU426">
            <v>0</v>
          </cell>
          <cell r="AV426">
            <v>0</v>
          </cell>
          <cell r="AW426">
            <v>23</v>
          </cell>
          <cell r="AX426">
            <v>1</v>
          </cell>
          <cell r="AY426">
            <v>0</v>
          </cell>
          <cell r="AZ426">
            <v>0</v>
          </cell>
          <cell r="BA426">
            <v>0</v>
          </cell>
          <cell r="BB426">
            <v>0</v>
          </cell>
          <cell r="BC426">
            <v>38828</v>
          </cell>
        </row>
        <row r="427">
          <cell r="A427">
            <v>2006</v>
          </cell>
          <cell r="B427">
            <v>3</v>
          </cell>
          <cell r="C427">
            <v>706</v>
          </cell>
          <cell r="D427">
            <v>21</v>
          </cell>
          <cell r="E427">
            <v>792030</v>
          </cell>
          <cell r="F427">
            <v>0</v>
          </cell>
          <cell r="G427" t="str">
            <v>Затраты по ШПЗ (неосновные)</v>
          </cell>
          <cell r="H427">
            <v>2030</v>
          </cell>
          <cell r="I427">
            <v>7920</v>
          </cell>
          <cell r="J427">
            <v>3108.48</v>
          </cell>
          <cell r="K427">
            <v>1</v>
          </cell>
          <cell r="L427">
            <v>0</v>
          </cell>
          <cell r="M427">
            <v>0</v>
          </cell>
          <cell r="N427">
            <v>0</v>
          </cell>
          <cell r="R427">
            <v>0</v>
          </cell>
          <cell r="S427">
            <v>0</v>
          </cell>
          <cell r="T427">
            <v>0</v>
          </cell>
          <cell r="U427">
            <v>32</v>
          </cell>
          <cell r="V427">
            <v>0</v>
          </cell>
          <cell r="W427">
            <v>0</v>
          </cell>
          <cell r="AA427">
            <v>0</v>
          </cell>
          <cell r="AB427">
            <v>0</v>
          </cell>
          <cell r="AC427">
            <v>0</v>
          </cell>
          <cell r="AD427">
            <v>32</v>
          </cell>
          <cell r="AE427">
            <v>315000</v>
          </cell>
          <cell r="AF427">
            <v>0</v>
          </cell>
          <cell r="AI427">
            <v>2282</v>
          </cell>
          <cell r="AK427">
            <v>0</v>
          </cell>
          <cell r="AM427">
            <v>863</v>
          </cell>
          <cell r="AN427">
            <v>1</v>
          </cell>
          <cell r="AO427">
            <v>393216</v>
          </cell>
          <cell r="AQ427">
            <v>0</v>
          </cell>
          <cell r="AR427">
            <v>0</v>
          </cell>
          <cell r="AS427" t="str">
            <v>Ы</v>
          </cell>
          <cell r="AT427" t="str">
            <v>Ы</v>
          </cell>
          <cell r="AU427">
            <v>0</v>
          </cell>
          <cell r="AV427">
            <v>0</v>
          </cell>
          <cell r="AW427">
            <v>23</v>
          </cell>
          <cell r="AX427">
            <v>1</v>
          </cell>
          <cell r="AY427">
            <v>0</v>
          </cell>
          <cell r="AZ427">
            <v>0</v>
          </cell>
          <cell r="BA427">
            <v>0</v>
          </cell>
          <cell r="BB427">
            <v>0</v>
          </cell>
          <cell r="BC427">
            <v>38828</v>
          </cell>
        </row>
        <row r="428">
          <cell r="A428">
            <v>2006</v>
          </cell>
          <cell r="B428">
            <v>3</v>
          </cell>
          <cell r="C428">
            <v>707</v>
          </cell>
          <cell r="D428">
            <v>21</v>
          </cell>
          <cell r="E428">
            <v>792030</v>
          </cell>
          <cell r="F428">
            <v>0</v>
          </cell>
          <cell r="G428" t="str">
            <v>Затраты по ШПЗ (неосновные)</v>
          </cell>
          <cell r="H428">
            <v>2030</v>
          </cell>
          <cell r="I428">
            <v>7920</v>
          </cell>
          <cell r="J428">
            <v>3.66</v>
          </cell>
          <cell r="K428">
            <v>1</v>
          </cell>
          <cell r="L428">
            <v>0</v>
          </cell>
          <cell r="M428">
            <v>0</v>
          </cell>
          <cell r="N428">
            <v>0</v>
          </cell>
          <cell r="R428">
            <v>0</v>
          </cell>
          <cell r="S428">
            <v>0</v>
          </cell>
          <cell r="T428">
            <v>0</v>
          </cell>
          <cell r="U428">
            <v>32</v>
          </cell>
          <cell r="V428">
            <v>0</v>
          </cell>
          <cell r="W428">
            <v>0</v>
          </cell>
          <cell r="AA428">
            <v>0</v>
          </cell>
          <cell r="AB428">
            <v>0</v>
          </cell>
          <cell r="AC428">
            <v>0</v>
          </cell>
          <cell r="AD428">
            <v>32</v>
          </cell>
          <cell r="AE428">
            <v>410000</v>
          </cell>
          <cell r="AF428">
            <v>0</v>
          </cell>
          <cell r="AI428">
            <v>2282</v>
          </cell>
          <cell r="AK428">
            <v>0</v>
          </cell>
          <cell r="AM428">
            <v>864</v>
          </cell>
          <cell r="AN428">
            <v>1</v>
          </cell>
          <cell r="AO428">
            <v>393216</v>
          </cell>
          <cell r="AQ428">
            <v>0</v>
          </cell>
          <cell r="AR428">
            <v>0</v>
          </cell>
          <cell r="AS428" t="str">
            <v>Ы</v>
          </cell>
          <cell r="AT428" t="str">
            <v>Ы</v>
          </cell>
          <cell r="AU428">
            <v>0</v>
          </cell>
          <cell r="AV428">
            <v>0</v>
          </cell>
          <cell r="AW428">
            <v>23</v>
          </cell>
          <cell r="AX428">
            <v>1</v>
          </cell>
          <cell r="AY428">
            <v>0</v>
          </cell>
          <cell r="AZ428">
            <v>0</v>
          </cell>
          <cell r="BA428">
            <v>0</v>
          </cell>
          <cell r="BB428">
            <v>0</v>
          </cell>
          <cell r="BC428">
            <v>38828</v>
          </cell>
        </row>
        <row r="429">
          <cell r="A429">
            <v>2006</v>
          </cell>
          <cell r="B429">
            <v>3</v>
          </cell>
          <cell r="C429">
            <v>708</v>
          </cell>
          <cell r="D429">
            <v>21</v>
          </cell>
          <cell r="E429">
            <v>792030</v>
          </cell>
          <cell r="F429">
            <v>0</v>
          </cell>
          <cell r="G429" t="str">
            <v>Затраты по ШПЗ (неосновные)</v>
          </cell>
          <cell r="H429">
            <v>2030</v>
          </cell>
          <cell r="I429">
            <v>7920</v>
          </cell>
          <cell r="J429">
            <v>315.49</v>
          </cell>
          <cell r="K429">
            <v>1</v>
          </cell>
          <cell r="L429">
            <v>0</v>
          </cell>
          <cell r="M429">
            <v>0</v>
          </cell>
          <cell r="N429">
            <v>0</v>
          </cell>
          <cell r="R429">
            <v>0</v>
          </cell>
          <cell r="S429">
            <v>0</v>
          </cell>
          <cell r="T429">
            <v>0</v>
          </cell>
          <cell r="U429">
            <v>32</v>
          </cell>
          <cell r="V429">
            <v>0</v>
          </cell>
          <cell r="W429">
            <v>0</v>
          </cell>
          <cell r="AA429">
            <v>0</v>
          </cell>
          <cell r="AB429">
            <v>0</v>
          </cell>
          <cell r="AC429">
            <v>0</v>
          </cell>
          <cell r="AD429">
            <v>32</v>
          </cell>
          <cell r="AE429">
            <v>420000</v>
          </cell>
          <cell r="AF429">
            <v>0</v>
          </cell>
          <cell r="AI429">
            <v>2282</v>
          </cell>
          <cell r="AK429">
            <v>0</v>
          </cell>
          <cell r="AM429">
            <v>865</v>
          </cell>
          <cell r="AN429">
            <v>1</v>
          </cell>
          <cell r="AO429">
            <v>393216</v>
          </cell>
          <cell r="AQ429">
            <v>0</v>
          </cell>
          <cell r="AR429">
            <v>0</v>
          </cell>
          <cell r="AS429" t="str">
            <v>Ы</v>
          </cell>
          <cell r="AT429" t="str">
            <v>Ы</v>
          </cell>
          <cell r="AU429">
            <v>0</v>
          </cell>
          <cell r="AV429">
            <v>0</v>
          </cell>
          <cell r="AW429">
            <v>23</v>
          </cell>
          <cell r="AX429">
            <v>1</v>
          </cell>
          <cell r="AY429">
            <v>0</v>
          </cell>
          <cell r="AZ429">
            <v>0</v>
          </cell>
          <cell r="BA429">
            <v>0</v>
          </cell>
          <cell r="BB429">
            <v>0</v>
          </cell>
          <cell r="BC429">
            <v>38828</v>
          </cell>
        </row>
        <row r="430">
          <cell r="A430">
            <v>2006</v>
          </cell>
          <cell r="B430">
            <v>3</v>
          </cell>
          <cell r="C430">
            <v>709</v>
          </cell>
          <cell r="D430">
            <v>21</v>
          </cell>
          <cell r="E430">
            <v>792030</v>
          </cell>
          <cell r="F430">
            <v>0</v>
          </cell>
          <cell r="G430" t="str">
            <v>Затраты по ШПЗ (неосновные)</v>
          </cell>
          <cell r="H430">
            <v>2030</v>
          </cell>
          <cell r="I430">
            <v>7920</v>
          </cell>
          <cell r="J430">
            <v>60.91</v>
          </cell>
          <cell r="K430">
            <v>1</v>
          </cell>
          <cell r="L430">
            <v>0</v>
          </cell>
          <cell r="M430">
            <v>0</v>
          </cell>
          <cell r="N430">
            <v>0</v>
          </cell>
          <cell r="R430">
            <v>0</v>
          </cell>
          <cell r="S430">
            <v>0</v>
          </cell>
          <cell r="T430">
            <v>0</v>
          </cell>
          <cell r="U430">
            <v>32</v>
          </cell>
          <cell r="V430">
            <v>0</v>
          </cell>
          <cell r="W430">
            <v>0</v>
          </cell>
          <cell r="AA430">
            <v>0</v>
          </cell>
          <cell r="AB430">
            <v>0</v>
          </cell>
          <cell r="AC430">
            <v>0</v>
          </cell>
          <cell r="AD430">
            <v>32</v>
          </cell>
          <cell r="AE430">
            <v>430000</v>
          </cell>
          <cell r="AF430">
            <v>0</v>
          </cell>
          <cell r="AI430">
            <v>2282</v>
          </cell>
          <cell r="AK430">
            <v>0</v>
          </cell>
          <cell r="AM430">
            <v>866</v>
          </cell>
          <cell r="AN430">
            <v>1</v>
          </cell>
          <cell r="AO430">
            <v>393216</v>
          </cell>
          <cell r="AQ430">
            <v>0</v>
          </cell>
          <cell r="AR430">
            <v>0</v>
          </cell>
          <cell r="AS430" t="str">
            <v>Ы</v>
          </cell>
          <cell r="AT430" t="str">
            <v>Ы</v>
          </cell>
          <cell r="AU430">
            <v>0</v>
          </cell>
          <cell r="AV430">
            <v>0</v>
          </cell>
          <cell r="AW430">
            <v>23</v>
          </cell>
          <cell r="AX430">
            <v>1</v>
          </cell>
          <cell r="AY430">
            <v>0</v>
          </cell>
          <cell r="AZ430">
            <v>0</v>
          </cell>
          <cell r="BA430">
            <v>0</v>
          </cell>
          <cell r="BB430">
            <v>0</v>
          </cell>
          <cell r="BC430">
            <v>38828</v>
          </cell>
        </row>
        <row r="431">
          <cell r="A431">
            <v>2006</v>
          </cell>
          <cell r="B431">
            <v>3</v>
          </cell>
          <cell r="C431">
            <v>710</v>
          </cell>
          <cell r="D431">
            <v>21</v>
          </cell>
          <cell r="E431">
            <v>792030</v>
          </cell>
          <cell r="F431">
            <v>0</v>
          </cell>
          <cell r="G431" t="str">
            <v>Затраты по ШПЗ (неосновные)</v>
          </cell>
          <cell r="H431">
            <v>2030</v>
          </cell>
          <cell r="I431">
            <v>7920</v>
          </cell>
          <cell r="J431">
            <v>7.74</v>
          </cell>
          <cell r="K431">
            <v>1</v>
          </cell>
          <cell r="L431">
            <v>0</v>
          </cell>
          <cell r="M431">
            <v>0</v>
          </cell>
          <cell r="N431">
            <v>0</v>
          </cell>
          <cell r="R431">
            <v>0</v>
          </cell>
          <cell r="S431">
            <v>0</v>
          </cell>
          <cell r="T431">
            <v>0</v>
          </cell>
          <cell r="U431">
            <v>32</v>
          </cell>
          <cell r="V431">
            <v>0</v>
          </cell>
          <cell r="W431">
            <v>0</v>
          </cell>
          <cell r="AA431">
            <v>0</v>
          </cell>
          <cell r="AB431">
            <v>0</v>
          </cell>
          <cell r="AC431">
            <v>0</v>
          </cell>
          <cell r="AD431">
            <v>32</v>
          </cell>
          <cell r="AE431">
            <v>450000</v>
          </cell>
          <cell r="AF431">
            <v>0</v>
          </cell>
          <cell r="AI431">
            <v>2282</v>
          </cell>
          <cell r="AK431">
            <v>0</v>
          </cell>
          <cell r="AM431">
            <v>867</v>
          </cell>
          <cell r="AN431">
            <v>1</v>
          </cell>
          <cell r="AO431">
            <v>393216</v>
          </cell>
          <cell r="AQ431">
            <v>0</v>
          </cell>
          <cell r="AR431">
            <v>0</v>
          </cell>
          <cell r="AS431" t="str">
            <v>Ы</v>
          </cell>
          <cell r="AT431" t="str">
            <v>Ы</v>
          </cell>
          <cell r="AU431">
            <v>0</v>
          </cell>
          <cell r="AV431">
            <v>0</v>
          </cell>
          <cell r="AW431">
            <v>23</v>
          </cell>
          <cell r="AX431">
            <v>1</v>
          </cell>
          <cell r="AY431">
            <v>0</v>
          </cell>
          <cell r="AZ431">
            <v>0</v>
          </cell>
          <cell r="BA431">
            <v>0</v>
          </cell>
          <cell r="BB431">
            <v>0</v>
          </cell>
          <cell r="BC431">
            <v>38828</v>
          </cell>
        </row>
        <row r="432">
          <cell r="A432">
            <v>2006</v>
          </cell>
          <cell r="B432">
            <v>3</v>
          </cell>
          <cell r="C432">
            <v>711</v>
          </cell>
          <cell r="D432">
            <v>21</v>
          </cell>
          <cell r="E432">
            <v>792030</v>
          </cell>
          <cell r="F432">
            <v>0</v>
          </cell>
          <cell r="G432" t="str">
            <v>Затраты по ШПЗ (неосновные)</v>
          </cell>
          <cell r="H432">
            <v>2030</v>
          </cell>
          <cell r="I432">
            <v>7920</v>
          </cell>
          <cell r="J432">
            <v>16.63</v>
          </cell>
          <cell r="K432">
            <v>1</v>
          </cell>
          <cell r="L432">
            <v>0</v>
          </cell>
          <cell r="M432">
            <v>0</v>
          </cell>
          <cell r="N432">
            <v>0</v>
          </cell>
          <cell r="R432">
            <v>0</v>
          </cell>
          <cell r="S432">
            <v>0</v>
          </cell>
          <cell r="T432">
            <v>0</v>
          </cell>
          <cell r="U432">
            <v>32</v>
          </cell>
          <cell r="V432">
            <v>0</v>
          </cell>
          <cell r="W432">
            <v>0</v>
          </cell>
          <cell r="AA432">
            <v>0</v>
          </cell>
          <cell r="AB432">
            <v>0</v>
          </cell>
          <cell r="AC432">
            <v>0</v>
          </cell>
          <cell r="AD432">
            <v>32</v>
          </cell>
          <cell r="AE432">
            <v>460000</v>
          </cell>
          <cell r="AF432">
            <v>0</v>
          </cell>
          <cell r="AI432">
            <v>2282</v>
          </cell>
          <cell r="AK432">
            <v>0</v>
          </cell>
          <cell r="AM432">
            <v>868</v>
          </cell>
          <cell r="AN432">
            <v>1</v>
          </cell>
          <cell r="AO432">
            <v>393216</v>
          </cell>
          <cell r="AQ432">
            <v>0</v>
          </cell>
          <cell r="AR432">
            <v>0</v>
          </cell>
          <cell r="AS432" t="str">
            <v>Ы</v>
          </cell>
          <cell r="AT432" t="str">
            <v>Ы</v>
          </cell>
          <cell r="AU432">
            <v>0</v>
          </cell>
          <cell r="AV432">
            <v>0</v>
          </cell>
          <cell r="AW432">
            <v>23</v>
          </cell>
          <cell r="AX432">
            <v>1</v>
          </cell>
          <cell r="AY432">
            <v>0</v>
          </cell>
          <cell r="AZ432">
            <v>0</v>
          </cell>
          <cell r="BA432">
            <v>0</v>
          </cell>
          <cell r="BB432">
            <v>0</v>
          </cell>
          <cell r="BC432">
            <v>38828</v>
          </cell>
        </row>
        <row r="433">
          <cell r="A433">
            <v>2006</v>
          </cell>
          <cell r="B433">
            <v>3</v>
          </cell>
          <cell r="C433">
            <v>712</v>
          </cell>
          <cell r="D433">
            <v>21</v>
          </cell>
          <cell r="E433">
            <v>792030</v>
          </cell>
          <cell r="F433">
            <v>0</v>
          </cell>
          <cell r="G433" t="str">
            <v>Затраты по ШПЗ (неосновные)</v>
          </cell>
          <cell r="H433">
            <v>2030</v>
          </cell>
          <cell r="I433">
            <v>7920</v>
          </cell>
          <cell r="J433">
            <v>1.39</v>
          </cell>
          <cell r="K433">
            <v>1</v>
          </cell>
          <cell r="L433">
            <v>0</v>
          </cell>
          <cell r="M433">
            <v>0</v>
          </cell>
          <cell r="N433">
            <v>0</v>
          </cell>
          <cell r="R433">
            <v>0</v>
          </cell>
          <cell r="S433">
            <v>0</v>
          </cell>
          <cell r="T433">
            <v>0</v>
          </cell>
          <cell r="U433">
            <v>32</v>
          </cell>
          <cell r="V433">
            <v>0</v>
          </cell>
          <cell r="W433">
            <v>0</v>
          </cell>
          <cell r="AA433">
            <v>0</v>
          </cell>
          <cell r="AB433">
            <v>0</v>
          </cell>
          <cell r="AC433">
            <v>0</v>
          </cell>
          <cell r="AD433">
            <v>32</v>
          </cell>
          <cell r="AE433">
            <v>465000</v>
          </cell>
          <cell r="AF433">
            <v>0</v>
          </cell>
          <cell r="AI433">
            <v>2282</v>
          </cell>
          <cell r="AK433">
            <v>0</v>
          </cell>
          <cell r="AM433">
            <v>869</v>
          </cell>
          <cell r="AN433">
            <v>1</v>
          </cell>
          <cell r="AO433">
            <v>393216</v>
          </cell>
          <cell r="AQ433">
            <v>0</v>
          </cell>
          <cell r="AR433">
            <v>0</v>
          </cell>
          <cell r="AS433" t="str">
            <v>Ы</v>
          </cell>
          <cell r="AT433" t="str">
            <v>Ы</v>
          </cell>
          <cell r="AU433">
            <v>0</v>
          </cell>
          <cell r="AV433">
            <v>0</v>
          </cell>
          <cell r="AW433">
            <v>23</v>
          </cell>
          <cell r="AX433">
            <v>1</v>
          </cell>
          <cell r="AY433">
            <v>0</v>
          </cell>
          <cell r="AZ433">
            <v>0</v>
          </cell>
          <cell r="BA433">
            <v>0</v>
          </cell>
          <cell r="BB433">
            <v>0</v>
          </cell>
          <cell r="BC433">
            <v>38828</v>
          </cell>
        </row>
        <row r="434">
          <cell r="A434">
            <v>2006</v>
          </cell>
          <cell r="B434">
            <v>3</v>
          </cell>
          <cell r="C434">
            <v>713</v>
          </cell>
          <cell r="D434">
            <v>21</v>
          </cell>
          <cell r="E434">
            <v>792030</v>
          </cell>
          <cell r="F434">
            <v>0</v>
          </cell>
          <cell r="G434" t="str">
            <v>Затраты по ШПЗ (неосновные)</v>
          </cell>
          <cell r="H434">
            <v>2030</v>
          </cell>
          <cell r="I434">
            <v>7920</v>
          </cell>
          <cell r="J434">
            <v>134.88</v>
          </cell>
          <cell r="K434">
            <v>1</v>
          </cell>
          <cell r="L434">
            <v>0</v>
          </cell>
          <cell r="M434">
            <v>0</v>
          </cell>
          <cell r="N434">
            <v>0</v>
          </cell>
          <cell r="R434">
            <v>0</v>
          </cell>
          <cell r="S434">
            <v>0</v>
          </cell>
          <cell r="T434">
            <v>0</v>
          </cell>
          <cell r="U434">
            <v>32</v>
          </cell>
          <cell r="V434">
            <v>0</v>
          </cell>
          <cell r="W434">
            <v>0</v>
          </cell>
          <cell r="AA434">
            <v>0</v>
          </cell>
          <cell r="AB434">
            <v>0</v>
          </cell>
          <cell r="AC434">
            <v>0</v>
          </cell>
          <cell r="AD434">
            <v>32</v>
          </cell>
          <cell r="AE434">
            <v>501102</v>
          </cell>
          <cell r="AF434">
            <v>0</v>
          </cell>
          <cell r="AI434">
            <v>2282</v>
          </cell>
          <cell r="AK434">
            <v>0</v>
          </cell>
          <cell r="AM434">
            <v>870</v>
          </cell>
          <cell r="AN434">
            <v>1</v>
          </cell>
          <cell r="AO434">
            <v>393216</v>
          </cell>
          <cell r="AQ434">
            <v>0</v>
          </cell>
          <cell r="AR434">
            <v>0</v>
          </cell>
          <cell r="AS434" t="str">
            <v>Ы</v>
          </cell>
          <cell r="AT434" t="str">
            <v>Ы</v>
          </cell>
          <cell r="AU434">
            <v>0</v>
          </cell>
          <cell r="AV434">
            <v>0</v>
          </cell>
          <cell r="AW434">
            <v>23</v>
          </cell>
          <cell r="AX434">
            <v>1</v>
          </cell>
          <cell r="AY434">
            <v>0</v>
          </cell>
          <cell r="AZ434">
            <v>0</v>
          </cell>
          <cell r="BA434">
            <v>0</v>
          </cell>
          <cell r="BB434">
            <v>0</v>
          </cell>
          <cell r="BC434">
            <v>38828</v>
          </cell>
        </row>
        <row r="435">
          <cell r="A435">
            <v>2006</v>
          </cell>
          <cell r="B435">
            <v>3</v>
          </cell>
          <cell r="C435">
            <v>714</v>
          </cell>
          <cell r="D435">
            <v>21</v>
          </cell>
          <cell r="E435">
            <v>792030</v>
          </cell>
          <cell r="F435">
            <v>0</v>
          </cell>
          <cell r="G435" t="str">
            <v>Затраты по ШПЗ (неосновные)</v>
          </cell>
          <cell r="H435">
            <v>2030</v>
          </cell>
          <cell r="I435">
            <v>7920</v>
          </cell>
          <cell r="J435">
            <v>83.54</v>
          </cell>
          <cell r="K435">
            <v>1</v>
          </cell>
          <cell r="L435">
            <v>0</v>
          </cell>
          <cell r="M435">
            <v>0</v>
          </cell>
          <cell r="N435">
            <v>0</v>
          </cell>
          <cell r="R435">
            <v>0</v>
          </cell>
          <cell r="S435">
            <v>0</v>
          </cell>
          <cell r="T435">
            <v>0</v>
          </cell>
          <cell r="U435">
            <v>32</v>
          </cell>
          <cell r="V435">
            <v>0</v>
          </cell>
          <cell r="W435">
            <v>0</v>
          </cell>
          <cell r="AA435">
            <v>0</v>
          </cell>
          <cell r="AB435">
            <v>0</v>
          </cell>
          <cell r="AC435">
            <v>0</v>
          </cell>
          <cell r="AD435">
            <v>32</v>
          </cell>
          <cell r="AE435">
            <v>501103</v>
          </cell>
          <cell r="AF435">
            <v>0</v>
          </cell>
          <cell r="AI435">
            <v>2282</v>
          </cell>
          <cell r="AK435">
            <v>0</v>
          </cell>
          <cell r="AM435">
            <v>871</v>
          </cell>
          <cell r="AN435">
            <v>1</v>
          </cell>
          <cell r="AO435">
            <v>393216</v>
          </cell>
          <cell r="AQ435">
            <v>0</v>
          </cell>
          <cell r="AR435">
            <v>0</v>
          </cell>
          <cell r="AS435" t="str">
            <v>Ы</v>
          </cell>
          <cell r="AT435" t="str">
            <v>Ы</v>
          </cell>
          <cell r="AU435">
            <v>0</v>
          </cell>
          <cell r="AV435">
            <v>0</v>
          </cell>
          <cell r="AW435">
            <v>23</v>
          </cell>
          <cell r="AX435">
            <v>1</v>
          </cell>
          <cell r="AY435">
            <v>0</v>
          </cell>
          <cell r="AZ435">
            <v>0</v>
          </cell>
          <cell r="BA435">
            <v>0</v>
          </cell>
          <cell r="BB435">
            <v>0</v>
          </cell>
          <cell r="BC435">
            <v>38828</v>
          </cell>
        </row>
        <row r="436">
          <cell r="A436">
            <v>2006</v>
          </cell>
          <cell r="B436">
            <v>3</v>
          </cell>
          <cell r="C436">
            <v>715</v>
          </cell>
          <cell r="D436">
            <v>21</v>
          </cell>
          <cell r="E436">
            <v>792030</v>
          </cell>
          <cell r="F436">
            <v>0</v>
          </cell>
          <cell r="G436" t="str">
            <v>Затраты по ШПЗ (неосновные)</v>
          </cell>
          <cell r="H436">
            <v>2030</v>
          </cell>
          <cell r="I436">
            <v>7920</v>
          </cell>
          <cell r="J436">
            <v>50.97</v>
          </cell>
          <cell r="K436">
            <v>1</v>
          </cell>
          <cell r="L436">
            <v>0</v>
          </cell>
          <cell r="M436">
            <v>0</v>
          </cell>
          <cell r="N436">
            <v>0</v>
          </cell>
          <cell r="R436">
            <v>0</v>
          </cell>
          <cell r="S436">
            <v>0</v>
          </cell>
          <cell r="T436">
            <v>0</v>
          </cell>
          <cell r="U436">
            <v>32</v>
          </cell>
          <cell r="V436">
            <v>0</v>
          </cell>
          <cell r="W436">
            <v>0</v>
          </cell>
          <cell r="AA436">
            <v>0</v>
          </cell>
          <cell r="AB436">
            <v>0</v>
          </cell>
          <cell r="AC436">
            <v>0</v>
          </cell>
          <cell r="AD436">
            <v>32</v>
          </cell>
          <cell r="AE436">
            <v>501105</v>
          </cell>
          <cell r="AF436">
            <v>0</v>
          </cell>
          <cell r="AI436">
            <v>2282</v>
          </cell>
          <cell r="AK436">
            <v>0</v>
          </cell>
          <cell r="AM436">
            <v>872</v>
          </cell>
          <cell r="AN436">
            <v>1</v>
          </cell>
          <cell r="AO436">
            <v>393216</v>
          </cell>
          <cell r="AQ436">
            <v>0</v>
          </cell>
          <cell r="AR436">
            <v>0</v>
          </cell>
          <cell r="AS436" t="str">
            <v>Ы</v>
          </cell>
          <cell r="AT436" t="str">
            <v>Ы</v>
          </cell>
          <cell r="AU436">
            <v>0</v>
          </cell>
          <cell r="AV436">
            <v>0</v>
          </cell>
          <cell r="AW436">
            <v>23</v>
          </cell>
          <cell r="AX436">
            <v>1</v>
          </cell>
          <cell r="AY436">
            <v>0</v>
          </cell>
          <cell r="AZ436">
            <v>0</v>
          </cell>
          <cell r="BA436">
            <v>0</v>
          </cell>
          <cell r="BB436">
            <v>0</v>
          </cell>
          <cell r="BC436">
            <v>38828</v>
          </cell>
        </row>
        <row r="437">
          <cell r="A437">
            <v>2006</v>
          </cell>
          <cell r="B437">
            <v>3</v>
          </cell>
          <cell r="C437">
            <v>716</v>
          </cell>
          <cell r="D437">
            <v>21</v>
          </cell>
          <cell r="E437">
            <v>792030</v>
          </cell>
          <cell r="F437">
            <v>0</v>
          </cell>
          <cell r="G437" t="str">
            <v>Затраты по ШПЗ (неосновные)</v>
          </cell>
          <cell r="H437">
            <v>2030</v>
          </cell>
          <cell r="I437">
            <v>7920</v>
          </cell>
          <cell r="J437">
            <v>9.9</v>
          </cell>
          <cell r="K437">
            <v>1</v>
          </cell>
          <cell r="L437">
            <v>0</v>
          </cell>
          <cell r="M437">
            <v>0</v>
          </cell>
          <cell r="N437">
            <v>0</v>
          </cell>
          <cell r="R437">
            <v>0</v>
          </cell>
          <cell r="S437">
            <v>0</v>
          </cell>
          <cell r="T437">
            <v>0</v>
          </cell>
          <cell r="U437">
            <v>32</v>
          </cell>
          <cell r="V437">
            <v>0</v>
          </cell>
          <cell r="W437">
            <v>0</v>
          </cell>
          <cell r="AA437">
            <v>0</v>
          </cell>
          <cell r="AB437">
            <v>0</v>
          </cell>
          <cell r="AC437">
            <v>0</v>
          </cell>
          <cell r="AD437">
            <v>32</v>
          </cell>
          <cell r="AE437">
            <v>501106</v>
          </cell>
          <cell r="AF437">
            <v>0</v>
          </cell>
          <cell r="AI437">
            <v>2282</v>
          </cell>
          <cell r="AK437">
            <v>0</v>
          </cell>
          <cell r="AM437">
            <v>873</v>
          </cell>
          <cell r="AN437">
            <v>1</v>
          </cell>
          <cell r="AO437">
            <v>393216</v>
          </cell>
          <cell r="AQ437">
            <v>0</v>
          </cell>
          <cell r="AR437">
            <v>0</v>
          </cell>
          <cell r="AS437" t="str">
            <v>Ы</v>
          </cell>
          <cell r="AT437" t="str">
            <v>Ы</v>
          </cell>
          <cell r="AU437">
            <v>0</v>
          </cell>
          <cell r="AV437">
            <v>0</v>
          </cell>
          <cell r="AW437">
            <v>23</v>
          </cell>
          <cell r="AX437">
            <v>1</v>
          </cell>
          <cell r="AY437">
            <v>0</v>
          </cell>
          <cell r="AZ437">
            <v>0</v>
          </cell>
          <cell r="BA437">
            <v>0</v>
          </cell>
          <cell r="BB437">
            <v>0</v>
          </cell>
          <cell r="BC437">
            <v>38828</v>
          </cell>
        </row>
        <row r="438">
          <cell r="A438">
            <v>2006</v>
          </cell>
          <cell r="B438">
            <v>3</v>
          </cell>
          <cell r="C438">
            <v>717</v>
          </cell>
          <cell r="D438">
            <v>21</v>
          </cell>
          <cell r="E438">
            <v>792030</v>
          </cell>
          <cell r="F438">
            <v>0</v>
          </cell>
          <cell r="G438" t="str">
            <v>Затраты по ШПЗ (неосновные)</v>
          </cell>
          <cell r="H438">
            <v>2030</v>
          </cell>
          <cell r="I438">
            <v>7920</v>
          </cell>
          <cell r="J438">
            <v>531.04</v>
          </cell>
          <cell r="K438">
            <v>1</v>
          </cell>
          <cell r="L438">
            <v>0</v>
          </cell>
          <cell r="M438">
            <v>0</v>
          </cell>
          <cell r="N438">
            <v>0</v>
          </cell>
          <cell r="R438">
            <v>0</v>
          </cell>
          <cell r="S438">
            <v>0</v>
          </cell>
          <cell r="T438">
            <v>0</v>
          </cell>
          <cell r="U438">
            <v>32</v>
          </cell>
          <cell r="V438">
            <v>0</v>
          </cell>
          <cell r="W438">
            <v>0</v>
          </cell>
          <cell r="AA438">
            <v>0</v>
          </cell>
          <cell r="AB438">
            <v>0</v>
          </cell>
          <cell r="AC438">
            <v>0</v>
          </cell>
          <cell r="AD438">
            <v>32</v>
          </cell>
          <cell r="AE438">
            <v>503000</v>
          </cell>
          <cell r="AF438">
            <v>0</v>
          </cell>
          <cell r="AI438">
            <v>2282</v>
          </cell>
          <cell r="AK438">
            <v>0</v>
          </cell>
          <cell r="AM438">
            <v>874</v>
          </cell>
          <cell r="AN438">
            <v>1</v>
          </cell>
          <cell r="AO438">
            <v>393216</v>
          </cell>
          <cell r="AQ438">
            <v>0</v>
          </cell>
          <cell r="AR438">
            <v>0</v>
          </cell>
          <cell r="AS438" t="str">
            <v>Ы</v>
          </cell>
          <cell r="AT438" t="str">
            <v>Ы</v>
          </cell>
          <cell r="AU438">
            <v>0</v>
          </cell>
          <cell r="AV438">
            <v>0</v>
          </cell>
          <cell r="AW438">
            <v>23</v>
          </cell>
          <cell r="AX438">
            <v>1</v>
          </cell>
          <cell r="AY438">
            <v>0</v>
          </cell>
          <cell r="AZ438">
            <v>0</v>
          </cell>
          <cell r="BA438">
            <v>0</v>
          </cell>
          <cell r="BB438">
            <v>0</v>
          </cell>
          <cell r="BC438">
            <v>38828</v>
          </cell>
        </row>
        <row r="439">
          <cell r="A439">
            <v>2006</v>
          </cell>
          <cell r="B439">
            <v>3</v>
          </cell>
          <cell r="C439">
            <v>718</v>
          </cell>
          <cell r="D439">
            <v>21</v>
          </cell>
          <cell r="E439">
            <v>792030</v>
          </cell>
          <cell r="F439">
            <v>0</v>
          </cell>
          <cell r="G439" t="str">
            <v>Затраты по ШПЗ (неосновные)</v>
          </cell>
          <cell r="H439">
            <v>2030</v>
          </cell>
          <cell r="I439">
            <v>7920</v>
          </cell>
          <cell r="J439">
            <v>1.1299999999999999</v>
          </cell>
          <cell r="K439">
            <v>1</v>
          </cell>
          <cell r="L439">
            <v>0</v>
          </cell>
          <cell r="M439">
            <v>0</v>
          </cell>
          <cell r="N439">
            <v>0</v>
          </cell>
          <cell r="R439">
            <v>0</v>
          </cell>
          <cell r="S439">
            <v>0</v>
          </cell>
          <cell r="T439">
            <v>0</v>
          </cell>
          <cell r="U439">
            <v>32</v>
          </cell>
          <cell r="V439">
            <v>0</v>
          </cell>
          <cell r="W439">
            <v>0</v>
          </cell>
          <cell r="AA439">
            <v>0</v>
          </cell>
          <cell r="AB439">
            <v>0</v>
          </cell>
          <cell r="AC439">
            <v>0</v>
          </cell>
          <cell r="AD439">
            <v>32</v>
          </cell>
          <cell r="AE439">
            <v>504900</v>
          </cell>
          <cell r="AF439">
            <v>0</v>
          </cell>
          <cell r="AI439">
            <v>2282</v>
          </cell>
          <cell r="AK439">
            <v>0</v>
          </cell>
          <cell r="AM439">
            <v>875</v>
          </cell>
          <cell r="AN439">
            <v>1</v>
          </cell>
          <cell r="AO439">
            <v>393216</v>
          </cell>
          <cell r="AQ439">
            <v>0</v>
          </cell>
          <cell r="AR439">
            <v>0</v>
          </cell>
          <cell r="AS439" t="str">
            <v>Ы</v>
          </cell>
          <cell r="AT439" t="str">
            <v>Ы</v>
          </cell>
          <cell r="AU439">
            <v>0</v>
          </cell>
          <cell r="AV439">
            <v>0</v>
          </cell>
          <cell r="AW439">
            <v>23</v>
          </cell>
          <cell r="AX439">
            <v>1</v>
          </cell>
          <cell r="AY439">
            <v>0</v>
          </cell>
          <cell r="AZ439">
            <v>0</v>
          </cell>
          <cell r="BA439">
            <v>0</v>
          </cell>
          <cell r="BB439">
            <v>0</v>
          </cell>
          <cell r="BC439">
            <v>38828</v>
          </cell>
        </row>
        <row r="440">
          <cell r="A440">
            <v>2006</v>
          </cell>
          <cell r="B440">
            <v>3</v>
          </cell>
          <cell r="C440">
            <v>719</v>
          </cell>
          <cell r="D440">
            <v>21</v>
          </cell>
          <cell r="E440">
            <v>792030</v>
          </cell>
          <cell r="F440">
            <v>0</v>
          </cell>
          <cell r="G440" t="str">
            <v>Затраты по ШПЗ (неосновные)</v>
          </cell>
          <cell r="H440">
            <v>2030</v>
          </cell>
          <cell r="I440">
            <v>7920</v>
          </cell>
          <cell r="J440">
            <v>2.62</v>
          </cell>
          <cell r="K440">
            <v>1</v>
          </cell>
          <cell r="L440">
            <v>0</v>
          </cell>
          <cell r="M440">
            <v>0</v>
          </cell>
          <cell r="N440">
            <v>0</v>
          </cell>
          <cell r="R440">
            <v>0</v>
          </cell>
          <cell r="S440">
            <v>0</v>
          </cell>
          <cell r="T440">
            <v>0</v>
          </cell>
          <cell r="U440">
            <v>32</v>
          </cell>
          <cell r="V440">
            <v>0</v>
          </cell>
          <cell r="W440">
            <v>0</v>
          </cell>
          <cell r="AA440">
            <v>0</v>
          </cell>
          <cell r="AB440">
            <v>0</v>
          </cell>
          <cell r="AC440">
            <v>0</v>
          </cell>
          <cell r="AD440">
            <v>32</v>
          </cell>
          <cell r="AE440">
            <v>505100</v>
          </cell>
          <cell r="AF440">
            <v>0</v>
          </cell>
          <cell r="AI440">
            <v>2282</v>
          </cell>
          <cell r="AK440">
            <v>0</v>
          </cell>
          <cell r="AM440">
            <v>876</v>
          </cell>
          <cell r="AN440">
            <v>1</v>
          </cell>
          <cell r="AO440">
            <v>393216</v>
          </cell>
          <cell r="AQ440">
            <v>0</v>
          </cell>
          <cell r="AR440">
            <v>0</v>
          </cell>
          <cell r="AS440" t="str">
            <v>Ы</v>
          </cell>
          <cell r="AT440" t="str">
            <v>Ы</v>
          </cell>
          <cell r="AU440">
            <v>0</v>
          </cell>
          <cell r="AV440">
            <v>0</v>
          </cell>
          <cell r="AW440">
            <v>23</v>
          </cell>
          <cell r="AX440">
            <v>1</v>
          </cell>
          <cell r="AY440">
            <v>0</v>
          </cell>
          <cell r="AZ440">
            <v>0</v>
          </cell>
          <cell r="BA440">
            <v>0</v>
          </cell>
          <cell r="BB440">
            <v>0</v>
          </cell>
          <cell r="BC440">
            <v>38828</v>
          </cell>
        </row>
        <row r="441">
          <cell r="A441">
            <v>2006</v>
          </cell>
          <cell r="B441">
            <v>3</v>
          </cell>
          <cell r="C441">
            <v>720</v>
          </cell>
          <cell r="D441">
            <v>21</v>
          </cell>
          <cell r="E441">
            <v>792030</v>
          </cell>
          <cell r="F441">
            <v>0</v>
          </cell>
          <cell r="G441" t="str">
            <v>Затраты по ШПЗ (неосновные)</v>
          </cell>
          <cell r="H441">
            <v>2030</v>
          </cell>
          <cell r="I441">
            <v>7920</v>
          </cell>
          <cell r="J441">
            <v>0.51</v>
          </cell>
          <cell r="K441">
            <v>1</v>
          </cell>
          <cell r="L441">
            <v>0</v>
          </cell>
          <cell r="M441">
            <v>0</v>
          </cell>
          <cell r="N441">
            <v>0</v>
          </cell>
          <cell r="R441">
            <v>0</v>
          </cell>
          <cell r="S441">
            <v>0</v>
          </cell>
          <cell r="T441">
            <v>0</v>
          </cell>
          <cell r="U441">
            <v>32</v>
          </cell>
          <cell r="V441">
            <v>0</v>
          </cell>
          <cell r="W441">
            <v>0</v>
          </cell>
          <cell r="AA441">
            <v>0</v>
          </cell>
          <cell r="AB441">
            <v>0</v>
          </cell>
          <cell r="AC441">
            <v>0</v>
          </cell>
          <cell r="AD441">
            <v>32</v>
          </cell>
          <cell r="AE441">
            <v>505200</v>
          </cell>
          <cell r="AF441">
            <v>0</v>
          </cell>
          <cell r="AI441">
            <v>2282</v>
          </cell>
          <cell r="AK441">
            <v>0</v>
          </cell>
          <cell r="AM441">
            <v>877</v>
          </cell>
          <cell r="AN441">
            <v>1</v>
          </cell>
          <cell r="AO441">
            <v>393216</v>
          </cell>
          <cell r="AQ441">
            <v>0</v>
          </cell>
          <cell r="AR441">
            <v>0</v>
          </cell>
          <cell r="AS441" t="str">
            <v>Ы</v>
          </cell>
          <cell r="AT441" t="str">
            <v>Ы</v>
          </cell>
          <cell r="AU441">
            <v>0</v>
          </cell>
          <cell r="AV441">
            <v>0</v>
          </cell>
          <cell r="AW441">
            <v>23</v>
          </cell>
          <cell r="AX441">
            <v>1</v>
          </cell>
          <cell r="AY441">
            <v>0</v>
          </cell>
          <cell r="AZ441">
            <v>0</v>
          </cell>
          <cell r="BA441">
            <v>0</v>
          </cell>
          <cell r="BB441">
            <v>0</v>
          </cell>
          <cell r="BC441">
            <v>38828</v>
          </cell>
        </row>
        <row r="442">
          <cell r="A442">
            <v>2006</v>
          </cell>
          <cell r="B442">
            <v>3</v>
          </cell>
          <cell r="C442">
            <v>721</v>
          </cell>
          <cell r="D442">
            <v>21</v>
          </cell>
          <cell r="E442">
            <v>792030</v>
          </cell>
          <cell r="F442">
            <v>0</v>
          </cell>
          <cell r="G442" t="str">
            <v>Затраты по ШПЗ (неосновные)</v>
          </cell>
          <cell r="H442">
            <v>2030</v>
          </cell>
          <cell r="I442">
            <v>7920</v>
          </cell>
          <cell r="J442">
            <v>0.76</v>
          </cell>
          <cell r="K442">
            <v>1</v>
          </cell>
          <cell r="L442">
            <v>0</v>
          </cell>
          <cell r="M442">
            <v>0</v>
          </cell>
          <cell r="N442">
            <v>0</v>
          </cell>
          <cell r="R442">
            <v>0</v>
          </cell>
          <cell r="S442">
            <v>0</v>
          </cell>
          <cell r="T442">
            <v>0</v>
          </cell>
          <cell r="U442">
            <v>32</v>
          </cell>
          <cell r="V442">
            <v>0</v>
          </cell>
          <cell r="W442">
            <v>0</v>
          </cell>
          <cell r="AA442">
            <v>0</v>
          </cell>
          <cell r="AB442">
            <v>0</v>
          </cell>
          <cell r="AC442">
            <v>0</v>
          </cell>
          <cell r="AD442">
            <v>32</v>
          </cell>
          <cell r="AE442">
            <v>505300</v>
          </cell>
          <cell r="AF442">
            <v>0</v>
          </cell>
          <cell r="AI442">
            <v>2282</v>
          </cell>
          <cell r="AK442">
            <v>0</v>
          </cell>
          <cell r="AM442">
            <v>878</v>
          </cell>
          <cell r="AN442">
            <v>1</v>
          </cell>
          <cell r="AO442">
            <v>393216</v>
          </cell>
          <cell r="AQ442">
            <v>0</v>
          </cell>
          <cell r="AR442">
            <v>0</v>
          </cell>
          <cell r="AS442" t="str">
            <v>Ы</v>
          </cell>
          <cell r="AT442" t="str">
            <v>Ы</v>
          </cell>
          <cell r="AU442">
            <v>0</v>
          </cell>
          <cell r="AV442">
            <v>0</v>
          </cell>
          <cell r="AW442">
            <v>23</v>
          </cell>
          <cell r="AX442">
            <v>1</v>
          </cell>
          <cell r="AY442">
            <v>0</v>
          </cell>
          <cell r="AZ442">
            <v>0</v>
          </cell>
          <cell r="BA442">
            <v>0</v>
          </cell>
          <cell r="BB442">
            <v>0</v>
          </cell>
          <cell r="BC442">
            <v>38828</v>
          </cell>
        </row>
        <row r="443">
          <cell r="A443">
            <v>2006</v>
          </cell>
          <cell r="B443">
            <v>3</v>
          </cell>
          <cell r="C443">
            <v>722</v>
          </cell>
          <cell r="D443">
            <v>21</v>
          </cell>
          <cell r="E443">
            <v>792030</v>
          </cell>
          <cell r="F443">
            <v>0</v>
          </cell>
          <cell r="G443" t="str">
            <v>Затраты по ШПЗ (неосновные)</v>
          </cell>
          <cell r="H443">
            <v>2030</v>
          </cell>
          <cell r="I443">
            <v>7920</v>
          </cell>
          <cell r="J443">
            <v>38.33</v>
          </cell>
          <cell r="K443">
            <v>1</v>
          </cell>
          <cell r="L443">
            <v>0</v>
          </cell>
          <cell r="M443">
            <v>0</v>
          </cell>
          <cell r="N443">
            <v>0</v>
          </cell>
          <cell r="R443">
            <v>0</v>
          </cell>
          <cell r="S443">
            <v>0</v>
          </cell>
          <cell r="T443">
            <v>0</v>
          </cell>
          <cell r="U443">
            <v>32</v>
          </cell>
          <cell r="V443">
            <v>0</v>
          </cell>
          <cell r="W443">
            <v>0</v>
          </cell>
          <cell r="AA443">
            <v>0</v>
          </cell>
          <cell r="AB443">
            <v>0</v>
          </cell>
          <cell r="AC443">
            <v>0</v>
          </cell>
          <cell r="AD443">
            <v>32</v>
          </cell>
          <cell r="AE443">
            <v>506200</v>
          </cell>
          <cell r="AF443">
            <v>0</v>
          </cell>
          <cell r="AI443">
            <v>2282</v>
          </cell>
          <cell r="AK443">
            <v>0</v>
          </cell>
          <cell r="AM443">
            <v>879</v>
          </cell>
          <cell r="AN443">
            <v>1</v>
          </cell>
          <cell r="AO443">
            <v>393216</v>
          </cell>
          <cell r="AQ443">
            <v>0</v>
          </cell>
          <cell r="AR443">
            <v>0</v>
          </cell>
          <cell r="AS443" t="str">
            <v>Ы</v>
          </cell>
          <cell r="AT443" t="str">
            <v>Ы</v>
          </cell>
          <cell r="AU443">
            <v>0</v>
          </cell>
          <cell r="AV443">
            <v>0</v>
          </cell>
          <cell r="AW443">
            <v>23</v>
          </cell>
          <cell r="AX443">
            <v>1</v>
          </cell>
          <cell r="AY443">
            <v>0</v>
          </cell>
          <cell r="AZ443">
            <v>0</v>
          </cell>
          <cell r="BA443">
            <v>0</v>
          </cell>
          <cell r="BB443">
            <v>0</v>
          </cell>
          <cell r="BC443">
            <v>38828</v>
          </cell>
        </row>
        <row r="444">
          <cell r="A444">
            <v>2006</v>
          </cell>
          <cell r="B444">
            <v>3</v>
          </cell>
          <cell r="C444">
            <v>723</v>
          </cell>
          <cell r="D444">
            <v>21</v>
          </cell>
          <cell r="E444">
            <v>792030</v>
          </cell>
          <cell r="F444">
            <v>0</v>
          </cell>
          <cell r="G444" t="str">
            <v>Затраты по ШПЗ (неосновные)</v>
          </cell>
          <cell r="H444">
            <v>2030</v>
          </cell>
          <cell r="I444">
            <v>7920</v>
          </cell>
          <cell r="J444">
            <v>0.71</v>
          </cell>
          <cell r="K444">
            <v>1</v>
          </cell>
          <cell r="L444">
            <v>0</v>
          </cell>
          <cell r="M444">
            <v>0</v>
          </cell>
          <cell r="N444">
            <v>0</v>
          </cell>
          <cell r="R444">
            <v>0</v>
          </cell>
          <cell r="S444">
            <v>0</v>
          </cell>
          <cell r="T444">
            <v>0</v>
          </cell>
          <cell r="U444">
            <v>32</v>
          </cell>
          <cell r="V444">
            <v>0</v>
          </cell>
          <cell r="W444">
            <v>0</v>
          </cell>
          <cell r="AA444">
            <v>0</v>
          </cell>
          <cell r="AB444">
            <v>0</v>
          </cell>
          <cell r="AC444">
            <v>0</v>
          </cell>
          <cell r="AD444">
            <v>32</v>
          </cell>
          <cell r="AE444">
            <v>508700</v>
          </cell>
          <cell r="AF444">
            <v>0</v>
          </cell>
          <cell r="AI444">
            <v>2282</v>
          </cell>
          <cell r="AK444">
            <v>0</v>
          </cell>
          <cell r="AM444">
            <v>880</v>
          </cell>
          <cell r="AN444">
            <v>1</v>
          </cell>
          <cell r="AO444">
            <v>393216</v>
          </cell>
          <cell r="AQ444">
            <v>0</v>
          </cell>
          <cell r="AR444">
            <v>0</v>
          </cell>
          <cell r="AS444" t="str">
            <v>Ы</v>
          </cell>
          <cell r="AT444" t="str">
            <v>Ы</v>
          </cell>
          <cell r="AU444">
            <v>0</v>
          </cell>
          <cell r="AV444">
            <v>0</v>
          </cell>
          <cell r="AW444">
            <v>23</v>
          </cell>
          <cell r="AX444">
            <v>1</v>
          </cell>
          <cell r="AY444">
            <v>0</v>
          </cell>
          <cell r="AZ444">
            <v>0</v>
          </cell>
          <cell r="BA444">
            <v>0</v>
          </cell>
          <cell r="BB444">
            <v>0</v>
          </cell>
          <cell r="BC444">
            <v>38828</v>
          </cell>
        </row>
        <row r="445">
          <cell r="A445">
            <v>2006</v>
          </cell>
          <cell r="B445">
            <v>3</v>
          </cell>
          <cell r="C445">
            <v>724</v>
          </cell>
          <cell r="D445">
            <v>21</v>
          </cell>
          <cell r="E445">
            <v>792030</v>
          </cell>
          <cell r="F445">
            <v>0</v>
          </cell>
          <cell r="G445" t="str">
            <v>Затраты по ШПЗ (неосновные)</v>
          </cell>
          <cell r="H445">
            <v>2030</v>
          </cell>
          <cell r="I445">
            <v>7920</v>
          </cell>
          <cell r="J445">
            <v>414.29</v>
          </cell>
          <cell r="K445">
            <v>1</v>
          </cell>
          <cell r="L445">
            <v>0</v>
          </cell>
          <cell r="M445">
            <v>0</v>
          </cell>
          <cell r="N445">
            <v>0</v>
          </cell>
          <cell r="R445">
            <v>0</v>
          </cell>
          <cell r="S445">
            <v>0</v>
          </cell>
          <cell r="T445">
            <v>0</v>
          </cell>
          <cell r="U445">
            <v>32</v>
          </cell>
          <cell r="V445">
            <v>0</v>
          </cell>
          <cell r="W445">
            <v>0</v>
          </cell>
          <cell r="AA445">
            <v>0</v>
          </cell>
          <cell r="AB445">
            <v>0</v>
          </cell>
          <cell r="AC445">
            <v>0</v>
          </cell>
          <cell r="AD445">
            <v>32</v>
          </cell>
          <cell r="AE445">
            <v>510100</v>
          </cell>
          <cell r="AF445">
            <v>0</v>
          </cell>
          <cell r="AI445">
            <v>2282</v>
          </cell>
          <cell r="AK445">
            <v>0</v>
          </cell>
          <cell r="AM445">
            <v>881</v>
          </cell>
          <cell r="AN445">
            <v>1</v>
          </cell>
          <cell r="AO445">
            <v>393216</v>
          </cell>
          <cell r="AQ445">
            <v>0</v>
          </cell>
          <cell r="AR445">
            <v>0</v>
          </cell>
          <cell r="AS445" t="str">
            <v>Ы</v>
          </cell>
          <cell r="AT445" t="str">
            <v>Ы</v>
          </cell>
          <cell r="AU445">
            <v>0</v>
          </cell>
          <cell r="AV445">
            <v>0</v>
          </cell>
          <cell r="AW445">
            <v>23</v>
          </cell>
          <cell r="AX445">
            <v>1</v>
          </cell>
          <cell r="AY445">
            <v>0</v>
          </cell>
          <cell r="AZ445">
            <v>0</v>
          </cell>
          <cell r="BA445">
            <v>0</v>
          </cell>
          <cell r="BB445">
            <v>0</v>
          </cell>
          <cell r="BC445">
            <v>38828</v>
          </cell>
        </row>
        <row r="446">
          <cell r="A446">
            <v>2006</v>
          </cell>
          <cell r="B446">
            <v>3</v>
          </cell>
          <cell r="C446">
            <v>725</v>
          </cell>
          <cell r="D446">
            <v>21</v>
          </cell>
          <cell r="E446">
            <v>792030</v>
          </cell>
          <cell r="F446">
            <v>0</v>
          </cell>
          <cell r="G446" t="str">
            <v>Затраты по ШПЗ (неосновные)</v>
          </cell>
          <cell r="H446">
            <v>2030</v>
          </cell>
          <cell r="I446">
            <v>7920</v>
          </cell>
          <cell r="J446">
            <v>0.95</v>
          </cell>
          <cell r="K446">
            <v>1</v>
          </cell>
          <cell r="L446">
            <v>0</v>
          </cell>
          <cell r="M446">
            <v>0</v>
          </cell>
          <cell r="N446">
            <v>0</v>
          </cell>
          <cell r="R446">
            <v>0</v>
          </cell>
          <cell r="S446">
            <v>0</v>
          </cell>
          <cell r="T446">
            <v>0</v>
          </cell>
          <cell r="U446">
            <v>32</v>
          </cell>
          <cell r="V446">
            <v>0</v>
          </cell>
          <cell r="W446">
            <v>0</v>
          </cell>
          <cell r="AA446">
            <v>0</v>
          </cell>
          <cell r="AB446">
            <v>0</v>
          </cell>
          <cell r="AC446">
            <v>0</v>
          </cell>
          <cell r="AD446">
            <v>32</v>
          </cell>
          <cell r="AE446">
            <v>510400</v>
          </cell>
          <cell r="AF446">
            <v>0</v>
          </cell>
          <cell r="AI446">
            <v>2282</v>
          </cell>
          <cell r="AK446">
            <v>0</v>
          </cell>
          <cell r="AM446">
            <v>882</v>
          </cell>
          <cell r="AN446">
            <v>1</v>
          </cell>
          <cell r="AO446">
            <v>393216</v>
          </cell>
          <cell r="AQ446">
            <v>0</v>
          </cell>
          <cell r="AR446">
            <v>0</v>
          </cell>
          <cell r="AS446" t="str">
            <v>Ы</v>
          </cell>
          <cell r="AT446" t="str">
            <v>Ы</v>
          </cell>
          <cell r="AU446">
            <v>0</v>
          </cell>
          <cell r="AV446">
            <v>0</v>
          </cell>
          <cell r="AW446">
            <v>23</v>
          </cell>
          <cell r="AX446">
            <v>1</v>
          </cell>
          <cell r="AY446">
            <v>0</v>
          </cell>
          <cell r="AZ446">
            <v>0</v>
          </cell>
          <cell r="BA446">
            <v>0</v>
          </cell>
          <cell r="BB446">
            <v>0</v>
          </cell>
          <cell r="BC446">
            <v>38828</v>
          </cell>
        </row>
        <row r="447">
          <cell r="A447">
            <v>2006</v>
          </cell>
          <cell r="B447">
            <v>3</v>
          </cell>
          <cell r="C447">
            <v>726</v>
          </cell>
          <cell r="D447">
            <v>21</v>
          </cell>
          <cell r="E447">
            <v>792030</v>
          </cell>
          <cell r="F447">
            <v>0</v>
          </cell>
          <cell r="G447" t="str">
            <v>Затраты по ШПЗ (неосновные)</v>
          </cell>
          <cell r="H447">
            <v>2030</v>
          </cell>
          <cell r="I447">
            <v>7920</v>
          </cell>
          <cell r="J447">
            <v>0.16</v>
          </cell>
          <cell r="K447">
            <v>1</v>
          </cell>
          <cell r="L447">
            <v>0</v>
          </cell>
          <cell r="M447">
            <v>0</v>
          </cell>
          <cell r="N447">
            <v>0</v>
          </cell>
          <cell r="R447">
            <v>0</v>
          </cell>
          <cell r="S447">
            <v>0</v>
          </cell>
          <cell r="T447">
            <v>0</v>
          </cell>
          <cell r="U447">
            <v>32</v>
          </cell>
          <cell r="V447">
            <v>0</v>
          </cell>
          <cell r="W447">
            <v>0</v>
          </cell>
          <cell r="AA447">
            <v>0</v>
          </cell>
          <cell r="AB447">
            <v>0</v>
          </cell>
          <cell r="AC447">
            <v>0</v>
          </cell>
          <cell r="AD447">
            <v>32</v>
          </cell>
          <cell r="AE447">
            <v>510500</v>
          </cell>
          <cell r="AF447">
            <v>0</v>
          </cell>
          <cell r="AI447">
            <v>2282</v>
          </cell>
          <cell r="AK447">
            <v>0</v>
          </cell>
          <cell r="AM447">
            <v>883</v>
          </cell>
          <cell r="AN447">
            <v>1</v>
          </cell>
          <cell r="AO447">
            <v>393216</v>
          </cell>
          <cell r="AQ447">
            <v>0</v>
          </cell>
          <cell r="AR447">
            <v>0</v>
          </cell>
          <cell r="AS447" t="str">
            <v>Ы</v>
          </cell>
          <cell r="AT447" t="str">
            <v>Ы</v>
          </cell>
          <cell r="AU447">
            <v>0</v>
          </cell>
          <cell r="AV447">
            <v>0</v>
          </cell>
          <cell r="AW447">
            <v>23</v>
          </cell>
          <cell r="AX447">
            <v>1</v>
          </cell>
          <cell r="AY447">
            <v>0</v>
          </cell>
          <cell r="AZ447">
            <v>0</v>
          </cell>
          <cell r="BA447">
            <v>0</v>
          </cell>
          <cell r="BB447">
            <v>0</v>
          </cell>
          <cell r="BC447">
            <v>38828</v>
          </cell>
        </row>
        <row r="448">
          <cell r="A448">
            <v>2006</v>
          </cell>
          <cell r="B448">
            <v>3</v>
          </cell>
          <cell r="C448">
            <v>727</v>
          </cell>
          <cell r="D448">
            <v>21</v>
          </cell>
          <cell r="E448">
            <v>792030</v>
          </cell>
          <cell r="F448">
            <v>0</v>
          </cell>
          <cell r="G448" t="str">
            <v>Затраты по ШПЗ (неосновные)</v>
          </cell>
          <cell r="H448">
            <v>2030</v>
          </cell>
          <cell r="I448">
            <v>7920</v>
          </cell>
          <cell r="J448">
            <v>488.76</v>
          </cell>
          <cell r="K448">
            <v>1</v>
          </cell>
          <cell r="L448">
            <v>0</v>
          </cell>
          <cell r="M448">
            <v>0</v>
          </cell>
          <cell r="N448">
            <v>0</v>
          </cell>
          <cell r="R448">
            <v>0</v>
          </cell>
          <cell r="S448">
            <v>0</v>
          </cell>
          <cell r="T448">
            <v>0</v>
          </cell>
          <cell r="U448">
            <v>32</v>
          </cell>
          <cell r="V448">
            <v>0</v>
          </cell>
          <cell r="W448">
            <v>0</v>
          </cell>
          <cell r="AA448">
            <v>0</v>
          </cell>
          <cell r="AB448">
            <v>0</v>
          </cell>
          <cell r="AC448">
            <v>0</v>
          </cell>
          <cell r="AD448">
            <v>32</v>
          </cell>
          <cell r="AE448">
            <v>510600</v>
          </cell>
          <cell r="AF448">
            <v>0</v>
          </cell>
          <cell r="AI448">
            <v>2282</v>
          </cell>
          <cell r="AK448">
            <v>0</v>
          </cell>
          <cell r="AM448">
            <v>884</v>
          </cell>
          <cell r="AN448">
            <v>1</v>
          </cell>
          <cell r="AO448">
            <v>393216</v>
          </cell>
          <cell r="AQ448">
            <v>0</v>
          </cell>
          <cell r="AR448">
            <v>0</v>
          </cell>
          <cell r="AS448" t="str">
            <v>Ы</v>
          </cell>
          <cell r="AT448" t="str">
            <v>Ы</v>
          </cell>
          <cell r="AU448">
            <v>0</v>
          </cell>
          <cell r="AV448">
            <v>0</v>
          </cell>
          <cell r="AW448">
            <v>23</v>
          </cell>
          <cell r="AX448">
            <v>1</v>
          </cell>
          <cell r="AY448">
            <v>0</v>
          </cell>
          <cell r="AZ448">
            <v>0</v>
          </cell>
          <cell r="BA448">
            <v>0</v>
          </cell>
          <cell r="BB448">
            <v>0</v>
          </cell>
          <cell r="BC448">
            <v>38828</v>
          </cell>
        </row>
        <row r="449">
          <cell r="A449">
            <v>2006</v>
          </cell>
          <cell r="B449">
            <v>4</v>
          </cell>
          <cell r="C449">
            <v>63</v>
          </cell>
          <cell r="D449">
            <v>17</v>
          </cell>
          <cell r="E449">
            <v>792030</v>
          </cell>
          <cell r="F449">
            <v>0</v>
          </cell>
          <cell r="G449" t="str">
            <v>Затраты по ШПЗ (неосновные)</v>
          </cell>
          <cell r="H449">
            <v>2030</v>
          </cell>
          <cell r="I449">
            <v>7920</v>
          </cell>
          <cell r="J449">
            <v>11592</v>
          </cell>
          <cell r="K449">
            <v>1</v>
          </cell>
          <cell r="L449">
            <v>0</v>
          </cell>
          <cell r="M449">
            <v>0</v>
          </cell>
          <cell r="N449">
            <v>0</v>
          </cell>
          <cell r="R449">
            <v>0</v>
          </cell>
          <cell r="S449">
            <v>0</v>
          </cell>
          <cell r="T449">
            <v>0</v>
          </cell>
          <cell r="U449">
            <v>33</v>
          </cell>
          <cell r="V449">
            <v>0</v>
          </cell>
          <cell r="W449">
            <v>0</v>
          </cell>
          <cell r="AA449">
            <v>0</v>
          </cell>
          <cell r="AB449">
            <v>0</v>
          </cell>
          <cell r="AC449">
            <v>0</v>
          </cell>
          <cell r="AD449">
            <v>33</v>
          </cell>
          <cell r="AE449">
            <v>143000</v>
          </cell>
          <cell r="AF449">
            <v>0</v>
          </cell>
          <cell r="AI449">
            <v>2312</v>
          </cell>
          <cell r="AK449">
            <v>0</v>
          </cell>
          <cell r="AM449">
            <v>209</v>
          </cell>
          <cell r="AN449">
            <v>1</v>
          </cell>
          <cell r="AO449">
            <v>393216</v>
          </cell>
          <cell r="AQ449">
            <v>0</v>
          </cell>
          <cell r="AR449">
            <v>0</v>
          </cell>
          <cell r="AS449" t="str">
            <v>Ы</v>
          </cell>
          <cell r="AT449" t="str">
            <v>Ы</v>
          </cell>
          <cell r="AU449">
            <v>0</v>
          </cell>
          <cell r="AV449">
            <v>0</v>
          </cell>
          <cell r="AW449">
            <v>23</v>
          </cell>
          <cell r="AX449">
            <v>1</v>
          </cell>
          <cell r="AY449">
            <v>0</v>
          </cell>
          <cell r="AZ449">
            <v>0</v>
          </cell>
          <cell r="BA449">
            <v>0</v>
          </cell>
          <cell r="BB449">
            <v>0</v>
          </cell>
          <cell r="BC449">
            <v>38856</v>
          </cell>
        </row>
        <row r="450">
          <cell r="A450">
            <v>2006</v>
          </cell>
          <cell r="B450">
            <v>4</v>
          </cell>
          <cell r="C450">
            <v>64</v>
          </cell>
          <cell r="D450">
            <v>17</v>
          </cell>
          <cell r="E450">
            <v>792030</v>
          </cell>
          <cell r="F450">
            <v>0</v>
          </cell>
          <cell r="G450" t="str">
            <v>Затраты по ШПЗ (неосновные)</v>
          </cell>
          <cell r="H450">
            <v>2030</v>
          </cell>
          <cell r="I450">
            <v>7920</v>
          </cell>
          <cell r="J450">
            <v>340</v>
          </cell>
          <cell r="K450">
            <v>1</v>
          </cell>
          <cell r="L450">
            <v>0</v>
          </cell>
          <cell r="M450">
            <v>0</v>
          </cell>
          <cell r="N450">
            <v>0</v>
          </cell>
          <cell r="R450">
            <v>0</v>
          </cell>
          <cell r="S450">
            <v>0</v>
          </cell>
          <cell r="T450">
            <v>0</v>
          </cell>
          <cell r="U450">
            <v>33</v>
          </cell>
          <cell r="V450">
            <v>0</v>
          </cell>
          <cell r="W450">
            <v>0</v>
          </cell>
          <cell r="AA450">
            <v>0</v>
          </cell>
          <cell r="AB450">
            <v>0</v>
          </cell>
          <cell r="AC450">
            <v>0</v>
          </cell>
          <cell r="AD450">
            <v>33</v>
          </cell>
          <cell r="AE450">
            <v>503000</v>
          </cell>
          <cell r="AF450">
            <v>0</v>
          </cell>
          <cell r="AI450">
            <v>2312</v>
          </cell>
          <cell r="AK450">
            <v>0</v>
          </cell>
          <cell r="AM450">
            <v>210</v>
          </cell>
          <cell r="AN450">
            <v>1</v>
          </cell>
          <cell r="AO450">
            <v>393216</v>
          </cell>
          <cell r="AQ450">
            <v>0</v>
          </cell>
          <cell r="AR450">
            <v>0</v>
          </cell>
          <cell r="AS450" t="str">
            <v>Ы</v>
          </cell>
          <cell r="AT450" t="str">
            <v>Ы</v>
          </cell>
          <cell r="AU450">
            <v>0</v>
          </cell>
          <cell r="AV450">
            <v>0</v>
          </cell>
          <cell r="AW450">
            <v>23</v>
          </cell>
          <cell r="AX450">
            <v>1</v>
          </cell>
          <cell r="AY450">
            <v>0</v>
          </cell>
          <cell r="AZ450">
            <v>0</v>
          </cell>
          <cell r="BA450">
            <v>0</v>
          </cell>
          <cell r="BB450">
            <v>0</v>
          </cell>
          <cell r="BC450">
            <v>38856</v>
          </cell>
        </row>
        <row r="451">
          <cell r="A451">
            <v>2006</v>
          </cell>
          <cell r="B451">
            <v>4</v>
          </cell>
          <cell r="C451">
            <v>65</v>
          </cell>
          <cell r="D451">
            <v>17</v>
          </cell>
          <cell r="E451">
            <v>792030</v>
          </cell>
          <cell r="F451">
            <v>0</v>
          </cell>
          <cell r="G451" t="str">
            <v>Затраты по ШПЗ (неосновные)</v>
          </cell>
          <cell r="H451">
            <v>2030</v>
          </cell>
          <cell r="I451">
            <v>7920</v>
          </cell>
          <cell r="J451">
            <v>920</v>
          </cell>
          <cell r="K451">
            <v>1</v>
          </cell>
          <cell r="L451">
            <v>0</v>
          </cell>
          <cell r="M451">
            <v>0</v>
          </cell>
          <cell r="N451">
            <v>0</v>
          </cell>
          <cell r="R451">
            <v>0</v>
          </cell>
          <cell r="S451">
            <v>0</v>
          </cell>
          <cell r="T451">
            <v>0</v>
          </cell>
          <cell r="U451">
            <v>33</v>
          </cell>
          <cell r="V451">
            <v>0</v>
          </cell>
          <cell r="W451">
            <v>0</v>
          </cell>
          <cell r="AA451">
            <v>0</v>
          </cell>
          <cell r="AB451">
            <v>0</v>
          </cell>
          <cell r="AC451">
            <v>0</v>
          </cell>
          <cell r="AD451">
            <v>33</v>
          </cell>
          <cell r="AE451">
            <v>510100</v>
          </cell>
          <cell r="AF451">
            <v>0</v>
          </cell>
          <cell r="AI451">
            <v>2312</v>
          </cell>
          <cell r="AK451">
            <v>0</v>
          </cell>
          <cell r="AM451">
            <v>211</v>
          </cell>
          <cell r="AN451">
            <v>1</v>
          </cell>
          <cell r="AO451">
            <v>393216</v>
          </cell>
          <cell r="AQ451">
            <v>0</v>
          </cell>
          <cell r="AR451">
            <v>0</v>
          </cell>
          <cell r="AS451" t="str">
            <v>Ы</v>
          </cell>
          <cell r="AT451" t="str">
            <v>Ы</v>
          </cell>
          <cell r="AU451">
            <v>0</v>
          </cell>
          <cell r="AV451">
            <v>0</v>
          </cell>
          <cell r="AW451">
            <v>23</v>
          </cell>
          <cell r="AX451">
            <v>1</v>
          </cell>
          <cell r="AY451">
            <v>0</v>
          </cell>
          <cell r="AZ451">
            <v>0</v>
          </cell>
          <cell r="BA451">
            <v>0</v>
          </cell>
          <cell r="BB451">
            <v>0</v>
          </cell>
          <cell r="BC451">
            <v>38856</v>
          </cell>
        </row>
        <row r="452">
          <cell r="A452">
            <v>2006</v>
          </cell>
          <cell r="B452">
            <v>4</v>
          </cell>
          <cell r="C452">
            <v>124</v>
          </cell>
          <cell r="D452">
            <v>17</v>
          </cell>
          <cell r="E452">
            <v>792030</v>
          </cell>
          <cell r="F452">
            <v>0</v>
          </cell>
          <cell r="G452" t="str">
            <v>Затраты по ШПЗ (неосновные)</v>
          </cell>
          <cell r="H452">
            <v>2030</v>
          </cell>
          <cell r="I452">
            <v>7920</v>
          </cell>
          <cell r="J452">
            <v>59.64</v>
          </cell>
          <cell r="K452">
            <v>1</v>
          </cell>
          <cell r="L452">
            <v>0</v>
          </cell>
          <cell r="M452">
            <v>0</v>
          </cell>
          <cell r="N452">
            <v>0</v>
          </cell>
          <cell r="R452">
            <v>0</v>
          </cell>
          <cell r="S452">
            <v>0</v>
          </cell>
          <cell r="T452">
            <v>0</v>
          </cell>
          <cell r="U452">
            <v>32</v>
          </cell>
          <cell r="V452">
            <v>0</v>
          </cell>
          <cell r="W452">
            <v>0</v>
          </cell>
          <cell r="AA452">
            <v>0</v>
          </cell>
          <cell r="AB452">
            <v>0</v>
          </cell>
          <cell r="AC452">
            <v>0</v>
          </cell>
          <cell r="AD452">
            <v>32</v>
          </cell>
          <cell r="AE452">
            <v>110000</v>
          </cell>
          <cell r="AF452">
            <v>0</v>
          </cell>
          <cell r="AI452">
            <v>2312</v>
          </cell>
          <cell r="AK452">
            <v>0</v>
          </cell>
          <cell r="AM452">
            <v>270</v>
          </cell>
          <cell r="AN452">
            <v>1</v>
          </cell>
          <cell r="AO452">
            <v>393216</v>
          </cell>
          <cell r="AQ452">
            <v>0</v>
          </cell>
          <cell r="AR452">
            <v>0</v>
          </cell>
          <cell r="AS452" t="str">
            <v>Ы</v>
          </cell>
          <cell r="AT452" t="str">
            <v>Ы</v>
          </cell>
          <cell r="AU452">
            <v>0</v>
          </cell>
          <cell r="AV452">
            <v>0</v>
          </cell>
          <cell r="AW452">
            <v>23</v>
          </cell>
          <cell r="AX452">
            <v>1</v>
          </cell>
          <cell r="AY452">
            <v>0</v>
          </cell>
          <cell r="AZ452">
            <v>0</v>
          </cell>
          <cell r="BA452">
            <v>0</v>
          </cell>
          <cell r="BB452">
            <v>0</v>
          </cell>
          <cell r="BC452">
            <v>38856</v>
          </cell>
        </row>
        <row r="453">
          <cell r="A453">
            <v>2006</v>
          </cell>
          <cell r="B453">
            <v>4</v>
          </cell>
          <cell r="C453">
            <v>125</v>
          </cell>
          <cell r="D453">
            <v>17</v>
          </cell>
          <cell r="E453">
            <v>792030</v>
          </cell>
          <cell r="F453">
            <v>0</v>
          </cell>
          <cell r="G453" t="str">
            <v>Затраты по ШПЗ (неосновные)</v>
          </cell>
          <cell r="H453">
            <v>2030</v>
          </cell>
          <cell r="I453">
            <v>7920</v>
          </cell>
          <cell r="J453">
            <v>1.64</v>
          </cell>
          <cell r="K453">
            <v>1</v>
          </cell>
          <cell r="L453">
            <v>0</v>
          </cell>
          <cell r="M453">
            <v>0</v>
          </cell>
          <cell r="N453">
            <v>0</v>
          </cell>
          <cell r="R453">
            <v>0</v>
          </cell>
          <cell r="S453">
            <v>0</v>
          </cell>
          <cell r="T453">
            <v>0</v>
          </cell>
          <cell r="U453">
            <v>32</v>
          </cell>
          <cell r="V453">
            <v>0</v>
          </cell>
          <cell r="W453">
            <v>0</v>
          </cell>
          <cell r="AA453">
            <v>0</v>
          </cell>
          <cell r="AB453">
            <v>0</v>
          </cell>
          <cell r="AC453">
            <v>0</v>
          </cell>
          <cell r="AD453">
            <v>32</v>
          </cell>
          <cell r="AE453">
            <v>114020</v>
          </cell>
          <cell r="AF453">
            <v>0</v>
          </cell>
          <cell r="AI453">
            <v>2312</v>
          </cell>
          <cell r="AK453">
            <v>0</v>
          </cell>
          <cell r="AM453">
            <v>271</v>
          </cell>
          <cell r="AN453">
            <v>1</v>
          </cell>
          <cell r="AO453">
            <v>393216</v>
          </cell>
          <cell r="AQ453">
            <v>0</v>
          </cell>
          <cell r="AR453">
            <v>0</v>
          </cell>
          <cell r="AS453" t="str">
            <v>Ы</v>
          </cell>
          <cell r="AT453" t="str">
            <v>Ы</v>
          </cell>
          <cell r="AU453">
            <v>0</v>
          </cell>
          <cell r="AV453">
            <v>0</v>
          </cell>
          <cell r="AW453">
            <v>23</v>
          </cell>
          <cell r="AX453">
            <v>1</v>
          </cell>
          <cell r="AY453">
            <v>0</v>
          </cell>
          <cell r="AZ453">
            <v>0</v>
          </cell>
          <cell r="BA453">
            <v>0</v>
          </cell>
          <cell r="BB453">
            <v>0</v>
          </cell>
          <cell r="BC453">
            <v>38856</v>
          </cell>
        </row>
        <row r="454">
          <cell r="A454">
            <v>2006</v>
          </cell>
          <cell r="B454">
            <v>4</v>
          </cell>
          <cell r="C454">
            <v>126</v>
          </cell>
          <cell r="D454">
            <v>17</v>
          </cell>
          <cell r="E454">
            <v>792030</v>
          </cell>
          <cell r="F454">
            <v>0</v>
          </cell>
          <cell r="G454" t="str">
            <v>Затраты по ШПЗ (неосновные)</v>
          </cell>
          <cell r="H454">
            <v>2030</v>
          </cell>
          <cell r="I454">
            <v>7920</v>
          </cell>
          <cell r="J454">
            <v>7.56</v>
          </cell>
          <cell r="K454">
            <v>1</v>
          </cell>
          <cell r="L454">
            <v>0</v>
          </cell>
          <cell r="M454">
            <v>0</v>
          </cell>
          <cell r="N454">
            <v>0</v>
          </cell>
          <cell r="R454">
            <v>0</v>
          </cell>
          <cell r="S454">
            <v>0</v>
          </cell>
          <cell r="T454">
            <v>0</v>
          </cell>
          <cell r="U454">
            <v>32</v>
          </cell>
          <cell r="V454">
            <v>0</v>
          </cell>
          <cell r="W454">
            <v>0</v>
          </cell>
          <cell r="AA454">
            <v>0</v>
          </cell>
          <cell r="AB454">
            <v>0</v>
          </cell>
          <cell r="AC454">
            <v>0</v>
          </cell>
          <cell r="AD454">
            <v>32</v>
          </cell>
          <cell r="AE454">
            <v>117000</v>
          </cell>
          <cell r="AF454">
            <v>0</v>
          </cell>
          <cell r="AI454">
            <v>2312</v>
          </cell>
          <cell r="AK454">
            <v>0</v>
          </cell>
          <cell r="AM454">
            <v>272</v>
          </cell>
          <cell r="AN454">
            <v>1</v>
          </cell>
          <cell r="AO454">
            <v>393216</v>
          </cell>
          <cell r="AQ454">
            <v>0</v>
          </cell>
          <cell r="AR454">
            <v>0</v>
          </cell>
          <cell r="AS454" t="str">
            <v>Ы</v>
          </cell>
          <cell r="AT454" t="str">
            <v>Ы</v>
          </cell>
          <cell r="AU454">
            <v>0</v>
          </cell>
          <cell r="AV454">
            <v>0</v>
          </cell>
          <cell r="AW454">
            <v>23</v>
          </cell>
          <cell r="AX454">
            <v>1</v>
          </cell>
          <cell r="AY454">
            <v>0</v>
          </cell>
          <cell r="AZ454">
            <v>0</v>
          </cell>
          <cell r="BA454">
            <v>0</v>
          </cell>
          <cell r="BB454">
            <v>0</v>
          </cell>
          <cell r="BC454">
            <v>38856</v>
          </cell>
        </row>
        <row r="455">
          <cell r="A455">
            <v>2006</v>
          </cell>
          <cell r="B455">
            <v>4</v>
          </cell>
          <cell r="C455">
            <v>127</v>
          </cell>
          <cell r="D455">
            <v>17</v>
          </cell>
          <cell r="E455">
            <v>792030</v>
          </cell>
          <cell r="F455">
            <v>0</v>
          </cell>
          <cell r="G455" t="str">
            <v>Затраты по ШПЗ (неосновные)</v>
          </cell>
          <cell r="H455">
            <v>2030</v>
          </cell>
          <cell r="I455">
            <v>7920</v>
          </cell>
          <cell r="J455">
            <v>0.37</v>
          </cell>
          <cell r="K455">
            <v>1</v>
          </cell>
          <cell r="L455">
            <v>0</v>
          </cell>
          <cell r="M455">
            <v>0</v>
          </cell>
          <cell r="N455">
            <v>0</v>
          </cell>
          <cell r="R455">
            <v>0</v>
          </cell>
          <cell r="S455">
            <v>0</v>
          </cell>
          <cell r="T455">
            <v>0</v>
          </cell>
          <cell r="U455">
            <v>32</v>
          </cell>
          <cell r="V455">
            <v>0</v>
          </cell>
          <cell r="W455">
            <v>0</v>
          </cell>
          <cell r="AA455">
            <v>0</v>
          </cell>
          <cell r="AB455">
            <v>0</v>
          </cell>
          <cell r="AC455">
            <v>0</v>
          </cell>
          <cell r="AD455">
            <v>32</v>
          </cell>
          <cell r="AE455">
            <v>130000</v>
          </cell>
          <cell r="AF455">
            <v>0</v>
          </cell>
          <cell r="AI455">
            <v>2312</v>
          </cell>
          <cell r="AK455">
            <v>0</v>
          </cell>
          <cell r="AM455">
            <v>273</v>
          </cell>
          <cell r="AN455">
            <v>1</v>
          </cell>
          <cell r="AO455">
            <v>393216</v>
          </cell>
          <cell r="AQ455">
            <v>0</v>
          </cell>
          <cell r="AR455">
            <v>0</v>
          </cell>
          <cell r="AS455" t="str">
            <v>Ы</v>
          </cell>
          <cell r="AT455" t="str">
            <v>Ы</v>
          </cell>
          <cell r="AU455">
            <v>0</v>
          </cell>
          <cell r="AV455">
            <v>0</v>
          </cell>
          <cell r="AW455">
            <v>23</v>
          </cell>
          <cell r="AX455">
            <v>1</v>
          </cell>
          <cell r="AY455">
            <v>0</v>
          </cell>
          <cell r="AZ455">
            <v>0</v>
          </cell>
          <cell r="BA455">
            <v>0</v>
          </cell>
          <cell r="BB455">
            <v>0</v>
          </cell>
          <cell r="BC455">
            <v>38856</v>
          </cell>
        </row>
        <row r="456">
          <cell r="A456">
            <v>2006</v>
          </cell>
          <cell r="B456">
            <v>4</v>
          </cell>
          <cell r="C456">
            <v>128</v>
          </cell>
          <cell r="D456">
            <v>17</v>
          </cell>
          <cell r="E456">
            <v>792030</v>
          </cell>
          <cell r="F456">
            <v>0</v>
          </cell>
          <cell r="G456" t="str">
            <v>Затраты по ШПЗ (неосновные)</v>
          </cell>
          <cell r="H456">
            <v>2030</v>
          </cell>
          <cell r="I456">
            <v>7920</v>
          </cell>
          <cell r="J456">
            <v>0.91</v>
          </cell>
          <cell r="K456">
            <v>1</v>
          </cell>
          <cell r="L456">
            <v>0</v>
          </cell>
          <cell r="M456">
            <v>0</v>
          </cell>
          <cell r="N456">
            <v>0</v>
          </cell>
          <cell r="R456">
            <v>0</v>
          </cell>
          <cell r="S456">
            <v>0</v>
          </cell>
          <cell r="T456">
            <v>0</v>
          </cell>
          <cell r="U456">
            <v>32</v>
          </cell>
          <cell r="V456">
            <v>0</v>
          </cell>
          <cell r="W456">
            <v>0</v>
          </cell>
          <cell r="AA456">
            <v>0</v>
          </cell>
          <cell r="AB456">
            <v>0</v>
          </cell>
          <cell r="AC456">
            <v>0</v>
          </cell>
          <cell r="AD456">
            <v>32</v>
          </cell>
          <cell r="AE456">
            <v>131000</v>
          </cell>
          <cell r="AF456">
            <v>0</v>
          </cell>
          <cell r="AI456">
            <v>2312</v>
          </cell>
          <cell r="AK456">
            <v>0</v>
          </cell>
          <cell r="AM456">
            <v>274</v>
          </cell>
          <cell r="AN456">
            <v>1</v>
          </cell>
          <cell r="AO456">
            <v>393216</v>
          </cell>
          <cell r="AQ456">
            <v>0</v>
          </cell>
          <cell r="AR456">
            <v>0</v>
          </cell>
          <cell r="AS456" t="str">
            <v>Ы</v>
          </cell>
          <cell r="AT456" t="str">
            <v>Ы</v>
          </cell>
          <cell r="AU456">
            <v>0</v>
          </cell>
          <cell r="AV456">
            <v>0</v>
          </cell>
          <cell r="AW456">
            <v>23</v>
          </cell>
          <cell r="AX456">
            <v>1</v>
          </cell>
          <cell r="AY456">
            <v>0</v>
          </cell>
          <cell r="AZ456">
            <v>0</v>
          </cell>
          <cell r="BA456">
            <v>0</v>
          </cell>
          <cell r="BB456">
            <v>0</v>
          </cell>
          <cell r="BC456">
            <v>38856</v>
          </cell>
        </row>
        <row r="457">
          <cell r="A457">
            <v>2006</v>
          </cell>
          <cell r="B457">
            <v>4</v>
          </cell>
          <cell r="C457">
            <v>129</v>
          </cell>
          <cell r="D457">
            <v>17</v>
          </cell>
          <cell r="E457">
            <v>792030</v>
          </cell>
          <cell r="F457">
            <v>0</v>
          </cell>
          <cell r="G457" t="str">
            <v>Затраты по ШПЗ (неосновные)</v>
          </cell>
          <cell r="H457">
            <v>2030</v>
          </cell>
          <cell r="I457">
            <v>7920</v>
          </cell>
          <cell r="J457">
            <v>3.32</v>
          </cell>
          <cell r="K457">
            <v>1</v>
          </cell>
          <cell r="L457">
            <v>0</v>
          </cell>
          <cell r="M457">
            <v>0</v>
          </cell>
          <cell r="N457">
            <v>0</v>
          </cell>
          <cell r="R457">
            <v>0</v>
          </cell>
          <cell r="S457">
            <v>0</v>
          </cell>
          <cell r="T457">
            <v>0</v>
          </cell>
          <cell r="U457">
            <v>32</v>
          </cell>
          <cell r="V457">
            <v>0</v>
          </cell>
          <cell r="W457">
            <v>0</v>
          </cell>
          <cell r="AA457">
            <v>0</v>
          </cell>
          <cell r="AB457">
            <v>0</v>
          </cell>
          <cell r="AC457">
            <v>0</v>
          </cell>
          <cell r="AD457">
            <v>32</v>
          </cell>
          <cell r="AE457">
            <v>132000</v>
          </cell>
          <cell r="AF457">
            <v>0</v>
          </cell>
          <cell r="AI457">
            <v>2312</v>
          </cell>
          <cell r="AK457">
            <v>0</v>
          </cell>
          <cell r="AM457">
            <v>275</v>
          </cell>
          <cell r="AN457">
            <v>1</v>
          </cell>
          <cell r="AO457">
            <v>393216</v>
          </cell>
          <cell r="AQ457">
            <v>0</v>
          </cell>
          <cell r="AR457">
            <v>0</v>
          </cell>
          <cell r="AS457" t="str">
            <v>Ы</v>
          </cell>
          <cell r="AT457" t="str">
            <v>Ы</v>
          </cell>
          <cell r="AU457">
            <v>0</v>
          </cell>
          <cell r="AV457">
            <v>0</v>
          </cell>
          <cell r="AW457">
            <v>23</v>
          </cell>
          <cell r="AX457">
            <v>1</v>
          </cell>
          <cell r="AY457">
            <v>0</v>
          </cell>
          <cell r="AZ457">
            <v>0</v>
          </cell>
          <cell r="BA457">
            <v>0</v>
          </cell>
          <cell r="BB457">
            <v>0</v>
          </cell>
          <cell r="BC457">
            <v>38856</v>
          </cell>
        </row>
        <row r="458">
          <cell r="A458">
            <v>2006</v>
          </cell>
          <cell r="B458">
            <v>4</v>
          </cell>
          <cell r="C458">
            <v>130</v>
          </cell>
          <cell r="D458">
            <v>17</v>
          </cell>
          <cell r="E458">
            <v>792030</v>
          </cell>
          <cell r="F458">
            <v>0</v>
          </cell>
          <cell r="G458" t="str">
            <v>Затраты по ШПЗ (неосновные)</v>
          </cell>
          <cell r="H458">
            <v>2030</v>
          </cell>
          <cell r="I458">
            <v>7920</v>
          </cell>
          <cell r="J458">
            <v>15.86</v>
          </cell>
          <cell r="K458">
            <v>1</v>
          </cell>
          <cell r="L458">
            <v>0</v>
          </cell>
          <cell r="M458">
            <v>0</v>
          </cell>
          <cell r="N458">
            <v>0</v>
          </cell>
          <cell r="R458">
            <v>0</v>
          </cell>
          <cell r="S458">
            <v>0</v>
          </cell>
          <cell r="T458">
            <v>0</v>
          </cell>
          <cell r="U458">
            <v>32</v>
          </cell>
          <cell r="V458">
            <v>0</v>
          </cell>
          <cell r="W458">
            <v>0</v>
          </cell>
          <cell r="AA458">
            <v>0</v>
          </cell>
          <cell r="AB458">
            <v>0</v>
          </cell>
          <cell r="AC458">
            <v>0</v>
          </cell>
          <cell r="AD458">
            <v>32</v>
          </cell>
          <cell r="AE458">
            <v>135000</v>
          </cell>
          <cell r="AF458">
            <v>0</v>
          </cell>
          <cell r="AI458">
            <v>2312</v>
          </cell>
          <cell r="AK458">
            <v>0</v>
          </cell>
          <cell r="AM458">
            <v>276</v>
          </cell>
          <cell r="AN458">
            <v>1</v>
          </cell>
          <cell r="AO458">
            <v>393216</v>
          </cell>
          <cell r="AQ458">
            <v>0</v>
          </cell>
          <cell r="AR458">
            <v>0</v>
          </cell>
          <cell r="AS458" t="str">
            <v>Ы</v>
          </cell>
          <cell r="AT458" t="str">
            <v>Ы</v>
          </cell>
          <cell r="AU458">
            <v>0</v>
          </cell>
          <cell r="AV458">
            <v>0</v>
          </cell>
          <cell r="AW458">
            <v>23</v>
          </cell>
          <cell r="AX458">
            <v>1</v>
          </cell>
          <cell r="AY458">
            <v>0</v>
          </cell>
          <cell r="AZ458">
            <v>0</v>
          </cell>
          <cell r="BA458">
            <v>0</v>
          </cell>
          <cell r="BB458">
            <v>0</v>
          </cell>
          <cell r="BC458">
            <v>38856</v>
          </cell>
        </row>
        <row r="459">
          <cell r="A459">
            <v>2006</v>
          </cell>
          <cell r="B459">
            <v>4</v>
          </cell>
          <cell r="C459">
            <v>131</v>
          </cell>
          <cell r="D459">
            <v>17</v>
          </cell>
          <cell r="E459">
            <v>792030</v>
          </cell>
          <cell r="F459">
            <v>0</v>
          </cell>
          <cell r="G459" t="str">
            <v>Затраты по ШПЗ (неосновные)</v>
          </cell>
          <cell r="H459">
            <v>2030</v>
          </cell>
          <cell r="I459">
            <v>7920</v>
          </cell>
          <cell r="J459">
            <v>39468.949999999997</v>
          </cell>
          <cell r="K459">
            <v>1</v>
          </cell>
          <cell r="L459">
            <v>0</v>
          </cell>
          <cell r="M459">
            <v>0</v>
          </cell>
          <cell r="N459">
            <v>0</v>
          </cell>
          <cell r="R459">
            <v>0</v>
          </cell>
          <cell r="S459">
            <v>0</v>
          </cell>
          <cell r="T459">
            <v>0</v>
          </cell>
          <cell r="U459">
            <v>32</v>
          </cell>
          <cell r="V459">
            <v>0</v>
          </cell>
          <cell r="W459">
            <v>0</v>
          </cell>
          <cell r="AA459">
            <v>0</v>
          </cell>
          <cell r="AB459">
            <v>0</v>
          </cell>
          <cell r="AC459">
            <v>0</v>
          </cell>
          <cell r="AD459">
            <v>32</v>
          </cell>
          <cell r="AE459">
            <v>143000</v>
          </cell>
          <cell r="AF459">
            <v>0</v>
          </cell>
          <cell r="AI459">
            <v>2312</v>
          </cell>
          <cell r="AK459">
            <v>0</v>
          </cell>
          <cell r="AM459">
            <v>277</v>
          </cell>
          <cell r="AN459">
            <v>1</v>
          </cell>
          <cell r="AO459">
            <v>393216</v>
          </cell>
          <cell r="AQ459">
            <v>0</v>
          </cell>
          <cell r="AR459">
            <v>0</v>
          </cell>
          <cell r="AS459" t="str">
            <v>Ы</v>
          </cell>
          <cell r="AT459" t="str">
            <v>Ы</v>
          </cell>
          <cell r="AU459">
            <v>0</v>
          </cell>
          <cell r="AV459">
            <v>0</v>
          </cell>
          <cell r="AW459">
            <v>23</v>
          </cell>
          <cell r="AX459">
            <v>1</v>
          </cell>
          <cell r="AY459">
            <v>0</v>
          </cell>
          <cell r="AZ459">
            <v>0</v>
          </cell>
          <cell r="BA459">
            <v>0</v>
          </cell>
          <cell r="BB459">
            <v>0</v>
          </cell>
          <cell r="BC459">
            <v>38856</v>
          </cell>
        </row>
        <row r="460">
          <cell r="A460">
            <v>2006</v>
          </cell>
          <cell r="B460">
            <v>4</v>
          </cell>
          <cell r="C460">
            <v>132</v>
          </cell>
          <cell r="D460">
            <v>17</v>
          </cell>
          <cell r="E460">
            <v>792030</v>
          </cell>
          <cell r="F460">
            <v>0</v>
          </cell>
          <cell r="G460" t="str">
            <v>Затраты по ШПЗ (неосновные)</v>
          </cell>
          <cell r="H460">
            <v>2030</v>
          </cell>
          <cell r="I460">
            <v>7920</v>
          </cell>
          <cell r="J460">
            <v>0.31</v>
          </cell>
          <cell r="K460">
            <v>1</v>
          </cell>
          <cell r="L460">
            <v>0</v>
          </cell>
          <cell r="M460">
            <v>0</v>
          </cell>
          <cell r="N460">
            <v>0</v>
          </cell>
          <cell r="R460">
            <v>0</v>
          </cell>
          <cell r="S460">
            <v>0</v>
          </cell>
          <cell r="T460">
            <v>0</v>
          </cell>
          <cell r="U460">
            <v>32</v>
          </cell>
          <cell r="V460">
            <v>0</v>
          </cell>
          <cell r="W460">
            <v>0</v>
          </cell>
          <cell r="AA460">
            <v>0</v>
          </cell>
          <cell r="AB460">
            <v>0</v>
          </cell>
          <cell r="AC460">
            <v>0</v>
          </cell>
          <cell r="AD460">
            <v>32</v>
          </cell>
          <cell r="AE460">
            <v>410000</v>
          </cell>
          <cell r="AF460">
            <v>0</v>
          </cell>
          <cell r="AI460">
            <v>2312</v>
          </cell>
          <cell r="AK460">
            <v>0</v>
          </cell>
          <cell r="AM460">
            <v>278</v>
          </cell>
          <cell r="AN460">
            <v>1</v>
          </cell>
          <cell r="AO460">
            <v>393216</v>
          </cell>
          <cell r="AQ460">
            <v>0</v>
          </cell>
          <cell r="AR460">
            <v>0</v>
          </cell>
          <cell r="AS460" t="str">
            <v>Ы</v>
          </cell>
          <cell r="AT460" t="str">
            <v>Ы</v>
          </cell>
          <cell r="AU460">
            <v>0</v>
          </cell>
          <cell r="AV460">
            <v>0</v>
          </cell>
          <cell r="AW460">
            <v>23</v>
          </cell>
          <cell r="AX460">
            <v>1</v>
          </cell>
          <cell r="AY460">
            <v>0</v>
          </cell>
          <cell r="AZ460">
            <v>0</v>
          </cell>
          <cell r="BA460">
            <v>0</v>
          </cell>
          <cell r="BB460">
            <v>0</v>
          </cell>
          <cell r="BC460">
            <v>38856</v>
          </cell>
        </row>
        <row r="461">
          <cell r="A461">
            <v>2006</v>
          </cell>
          <cell r="B461">
            <v>4</v>
          </cell>
          <cell r="C461">
            <v>133</v>
          </cell>
          <cell r="D461">
            <v>17</v>
          </cell>
          <cell r="E461">
            <v>792030</v>
          </cell>
          <cell r="F461">
            <v>0</v>
          </cell>
          <cell r="G461" t="str">
            <v>Затраты по ШПЗ (неосновные)</v>
          </cell>
          <cell r="H461">
            <v>2030</v>
          </cell>
          <cell r="I461">
            <v>7920</v>
          </cell>
          <cell r="J461">
            <v>368.27</v>
          </cell>
          <cell r="K461">
            <v>1</v>
          </cell>
          <cell r="L461">
            <v>0</v>
          </cell>
          <cell r="M461">
            <v>0</v>
          </cell>
          <cell r="N461">
            <v>0</v>
          </cell>
          <cell r="R461">
            <v>0</v>
          </cell>
          <cell r="S461">
            <v>0</v>
          </cell>
          <cell r="T461">
            <v>0</v>
          </cell>
          <cell r="U461">
            <v>32</v>
          </cell>
          <cell r="V461">
            <v>0</v>
          </cell>
          <cell r="W461">
            <v>0</v>
          </cell>
          <cell r="AA461">
            <v>0</v>
          </cell>
          <cell r="AB461">
            <v>0</v>
          </cell>
          <cell r="AC461">
            <v>0</v>
          </cell>
          <cell r="AD461">
            <v>32</v>
          </cell>
          <cell r="AE461">
            <v>420000</v>
          </cell>
          <cell r="AF461">
            <v>0</v>
          </cell>
          <cell r="AI461">
            <v>2312</v>
          </cell>
          <cell r="AK461">
            <v>0</v>
          </cell>
          <cell r="AM461">
            <v>279</v>
          </cell>
          <cell r="AN461">
            <v>1</v>
          </cell>
          <cell r="AO461">
            <v>393216</v>
          </cell>
          <cell r="AQ461">
            <v>0</v>
          </cell>
          <cell r="AR461">
            <v>0</v>
          </cell>
          <cell r="AS461" t="str">
            <v>Ы</v>
          </cell>
          <cell r="AT461" t="str">
            <v>Ы</v>
          </cell>
          <cell r="AU461">
            <v>0</v>
          </cell>
          <cell r="AV461">
            <v>0</v>
          </cell>
          <cell r="AW461">
            <v>23</v>
          </cell>
          <cell r="AX461">
            <v>1</v>
          </cell>
          <cell r="AY461">
            <v>0</v>
          </cell>
          <cell r="AZ461">
            <v>0</v>
          </cell>
          <cell r="BA461">
            <v>0</v>
          </cell>
          <cell r="BB461">
            <v>0</v>
          </cell>
          <cell r="BC461">
            <v>38856</v>
          </cell>
        </row>
        <row r="462">
          <cell r="A462">
            <v>2006</v>
          </cell>
          <cell r="B462">
            <v>4</v>
          </cell>
          <cell r="C462">
            <v>134</v>
          </cell>
          <cell r="D462">
            <v>17</v>
          </cell>
          <cell r="E462">
            <v>792030</v>
          </cell>
          <cell r="F462">
            <v>0</v>
          </cell>
          <cell r="G462" t="str">
            <v>Затраты по ШПЗ (неосновные)</v>
          </cell>
          <cell r="H462">
            <v>2030</v>
          </cell>
          <cell r="I462">
            <v>7920</v>
          </cell>
          <cell r="J462">
            <v>70.239999999999995</v>
          </cell>
          <cell r="K462">
            <v>1</v>
          </cell>
          <cell r="L462">
            <v>0</v>
          </cell>
          <cell r="M462">
            <v>0</v>
          </cell>
          <cell r="N462">
            <v>0</v>
          </cell>
          <cell r="R462">
            <v>0</v>
          </cell>
          <cell r="S462">
            <v>0</v>
          </cell>
          <cell r="T462">
            <v>0</v>
          </cell>
          <cell r="U462">
            <v>32</v>
          </cell>
          <cell r="V462">
            <v>0</v>
          </cell>
          <cell r="W462">
            <v>0</v>
          </cell>
          <cell r="AA462">
            <v>0</v>
          </cell>
          <cell r="AB462">
            <v>0</v>
          </cell>
          <cell r="AC462">
            <v>0</v>
          </cell>
          <cell r="AD462">
            <v>32</v>
          </cell>
          <cell r="AE462">
            <v>430000</v>
          </cell>
          <cell r="AF462">
            <v>0</v>
          </cell>
          <cell r="AI462">
            <v>2312</v>
          </cell>
          <cell r="AK462">
            <v>0</v>
          </cell>
          <cell r="AM462">
            <v>280</v>
          </cell>
          <cell r="AN462">
            <v>1</v>
          </cell>
          <cell r="AO462">
            <v>393216</v>
          </cell>
          <cell r="AQ462">
            <v>0</v>
          </cell>
          <cell r="AR462">
            <v>0</v>
          </cell>
          <cell r="AS462" t="str">
            <v>Ы</v>
          </cell>
          <cell r="AT462" t="str">
            <v>Ы</v>
          </cell>
          <cell r="AU462">
            <v>0</v>
          </cell>
          <cell r="AV462">
            <v>0</v>
          </cell>
          <cell r="AW462">
            <v>23</v>
          </cell>
          <cell r="AX462">
            <v>1</v>
          </cell>
          <cell r="AY462">
            <v>0</v>
          </cell>
          <cell r="AZ462">
            <v>0</v>
          </cell>
          <cell r="BA462">
            <v>0</v>
          </cell>
          <cell r="BB462">
            <v>0</v>
          </cell>
          <cell r="BC462">
            <v>38856</v>
          </cell>
        </row>
        <row r="463">
          <cell r="A463">
            <v>2006</v>
          </cell>
          <cell r="B463">
            <v>4</v>
          </cell>
          <cell r="C463">
            <v>135</v>
          </cell>
          <cell r="D463">
            <v>17</v>
          </cell>
          <cell r="E463">
            <v>792030</v>
          </cell>
          <cell r="F463">
            <v>0</v>
          </cell>
          <cell r="G463" t="str">
            <v>Затраты по ШПЗ (неосновные)</v>
          </cell>
          <cell r="H463">
            <v>2030</v>
          </cell>
          <cell r="I463">
            <v>7920</v>
          </cell>
          <cell r="J463">
            <v>8</v>
          </cell>
          <cell r="K463">
            <v>1</v>
          </cell>
          <cell r="L463">
            <v>0</v>
          </cell>
          <cell r="M463">
            <v>0</v>
          </cell>
          <cell r="N463">
            <v>0</v>
          </cell>
          <cell r="R463">
            <v>0</v>
          </cell>
          <cell r="S463">
            <v>0</v>
          </cell>
          <cell r="T463">
            <v>0</v>
          </cell>
          <cell r="U463">
            <v>32</v>
          </cell>
          <cell r="V463">
            <v>0</v>
          </cell>
          <cell r="W463">
            <v>0</v>
          </cell>
          <cell r="AA463">
            <v>0</v>
          </cell>
          <cell r="AB463">
            <v>0</v>
          </cell>
          <cell r="AC463">
            <v>0</v>
          </cell>
          <cell r="AD463">
            <v>32</v>
          </cell>
          <cell r="AE463">
            <v>450000</v>
          </cell>
          <cell r="AF463">
            <v>0</v>
          </cell>
          <cell r="AI463">
            <v>2312</v>
          </cell>
          <cell r="AK463">
            <v>0</v>
          </cell>
          <cell r="AM463">
            <v>281</v>
          </cell>
          <cell r="AN463">
            <v>1</v>
          </cell>
          <cell r="AO463">
            <v>393216</v>
          </cell>
          <cell r="AQ463">
            <v>0</v>
          </cell>
          <cell r="AR463">
            <v>0</v>
          </cell>
          <cell r="AS463" t="str">
            <v>Ы</v>
          </cell>
          <cell r="AT463" t="str">
            <v>Ы</v>
          </cell>
          <cell r="AU463">
            <v>0</v>
          </cell>
          <cell r="AV463">
            <v>0</v>
          </cell>
          <cell r="AW463">
            <v>23</v>
          </cell>
          <cell r="AX463">
            <v>1</v>
          </cell>
          <cell r="AY463">
            <v>0</v>
          </cell>
          <cell r="AZ463">
            <v>0</v>
          </cell>
          <cell r="BA463">
            <v>0</v>
          </cell>
          <cell r="BB463">
            <v>0</v>
          </cell>
          <cell r="BC463">
            <v>38856</v>
          </cell>
        </row>
        <row r="464">
          <cell r="A464">
            <v>2006</v>
          </cell>
          <cell r="B464">
            <v>4</v>
          </cell>
          <cell r="C464">
            <v>136</v>
          </cell>
          <cell r="D464">
            <v>17</v>
          </cell>
          <cell r="E464">
            <v>792030</v>
          </cell>
          <cell r="F464">
            <v>0</v>
          </cell>
          <cell r="G464" t="str">
            <v>Затраты по ШПЗ (неосновные)</v>
          </cell>
          <cell r="H464">
            <v>2030</v>
          </cell>
          <cell r="I464">
            <v>7920</v>
          </cell>
          <cell r="J464">
            <v>19.82</v>
          </cell>
          <cell r="K464">
            <v>1</v>
          </cell>
          <cell r="L464">
            <v>0</v>
          </cell>
          <cell r="M464">
            <v>0</v>
          </cell>
          <cell r="N464">
            <v>0</v>
          </cell>
          <cell r="R464">
            <v>0</v>
          </cell>
          <cell r="S464">
            <v>0</v>
          </cell>
          <cell r="T464">
            <v>0</v>
          </cell>
          <cell r="U464">
            <v>32</v>
          </cell>
          <cell r="V464">
            <v>0</v>
          </cell>
          <cell r="W464">
            <v>0</v>
          </cell>
          <cell r="AA464">
            <v>0</v>
          </cell>
          <cell r="AB464">
            <v>0</v>
          </cell>
          <cell r="AC464">
            <v>0</v>
          </cell>
          <cell r="AD464">
            <v>32</v>
          </cell>
          <cell r="AE464">
            <v>460000</v>
          </cell>
          <cell r="AF464">
            <v>0</v>
          </cell>
          <cell r="AI464">
            <v>2312</v>
          </cell>
          <cell r="AK464">
            <v>0</v>
          </cell>
          <cell r="AM464">
            <v>282</v>
          </cell>
          <cell r="AN464">
            <v>1</v>
          </cell>
          <cell r="AO464">
            <v>393216</v>
          </cell>
          <cell r="AQ464">
            <v>0</v>
          </cell>
          <cell r="AR464">
            <v>0</v>
          </cell>
          <cell r="AS464" t="str">
            <v>Ы</v>
          </cell>
          <cell r="AT464" t="str">
            <v>Ы</v>
          </cell>
          <cell r="AU464">
            <v>0</v>
          </cell>
          <cell r="AV464">
            <v>0</v>
          </cell>
          <cell r="AW464">
            <v>23</v>
          </cell>
          <cell r="AX464">
            <v>1</v>
          </cell>
          <cell r="AY464">
            <v>0</v>
          </cell>
          <cell r="AZ464">
            <v>0</v>
          </cell>
          <cell r="BA464">
            <v>0</v>
          </cell>
          <cell r="BB464">
            <v>0</v>
          </cell>
          <cell r="BC464">
            <v>38856</v>
          </cell>
        </row>
        <row r="465">
          <cell r="A465">
            <v>2006</v>
          </cell>
          <cell r="B465">
            <v>4</v>
          </cell>
          <cell r="C465">
            <v>137</v>
          </cell>
          <cell r="D465">
            <v>17</v>
          </cell>
          <cell r="E465">
            <v>792030</v>
          </cell>
          <cell r="F465">
            <v>0</v>
          </cell>
          <cell r="G465" t="str">
            <v>Затраты по ШПЗ (неосновные)</v>
          </cell>
          <cell r="H465">
            <v>2030</v>
          </cell>
          <cell r="I465">
            <v>7920</v>
          </cell>
          <cell r="J465">
            <v>1.56</v>
          </cell>
          <cell r="K465">
            <v>1</v>
          </cell>
          <cell r="L465">
            <v>0</v>
          </cell>
          <cell r="M465">
            <v>0</v>
          </cell>
          <cell r="N465">
            <v>0</v>
          </cell>
          <cell r="R465">
            <v>0</v>
          </cell>
          <cell r="S465">
            <v>0</v>
          </cell>
          <cell r="T465">
            <v>0</v>
          </cell>
          <cell r="U465">
            <v>32</v>
          </cell>
          <cell r="V465">
            <v>0</v>
          </cell>
          <cell r="W465">
            <v>0</v>
          </cell>
          <cell r="AA465">
            <v>0</v>
          </cell>
          <cell r="AB465">
            <v>0</v>
          </cell>
          <cell r="AC465">
            <v>0</v>
          </cell>
          <cell r="AD465">
            <v>32</v>
          </cell>
          <cell r="AE465">
            <v>465000</v>
          </cell>
          <cell r="AF465">
            <v>0</v>
          </cell>
          <cell r="AI465">
            <v>2312</v>
          </cell>
          <cell r="AK465">
            <v>0</v>
          </cell>
          <cell r="AM465">
            <v>283</v>
          </cell>
          <cell r="AN465">
            <v>1</v>
          </cell>
          <cell r="AO465">
            <v>393216</v>
          </cell>
          <cell r="AQ465">
            <v>0</v>
          </cell>
          <cell r="AR465">
            <v>0</v>
          </cell>
          <cell r="AS465" t="str">
            <v>Ы</v>
          </cell>
          <cell r="AT465" t="str">
            <v>Ы</v>
          </cell>
          <cell r="AU465">
            <v>0</v>
          </cell>
          <cell r="AV465">
            <v>0</v>
          </cell>
          <cell r="AW465">
            <v>23</v>
          </cell>
          <cell r="AX465">
            <v>1</v>
          </cell>
          <cell r="AY465">
            <v>0</v>
          </cell>
          <cell r="AZ465">
            <v>0</v>
          </cell>
          <cell r="BA465">
            <v>0</v>
          </cell>
          <cell r="BB465">
            <v>0</v>
          </cell>
          <cell r="BC465">
            <v>38856</v>
          </cell>
        </row>
        <row r="466">
          <cell r="A466">
            <v>2006</v>
          </cell>
          <cell r="B466">
            <v>4</v>
          </cell>
          <cell r="C466">
            <v>138</v>
          </cell>
          <cell r="D466">
            <v>17</v>
          </cell>
          <cell r="E466">
            <v>792030</v>
          </cell>
          <cell r="F466">
            <v>0</v>
          </cell>
          <cell r="G466" t="str">
            <v>Затраты по ШПЗ (неосновные)</v>
          </cell>
          <cell r="H466">
            <v>2030</v>
          </cell>
          <cell r="I466">
            <v>7920</v>
          </cell>
          <cell r="J466">
            <v>2.58</v>
          </cell>
          <cell r="K466">
            <v>1</v>
          </cell>
          <cell r="L466">
            <v>0</v>
          </cell>
          <cell r="M466">
            <v>0</v>
          </cell>
          <cell r="N466">
            <v>0</v>
          </cell>
          <cell r="R466">
            <v>0</v>
          </cell>
          <cell r="S466">
            <v>0</v>
          </cell>
          <cell r="T466">
            <v>0</v>
          </cell>
          <cell r="U466">
            <v>32</v>
          </cell>
          <cell r="V466">
            <v>0</v>
          </cell>
          <cell r="W466">
            <v>0</v>
          </cell>
          <cell r="AA466">
            <v>0</v>
          </cell>
          <cell r="AB466">
            <v>0</v>
          </cell>
          <cell r="AC466">
            <v>0</v>
          </cell>
          <cell r="AD466">
            <v>32</v>
          </cell>
          <cell r="AE466">
            <v>502100</v>
          </cell>
          <cell r="AF466">
            <v>0</v>
          </cell>
          <cell r="AI466">
            <v>2312</v>
          </cell>
          <cell r="AK466">
            <v>0</v>
          </cell>
          <cell r="AM466">
            <v>284</v>
          </cell>
          <cell r="AN466">
            <v>1</v>
          </cell>
          <cell r="AO466">
            <v>393216</v>
          </cell>
          <cell r="AQ466">
            <v>0</v>
          </cell>
          <cell r="AR466">
            <v>0</v>
          </cell>
          <cell r="AS466" t="str">
            <v>Ы</v>
          </cell>
          <cell r="AT466" t="str">
            <v>Ы</v>
          </cell>
          <cell r="AU466">
            <v>0</v>
          </cell>
          <cell r="AV466">
            <v>0</v>
          </cell>
          <cell r="AW466">
            <v>23</v>
          </cell>
          <cell r="AX466">
            <v>1</v>
          </cell>
          <cell r="AY466">
            <v>0</v>
          </cell>
          <cell r="AZ466">
            <v>0</v>
          </cell>
          <cell r="BA466">
            <v>0</v>
          </cell>
          <cell r="BB466">
            <v>0</v>
          </cell>
          <cell r="BC466">
            <v>38856</v>
          </cell>
        </row>
        <row r="467">
          <cell r="A467">
            <v>2006</v>
          </cell>
          <cell r="B467">
            <v>4</v>
          </cell>
          <cell r="C467">
            <v>139</v>
          </cell>
          <cell r="D467">
            <v>17</v>
          </cell>
          <cell r="E467">
            <v>792030</v>
          </cell>
          <cell r="F467">
            <v>0</v>
          </cell>
          <cell r="G467" t="str">
            <v>Затраты по ШПЗ (неосновные)</v>
          </cell>
          <cell r="H467">
            <v>2030</v>
          </cell>
          <cell r="I467">
            <v>7920</v>
          </cell>
          <cell r="J467">
            <v>527.67999999999995</v>
          </cell>
          <cell r="K467">
            <v>1</v>
          </cell>
          <cell r="L467">
            <v>0</v>
          </cell>
          <cell r="M467">
            <v>0</v>
          </cell>
          <cell r="N467">
            <v>0</v>
          </cell>
          <cell r="R467">
            <v>0</v>
          </cell>
          <cell r="S467">
            <v>0</v>
          </cell>
          <cell r="T467">
            <v>0</v>
          </cell>
          <cell r="U467">
            <v>32</v>
          </cell>
          <cell r="V467">
            <v>0</v>
          </cell>
          <cell r="W467">
            <v>0</v>
          </cell>
          <cell r="AA467">
            <v>0</v>
          </cell>
          <cell r="AB467">
            <v>0</v>
          </cell>
          <cell r="AC467">
            <v>0</v>
          </cell>
          <cell r="AD467">
            <v>32</v>
          </cell>
          <cell r="AE467">
            <v>503000</v>
          </cell>
          <cell r="AF467">
            <v>0</v>
          </cell>
          <cell r="AI467">
            <v>2312</v>
          </cell>
          <cell r="AK467">
            <v>0</v>
          </cell>
          <cell r="AM467">
            <v>285</v>
          </cell>
          <cell r="AN467">
            <v>1</v>
          </cell>
          <cell r="AO467">
            <v>393216</v>
          </cell>
          <cell r="AQ467">
            <v>0</v>
          </cell>
          <cell r="AR467">
            <v>0</v>
          </cell>
          <cell r="AS467" t="str">
            <v>Ы</v>
          </cell>
          <cell r="AT467" t="str">
            <v>Ы</v>
          </cell>
          <cell r="AU467">
            <v>0</v>
          </cell>
          <cell r="AV467">
            <v>0</v>
          </cell>
          <cell r="AW467">
            <v>23</v>
          </cell>
          <cell r="AX467">
            <v>1</v>
          </cell>
          <cell r="AY467">
            <v>0</v>
          </cell>
          <cell r="AZ467">
            <v>0</v>
          </cell>
          <cell r="BA467">
            <v>0</v>
          </cell>
          <cell r="BB467">
            <v>0</v>
          </cell>
          <cell r="BC467">
            <v>38856</v>
          </cell>
        </row>
        <row r="468">
          <cell r="A468">
            <v>2006</v>
          </cell>
          <cell r="B468">
            <v>4</v>
          </cell>
          <cell r="C468">
            <v>140</v>
          </cell>
          <cell r="D468">
            <v>17</v>
          </cell>
          <cell r="E468">
            <v>792030</v>
          </cell>
          <cell r="F468">
            <v>0</v>
          </cell>
          <cell r="G468" t="str">
            <v>Затраты по ШПЗ (неосновные)</v>
          </cell>
          <cell r="H468">
            <v>2030</v>
          </cell>
          <cell r="I468">
            <v>7920</v>
          </cell>
          <cell r="J468">
            <v>1.76</v>
          </cell>
          <cell r="K468">
            <v>1</v>
          </cell>
          <cell r="L468">
            <v>0</v>
          </cell>
          <cell r="M468">
            <v>0</v>
          </cell>
          <cell r="N468">
            <v>0</v>
          </cell>
          <cell r="R468">
            <v>0</v>
          </cell>
          <cell r="S468">
            <v>0</v>
          </cell>
          <cell r="T468">
            <v>0</v>
          </cell>
          <cell r="U468">
            <v>32</v>
          </cell>
          <cell r="V468">
            <v>0</v>
          </cell>
          <cell r="W468">
            <v>0</v>
          </cell>
          <cell r="AA468">
            <v>0</v>
          </cell>
          <cell r="AB468">
            <v>0</v>
          </cell>
          <cell r="AC468">
            <v>0</v>
          </cell>
          <cell r="AD468">
            <v>32</v>
          </cell>
          <cell r="AE468">
            <v>504900</v>
          </cell>
          <cell r="AF468">
            <v>0</v>
          </cell>
          <cell r="AI468">
            <v>2312</v>
          </cell>
          <cell r="AK468">
            <v>0</v>
          </cell>
          <cell r="AM468">
            <v>286</v>
          </cell>
          <cell r="AN468">
            <v>1</v>
          </cell>
          <cell r="AO468">
            <v>393216</v>
          </cell>
          <cell r="AQ468">
            <v>0</v>
          </cell>
          <cell r="AR468">
            <v>0</v>
          </cell>
          <cell r="AS468" t="str">
            <v>Ы</v>
          </cell>
          <cell r="AT468" t="str">
            <v>Ы</v>
          </cell>
          <cell r="AU468">
            <v>0</v>
          </cell>
          <cell r="AV468">
            <v>0</v>
          </cell>
          <cell r="AW468">
            <v>23</v>
          </cell>
          <cell r="AX468">
            <v>1</v>
          </cell>
          <cell r="AY468">
            <v>0</v>
          </cell>
          <cell r="AZ468">
            <v>0</v>
          </cell>
          <cell r="BA468">
            <v>0</v>
          </cell>
          <cell r="BB468">
            <v>0</v>
          </cell>
          <cell r="BC468">
            <v>38856</v>
          </cell>
        </row>
        <row r="469">
          <cell r="A469">
            <v>2006</v>
          </cell>
          <cell r="B469">
            <v>4</v>
          </cell>
          <cell r="C469">
            <v>141</v>
          </cell>
          <cell r="D469">
            <v>17</v>
          </cell>
          <cell r="E469">
            <v>792030</v>
          </cell>
          <cell r="F469">
            <v>0</v>
          </cell>
          <cell r="G469" t="str">
            <v>Затраты по ШПЗ (неосновные)</v>
          </cell>
          <cell r="H469">
            <v>2030</v>
          </cell>
          <cell r="I469">
            <v>7920</v>
          </cell>
          <cell r="J469">
            <v>15.88</v>
          </cell>
          <cell r="K469">
            <v>1</v>
          </cell>
          <cell r="L469">
            <v>0</v>
          </cell>
          <cell r="M469">
            <v>0</v>
          </cell>
          <cell r="N469">
            <v>0</v>
          </cell>
          <cell r="R469">
            <v>0</v>
          </cell>
          <cell r="S469">
            <v>0</v>
          </cell>
          <cell r="T469">
            <v>0</v>
          </cell>
          <cell r="U469">
            <v>32</v>
          </cell>
          <cell r="V469">
            <v>0</v>
          </cell>
          <cell r="W469">
            <v>0</v>
          </cell>
          <cell r="AA469">
            <v>0</v>
          </cell>
          <cell r="AB469">
            <v>0</v>
          </cell>
          <cell r="AC469">
            <v>0</v>
          </cell>
          <cell r="AD469">
            <v>32</v>
          </cell>
          <cell r="AE469">
            <v>505100</v>
          </cell>
          <cell r="AF469">
            <v>0</v>
          </cell>
          <cell r="AI469">
            <v>2312</v>
          </cell>
          <cell r="AK469">
            <v>0</v>
          </cell>
          <cell r="AM469">
            <v>287</v>
          </cell>
          <cell r="AN469">
            <v>1</v>
          </cell>
          <cell r="AO469">
            <v>393216</v>
          </cell>
          <cell r="AQ469">
            <v>0</v>
          </cell>
          <cell r="AR469">
            <v>0</v>
          </cell>
          <cell r="AS469" t="str">
            <v>Ы</v>
          </cell>
          <cell r="AT469" t="str">
            <v>Ы</v>
          </cell>
          <cell r="AU469">
            <v>0</v>
          </cell>
          <cell r="AV469">
            <v>0</v>
          </cell>
          <cell r="AW469">
            <v>23</v>
          </cell>
          <cell r="AX469">
            <v>1</v>
          </cell>
          <cell r="AY469">
            <v>0</v>
          </cell>
          <cell r="AZ469">
            <v>0</v>
          </cell>
          <cell r="BA469">
            <v>0</v>
          </cell>
          <cell r="BB469">
            <v>0</v>
          </cell>
          <cell r="BC469">
            <v>38856</v>
          </cell>
        </row>
        <row r="470">
          <cell r="A470">
            <v>2006</v>
          </cell>
          <cell r="B470">
            <v>4</v>
          </cell>
          <cell r="C470">
            <v>142</v>
          </cell>
          <cell r="D470">
            <v>17</v>
          </cell>
          <cell r="E470">
            <v>792030</v>
          </cell>
          <cell r="F470">
            <v>0</v>
          </cell>
          <cell r="G470" t="str">
            <v>Затраты по ШПЗ (неосновные)</v>
          </cell>
          <cell r="H470">
            <v>2030</v>
          </cell>
          <cell r="I470">
            <v>7920</v>
          </cell>
          <cell r="J470">
            <v>4.8</v>
          </cell>
          <cell r="K470">
            <v>1</v>
          </cell>
          <cell r="L470">
            <v>0</v>
          </cell>
          <cell r="M470">
            <v>0</v>
          </cell>
          <cell r="N470">
            <v>0</v>
          </cell>
          <cell r="R470">
            <v>0</v>
          </cell>
          <cell r="S470">
            <v>0</v>
          </cell>
          <cell r="T470">
            <v>0</v>
          </cell>
          <cell r="U470">
            <v>32</v>
          </cell>
          <cell r="V470">
            <v>0</v>
          </cell>
          <cell r="W470">
            <v>0</v>
          </cell>
          <cell r="AA470">
            <v>0</v>
          </cell>
          <cell r="AB470">
            <v>0</v>
          </cell>
          <cell r="AC470">
            <v>0</v>
          </cell>
          <cell r="AD470">
            <v>32</v>
          </cell>
          <cell r="AE470">
            <v>505200</v>
          </cell>
          <cell r="AF470">
            <v>0</v>
          </cell>
          <cell r="AI470">
            <v>2312</v>
          </cell>
          <cell r="AK470">
            <v>0</v>
          </cell>
          <cell r="AM470">
            <v>288</v>
          </cell>
          <cell r="AN470">
            <v>1</v>
          </cell>
          <cell r="AO470">
            <v>393216</v>
          </cell>
          <cell r="AQ470">
            <v>0</v>
          </cell>
          <cell r="AR470">
            <v>0</v>
          </cell>
          <cell r="AS470" t="str">
            <v>Ы</v>
          </cell>
          <cell r="AT470" t="str">
            <v>Ы</v>
          </cell>
          <cell r="AU470">
            <v>0</v>
          </cell>
          <cell r="AV470">
            <v>0</v>
          </cell>
          <cell r="AW470">
            <v>23</v>
          </cell>
          <cell r="AX470">
            <v>1</v>
          </cell>
          <cell r="AY470">
            <v>0</v>
          </cell>
          <cell r="AZ470">
            <v>0</v>
          </cell>
          <cell r="BA470">
            <v>0</v>
          </cell>
          <cell r="BB470">
            <v>0</v>
          </cell>
          <cell r="BC470">
            <v>38856</v>
          </cell>
        </row>
        <row r="471">
          <cell r="A471">
            <v>2006</v>
          </cell>
          <cell r="B471">
            <v>4</v>
          </cell>
          <cell r="C471">
            <v>143</v>
          </cell>
          <cell r="D471">
            <v>17</v>
          </cell>
          <cell r="E471">
            <v>792030</v>
          </cell>
          <cell r="F471">
            <v>0</v>
          </cell>
          <cell r="G471" t="str">
            <v>Затраты по ШПЗ (неосновные)</v>
          </cell>
          <cell r="H471">
            <v>2030</v>
          </cell>
          <cell r="I471">
            <v>7920</v>
          </cell>
          <cell r="J471">
            <v>0.89</v>
          </cell>
          <cell r="K471">
            <v>1</v>
          </cell>
          <cell r="L471">
            <v>0</v>
          </cell>
          <cell r="M471">
            <v>0</v>
          </cell>
          <cell r="N471">
            <v>0</v>
          </cell>
          <cell r="R471">
            <v>0</v>
          </cell>
          <cell r="S471">
            <v>0</v>
          </cell>
          <cell r="T471">
            <v>0</v>
          </cell>
          <cell r="U471">
            <v>32</v>
          </cell>
          <cell r="V471">
            <v>0</v>
          </cell>
          <cell r="W471">
            <v>0</v>
          </cell>
          <cell r="AA471">
            <v>0</v>
          </cell>
          <cell r="AB471">
            <v>0</v>
          </cell>
          <cell r="AC471">
            <v>0</v>
          </cell>
          <cell r="AD471">
            <v>32</v>
          </cell>
          <cell r="AE471">
            <v>505300</v>
          </cell>
          <cell r="AF471">
            <v>0</v>
          </cell>
          <cell r="AI471">
            <v>2312</v>
          </cell>
          <cell r="AK471">
            <v>0</v>
          </cell>
          <cell r="AM471">
            <v>289</v>
          </cell>
          <cell r="AN471">
            <v>1</v>
          </cell>
          <cell r="AO471">
            <v>393216</v>
          </cell>
          <cell r="AQ471">
            <v>0</v>
          </cell>
          <cell r="AR471">
            <v>0</v>
          </cell>
          <cell r="AS471" t="str">
            <v>Ы</v>
          </cell>
          <cell r="AT471" t="str">
            <v>Ы</v>
          </cell>
          <cell r="AU471">
            <v>0</v>
          </cell>
          <cell r="AV471">
            <v>0</v>
          </cell>
          <cell r="AW471">
            <v>23</v>
          </cell>
          <cell r="AX471">
            <v>1</v>
          </cell>
          <cell r="AY471">
            <v>0</v>
          </cell>
          <cell r="AZ471">
            <v>0</v>
          </cell>
          <cell r="BA471">
            <v>0</v>
          </cell>
          <cell r="BB471">
            <v>0</v>
          </cell>
          <cell r="BC471">
            <v>38856</v>
          </cell>
        </row>
        <row r="472">
          <cell r="A472">
            <v>2006</v>
          </cell>
          <cell r="B472">
            <v>4</v>
          </cell>
          <cell r="C472">
            <v>144</v>
          </cell>
          <cell r="D472">
            <v>17</v>
          </cell>
          <cell r="E472">
            <v>792030</v>
          </cell>
          <cell r="F472">
            <v>0</v>
          </cell>
          <cell r="G472" t="str">
            <v>Затраты по ШПЗ (неосновные)</v>
          </cell>
          <cell r="H472">
            <v>2030</v>
          </cell>
          <cell r="I472">
            <v>7920</v>
          </cell>
          <cell r="J472">
            <v>0.04</v>
          </cell>
          <cell r="K472">
            <v>1</v>
          </cell>
          <cell r="L472">
            <v>0</v>
          </cell>
          <cell r="M472">
            <v>0</v>
          </cell>
          <cell r="N472">
            <v>0</v>
          </cell>
          <cell r="R472">
            <v>0</v>
          </cell>
          <cell r="S472">
            <v>0</v>
          </cell>
          <cell r="T472">
            <v>0</v>
          </cell>
          <cell r="U472">
            <v>32</v>
          </cell>
          <cell r="V472">
            <v>0</v>
          </cell>
          <cell r="W472">
            <v>0</v>
          </cell>
          <cell r="AA472">
            <v>0</v>
          </cell>
          <cell r="AB472">
            <v>0</v>
          </cell>
          <cell r="AC472">
            <v>0</v>
          </cell>
          <cell r="AD472">
            <v>32</v>
          </cell>
          <cell r="AE472">
            <v>507000</v>
          </cell>
          <cell r="AF472">
            <v>0</v>
          </cell>
          <cell r="AI472">
            <v>2312</v>
          </cell>
          <cell r="AK472">
            <v>0</v>
          </cell>
          <cell r="AM472">
            <v>290</v>
          </cell>
          <cell r="AN472">
            <v>1</v>
          </cell>
          <cell r="AO472">
            <v>393216</v>
          </cell>
          <cell r="AQ472">
            <v>0</v>
          </cell>
          <cell r="AR472">
            <v>0</v>
          </cell>
          <cell r="AS472" t="str">
            <v>Ы</v>
          </cell>
          <cell r="AT472" t="str">
            <v>Ы</v>
          </cell>
          <cell r="AU472">
            <v>0</v>
          </cell>
          <cell r="AV472">
            <v>0</v>
          </cell>
          <cell r="AW472">
            <v>23</v>
          </cell>
          <cell r="AX472">
            <v>1</v>
          </cell>
          <cell r="AY472">
            <v>0</v>
          </cell>
          <cell r="AZ472">
            <v>0</v>
          </cell>
          <cell r="BA472">
            <v>0</v>
          </cell>
          <cell r="BB472">
            <v>0</v>
          </cell>
          <cell r="BC472">
            <v>38856</v>
          </cell>
        </row>
        <row r="473">
          <cell r="A473">
            <v>2006</v>
          </cell>
          <cell r="B473">
            <v>4</v>
          </cell>
          <cell r="C473">
            <v>145</v>
          </cell>
          <cell r="D473">
            <v>17</v>
          </cell>
          <cell r="E473">
            <v>792030</v>
          </cell>
          <cell r="F473">
            <v>0</v>
          </cell>
          <cell r="G473" t="str">
            <v>Затраты по ШПЗ (неосновные)</v>
          </cell>
          <cell r="H473">
            <v>2030</v>
          </cell>
          <cell r="I473">
            <v>7920</v>
          </cell>
          <cell r="J473">
            <v>508.16</v>
          </cell>
          <cell r="K473">
            <v>1</v>
          </cell>
          <cell r="L473">
            <v>0</v>
          </cell>
          <cell r="M473">
            <v>0</v>
          </cell>
          <cell r="N473">
            <v>0</v>
          </cell>
          <cell r="R473">
            <v>0</v>
          </cell>
          <cell r="S473">
            <v>0</v>
          </cell>
          <cell r="T473">
            <v>0</v>
          </cell>
          <cell r="U473">
            <v>32</v>
          </cell>
          <cell r="V473">
            <v>0</v>
          </cell>
          <cell r="W473">
            <v>0</v>
          </cell>
          <cell r="AA473">
            <v>0</v>
          </cell>
          <cell r="AB473">
            <v>0</v>
          </cell>
          <cell r="AC473">
            <v>0</v>
          </cell>
          <cell r="AD473">
            <v>32</v>
          </cell>
          <cell r="AE473">
            <v>510100</v>
          </cell>
          <cell r="AF473">
            <v>0</v>
          </cell>
          <cell r="AI473">
            <v>2312</v>
          </cell>
          <cell r="AK473">
            <v>0</v>
          </cell>
          <cell r="AM473">
            <v>291</v>
          </cell>
          <cell r="AN473">
            <v>1</v>
          </cell>
          <cell r="AO473">
            <v>393216</v>
          </cell>
          <cell r="AQ473">
            <v>0</v>
          </cell>
          <cell r="AR473">
            <v>0</v>
          </cell>
          <cell r="AS473" t="str">
            <v>Ы</v>
          </cell>
          <cell r="AT473" t="str">
            <v>Ы</v>
          </cell>
          <cell r="AU473">
            <v>0</v>
          </cell>
          <cell r="AV473">
            <v>0</v>
          </cell>
          <cell r="AW473">
            <v>23</v>
          </cell>
          <cell r="AX473">
            <v>1</v>
          </cell>
          <cell r="AY473">
            <v>0</v>
          </cell>
          <cell r="AZ473">
            <v>0</v>
          </cell>
          <cell r="BA473">
            <v>0</v>
          </cell>
          <cell r="BB473">
            <v>0</v>
          </cell>
          <cell r="BC473">
            <v>38856</v>
          </cell>
        </row>
        <row r="474">
          <cell r="A474">
            <v>2006</v>
          </cell>
          <cell r="B474">
            <v>4</v>
          </cell>
          <cell r="C474">
            <v>146</v>
          </cell>
          <cell r="D474">
            <v>17</v>
          </cell>
          <cell r="E474">
            <v>792030</v>
          </cell>
          <cell r="F474">
            <v>0</v>
          </cell>
          <cell r="G474" t="str">
            <v>Затраты по ШПЗ (неосновные)</v>
          </cell>
          <cell r="H474">
            <v>2030</v>
          </cell>
          <cell r="I474">
            <v>7920</v>
          </cell>
          <cell r="J474">
            <v>0.39</v>
          </cell>
          <cell r="K474">
            <v>1</v>
          </cell>
          <cell r="L474">
            <v>0</v>
          </cell>
          <cell r="M474">
            <v>0</v>
          </cell>
          <cell r="N474">
            <v>0</v>
          </cell>
          <cell r="R474">
            <v>0</v>
          </cell>
          <cell r="S474">
            <v>0</v>
          </cell>
          <cell r="T474">
            <v>0</v>
          </cell>
          <cell r="U474">
            <v>32</v>
          </cell>
          <cell r="V474">
            <v>0</v>
          </cell>
          <cell r="W474">
            <v>0</v>
          </cell>
          <cell r="AA474">
            <v>0</v>
          </cell>
          <cell r="AB474">
            <v>0</v>
          </cell>
          <cell r="AC474">
            <v>0</v>
          </cell>
          <cell r="AD474">
            <v>32</v>
          </cell>
          <cell r="AE474">
            <v>510400</v>
          </cell>
          <cell r="AF474">
            <v>0</v>
          </cell>
          <cell r="AI474">
            <v>2312</v>
          </cell>
          <cell r="AK474">
            <v>0</v>
          </cell>
          <cell r="AM474">
            <v>292</v>
          </cell>
          <cell r="AN474">
            <v>1</v>
          </cell>
          <cell r="AO474">
            <v>393216</v>
          </cell>
          <cell r="AQ474">
            <v>0</v>
          </cell>
          <cell r="AR474">
            <v>0</v>
          </cell>
          <cell r="AS474" t="str">
            <v>Ы</v>
          </cell>
          <cell r="AT474" t="str">
            <v>Ы</v>
          </cell>
          <cell r="AU474">
            <v>0</v>
          </cell>
          <cell r="AV474">
            <v>0</v>
          </cell>
          <cell r="AW474">
            <v>23</v>
          </cell>
          <cell r="AX474">
            <v>1</v>
          </cell>
          <cell r="AY474">
            <v>0</v>
          </cell>
          <cell r="AZ474">
            <v>0</v>
          </cell>
          <cell r="BA474">
            <v>0</v>
          </cell>
          <cell r="BB474">
            <v>0</v>
          </cell>
          <cell r="BC474">
            <v>38856</v>
          </cell>
        </row>
        <row r="475">
          <cell r="A475">
            <v>2006</v>
          </cell>
          <cell r="B475">
            <v>4</v>
          </cell>
          <cell r="C475">
            <v>147</v>
          </cell>
          <cell r="D475">
            <v>17</v>
          </cell>
          <cell r="E475">
            <v>792030</v>
          </cell>
          <cell r="F475">
            <v>0</v>
          </cell>
          <cell r="G475" t="str">
            <v>Затраты по ШПЗ (неосновные)</v>
          </cell>
          <cell r="H475">
            <v>2030</v>
          </cell>
          <cell r="I475">
            <v>7920</v>
          </cell>
          <cell r="J475">
            <v>536.4</v>
          </cell>
          <cell r="K475">
            <v>1</v>
          </cell>
          <cell r="L475">
            <v>0</v>
          </cell>
          <cell r="M475">
            <v>0</v>
          </cell>
          <cell r="N475">
            <v>0</v>
          </cell>
          <cell r="R475">
            <v>0</v>
          </cell>
          <cell r="S475">
            <v>0</v>
          </cell>
          <cell r="T475">
            <v>0</v>
          </cell>
          <cell r="U475">
            <v>32</v>
          </cell>
          <cell r="V475">
            <v>0</v>
          </cell>
          <cell r="W475">
            <v>0</v>
          </cell>
          <cell r="AA475">
            <v>0</v>
          </cell>
          <cell r="AB475">
            <v>0</v>
          </cell>
          <cell r="AC475">
            <v>0</v>
          </cell>
          <cell r="AD475">
            <v>32</v>
          </cell>
          <cell r="AE475">
            <v>510600</v>
          </cell>
          <cell r="AF475">
            <v>0</v>
          </cell>
          <cell r="AI475">
            <v>2312</v>
          </cell>
          <cell r="AK475">
            <v>0</v>
          </cell>
          <cell r="AM475">
            <v>293</v>
          </cell>
          <cell r="AN475">
            <v>1</v>
          </cell>
          <cell r="AO475">
            <v>393216</v>
          </cell>
          <cell r="AQ475">
            <v>0</v>
          </cell>
          <cell r="AR475">
            <v>0</v>
          </cell>
          <cell r="AS475" t="str">
            <v>Ы</v>
          </cell>
          <cell r="AT475" t="str">
            <v>Ы</v>
          </cell>
          <cell r="AU475">
            <v>0</v>
          </cell>
          <cell r="AV475">
            <v>0</v>
          </cell>
          <cell r="AW475">
            <v>23</v>
          </cell>
          <cell r="AX475">
            <v>1</v>
          </cell>
          <cell r="AY475">
            <v>0</v>
          </cell>
          <cell r="AZ475">
            <v>0</v>
          </cell>
          <cell r="BA475">
            <v>0</v>
          </cell>
          <cell r="BB475">
            <v>0</v>
          </cell>
          <cell r="BC475">
            <v>38856</v>
          </cell>
        </row>
        <row r="476">
          <cell r="A476">
            <v>2006</v>
          </cell>
          <cell r="B476">
            <v>4</v>
          </cell>
          <cell r="C476">
            <v>202</v>
          </cell>
          <cell r="D476">
            <v>17</v>
          </cell>
          <cell r="E476">
            <v>792030</v>
          </cell>
          <cell r="F476">
            <v>0</v>
          </cell>
          <cell r="G476" t="str">
            <v>Затраты по ШПЗ (неосновные)</v>
          </cell>
          <cell r="H476">
            <v>2030</v>
          </cell>
          <cell r="I476">
            <v>7920</v>
          </cell>
          <cell r="J476">
            <v>36010</v>
          </cell>
          <cell r="K476">
            <v>1</v>
          </cell>
          <cell r="L476">
            <v>0</v>
          </cell>
          <cell r="M476">
            <v>0</v>
          </cell>
          <cell r="N476">
            <v>0</v>
          </cell>
          <cell r="R476">
            <v>0</v>
          </cell>
          <cell r="S476">
            <v>0</v>
          </cell>
          <cell r="T476">
            <v>0</v>
          </cell>
          <cell r="U476">
            <v>37</v>
          </cell>
          <cell r="V476">
            <v>0</v>
          </cell>
          <cell r="W476">
            <v>0</v>
          </cell>
          <cell r="AA476">
            <v>0</v>
          </cell>
          <cell r="AB476">
            <v>0</v>
          </cell>
          <cell r="AC476">
            <v>0</v>
          </cell>
          <cell r="AD476">
            <v>37</v>
          </cell>
          <cell r="AE476">
            <v>220000</v>
          </cell>
          <cell r="AF476">
            <v>0</v>
          </cell>
          <cell r="AI476">
            <v>2312</v>
          </cell>
          <cell r="AK476">
            <v>0</v>
          </cell>
          <cell r="AM476">
            <v>348</v>
          </cell>
          <cell r="AN476">
            <v>1</v>
          </cell>
          <cell r="AO476">
            <v>393216</v>
          </cell>
          <cell r="AQ476">
            <v>0</v>
          </cell>
          <cell r="AR476">
            <v>0</v>
          </cell>
          <cell r="AS476" t="str">
            <v>Ы</v>
          </cell>
          <cell r="AT476" t="str">
            <v>Ы</v>
          </cell>
          <cell r="AU476">
            <v>0</v>
          </cell>
          <cell r="AV476">
            <v>0</v>
          </cell>
          <cell r="AW476">
            <v>23</v>
          </cell>
          <cell r="AX476">
            <v>1</v>
          </cell>
          <cell r="AY476">
            <v>0</v>
          </cell>
          <cell r="AZ476">
            <v>0</v>
          </cell>
          <cell r="BA476">
            <v>0</v>
          </cell>
          <cell r="BB476">
            <v>0</v>
          </cell>
          <cell r="BC476">
            <v>38856</v>
          </cell>
        </row>
        <row r="477">
          <cell r="A477">
            <v>2006</v>
          </cell>
          <cell r="B477">
            <v>4</v>
          </cell>
          <cell r="C477">
            <v>203</v>
          </cell>
          <cell r="D477">
            <v>17</v>
          </cell>
          <cell r="E477">
            <v>792030</v>
          </cell>
          <cell r="F477">
            <v>0</v>
          </cell>
          <cell r="G477" t="str">
            <v>Затраты по ШПЗ (неосновные)</v>
          </cell>
          <cell r="H477">
            <v>2030</v>
          </cell>
          <cell r="I477">
            <v>7920</v>
          </cell>
          <cell r="J477">
            <v>14832.57</v>
          </cell>
          <cell r="K477">
            <v>1</v>
          </cell>
          <cell r="L477">
            <v>0</v>
          </cell>
          <cell r="M477">
            <v>0</v>
          </cell>
          <cell r="N477">
            <v>0</v>
          </cell>
          <cell r="R477">
            <v>0</v>
          </cell>
          <cell r="S477">
            <v>0</v>
          </cell>
          <cell r="T477">
            <v>0</v>
          </cell>
          <cell r="U477">
            <v>37</v>
          </cell>
          <cell r="V477">
            <v>0</v>
          </cell>
          <cell r="W477">
            <v>0</v>
          </cell>
          <cell r="AA477">
            <v>0</v>
          </cell>
          <cell r="AB477">
            <v>0</v>
          </cell>
          <cell r="AC477">
            <v>0</v>
          </cell>
          <cell r="AD477">
            <v>37</v>
          </cell>
          <cell r="AE477">
            <v>230000</v>
          </cell>
          <cell r="AF477">
            <v>0</v>
          </cell>
          <cell r="AI477">
            <v>2312</v>
          </cell>
          <cell r="AK477">
            <v>0</v>
          </cell>
          <cell r="AM477">
            <v>349</v>
          </cell>
          <cell r="AN477">
            <v>1</v>
          </cell>
          <cell r="AO477">
            <v>393216</v>
          </cell>
          <cell r="AQ477">
            <v>0</v>
          </cell>
          <cell r="AR477">
            <v>0</v>
          </cell>
          <cell r="AS477" t="str">
            <v>Ы</v>
          </cell>
          <cell r="AT477" t="str">
            <v>Ы</v>
          </cell>
          <cell r="AU477">
            <v>0</v>
          </cell>
          <cell r="AV477">
            <v>0</v>
          </cell>
          <cell r="AW477">
            <v>23</v>
          </cell>
          <cell r="AX477">
            <v>1</v>
          </cell>
          <cell r="AY477">
            <v>0</v>
          </cell>
          <cell r="AZ477">
            <v>0</v>
          </cell>
          <cell r="BA477">
            <v>0</v>
          </cell>
          <cell r="BB477">
            <v>0</v>
          </cell>
          <cell r="BC477">
            <v>38856</v>
          </cell>
        </row>
        <row r="478">
          <cell r="A478">
            <v>2006</v>
          </cell>
          <cell r="B478">
            <v>4</v>
          </cell>
          <cell r="C478">
            <v>204</v>
          </cell>
          <cell r="D478">
            <v>17</v>
          </cell>
          <cell r="E478">
            <v>792030</v>
          </cell>
          <cell r="F478">
            <v>0</v>
          </cell>
          <cell r="G478" t="str">
            <v>Затраты по ШПЗ (неосновные)</v>
          </cell>
          <cell r="H478">
            <v>2030</v>
          </cell>
          <cell r="I478">
            <v>7920</v>
          </cell>
          <cell r="J478">
            <v>1388800</v>
          </cell>
          <cell r="K478">
            <v>1</v>
          </cell>
          <cell r="L478">
            <v>0</v>
          </cell>
          <cell r="M478">
            <v>0</v>
          </cell>
          <cell r="N478">
            <v>0</v>
          </cell>
          <cell r="R478">
            <v>0</v>
          </cell>
          <cell r="S478">
            <v>0</v>
          </cell>
          <cell r="T478">
            <v>0</v>
          </cell>
          <cell r="U478">
            <v>37</v>
          </cell>
          <cell r="V478">
            <v>0</v>
          </cell>
          <cell r="W478">
            <v>0</v>
          </cell>
          <cell r="AA478">
            <v>0</v>
          </cell>
          <cell r="AB478">
            <v>0</v>
          </cell>
          <cell r="AC478">
            <v>0</v>
          </cell>
          <cell r="AD478">
            <v>37</v>
          </cell>
          <cell r="AE478">
            <v>240000</v>
          </cell>
          <cell r="AF478">
            <v>0</v>
          </cell>
          <cell r="AI478">
            <v>2312</v>
          </cell>
          <cell r="AK478">
            <v>0</v>
          </cell>
          <cell r="AM478">
            <v>350</v>
          </cell>
          <cell r="AN478">
            <v>1</v>
          </cell>
          <cell r="AO478">
            <v>393216</v>
          </cell>
          <cell r="AQ478">
            <v>0</v>
          </cell>
          <cell r="AR478">
            <v>0</v>
          </cell>
          <cell r="AS478" t="str">
            <v>Ы</v>
          </cell>
          <cell r="AT478" t="str">
            <v>Ы</v>
          </cell>
          <cell r="AU478">
            <v>0</v>
          </cell>
          <cell r="AV478">
            <v>0</v>
          </cell>
          <cell r="AW478">
            <v>23</v>
          </cell>
          <cell r="AX478">
            <v>1</v>
          </cell>
          <cell r="AY478">
            <v>0</v>
          </cell>
          <cell r="AZ478">
            <v>0</v>
          </cell>
          <cell r="BA478">
            <v>0</v>
          </cell>
          <cell r="BB478">
            <v>0</v>
          </cell>
          <cell r="BC478">
            <v>38856</v>
          </cell>
        </row>
        <row r="479">
          <cell r="A479">
            <v>2006</v>
          </cell>
          <cell r="B479">
            <v>4</v>
          </cell>
          <cell r="C479">
            <v>205</v>
          </cell>
          <cell r="D479">
            <v>17</v>
          </cell>
          <cell r="E479">
            <v>792030</v>
          </cell>
          <cell r="F479">
            <v>0</v>
          </cell>
          <cell r="G479" t="str">
            <v>Затраты по ШПЗ (неосновные)</v>
          </cell>
          <cell r="H479">
            <v>2030</v>
          </cell>
          <cell r="I479">
            <v>7920</v>
          </cell>
          <cell r="J479">
            <v>5204</v>
          </cell>
          <cell r="K479">
            <v>1</v>
          </cell>
          <cell r="L479">
            <v>0</v>
          </cell>
          <cell r="M479">
            <v>0</v>
          </cell>
          <cell r="N479">
            <v>0</v>
          </cell>
          <cell r="R479">
            <v>0</v>
          </cell>
          <cell r="S479">
            <v>0</v>
          </cell>
          <cell r="T479">
            <v>0</v>
          </cell>
          <cell r="U479">
            <v>37</v>
          </cell>
          <cell r="V479">
            <v>0</v>
          </cell>
          <cell r="W479">
            <v>0</v>
          </cell>
          <cell r="AA479">
            <v>0</v>
          </cell>
          <cell r="AB479">
            <v>0</v>
          </cell>
          <cell r="AC479">
            <v>0</v>
          </cell>
          <cell r="AD479">
            <v>37</v>
          </cell>
          <cell r="AE479">
            <v>270000</v>
          </cell>
          <cell r="AF479">
            <v>0</v>
          </cell>
          <cell r="AI479">
            <v>2312</v>
          </cell>
          <cell r="AK479">
            <v>0</v>
          </cell>
          <cell r="AM479">
            <v>351</v>
          </cell>
          <cell r="AN479">
            <v>1</v>
          </cell>
          <cell r="AO479">
            <v>393216</v>
          </cell>
          <cell r="AQ479">
            <v>0</v>
          </cell>
          <cell r="AR479">
            <v>0</v>
          </cell>
          <cell r="AS479" t="str">
            <v>Ы</v>
          </cell>
          <cell r="AT479" t="str">
            <v>Ы</v>
          </cell>
          <cell r="AU479">
            <v>0</v>
          </cell>
          <cell r="AV479">
            <v>0</v>
          </cell>
          <cell r="AW479">
            <v>23</v>
          </cell>
          <cell r="AX479">
            <v>1</v>
          </cell>
          <cell r="AY479">
            <v>0</v>
          </cell>
          <cell r="AZ479">
            <v>0</v>
          </cell>
          <cell r="BA479">
            <v>0</v>
          </cell>
          <cell r="BB479">
            <v>0</v>
          </cell>
          <cell r="BC479">
            <v>38856</v>
          </cell>
        </row>
        <row r="480">
          <cell r="A480">
            <v>2006</v>
          </cell>
          <cell r="B480">
            <v>4</v>
          </cell>
          <cell r="C480">
            <v>206</v>
          </cell>
          <cell r="D480">
            <v>17</v>
          </cell>
          <cell r="E480">
            <v>792030</v>
          </cell>
          <cell r="F480">
            <v>0</v>
          </cell>
          <cell r="G480" t="str">
            <v>Затраты по ШПЗ (неосновные)</v>
          </cell>
          <cell r="H480">
            <v>2030</v>
          </cell>
          <cell r="I480">
            <v>7920</v>
          </cell>
          <cell r="J480">
            <v>929.08</v>
          </cell>
          <cell r="K480">
            <v>1</v>
          </cell>
          <cell r="L480">
            <v>0</v>
          </cell>
          <cell r="M480">
            <v>0</v>
          </cell>
          <cell r="N480">
            <v>0</v>
          </cell>
          <cell r="R480">
            <v>0</v>
          </cell>
          <cell r="S480">
            <v>0</v>
          </cell>
          <cell r="T480">
            <v>0</v>
          </cell>
          <cell r="U480">
            <v>37</v>
          </cell>
          <cell r="V480">
            <v>0</v>
          </cell>
          <cell r="W480">
            <v>0</v>
          </cell>
          <cell r="AA480">
            <v>0</v>
          </cell>
          <cell r="AB480">
            <v>0</v>
          </cell>
          <cell r="AC480">
            <v>0</v>
          </cell>
          <cell r="AD480">
            <v>37</v>
          </cell>
          <cell r="AE480">
            <v>280000</v>
          </cell>
          <cell r="AF480">
            <v>0</v>
          </cell>
          <cell r="AI480">
            <v>2312</v>
          </cell>
          <cell r="AK480">
            <v>0</v>
          </cell>
          <cell r="AM480">
            <v>352</v>
          </cell>
          <cell r="AN480">
            <v>1</v>
          </cell>
          <cell r="AO480">
            <v>393216</v>
          </cell>
          <cell r="AQ480">
            <v>0</v>
          </cell>
          <cell r="AR480">
            <v>0</v>
          </cell>
          <cell r="AS480" t="str">
            <v>Ы</v>
          </cell>
          <cell r="AT480" t="str">
            <v>Ы</v>
          </cell>
          <cell r="AU480">
            <v>0</v>
          </cell>
          <cell r="AV480">
            <v>0</v>
          </cell>
          <cell r="AW480">
            <v>23</v>
          </cell>
          <cell r="AX480">
            <v>1</v>
          </cell>
          <cell r="AY480">
            <v>0</v>
          </cell>
          <cell r="AZ480">
            <v>0</v>
          </cell>
          <cell r="BA480">
            <v>0</v>
          </cell>
          <cell r="BB480">
            <v>0</v>
          </cell>
          <cell r="BC480">
            <v>38856</v>
          </cell>
        </row>
        <row r="481">
          <cell r="A481">
            <v>2006</v>
          </cell>
          <cell r="B481">
            <v>4</v>
          </cell>
          <cell r="C481">
            <v>207</v>
          </cell>
          <cell r="D481">
            <v>17</v>
          </cell>
          <cell r="E481">
            <v>792030</v>
          </cell>
          <cell r="F481">
            <v>0</v>
          </cell>
          <cell r="G481" t="str">
            <v>Затраты по ШПЗ (неосновные)</v>
          </cell>
          <cell r="H481">
            <v>2030</v>
          </cell>
          <cell r="I481">
            <v>7920</v>
          </cell>
          <cell r="J481">
            <v>5117.25</v>
          </cell>
          <cell r="K481">
            <v>1</v>
          </cell>
          <cell r="L481">
            <v>0</v>
          </cell>
          <cell r="M481">
            <v>0</v>
          </cell>
          <cell r="N481">
            <v>0</v>
          </cell>
          <cell r="R481">
            <v>0</v>
          </cell>
          <cell r="S481">
            <v>0</v>
          </cell>
          <cell r="T481">
            <v>0</v>
          </cell>
          <cell r="U481">
            <v>37</v>
          </cell>
          <cell r="V481">
            <v>0</v>
          </cell>
          <cell r="W481">
            <v>0</v>
          </cell>
          <cell r="AA481">
            <v>0</v>
          </cell>
          <cell r="AB481">
            <v>0</v>
          </cell>
          <cell r="AC481">
            <v>0</v>
          </cell>
          <cell r="AD481">
            <v>37</v>
          </cell>
          <cell r="AE481">
            <v>280100</v>
          </cell>
          <cell r="AF481">
            <v>0</v>
          </cell>
          <cell r="AI481">
            <v>2312</v>
          </cell>
          <cell r="AK481">
            <v>0</v>
          </cell>
          <cell r="AM481">
            <v>353</v>
          </cell>
          <cell r="AN481">
            <v>1</v>
          </cell>
          <cell r="AO481">
            <v>393216</v>
          </cell>
          <cell r="AQ481">
            <v>0</v>
          </cell>
          <cell r="AR481">
            <v>0</v>
          </cell>
          <cell r="AS481" t="str">
            <v>Ы</v>
          </cell>
          <cell r="AT481" t="str">
            <v>Ы</v>
          </cell>
          <cell r="AU481">
            <v>0</v>
          </cell>
          <cell r="AV481">
            <v>0</v>
          </cell>
          <cell r="AW481">
            <v>23</v>
          </cell>
          <cell r="AX481">
            <v>1</v>
          </cell>
          <cell r="AY481">
            <v>0</v>
          </cell>
          <cell r="AZ481">
            <v>0</v>
          </cell>
          <cell r="BA481">
            <v>0</v>
          </cell>
          <cell r="BB481">
            <v>0</v>
          </cell>
          <cell r="BC481">
            <v>38856</v>
          </cell>
        </row>
        <row r="482">
          <cell r="A482">
            <v>2006</v>
          </cell>
          <cell r="B482">
            <v>4</v>
          </cell>
          <cell r="C482">
            <v>208</v>
          </cell>
          <cell r="D482">
            <v>17</v>
          </cell>
          <cell r="E482">
            <v>792030</v>
          </cell>
          <cell r="F482">
            <v>0</v>
          </cell>
          <cell r="G482" t="str">
            <v>Затраты по ШПЗ (неосновные)</v>
          </cell>
          <cell r="H482">
            <v>2030</v>
          </cell>
          <cell r="I482">
            <v>7920</v>
          </cell>
          <cell r="J482">
            <v>3386</v>
          </cell>
          <cell r="K482">
            <v>1</v>
          </cell>
          <cell r="L482">
            <v>0</v>
          </cell>
          <cell r="M482">
            <v>0</v>
          </cell>
          <cell r="N482">
            <v>0</v>
          </cell>
          <cell r="R482">
            <v>0</v>
          </cell>
          <cell r="S482">
            <v>0</v>
          </cell>
          <cell r="T482">
            <v>0</v>
          </cell>
          <cell r="U482">
            <v>37</v>
          </cell>
          <cell r="V482">
            <v>0</v>
          </cell>
          <cell r="W482">
            <v>0</v>
          </cell>
          <cell r="AA482">
            <v>0</v>
          </cell>
          <cell r="AB482">
            <v>0</v>
          </cell>
          <cell r="AC482">
            <v>0</v>
          </cell>
          <cell r="AD482">
            <v>37</v>
          </cell>
          <cell r="AE482">
            <v>280400</v>
          </cell>
          <cell r="AF482">
            <v>0</v>
          </cell>
          <cell r="AI482">
            <v>2312</v>
          </cell>
          <cell r="AK482">
            <v>0</v>
          </cell>
          <cell r="AM482">
            <v>354</v>
          </cell>
          <cell r="AN482">
            <v>1</v>
          </cell>
          <cell r="AO482">
            <v>393216</v>
          </cell>
          <cell r="AQ482">
            <v>0</v>
          </cell>
          <cell r="AR482">
            <v>0</v>
          </cell>
          <cell r="AS482" t="str">
            <v>Ы</v>
          </cell>
          <cell r="AT482" t="str">
            <v>Ы</v>
          </cell>
          <cell r="AU482">
            <v>0</v>
          </cell>
          <cell r="AV482">
            <v>0</v>
          </cell>
          <cell r="AW482">
            <v>23</v>
          </cell>
          <cell r="AX482">
            <v>1</v>
          </cell>
          <cell r="AY482">
            <v>0</v>
          </cell>
          <cell r="AZ482">
            <v>0</v>
          </cell>
          <cell r="BA482">
            <v>0</v>
          </cell>
          <cell r="BB482">
            <v>0</v>
          </cell>
          <cell r="BC482">
            <v>38856</v>
          </cell>
        </row>
        <row r="483">
          <cell r="A483">
            <v>2006</v>
          </cell>
          <cell r="B483">
            <v>4</v>
          </cell>
          <cell r="C483">
            <v>209</v>
          </cell>
          <cell r="D483">
            <v>17</v>
          </cell>
          <cell r="E483">
            <v>792030</v>
          </cell>
          <cell r="F483">
            <v>0</v>
          </cell>
          <cell r="G483" t="str">
            <v>Затраты по ШПЗ (неосновные)</v>
          </cell>
          <cell r="H483">
            <v>2030</v>
          </cell>
          <cell r="I483">
            <v>7920</v>
          </cell>
          <cell r="J483">
            <v>42041.279999999999</v>
          </cell>
          <cell r="K483">
            <v>1</v>
          </cell>
          <cell r="L483">
            <v>0</v>
          </cell>
          <cell r="M483">
            <v>0</v>
          </cell>
          <cell r="N483">
            <v>0</v>
          </cell>
          <cell r="R483">
            <v>0</v>
          </cell>
          <cell r="S483">
            <v>0</v>
          </cell>
          <cell r="T483">
            <v>0</v>
          </cell>
          <cell r="U483">
            <v>37</v>
          </cell>
          <cell r="V483">
            <v>0</v>
          </cell>
          <cell r="W483">
            <v>0</v>
          </cell>
          <cell r="AA483">
            <v>0</v>
          </cell>
          <cell r="AB483">
            <v>0</v>
          </cell>
          <cell r="AC483">
            <v>0</v>
          </cell>
          <cell r="AD483">
            <v>37</v>
          </cell>
          <cell r="AE483">
            <v>311000</v>
          </cell>
          <cell r="AF483">
            <v>0</v>
          </cell>
          <cell r="AI483">
            <v>2312</v>
          </cell>
          <cell r="AK483">
            <v>0</v>
          </cell>
          <cell r="AM483">
            <v>355</v>
          </cell>
          <cell r="AN483">
            <v>1</v>
          </cell>
          <cell r="AO483">
            <v>393216</v>
          </cell>
          <cell r="AQ483">
            <v>0</v>
          </cell>
          <cell r="AR483">
            <v>0</v>
          </cell>
          <cell r="AS483" t="str">
            <v>Ы</v>
          </cell>
          <cell r="AT483" t="str">
            <v>Ы</v>
          </cell>
          <cell r="AU483">
            <v>0</v>
          </cell>
          <cell r="AV483">
            <v>0</v>
          </cell>
          <cell r="AW483">
            <v>23</v>
          </cell>
          <cell r="AX483">
            <v>1</v>
          </cell>
          <cell r="AY483">
            <v>0</v>
          </cell>
          <cell r="AZ483">
            <v>0</v>
          </cell>
          <cell r="BA483">
            <v>0</v>
          </cell>
          <cell r="BB483">
            <v>0</v>
          </cell>
          <cell r="BC483">
            <v>38856</v>
          </cell>
        </row>
        <row r="484">
          <cell r="A484">
            <v>2006</v>
          </cell>
          <cell r="B484">
            <v>4</v>
          </cell>
          <cell r="C484">
            <v>210</v>
          </cell>
          <cell r="D484">
            <v>17</v>
          </cell>
          <cell r="E484">
            <v>792030</v>
          </cell>
          <cell r="F484">
            <v>0</v>
          </cell>
          <cell r="G484" t="str">
            <v>Затраты по ШПЗ (неосновные)</v>
          </cell>
          <cell r="H484">
            <v>2030</v>
          </cell>
          <cell r="I484">
            <v>7920</v>
          </cell>
          <cell r="J484">
            <v>290159.67</v>
          </cell>
          <cell r="K484">
            <v>1</v>
          </cell>
          <cell r="L484">
            <v>0</v>
          </cell>
          <cell r="M484">
            <v>0</v>
          </cell>
          <cell r="N484">
            <v>0</v>
          </cell>
          <cell r="R484">
            <v>0</v>
          </cell>
          <cell r="S484">
            <v>0</v>
          </cell>
          <cell r="T484">
            <v>0</v>
          </cell>
          <cell r="U484">
            <v>37</v>
          </cell>
          <cell r="V484">
            <v>0</v>
          </cell>
          <cell r="W484">
            <v>0</v>
          </cell>
          <cell r="AA484">
            <v>0</v>
          </cell>
          <cell r="AB484">
            <v>0</v>
          </cell>
          <cell r="AC484">
            <v>0</v>
          </cell>
          <cell r="AD484">
            <v>37</v>
          </cell>
          <cell r="AE484">
            <v>312000</v>
          </cell>
          <cell r="AF484">
            <v>0</v>
          </cell>
          <cell r="AI484">
            <v>2312</v>
          </cell>
          <cell r="AK484">
            <v>0</v>
          </cell>
          <cell r="AM484">
            <v>356</v>
          </cell>
          <cell r="AN484">
            <v>1</v>
          </cell>
          <cell r="AO484">
            <v>393216</v>
          </cell>
          <cell r="AQ484">
            <v>0</v>
          </cell>
          <cell r="AR484">
            <v>0</v>
          </cell>
          <cell r="AS484" t="str">
            <v>Ы</v>
          </cell>
          <cell r="AT484" t="str">
            <v>Ы</v>
          </cell>
          <cell r="AU484">
            <v>0</v>
          </cell>
          <cell r="AV484">
            <v>0</v>
          </cell>
          <cell r="AW484">
            <v>23</v>
          </cell>
          <cell r="AX484">
            <v>1</v>
          </cell>
          <cell r="AY484">
            <v>0</v>
          </cell>
          <cell r="AZ484">
            <v>0</v>
          </cell>
          <cell r="BA484">
            <v>0</v>
          </cell>
          <cell r="BB484">
            <v>0</v>
          </cell>
          <cell r="BC484">
            <v>38856</v>
          </cell>
        </row>
        <row r="485">
          <cell r="A485">
            <v>2006</v>
          </cell>
          <cell r="B485">
            <v>4</v>
          </cell>
          <cell r="C485">
            <v>211</v>
          </cell>
          <cell r="D485">
            <v>17</v>
          </cell>
          <cell r="E485">
            <v>792030</v>
          </cell>
          <cell r="F485">
            <v>0</v>
          </cell>
          <cell r="G485" t="str">
            <v>Затраты по ШПЗ (неосновные)</v>
          </cell>
          <cell r="H485">
            <v>2030</v>
          </cell>
          <cell r="I485">
            <v>7920</v>
          </cell>
          <cell r="J485">
            <v>15958.09</v>
          </cell>
          <cell r="K485">
            <v>1</v>
          </cell>
          <cell r="L485">
            <v>0</v>
          </cell>
          <cell r="M485">
            <v>0</v>
          </cell>
          <cell r="N485">
            <v>0</v>
          </cell>
          <cell r="R485">
            <v>0</v>
          </cell>
          <cell r="S485">
            <v>0</v>
          </cell>
          <cell r="T485">
            <v>0</v>
          </cell>
          <cell r="U485">
            <v>37</v>
          </cell>
          <cell r="V485">
            <v>0</v>
          </cell>
          <cell r="W485">
            <v>0</v>
          </cell>
          <cell r="AA485">
            <v>0</v>
          </cell>
          <cell r="AB485">
            <v>0</v>
          </cell>
          <cell r="AC485">
            <v>0</v>
          </cell>
          <cell r="AD485">
            <v>37</v>
          </cell>
          <cell r="AE485">
            <v>313000</v>
          </cell>
          <cell r="AF485">
            <v>0</v>
          </cell>
          <cell r="AI485">
            <v>2312</v>
          </cell>
          <cell r="AK485">
            <v>0</v>
          </cell>
          <cell r="AM485">
            <v>357</v>
          </cell>
          <cell r="AN485">
            <v>1</v>
          </cell>
          <cell r="AO485">
            <v>393216</v>
          </cell>
          <cell r="AQ485">
            <v>0</v>
          </cell>
          <cell r="AR485">
            <v>0</v>
          </cell>
          <cell r="AS485" t="str">
            <v>Ы</v>
          </cell>
          <cell r="AT485" t="str">
            <v>Ы</v>
          </cell>
          <cell r="AU485">
            <v>0</v>
          </cell>
          <cell r="AV485">
            <v>0</v>
          </cell>
          <cell r="AW485">
            <v>23</v>
          </cell>
          <cell r="AX485">
            <v>1</v>
          </cell>
          <cell r="AY485">
            <v>0</v>
          </cell>
          <cell r="AZ485">
            <v>0</v>
          </cell>
          <cell r="BA485">
            <v>0</v>
          </cell>
          <cell r="BB485">
            <v>0</v>
          </cell>
          <cell r="BC485">
            <v>38856</v>
          </cell>
        </row>
        <row r="486">
          <cell r="A486">
            <v>2006</v>
          </cell>
          <cell r="B486">
            <v>4</v>
          </cell>
          <cell r="C486">
            <v>212</v>
          </cell>
          <cell r="D486">
            <v>17</v>
          </cell>
          <cell r="E486">
            <v>792030</v>
          </cell>
          <cell r="F486">
            <v>0</v>
          </cell>
          <cell r="G486" t="str">
            <v>Затраты по ШПЗ (неосновные)</v>
          </cell>
          <cell r="H486">
            <v>2030</v>
          </cell>
          <cell r="I486">
            <v>7920</v>
          </cell>
          <cell r="J486">
            <v>28984.18</v>
          </cell>
          <cell r="K486">
            <v>1</v>
          </cell>
          <cell r="L486">
            <v>0</v>
          </cell>
          <cell r="M486">
            <v>0</v>
          </cell>
          <cell r="N486">
            <v>0</v>
          </cell>
          <cell r="R486">
            <v>0</v>
          </cell>
          <cell r="S486">
            <v>0</v>
          </cell>
          <cell r="T486">
            <v>0</v>
          </cell>
          <cell r="U486">
            <v>37</v>
          </cell>
          <cell r="V486">
            <v>0</v>
          </cell>
          <cell r="W486">
            <v>0</v>
          </cell>
          <cell r="AA486">
            <v>0</v>
          </cell>
          <cell r="AB486">
            <v>0</v>
          </cell>
          <cell r="AC486">
            <v>0</v>
          </cell>
          <cell r="AD486">
            <v>37</v>
          </cell>
          <cell r="AE486">
            <v>314000</v>
          </cell>
          <cell r="AF486">
            <v>0</v>
          </cell>
          <cell r="AI486">
            <v>2312</v>
          </cell>
          <cell r="AK486">
            <v>0</v>
          </cell>
          <cell r="AM486">
            <v>358</v>
          </cell>
          <cell r="AN486">
            <v>1</v>
          </cell>
          <cell r="AO486">
            <v>393216</v>
          </cell>
          <cell r="AQ486">
            <v>0</v>
          </cell>
          <cell r="AR486">
            <v>0</v>
          </cell>
          <cell r="AS486" t="str">
            <v>Ы</v>
          </cell>
          <cell r="AT486" t="str">
            <v>Ы</v>
          </cell>
          <cell r="AU486">
            <v>0</v>
          </cell>
          <cell r="AV486">
            <v>0</v>
          </cell>
          <cell r="AW486">
            <v>23</v>
          </cell>
          <cell r="AX486">
            <v>1</v>
          </cell>
          <cell r="AY486">
            <v>0</v>
          </cell>
          <cell r="AZ486">
            <v>0</v>
          </cell>
          <cell r="BA486">
            <v>0</v>
          </cell>
          <cell r="BB486">
            <v>0</v>
          </cell>
          <cell r="BC486">
            <v>38856</v>
          </cell>
        </row>
        <row r="487">
          <cell r="A487">
            <v>2006</v>
          </cell>
          <cell r="B487">
            <v>4</v>
          </cell>
          <cell r="C487">
            <v>213</v>
          </cell>
          <cell r="D487">
            <v>17</v>
          </cell>
          <cell r="E487">
            <v>792030</v>
          </cell>
          <cell r="F487">
            <v>0</v>
          </cell>
          <cell r="G487" t="str">
            <v>Затраты по ШПЗ (неосновные)</v>
          </cell>
          <cell r="H487">
            <v>2030</v>
          </cell>
          <cell r="I487">
            <v>7920</v>
          </cell>
          <cell r="J487">
            <v>5815.21</v>
          </cell>
          <cell r="K487">
            <v>1</v>
          </cell>
          <cell r="L487">
            <v>0</v>
          </cell>
          <cell r="M487">
            <v>0</v>
          </cell>
          <cell r="N487">
            <v>0</v>
          </cell>
          <cell r="R487">
            <v>0</v>
          </cell>
          <cell r="S487">
            <v>0</v>
          </cell>
          <cell r="T487">
            <v>0</v>
          </cell>
          <cell r="U487">
            <v>37</v>
          </cell>
          <cell r="V487">
            <v>0</v>
          </cell>
          <cell r="W487">
            <v>0</v>
          </cell>
          <cell r="AA487">
            <v>0</v>
          </cell>
          <cell r="AB487">
            <v>0</v>
          </cell>
          <cell r="AC487">
            <v>0</v>
          </cell>
          <cell r="AD487">
            <v>37</v>
          </cell>
          <cell r="AE487">
            <v>315000</v>
          </cell>
          <cell r="AF487">
            <v>0</v>
          </cell>
          <cell r="AI487">
            <v>2312</v>
          </cell>
          <cell r="AK487">
            <v>0</v>
          </cell>
          <cell r="AM487">
            <v>359</v>
          </cell>
          <cell r="AN487">
            <v>1</v>
          </cell>
          <cell r="AO487">
            <v>393216</v>
          </cell>
          <cell r="AQ487">
            <v>0</v>
          </cell>
          <cell r="AR487">
            <v>0</v>
          </cell>
          <cell r="AS487" t="str">
            <v>Ы</v>
          </cell>
          <cell r="AT487" t="str">
            <v>Ы</v>
          </cell>
          <cell r="AU487">
            <v>0</v>
          </cell>
          <cell r="AV487">
            <v>0</v>
          </cell>
          <cell r="AW487">
            <v>23</v>
          </cell>
          <cell r="AX487">
            <v>1</v>
          </cell>
          <cell r="AY487">
            <v>0</v>
          </cell>
          <cell r="AZ487">
            <v>0</v>
          </cell>
          <cell r="BA487">
            <v>0</v>
          </cell>
          <cell r="BB487">
            <v>0</v>
          </cell>
          <cell r="BC487">
            <v>38856</v>
          </cell>
        </row>
        <row r="488">
          <cell r="A488">
            <v>2006</v>
          </cell>
          <cell r="B488">
            <v>4</v>
          </cell>
          <cell r="C488">
            <v>214</v>
          </cell>
          <cell r="D488">
            <v>17</v>
          </cell>
          <cell r="E488">
            <v>792030</v>
          </cell>
          <cell r="F488">
            <v>0</v>
          </cell>
          <cell r="G488" t="str">
            <v>Затраты по ШПЗ (неосновные)</v>
          </cell>
          <cell r="H488">
            <v>2030</v>
          </cell>
          <cell r="I488">
            <v>7920</v>
          </cell>
          <cell r="J488">
            <v>1000</v>
          </cell>
          <cell r="K488">
            <v>1</v>
          </cell>
          <cell r="L488">
            <v>0</v>
          </cell>
          <cell r="M488">
            <v>0</v>
          </cell>
          <cell r="N488">
            <v>0</v>
          </cell>
          <cell r="R488">
            <v>0</v>
          </cell>
          <cell r="S488">
            <v>0</v>
          </cell>
          <cell r="T488">
            <v>0</v>
          </cell>
          <cell r="U488">
            <v>37</v>
          </cell>
          <cell r="V488">
            <v>0</v>
          </cell>
          <cell r="W488">
            <v>0</v>
          </cell>
          <cell r="AA488">
            <v>0</v>
          </cell>
          <cell r="AB488">
            <v>0</v>
          </cell>
          <cell r="AC488">
            <v>0</v>
          </cell>
          <cell r="AD488">
            <v>37</v>
          </cell>
          <cell r="AE488">
            <v>510100</v>
          </cell>
          <cell r="AF488">
            <v>0</v>
          </cell>
          <cell r="AI488">
            <v>2312</v>
          </cell>
          <cell r="AK488">
            <v>0</v>
          </cell>
          <cell r="AM488">
            <v>360</v>
          </cell>
          <cell r="AN488">
            <v>1</v>
          </cell>
          <cell r="AO488">
            <v>393216</v>
          </cell>
          <cell r="AQ488">
            <v>0</v>
          </cell>
          <cell r="AR488">
            <v>0</v>
          </cell>
          <cell r="AS488" t="str">
            <v>Ы</v>
          </cell>
          <cell r="AT488" t="str">
            <v>Ы</v>
          </cell>
          <cell r="AU488">
            <v>0</v>
          </cell>
          <cell r="AV488">
            <v>0</v>
          </cell>
          <cell r="AW488">
            <v>23</v>
          </cell>
          <cell r="AX488">
            <v>1</v>
          </cell>
          <cell r="AY488">
            <v>0</v>
          </cell>
          <cell r="AZ488">
            <v>0</v>
          </cell>
          <cell r="BA488">
            <v>0</v>
          </cell>
          <cell r="BB488">
            <v>0</v>
          </cell>
          <cell r="BC488">
            <v>38856</v>
          </cell>
        </row>
        <row r="489">
          <cell r="A489">
            <v>2006</v>
          </cell>
          <cell r="B489">
            <v>4</v>
          </cell>
          <cell r="C489">
            <v>281</v>
          </cell>
          <cell r="D489">
            <v>17</v>
          </cell>
          <cell r="E489">
            <v>792030</v>
          </cell>
          <cell r="F489">
            <v>0</v>
          </cell>
          <cell r="G489" t="str">
            <v>Затраты по ШПЗ (неосновные)</v>
          </cell>
          <cell r="H489">
            <v>2030</v>
          </cell>
          <cell r="I489">
            <v>7920</v>
          </cell>
          <cell r="J489">
            <v>1.33</v>
          </cell>
          <cell r="K489">
            <v>1</v>
          </cell>
          <cell r="L489">
            <v>0</v>
          </cell>
          <cell r="M489">
            <v>0</v>
          </cell>
          <cell r="N489">
            <v>0</v>
          </cell>
          <cell r="R489">
            <v>0</v>
          </cell>
          <cell r="S489">
            <v>0</v>
          </cell>
          <cell r="T489">
            <v>0</v>
          </cell>
          <cell r="U489">
            <v>35</v>
          </cell>
          <cell r="V489">
            <v>0</v>
          </cell>
          <cell r="W489">
            <v>0</v>
          </cell>
          <cell r="AA489">
            <v>0</v>
          </cell>
          <cell r="AB489">
            <v>0</v>
          </cell>
          <cell r="AC489">
            <v>0</v>
          </cell>
          <cell r="AD489">
            <v>35</v>
          </cell>
          <cell r="AE489">
            <v>117000</v>
          </cell>
          <cell r="AF489">
            <v>0</v>
          </cell>
          <cell r="AI489">
            <v>2312</v>
          </cell>
          <cell r="AK489">
            <v>0</v>
          </cell>
          <cell r="AM489">
            <v>427</v>
          </cell>
          <cell r="AN489">
            <v>1</v>
          </cell>
          <cell r="AO489">
            <v>393216</v>
          </cell>
          <cell r="AQ489">
            <v>0</v>
          </cell>
          <cell r="AR489">
            <v>0</v>
          </cell>
          <cell r="AS489" t="str">
            <v>Ы</v>
          </cell>
          <cell r="AT489" t="str">
            <v>Ы</v>
          </cell>
          <cell r="AU489">
            <v>0</v>
          </cell>
          <cell r="AV489">
            <v>0</v>
          </cell>
          <cell r="AW489">
            <v>23</v>
          </cell>
          <cell r="AX489">
            <v>1</v>
          </cell>
          <cell r="AY489">
            <v>0</v>
          </cell>
          <cell r="AZ489">
            <v>0</v>
          </cell>
          <cell r="BA489">
            <v>0</v>
          </cell>
          <cell r="BB489">
            <v>0</v>
          </cell>
          <cell r="BC489">
            <v>38856</v>
          </cell>
        </row>
        <row r="490">
          <cell r="A490">
            <v>2006</v>
          </cell>
          <cell r="B490">
            <v>4</v>
          </cell>
          <cell r="C490">
            <v>282</v>
          </cell>
          <cell r="D490">
            <v>17</v>
          </cell>
          <cell r="E490">
            <v>792030</v>
          </cell>
          <cell r="F490">
            <v>0</v>
          </cell>
          <cell r="G490" t="str">
            <v>Затраты по ШПЗ (неосновные)</v>
          </cell>
          <cell r="H490">
            <v>2030</v>
          </cell>
          <cell r="I490">
            <v>7920</v>
          </cell>
          <cell r="J490">
            <v>7.17</v>
          </cell>
          <cell r="K490">
            <v>1</v>
          </cell>
          <cell r="L490">
            <v>0</v>
          </cell>
          <cell r="M490">
            <v>0</v>
          </cell>
          <cell r="N490">
            <v>0</v>
          </cell>
          <cell r="R490">
            <v>0</v>
          </cell>
          <cell r="S490">
            <v>0</v>
          </cell>
          <cell r="T490">
            <v>0</v>
          </cell>
          <cell r="U490">
            <v>35</v>
          </cell>
          <cell r="V490">
            <v>0</v>
          </cell>
          <cell r="W490">
            <v>0</v>
          </cell>
          <cell r="AA490">
            <v>0</v>
          </cell>
          <cell r="AB490">
            <v>0</v>
          </cell>
          <cell r="AC490">
            <v>0</v>
          </cell>
          <cell r="AD490">
            <v>35</v>
          </cell>
          <cell r="AE490">
            <v>118000</v>
          </cell>
          <cell r="AF490">
            <v>0</v>
          </cell>
          <cell r="AI490">
            <v>2312</v>
          </cell>
          <cell r="AK490">
            <v>0</v>
          </cell>
          <cell r="AM490">
            <v>428</v>
          </cell>
          <cell r="AN490">
            <v>1</v>
          </cell>
          <cell r="AO490">
            <v>393216</v>
          </cell>
          <cell r="AQ490">
            <v>0</v>
          </cell>
          <cell r="AR490">
            <v>0</v>
          </cell>
          <cell r="AS490" t="str">
            <v>Ы</v>
          </cell>
          <cell r="AT490" t="str">
            <v>Ы</v>
          </cell>
          <cell r="AU490">
            <v>0</v>
          </cell>
          <cell r="AV490">
            <v>0</v>
          </cell>
          <cell r="AW490">
            <v>23</v>
          </cell>
          <cell r="AX490">
            <v>1</v>
          </cell>
          <cell r="AY490">
            <v>0</v>
          </cell>
          <cell r="AZ490">
            <v>0</v>
          </cell>
          <cell r="BA490">
            <v>0</v>
          </cell>
          <cell r="BB490">
            <v>0</v>
          </cell>
          <cell r="BC490">
            <v>38856</v>
          </cell>
        </row>
        <row r="491">
          <cell r="A491">
            <v>2006</v>
          </cell>
          <cell r="B491">
            <v>4</v>
          </cell>
          <cell r="C491">
            <v>283</v>
          </cell>
          <cell r="D491">
            <v>17</v>
          </cell>
          <cell r="E491">
            <v>792030</v>
          </cell>
          <cell r="F491">
            <v>0</v>
          </cell>
          <cell r="G491" t="str">
            <v>Затраты по ШПЗ (неосновные)</v>
          </cell>
          <cell r="H491">
            <v>2030</v>
          </cell>
          <cell r="I491">
            <v>7920</v>
          </cell>
          <cell r="J491">
            <v>3.83</v>
          </cell>
          <cell r="K491">
            <v>1</v>
          </cell>
          <cell r="L491">
            <v>0</v>
          </cell>
          <cell r="M491">
            <v>0</v>
          </cell>
          <cell r="N491">
            <v>0</v>
          </cell>
          <cell r="R491">
            <v>0</v>
          </cell>
          <cell r="S491">
            <v>0</v>
          </cell>
          <cell r="T491">
            <v>0</v>
          </cell>
          <cell r="U491">
            <v>35</v>
          </cell>
          <cell r="V491">
            <v>0</v>
          </cell>
          <cell r="W491">
            <v>0</v>
          </cell>
          <cell r="AA491">
            <v>0</v>
          </cell>
          <cell r="AB491">
            <v>0</v>
          </cell>
          <cell r="AC491">
            <v>0</v>
          </cell>
          <cell r="AD491">
            <v>35</v>
          </cell>
          <cell r="AE491">
            <v>131000</v>
          </cell>
          <cell r="AF491">
            <v>0</v>
          </cell>
          <cell r="AI491">
            <v>2312</v>
          </cell>
          <cell r="AK491">
            <v>0</v>
          </cell>
          <cell r="AM491">
            <v>429</v>
          </cell>
          <cell r="AN491">
            <v>1</v>
          </cell>
          <cell r="AO491">
            <v>393216</v>
          </cell>
          <cell r="AQ491">
            <v>0</v>
          </cell>
          <cell r="AR491">
            <v>0</v>
          </cell>
          <cell r="AS491" t="str">
            <v>Ы</v>
          </cell>
          <cell r="AT491" t="str">
            <v>Ы</v>
          </cell>
          <cell r="AU491">
            <v>0</v>
          </cell>
          <cell r="AV491">
            <v>0</v>
          </cell>
          <cell r="AW491">
            <v>23</v>
          </cell>
          <cell r="AX491">
            <v>1</v>
          </cell>
          <cell r="AY491">
            <v>0</v>
          </cell>
          <cell r="AZ491">
            <v>0</v>
          </cell>
          <cell r="BA491">
            <v>0</v>
          </cell>
          <cell r="BB491">
            <v>0</v>
          </cell>
          <cell r="BC491">
            <v>38856</v>
          </cell>
        </row>
        <row r="492">
          <cell r="A492">
            <v>2006</v>
          </cell>
          <cell r="B492">
            <v>4</v>
          </cell>
          <cell r="C492">
            <v>284</v>
          </cell>
          <cell r="D492">
            <v>17</v>
          </cell>
          <cell r="E492">
            <v>792030</v>
          </cell>
          <cell r="F492">
            <v>0</v>
          </cell>
          <cell r="G492" t="str">
            <v>Затраты по ШПЗ (неосновные)</v>
          </cell>
          <cell r="H492">
            <v>2030</v>
          </cell>
          <cell r="I492">
            <v>7920</v>
          </cell>
          <cell r="J492">
            <v>0.68</v>
          </cell>
          <cell r="K492">
            <v>1</v>
          </cell>
          <cell r="L492">
            <v>0</v>
          </cell>
          <cell r="M492">
            <v>0</v>
          </cell>
          <cell r="N492">
            <v>0</v>
          </cell>
          <cell r="R492">
            <v>0</v>
          </cell>
          <cell r="S492">
            <v>0</v>
          </cell>
          <cell r="T492">
            <v>0</v>
          </cell>
          <cell r="U492">
            <v>35</v>
          </cell>
          <cell r="V492">
            <v>0</v>
          </cell>
          <cell r="W492">
            <v>0</v>
          </cell>
          <cell r="AA492">
            <v>0</v>
          </cell>
          <cell r="AB492">
            <v>0</v>
          </cell>
          <cell r="AC492">
            <v>0</v>
          </cell>
          <cell r="AD492">
            <v>35</v>
          </cell>
          <cell r="AE492">
            <v>132000</v>
          </cell>
          <cell r="AF492">
            <v>0</v>
          </cell>
          <cell r="AI492">
            <v>2312</v>
          </cell>
          <cell r="AK492">
            <v>0</v>
          </cell>
          <cell r="AM492">
            <v>430</v>
          </cell>
          <cell r="AN492">
            <v>1</v>
          </cell>
          <cell r="AO492">
            <v>393216</v>
          </cell>
          <cell r="AQ492">
            <v>0</v>
          </cell>
          <cell r="AR492">
            <v>0</v>
          </cell>
          <cell r="AS492" t="str">
            <v>Ы</v>
          </cell>
          <cell r="AT492" t="str">
            <v>Ы</v>
          </cell>
          <cell r="AU492">
            <v>0</v>
          </cell>
          <cell r="AV492">
            <v>0</v>
          </cell>
          <cell r="AW492">
            <v>23</v>
          </cell>
          <cell r="AX492">
            <v>1</v>
          </cell>
          <cell r="AY492">
            <v>0</v>
          </cell>
          <cell r="AZ492">
            <v>0</v>
          </cell>
          <cell r="BA492">
            <v>0</v>
          </cell>
          <cell r="BB492">
            <v>0</v>
          </cell>
          <cell r="BC492">
            <v>38856</v>
          </cell>
        </row>
        <row r="493">
          <cell r="A493">
            <v>2006</v>
          </cell>
          <cell r="B493">
            <v>4</v>
          </cell>
          <cell r="C493">
            <v>285</v>
          </cell>
          <cell r="D493">
            <v>17</v>
          </cell>
          <cell r="E493">
            <v>792030</v>
          </cell>
          <cell r="F493">
            <v>0</v>
          </cell>
          <cell r="G493" t="str">
            <v>Затраты по ШПЗ (неосновные)</v>
          </cell>
          <cell r="H493">
            <v>2030</v>
          </cell>
          <cell r="I493">
            <v>7920</v>
          </cell>
          <cell r="J493">
            <v>5040.51</v>
          </cell>
          <cell r="K493">
            <v>1</v>
          </cell>
          <cell r="L493">
            <v>0</v>
          </cell>
          <cell r="M493">
            <v>0</v>
          </cell>
          <cell r="N493">
            <v>0</v>
          </cell>
          <cell r="R493">
            <v>0</v>
          </cell>
          <cell r="S493">
            <v>0</v>
          </cell>
          <cell r="T493">
            <v>0</v>
          </cell>
          <cell r="U493">
            <v>35</v>
          </cell>
          <cell r="V493">
            <v>0</v>
          </cell>
          <cell r="W493">
            <v>0</v>
          </cell>
          <cell r="AA493">
            <v>0</v>
          </cell>
          <cell r="AB493">
            <v>0</v>
          </cell>
          <cell r="AC493">
            <v>0</v>
          </cell>
          <cell r="AD493">
            <v>35</v>
          </cell>
          <cell r="AE493">
            <v>143000</v>
          </cell>
          <cell r="AF493">
            <v>0</v>
          </cell>
          <cell r="AI493">
            <v>2312</v>
          </cell>
          <cell r="AK493">
            <v>0</v>
          </cell>
          <cell r="AM493">
            <v>431</v>
          </cell>
          <cell r="AN493">
            <v>1</v>
          </cell>
          <cell r="AO493">
            <v>393216</v>
          </cell>
          <cell r="AQ493">
            <v>0</v>
          </cell>
          <cell r="AR493">
            <v>0</v>
          </cell>
          <cell r="AS493" t="str">
            <v>Ы</v>
          </cell>
          <cell r="AT493" t="str">
            <v>Ы</v>
          </cell>
          <cell r="AU493">
            <v>0</v>
          </cell>
          <cell r="AV493">
            <v>0</v>
          </cell>
          <cell r="AW493">
            <v>23</v>
          </cell>
          <cell r="AX493">
            <v>1</v>
          </cell>
          <cell r="AY493">
            <v>0</v>
          </cell>
          <cell r="AZ493">
            <v>0</v>
          </cell>
          <cell r="BA493">
            <v>0</v>
          </cell>
          <cell r="BB493">
            <v>0</v>
          </cell>
          <cell r="BC493">
            <v>38856</v>
          </cell>
        </row>
        <row r="494">
          <cell r="A494">
            <v>2006</v>
          </cell>
          <cell r="B494">
            <v>4</v>
          </cell>
          <cell r="C494">
            <v>286</v>
          </cell>
          <cell r="D494">
            <v>17</v>
          </cell>
          <cell r="E494">
            <v>792030</v>
          </cell>
          <cell r="F494">
            <v>0</v>
          </cell>
          <cell r="G494" t="str">
            <v>Затраты по ШПЗ (неосновные)</v>
          </cell>
          <cell r="H494">
            <v>2030</v>
          </cell>
          <cell r="I494">
            <v>7920</v>
          </cell>
          <cell r="J494">
            <v>17.47</v>
          </cell>
          <cell r="K494">
            <v>1</v>
          </cell>
          <cell r="L494">
            <v>0</v>
          </cell>
          <cell r="M494">
            <v>0</v>
          </cell>
          <cell r="N494">
            <v>0</v>
          </cell>
          <cell r="R494">
            <v>0</v>
          </cell>
          <cell r="S494">
            <v>0</v>
          </cell>
          <cell r="T494">
            <v>0</v>
          </cell>
          <cell r="U494">
            <v>35</v>
          </cell>
          <cell r="V494">
            <v>0</v>
          </cell>
          <cell r="W494">
            <v>0</v>
          </cell>
          <cell r="AA494">
            <v>0</v>
          </cell>
          <cell r="AB494">
            <v>0</v>
          </cell>
          <cell r="AC494">
            <v>0</v>
          </cell>
          <cell r="AD494">
            <v>35</v>
          </cell>
          <cell r="AE494">
            <v>410000</v>
          </cell>
          <cell r="AF494">
            <v>0</v>
          </cell>
          <cell r="AI494">
            <v>2312</v>
          </cell>
          <cell r="AK494">
            <v>0</v>
          </cell>
          <cell r="AM494">
            <v>432</v>
          </cell>
          <cell r="AN494">
            <v>1</v>
          </cell>
          <cell r="AO494">
            <v>393216</v>
          </cell>
          <cell r="AQ494">
            <v>0</v>
          </cell>
          <cell r="AR494">
            <v>0</v>
          </cell>
          <cell r="AS494" t="str">
            <v>Ы</v>
          </cell>
          <cell r="AT494" t="str">
            <v>Ы</v>
          </cell>
          <cell r="AU494">
            <v>0</v>
          </cell>
          <cell r="AV494">
            <v>0</v>
          </cell>
          <cell r="AW494">
            <v>23</v>
          </cell>
          <cell r="AX494">
            <v>1</v>
          </cell>
          <cell r="AY494">
            <v>0</v>
          </cell>
          <cell r="AZ494">
            <v>0</v>
          </cell>
          <cell r="BA494">
            <v>0</v>
          </cell>
          <cell r="BB494">
            <v>0</v>
          </cell>
          <cell r="BC494">
            <v>38856</v>
          </cell>
        </row>
        <row r="495">
          <cell r="A495">
            <v>2006</v>
          </cell>
          <cell r="B495">
            <v>4</v>
          </cell>
          <cell r="C495">
            <v>287</v>
          </cell>
          <cell r="D495">
            <v>17</v>
          </cell>
          <cell r="E495">
            <v>792030</v>
          </cell>
          <cell r="F495">
            <v>0</v>
          </cell>
          <cell r="G495" t="str">
            <v>Затраты по ШПЗ (неосновные)</v>
          </cell>
          <cell r="H495">
            <v>2030</v>
          </cell>
          <cell r="I495">
            <v>7920</v>
          </cell>
          <cell r="J495">
            <v>125.73</v>
          </cell>
          <cell r="K495">
            <v>1</v>
          </cell>
          <cell r="L495">
            <v>0</v>
          </cell>
          <cell r="M495">
            <v>0</v>
          </cell>
          <cell r="N495">
            <v>0</v>
          </cell>
          <cell r="R495">
            <v>0</v>
          </cell>
          <cell r="S495">
            <v>0</v>
          </cell>
          <cell r="T495">
            <v>0</v>
          </cell>
          <cell r="U495">
            <v>35</v>
          </cell>
          <cell r="V495">
            <v>0</v>
          </cell>
          <cell r="W495">
            <v>0</v>
          </cell>
          <cell r="AA495">
            <v>0</v>
          </cell>
          <cell r="AB495">
            <v>0</v>
          </cell>
          <cell r="AC495">
            <v>0</v>
          </cell>
          <cell r="AD495">
            <v>35</v>
          </cell>
          <cell r="AE495">
            <v>420000</v>
          </cell>
          <cell r="AF495">
            <v>0</v>
          </cell>
          <cell r="AI495">
            <v>2312</v>
          </cell>
          <cell r="AK495">
            <v>0</v>
          </cell>
          <cell r="AM495">
            <v>433</v>
          </cell>
          <cell r="AN495">
            <v>1</v>
          </cell>
          <cell r="AO495">
            <v>393216</v>
          </cell>
          <cell r="AQ495">
            <v>0</v>
          </cell>
          <cell r="AR495">
            <v>0</v>
          </cell>
          <cell r="AS495" t="str">
            <v>Ы</v>
          </cell>
          <cell r="AT495" t="str">
            <v>Ы</v>
          </cell>
          <cell r="AU495">
            <v>0</v>
          </cell>
          <cell r="AV495">
            <v>0</v>
          </cell>
          <cell r="AW495">
            <v>23</v>
          </cell>
          <cell r="AX495">
            <v>1</v>
          </cell>
          <cell r="AY495">
            <v>0</v>
          </cell>
          <cell r="AZ495">
            <v>0</v>
          </cell>
          <cell r="BA495">
            <v>0</v>
          </cell>
          <cell r="BB495">
            <v>0</v>
          </cell>
          <cell r="BC495">
            <v>38856</v>
          </cell>
        </row>
        <row r="496">
          <cell r="A496">
            <v>2006</v>
          </cell>
          <cell r="B496">
            <v>4</v>
          </cell>
          <cell r="C496">
            <v>288</v>
          </cell>
          <cell r="D496">
            <v>17</v>
          </cell>
          <cell r="E496">
            <v>792030</v>
          </cell>
          <cell r="F496">
            <v>0</v>
          </cell>
          <cell r="G496" t="str">
            <v>Затраты по ШПЗ (неосновные)</v>
          </cell>
          <cell r="H496">
            <v>2030</v>
          </cell>
          <cell r="I496">
            <v>7920</v>
          </cell>
          <cell r="J496">
            <v>2.99</v>
          </cell>
          <cell r="K496">
            <v>1</v>
          </cell>
          <cell r="L496">
            <v>0</v>
          </cell>
          <cell r="M496">
            <v>0</v>
          </cell>
          <cell r="N496">
            <v>0</v>
          </cell>
          <cell r="R496">
            <v>0</v>
          </cell>
          <cell r="S496">
            <v>0</v>
          </cell>
          <cell r="T496">
            <v>0</v>
          </cell>
          <cell r="U496">
            <v>35</v>
          </cell>
          <cell r="V496">
            <v>0</v>
          </cell>
          <cell r="W496">
            <v>0</v>
          </cell>
          <cell r="AA496">
            <v>0</v>
          </cell>
          <cell r="AB496">
            <v>0</v>
          </cell>
          <cell r="AC496">
            <v>0</v>
          </cell>
          <cell r="AD496">
            <v>35</v>
          </cell>
          <cell r="AE496">
            <v>430000</v>
          </cell>
          <cell r="AF496">
            <v>0</v>
          </cell>
          <cell r="AI496">
            <v>2312</v>
          </cell>
          <cell r="AK496">
            <v>0</v>
          </cell>
          <cell r="AM496">
            <v>434</v>
          </cell>
          <cell r="AN496">
            <v>1</v>
          </cell>
          <cell r="AO496">
            <v>393216</v>
          </cell>
          <cell r="AQ496">
            <v>0</v>
          </cell>
          <cell r="AR496">
            <v>0</v>
          </cell>
          <cell r="AS496" t="str">
            <v>Ы</v>
          </cell>
          <cell r="AT496" t="str">
            <v>Ы</v>
          </cell>
          <cell r="AU496">
            <v>0</v>
          </cell>
          <cell r="AV496">
            <v>0</v>
          </cell>
          <cell r="AW496">
            <v>23</v>
          </cell>
          <cell r="AX496">
            <v>1</v>
          </cell>
          <cell r="AY496">
            <v>0</v>
          </cell>
          <cell r="AZ496">
            <v>0</v>
          </cell>
          <cell r="BA496">
            <v>0</v>
          </cell>
          <cell r="BB496">
            <v>0</v>
          </cell>
          <cell r="BC496">
            <v>38856</v>
          </cell>
        </row>
        <row r="497">
          <cell r="A497">
            <v>2006</v>
          </cell>
          <cell r="B497">
            <v>4</v>
          </cell>
          <cell r="C497">
            <v>289</v>
          </cell>
          <cell r="D497">
            <v>17</v>
          </cell>
          <cell r="E497">
            <v>792030</v>
          </cell>
          <cell r="F497">
            <v>0</v>
          </cell>
          <cell r="G497" t="str">
            <v>Затраты по ШПЗ (неосновные)</v>
          </cell>
          <cell r="H497">
            <v>2030</v>
          </cell>
          <cell r="I497">
            <v>7920</v>
          </cell>
          <cell r="J497">
            <v>19.72</v>
          </cell>
          <cell r="K497">
            <v>1</v>
          </cell>
          <cell r="L497">
            <v>0</v>
          </cell>
          <cell r="M497">
            <v>0</v>
          </cell>
          <cell r="N497">
            <v>0</v>
          </cell>
          <cell r="R497">
            <v>0</v>
          </cell>
          <cell r="S497">
            <v>0</v>
          </cell>
          <cell r="T497">
            <v>0</v>
          </cell>
          <cell r="U497">
            <v>35</v>
          </cell>
          <cell r="V497">
            <v>0</v>
          </cell>
          <cell r="W497">
            <v>0</v>
          </cell>
          <cell r="AA497">
            <v>0</v>
          </cell>
          <cell r="AB497">
            <v>0</v>
          </cell>
          <cell r="AC497">
            <v>0</v>
          </cell>
          <cell r="AD497">
            <v>35</v>
          </cell>
          <cell r="AE497">
            <v>430110</v>
          </cell>
          <cell r="AF497">
            <v>0</v>
          </cell>
          <cell r="AI497">
            <v>2312</v>
          </cell>
          <cell r="AK497">
            <v>0</v>
          </cell>
          <cell r="AM497">
            <v>435</v>
          </cell>
          <cell r="AN497">
            <v>1</v>
          </cell>
          <cell r="AO497">
            <v>393216</v>
          </cell>
          <cell r="AQ497">
            <v>0</v>
          </cell>
          <cell r="AR497">
            <v>0</v>
          </cell>
          <cell r="AS497" t="str">
            <v>Ы</v>
          </cell>
          <cell r="AT497" t="str">
            <v>Ы</v>
          </cell>
          <cell r="AU497">
            <v>0</v>
          </cell>
          <cell r="AV497">
            <v>0</v>
          </cell>
          <cell r="AW497">
            <v>23</v>
          </cell>
          <cell r="AX497">
            <v>1</v>
          </cell>
          <cell r="AY497">
            <v>0</v>
          </cell>
          <cell r="AZ497">
            <v>0</v>
          </cell>
          <cell r="BA497">
            <v>0</v>
          </cell>
          <cell r="BB497">
            <v>0</v>
          </cell>
          <cell r="BC497">
            <v>38856</v>
          </cell>
        </row>
        <row r="498">
          <cell r="A498">
            <v>2006</v>
          </cell>
          <cell r="B498">
            <v>4</v>
          </cell>
          <cell r="C498">
            <v>290</v>
          </cell>
          <cell r="D498">
            <v>17</v>
          </cell>
          <cell r="E498">
            <v>792030</v>
          </cell>
          <cell r="F498">
            <v>0</v>
          </cell>
          <cell r="G498" t="str">
            <v>Затраты по ШПЗ (неосновные)</v>
          </cell>
          <cell r="H498">
            <v>2030</v>
          </cell>
          <cell r="I498">
            <v>7920</v>
          </cell>
          <cell r="J498">
            <v>6.87</v>
          </cell>
          <cell r="K498">
            <v>1</v>
          </cell>
          <cell r="L498">
            <v>0</v>
          </cell>
          <cell r="M498">
            <v>0</v>
          </cell>
          <cell r="N498">
            <v>0</v>
          </cell>
          <cell r="R498">
            <v>0</v>
          </cell>
          <cell r="S498">
            <v>0</v>
          </cell>
          <cell r="T498">
            <v>0</v>
          </cell>
          <cell r="U498">
            <v>35</v>
          </cell>
          <cell r="V498">
            <v>0</v>
          </cell>
          <cell r="W498">
            <v>0</v>
          </cell>
          <cell r="AA498">
            <v>0</v>
          </cell>
          <cell r="AB498">
            <v>0</v>
          </cell>
          <cell r="AC498">
            <v>0</v>
          </cell>
          <cell r="AD498">
            <v>35</v>
          </cell>
          <cell r="AE498">
            <v>430120</v>
          </cell>
          <cell r="AF498">
            <v>0</v>
          </cell>
          <cell r="AI498">
            <v>2312</v>
          </cell>
          <cell r="AK498">
            <v>0</v>
          </cell>
          <cell r="AM498">
            <v>436</v>
          </cell>
          <cell r="AN498">
            <v>1</v>
          </cell>
          <cell r="AO498">
            <v>393216</v>
          </cell>
          <cell r="AQ498">
            <v>0</v>
          </cell>
          <cell r="AR498">
            <v>0</v>
          </cell>
          <cell r="AS498" t="str">
            <v>Ы</v>
          </cell>
          <cell r="AT498" t="str">
            <v>Ы</v>
          </cell>
          <cell r="AU498">
            <v>0</v>
          </cell>
          <cell r="AV498">
            <v>0</v>
          </cell>
          <cell r="AW498">
            <v>23</v>
          </cell>
          <cell r="AX498">
            <v>1</v>
          </cell>
          <cell r="AY498">
            <v>0</v>
          </cell>
          <cell r="AZ498">
            <v>0</v>
          </cell>
          <cell r="BA498">
            <v>0</v>
          </cell>
          <cell r="BB498">
            <v>0</v>
          </cell>
          <cell r="BC498">
            <v>38856</v>
          </cell>
        </row>
        <row r="499">
          <cell r="A499">
            <v>2006</v>
          </cell>
          <cell r="B499">
            <v>4</v>
          </cell>
          <cell r="C499">
            <v>291</v>
          </cell>
          <cell r="D499">
            <v>17</v>
          </cell>
          <cell r="E499">
            <v>792030</v>
          </cell>
          <cell r="F499">
            <v>0</v>
          </cell>
          <cell r="G499" t="str">
            <v>Затраты по ШПЗ (неосновные)</v>
          </cell>
          <cell r="H499">
            <v>2030</v>
          </cell>
          <cell r="I499">
            <v>7920</v>
          </cell>
          <cell r="J499">
            <v>37.96</v>
          </cell>
          <cell r="K499">
            <v>1</v>
          </cell>
          <cell r="L499">
            <v>0</v>
          </cell>
          <cell r="M499">
            <v>0</v>
          </cell>
          <cell r="N499">
            <v>0</v>
          </cell>
          <cell r="R499">
            <v>0</v>
          </cell>
          <cell r="S499">
            <v>0</v>
          </cell>
          <cell r="T499">
            <v>0</v>
          </cell>
          <cell r="U499">
            <v>35</v>
          </cell>
          <cell r="V499">
            <v>0</v>
          </cell>
          <cell r="W499">
            <v>0</v>
          </cell>
          <cell r="AA499">
            <v>0</v>
          </cell>
          <cell r="AB499">
            <v>0</v>
          </cell>
          <cell r="AC499">
            <v>0</v>
          </cell>
          <cell r="AD499">
            <v>35</v>
          </cell>
          <cell r="AE499">
            <v>430130</v>
          </cell>
          <cell r="AF499">
            <v>0</v>
          </cell>
          <cell r="AI499">
            <v>2312</v>
          </cell>
          <cell r="AK499">
            <v>0</v>
          </cell>
          <cell r="AM499">
            <v>437</v>
          </cell>
          <cell r="AN499">
            <v>1</v>
          </cell>
          <cell r="AO499">
            <v>393216</v>
          </cell>
          <cell r="AQ499">
            <v>0</v>
          </cell>
          <cell r="AR499">
            <v>0</v>
          </cell>
          <cell r="AS499" t="str">
            <v>Ы</v>
          </cell>
          <cell r="AT499" t="str">
            <v>Ы</v>
          </cell>
          <cell r="AU499">
            <v>0</v>
          </cell>
          <cell r="AV499">
            <v>0</v>
          </cell>
          <cell r="AW499">
            <v>23</v>
          </cell>
          <cell r="AX499">
            <v>1</v>
          </cell>
          <cell r="AY499">
            <v>0</v>
          </cell>
          <cell r="AZ499">
            <v>0</v>
          </cell>
          <cell r="BA499">
            <v>0</v>
          </cell>
          <cell r="BB499">
            <v>0</v>
          </cell>
          <cell r="BC499">
            <v>38856</v>
          </cell>
        </row>
        <row r="500">
          <cell r="A500">
            <v>2006</v>
          </cell>
          <cell r="B500">
            <v>4</v>
          </cell>
          <cell r="C500">
            <v>292</v>
          </cell>
          <cell r="D500">
            <v>17</v>
          </cell>
          <cell r="E500">
            <v>792030</v>
          </cell>
          <cell r="F500">
            <v>0</v>
          </cell>
          <cell r="G500" t="str">
            <v>Затраты по ШПЗ (неосновные)</v>
          </cell>
          <cell r="H500">
            <v>2030</v>
          </cell>
          <cell r="I500">
            <v>7920</v>
          </cell>
          <cell r="J500">
            <v>23.19</v>
          </cell>
          <cell r="K500">
            <v>1</v>
          </cell>
          <cell r="L500">
            <v>0</v>
          </cell>
          <cell r="M500">
            <v>0</v>
          </cell>
          <cell r="N500">
            <v>0</v>
          </cell>
          <cell r="R500">
            <v>0</v>
          </cell>
          <cell r="S500">
            <v>0</v>
          </cell>
          <cell r="T500">
            <v>0</v>
          </cell>
          <cell r="U500">
            <v>35</v>
          </cell>
          <cell r="V500">
            <v>0</v>
          </cell>
          <cell r="W500">
            <v>0</v>
          </cell>
          <cell r="AA500">
            <v>0</v>
          </cell>
          <cell r="AB500">
            <v>0</v>
          </cell>
          <cell r="AC500">
            <v>0</v>
          </cell>
          <cell r="AD500">
            <v>35</v>
          </cell>
          <cell r="AE500">
            <v>430140</v>
          </cell>
          <cell r="AF500">
            <v>0</v>
          </cell>
          <cell r="AI500">
            <v>2312</v>
          </cell>
          <cell r="AK500">
            <v>0</v>
          </cell>
          <cell r="AM500">
            <v>438</v>
          </cell>
          <cell r="AN500">
            <v>1</v>
          </cell>
          <cell r="AO500">
            <v>393216</v>
          </cell>
          <cell r="AQ500">
            <v>0</v>
          </cell>
          <cell r="AR500">
            <v>0</v>
          </cell>
          <cell r="AS500" t="str">
            <v>Ы</v>
          </cell>
          <cell r="AT500" t="str">
            <v>Ы</v>
          </cell>
          <cell r="AU500">
            <v>0</v>
          </cell>
          <cell r="AV500">
            <v>0</v>
          </cell>
          <cell r="AW500">
            <v>23</v>
          </cell>
          <cell r="AX500">
            <v>1</v>
          </cell>
          <cell r="AY500">
            <v>0</v>
          </cell>
          <cell r="AZ500">
            <v>0</v>
          </cell>
          <cell r="BA500">
            <v>0</v>
          </cell>
          <cell r="BB500">
            <v>0</v>
          </cell>
          <cell r="BC500">
            <v>38856</v>
          </cell>
        </row>
        <row r="501">
          <cell r="A501">
            <v>2006</v>
          </cell>
          <cell r="B501">
            <v>4</v>
          </cell>
          <cell r="C501">
            <v>293</v>
          </cell>
          <cell r="D501">
            <v>17</v>
          </cell>
          <cell r="E501">
            <v>792030</v>
          </cell>
          <cell r="F501">
            <v>0</v>
          </cell>
          <cell r="G501" t="str">
            <v>Затраты по ШПЗ (неосновные)</v>
          </cell>
          <cell r="H501">
            <v>2030</v>
          </cell>
          <cell r="I501">
            <v>7920</v>
          </cell>
          <cell r="J501">
            <v>7.0000000000000007E-2</v>
          </cell>
          <cell r="K501">
            <v>1</v>
          </cell>
          <cell r="L501">
            <v>0</v>
          </cell>
          <cell r="M501">
            <v>0</v>
          </cell>
          <cell r="N501">
            <v>0</v>
          </cell>
          <cell r="R501">
            <v>0</v>
          </cell>
          <cell r="S501">
            <v>0</v>
          </cell>
          <cell r="T501">
            <v>0</v>
          </cell>
          <cell r="U501">
            <v>35</v>
          </cell>
          <cell r="V501">
            <v>0</v>
          </cell>
          <cell r="W501">
            <v>0</v>
          </cell>
          <cell r="AA501">
            <v>0</v>
          </cell>
          <cell r="AB501">
            <v>0</v>
          </cell>
          <cell r="AC501">
            <v>0</v>
          </cell>
          <cell r="AD501">
            <v>35</v>
          </cell>
          <cell r="AE501">
            <v>430230</v>
          </cell>
          <cell r="AF501">
            <v>0</v>
          </cell>
          <cell r="AI501">
            <v>2312</v>
          </cell>
          <cell r="AK501">
            <v>0</v>
          </cell>
          <cell r="AM501">
            <v>439</v>
          </cell>
          <cell r="AN501">
            <v>1</v>
          </cell>
          <cell r="AO501">
            <v>393216</v>
          </cell>
          <cell r="AQ501">
            <v>0</v>
          </cell>
          <cell r="AR501">
            <v>0</v>
          </cell>
          <cell r="AS501" t="str">
            <v>Ы</v>
          </cell>
          <cell r="AT501" t="str">
            <v>Ы</v>
          </cell>
          <cell r="AU501">
            <v>0</v>
          </cell>
          <cell r="AV501">
            <v>0</v>
          </cell>
          <cell r="AW501">
            <v>23</v>
          </cell>
          <cell r="AX501">
            <v>1</v>
          </cell>
          <cell r="AY501">
            <v>0</v>
          </cell>
          <cell r="AZ501">
            <v>0</v>
          </cell>
          <cell r="BA501">
            <v>0</v>
          </cell>
          <cell r="BB501">
            <v>0</v>
          </cell>
          <cell r="BC501">
            <v>38856</v>
          </cell>
        </row>
        <row r="502">
          <cell r="A502">
            <v>2006</v>
          </cell>
          <cell r="B502">
            <v>4</v>
          </cell>
          <cell r="C502">
            <v>294</v>
          </cell>
          <cell r="D502">
            <v>17</v>
          </cell>
          <cell r="E502">
            <v>792030</v>
          </cell>
          <cell r="F502">
            <v>0</v>
          </cell>
          <cell r="G502" t="str">
            <v>Затраты по ШПЗ (неосновные)</v>
          </cell>
          <cell r="H502">
            <v>2030</v>
          </cell>
          <cell r="I502">
            <v>7920</v>
          </cell>
          <cell r="J502">
            <v>0.25</v>
          </cell>
          <cell r="K502">
            <v>1</v>
          </cell>
          <cell r="L502">
            <v>0</v>
          </cell>
          <cell r="M502">
            <v>0</v>
          </cell>
          <cell r="N502">
            <v>0</v>
          </cell>
          <cell r="R502">
            <v>0</v>
          </cell>
          <cell r="S502">
            <v>0</v>
          </cell>
          <cell r="T502">
            <v>0</v>
          </cell>
          <cell r="U502">
            <v>35</v>
          </cell>
          <cell r="V502">
            <v>0</v>
          </cell>
          <cell r="W502">
            <v>0</v>
          </cell>
          <cell r="AA502">
            <v>0</v>
          </cell>
          <cell r="AB502">
            <v>0</v>
          </cell>
          <cell r="AC502">
            <v>0</v>
          </cell>
          <cell r="AD502">
            <v>35</v>
          </cell>
          <cell r="AE502">
            <v>430240</v>
          </cell>
          <cell r="AF502">
            <v>0</v>
          </cell>
          <cell r="AI502">
            <v>2312</v>
          </cell>
          <cell r="AK502">
            <v>0</v>
          </cell>
          <cell r="AM502">
            <v>440</v>
          </cell>
          <cell r="AN502">
            <v>1</v>
          </cell>
          <cell r="AO502">
            <v>393216</v>
          </cell>
          <cell r="AQ502">
            <v>0</v>
          </cell>
          <cell r="AR502">
            <v>0</v>
          </cell>
          <cell r="AS502" t="str">
            <v>Ы</v>
          </cell>
          <cell r="AT502" t="str">
            <v>Ы</v>
          </cell>
          <cell r="AU502">
            <v>0</v>
          </cell>
          <cell r="AV502">
            <v>0</v>
          </cell>
          <cell r="AW502">
            <v>23</v>
          </cell>
          <cell r="AX502">
            <v>1</v>
          </cell>
          <cell r="AY502">
            <v>0</v>
          </cell>
          <cell r="AZ502">
            <v>0</v>
          </cell>
          <cell r="BA502">
            <v>0</v>
          </cell>
          <cell r="BB502">
            <v>0</v>
          </cell>
          <cell r="BC502">
            <v>38856</v>
          </cell>
        </row>
        <row r="503">
          <cell r="A503">
            <v>2006</v>
          </cell>
          <cell r="B503">
            <v>4</v>
          </cell>
          <cell r="C503">
            <v>295</v>
          </cell>
          <cell r="D503">
            <v>17</v>
          </cell>
          <cell r="E503">
            <v>792030</v>
          </cell>
          <cell r="F503">
            <v>0</v>
          </cell>
          <cell r="G503" t="str">
            <v>Затраты по ШПЗ (неосновные)</v>
          </cell>
          <cell r="H503">
            <v>2030</v>
          </cell>
          <cell r="I503">
            <v>7920</v>
          </cell>
          <cell r="J503">
            <v>23.96</v>
          </cell>
          <cell r="K503">
            <v>1</v>
          </cell>
          <cell r="L503">
            <v>0</v>
          </cell>
          <cell r="M503">
            <v>0</v>
          </cell>
          <cell r="N503">
            <v>0</v>
          </cell>
          <cell r="R503">
            <v>0</v>
          </cell>
          <cell r="S503">
            <v>0</v>
          </cell>
          <cell r="T503">
            <v>0</v>
          </cell>
          <cell r="U503">
            <v>35</v>
          </cell>
          <cell r="V503">
            <v>0</v>
          </cell>
          <cell r="W503">
            <v>0</v>
          </cell>
          <cell r="AA503">
            <v>0</v>
          </cell>
          <cell r="AB503">
            <v>0</v>
          </cell>
          <cell r="AC503">
            <v>0</v>
          </cell>
          <cell r="AD503">
            <v>35</v>
          </cell>
          <cell r="AE503">
            <v>450000</v>
          </cell>
          <cell r="AF503">
            <v>0</v>
          </cell>
          <cell r="AI503">
            <v>2312</v>
          </cell>
          <cell r="AK503">
            <v>0</v>
          </cell>
          <cell r="AM503">
            <v>441</v>
          </cell>
          <cell r="AN503">
            <v>1</v>
          </cell>
          <cell r="AO503">
            <v>393216</v>
          </cell>
          <cell r="AQ503">
            <v>0</v>
          </cell>
          <cell r="AR503">
            <v>0</v>
          </cell>
          <cell r="AS503" t="str">
            <v>Ы</v>
          </cell>
          <cell r="AT503" t="str">
            <v>Ы</v>
          </cell>
          <cell r="AU503">
            <v>0</v>
          </cell>
          <cell r="AV503">
            <v>0</v>
          </cell>
          <cell r="AW503">
            <v>23</v>
          </cell>
          <cell r="AX503">
            <v>1</v>
          </cell>
          <cell r="AY503">
            <v>0</v>
          </cell>
          <cell r="AZ503">
            <v>0</v>
          </cell>
          <cell r="BA503">
            <v>0</v>
          </cell>
          <cell r="BB503">
            <v>0</v>
          </cell>
          <cell r="BC503">
            <v>38856</v>
          </cell>
        </row>
        <row r="504">
          <cell r="A504">
            <v>2006</v>
          </cell>
          <cell r="B504">
            <v>4</v>
          </cell>
          <cell r="C504">
            <v>296</v>
          </cell>
          <cell r="D504">
            <v>17</v>
          </cell>
          <cell r="E504">
            <v>792030</v>
          </cell>
          <cell r="F504">
            <v>0</v>
          </cell>
          <cell r="G504" t="str">
            <v>Затраты по ШПЗ (неосновные)</v>
          </cell>
          <cell r="H504">
            <v>2030</v>
          </cell>
          <cell r="I504">
            <v>7920</v>
          </cell>
          <cell r="J504">
            <v>2.44</v>
          </cell>
          <cell r="K504">
            <v>1</v>
          </cell>
          <cell r="L504">
            <v>0</v>
          </cell>
          <cell r="M504">
            <v>0</v>
          </cell>
          <cell r="N504">
            <v>0</v>
          </cell>
          <cell r="R504">
            <v>0</v>
          </cell>
          <cell r="S504">
            <v>0</v>
          </cell>
          <cell r="T504">
            <v>0</v>
          </cell>
          <cell r="U504">
            <v>35</v>
          </cell>
          <cell r="V504">
            <v>0</v>
          </cell>
          <cell r="W504">
            <v>0</v>
          </cell>
          <cell r="AA504">
            <v>0</v>
          </cell>
          <cell r="AB504">
            <v>0</v>
          </cell>
          <cell r="AC504">
            <v>0</v>
          </cell>
          <cell r="AD504">
            <v>35</v>
          </cell>
          <cell r="AE504">
            <v>460000</v>
          </cell>
          <cell r="AF504">
            <v>0</v>
          </cell>
          <cell r="AI504">
            <v>2312</v>
          </cell>
          <cell r="AK504">
            <v>0</v>
          </cell>
          <cell r="AM504">
            <v>442</v>
          </cell>
          <cell r="AN504">
            <v>1</v>
          </cell>
          <cell r="AO504">
            <v>393216</v>
          </cell>
          <cell r="AQ504">
            <v>0</v>
          </cell>
          <cell r="AR504">
            <v>0</v>
          </cell>
          <cell r="AS504" t="str">
            <v>Ы</v>
          </cell>
          <cell r="AT504" t="str">
            <v>Ы</v>
          </cell>
          <cell r="AU504">
            <v>0</v>
          </cell>
          <cell r="AV504">
            <v>0</v>
          </cell>
          <cell r="AW504">
            <v>23</v>
          </cell>
          <cell r="AX504">
            <v>1</v>
          </cell>
          <cell r="AY504">
            <v>0</v>
          </cell>
          <cell r="AZ504">
            <v>0</v>
          </cell>
          <cell r="BA504">
            <v>0</v>
          </cell>
          <cell r="BB504">
            <v>0</v>
          </cell>
          <cell r="BC504">
            <v>38856</v>
          </cell>
        </row>
        <row r="505">
          <cell r="A505">
            <v>2006</v>
          </cell>
          <cell r="B505">
            <v>4</v>
          </cell>
          <cell r="C505">
            <v>297</v>
          </cell>
          <cell r="D505">
            <v>17</v>
          </cell>
          <cell r="E505">
            <v>792030</v>
          </cell>
          <cell r="F505">
            <v>0</v>
          </cell>
          <cell r="G505" t="str">
            <v>Затраты по ШПЗ (неосновные)</v>
          </cell>
          <cell r="H505">
            <v>2030</v>
          </cell>
          <cell r="I505">
            <v>7920</v>
          </cell>
          <cell r="J505">
            <v>0.95</v>
          </cell>
          <cell r="K505">
            <v>1</v>
          </cell>
          <cell r="L505">
            <v>0</v>
          </cell>
          <cell r="M505">
            <v>0</v>
          </cell>
          <cell r="N505">
            <v>0</v>
          </cell>
          <cell r="R505">
            <v>0</v>
          </cell>
          <cell r="S505">
            <v>0</v>
          </cell>
          <cell r="T505">
            <v>0</v>
          </cell>
          <cell r="U505">
            <v>35</v>
          </cell>
          <cell r="V505">
            <v>0</v>
          </cell>
          <cell r="W505">
            <v>0</v>
          </cell>
          <cell r="AA505">
            <v>0</v>
          </cell>
          <cell r="AB505">
            <v>0</v>
          </cell>
          <cell r="AC505">
            <v>0</v>
          </cell>
          <cell r="AD505">
            <v>35</v>
          </cell>
          <cell r="AE505">
            <v>465000</v>
          </cell>
          <cell r="AF505">
            <v>0</v>
          </cell>
          <cell r="AI505">
            <v>2312</v>
          </cell>
          <cell r="AK505">
            <v>0</v>
          </cell>
          <cell r="AM505">
            <v>443</v>
          </cell>
          <cell r="AN505">
            <v>1</v>
          </cell>
          <cell r="AO505">
            <v>393216</v>
          </cell>
          <cell r="AQ505">
            <v>0</v>
          </cell>
          <cell r="AR505">
            <v>0</v>
          </cell>
          <cell r="AS505" t="str">
            <v>Ы</v>
          </cell>
          <cell r="AT505" t="str">
            <v>Ы</v>
          </cell>
          <cell r="AU505">
            <v>0</v>
          </cell>
          <cell r="AV505">
            <v>0</v>
          </cell>
          <cell r="AW505">
            <v>23</v>
          </cell>
          <cell r="AX505">
            <v>1</v>
          </cell>
          <cell r="AY505">
            <v>0</v>
          </cell>
          <cell r="AZ505">
            <v>0</v>
          </cell>
          <cell r="BA505">
            <v>0</v>
          </cell>
          <cell r="BB505">
            <v>0</v>
          </cell>
          <cell r="BC505">
            <v>38856</v>
          </cell>
        </row>
        <row r="506">
          <cell r="A506">
            <v>2006</v>
          </cell>
          <cell r="B506">
            <v>4</v>
          </cell>
          <cell r="C506">
            <v>298</v>
          </cell>
          <cell r="D506">
            <v>17</v>
          </cell>
          <cell r="E506">
            <v>792030</v>
          </cell>
          <cell r="F506">
            <v>0</v>
          </cell>
          <cell r="G506" t="str">
            <v>Затраты по ШПЗ (неосновные)</v>
          </cell>
          <cell r="H506">
            <v>2030</v>
          </cell>
          <cell r="I506">
            <v>7920</v>
          </cell>
          <cell r="J506">
            <v>3.27</v>
          </cell>
          <cell r="K506">
            <v>1</v>
          </cell>
          <cell r="L506">
            <v>0</v>
          </cell>
          <cell r="M506">
            <v>0</v>
          </cell>
          <cell r="N506">
            <v>0</v>
          </cell>
          <cell r="R506">
            <v>0</v>
          </cell>
          <cell r="S506">
            <v>0</v>
          </cell>
          <cell r="T506">
            <v>0</v>
          </cell>
          <cell r="U506">
            <v>35</v>
          </cell>
          <cell r="V506">
            <v>0</v>
          </cell>
          <cell r="W506">
            <v>0</v>
          </cell>
          <cell r="AA506">
            <v>0</v>
          </cell>
          <cell r="AB506">
            <v>0</v>
          </cell>
          <cell r="AC506">
            <v>0</v>
          </cell>
          <cell r="AD506">
            <v>35</v>
          </cell>
          <cell r="AE506">
            <v>501102</v>
          </cell>
          <cell r="AF506">
            <v>0</v>
          </cell>
          <cell r="AI506">
            <v>2312</v>
          </cell>
          <cell r="AK506">
            <v>0</v>
          </cell>
          <cell r="AM506">
            <v>444</v>
          </cell>
          <cell r="AN506">
            <v>1</v>
          </cell>
          <cell r="AO506">
            <v>393216</v>
          </cell>
          <cell r="AQ506">
            <v>0</v>
          </cell>
          <cell r="AR506">
            <v>0</v>
          </cell>
          <cell r="AS506" t="str">
            <v>Ы</v>
          </cell>
          <cell r="AT506" t="str">
            <v>Ы</v>
          </cell>
          <cell r="AU506">
            <v>0</v>
          </cell>
          <cell r="AV506">
            <v>0</v>
          </cell>
          <cell r="AW506">
            <v>23</v>
          </cell>
          <cell r="AX506">
            <v>1</v>
          </cell>
          <cell r="AY506">
            <v>0</v>
          </cell>
          <cell r="AZ506">
            <v>0</v>
          </cell>
          <cell r="BA506">
            <v>0</v>
          </cell>
          <cell r="BB506">
            <v>0</v>
          </cell>
          <cell r="BC506">
            <v>38856</v>
          </cell>
        </row>
        <row r="507">
          <cell r="A507">
            <v>2006</v>
          </cell>
          <cell r="B507">
            <v>4</v>
          </cell>
          <cell r="C507">
            <v>299</v>
          </cell>
          <cell r="D507">
            <v>17</v>
          </cell>
          <cell r="E507">
            <v>792030</v>
          </cell>
          <cell r="F507">
            <v>0</v>
          </cell>
          <cell r="G507" t="str">
            <v>Затраты по ШПЗ (неосновные)</v>
          </cell>
          <cell r="H507">
            <v>2030</v>
          </cell>
          <cell r="I507">
            <v>7920</v>
          </cell>
          <cell r="J507">
            <v>31.05</v>
          </cell>
          <cell r="K507">
            <v>1</v>
          </cell>
          <cell r="L507">
            <v>0</v>
          </cell>
          <cell r="M507">
            <v>0</v>
          </cell>
          <cell r="N507">
            <v>0</v>
          </cell>
          <cell r="R507">
            <v>0</v>
          </cell>
          <cell r="S507">
            <v>0</v>
          </cell>
          <cell r="T507">
            <v>0</v>
          </cell>
          <cell r="U507">
            <v>35</v>
          </cell>
          <cell r="V507">
            <v>0</v>
          </cell>
          <cell r="W507">
            <v>0</v>
          </cell>
          <cell r="AA507">
            <v>0</v>
          </cell>
          <cell r="AB507">
            <v>0</v>
          </cell>
          <cell r="AC507">
            <v>0</v>
          </cell>
          <cell r="AD507">
            <v>35</v>
          </cell>
          <cell r="AE507">
            <v>503000</v>
          </cell>
          <cell r="AF507">
            <v>0</v>
          </cell>
          <cell r="AI507">
            <v>2312</v>
          </cell>
          <cell r="AK507">
            <v>0</v>
          </cell>
          <cell r="AM507">
            <v>445</v>
          </cell>
          <cell r="AN507">
            <v>1</v>
          </cell>
          <cell r="AO507">
            <v>393216</v>
          </cell>
          <cell r="AQ507">
            <v>0</v>
          </cell>
          <cell r="AR507">
            <v>0</v>
          </cell>
          <cell r="AS507" t="str">
            <v>Ы</v>
          </cell>
          <cell r="AT507" t="str">
            <v>Ы</v>
          </cell>
          <cell r="AU507">
            <v>0</v>
          </cell>
          <cell r="AV507">
            <v>0</v>
          </cell>
          <cell r="AW507">
            <v>23</v>
          </cell>
          <cell r="AX507">
            <v>1</v>
          </cell>
          <cell r="AY507">
            <v>0</v>
          </cell>
          <cell r="AZ507">
            <v>0</v>
          </cell>
          <cell r="BA507">
            <v>0</v>
          </cell>
          <cell r="BB507">
            <v>0</v>
          </cell>
          <cell r="BC507">
            <v>38856</v>
          </cell>
        </row>
        <row r="508">
          <cell r="A508">
            <v>2006</v>
          </cell>
          <cell r="B508">
            <v>4</v>
          </cell>
          <cell r="C508">
            <v>300</v>
          </cell>
          <cell r="D508">
            <v>17</v>
          </cell>
          <cell r="E508">
            <v>792030</v>
          </cell>
          <cell r="F508">
            <v>0</v>
          </cell>
          <cell r="G508" t="str">
            <v>Затраты по ШПЗ (неосновные)</v>
          </cell>
          <cell r="H508">
            <v>2030</v>
          </cell>
          <cell r="I508">
            <v>7920</v>
          </cell>
          <cell r="J508">
            <v>2.65</v>
          </cell>
          <cell r="K508">
            <v>1</v>
          </cell>
          <cell r="L508">
            <v>0</v>
          </cell>
          <cell r="M508">
            <v>0</v>
          </cell>
          <cell r="N508">
            <v>0</v>
          </cell>
          <cell r="R508">
            <v>0</v>
          </cell>
          <cell r="S508">
            <v>0</v>
          </cell>
          <cell r="T508">
            <v>0</v>
          </cell>
          <cell r="U508">
            <v>35</v>
          </cell>
          <cell r="V508">
            <v>0</v>
          </cell>
          <cell r="W508">
            <v>0</v>
          </cell>
          <cell r="AA508">
            <v>0</v>
          </cell>
          <cell r="AB508">
            <v>0</v>
          </cell>
          <cell r="AC508">
            <v>0</v>
          </cell>
          <cell r="AD508">
            <v>35</v>
          </cell>
          <cell r="AE508">
            <v>504100</v>
          </cell>
          <cell r="AF508">
            <v>0</v>
          </cell>
          <cell r="AI508">
            <v>2312</v>
          </cell>
          <cell r="AK508">
            <v>0</v>
          </cell>
          <cell r="AM508">
            <v>446</v>
          </cell>
          <cell r="AN508">
            <v>1</v>
          </cell>
          <cell r="AO508">
            <v>393216</v>
          </cell>
          <cell r="AQ508">
            <v>0</v>
          </cell>
          <cell r="AR508">
            <v>0</v>
          </cell>
          <cell r="AS508" t="str">
            <v>Ы</v>
          </cell>
          <cell r="AT508" t="str">
            <v>Ы</v>
          </cell>
          <cell r="AU508">
            <v>0</v>
          </cell>
          <cell r="AV508">
            <v>0</v>
          </cell>
          <cell r="AW508">
            <v>23</v>
          </cell>
          <cell r="AX508">
            <v>1</v>
          </cell>
          <cell r="AY508">
            <v>0</v>
          </cell>
          <cell r="AZ508">
            <v>0</v>
          </cell>
          <cell r="BA508">
            <v>0</v>
          </cell>
          <cell r="BB508">
            <v>0</v>
          </cell>
          <cell r="BC508">
            <v>38856</v>
          </cell>
        </row>
        <row r="509">
          <cell r="A509">
            <v>2006</v>
          </cell>
          <cell r="B509">
            <v>4</v>
          </cell>
          <cell r="C509">
            <v>301</v>
          </cell>
          <cell r="D509">
            <v>17</v>
          </cell>
          <cell r="E509">
            <v>792030</v>
          </cell>
          <cell r="F509">
            <v>0</v>
          </cell>
          <cell r="G509" t="str">
            <v>Затраты по ШПЗ (неосновные)</v>
          </cell>
          <cell r="H509">
            <v>2030</v>
          </cell>
          <cell r="I509">
            <v>7920</v>
          </cell>
          <cell r="J509">
            <v>26.74</v>
          </cell>
          <cell r="K509">
            <v>1</v>
          </cell>
          <cell r="L509">
            <v>0</v>
          </cell>
          <cell r="M509">
            <v>0</v>
          </cell>
          <cell r="N509">
            <v>0</v>
          </cell>
          <cell r="R509">
            <v>0</v>
          </cell>
          <cell r="S509">
            <v>0</v>
          </cell>
          <cell r="T509">
            <v>0</v>
          </cell>
          <cell r="U509">
            <v>35</v>
          </cell>
          <cell r="V509">
            <v>0</v>
          </cell>
          <cell r="W509">
            <v>0</v>
          </cell>
          <cell r="AA509">
            <v>0</v>
          </cell>
          <cell r="AB509">
            <v>0</v>
          </cell>
          <cell r="AC509">
            <v>0</v>
          </cell>
          <cell r="AD509">
            <v>35</v>
          </cell>
          <cell r="AE509">
            <v>504200</v>
          </cell>
          <cell r="AF509">
            <v>0</v>
          </cell>
          <cell r="AI509">
            <v>2312</v>
          </cell>
          <cell r="AK509">
            <v>0</v>
          </cell>
          <cell r="AM509">
            <v>447</v>
          </cell>
          <cell r="AN509">
            <v>1</v>
          </cell>
          <cell r="AO509">
            <v>393216</v>
          </cell>
          <cell r="AQ509">
            <v>0</v>
          </cell>
          <cell r="AR509">
            <v>0</v>
          </cell>
          <cell r="AS509" t="str">
            <v>Ы</v>
          </cell>
          <cell r="AT509" t="str">
            <v>Ы</v>
          </cell>
          <cell r="AU509">
            <v>0</v>
          </cell>
          <cell r="AV509">
            <v>0</v>
          </cell>
          <cell r="AW509">
            <v>23</v>
          </cell>
          <cell r="AX509">
            <v>1</v>
          </cell>
          <cell r="AY509">
            <v>0</v>
          </cell>
          <cell r="AZ509">
            <v>0</v>
          </cell>
          <cell r="BA509">
            <v>0</v>
          </cell>
          <cell r="BB509">
            <v>0</v>
          </cell>
          <cell r="BC509">
            <v>38856</v>
          </cell>
        </row>
        <row r="510">
          <cell r="A510">
            <v>2006</v>
          </cell>
          <cell r="B510">
            <v>4</v>
          </cell>
          <cell r="C510">
            <v>302</v>
          </cell>
          <cell r="D510">
            <v>17</v>
          </cell>
          <cell r="E510">
            <v>792030</v>
          </cell>
          <cell r="F510">
            <v>0</v>
          </cell>
          <cell r="G510" t="str">
            <v>Затраты по ШПЗ (неосновные)</v>
          </cell>
          <cell r="H510">
            <v>2030</v>
          </cell>
          <cell r="I510">
            <v>7920</v>
          </cell>
          <cell r="J510">
            <v>2.98</v>
          </cell>
          <cell r="K510">
            <v>1</v>
          </cell>
          <cell r="L510">
            <v>0</v>
          </cell>
          <cell r="M510">
            <v>0</v>
          </cell>
          <cell r="N510">
            <v>0</v>
          </cell>
          <cell r="R510">
            <v>0</v>
          </cell>
          <cell r="S510">
            <v>0</v>
          </cell>
          <cell r="T510">
            <v>0</v>
          </cell>
          <cell r="U510">
            <v>35</v>
          </cell>
          <cell r="V510">
            <v>0</v>
          </cell>
          <cell r="W510">
            <v>0</v>
          </cell>
          <cell r="AA510">
            <v>0</v>
          </cell>
          <cell r="AB510">
            <v>0</v>
          </cell>
          <cell r="AC510">
            <v>0</v>
          </cell>
          <cell r="AD510">
            <v>35</v>
          </cell>
          <cell r="AE510">
            <v>504400</v>
          </cell>
          <cell r="AF510">
            <v>0</v>
          </cell>
          <cell r="AI510">
            <v>2312</v>
          </cell>
          <cell r="AK510">
            <v>0</v>
          </cell>
          <cell r="AM510">
            <v>448</v>
          </cell>
          <cell r="AN510">
            <v>1</v>
          </cell>
          <cell r="AO510">
            <v>393216</v>
          </cell>
          <cell r="AQ510">
            <v>0</v>
          </cell>
          <cell r="AR510">
            <v>0</v>
          </cell>
          <cell r="AS510" t="str">
            <v>Ы</v>
          </cell>
          <cell r="AT510" t="str">
            <v>Ы</v>
          </cell>
          <cell r="AU510">
            <v>0</v>
          </cell>
          <cell r="AV510">
            <v>0</v>
          </cell>
          <cell r="AW510">
            <v>23</v>
          </cell>
          <cell r="AX510">
            <v>1</v>
          </cell>
          <cell r="AY510">
            <v>0</v>
          </cell>
          <cell r="AZ510">
            <v>0</v>
          </cell>
          <cell r="BA510">
            <v>0</v>
          </cell>
          <cell r="BB510">
            <v>0</v>
          </cell>
          <cell r="BC510">
            <v>38856</v>
          </cell>
        </row>
        <row r="511">
          <cell r="A511">
            <v>2006</v>
          </cell>
          <cell r="B511">
            <v>4</v>
          </cell>
          <cell r="C511">
            <v>303</v>
          </cell>
          <cell r="D511">
            <v>17</v>
          </cell>
          <cell r="E511">
            <v>792030</v>
          </cell>
          <cell r="F511">
            <v>0</v>
          </cell>
          <cell r="G511" t="str">
            <v>Затраты по ШПЗ (неосновные)</v>
          </cell>
          <cell r="H511">
            <v>2030</v>
          </cell>
          <cell r="I511">
            <v>7920</v>
          </cell>
          <cell r="J511">
            <v>34.4</v>
          </cell>
          <cell r="K511">
            <v>1</v>
          </cell>
          <cell r="L511">
            <v>0</v>
          </cell>
          <cell r="M511">
            <v>0</v>
          </cell>
          <cell r="N511">
            <v>0</v>
          </cell>
          <cell r="R511">
            <v>0</v>
          </cell>
          <cell r="S511">
            <v>0</v>
          </cell>
          <cell r="T511">
            <v>0</v>
          </cell>
          <cell r="U511">
            <v>35</v>
          </cell>
          <cell r="V511">
            <v>0</v>
          </cell>
          <cell r="W511">
            <v>0</v>
          </cell>
          <cell r="AA511">
            <v>0</v>
          </cell>
          <cell r="AB511">
            <v>0</v>
          </cell>
          <cell r="AC511">
            <v>0</v>
          </cell>
          <cell r="AD511">
            <v>35</v>
          </cell>
          <cell r="AE511">
            <v>505100</v>
          </cell>
          <cell r="AF511">
            <v>0</v>
          </cell>
          <cell r="AI511">
            <v>2312</v>
          </cell>
          <cell r="AK511">
            <v>0</v>
          </cell>
          <cell r="AM511">
            <v>449</v>
          </cell>
          <cell r="AN511">
            <v>1</v>
          </cell>
          <cell r="AO511">
            <v>393216</v>
          </cell>
          <cell r="AQ511">
            <v>0</v>
          </cell>
          <cell r="AR511">
            <v>0</v>
          </cell>
          <cell r="AS511" t="str">
            <v>Ы</v>
          </cell>
          <cell r="AT511" t="str">
            <v>Ы</v>
          </cell>
          <cell r="AU511">
            <v>0</v>
          </cell>
          <cell r="AV511">
            <v>0</v>
          </cell>
          <cell r="AW511">
            <v>23</v>
          </cell>
          <cell r="AX511">
            <v>1</v>
          </cell>
          <cell r="AY511">
            <v>0</v>
          </cell>
          <cell r="AZ511">
            <v>0</v>
          </cell>
          <cell r="BA511">
            <v>0</v>
          </cell>
          <cell r="BB511">
            <v>0</v>
          </cell>
          <cell r="BC511">
            <v>38856</v>
          </cell>
        </row>
        <row r="512">
          <cell r="A512">
            <v>2006</v>
          </cell>
          <cell r="B512">
            <v>4</v>
          </cell>
          <cell r="C512">
            <v>304</v>
          </cell>
          <cell r="D512">
            <v>17</v>
          </cell>
          <cell r="E512">
            <v>792030</v>
          </cell>
          <cell r="F512">
            <v>0</v>
          </cell>
          <cell r="G512" t="str">
            <v>Затраты по ШПЗ (неосновные)</v>
          </cell>
          <cell r="H512">
            <v>2030</v>
          </cell>
          <cell r="I512">
            <v>7920</v>
          </cell>
          <cell r="J512">
            <v>242.23</v>
          </cell>
          <cell r="K512">
            <v>1</v>
          </cell>
          <cell r="L512">
            <v>0</v>
          </cell>
          <cell r="M512">
            <v>0</v>
          </cell>
          <cell r="N512">
            <v>0</v>
          </cell>
          <cell r="R512">
            <v>0</v>
          </cell>
          <cell r="S512">
            <v>0</v>
          </cell>
          <cell r="T512">
            <v>0</v>
          </cell>
          <cell r="U512">
            <v>35</v>
          </cell>
          <cell r="V512">
            <v>0</v>
          </cell>
          <cell r="W512">
            <v>0</v>
          </cell>
          <cell r="AA512">
            <v>0</v>
          </cell>
          <cell r="AB512">
            <v>0</v>
          </cell>
          <cell r="AC512">
            <v>0</v>
          </cell>
          <cell r="AD512">
            <v>35</v>
          </cell>
          <cell r="AE512">
            <v>510100</v>
          </cell>
          <cell r="AF512">
            <v>0</v>
          </cell>
          <cell r="AI512">
            <v>2312</v>
          </cell>
          <cell r="AK512">
            <v>0</v>
          </cell>
          <cell r="AM512">
            <v>450</v>
          </cell>
          <cell r="AN512">
            <v>1</v>
          </cell>
          <cell r="AO512">
            <v>393216</v>
          </cell>
          <cell r="AQ512">
            <v>0</v>
          </cell>
          <cell r="AR512">
            <v>0</v>
          </cell>
          <cell r="AS512" t="str">
            <v>Ы</v>
          </cell>
          <cell r="AT512" t="str">
            <v>Ы</v>
          </cell>
          <cell r="AU512">
            <v>0</v>
          </cell>
          <cell r="AV512">
            <v>0</v>
          </cell>
          <cell r="AW512">
            <v>23</v>
          </cell>
          <cell r="AX512">
            <v>1</v>
          </cell>
          <cell r="AY512">
            <v>0</v>
          </cell>
          <cell r="AZ512">
            <v>0</v>
          </cell>
          <cell r="BA512">
            <v>0</v>
          </cell>
          <cell r="BB512">
            <v>0</v>
          </cell>
          <cell r="BC512">
            <v>38856</v>
          </cell>
        </row>
        <row r="513">
          <cell r="A513">
            <v>2006</v>
          </cell>
          <cell r="B513">
            <v>4</v>
          </cell>
          <cell r="C513">
            <v>305</v>
          </cell>
          <cell r="D513">
            <v>17</v>
          </cell>
          <cell r="E513">
            <v>792030</v>
          </cell>
          <cell r="F513">
            <v>0</v>
          </cell>
          <cell r="G513" t="str">
            <v>Затраты по ШПЗ (неосновные)</v>
          </cell>
          <cell r="H513">
            <v>2030</v>
          </cell>
          <cell r="I513">
            <v>7920</v>
          </cell>
          <cell r="J513">
            <v>0.99</v>
          </cell>
          <cell r="K513">
            <v>1</v>
          </cell>
          <cell r="L513">
            <v>0</v>
          </cell>
          <cell r="M513">
            <v>0</v>
          </cell>
          <cell r="N513">
            <v>0</v>
          </cell>
          <cell r="R513">
            <v>0</v>
          </cell>
          <cell r="S513">
            <v>0</v>
          </cell>
          <cell r="T513">
            <v>0</v>
          </cell>
          <cell r="U513">
            <v>35</v>
          </cell>
          <cell r="V513">
            <v>0</v>
          </cell>
          <cell r="W513">
            <v>0</v>
          </cell>
          <cell r="AA513">
            <v>0</v>
          </cell>
          <cell r="AB513">
            <v>0</v>
          </cell>
          <cell r="AC513">
            <v>0</v>
          </cell>
          <cell r="AD513">
            <v>35</v>
          </cell>
          <cell r="AE513">
            <v>510200</v>
          </cell>
          <cell r="AF513">
            <v>0</v>
          </cell>
          <cell r="AI513">
            <v>2312</v>
          </cell>
          <cell r="AK513">
            <v>0</v>
          </cell>
          <cell r="AM513">
            <v>451</v>
          </cell>
          <cell r="AN513">
            <v>1</v>
          </cell>
          <cell r="AO513">
            <v>393216</v>
          </cell>
          <cell r="AQ513">
            <v>0</v>
          </cell>
          <cell r="AR513">
            <v>0</v>
          </cell>
          <cell r="AS513" t="str">
            <v>Ы</v>
          </cell>
          <cell r="AT513" t="str">
            <v>Ы</v>
          </cell>
          <cell r="AU513">
            <v>0</v>
          </cell>
          <cell r="AV513">
            <v>0</v>
          </cell>
          <cell r="AW513">
            <v>23</v>
          </cell>
          <cell r="AX513">
            <v>1</v>
          </cell>
          <cell r="AY513">
            <v>0</v>
          </cell>
          <cell r="AZ513">
            <v>0</v>
          </cell>
          <cell r="BA513">
            <v>0</v>
          </cell>
          <cell r="BB513">
            <v>0</v>
          </cell>
          <cell r="BC513">
            <v>38856</v>
          </cell>
        </row>
        <row r="514">
          <cell r="A514">
            <v>2006</v>
          </cell>
          <cell r="B514">
            <v>4</v>
          </cell>
          <cell r="C514">
            <v>306</v>
          </cell>
          <cell r="D514">
            <v>17</v>
          </cell>
          <cell r="E514">
            <v>792030</v>
          </cell>
          <cell r="F514">
            <v>0</v>
          </cell>
          <cell r="G514" t="str">
            <v>Затраты по ШПЗ (неосновные)</v>
          </cell>
          <cell r="H514">
            <v>2030</v>
          </cell>
          <cell r="I514">
            <v>7920</v>
          </cell>
          <cell r="J514">
            <v>4.66</v>
          </cell>
          <cell r="K514">
            <v>1</v>
          </cell>
          <cell r="L514">
            <v>0</v>
          </cell>
          <cell r="M514">
            <v>0</v>
          </cell>
          <cell r="N514">
            <v>0</v>
          </cell>
          <cell r="R514">
            <v>0</v>
          </cell>
          <cell r="S514">
            <v>0</v>
          </cell>
          <cell r="T514">
            <v>0</v>
          </cell>
          <cell r="U514">
            <v>35</v>
          </cell>
          <cell r="V514">
            <v>0</v>
          </cell>
          <cell r="W514">
            <v>0</v>
          </cell>
          <cell r="AA514">
            <v>0</v>
          </cell>
          <cell r="AB514">
            <v>0</v>
          </cell>
          <cell r="AC514">
            <v>0</v>
          </cell>
          <cell r="AD514">
            <v>35</v>
          </cell>
          <cell r="AE514">
            <v>510400</v>
          </cell>
          <cell r="AF514">
            <v>0</v>
          </cell>
          <cell r="AI514">
            <v>2312</v>
          </cell>
          <cell r="AK514">
            <v>0</v>
          </cell>
          <cell r="AM514">
            <v>452</v>
          </cell>
          <cell r="AN514">
            <v>1</v>
          </cell>
          <cell r="AO514">
            <v>393216</v>
          </cell>
          <cell r="AQ514">
            <v>0</v>
          </cell>
          <cell r="AR514">
            <v>0</v>
          </cell>
          <cell r="AS514" t="str">
            <v>Ы</v>
          </cell>
          <cell r="AT514" t="str">
            <v>Ы</v>
          </cell>
          <cell r="AU514">
            <v>0</v>
          </cell>
          <cell r="AV514">
            <v>0</v>
          </cell>
          <cell r="AW514">
            <v>23</v>
          </cell>
          <cell r="AX514">
            <v>1</v>
          </cell>
          <cell r="AY514">
            <v>0</v>
          </cell>
          <cell r="AZ514">
            <v>0</v>
          </cell>
          <cell r="BA514">
            <v>0</v>
          </cell>
          <cell r="BB514">
            <v>0</v>
          </cell>
          <cell r="BC514">
            <v>38856</v>
          </cell>
        </row>
        <row r="515">
          <cell r="A515">
            <v>2006</v>
          </cell>
          <cell r="B515">
            <v>4</v>
          </cell>
          <cell r="C515">
            <v>307</v>
          </cell>
          <cell r="D515">
            <v>17</v>
          </cell>
          <cell r="E515">
            <v>792030</v>
          </cell>
          <cell r="F515">
            <v>0</v>
          </cell>
          <cell r="G515" t="str">
            <v>Затраты по ШПЗ (неосновные)</v>
          </cell>
          <cell r="H515">
            <v>2030</v>
          </cell>
          <cell r="I515">
            <v>7920</v>
          </cell>
          <cell r="J515">
            <v>281.89</v>
          </cell>
          <cell r="K515">
            <v>1</v>
          </cell>
          <cell r="L515">
            <v>0</v>
          </cell>
          <cell r="M515">
            <v>0</v>
          </cell>
          <cell r="N515">
            <v>0</v>
          </cell>
          <cell r="R515">
            <v>0</v>
          </cell>
          <cell r="S515">
            <v>0</v>
          </cell>
          <cell r="T515">
            <v>0</v>
          </cell>
          <cell r="U515">
            <v>35</v>
          </cell>
          <cell r="V515">
            <v>0</v>
          </cell>
          <cell r="W515">
            <v>0</v>
          </cell>
          <cell r="AA515">
            <v>0</v>
          </cell>
          <cell r="AB515">
            <v>0</v>
          </cell>
          <cell r="AC515">
            <v>0</v>
          </cell>
          <cell r="AD515">
            <v>35</v>
          </cell>
          <cell r="AE515">
            <v>510600</v>
          </cell>
          <cell r="AF515">
            <v>0</v>
          </cell>
          <cell r="AI515">
            <v>2312</v>
          </cell>
          <cell r="AK515">
            <v>0</v>
          </cell>
          <cell r="AM515">
            <v>453</v>
          </cell>
          <cell r="AN515">
            <v>1</v>
          </cell>
          <cell r="AO515">
            <v>393216</v>
          </cell>
          <cell r="AQ515">
            <v>0</v>
          </cell>
          <cell r="AR515">
            <v>0</v>
          </cell>
          <cell r="AS515" t="str">
            <v>Ы</v>
          </cell>
          <cell r="AT515" t="str">
            <v>Ы</v>
          </cell>
          <cell r="AU515">
            <v>0</v>
          </cell>
          <cell r="AV515">
            <v>0</v>
          </cell>
          <cell r="AW515">
            <v>23</v>
          </cell>
          <cell r="AX515">
            <v>1</v>
          </cell>
          <cell r="AY515">
            <v>0</v>
          </cell>
          <cell r="AZ515">
            <v>0</v>
          </cell>
          <cell r="BA515">
            <v>0</v>
          </cell>
          <cell r="BB515">
            <v>0</v>
          </cell>
          <cell r="BC515">
            <v>38856</v>
          </cell>
        </row>
        <row r="516">
          <cell r="A516">
            <v>2006</v>
          </cell>
          <cell r="B516">
            <v>4</v>
          </cell>
          <cell r="C516">
            <v>308</v>
          </cell>
          <cell r="D516">
            <v>17</v>
          </cell>
          <cell r="E516">
            <v>792030</v>
          </cell>
          <cell r="F516">
            <v>0</v>
          </cell>
          <cell r="G516" t="str">
            <v>Затраты по ШПЗ (неосновные)</v>
          </cell>
          <cell r="H516">
            <v>2030</v>
          </cell>
          <cell r="I516">
            <v>7920</v>
          </cell>
          <cell r="J516">
            <v>0.02</v>
          </cell>
          <cell r="K516">
            <v>1</v>
          </cell>
          <cell r="L516">
            <v>0</v>
          </cell>
          <cell r="M516">
            <v>0</v>
          </cell>
          <cell r="N516">
            <v>0</v>
          </cell>
          <cell r="R516">
            <v>0</v>
          </cell>
          <cell r="S516">
            <v>0</v>
          </cell>
          <cell r="T516">
            <v>0</v>
          </cell>
          <cell r="U516">
            <v>35</v>
          </cell>
          <cell r="V516">
            <v>0</v>
          </cell>
          <cell r="W516">
            <v>0</v>
          </cell>
          <cell r="AA516">
            <v>0</v>
          </cell>
          <cell r="AB516">
            <v>0</v>
          </cell>
          <cell r="AC516">
            <v>0</v>
          </cell>
          <cell r="AD516">
            <v>35</v>
          </cell>
          <cell r="AE516">
            <v>512000</v>
          </cell>
          <cell r="AF516">
            <v>0</v>
          </cell>
          <cell r="AI516">
            <v>2312</v>
          </cell>
          <cell r="AK516">
            <v>0</v>
          </cell>
          <cell r="AM516">
            <v>454</v>
          </cell>
          <cell r="AN516">
            <v>1</v>
          </cell>
          <cell r="AO516">
            <v>393216</v>
          </cell>
          <cell r="AQ516">
            <v>0</v>
          </cell>
          <cell r="AR516">
            <v>0</v>
          </cell>
          <cell r="AS516" t="str">
            <v>Ы</v>
          </cell>
          <cell r="AT516" t="str">
            <v>Ы</v>
          </cell>
          <cell r="AU516">
            <v>0</v>
          </cell>
          <cell r="AV516">
            <v>0</v>
          </cell>
          <cell r="AW516">
            <v>23</v>
          </cell>
          <cell r="AX516">
            <v>1</v>
          </cell>
          <cell r="AY516">
            <v>0</v>
          </cell>
          <cell r="AZ516">
            <v>0</v>
          </cell>
          <cell r="BA516">
            <v>0</v>
          </cell>
          <cell r="BB516">
            <v>0</v>
          </cell>
          <cell r="BC516">
            <v>38856</v>
          </cell>
        </row>
        <row r="517">
          <cell r="A517">
            <v>2006</v>
          </cell>
          <cell r="B517">
            <v>4</v>
          </cell>
          <cell r="C517">
            <v>362</v>
          </cell>
          <cell r="D517">
            <v>17</v>
          </cell>
          <cell r="E517">
            <v>792030</v>
          </cell>
          <cell r="F517">
            <v>0</v>
          </cell>
          <cell r="G517" t="str">
            <v>Затраты по ШПЗ (неосновные)</v>
          </cell>
          <cell r="H517">
            <v>2030</v>
          </cell>
          <cell r="I517">
            <v>7920</v>
          </cell>
          <cell r="J517">
            <v>-29550.02</v>
          </cell>
          <cell r="K517">
            <v>1</v>
          </cell>
          <cell r="L517">
            <v>0</v>
          </cell>
          <cell r="M517">
            <v>0</v>
          </cell>
          <cell r="N517">
            <v>0</v>
          </cell>
          <cell r="R517">
            <v>0</v>
          </cell>
          <cell r="S517">
            <v>0</v>
          </cell>
          <cell r="T517">
            <v>0</v>
          </cell>
          <cell r="U517">
            <v>34</v>
          </cell>
          <cell r="V517">
            <v>0</v>
          </cell>
          <cell r="W517">
            <v>0</v>
          </cell>
          <cell r="AA517">
            <v>0</v>
          </cell>
          <cell r="AB517">
            <v>0</v>
          </cell>
          <cell r="AC517">
            <v>0</v>
          </cell>
          <cell r="AD517">
            <v>34</v>
          </cell>
          <cell r="AE517">
            <v>110000</v>
          </cell>
          <cell r="AF517">
            <v>0</v>
          </cell>
          <cell r="AI517">
            <v>2312</v>
          </cell>
          <cell r="AK517">
            <v>0</v>
          </cell>
          <cell r="AM517">
            <v>508</v>
          </cell>
          <cell r="AN517">
            <v>1</v>
          </cell>
          <cell r="AO517">
            <v>393216</v>
          </cell>
          <cell r="AQ517">
            <v>0</v>
          </cell>
          <cell r="AR517">
            <v>0</v>
          </cell>
          <cell r="AS517" t="str">
            <v>Ы</v>
          </cell>
          <cell r="AT517" t="str">
            <v>Ы</v>
          </cell>
          <cell r="AU517">
            <v>0</v>
          </cell>
          <cell r="AV517">
            <v>0</v>
          </cell>
          <cell r="AW517">
            <v>23</v>
          </cell>
          <cell r="AX517">
            <v>1</v>
          </cell>
          <cell r="AY517">
            <v>0</v>
          </cell>
          <cell r="AZ517">
            <v>0</v>
          </cell>
          <cell r="BA517">
            <v>0</v>
          </cell>
          <cell r="BB517">
            <v>0</v>
          </cell>
          <cell r="BC517">
            <v>38856</v>
          </cell>
        </row>
        <row r="518">
          <cell r="A518">
            <v>2006</v>
          </cell>
          <cell r="B518">
            <v>4</v>
          </cell>
          <cell r="C518">
            <v>363</v>
          </cell>
          <cell r="D518">
            <v>17</v>
          </cell>
          <cell r="E518">
            <v>792030</v>
          </cell>
          <cell r="F518">
            <v>0</v>
          </cell>
          <cell r="G518" t="str">
            <v>Затраты по ШПЗ (неосновные)</v>
          </cell>
          <cell r="H518">
            <v>2030</v>
          </cell>
          <cell r="I518">
            <v>7920</v>
          </cell>
          <cell r="J518">
            <v>47332.79</v>
          </cell>
          <cell r="K518">
            <v>1</v>
          </cell>
          <cell r="L518">
            <v>0</v>
          </cell>
          <cell r="M518">
            <v>0</v>
          </cell>
          <cell r="N518">
            <v>0</v>
          </cell>
          <cell r="R518">
            <v>0</v>
          </cell>
          <cell r="S518">
            <v>0</v>
          </cell>
          <cell r="T518">
            <v>0</v>
          </cell>
          <cell r="U518">
            <v>34</v>
          </cell>
          <cell r="V518">
            <v>0</v>
          </cell>
          <cell r="W518">
            <v>0</v>
          </cell>
          <cell r="AA518">
            <v>0</v>
          </cell>
          <cell r="AB518">
            <v>0</v>
          </cell>
          <cell r="AC518">
            <v>0</v>
          </cell>
          <cell r="AD518">
            <v>34</v>
          </cell>
          <cell r="AE518">
            <v>143000</v>
          </cell>
          <cell r="AF518">
            <v>0</v>
          </cell>
          <cell r="AI518">
            <v>2312</v>
          </cell>
          <cell r="AK518">
            <v>0</v>
          </cell>
          <cell r="AM518">
            <v>509</v>
          </cell>
          <cell r="AN518">
            <v>1</v>
          </cell>
          <cell r="AO518">
            <v>393216</v>
          </cell>
          <cell r="AQ518">
            <v>0</v>
          </cell>
          <cell r="AR518">
            <v>0</v>
          </cell>
          <cell r="AS518" t="str">
            <v>Ы</v>
          </cell>
          <cell r="AT518" t="str">
            <v>Ы</v>
          </cell>
          <cell r="AU518">
            <v>0</v>
          </cell>
          <cell r="AV518">
            <v>0</v>
          </cell>
          <cell r="AW518">
            <v>23</v>
          </cell>
          <cell r="AX518">
            <v>1</v>
          </cell>
          <cell r="AY518">
            <v>0</v>
          </cell>
          <cell r="AZ518">
            <v>0</v>
          </cell>
          <cell r="BA518">
            <v>0</v>
          </cell>
          <cell r="BB518">
            <v>0</v>
          </cell>
          <cell r="BC518">
            <v>38856</v>
          </cell>
        </row>
        <row r="519">
          <cell r="A519">
            <v>2006</v>
          </cell>
          <cell r="B519">
            <v>4</v>
          </cell>
          <cell r="C519">
            <v>364</v>
          </cell>
          <cell r="D519">
            <v>17</v>
          </cell>
          <cell r="E519">
            <v>792030</v>
          </cell>
          <cell r="F519">
            <v>0</v>
          </cell>
          <cell r="G519" t="str">
            <v>Затраты по ШПЗ (неосновные)</v>
          </cell>
          <cell r="H519">
            <v>2030</v>
          </cell>
          <cell r="I519">
            <v>7920</v>
          </cell>
          <cell r="J519">
            <v>14500</v>
          </cell>
          <cell r="K519">
            <v>1</v>
          </cell>
          <cell r="L519">
            <v>0</v>
          </cell>
          <cell r="M519">
            <v>0</v>
          </cell>
          <cell r="N519">
            <v>0</v>
          </cell>
          <cell r="R519">
            <v>0</v>
          </cell>
          <cell r="S519">
            <v>0</v>
          </cell>
          <cell r="T519">
            <v>0</v>
          </cell>
          <cell r="U519">
            <v>34</v>
          </cell>
          <cell r="V519">
            <v>0</v>
          </cell>
          <cell r="W519">
            <v>0</v>
          </cell>
          <cell r="AA519">
            <v>0</v>
          </cell>
          <cell r="AB519">
            <v>0</v>
          </cell>
          <cell r="AC519">
            <v>0</v>
          </cell>
          <cell r="AD519">
            <v>34</v>
          </cell>
          <cell r="AE519">
            <v>240000</v>
          </cell>
          <cell r="AF519">
            <v>0</v>
          </cell>
          <cell r="AI519">
            <v>2312</v>
          </cell>
          <cell r="AK519">
            <v>0</v>
          </cell>
          <cell r="AM519">
            <v>510</v>
          </cell>
          <cell r="AN519">
            <v>1</v>
          </cell>
          <cell r="AO519">
            <v>393216</v>
          </cell>
          <cell r="AQ519">
            <v>0</v>
          </cell>
          <cell r="AR519">
            <v>0</v>
          </cell>
          <cell r="AS519" t="str">
            <v>Ы</v>
          </cell>
          <cell r="AT519" t="str">
            <v>Ы</v>
          </cell>
          <cell r="AU519">
            <v>0</v>
          </cell>
          <cell r="AV519">
            <v>0</v>
          </cell>
          <cell r="AW519">
            <v>23</v>
          </cell>
          <cell r="AX519">
            <v>1</v>
          </cell>
          <cell r="AY519">
            <v>0</v>
          </cell>
          <cell r="AZ519">
            <v>0</v>
          </cell>
          <cell r="BA519">
            <v>0</v>
          </cell>
          <cell r="BB519">
            <v>0</v>
          </cell>
          <cell r="BC519">
            <v>38856</v>
          </cell>
        </row>
        <row r="520">
          <cell r="A520">
            <v>2006</v>
          </cell>
          <cell r="B520">
            <v>4</v>
          </cell>
          <cell r="C520">
            <v>365</v>
          </cell>
          <cell r="D520">
            <v>17</v>
          </cell>
          <cell r="E520">
            <v>792030</v>
          </cell>
          <cell r="F520">
            <v>0</v>
          </cell>
          <cell r="G520" t="str">
            <v>Затраты по ШПЗ (неосновные)</v>
          </cell>
          <cell r="H520">
            <v>2030</v>
          </cell>
          <cell r="I520">
            <v>7920</v>
          </cell>
          <cell r="J520">
            <v>420.5</v>
          </cell>
          <cell r="K520">
            <v>1</v>
          </cell>
          <cell r="L520">
            <v>0</v>
          </cell>
          <cell r="M520">
            <v>0</v>
          </cell>
          <cell r="N520">
            <v>0</v>
          </cell>
          <cell r="R520">
            <v>0</v>
          </cell>
          <cell r="S520">
            <v>0</v>
          </cell>
          <cell r="T520">
            <v>0</v>
          </cell>
          <cell r="U520">
            <v>34</v>
          </cell>
          <cell r="V520">
            <v>0</v>
          </cell>
          <cell r="W520">
            <v>0</v>
          </cell>
          <cell r="AA520">
            <v>0</v>
          </cell>
          <cell r="AB520">
            <v>0</v>
          </cell>
          <cell r="AC520">
            <v>0</v>
          </cell>
          <cell r="AD520">
            <v>34</v>
          </cell>
          <cell r="AE520">
            <v>311000</v>
          </cell>
          <cell r="AF520">
            <v>0</v>
          </cell>
          <cell r="AI520">
            <v>2312</v>
          </cell>
          <cell r="AK520">
            <v>0</v>
          </cell>
          <cell r="AM520">
            <v>511</v>
          </cell>
          <cell r="AN520">
            <v>1</v>
          </cell>
          <cell r="AO520">
            <v>393216</v>
          </cell>
          <cell r="AQ520">
            <v>0</v>
          </cell>
          <cell r="AR520">
            <v>0</v>
          </cell>
          <cell r="AS520" t="str">
            <v>Ы</v>
          </cell>
          <cell r="AT520" t="str">
            <v>Ы</v>
          </cell>
          <cell r="AU520">
            <v>0</v>
          </cell>
          <cell r="AV520">
            <v>0</v>
          </cell>
          <cell r="AW520">
            <v>23</v>
          </cell>
          <cell r="AX520">
            <v>1</v>
          </cell>
          <cell r="AY520">
            <v>0</v>
          </cell>
          <cell r="AZ520">
            <v>0</v>
          </cell>
          <cell r="BA520">
            <v>0</v>
          </cell>
          <cell r="BB520">
            <v>0</v>
          </cell>
          <cell r="BC520">
            <v>38856</v>
          </cell>
        </row>
        <row r="521">
          <cell r="A521">
            <v>2006</v>
          </cell>
          <cell r="B521">
            <v>4</v>
          </cell>
          <cell r="C521">
            <v>366</v>
          </cell>
          <cell r="D521">
            <v>17</v>
          </cell>
          <cell r="E521">
            <v>792030</v>
          </cell>
          <cell r="F521">
            <v>0</v>
          </cell>
          <cell r="G521" t="str">
            <v>Затраты по ШПЗ (неосновные)</v>
          </cell>
          <cell r="H521">
            <v>2030</v>
          </cell>
          <cell r="I521">
            <v>7920</v>
          </cell>
          <cell r="J521">
            <v>870</v>
          </cell>
          <cell r="K521">
            <v>1</v>
          </cell>
          <cell r="L521">
            <v>0</v>
          </cell>
          <cell r="M521">
            <v>0</v>
          </cell>
          <cell r="N521">
            <v>0</v>
          </cell>
          <cell r="R521">
            <v>0</v>
          </cell>
          <cell r="S521">
            <v>0</v>
          </cell>
          <cell r="T521">
            <v>0</v>
          </cell>
          <cell r="U521">
            <v>34</v>
          </cell>
          <cell r="V521">
            <v>0</v>
          </cell>
          <cell r="W521">
            <v>0</v>
          </cell>
          <cell r="AA521">
            <v>0</v>
          </cell>
          <cell r="AB521">
            <v>0</v>
          </cell>
          <cell r="AC521">
            <v>0</v>
          </cell>
          <cell r="AD521">
            <v>34</v>
          </cell>
          <cell r="AE521">
            <v>312000</v>
          </cell>
          <cell r="AF521">
            <v>0</v>
          </cell>
          <cell r="AI521">
            <v>2312</v>
          </cell>
          <cell r="AK521">
            <v>0</v>
          </cell>
          <cell r="AM521">
            <v>512</v>
          </cell>
          <cell r="AN521">
            <v>1</v>
          </cell>
          <cell r="AO521">
            <v>393216</v>
          </cell>
          <cell r="AQ521">
            <v>0</v>
          </cell>
          <cell r="AR521">
            <v>0</v>
          </cell>
          <cell r="AS521" t="str">
            <v>Ы</v>
          </cell>
          <cell r="AT521" t="str">
            <v>Ы</v>
          </cell>
          <cell r="AU521">
            <v>0</v>
          </cell>
          <cell r="AV521">
            <v>0</v>
          </cell>
          <cell r="AW521">
            <v>23</v>
          </cell>
          <cell r="AX521">
            <v>1</v>
          </cell>
          <cell r="AY521">
            <v>0</v>
          </cell>
          <cell r="AZ521">
            <v>0</v>
          </cell>
          <cell r="BA521">
            <v>0</v>
          </cell>
          <cell r="BB521">
            <v>0</v>
          </cell>
          <cell r="BC521">
            <v>38856</v>
          </cell>
        </row>
        <row r="522">
          <cell r="A522">
            <v>2006</v>
          </cell>
          <cell r="B522">
            <v>4</v>
          </cell>
          <cell r="C522">
            <v>367</v>
          </cell>
          <cell r="D522">
            <v>17</v>
          </cell>
          <cell r="E522">
            <v>792030</v>
          </cell>
          <cell r="F522">
            <v>0</v>
          </cell>
          <cell r="G522" t="str">
            <v>Затраты по ШПЗ (неосновные)</v>
          </cell>
          <cell r="H522">
            <v>2030</v>
          </cell>
          <cell r="I522">
            <v>7920</v>
          </cell>
          <cell r="J522">
            <v>163.85</v>
          </cell>
          <cell r="K522">
            <v>1</v>
          </cell>
          <cell r="L522">
            <v>0</v>
          </cell>
          <cell r="M522">
            <v>0</v>
          </cell>
          <cell r="N522">
            <v>0</v>
          </cell>
          <cell r="R522">
            <v>0</v>
          </cell>
          <cell r="S522">
            <v>0</v>
          </cell>
          <cell r="T522">
            <v>0</v>
          </cell>
          <cell r="U522">
            <v>34</v>
          </cell>
          <cell r="V522">
            <v>0</v>
          </cell>
          <cell r="W522">
            <v>0</v>
          </cell>
          <cell r="AA522">
            <v>0</v>
          </cell>
          <cell r="AB522">
            <v>0</v>
          </cell>
          <cell r="AC522">
            <v>0</v>
          </cell>
          <cell r="AD522">
            <v>34</v>
          </cell>
          <cell r="AE522">
            <v>312100</v>
          </cell>
          <cell r="AF522">
            <v>0</v>
          </cell>
          <cell r="AI522">
            <v>2312</v>
          </cell>
          <cell r="AK522">
            <v>0</v>
          </cell>
          <cell r="AM522">
            <v>513</v>
          </cell>
          <cell r="AN522">
            <v>1</v>
          </cell>
          <cell r="AO522">
            <v>393216</v>
          </cell>
          <cell r="AQ522">
            <v>0</v>
          </cell>
          <cell r="AR522">
            <v>0</v>
          </cell>
          <cell r="AS522" t="str">
            <v>Ы</v>
          </cell>
          <cell r="AT522" t="str">
            <v>Ы</v>
          </cell>
          <cell r="AU522">
            <v>0</v>
          </cell>
          <cell r="AV522">
            <v>0</v>
          </cell>
          <cell r="AW522">
            <v>23</v>
          </cell>
          <cell r="AX522">
            <v>1</v>
          </cell>
          <cell r="AY522">
            <v>0</v>
          </cell>
          <cell r="AZ522">
            <v>0</v>
          </cell>
          <cell r="BA522">
            <v>0</v>
          </cell>
          <cell r="BB522">
            <v>0</v>
          </cell>
          <cell r="BC522">
            <v>38856</v>
          </cell>
        </row>
        <row r="523">
          <cell r="A523">
            <v>2006</v>
          </cell>
          <cell r="B523">
            <v>4</v>
          </cell>
          <cell r="C523">
            <v>368</v>
          </cell>
          <cell r="D523">
            <v>17</v>
          </cell>
          <cell r="E523">
            <v>792030</v>
          </cell>
          <cell r="F523">
            <v>0</v>
          </cell>
          <cell r="G523" t="str">
            <v>Затраты по ШПЗ (неосновные)</v>
          </cell>
          <cell r="H523">
            <v>2030</v>
          </cell>
          <cell r="I523">
            <v>7920</v>
          </cell>
          <cell r="J523">
            <v>1866.15</v>
          </cell>
          <cell r="K523">
            <v>1</v>
          </cell>
          <cell r="L523">
            <v>0</v>
          </cell>
          <cell r="M523">
            <v>0</v>
          </cell>
          <cell r="N523">
            <v>0</v>
          </cell>
          <cell r="R523">
            <v>0</v>
          </cell>
          <cell r="S523">
            <v>0</v>
          </cell>
          <cell r="T523">
            <v>0</v>
          </cell>
          <cell r="U523">
            <v>34</v>
          </cell>
          <cell r="V523">
            <v>0</v>
          </cell>
          <cell r="W523">
            <v>0</v>
          </cell>
          <cell r="AA523">
            <v>0</v>
          </cell>
          <cell r="AB523">
            <v>0</v>
          </cell>
          <cell r="AC523">
            <v>0</v>
          </cell>
          <cell r="AD523">
            <v>34</v>
          </cell>
          <cell r="AE523">
            <v>312200</v>
          </cell>
          <cell r="AF523">
            <v>0</v>
          </cell>
          <cell r="AI523">
            <v>2312</v>
          </cell>
          <cell r="AK523">
            <v>0</v>
          </cell>
          <cell r="AM523">
            <v>514</v>
          </cell>
          <cell r="AN523">
            <v>1</v>
          </cell>
          <cell r="AO523">
            <v>393216</v>
          </cell>
          <cell r="AQ523">
            <v>0</v>
          </cell>
          <cell r="AR523">
            <v>0</v>
          </cell>
          <cell r="AS523" t="str">
            <v>Ы</v>
          </cell>
          <cell r="AT523" t="str">
            <v>Ы</v>
          </cell>
          <cell r="AU523">
            <v>0</v>
          </cell>
          <cell r="AV523">
            <v>0</v>
          </cell>
          <cell r="AW523">
            <v>23</v>
          </cell>
          <cell r="AX523">
            <v>1</v>
          </cell>
          <cell r="AY523">
            <v>0</v>
          </cell>
          <cell r="AZ523">
            <v>0</v>
          </cell>
          <cell r="BA523">
            <v>0</v>
          </cell>
          <cell r="BB523">
            <v>0</v>
          </cell>
          <cell r="BC523">
            <v>38856</v>
          </cell>
        </row>
        <row r="524">
          <cell r="A524">
            <v>2006</v>
          </cell>
          <cell r="B524">
            <v>4</v>
          </cell>
          <cell r="C524">
            <v>369</v>
          </cell>
          <cell r="D524">
            <v>17</v>
          </cell>
          <cell r="E524">
            <v>792030</v>
          </cell>
          <cell r="F524">
            <v>0</v>
          </cell>
          <cell r="G524" t="str">
            <v>Затраты по ШПЗ (неосновные)</v>
          </cell>
          <cell r="H524">
            <v>2030</v>
          </cell>
          <cell r="I524">
            <v>7920</v>
          </cell>
          <cell r="J524">
            <v>159.5</v>
          </cell>
          <cell r="K524">
            <v>1</v>
          </cell>
          <cell r="L524">
            <v>0</v>
          </cell>
          <cell r="M524">
            <v>0</v>
          </cell>
          <cell r="N524">
            <v>0</v>
          </cell>
          <cell r="R524">
            <v>0</v>
          </cell>
          <cell r="S524">
            <v>0</v>
          </cell>
          <cell r="T524">
            <v>0</v>
          </cell>
          <cell r="U524">
            <v>34</v>
          </cell>
          <cell r="V524">
            <v>0</v>
          </cell>
          <cell r="W524">
            <v>0</v>
          </cell>
          <cell r="AA524">
            <v>0</v>
          </cell>
          <cell r="AB524">
            <v>0</v>
          </cell>
          <cell r="AC524">
            <v>0</v>
          </cell>
          <cell r="AD524">
            <v>34</v>
          </cell>
          <cell r="AE524">
            <v>313000</v>
          </cell>
          <cell r="AF524">
            <v>0</v>
          </cell>
          <cell r="AI524">
            <v>2312</v>
          </cell>
          <cell r="AK524">
            <v>0</v>
          </cell>
          <cell r="AM524">
            <v>515</v>
          </cell>
          <cell r="AN524">
            <v>1</v>
          </cell>
          <cell r="AO524">
            <v>393216</v>
          </cell>
          <cell r="AQ524">
            <v>0</v>
          </cell>
          <cell r="AR524">
            <v>0</v>
          </cell>
          <cell r="AS524" t="str">
            <v>Ы</v>
          </cell>
          <cell r="AT524" t="str">
            <v>Ы</v>
          </cell>
          <cell r="AU524">
            <v>0</v>
          </cell>
          <cell r="AV524">
            <v>0</v>
          </cell>
          <cell r="AW524">
            <v>23</v>
          </cell>
          <cell r="AX524">
            <v>1</v>
          </cell>
          <cell r="AY524">
            <v>0</v>
          </cell>
          <cell r="AZ524">
            <v>0</v>
          </cell>
          <cell r="BA524">
            <v>0</v>
          </cell>
          <cell r="BB524">
            <v>0</v>
          </cell>
          <cell r="BC524">
            <v>38856</v>
          </cell>
        </row>
        <row r="525">
          <cell r="A525">
            <v>2006</v>
          </cell>
          <cell r="B525">
            <v>4</v>
          </cell>
          <cell r="C525">
            <v>370</v>
          </cell>
          <cell r="D525">
            <v>17</v>
          </cell>
          <cell r="E525">
            <v>792030</v>
          </cell>
          <cell r="F525">
            <v>0</v>
          </cell>
          <cell r="G525" t="str">
            <v>Затраты по ШПЗ (неосновные)</v>
          </cell>
          <cell r="H525">
            <v>2030</v>
          </cell>
          <cell r="I525">
            <v>7920</v>
          </cell>
          <cell r="J525">
            <v>290</v>
          </cell>
          <cell r="K525">
            <v>1</v>
          </cell>
          <cell r="L525">
            <v>0</v>
          </cell>
          <cell r="M525">
            <v>0</v>
          </cell>
          <cell r="N525">
            <v>0</v>
          </cell>
          <cell r="R525">
            <v>0</v>
          </cell>
          <cell r="S525">
            <v>0</v>
          </cell>
          <cell r="T525">
            <v>0</v>
          </cell>
          <cell r="U525">
            <v>34</v>
          </cell>
          <cell r="V525">
            <v>0</v>
          </cell>
          <cell r="W525">
            <v>0</v>
          </cell>
          <cell r="AA525">
            <v>0</v>
          </cell>
          <cell r="AB525">
            <v>0</v>
          </cell>
          <cell r="AC525">
            <v>0</v>
          </cell>
          <cell r="AD525">
            <v>34</v>
          </cell>
          <cell r="AE525">
            <v>314000</v>
          </cell>
          <cell r="AF525">
            <v>0</v>
          </cell>
          <cell r="AI525">
            <v>2312</v>
          </cell>
          <cell r="AK525">
            <v>0</v>
          </cell>
          <cell r="AM525">
            <v>516</v>
          </cell>
          <cell r="AN525">
            <v>1</v>
          </cell>
          <cell r="AO525">
            <v>393216</v>
          </cell>
          <cell r="AQ525">
            <v>0</v>
          </cell>
          <cell r="AR525">
            <v>0</v>
          </cell>
          <cell r="AS525" t="str">
            <v>Ы</v>
          </cell>
          <cell r="AT525" t="str">
            <v>Ы</v>
          </cell>
          <cell r="AU525">
            <v>0</v>
          </cell>
          <cell r="AV525">
            <v>0</v>
          </cell>
          <cell r="AW525">
            <v>23</v>
          </cell>
          <cell r="AX525">
            <v>1</v>
          </cell>
          <cell r="AY525">
            <v>0</v>
          </cell>
          <cell r="AZ525">
            <v>0</v>
          </cell>
          <cell r="BA525">
            <v>0</v>
          </cell>
          <cell r="BB525">
            <v>0</v>
          </cell>
          <cell r="BC525">
            <v>38856</v>
          </cell>
        </row>
        <row r="526">
          <cell r="A526">
            <v>2006</v>
          </cell>
          <cell r="B526">
            <v>4</v>
          </cell>
          <cell r="C526">
            <v>371</v>
          </cell>
          <cell r="D526">
            <v>17</v>
          </cell>
          <cell r="E526">
            <v>792030</v>
          </cell>
          <cell r="F526">
            <v>0</v>
          </cell>
          <cell r="G526" t="str">
            <v>Затраты по ШПЗ (неосновные)</v>
          </cell>
          <cell r="H526">
            <v>2030</v>
          </cell>
          <cell r="I526">
            <v>7920</v>
          </cell>
          <cell r="J526">
            <v>58</v>
          </cell>
          <cell r="K526">
            <v>1</v>
          </cell>
          <cell r="L526">
            <v>0</v>
          </cell>
          <cell r="M526">
            <v>0</v>
          </cell>
          <cell r="N526">
            <v>0</v>
          </cell>
          <cell r="R526">
            <v>0</v>
          </cell>
          <cell r="S526">
            <v>0</v>
          </cell>
          <cell r="T526">
            <v>0</v>
          </cell>
          <cell r="U526">
            <v>34</v>
          </cell>
          <cell r="V526">
            <v>0</v>
          </cell>
          <cell r="W526">
            <v>0</v>
          </cell>
          <cell r="AA526">
            <v>0</v>
          </cell>
          <cell r="AB526">
            <v>0</v>
          </cell>
          <cell r="AC526">
            <v>0</v>
          </cell>
          <cell r="AD526">
            <v>34</v>
          </cell>
          <cell r="AE526">
            <v>315000</v>
          </cell>
          <cell r="AF526">
            <v>0</v>
          </cell>
          <cell r="AI526">
            <v>2312</v>
          </cell>
          <cell r="AK526">
            <v>0</v>
          </cell>
          <cell r="AM526">
            <v>517</v>
          </cell>
          <cell r="AN526">
            <v>1</v>
          </cell>
          <cell r="AO526">
            <v>393216</v>
          </cell>
          <cell r="AQ526">
            <v>0</v>
          </cell>
          <cell r="AR526">
            <v>0</v>
          </cell>
          <cell r="AS526" t="str">
            <v>Ы</v>
          </cell>
          <cell r="AT526" t="str">
            <v>Ы</v>
          </cell>
          <cell r="AU526">
            <v>0</v>
          </cell>
          <cell r="AV526">
            <v>0</v>
          </cell>
          <cell r="AW526">
            <v>23</v>
          </cell>
          <cell r="AX526">
            <v>1</v>
          </cell>
          <cell r="AY526">
            <v>0</v>
          </cell>
          <cell r="AZ526">
            <v>0</v>
          </cell>
          <cell r="BA526">
            <v>0</v>
          </cell>
          <cell r="BB526">
            <v>0</v>
          </cell>
          <cell r="BC526">
            <v>38856</v>
          </cell>
        </row>
        <row r="527">
          <cell r="A527">
            <v>2006</v>
          </cell>
          <cell r="B527">
            <v>4</v>
          </cell>
          <cell r="C527">
            <v>429</v>
          </cell>
          <cell r="D527">
            <v>17</v>
          </cell>
          <cell r="E527">
            <v>792030</v>
          </cell>
          <cell r="F527">
            <v>0</v>
          </cell>
          <cell r="G527" t="str">
            <v>Затраты по ШПЗ (неосновные)</v>
          </cell>
          <cell r="H527">
            <v>2030</v>
          </cell>
          <cell r="I527">
            <v>7920</v>
          </cell>
          <cell r="J527">
            <v>1009.5</v>
          </cell>
          <cell r="K527">
            <v>1</v>
          </cell>
          <cell r="L527">
            <v>0</v>
          </cell>
          <cell r="M527">
            <v>0</v>
          </cell>
          <cell r="N527">
            <v>0</v>
          </cell>
          <cell r="R527">
            <v>0</v>
          </cell>
          <cell r="S527">
            <v>0</v>
          </cell>
          <cell r="T527">
            <v>0</v>
          </cell>
          <cell r="U527">
            <v>31</v>
          </cell>
          <cell r="V527">
            <v>0</v>
          </cell>
          <cell r="W527">
            <v>0</v>
          </cell>
          <cell r="AA527">
            <v>0</v>
          </cell>
          <cell r="AB527">
            <v>0</v>
          </cell>
          <cell r="AC527">
            <v>0</v>
          </cell>
          <cell r="AD527">
            <v>31</v>
          </cell>
          <cell r="AE527">
            <v>110000</v>
          </cell>
          <cell r="AF527">
            <v>0</v>
          </cell>
          <cell r="AI527">
            <v>2312</v>
          </cell>
          <cell r="AK527">
            <v>0</v>
          </cell>
          <cell r="AM527">
            <v>575</v>
          </cell>
          <cell r="AN527">
            <v>1</v>
          </cell>
          <cell r="AO527">
            <v>393216</v>
          </cell>
          <cell r="AQ527">
            <v>0</v>
          </cell>
          <cell r="AR527">
            <v>0</v>
          </cell>
          <cell r="AS527" t="str">
            <v>Ы</v>
          </cell>
          <cell r="AT527" t="str">
            <v>Ы</v>
          </cell>
          <cell r="AU527">
            <v>0</v>
          </cell>
          <cell r="AV527">
            <v>0</v>
          </cell>
          <cell r="AW527">
            <v>23</v>
          </cell>
          <cell r="AX527">
            <v>1</v>
          </cell>
          <cell r="AY527">
            <v>0</v>
          </cell>
          <cell r="AZ527">
            <v>0</v>
          </cell>
          <cell r="BA527">
            <v>0</v>
          </cell>
          <cell r="BB527">
            <v>0</v>
          </cell>
          <cell r="BC527">
            <v>38856</v>
          </cell>
        </row>
        <row r="528">
          <cell r="A528">
            <v>2006</v>
          </cell>
          <cell r="B528">
            <v>4</v>
          </cell>
          <cell r="C528">
            <v>430</v>
          </cell>
          <cell r="D528">
            <v>17</v>
          </cell>
          <cell r="E528">
            <v>792030</v>
          </cell>
          <cell r="F528">
            <v>0</v>
          </cell>
          <cell r="G528" t="str">
            <v>Затраты по ШПЗ (неосновные)</v>
          </cell>
          <cell r="H528">
            <v>2030</v>
          </cell>
          <cell r="I528">
            <v>7920</v>
          </cell>
          <cell r="J528">
            <v>980</v>
          </cell>
          <cell r="K528">
            <v>1</v>
          </cell>
          <cell r="L528">
            <v>0</v>
          </cell>
          <cell r="M528">
            <v>0</v>
          </cell>
          <cell r="N528">
            <v>0</v>
          </cell>
          <cell r="R528">
            <v>0</v>
          </cell>
          <cell r="S528">
            <v>0</v>
          </cell>
          <cell r="T528">
            <v>0</v>
          </cell>
          <cell r="U528">
            <v>31</v>
          </cell>
          <cell r="V528">
            <v>0</v>
          </cell>
          <cell r="W528">
            <v>0</v>
          </cell>
          <cell r="AA528">
            <v>0</v>
          </cell>
          <cell r="AB528">
            <v>0</v>
          </cell>
          <cell r="AC528">
            <v>0</v>
          </cell>
          <cell r="AD528">
            <v>31</v>
          </cell>
          <cell r="AE528">
            <v>114020</v>
          </cell>
          <cell r="AF528">
            <v>0</v>
          </cell>
          <cell r="AI528">
            <v>2312</v>
          </cell>
          <cell r="AK528">
            <v>0</v>
          </cell>
          <cell r="AM528">
            <v>576</v>
          </cell>
          <cell r="AN528">
            <v>1</v>
          </cell>
          <cell r="AO528">
            <v>393216</v>
          </cell>
          <cell r="AQ528">
            <v>0</v>
          </cell>
          <cell r="AR528">
            <v>0</v>
          </cell>
          <cell r="AS528" t="str">
            <v>Ы</v>
          </cell>
          <cell r="AT528" t="str">
            <v>Ы</v>
          </cell>
          <cell r="AU528">
            <v>0</v>
          </cell>
          <cell r="AV528">
            <v>0</v>
          </cell>
          <cell r="AW528">
            <v>23</v>
          </cell>
          <cell r="AX528">
            <v>1</v>
          </cell>
          <cell r="AY528">
            <v>0</v>
          </cell>
          <cell r="AZ528">
            <v>0</v>
          </cell>
          <cell r="BA528">
            <v>0</v>
          </cell>
          <cell r="BB528">
            <v>0</v>
          </cell>
          <cell r="BC528">
            <v>38856</v>
          </cell>
        </row>
        <row r="529">
          <cell r="A529">
            <v>2006</v>
          </cell>
          <cell r="B529">
            <v>4</v>
          </cell>
          <cell r="C529">
            <v>431</v>
          </cell>
          <cell r="D529">
            <v>17</v>
          </cell>
          <cell r="E529">
            <v>792030</v>
          </cell>
          <cell r="F529">
            <v>0</v>
          </cell>
          <cell r="G529" t="str">
            <v>Затраты по ШПЗ (неосновные)</v>
          </cell>
          <cell r="H529">
            <v>2030</v>
          </cell>
          <cell r="I529">
            <v>7920</v>
          </cell>
          <cell r="J529">
            <v>20</v>
          </cell>
          <cell r="K529">
            <v>1</v>
          </cell>
          <cell r="L529">
            <v>0</v>
          </cell>
          <cell r="M529">
            <v>0</v>
          </cell>
          <cell r="N529">
            <v>0</v>
          </cell>
          <cell r="R529">
            <v>0</v>
          </cell>
          <cell r="S529">
            <v>0</v>
          </cell>
          <cell r="T529">
            <v>0</v>
          </cell>
          <cell r="U529">
            <v>31</v>
          </cell>
          <cell r="V529">
            <v>0</v>
          </cell>
          <cell r="W529">
            <v>0</v>
          </cell>
          <cell r="AA529">
            <v>0</v>
          </cell>
          <cell r="AB529">
            <v>0</v>
          </cell>
          <cell r="AC529">
            <v>0</v>
          </cell>
          <cell r="AD529">
            <v>31</v>
          </cell>
          <cell r="AE529">
            <v>135000</v>
          </cell>
          <cell r="AF529">
            <v>0</v>
          </cell>
          <cell r="AI529">
            <v>2312</v>
          </cell>
          <cell r="AK529">
            <v>0</v>
          </cell>
          <cell r="AM529">
            <v>577</v>
          </cell>
          <cell r="AN529">
            <v>1</v>
          </cell>
          <cell r="AO529">
            <v>393216</v>
          </cell>
          <cell r="AQ529">
            <v>0</v>
          </cell>
          <cell r="AR529">
            <v>0</v>
          </cell>
          <cell r="AS529" t="str">
            <v>Ы</v>
          </cell>
          <cell r="AT529" t="str">
            <v>Ы</v>
          </cell>
          <cell r="AU529">
            <v>0</v>
          </cell>
          <cell r="AV529">
            <v>0</v>
          </cell>
          <cell r="AW529">
            <v>23</v>
          </cell>
          <cell r="AX529">
            <v>1</v>
          </cell>
          <cell r="AY529">
            <v>0</v>
          </cell>
          <cell r="AZ529">
            <v>0</v>
          </cell>
          <cell r="BA529">
            <v>0</v>
          </cell>
          <cell r="BB529">
            <v>0</v>
          </cell>
          <cell r="BC529">
            <v>38856</v>
          </cell>
        </row>
        <row r="530">
          <cell r="A530">
            <v>2006</v>
          </cell>
          <cell r="B530">
            <v>4</v>
          </cell>
          <cell r="C530">
            <v>432</v>
          </cell>
          <cell r="D530">
            <v>17</v>
          </cell>
          <cell r="E530">
            <v>792030</v>
          </cell>
          <cell r="F530">
            <v>0</v>
          </cell>
          <cell r="G530" t="str">
            <v>Затраты по ШПЗ (неосновные)</v>
          </cell>
          <cell r="H530">
            <v>2030</v>
          </cell>
          <cell r="I530">
            <v>7920</v>
          </cell>
          <cell r="J530">
            <v>8000</v>
          </cell>
          <cell r="K530">
            <v>1</v>
          </cell>
          <cell r="L530">
            <v>0</v>
          </cell>
          <cell r="M530">
            <v>0</v>
          </cell>
          <cell r="N530">
            <v>0</v>
          </cell>
          <cell r="R530">
            <v>0</v>
          </cell>
          <cell r="S530">
            <v>0</v>
          </cell>
          <cell r="T530">
            <v>0</v>
          </cell>
          <cell r="U530">
            <v>31</v>
          </cell>
          <cell r="V530">
            <v>0</v>
          </cell>
          <cell r="W530">
            <v>0</v>
          </cell>
          <cell r="AA530">
            <v>0</v>
          </cell>
          <cell r="AB530">
            <v>0</v>
          </cell>
          <cell r="AC530">
            <v>0</v>
          </cell>
          <cell r="AD530">
            <v>31</v>
          </cell>
          <cell r="AE530">
            <v>501102</v>
          </cell>
          <cell r="AF530">
            <v>0</v>
          </cell>
          <cell r="AI530">
            <v>2312</v>
          </cell>
          <cell r="AK530">
            <v>0</v>
          </cell>
          <cell r="AM530">
            <v>578</v>
          </cell>
          <cell r="AN530">
            <v>1</v>
          </cell>
          <cell r="AO530">
            <v>393216</v>
          </cell>
          <cell r="AQ530">
            <v>0</v>
          </cell>
          <cell r="AR530">
            <v>0</v>
          </cell>
          <cell r="AS530" t="str">
            <v>Ы</v>
          </cell>
          <cell r="AT530" t="str">
            <v>Ы</v>
          </cell>
          <cell r="AU530">
            <v>0</v>
          </cell>
          <cell r="AV530">
            <v>0</v>
          </cell>
          <cell r="AW530">
            <v>23</v>
          </cell>
          <cell r="AX530">
            <v>1</v>
          </cell>
          <cell r="AY530">
            <v>0</v>
          </cell>
          <cell r="AZ530">
            <v>0</v>
          </cell>
          <cell r="BA530">
            <v>0</v>
          </cell>
          <cell r="BB530">
            <v>0</v>
          </cell>
          <cell r="BC530">
            <v>38856</v>
          </cell>
        </row>
        <row r="531">
          <cell r="A531">
            <v>2006</v>
          </cell>
          <cell r="B531">
            <v>4</v>
          </cell>
          <cell r="C531">
            <v>433</v>
          </cell>
          <cell r="D531">
            <v>17</v>
          </cell>
          <cell r="E531">
            <v>792030</v>
          </cell>
          <cell r="F531">
            <v>0</v>
          </cell>
          <cell r="G531" t="str">
            <v>Затраты по ШПЗ (неосновные)</v>
          </cell>
          <cell r="H531">
            <v>2030</v>
          </cell>
          <cell r="I531">
            <v>7920</v>
          </cell>
          <cell r="J531">
            <v>8000</v>
          </cell>
          <cell r="K531">
            <v>1</v>
          </cell>
          <cell r="L531">
            <v>0</v>
          </cell>
          <cell r="M531">
            <v>0</v>
          </cell>
          <cell r="N531">
            <v>0</v>
          </cell>
          <cell r="R531">
            <v>0</v>
          </cell>
          <cell r="S531">
            <v>0</v>
          </cell>
          <cell r="T531">
            <v>0</v>
          </cell>
          <cell r="U531">
            <v>31</v>
          </cell>
          <cell r="V531">
            <v>0</v>
          </cell>
          <cell r="W531">
            <v>0</v>
          </cell>
          <cell r="AA531">
            <v>0</v>
          </cell>
          <cell r="AB531">
            <v>0</v>
          </cell>
          <cell r="AC531">
            <v>0</v>
          </cell>
          <cell r="AD531">
            <v>31</v>
          </cell>
          <cell r="AE531">
            <v>510100</v>
          </cell>
          <cell r="AF531">
            <v>0</v>
          </cell>
          <cell r="AI531">
            <v>2312</v>
          </cell>
          <cell r="AK531">
            <v>0</v>
          </cell>
          <cell r="AM531">
            <v>579</v>
          </cell>
          <cell r="AN531">
            <v>1</v>
          </cell>
          <cell r="AO531">
            <v>393216</v>
          </cell>
          <cell r="AQ531">
            <v>0</v>
          </cell>
          <cell r="AR531">
            <v>0</v>
          </cell>
          <cell r="AS531" t="str">
            <v>Ы</v>
          </cell>
          <cell r="AT531" t="str">
            <v>Ы</v>
          </cell>
          <cell r="AU531">
            <v>0</v>
          </cell>
          <cell r="AV531">
            <v>0</v>
          </cell>
          <cell r="AW531">
            <v>23</v>
          </cell>
          <cell r="AX531">
            <v>1</v>
          </cell>
          <cell r="AY531">
            <v>0</v>
          </cell>
          <cell r="AZ531">
            <v>0</v>
          </cell>
          <cell r="BA531">
            <v>0</v>
          </cell>
          <cell r="BB531">
            <v>0</v>
          </cell>
          <cell r="BC531">
            <v>38856</v>
          </cell>
        </row>
        <row r="532">
          <cell r="A532">
            <v>2006</v>
          </cell>
          <cell r="B532">
            <v>4</v>
          </cell>
          <cell r="C532">
            <v>510</v>
          </cell>
          <cell r="D532">
            <v>17</v>
          </cell>
          <cell r="E532">
            <v>792030</v>
          </cell>
          <cell r="F532">
            <v>0</v>
          </cell>
          <cell r="G532" t="str">
            <v>Затраты по ШПЗ (неосновные)</v>
          </cell>
          <cell r="H532">
            <v>2030</v>
          </cell>
          <cell r="I532">
            <v>7920</v>
          </cell>
          <cell r="J532">
            <v>1</v>
          </cell>
          <cell r="K532">
            <v>1</v>
          </cell>
          <cell r="L532">
            <v>0</v>
          </cell>
          <cell r="M532">
            <v>0</v>
          </cell>
          <cell r="N532">
            <v>0</v>
          </cell>
          <cell r="R532">
            <v>0</v>
          </cell>
          <cell r="S532">
            <v>0</v>
          </cell>
          <cell r="T532">
            <v>0</v>
          </cell>
          <cell r="U532">
            <v>36</v>
          </cell>
          <cell r="V532">
            <v>0</v>
          </cell>
          <cell r="W532">
            <v>0</v>
          </cell>
          <cell r="AA532">
            <v>0</v>
          </cell>
          <cell r="AB532">
            <v>0</v>
          </cell>
          <cell r="AC532">
            <v>0</v>
          </cell>
          <cell r="AD532">
            <v>36</v>
          </cell>
          <cell r="AE532">
            <v>110000</v>
          </cell>
          <cell r="AF532">
            <v>0</v>
          </cell>
          <cell r="AI532">
            <v>2312</v>
          </cell>
          <cell r="AK532">
            <v>0</v>
          </cell>
          <cell r="AM532">
            <v>656</v>
          </cell>
          <cell r="AN532">
            <v>1</v>
          </cell>
          <cell r="AO532">
            <v>393216</v>
          </cell>
          <cell r="AQ532">
            <v>0</v>
          </cell>
          <cell r="AR532">
            <v>0</v>
          </cell>
          <cell r="AS532" t="str">
            <v>Ы</v>
          </cell>
          <cell r="AT532" t="str">
            <v>Ы</v>
          </cell>
          <cell r="AU532">
            <v>0</v>
          </cell>
          <cell r="AV532">
            <v>0</v>
          </cell>
          <cell r="AW532">
            <v>23</v>
          </cell>
          <cell r="AX532">
            <v>1</v>
          </cell>
          <cell r="AY532">
            <v>0</v>
          </cell>
          <cell r="AZ532">
            <v>0</v>
          </cell>
          <cell r="BA532">
            <v>0</v>
          </cell>
          <cell r="BB532">
            <v>0</v>
          </cell>
          <cell r="BC532">
            <v>38856</v>
          </cell>
        </row>
        <row r="533">
          <cell r="A533">
            <v>2006</v>
          </cell>
          <cell r="B533">
            <v>4</v>
          </cell>
          <cell r="C533">
            <v>575</v>
          </cell>
          <cell r="D533">
            <v>18</v>
          </cell>
          <cell r="E533">
            <v>792030</v>
          </cell>
          <cell r="F533">
            <v>0</v>
          </cell>
          <cell r="G533" t="str">
            <v>Затраты по ШПЗ (неосновные)</v>
          </cell>
          <cell r="H533">
            <v>2030</v>
          </cell>
          <cell r="I533">
            <v>7920</v>
          </cell>
          <cell r="J533">
            <v>1562.95</v>
          </cell>
          <cell r="K533">
            <v>1</v>
          </cell>
          <cell r="L533">
            <v>0</v>
          </cell>
          <cell r="M533">
            <v>0</v>
          </cell>
          <cell r="N533">
            <v>0</v>
          </cell>
          <cell r="R533">
            <v>0</v>
          </cell>
          <cell r="S533">
            <v>0</v>
          </cell>
          <cell r="T533">
            <v>0</v>
          </cell>
          <cell r="U533">
            <v>42</v>
          </cell>
          <cell r="V533">
            <v>0</v>
          </cell>
          <cell r="W533">
            <v>0</v>
          </cell>
          <cell r="AA533">
            <v>0</v>
          </cell>
          <cell r="AB533">
            <v>0</v>
          </cell>
          <cell r="AC533">
            <v>0</v>
          </cell>
          <cell r="AD533">
            <v>42</v>
          </cell>
          <cell r="AE533">
            <v>110000</v>
          </cell>
          <cell r="AF533">
            <v>0</v>
          </cell>
          <cell r="AI533">
            <v>2312</v>
          </cell>
          <cell r="AK533">
            <v>0</v>
          </cell>
          <cell r="AM533">
            <v>721</v>
          </cell>
          <cell r="AN533">
            <v>1</v>
          </cell>
          <cell r="AO533">
            <v>393216</v>
          </cell>
          <cell r="AQ533">
            <v>0</v>
          </cell>
          <cell r="AR533">
            <v>0</v>
          </cell>
          <cell r="AS533" t="str">
            <v>Ы</v>
          </cell>
          <cell r="AT533" t="str">
            <v>Ы</v>
          </cell>
          <cell r="AU533">
            <v>0</v>
          </cell>
          <cell r="AV533">
            <v>0</v>
          </cell>
          <cell r="AW533">
            <v>23</v>
          </cell>
          <cell r="AX533">
            <v>1</v>
          </cell>
          <cell r="AY533">
            <v>0</v>
          </cell>
          <cell r="AZ533">
            <v>0</v>
          </cell>
          <cell r="BA533">
            <v>0</v>
          </cell>
          <cell r="BB533">
            <v>0</v>
          </cell>
          <cell r="BC533">
            <v>38856</v>
          </cell>
        </row>
        <row r="534">
          <cell r="A534">
            <v>2006</v>
          </cell>
          <cell r="B534">
            <v>4</v>
          </cell>
          <cell r="C534">
            <v>576</v>
          </cell>
          <cell r="D534">
            <v>18</v>
          </cell>
          <cell r="E534">
            <v>792030</v>
          </cell>
          <cell r="F534">
            <v>0</v>
          </cell>
          <cell r="G534" t="str">
            <v>Затраты по ШПЗ (неосновные)</v>
          </cell>
          <cell r="H534">
            <v>2030</v>
          </cell>
          <cell r="I534">
            <v>7920</v>
          </cell>
          <cell r="J534">
            <v>2.61</v>
          </cell>
          <cell r="K534">
            <v>1</v>
          </cell>
          <cell r="L534">
            <v>0</v>
          </cell>
          <cell r="M534">
            <v>0</v>
          </cell>
          <cell r="N534">
            <v>0</v>
          </cell>
          <cell r="R534">
            <v>0</v>
          </cell>
          <cell r="S534">
            <v>0</v>
          </cell>
          <cell r="T534">
            <v>0</v>
          </cell>
          <cell r="U534">
            <v>42</v>
          </cell>
          <cell r="V534">
            <v>0</v>
          </cell>
          <cell r="W534">
            <v>0</v>
          </cell>
          <cell r="AA534">
            <v>0</v>
          </cell>
          <cell r="AB534">
            <v>0</v>
          </cell>
          <cell r="AC534">
            <v>0</v>
          </cell>
          <cell r="AD534">
            <v>42</v>
          </cell>
          <cell r="AE534">
            <v>114020</v>
          </cell>
          <cell r="AF534">
            <v>0</v>
          </cell>
          <cell r="AI534">
            <v>2312</v>
          </cell>
          <cell r="AK534">
            <v>0</v>
          </cell>
          <cell r="AM534">
            <v>722</v>
          </cell>
          <cell r="AN534">
            <v>1</v>
          </cell>
          <cell r="AO534">
            <v>393216</v>
          </cell>
          <cell r="AQ534">
            <v>0</v>
          </cell>
          <cell r="AR534">
            <v>0</v>
          </cell>
          <cell r="AS534" t="str">
            <v>Ы</v>
          </cell>
          <cell r="AT534" t="str">
            <v>Ы</v>
          </cell>
          <cell r="AU534">
            <v>0</v>
          </cell>
          <cell r="AV534">
            <v>0</v>
          </cell>
          <cell r="AW534">
            <v>23</v>
          </cell>
          <cell r="AX534">
            <v>1</v>
          </cell>
          <cell r="AY534">
            <v>0</v>
          </cell>
          <cell r="AZ534">
            <v>0</v>
          </cell>
          <cell r="BA534">
            <v>0</v>
          </cell>
          <cell r="BB534">
            <v>0</v>
          </cell>
          <cell r="BC534">
            <v>38856</v>
          </cell>
        </row>
        <row r="535">
          <cell r="A535">
            <v>2006</v>
          </cell>
          <cell r="B535">
            <v>4</v>
          </cell>
          <cell r="C535">
            <v>577</v>
          </cell>
          <cell r="D535">
            <v>18</v>
          </cell>
          <cell r="E535">
            <v>792030</v>
          </cell>
          <cell r="F535">
            <v>0</v>
          </cell>
          <cell r="G535" t="str">
            <v>Затраты по ШПЗ (неосновные)</v>
          </cell>
          <cell r="H535">
            <v>2030</v>
          </cell>
          <cell r="I535">
            <v>7920</v>
          </cell>
          <cell r="J535">
            <v>1068.4100000000001</v>
          </cell>
          <cell r="K535">
            <v>1</v>
          </cell>
          <cell r="L535">
            <v>0</v>
          </cell>
          <cell r="M535">
            <v>0</v>
          </cell>
          <cell r="N535">
            <v>0</v>
          </cell>
          <cell r="R535">
            <v>0</v>
          </cell>
          <cell r="S535">
            <v>0</v>
          </cell>
          <cell r="T535">
            <v>0</v>
          </cell>
          <cell r="U535">
            <v>42</v>
          </cell>
          <cell r="V535">
            <v>0</v>
          </cell>
          <cell r="W535">
            <v>0</v>
          </cell>
          <cell r="AA535">
            <v>0</v>
          </cell>
          <cell r="AB535">
            <v>0</v>
          </cell>
          <cell r="AC535">
            <v>0</v>
          </cell>
          <cell r="AD535">
            <v>42</v>
          </cell>
          <cell r="AE535">
            <v>117000</v>
          </cell>
          <cell r="AF535">
            <v>0</v>
          </cell>
          <cell r="AI535">
            <v>2312</v>
          </cell>
          <cell r="AK535">
            <v>0</v>
          </cell>
          <cell r="AM535">
            <v>723</v>
          </cell>
          <cell r="AN535">
            <v>1</v>
          </cell>
          <cell r="AO535">
            <v>393216</v>
          </cell>
          <cell r="AQ535">
            <v>0</v>
          </cell>
          <cell r="AR535">
            <v>0</v>
          </cell>
          <cell r="AS535" t="str">
            <v>Ы</v>
          </cell>
          <cell r="AT535" t="str">
            <v>Ы</v>
          </cell>
          <cell r="AU535">
            <v>0</v>
          </cell>
          <cell r="AV535">
            <v>0</v>
          </cell>
          <cell r="AW535">
            <v>23</v>
          </cell>
          <cell r="AX535">
            <v>1</v>
          </cell>
          <cell r="AY535">
            <v>0</v>
          </cell>
          <cell r="AZ535">
            <v>0</v>
          </cell>
          <cell r="BA535">
            <v>0</v>
          </cell>
          <cell r="BB535">
            <v>0</v>
          </cell>
          <cell r="BC535">
            <v>38856</v>
          </cell>
        </row>
        <row r="536">
          <cell r="A536">
            <v>2006</v>
          </cell>
          <cell r="B536">
            <v>4</v>
          </cell>
          <cell r="C536">
            <v>578</v>
          </cell>
          <cell r="D536">
            <v>18</v>
          </cell>
          <cell r="E536">
            <v>792030</v>
          </cell>
          <cell r="F536">
            <v>0</v>
          </cell>
          <cell r="G536" t="str">
            <v>Затраты по ШПЗ (неосновные)</v>
          </cell>
          <cell r="H536">
            <v>2030</v>
          </cell>
          <cell r="I536">
            <v>7920</v>
          </cell>
          <cell r="J536">
            <v>23.66</v>
          </cell>
          <cell r="K536">
            <v>1</v>
          </cell>
          <cell r="L536">
            <v>0</v>
          </cell>
          <cell r="M536">
            <v>0</v>
          </cell>
          <cell r="N536">
            <v>0</v>
          </cell>
          <cell r="R536">
            <v>0</v>
          </cell>
          <cell r="S536">
            <v>0</v>
          </cell>
          <cell r="T536">
            <v>0</v>
          </cell>
          <cell r="U536">
            <v>42</v>
          </cell>
          <cell r="V536">
            <v>0</v>
          </cell>
          <cell r="W536">
            <v>0</v>
          </cell>
          <cell r="AA536">
            <v>0</v>
          </cell>
          <cell r="AB536">
            <v>0</v>
          </cell>
          <cell r="AC536">
            <v>0</v>
          </cell>
          <cell r="AD536">
            <v>42</v>
          </cell>
          <cell r="AE536">
            <v>118000</v>
          </cell>
          <cell r="AF536">
            <v>0</v>
          </cell>
          <cell r="AI536">
            <v>2312</v>
          </cell>
          <cell r="AK536">
            <v>0</v>
          </cell>
          <cell r="AM536">
            <v>724</v>
          </cell>
          <cell r="AN536">
            <v>1</v>
          </cell>
          <cell r="AO536">
            <v>393216</v>
          </cell>
          <cell r="AQ536">
            <v>0</v>
          </cell>
          <cell r="AR536">
            <v>0</v>
          </cell>
          <cell r="AS536" t="str">
            <v>Ы</v>
          </cell>
          <cell r="AT536" t="str">
            <v>Ы</v>
          </cell>
          <cell r="AU536">
            <v>0</v>
          </cell>
          <cell r="AV536">
            <v>0</v>
          </cell>
          <cell r="AW536">
            <v>23</v>
          </cell>
          <cell r="AX536">
            <v>1</v>
          </cell>
          <cell r="AY536">
            <v>0</v>
          </cell>
          <cell r="AZ536">
            <v>0</v>
          </cell>
          <cell r="BA536">
            <v>0</v>
          </cell>
          <cell r="BB536">
            <v>0</v>
          </cell>
          <cell r="BC536">
            <v>38856</v>
          </cell>
        </row>
        <row r="537">
          <cell r="A537">
            <v>2006</v>
          </cell>
          <cell r="B537">
            <v>4</v>
          </cell>
          <cell r="C537">
            <v>579</v>
          </cell>
          <cell r="D537">
            <v>18</v>
          </cell>
          <cell r="E537">
            <v>792030</v>
          </cell>
          <cell r="F537">
            <v>0</v>
          </cell>
          <cell r="G537" t="str">
            <v>Затраты по ШПЗ (неосновные)</v>
          </cell>
          <cell r="H537">
            <v>2030</v>
          </cell>
          <cell r="I537">
            <v>7920</v>
          </cell>
          <cell r="J537">
            <v>12.64</v>
          </cell>
          <cell r="K537">
            <v>1</v>
          </cell>
          <cell r="L537">
            <v>0</v>
          </cell>
          <cell r="M537">
            <v>0</v>
          </cell>
          <cell r="N537">
            <v>0</v>
          </cell>
          <cell r="R537">
            <v>0</v>
          </cell>
          <cell r="S537">
            <v>0</v>
          </cell>
          <cell r="T537">
            <v>0</v>
          </cell>
          <cell r="U537">
            <v>42</v>
          </cell>
          <cell r="V537">
            <v>0</v>
          </cell>
          <cell r="W537">
            <v>0</v>
          </cell>
          <cell r="AA537">
            <v>0</v>
          </cell>
          <cell r="AB537">
            <v>0</v>
          </cell>
          <cell r="AC537">
            <v>0</v>
          </cell>
          <cell r="AD537">
            <v>42</v>
          </cell>
          <cell r="AE537">
            <v>130000</v>
          </cell>
          <cell r="AF537">
            <v>0</v>
          </cell>
          <cell r="AI537">
            <v>2312</v>
          </cell>
          <cell r="AK537">
            <v>0</v>
          </cell>
          <cell r="AM537">
            <v>725</v>
          </cell>
          <cell r="AN537">
            <v>1</v>
          </cell>
          <cell r="AO537">
            <v>393216</v>
          </cell>
          <cell r="AQ537">
            <v>0</v>
          </cell>
          <cell r="AR537">
            <v>0</v>
          </cell>
          <cell r="AS537" t="str">
            <v>Ы</v>
          </cell>
          <cell r="AT537" t="str">
            <v>Ы</v>
          </cell>
          <cell r="AU537">
            <v>0</v>
          </cell>
          <cell r="AV537">
            <v>0</v>
          </cell>
          <cell r="AW537">
            <v>23</v>
          </cell>
          <cell r="AX537">
            <v>1</v>
          </cell>
          <cell r="AY537">
            <v>0</v>
          </cell>
          <cell r="AZ537">
            <v>0</v>
          </cell>
          <cell r="BA537">
            <v>0</v>
          </cell>
          <cell r="BB537">
            <v>0</v>
          </cell>
          <cell r="BC537">
            <v>38856</v>
          </cell>
        </row>
        <row r="538">
          <cell r="A538">
            <v>2006</v>
          </cell>
          <cell r="B538">
            <v>4</v>
          </cell>
          <cell r="C538">
            <v>580</v>
          </cell>
          <cell r="D538">
            <v>18</v>
          </cell>
          <cell r="E538">
            <v>792030</v>
          </cell>
          <cell r="F538">
            <v>0</v>
          </cell>
          <cell r="G538" t="str">
            <v>Затраты по ШПЗ (неосновные)</v>
          </cell>
          <cell r="H538">
            <v>2030</v>
          </cell>
          <cell r="I538">
            <v>7920</v>
          </cell>
          <cell r="J538">
            <v>18.47</v>
          </cell>
          <cell r="K538">
            <v>1</v>
          </cell>
          <cell r="L538">
            <v>0</v>
          </cell>
          <cell r="M538">
            <v>0</v>
          </cell>
          <cell r="N538">
            <v>0</v>
          </cell>
          <cell r="R538">
            <v>0</v>
          </cell>
          <cell r="S538">
            <v>0</v>
          </cell>
          <cell r="T538">
            <v>0</v>
          </cell>
          <cell r="U538">
            <v>42</v>
          </cell>
          <cell r="V538">
            <v>0</v>
          </cell>
          <cell r="W538">
            <v>0</v>
          </cell>
          <cell r="AA538">
            <v>0</v>
          </cell>
          <cell r="AB538">
            <v>0</v>
          </cell>
          <cell r="AC538">
            <v>0</v>
          </cell>
          <cell r="AD538">
            <v>42</v>
          </cell>
          <cell r="AE538">
            <v>131000</v>
          </cell>
          <cell r="AF538">
            <v>0</v>
          </cell>
          <cell r="AI538">
            <v>2312</v>
          </cell>
          <cell r="AK538">
            <v>0</v>
          </cell>
          <cell r="AM538">
            <v>726</v>
          </cell>
          <cell r="AN538">
            <v>1</v>
          </cell>
          <cell r="AO538">
            <v>393216</v>
          </cell>
          <cell r="AQ538">
            <v>0</v>
          </cell>
          <cell r="AR538">
            <v>0</v>
          </cell>
          <cell r="AS538" t="str">
            <v>Ы</v>
          </cell>
          <cell r="AT538" t="str">
            <v>Ы</v>
          </cell>
          <cell r="AU538">
            <v>0</v>
          </cell>
          <cell r="AV538">
            <v>0</v>
          </cell>
          <cell r="AW538">
            <v>23</v>
          </cell>
          <cell r="AX538">
            <v>1</v>
          </cell>
          <cell r="AY538">
            <v>0</v>
          </cell>
          <cell r="AZ538">
            <v>0</v>
          </cell>
          <cell r="BA538">
            <v>0</v>
          </cell>
          <cell r="BB538">
            <v>0</v>
          </cell>
          <cell r="BC538">
            <v>38856</v>
          </cell>
        </row>
        <row r="539">
          <cell r="A539">
            <v>2006</v>
          </cell>
          <cell r="B539">
            <v>4</v>
          </cell>
          <cell r="C539">
            <v>581</v>
          </cell>
          <cell r="D539">
            <v>18</v>
          </cell>
          <cell r="E539">
            <v>792030</v>
          </cell>
          <cell r="F539">
            <v>0</v>
          </cell>
          <cell r="G539" t="str">
            <v>Затраты по ШПЗ (неосновные)</v>
          </cell>
          <cell r="H539">
            <v>2030</v>
          </cell>
          <cell r="I539">
            <v>7920</v>
          </cell>
          <cell r="J539">
            <v>50.73</v>
          </cell>
          <cell r="K539">
            <v>1</v>
          </cell>
          <cell r="L539">
            <v>0</v>
          </cell>
          <cell r="M539">
            <v>0</v>
          </cell>
          <cell r="N539">
            <v>0</v>
          </cell>
          <cell r="R539">
            <v>0</v>
          </cell>
          <cell r="S539">
            <v>0</v>
          </cell>
          <cell r="T539">
            <v>0</v>
          </cell>
          <cell r="U539">
            <v>42</v>
          </cell>
          <cell r="V539">
            <v>0</v>
          </cell>
          <cell r="W539">
            <v>0</v>
          </cell>
          <cell r="AA539">
            <v>0</v>
          </cell>
          <cell r="AB539">
            <v>0</v>
          </cell>
          <cell r="AC539">
            <v>0</v>
          </cell>
          <cell r="AD539">
            <v>42</v>
          </cell>
          <cell r="AE539">
            <v>132000</v>
          </cell>
          <cell r="AF539">
            <v>0</v>
          </cell>
          <cell r="AI539">
            <v>2312</v>
          </cell>
          <cell r="AK539">
            <v>0</v>
          </cell>
          <cell r="AM539">
            <v>727</v>
          </cell>
          <cell r="AN539">
            <v>1</v>
          </cell>
          <cell r="AO539">
            <v>393216</v>
          </cell>
          <cell r="AQ539">
            <v>0</v>
          </cell>
          <cell r="AR539">
            <v>0</v>
          </cell>
          <cell r="AS539" t="str">
            <v>Ы</v>
          </cell>
          <cell r="AT539" t="str">
            <v>Ы</v>
          </cell>
          <cell r="AU539">
            <v>0</v>
          </cell>
          <cell r="AV539">
            <v>0</v>
          </cell>
          <cell r="AW539">
            <v>23</v>
          </cell>
          <cell r="AX539">
            <v>1</v>
          </cell>
          <cell r="AY539">
            <v>0</v>
          </cell>
          <cell r="AZ539">
            <v>0</v>
          </cell>
          <cell r="BA539">
            <v>0</v>
          </cell>
          <cell r="BB539">
            <v>0</v>
          </cell>
          <cell r="BC539">
            <v>38856</v>
          </cell>
        </row>
        <row r="540">
          <cell r="A540">
            <v>2006</v>
          </cell>
          <cell r="B540">
            <v>4</v>
          </cell>
          <cell r="C540">
            <v>582</v>
          </cell>
          <cell r="D540">
            <v>18</v>
          </cell>
          <cell r="E540">
            <v>792030</v>
          </cell>
          <cell r="F540">
            <v>0</v>
          </cell>
          <cell r="G540" t="str">
            <v>Затраты по ШПЗ (неосновные)</v>
          </cell>
          <cell r="H540">
            <v>2030</v>
          </cell>
          <cell r="I540">
            <v>7920</v>
          </cell>
          <cell r="J540">
            <v>7.7</v>
          </cell>
          <cell r="K540">
            <v>1</v>
          </cell>
          <cell r="L540">
            <v>0</v>
          </cell>
          <cell r="M540">
            <v>0</v>
          </cell>
          <cell r="N540">
            <v>0</v>
          </cell>
          <cell r="R540">
            <v>0</v>
          </cell>
          <cell r="S540">
            <v>0</v>
          </cell>
          <cell r="T540">
            <v>0</v>
          </cell>
          <cell r="U540">
            <v>42</v>
          </cell>
          <cell r="V540">
            <v>0</v>
          </cell>
          <cell r="W540">
            <v>0</v>
          </cell>
          <cell r="AA540">
            <v>0</v>
          </cell>
          <cell r="AB540">
            <v>0</v>
          </cell>
          <cell r="AC540">
            <v>0</v>
          </cell>
          <cell r="AD540">
            <v>42</v>
          </cell>
          <cell r="AE540">
            <v>135000</v>
          </cell>
          <cell r="AF540">
            <v>0</v>
          </cell>
          <cell r="AI540">
            <v>2312</v>
          </cell>
          <cell r="AK540">
            <v>0</v>
          </cell>
          <cell r="AM540">
            <v>728</v>
          </cell>
          <cell r="AN540">
            <v>1</v>
          </cell>
          <cell r="AO540">
            <v>393216</v>
          </cell>
          <cell r="AQ540">
            <v>0</v>
          </cell>
          <cell r="AR540">
            <v>0</v>
          </cell>
          <cell r="AS540" t="str">
            <v>Ы</v>
          </cell>
          <cell r="AT540" t="str">
            <v>Ы</v>
          </cell>
          <cell r="AU540">
            <v>0</v>
          </cell>
          <cell r="AV540">
            <v>0</v>
          </cell>
          <cell r="AW540">
            <v>23</v>
          </cell>
          <cell r="AX540">
            <v>1</v>
          </cell>
          <cell r="AY540">
            <v>0</v>
          </cell>
          <cell r="AZ540">
            <v>0</v>
          </cell>
          <cell r="BA540">
            <v>0</v>
          </cell>
          <cell r="BB540">
            <v>0</v>
          </cell>
          <cell r="BC540">
            <v>38856</v>
          </cell>
        </row>
        <row r="541">
          <cell r="A541">
            <v>2006</v>
          </cell>
          <cell r="B541">
            <v>4</v>
          </cell>
          <cell r="C541">
            <v>583</v>
          </cell>
          <cell r="D541">
            <v>18</v>
          </cell>
          <cell r="E541">
            <v>792030</v>
          </cell>
          <cell r="F541">
            <v>0</v>
          </cell>
          <cell r="G541" t="str">
            <v>Затраты по ШПЗ (неосновные)</v>
          </cell>
          <cell r="H541">
            <v>2030</v>
          </cell>
          <cell r="I541">
            <v>7920</v>
          </cell>
          <cell r="J541">
            <v>29052.27</v>
          </cell>
          <cell r="K541">
            <v>1</v>
          </cell>
          <cell r="L541">
            <v>0</v>
          </cell>
          <cell r="M541">
            <v>0</v>
          </cell>
          <cell r="N541">
            <v>0</v>
          </cell>
          <cell r="R541">
            <v>0</v>
          </cell>
          <cell r="S541">
            <v>0</v>
          </cell>
          <cell r="T541">
            <v>0</v>
          </cell>
          <cell r="U541">
            <v>42</v>
          </cell>
          <cell r="V541">
            <v>0</v>
          </cell>
          <cell r="W541">
            <v>0</v>
          </cell>
          <cell r="AA541">
            <v>0</v>
          </cell>
          <cell r="AB541">
            <v>0</v>
          </cell>
          <cell r="AC541">
            <v>0</v>
          </cell>
          <cell r="AD541">
            <v>42</v>
          </cell>
          <cell r="AE541">
            <v>143000</v>
          </cell>
          <cell r="AF541">
            <v>0</v>
          </cell>
          <cell r="AI541">
            <v>2312</v>
          </cell>
          <cell r="AK541">
            <v>0</v>
          </cell>
          <cell r="AM541">
            <v>729</v>
          </cell>
          <cell r="AN541">
            <v>1</v>
          </cell>
          <cell r="AO541">
            <v>393216</v>
          </cell>
          <cell r="AQ541">
            <v>0</v>
          </cell>
          <cell r="AR541">
            <v>0</v>
          </cell>
          <cell r="AS541" t="str">
            <v>Ы</v>
          </cell>
          <cell r="AT541" t="str">
            <v>Ы</v>
          </cell>
          <cell r="AU541">
            <v>0</v>
          </cell>
          <cell r="AV541">
            <v>0</v>
          </cell>
          <cell r="AW541">
            <v>23</v>
          </cell>
          <cell r="AX541">
            <v>1</v>
          </cell>
          <cell r="AY541">
            <v>0</v>
          </cell>
          <cell r="AZ541">
            <v>0</v>
          </cell>
          <cell r="BA541">
            <v>0</v>
          </cell>
          <cell r="BB541">
            <v>0</v>
          </cell>
          <cell r="BC541">
            <v>38856</v>
          </cell>
        </row>
        <row r="542">
          <cell r="A542">
            <v>2006</v>
          </cell>
          <cell r="B542">
            <v>4</v>
          </cell>
          <cell r="C542">
            <v>584</v>
          </cell>
          <cell r="D542">
            <v>18</v>
          </cell>
          <cell r="E542">
            <v>792030</v>
          </cell>
          <cell r="F542">
            <v>0</v>
          </cell>
          <cell r="G542" t="str">
            <v>Затраты по ШПЗ (неосновные)</v>
          </cell>
          <cell r="H542">
            <v>2030</v>
          </cell>
          <cell r="I542">
            <v>7920</v>
          </cell>
          <cell r="J542">
            <v>12.89</v>
          </cell>
          <cell r="K542">
            <v>1</v>
          </cell>
          <cell r="L542">
            <v>0</v>
          </cell>
          <cell r="M542">
            <v>0</v>
          </cell>
          <cell r="N542">
            <v>0</v>
          </cell>
          <cell r="R542">
            <v>0</v>
          </cell>
          <cell r="S542">
            <v>0</v>
          </cell>
          <cell r="T542">
            <v>0</v>
          </cell>
          <cell r="U542">
            <v>42</v>
          </cell>
          <cell r="V542">
            <v>0</v>
          </cell>
          <cell r="W542">
            <v>0</v>
          </cell>
          <cell r="AA542">
            <v>0</v>
          </cell>
          <cell r="AB542">
            <v>0</v>
          </cell>
          <cell r="AC542">
            <v>0</v>
          </cell>
          <cell r="AD542">
            <v>42</v>
          </cell>
          <cell r="AE542">
            <v>410000</v>
          </cell>
          <cell r="AF542">
            <v>0</v>
          </cell>
          <cell r="AI542">
            <v>2312</v>
          </cell>
          <cell r="AK542">
            <v>0</v>
          </cell>
          <cell r="AM542">
            <v>730</v>
          </cell>
          <cell r="AN542">
            <v>1</v>
          </cell>
          <cell r="AO542">
            <v>393216</v>
          </cell>
          <cell r="AQ542">
            <v>0</v>
          </cell>
          <cell r="AR542">
            <v>0</v>
          </cell>
          <cell r="AS542" t="str">
            <v>Ы</v>
          </cell>
          <cell r="AT542" t="str">
            <v>Ы</v>
          </cell>
          <cell r="AU542">
            <v>0</v>
          </cell>
          <cell r="AV542">
            <v>0</v>
          </cell>
          <cell r="AW542">
            <v>23</v>
          </cell>
          <cell r="AX542">
            <v>1</v>
          </cell>
          <cell r="AY542">
            <v>0</v>
          </cell>
          <cell r="AZ542">
            <v>0</v>
          </cell>
          <cell r="BA542">
            <v>0</v>
          </cell>
          <cell r="BB542">
            <v>0</v>
          </cell>
          <cell r="BC542">
            <v>38856</v>
          </cell>
        </row>
        <row r="543">
          <cell r="A543">
            <v>2006</v>
          </cell>
          <cell r="B543">
            <v>4</v>
          </cell>
          <cell r="C543">
            <v>585</v>
          </cell>
          <cell r="D543">
            <v>18</v>
          </cell>
          <cell r="E543">
            <v>792030</v>
          </cell>
          <cell r="F543">
            <v>0</v>
          </cell>
          <cell r="G543" t="str">
            <v>Затраты по ШПЗ (неосновные)</v>
          </cell>
          <cell r="H543">
            <v>2030</v>
          </cell>
          <cell r="I543">
            <v>7920</v>
          </cell>
          <cell r="J543">
            <v>318.27999999999997</v>
          </cell>
          <cell r="K543">
            <v>1</v>
          </cell>
          <cell r="L543">
            <v>0</v>
          </cell>
          <cell r="M543">
            <v>0</v>
          </cell>
          <cell r="N543">
            <v>0</v>
          </cell>
          <cell r="R543">
            <v>0</v>
          </cell>
          <cell r="S543">
            <v>0</v>
          </cell>
          <cell r="T543">
            <v>0</v>
          </cell>
          <cell r="U543">
            <v>42</v>
          </cell>
          <cell r="V543">
            <v>0</v>
          </cell>
          <cell r="W543">
            <v>0</v>
          </cell>
          <cell r="AA543">
            <v>0</v>
          </cell>
          <cell r="AB543">
            <v>0</v>
          </cell>
          <cell r="AC543">
            <v>0</v>
          </cell>
          <cell r="AD543">
            <v>42</v>
          </cell>
          <cell r="AE543">
            <v>420000</v>
          </cell>
          <cell r="AF543">
            <v>0</v>
          </cell>
          <cell r="AI543">
            <v>2312</v>
          </cell>
          <cell r="AK543">
            <v>0</v>
          </cell>
          <cell r="AM543">
            <v>731</v>
          </cell>
          <cell r="AN543">
            <v>1</v>
          </cell>
          <cell r="AO543">
            <v>393216</v>
          </cell>
          <cell r="AQ543">
            <v>0</v>
          </cell>
          <cell r="AR543">
            <v>0</v>
          </cell>
          <cell r="AS543" t="str">
            <v>Ы</v>
          </cell>
          <cell r="AT543" t="str">
            <v>Ы</v>
          </cell>
          <cell r="AU543">
            <v>0</v>
          </cell>
          <cell r="AV543">
            <v>0</v>
          </cell>
          <cell r="AW543">
            <v>23</v>
          </cell>
          <cell r="AX543">
            <v>1</v>
          </cell>
          <cell r="AY543">
            <v>0</v>
          </cell>
          <cell r="AZ543">
            <v>0</v>
          </cell>
          <cell r="BA543">
            <v>0</v>
          </cell>
          <cell r="BB543">
            <v>0</v>
          </cell>
          <cell r="BC543">
            <v>38856</v>
          </cell>
        </row>
        <row r="544">
          <cell r="A544">
            <v>2006</v>
          </cell>
          <cell r="B544">
            <v>4</v>
          </cell>
          <cell r="C544">
            <v>586</v>
          </cell>
          <cell r="D544">
            <v>18</v>
          </cell>
          <cell r="E544">
            <v>792030</v>
          </cell>
          <cell r="F544">
            <v>0</v>
          </cell>
          <cell r="G544" t="str">
            <v>Затраты по ШПЗ (неосновные)</v>
          </cell>
          <cell r="H544">
            <v>2030</v>
          </cell>
          <cell r="I544">
            <v>7920</v>
          </cell>
          <cell r="J544">
            <v>50.69</v>
          </cell>
          <cell r="K544">
            <v>1</v>
          </cell>
          <cell r="L544">
            <v>0</v>
          </cell>
          <cell r="M544">
            <v>0</v>
          </cell>
          <cell r="N544">
            <v>0</v>
          </cell>
          <cell r="R544">
            <v>0</v>
          </cell>
          <cell r="S544">
            <v>0</v>
          </cell>
          <cell r="T544">
            <v>0</v>
          </cell>
          <cell r="U544">
            <v>42</v>
          </cell>
          <cell r="V544">
            <v>0</v>
          </cell>
          <cell r="W544">
            <v>0</v>
          </cell>
          <cell r="AA544">
            <v>0</v>
          </cell>
          <cell r="AB544">
            <v>0</v>
          </cell>
          <cell r="AC544">
            <v>0</v>
          </cell>
          <cell r="AD544">
            <v>42</v>
          </cell>
          <cell r="AE544">
            <v>430000</v>
          </cell>
          <cell r="AF544">
            <v>0</v>
          </cell>
          <cell r="AI544">
            <v>2312</v>
          </cell>
          <cell r="AK544">
            <v>0</v>
          </cell>
          <cell r="AM544">
            <v>732</v>
          </cell>
          <cell r="AN544">
            <v>1</v>
          </cell>
          <cell r="AO544">
            <v>393216</v>
          </cell>
          <cell r="AQ544">
            <v>0</v>
          </cell>
          <cell r="AR544">
            <v>0</v>
          </cell>
          <cell r="AS544" t="str">
            <v>Ы</v>
          </cell>
          <cell r="AT544" t="str">
            <v>Ы</v>
          </cell>
          <cell r="AU544">
            <v>0</v>
          </cell>
          <cell r="AV544">
            <v>0</v>
          </cell>
          <cell r="AW544">
            <v>23</v>
          </cell>
          <cell r="AX544">
            <v>1</v>
          </cell>
          <cell r="AY544">
            <v>0</v>
          </cell>
          <cell r="AZ544">
            <v>0</v>
          </cell>
          <cell r="BA544">
            <v>0</v>
          </cell>
          <cell r="BB544">
            <v>0</v>
          </cell>
          <cell r="BC544">
            <v>38856</v>
          </cell>
        </row>
        <row r="545">
          <cell r="A545">
            <v>2006</v>
          </cell>
          <cell r="B545">
            <v>4</v>
          </cell>
          <cell r="C545">
            <v>587</v>
          </cell>
          <cell r="D545">
            <v>18</v>
          </cell>
          <cell r="E545">
            <v>792030</v>
          </cell>
          <cell r="F545">
            <v>0</v>
          </cell>
          <cell r="G545" t="str">
            <v>Затраты по ШПЗ (неосновные)</v>
          </cell>
          <cell r="H545">
            <v>2030</v>
          </cell>
          <cell r="I545">
            <v>7920</v>
          </cell>
          <cell r="J545">
            <v>18.309999999999999</v>
          </cell>
          <cell r="K545">
            <v>1</v>
          </cell>
          <cell r="L545">
            <v>0</v>
          </cell>
          <cell r="M545">
            <v>0</v>
          </cell>
          <cell r="N545">
            <v>0</v>
          </cell>
          <cell r="R545">
            <v>0</v>
          </cell>
          <cell r="S545">
            <v>0</v>
          </cell>
          <cell r="T545">
            <v>0</v>
          </cell>
          <cell r="U545">
            <v>42</v>
          </cell>
          <cell r="V545">
            <v>0</v>
          </cell>
          <cell r="W545">
            <v>0</v>
          </cell>
          <cell r="AA545">
            <v>0</v>
          </cell>
          <cell r="AB545">
            <v>0</v>
          </cell>
          <cell r="AC545">
            <v>0</v>
          </cell>
          <cell r="AD545">
            <v>42</v>
          </cell>
          <cell r="AE545">
            <v>450000</v>
          </cell>
          <cell r="AF545">
            <v>0</v>
          </cell>
          <cell r="AI545">
            <v>2312</v>
          </cell>
          <cell r="AK545">
            <v>0</v>
          </cell>
          <cell r="AM545">
            <v>733</v>
          </cell>
          <cell r="AN545">
            <v>1</v>
          </cell>
          <cell r="AO545">
            <v>393216</v>
          </cell>
          <cell r="AQ545">
            <v>0</v>
          </cell>
          <cell r="AR545">
            <v>0</v>
          </cell>
          <cell r="AS545" t="str">
            <v>Ы</v>
          </cell>
          <cell r="AT545" t="str">
            <v>Ы</v>
          </cell>
          <cell r="AU545">
            <v>0</v>
          </cell>
          <cell r="AV545">
            <v>0</v>
          </cell>
          <cell r="AW545">
            <v>23</v>
          </cell>
          <cell r="AX545">
            <v>1</v>
          </cell>
          <cell r="AY545">
            <v>0</v>
          </cell>
          <cell r="AZ545">
            <v>0</v>
          </cell>
          <cell r="BA545">
            <v>0</v>
          </cell>
          <cell r="BB545">
            <v>0</v>
          </cell>
          <cell r="BC545">
            <v>38856</v>
          </cell>
        </row>
        <row r="546">
          <cell r="A546">
            <v>2006</v>
          </cell>
          <cell r="B546">
            <v>4</v>
          </cell>
          <cell r="C546">
            <v>588</v>
          </cell>
          <cell r="D546">
            <v>18</v>
          </cell>
          <cell r="E546">
            <v>792030</v>
          </cell>
          <cell r="F546">
            <v>0</v>
          </cell>
          <cell r="G546" t="str">
            <v>Затраты по ШПЗ (неосновные)</v>
          </cell>
          <cell r="H546">
            <v>2030</v>
          </cell>
          <cell r="I546">
            <v>7920</v>
          </cell>
          <cell r="J546">
            <v>6.34</v>
          </cell>
          <cell r="K546">
            <v>1</v>
          </cell>
          <cell r="L546">
            <v>0</v>
          </cell>
          <cell r="M546">
            <v>0</v>
          </cell>
          <cell r="N546">
            <v>0</v>
          </cell>
          <cell r="R546">
            <v>0</v>
          </cell>
          <cell r="S546">
            <v>0</v>
          </cell>
          <cell r="T546">
            <v>0</v>
          </cell>
          <cell r="U546">
            <v>42</v>
          </cell>
          <cell r="V546">
            <v>0</v>
          </cell>
          <cell r="W546">
            <v>0</v>
          </cell>
          <cell r="AA546">
            <v>0</v>
          </cell>
          <cell r="AB546">
            <v>0</v>
          </cell>
          <cell r="AC546">
            <v>0</v>
          </cell>
          <cell r="AD546">
            <v>42</v>
          </cell>
          <cell r="AE546">
            <v>460000</v>
          </cell>
          <cell r="AF546">
            <v>0</v>
          </cell>
          <cell r="AI546">
            <v>2312</v>
          </cell>
          <cell r="AK546">
            <v>0</v>
          </cell>
          <cell r="AM546">
            <v>734</v>
          </cell>
          <cell r="AN546">
            <v>1</v>
          </cell>
          <cell r="AO546">
            <v>393216</v>
          </cell>
          <cell r="AQ546">
            <v>0</v>
          </cell>
          <cell r="AR546">
            <v>0</v>
          </cell>
          <cell r="AS546" t="str">
            <v>Ы</v>
          </cell>
          <cell r="AT546" t="str">
            <v>Ы</v>
          </cell>
          <cell r="AU546">
            <v>0</v>
          </cell>
          <cell r="AV546">
            <v>0</v>
          </cell>
          <cell r="AW546">
            <v>23</v>
          </cell>
          <cell r="AX546">
            <v>1</v>
          </cell>
          <cell r="AY546">
            <v>0</v>
          </cell>
          <cell r="AZ546">
            <v>0</v>
          </cell>
          <cell r="BA546">
            <v>0</v>
          </cell>
          <cell r="BB546">
            <v>0</v>
          </cell>
          <cell r="BC546">
            <v>38856</v>
          </cell>
        </row>
        <row r="547">
          <cell r="A547">
            <v>2006</v>
          </cell>
          <cell r="B547">
            <v>4</v>
          </cell>
          <cell r="C547">
            <v>589</v>
          </cell>
          <cell r="D547">
            <v>18</v>
          </cell>
          <cell r="E547">
            <v>792030</v>
          </cell>
          <cell r="F547">
            <v>0</v>
          </cell>
          <cell r="G547" t="str">
            <v>Затраты по ШПЗ (неосновные)</v>
          </cell>
          <cell r="H547">
            <v>2030</v>
          </cell>
          <cell r="I547">
            <v>7920</v>
          </cell>
          <cell r="J547">
            <v>0.18</v>
          </cell>
          <cell r="K547">
            <v>1</v>
          </cell>
          <cell r="L547">
            <v>0</v>
          </cell>
          <cell r="M547">
            <v>0</v>
          </cell>
          <cell r="N547">
            <v>0</v>
          </cell>
          <cell r="R547">
            <v>0</v>
          </cell>
          <cell r="S547">
            <v>0</v>
          </cell>
          <cell r="T547">
            <v>0</v>
          </cell>
          <cell r="U547">
            <v>42</v>
          </cell>
          <cell r="V547">
            <v>0</v>
          </cell>
          <cell r="W547">
            <v>0</v>
          </cell>
          <cell r="AA547">
            <v>0</v>
          </cell>
          <cell r="AB547">
            <v>0</v>
          </cell>
          <cell r="AC547">
            <v>0</v>
          </cell>
          <cell r="AD547">
            <v>42</v>
          </cell>
          <cell r="AE547">
            <v>465000</v>
          </cell>
          <cell r="AF547">
            <v>0</v>
          </cell>
          <cell r="AI547">
            <v>2312</v>
          </cell>
          <cell r="AK547">
            <v>0</v>
          </cell>
          <cell r="AM547">
            <v>735</v>
          </cell>
          <cell r="AN547">
            <v>1</v>
          </cell>
          <cell r="AO547">
            <v>393216</v>
          </cell>
          <cell r="AQ547">
            <v>0</v>
          </cell>
          <cell r="AR547">
            <v>0</v>
          </cell>
          <cell r="AS547" t="str">
            <v>Ы</v>
          </cell>
          <cell r="AT547" t="str">
            <v>Ы</v>
          </cell>
          <cell r="AU547">
            <v>0</v>
          </cell>
          <cell r="AV547">
            <v>0</v>
          </cell>
          <cell r="AW547">
            <v>23</v>
          </cell>
          <cell r="AX547">
            <v>1</v>
          </cell>
          <cell r="AY547">
            <v>0</v>
          </cell>
          <cell r="AZ547">
            <v>0</v>
          </cell>
          <cell r="BA547">
            <v>0</v>
          </cell>
          <cell r="BB547">
            <v>0</v>
          </cell>
          <cell r="BC547">
            <v>38856</v>
          </cell>
        </row>
        <row r="548">
          <cell r="A548">
            <v>2006</v>
          </cell>
          <cell r="B548">
            <v>4</v>
          </cell>
          <cell r="C548">
            <v>590</v>
          </cell>
          <cell r="D548">
            <v>18</v>
          </cell>
          <cell r="E548">
            <v>792030</v>
          </cell>
          <cell r="F548">
            <v>0</v>
          </cell>
          <cell r="G548" t="str">
            <v>Затраты по ШПЗ (неосновные)</v>
          </cell>
          <cell r="H548">
            <v>2030</v>
          </cell>
          <cell r="I548">
            <v>7920</v>
          </cell>
          <cell r="J548">
            <v>2.37</v>
          </cell>
          <cell r="K548">
            <v>1</v>
          </cell>
          <cell r="L548">
            <v>0</v>
          </cell>
          <cell r="M548">
            <v>0</v>
          </cell>
          <cell r="N548">
            <v>0</v>
          </cell>
          <cell r="R548">
            <v>0</v>
          </cell>
          <cell r="S548">
            <v>0</v>
          </cell>
          <cell r="T548">
            <v>0</v>
          </cell>
          <cell r="U548">
            <v>42</v>
          </cell>
          <cell r="V548">
            <v>0</v>
          </cell>
          <cell r="W548">
            <v>0</v>
          </cell>
          <cell r="AA548">
            <v>0</v>
          </cell>
          <cell r="AB548">
            <v>0</v>
          </cell>
          <cell r="AC548">
            <v>0</v>
          </cell>
          <cell r="AD548">
            <v>42</v>
          </cell>
          <cell r="AE548">
            <v>501103</v>
          </cell>
          <cell r="AF548">
            <v>0</v>
          </cell>
          <cell r="AI548">
            <v>2312</v>
          </cell>
          <cell r="AK548">
            <v>0</v>
          </cell>
          <cell r="AM548">
            <v>736</v>
          </cell>
          <cell r="AN548">
            <v>1</v>
          </cell>
          <cell r="AO548">
            <v>393216</v>
          </cell>
          <cell r="AQ548">
            <v>0</v>
          </cell>
          <cell r="AR548">
            <v>0</v>
          </cell>
          <cell r="AS548" t="str">
            <v>Ы</v>
          </cell>
          <cell r="AT548" t="str">
            <v>Ы</v>
          </cell>
          <cell r="AU548">
            <v>0</v>
          </cell>
          <cell r="AV548">
            <v>0</v>
          </cell>
          <cell r="AW548">
            <v>23</v>
          </cell>
          <cell r="AX548">
            <v>1</v>
          </cell>
          <cell r="AY548">
            <v>0</v>
          </cell>
          <cell r="AZ548">
            <v>0</v>
          </cell>
          <cell r="BA548">
            <v>0</v>
          </cell>
          <cell r="BB548">
            <v>0</v>
          </cell>
          <cell r="BC548">
            <v>38856</v>
          </cell>
        </row>
        <row r="549">
          <cell r="A549">
            <v>2006</v>
          </cell>
          <cell r="B549">
            <v>4</v>
          </cell>
          <cell r="C549">
            <v>591</v>
          </cell>
          <cell r="D549">
            <v>18</v>
          </cell>
          <cell r="E549">
            <v>792030</v>
          </cell>
          <cell r="F549">
            <v>0</v>
          </cell>
          <cell r="G549" t="str">
            <v>Затраты по ШПЗ (неосновные)</v>
          </cell>
          <cell r="H549">
            <v>2030</v>
          </cell>
          <cell r="I549">
            <v>7920</v>
          </cell>
          <cell r="J549">
            <v>117.66</v>
          </cell>
          <cell r="K549">
            <v>1</v>
          </cell>
          <cell r="L549">
            <v>0</v>
          </cell>
          <cell r="M549">
            <v>0</v>
          </cell>
          <cell r="N549">
            <v>0</v>
          </cell>
          <cell r="R549">
            <v>0</v>
          </cell>
          <cell r="S549">
            <v>0</v>
          </cell>
          <cell r="T549">
            <v>0</v>
          </cell>
          <cell r="U549">
            <v>42</v>
          </cell>
          <cell r="V549">
            <v>0</v>
          </cell>
          <cell r="W549">
            <v>0</v>
          </cell>
          <cell r="AA549">
            <v>0</v>
          </cell>
          <cell r="AB549">
            <v>0</v>
          </cell>
          <cell r="AC549">
            <v>0</v>
          </cell>
          <cell r="AD549">
            <v>42</v>
          </cell>
          <cell r="AE549">
            <v>502100</v>
          </cell>
          <cell r="AF549">
            <v>0</v>
          </cell>
          <cell r="AI549">
            <v>2312</v>
          </cell>
          <cell r="AK549">
            <v>0</v>
          </cell>
          <cell r="AM549">
            <v>737</v>
          </cell>
          <cell r="AN549">
            <v>1</v>
          </cell>
          <cell r="AO549">
            <v>393216</v>
          </cell>
          <cell r="AQ549">
            <v>0</v>
          </cell>
          <cell r="AR549">
            <v>0</v>
          </cell>
          <cell r="AS549" t="str">
            <v>Ы</v>
          </cell>
          <cell r="AT549" t="str">
            <v>Ы</v>
          </cell>
          <cell r="AU549">
            <v>0</v>
          </cell>
          <cell r="AV549">
            <v>0</v>
          </cell>
          <cell r="AW549">
            <v>23</v>
          </cell>
          <cell r="AX549">
            <v>1</v>
          </cell>
          <cell r="AY549">
            <v>0</v>
          </cell>
          <cell r="AZ549">
            <v>0</v>
          </cell>
          <cell r="BA549">
            <v>0</v>
          </cell>
          <cell r="BB549">
            <v>0</v>
          </cell>
          <cell r="BC549">
            <v>38856</v>
          </cell>
        </row>
        <row r="550">
          <cell r="A550">
            <v>2006</v>
          </cell>
          <cell r="B550">
            <v>4</v>
          </cell>
          <cell r="C550">
            <v>592</v>
          </cell>
          <cell r="D550">
            <v>18</v>
          </cell>
          <cell r="E550">
            <v>792030</v>
          </cell>
          <cell r="F550">
            <v>0</v>
          </cell>
          <cell r="G550" t="str">
            <v>Затраты по ШПЗ (неосновные)</v>
          </cell>
          <cell r="H550">
            <v>2030</v>
          </cell>
          <cell r="I550">
            <v>7920</v>
          </cell>
          <cell r="J550">
            <v>383.29</v>
          </cell>
          <cell r="K550">
            <v>1</v>
          </cell>
          <cell r="L550">
            <v>0</v>
          </cell>
          <cell r="M550">
            <v>0</v>
          </cell>
          <cell r="N550">
            <v>0</v>
          </cell>
          <cell r="R550">
            <v>0</v>
          </cell>
          <cell r="S550">
            <v>0</v>
          </cell>
          <cell r="T550">
            <v>0</v>
          </cell>
          <cell r="U550">
            <v>42</v>
          </cell>
          <cell r="V550">
            <v>0</v>
          </cell>
          <cell r="W550">
            <v>0</v>
          </cell>
          <cell r="AA550">
            <v>0</v>
          </cell>
          <cell r="AB550">
            <v>0</v>
          </cell>
          <cell r="AC550">
            <v>0</v>
          </cell>
          <cell r="AD550">
            <v>42</v>
          </cell>
          <cell r="AE550">
            <v>503000</v>
          </cell>
          <cell r="AF550">
            <v>0</v>
          </cell>
          <cell r="AI550">
            <v>2312</v>
          </cell>
          <cell r="AK550">
            <v>0</v>
          </cell>
          <cell r="AM550">
            <v>738</v>
          </cell>
          <cell r="AN550">
            <v>1</v>
          </cell>
          <cell r="AO550">
            <v>393216</v>
          </cell>
          <cell r="AQ550">
            <v>0</v>
          </cell>
          <cell r="AR550">
            <v>0</v>
          </cell>
          <cell r="AS550" t="str">
            <v>Ы</v>
          </cell>
          <cell r="AT550" t="str">
            <v>Ы</v>
          </cell>
          <cell r="AU550">
            <v>0</v>
          </cell>
          <cell r="AV550">
            <v>0</v>
          </cell>
          <cell r="AW550">
            <v>23</v>
          </cell>
          <cell r="AX550">
            <v>1</v>
          </cell>
          <cell r="AY550">
            <v>0</v>
          </cell>
          <cell r="AZ550">
            <v>0</v>
          </cell>
          <cell r="BA550">
            <v>0</v>
          </cell>
          <cell r="BB550">
            <v>0</v>
          </cell>
          <cell r="BC550">
            <v>38856</v>
          </cell>
        </row>
        <row r="551">
          <cell r="A551">
            <v>2006</v>
          </cell>
          <cell r="B551">
            <v>4</v>
          </cell>
          <cell r="C551">
            <v>593</v>
          </cell>
          <cell r="D551">
            <v>18</v>
          </cell>
          <cell r="E551">
            <v>792030</v>
          </cell>
          <cell r="F551">
            <v>0</v>
          </cell>
          <cell r="G551" t="str">
            <v>Затраты по ШПЗ (неосновные)</v>
          </cell>
          <cell r="H551">
            <v>2030</v>
          </cell>
          <cell r="I551">
            <v>7920</v>
          </cell>
          <cell r="J551">
            <v>0.14000000000000001</v>
          </cell>
          <cell r="K551">
            <v>1</v>
          </cell>
          <cell r="L551">
            <v>0</v>
          </cell>
          <cell r="M551">
            <v>0</v>
          </cell>
          <cell r="N551">
            <v>0</v>
          </cell>
          <cell r="R551">
            <v>0</v>
          </cell>
          <cell r="S551">
            <v>0</v>
          </cell>
          <cell r="T551">
            <v>0</v>
          </cell>
          <cell r="U551">
            <v>42</v>
          </cell>
          <cell r="V551">
            <v>0</v>
          </cell>
          <cell r="W551">
            <v>0</v>
          </cell>
          <cell r="AA551">
            <v>0</v>
          </cell>
          <cell r="AB551">
            <v>0</v>
          </cell>
          <cell r="AC551">
            <v>0</v>
          </cell>
          <cell r="AD551">
            <v>42</v>
          </cell>
          <cell r="AE551">
            <v>504100</v>
          </cell>
          <cell r="AF551">
            <v>0</v>
          </cell>
          <cell r="AI551">
            <v>2312</v>
          </cell>
          <cell r="AK551">
            <v>0</v>
          </cell>
          <cell r="AM551">
            <v>739</v>
          </cell>
          <cell r="AN551">
            <v>1</v>
          </cell>
          <cell r="AO551">
            <v>393216</v>
          </cell>
          <cell r="AQ551">
            <v>0</v>
          </cell>
          <cell r="AR551">
            <v>0</v>
          </cell>
          <cell r="AS551" t="str">
            <v>Ы</v>
          </cell>
          <cell r="AT551" t="str">
            <v>Ы</v>
          </cell>
          <cell r="AU551">
            <v>0</v>
          </cell>
          <cell r="AV551">
            <v>0</v>
          </cell>
          <cell r="AW551">
            <v>23</v>
          </cell>
          <cell r="AX551">
            <v>1</v>
          </cell>
          <cell r="AY551">
            <v>0</v>
          </cell>
          <cell r="AZ551">
            <v>0</v>
          </cell>
          <cell r="BA551">
            <v>0</v>
          </cell>
          <cell r="BB551">
            <v>0</v>
          </cell>
          <cell r="BC551">
            <v>38856</v>
          </cell>
        </row>
        <row r="552">
          <cell r="A552">
            <v>2006</v>
          </cell>
          <cell r="B552">
            <v>4</v>
          </cell>
          <cell r="C552">
            <v>594</v>
          </cell>
          <cell r="D552">
            <v>18</v>
          </cell>
          <cell r="E552">
            <v>792030</v>
          </cell>
          <cell r="F552">
            <v>0</v>
          </cell>
          <cell r="G552" t="str">
            <v>Затраты по ШПЗ (неосновные)</v>
          </cell>
          <cell r="H552">
            <v>2030</v>
          </cell>
          <cell r="I552">
            <v>7920</v>
          </cell>
          <cell r="J552">
            <v>1.79</v>
          </cell>
          <cell r="K552">
            <v>1</v>
          </cell>
          <cell r="L552">
            <v>0</v>
          </cell>
          <cell r="M552">
            <v>0</v>
          </cell>
          <cell r="N552">
            <v>0</v>
          </cell>
          <cell r="R552">
            <v>0</v>
          </cell>
          <cell r="S552">
            <v>0</v>
          </cell>
          <cell r="T552">
            <v>0</v>
          </cell>
          <cell r="U552">
            <v>42</v>
          </cell>
          <cell r="V552">
            <v>0</v>
          </cell>
          <cell r="W552">
            <v>0</v>
          </cell>
          <cell r="AA552">
            <v>0</v>
          </cell>
          <cell r="AB552">
            <v>0</v>
          </cell>
          <cell r="AC552">
            <v>0</v>
          </cell>
          <cell r="AD552">
            <v>42</v>
          </cell>
          <cell r="AE552">
            <v>504200</v>
          </cell>
          <cell r="AF552">
            <v>0</v>
          </cell>
          <cell r="AI552">
            <v>2312</v>
          </cell>
          <cell r="AK552">
            <v>0</v>
          </cell>
          <cell r="AM552">
            <v>740</v>
          </cell>
          <cell r="AN552">
            <v>1</v>
          </cell>
          <cell r="AO552">
            <v>393216</v>
          </cell>
          <cell r="AQ552">
            <v>0</v>
          </cell>
          <cell r="AR552">
            <v>0</v>
          </cell>
          <cell r="AS552" t="str">
            <v>Ы</v>
          </cell>
          <cell r="AT552" t="str">
            <v>Ы</v>
          </cell>
          <cell r="AU552">
            <v>0</v>
          </cell>
          <cell r="AV552">
            <v>0</v>
          </cell>
          <cell r="AW552">
            <v>23</v>
          </cell>
          <cell r="AX552">
            <v>1</v>
          </cell>
          <cell r="AY552">
            <v>0</v>
          </cell>
          <cell r="AZ552">
            <v>0</v>
          </cell>
          <cell r="BA552">
            <v>0</v>
          </cell>
          <cell r="BB552">
            <v>0</v>
          </cell>
          <cell r="BC552">
            <v>38856</v>
          </cell>
        </row>
        <row r="553">
          <cell r="A553">
            <v>2006</v>
          </cell>
          <cell r="B553">
            <v>4</v>
          </cell>
          <cell r="C553">
            <v>595</v>
          </cell>
          <cell r="D553">
            <v>18</v>
          </cell>
          <cell r="E553">
            <v>792030</v>
          </cell>
          <cell r="F553">
            <v>0</v>
          </cell>
          <cell r="G553" t="str">
            <v>Затраты по ШПЗ (неосновные)</v>
          </cell>
          <cell r="H553">
            <v>2030</v>
          </cell>
          <cell r="I553">
            <v>7920</v>
          </cell>
          <cell r="J553">
            <v>0.83</v>
          </cell>
          <cell r="K553">
            <v>1</v>
          </cell>
          <cell r="L553">
            <v>0</v>
          </cell>
          <cell r="M553">
            <v>0</v>
          </cell>
          <cell r="N553">
            <v>0</v>
          </cell>
          <cell r="R553">
            <v>0</v>
          </cell>
          <cell r="S553">
            <v>0</v>
          </cell>
          <cell r="T553">
            <v>0</v>
          </cell>
          <cell r="U553">
            <v>42</v>
          </cell>
          <cell r="V553">
            <v>0</v>
          </cell>
          <cell r="W553">
            <v>0</v>
          </cell>
          <cell r="AA553">
            <v>0</v>
          </cell>
          <cell r="AB553">
            <v>0</v>
          </cell>
          <cell r="AC553">
            <v>0</v>
          </cell>
          <cell r="AD553">
            <v>42</v>
          </cell>
          <cell r="AE553">
            <v>504400</v>
          </cell>
          <cell r="AF553">
            <v>0</v>
          </cell>
          <cell r="AI553">
            <v>2312</v>
          </cell>
          <cell r="AK553">
            <v>0</v>
          </cell>
          <cell r="AM553">
            <v>741</v>
          </cell>
          <cell r="AN553">
            <v>1</v>
          </cell>
          <cell r="AO553">
            <v>393216</v>
          </cell>
          <cell r="AQ553">
            <v>0</v>
          </cell>
          <cell r="AR553">
            <v>0</v>
          </cell>
          <cell r="AS553" t="str">
            <v>Ы</v>
          </cell>
          <cell r="AT553" t="str">
            <v>Ы</v>
          </cell>
          <cell r="AU553">
            <v>0</v>
          </cell>
          <cell r="AV553">
            <v>0</v>
          </cell>
          <cell r="AW553">
            <v>23</v>
          </cell>
          <cell r="AX553">
            <v>1</v>
          </cell>
          <cell r="AY553">
            <v>0</v>
          </cell>
          <cell r="AZ553">
            <v>0</v>
          </cell>
          <cell r="BA553">
            <v>0</v>
          </cell>
          <cell r="BB553">
            <v>0</v>
          </cell>
          <cell r="BC553">
            <v>38856</v>
          </cell>
        </row>
        <row r="554">
          <cell r="A554">
            <v>2006</v>
          </cell>
          <cell r="B554">
            <v>4</v>
          </cell>
          <cell r="C554">
            <v>596</v>
          </cell>
          <cell r="D554">
            <v>18</v>
          </cell>
          <cell r="E554">
            <v>792030</v>
          </cell>
          <cell r="F554">
            <v>0</v>
          </cell>
          <cell r="G554" t="str">
            <v>Затраты по ШПЗ (неосновные)</v>
          </cell>
          <cell r="H554">
            <v>2030</v>
          </cell>
          <cell r="I554">
            <v>7920</v>
          </cell>
          <cell r="J554">
            <v>12.13</v>
          </cell>
          <cell r="K554">
            <v>1</v>
          </cell>
          <cell r="L554">
            <v>0</v>
          </cell>
          <cell r="M554">
            <v>0</v>
          </cell>
          <cell r="N554">
            <v>0</v>
          </cell>
          <cell r="R554">
            <v>0</v>
          </cell>
          <cell r="S554">
            <v>0</v>
          </cell>
          <cell r="T554">
            <v>0</v>
          </cell>
          <cell r="U554">
            <v>42</v>
          </cell>
          <cell r="V554">
            <v>0</v>
          </cell>
          <cell r="W554">
            <v>0</v>
          </cell>
          <cell r="AA554">
            <v>0</v>
          </cell>
          <cell r="AB554">
            <v>0</v>
          </cell>
          <cell r="AC554">
            <v>0</v>
          </cell>
          <cell r="AD554">
            <v>42</v>
          </cell>
          <cell r="AE554">
            <v>504900</v>
          </cell>
          <cell r="AF554">
            <v>0</v>
          </cell>
          <cell r="AI554">
            <v>2312</v>
          </cell>
          <cell r="AK554">
            <v>0</v>
          </cell>
          <cell r="AM554">
            <v>742</v>
          </cell>
          <cell r="AN554">
            <v>1</v>
          </cell>
          <cell r="AO554">
            <v>393216</v>
          </cell>
          <cell r="AQ554">
            <v>0</v>
          </cell>
          <cell r="AR554">
            <v>0</v>
          </cell>
          <cell r="AS554" t="str">
            <v>Ы</v>
          </cell>
          <cell r="AT554" t="str">
            <v>Ы</v>
          </cell>
          <cell r="AU554">
            <v>0</v>
          </cell>
          <cell r="AV554">
            <v>0</v>
          </cell>
          <cell r="AW554">
            <v>23</v>
          </cell>
          <cell r="AX554">
            <v>1</v>
          </cell>
          <cell r="AY554">
            <v>0</v>
          </cell>
          <cell r="AZ554">
            <v>0</v>
          </cell>
          <cell r="BA554">
            <v>0</v>
          </cell>
          <cell r="BB554">
            <v>0</v>
          </cell>
          <cell r="BC554">
            <v>38856</v>
          </cell>
        </row>
        <row r="555">
          <cell r="A555">
            <v>2006</v>
          </cell>
          <cell r="B555">
            <v>4</v>
          </cell>
          <cell r="C555">
            <v>597</v>
          </cell>
          <cell r="D555">
            <v>18</v>
          </cell>
          <cell r="E555">
            <v>792030</v>
          </cell>
          <cell r="F555">
            <v>0</v>
          </cell>
          <cell r="G555" t="str">
            <v>Затраты по ШПЗ (неосновные)</v>
          </cell>
          <cell r="H555">
            <v>2030</v>
          </cell>
          <cell r="I555">
            <v>7920</v>
          </cell>
          <cell r="J555">
            <v>29.19</v>
          </cell>
          <cell r="K555">
            <v>1</v>
          </cell>
          <cell r="L555">
            <v>0</v>
          </cell>
          <cell r="M555">
            <v>0</v>
          </cell>
          <cell r="N555">
            <v>0</v>
          </cell>
          <cell r="R555">
            <v>0</v>
          </cell>
          <cell r="S555">
            <v>0</v>
          </cell>
          <cell r="T555">
            <v>0</v>
          </cell>
          <cell r="U555">
            <v>42</v>
          </cell>
          <cell r="V555">
            <v>0</v>
          </cell>
          <cell r="W555">
            <v>0</v>
          </cell>
          <cell r="AA555">
            <v>0</v>
          </cell>
          <cell r="AB555">
            <v>0</v>
          </cell>
          <cell r="AC555">
            <v>0</v>
          </cell>
          <cell r="AD555">
            <v>42</v>
          </cell>
          <cell r="AE555">
            <v>505100</v>
          </cell>
          <cell r="AF555">
            <v>0</v>
          </cell>
          <cell r="AI555">
            <v>2312</v>
          </cell>
          <cell r="AK555">
            <v>0</v>
          </cell>
          <cell r="AM555">
            <v>743</v>
          </cell>
          <cell r="AN555">
            <v>1</v>
          </cell>
          <cell r="AO555">
            <v>393216</v>
          </cell>
          <cell r="AQ555">
            <v>0</v>
          </cell>
          <cell r="AR555">
            <v>0</v>
          </cell>
          <cell r="AS555" t="str">
            <v>Ы</v>
          </cell>
          <cell r="AT555" t="str">
            <v>Ы</v>
          </cell>
          <cell r="AU555">
            <v>0</v>
          </cell>
          <cell r="AV555">
            <v>0</v>
          </cell>
          <cell r="AW555">
            <v>23</v>
          </cell>
          <cell r="AX555">
            <v>1</v>
          </cell>
          <cell r="AY555">
            <v>0</v>
          </cell>
          <cell r="AZ555">
            <v>0</v>
          </cell>
          <cell r="BA555">
            <v>0</v>
          </cell>
          <cell r="BB555">
            <v>0</v>
          </cell>
          <cell r="BC555">
            <v>38856</v>
          </cell>
        </row>
        <row r="556">
          <cell r="A556">
            <v>2006</v>
          </cell>
          <cell r="B556">
            <v>4</v>
          </cell>
          <cell r="C556">
            <v>598</v>
          </cell>
          <cell r="D556">
            <v>18</v>
          </cell>
          <cell r="E556">
            <v>792030</v>
          </cell>
          <cell r="F556">
            <v>0</v>
          </cell>
          <cell r="G556" t="str">
            <v>Затраты по ШПЗ (неосновные)</v>
          </cell>
          <cell r="H556">
            <v>2030</v>
          </cell>
          <cell r="I556">
            <v>7920</v>
          </cell>
          <cell r="J556">
            <v>23.38</v>
          </cell>
          <cell r="K556">
            <v>1</v>
          </cell>
          <cell r="L556">
            <v>0</v>
          </cell>
          <cell r="M556">
            <v>0</v>
          </cell>
          <cell r="N556">
            <v>0</v>
          </cell>
          <cell r="R556">
            <v>0</v>
          </cell>
          <cell r="S556">
            <v>0</v>
          </cell>
          <cell r="T556">
            <v>0</v>
          </cell>
          <cell r="U556">
            <v>42</v>
          </cell>
          <cell r="V556">
            <v>0</v>
          </cell>
          <cell r="W556">
            <v>0</v>
          </cell>
          <cell r="AA556">
            <v>0</v>
          </cell>
          <cell r="AB556">
            <v>0</v>
          </cell>
          <cell r="AC556">
            <v>0</v>
          </cell>
          <cell r="AD556">
            <v>42</v>
          </cell>
          <cell r="AE556">
            <v>505200</v>
          </cell>
          <cell r="AF556">
            <v>0</v>
          </cell>
          <cell r="AI556">
            <v>2312</v>
          </cell>
          <cell r="AK556">
            <v>0</v>
          </cell>
          <cell r="AM556">
            <v>744</v>
          </cell>
          <cell r="AN556">
            <v>1</v>
          </cell>
          <cell r="AO556">
            <v>393216</v>
          </cell>
          <cell r="AQ556">
            <v>0</v>
          </cell>
          <cell r="AR556">
            <v>0</v>
          </cell>
          <cell r="AS556" t="str">
            <v>Ы</v>
          </cell>
          <cell r="AT556" t="str">
            <v>Ы</v>
          </cell>
          <cell r="AU556">
            <v>0</v>
          </cell>
          <cell r="AV556">
            <v>0</v>
          </cell>
          <cell r="AW556">
            <v>23</v>
          </cell>
          <cell r="AX556">
            <v>1</v>
          </cell>
          <cell r="AY556">
            <v>0</v>
          </cell>
          <cell r="AZ556">
            <v>0</v>
          </cell>
          <cell r="BA556">
            <v>0</v>
          </cell>
          <cell r="BB556">
            <v>0</v>
          </cell>
          <cell r="BC556">
            <v>38856</v>
          </cell>
        </row>
        <row r="557">
          <cell r="A557">
            <v>2006</v>
          </cell>
          <cell r="B557">
            <v>4</v>
          </cell>
          <cell r="C557">
            <v>599</v>
          </cell>
          <cell r="D557">
            <v>18</v>
          </cell>
          <cell r="E557">
            <v>792030</v>
          </cell>
          <cell r="F557">
            <v>0</v>
          </cell>
          <cell r="G557" t="str">
            <v>Затраты по ШПЗ (неосновные)</v>
          </cell>
          <cell r="H557">
            <v>2030</v>
          </cell>
          <cell r="I557">
            <v>7920</v>
          </cell>
          <cell r="J557">
            <v>1.1299999999999999</v>
          </cell>
          <cell r="K557">
            <v>1</v>
          </cell>
          <cell r="L557">
            <v>0</v>
          </cell>
          <cell r="M557">
            <v>0</v>
          </cell>
          <cell r="N557">
            <v>0</v>
          </cell>
          <cell r="R557">
            <v>0</v>
          </cell>
          <cell r="S557">
            <v>0</v>
          </cell>
          <cell r="T557">
            <v>0</v>
          </cell>
          <cell r="U557">
            <v>42</v>
          </cell>
          <cell r="V557">
            <v>0</v>
          </cell>
          <cell r="W557">
            <v>0</v>
          </cell>
          <cell r="AA557">
            <v>0</v>
          </cell>
          <cell r="AB557">
            <v>0</v>
          </cell>
          <cell r="AC557">
            <v>0</v>
          </cell>
          <cell r="AD557">
            <v>42</v>
          </cell>
          <cell r="AE557">
            <v>506200</v>
          </cell>
          <cell r="AF557">
            <v>0</v>
          </cell>
          <cell r="AI557">
            <v>2312</v>
          </cell>
          <cell r="AK557">
            <v>0</v>
          </cell>
          <cell r="AM557">
            <v>745</v>
          </cell>
          <cell r="AN557">
            <v>1</v>
          </cell>
          <cell r="AO557">
            <v>393216</v>
          </cell>
          <cell r="AQ557">
            <v>0</v>
          </cell>
          <cell r="AR557">
            <v>0</v>
          </cell>
          <cell r="AS557" t="str">
            <v>Ы</v>
          </cell>
          <cell r="AT557" t="str">
            <v>Ы</v>
          </cell>
          <cell r="AU557">
            <v>0</v>
          </cell>
          <cell r="AV557">
            <v>0</v>
          </cell>
          <cell r="AW557">
            <v>23</v>
          </cell>
          <cell r="AX557">
            <v>1</v>
          </cell>
          <cell r="AY557">
            <v>0</v>
          </cell>
          <cell r="AZ557">
            <v>0</v>
          </cell>
          <cell r="BA557">
            <v>0</v>
          </cell>
          <cell r="BB557">
            <v>0</v>
          </cell>
          <cell r="BC557">
            <v>38856</v>
          </cell>
        </row>
        <row r="558">
          <cell r="A558">
            <v>2006</v>
          </cell>
          <cell r="B558">
            <v>4</v>
          </cell>
          <cell r="C558">
            <v>600</v>
          </cell>
          <cell r="D558">
            <v>18</v>
          </cell>
          <cell r="E558">
            <v>792030</v>
          </cell>
          <cell r="F558">
            <v>0</v>
          </cell>
          <cell r="G558" t="str">
            <v>Затраты по ШПЗ (неосновные)</v>
          </cell>
          <cell r="H558">
            <v>2030</v>
          </cell>
          <cell r="I558">
            <v>7920</v>
          </cell>
          <cell r="J558">
            <v>127.13</v>
          </cell>
          <cell r="K558">
            <v>1</v>
          </cell>
          <cell r="L558">
            <v>0</v>
          </cell>
          <cell r="M558">
            <v>0</v>
          </cell>
          <cell r="N558">
            <v>0</v>
          </cell>
          <cell r="R558">
            <v>0</v>
          </cell>
          <cell r="S558">
            <v>0</v>
          </cell>
          <cell r="T558">
            <v>0</v>
          </cell>
          <cell r="U558">
            <v>42</v>
          </cell>
          <cell r="V558">
            <v>0</v>
          </cell>
          <cell r="W558">
            <v>0</v>
          </cell>
          <cell r="AA558">
            <v>0</v>
          </cell>
          <cell r="AB558">
            <v>0</v>
          </cell>
          <cell r="AC558">
            <v>0</v>
          </cell>
          <cell r="AD558">
            <v>42</v>
          </cell>
          <cell r="AE558">
            <v>510100</v>
          </cell>
          <cell r="AF558">
            <v>0</v>
          </cell>
          <cell r="AI558">
            <v>2312</v>
          </cell>
          <cell r="AK558">
            <v>0</v>
          </cell>
          <cell r="AM558">
            <v>746</v>
          </cell>
          <cell r="AN558">
            <v>1</v>
          </cell>
          <cell r="AO558">
            <v>393216</v>
          </cell>
          <cell r="AQ558">
            <v>0</v>
          </cell>
          <cell r="AR558">
            <v>0</v>
          </cell>
          <cell r="AS558" t="str">
            <v>Ы</v>
          </cell>
          <cell r="AT558" t="str">
            <v>Ы</v>
          </cell>
          <cell r="AU558">
            <v>0</v>
          </cell>
          <cell r="AV558">
            <v>0</v>
          </cell>
          <cell r="AW558">
            <v>23</v>
          </cell>
          <cell r="AX558">
            <v>1</v>
          </cell>
          <cell r="AY558">
            <v>0</v>
          </cell>
          <cell r="AZ558">
            <v>0</v>
          </cell>
          <cell r="BA558">
            <v>0</v>
          </cell>
          <cell r="BB558">
            <v>0</v>
          </cell>
          <cell r="BC558">
            <v>38856</v>
          </cell>
        </row>
        <row r="559">
          <cell r="A559">
            <v>2006</v>
          </cell>
          <cell r="B559">
            <v>4</v>
          </cell>
          <cell r="C559">
            <v>601</v>
          </cell>
          <cell r="D559">
            <v>18</v>
          </cell>
          <cell r="E559">
            <v>792030</v>
          </cell>
          <cell r="F559">
            <v>0</v>
          </cell>
          <cell r="G559" t="str">
            <v>Затраты по ШПЗ (неосновные)</v>
          </cell>
          <cell r="H559">
            <v>2030</v>
          </cell>
          <cell r="I559">
            <v>7920</v>
          </cell>
          <cell r="J559">
            <v>0.11</v>
          </cell>
          <cell r="K559">
            <v>1</v>
          </cell>
          <cell r="L559">
            <v>0</v>
          </cell>
          <cell r="M559">
            <v>0</v>
          </cell>
          <cell r="N559">
            <v>0</v>
          </cell>
          <cell r="R559">
            <v>0</v>
          </cell>
          <cell r="S559">
            <v>0</v>
          </cell>
          <cell r="T559">
            <v>0</v>
          </cell>
          <cell r="U559">
            <v>42</v>
          </cell>
          <cell r="V559">
            <v>0</v>
          </cell>
          <cell r="W559">
            <v>0</v>
          </cell>
          <cell r="AA559">
            <v>0</v>
          </cell>
          <cell r="AB559">
            <v>0</v>
          </cell>
          <cell r="AC559">
            <v>0</v>
          </cell>
          <cell r="AD559">
            <v>42</v>
          </cell>
          <cell r="AE559">
            <v>510200</v>
          </cell>
          <cell r="AF559">
            <v>0</v>
          </cell>
          <cell r="AI559">
            <v>2312</v>
          </cell>
          <cell r="AK559">
            <v>0</v>
          </cell>
          <cell r="AM559">
            <v>747</v>
          </cell>
          <cell r="AN559">
            <v>1</v>
          </cell>
          <cell r="AO559">
            <v>393216</v>
          </cell>
          <cell r="AQ559">
            <v>0</v>
          </cell>
          <cell r="AR559">
            <v>0</v>
          </cell>
          <cell r="AS559" t="str">
            <v>Ы</v>
          </cell>
          <cell r="AT559" t="str">
            <v>Ы</v>
          </cell>
          <cell r="AU559">
            <v>0</v>
          </cell>
          <cell r="AV559">
            <v>0</v>
          </cell>
          <cell r="AW559">
            <v>23</v>
          </cell>
          <cell r="AX559">
            <v>1</v>
          </cell>
          <cell r="AY559">
            <v>0</v>
          </cell>
          <cell r="AZ559">
            <v>0</v>
          </cell>
          <cell r="BA559">
            <v>0</v>
          </cell>
          <cell r="BB559">
            <v>0</v>
          </cell>
          <cell r="BC559">
            <v>38856</v>
          </cell>
        </row>
        <row r="560">
          <cell r="A560">
            <v>2006</v>
          </cell>
          <cell r="B560">
            <v>4</v>
          </cell>
          <cell r="C560">
            <v>602</v>
          </cell>
          <cell r="D560">
            <v>18</v>
          </cell>
          <cell r="E560">
            <v>792030</v>
          </cell>
          <cell r="F560">
            <v>0</v>
          </cell>
          <cell r="G560" t="str">
            <v>Затраты по ШПЗ (неосновные)</v>
          </cell>
          <cell r="H560">
            <v>2030</v>
          </cell>
          <cell r="I560">
            <v>7920</v>
          </cell>
          <cell r="J560">
            <v>0.62</v>
          </cell>
          <cell r="K560">
            <v>1</v>
          </cell>
          <cell r="L560">
            <v>0</v>
          </cell>
          <cell r="M560">
            <v>0</v>
          </cell>
          <cell r="N560">
            <v>0</v>
          </cell>
          <cell r="R560">
            <v>0</v>
          </cell>
          <cell r="S560">
            <v>0</v>
          </cell>
          <cell r="T560">
            <v>0</v>
          </cell>
          <cell r="U560">
            <v>42</v>
          </cell>
          <cell r="V560">
            <v>0</v>
          </cell>
          <cell r="W560">
            <v>0</v>
          </cell>
          <cell r="AA560">
            <v>0</v>
          </cell>
          <cell r="AB560">
            <v>0</v>
          </cell>
          <cell r="AC560">
            <v>0</v>
          </cell>
          <cell r="AD560">
            <v>42</v>
          </cell>
          <cell r="AE560">
            <v>510300</v>
          </cell>
          <cell r="AF560">
            <v>0</v>
          </cell>
          <cell r="AI560">
            <v>2312</v>
          </cell>
          <cell r="AK560">
            <v>0</v>
          </cell>
          <cell r="AM560">
            <v>748</v>
          </cell>
          <cell r="AN560">
            <v>1</v>
          </cell>
          <cell r="AO560">
            <v>393216</v>
          </cell>
          <cell r="AQ560">
            <v>0</v>
          </cell>
          <cell r="AR560">
            <v>0</v>
          </cell>
          <cell r="AS560" t="str">
            <v>Ы</v>
          </cell>
          <cell r="AT560" t="str">
            <v>Ы</v>
          </cell>
          <cell r="AU560">
            <v>0</v>
          </cell>
          <cell r="AV560">
            <v>0</v>
          </cell>
          <cell r="AW560">
            <v>23</v>
          </cell>
          <cell r="AX560">
            <v>1</v>
          </cell>
          <cell r="AY560">
            <v>0</v>
          </cell>
          <cell r="AZ560">
            <v>0</v>
          </cell>
          <cell r="BA560">
            <v>0</v>
          </cell>
          <cell r="BB560">
            <v>0</v>
          </cell>
          <cell r="BC560">
            <v>38856</v>
          </cell>
        </row>
        <row r="561">
          <cell r="A561">
            <v>2006</v>
          </cell>
          <cell r="B561">
            <v>4</v>
          </cell>
          <cell r="C561">
            <v>603</v>
          </cell>
          <cell r="D561">
            <v>18</v>
          </cell>
          <cell r="E561">
            <v>792030</v>
          </cell>
          <cell r="F561">
            <v>0</v>
          </cell>
          <cell r="G561" t="str">
            <v>Затраты по ШПЗ (неосновные)</v>
          </cell>
          <cell r="H561">
            <v>2030</v>
          </cell>
          <cell r="I561">
            <v>7920</v>
          </cell>
          <cell r="J561">
            <v>2.38</v>
          </cell>
          <cell r="K561">
            <v>1</v>
          </cell>
          <cell r="L561">
            <v>0</v>
          </cell>
          <cell r="M561">
            <v>0</v>
          </cell>
          <cell r="N561">
            <v>0</v>
          </cell>
          <cell r="R561">
            <v>0</v>
          </cell>
          <cell r="S561">
            <v>0</v>
          </cell>
          <cell r="T561">
            <v>0</v>
          </cell>
          <cell r="U561">
            <v>42</v>
          </cell>
          <cell r="V561">
            <v>0</v>
          </cell>
          <cell r="W561">
            <v>0</v>
          </cell>
          <cell r="AA561">
            <v>0</v>
          </cell>
          <cell r="AB561">
            <v>0</v>
          </cell>
          <cell r="AC561">
            <v>0</v>
          </cell>
          <cell r="AD561">
            <v>42</v>
          </cell>
          <cell r="AE561">
            <v>510400</v>
          </cell>
          <cell r="AF561">
            <v>0</v>
          </cell>
          <cell r="AI561">
            <v>2312</v>
          </cell>
          <cell r="AK561">
            <v>0</v>
          </cell>
          <cell r="AM561">
            <v>749</v>
          </cell>
          <cell r="AN561">
            <v>1</v>
          </cell>
          <cell r="AO561">
            <v>393216</v>
          </cell>
          <cell r="AQ561">
            <v>0</v>
          </cell>
          <cell r="AR561">
            <v>0</v>
          </cell>
          <cell r="AS561" t="str">
            <v>Ы</v>
          </cell>
          <cell r="AT561" t="str">
            <v>Ы</v>
          </cell>
          <cell r="AU561">
            <v>0</v>
          </cell>
          <cell r="AV561">
            <v>0</v>
          </cell>
          <cell r="AW561">
            <v>23</v>
          </cell>
          <cell r="AX561">
            <v>1</v>
          </cell>
          <cell r="AY561">
            <v>0</v>
          </cell>
          <cell r="AZ561">
            <v>0</v>
          </cell>
          <cell r="BA561">
            <v>0</v>
          </cell>
          <cell r="BB561">
            <v>0</v>
          </cell>
          <cell r="BC561">
            <v>38856</v>
          </cell>
        </row>
        <row r="562">
          <cell r="A562">
            <v>2006</v>
          </cell>
          <cell r="B562">
            <v>4</v>
          </cell>
          <cell r="C562">
            <v>604</v>
          </cell>
          <cell r="D562">
            <v>18</v>
          </cell>
          <cell r="E562">
            <v>792030</v>
          </cell>
          <cell r="F562">
            <v>0</v>
          </cell>
          <cell r="G562" t="str">
            <v>Затраты по ШПЗ (неосновные)</v>
          </cell>
          <cell r="H562">
            <v>2030</v>
          </cell>
          <cell r="I562">
            <v>7920</v>
          </cell>
          <cell r="J562">
            <v>1.72</v>
          </cell>
          <cell r="K562">
            <v>1</v>
          </cell>
          <cell r="L562">
            <v>0</v>
          </cell>
          <cell r="M562">
            <v>0</v>
          </cell>
          <cell r="N562">
            <v>0</v>
          </cell>
          <cell r="R562">
            <v>0</v>
          </cell>
          <cell r="S562">
            <v>0</v>
          </cell>
          <cell r="T562">
            <v>0</v>
          </cell>
          <cell r="U562">
            <v>42</v>
          </cell>
          <cell r="V562">
            <v>0</v>
          </cell>
          <cell r="W562">
            <v>0</v>
          </cell>
          <cell r="AA562">
            <v>0</v>
          </cell>
          <cell r="AB562">
            <v>0</v>
          </cell>
          <cell r="AC562">
            <v>0</v>
          </cell>
          <cell r="AD562">
            <v>42</v>
          </cell>
          <cell r="AE562">
            <v>510500</v>
          </cell>
          <cell r="AF562">
            <v>0</v>
          </cell>
          <cell r="AI562">
            <v>2312</v>
          </cell>
          <cell r="AK562">
            <v>0</v>
          </cell>
          <cell r="AM562">
            <v>750</v>
          </cell>
          <cell r="AN562">
            <v>1</v>
          </cell>
          <cell r="AO562">
            <v>393216</v>
          </cell>
          <cell r="AQ562">
            <v>0</v>
          </cell>
          <cell r="AR562">
            <v>0</v>
          </cell>
          <cell r="AS562" t="str">
            <v>Ы</v>
          </cell>
          <cell r="AT562" t="str">
            <v>Ы</v>
          </cell>
          <cell r="AU562">
            <v>0</v>
          </cell>
          <cell r="AV562">
            <v>0</v>
          </cell>
          <cell r="AW562">
            <v>23</v>
          </cell>
          <cell r="AX562">
            <v>1</v>
          </cell>
          <cell r="AY562">
            <v>0</v>
          </cell>
          <cell r="AZ562">
            <v>0</v>
          </cell>
          <cell r="BA562">
            <v>0</v>
          </cell>
          <cell r="BB562">
            <v>0</v>
          </cell>
          <cell r="BC562">
            <v>38856</v>
          </cell>
        </row>
        <row r="563">
          <cell r="A563">
            <v>2006</v>
          </cell>
          <cell r="B563">
            <v>4</v>
          </cell>
          <cell r="C563">
            <v>605</v>
          </cell>
          <cell r="D563">
            <v>18</v>
          </cell>
          <cell r="E563">
            <v>792030</v>
          </cell>
          <cell r="F563">
            <v>0</v>
          </cell>
          <cell r="G563" t="str">
            <v>Затраты по ШПЗ (неосновные)</v>
          </cell>
          <cell r="H563">
            <v>2030</v>
          </cell>
          <cell r="I563">
            <v>7920</v>
          </cell>
          <cell r="J563">
            <v>69.88</v>
          </cell>
          <cell r="K563">
            <v>1</v>
          </cell>
          <cell r="L563">
            <v>0</v>
          </cell>
          <cell r="M563">
            <v>0</v>
          </cell>
          <cell r="N563">
            <v>0</v>
          </cell>
          <cell r="R563">
            <v>0</v>
          </cell>
          <cell r="S563">
            <v>0</v>
          </cell>
          <cell r="T563">
            <v>0</v>
          </cell>
          <cell r="U563">
            <v>42</v>
          </cell>
          <cell r="V563">
            <v>0</v>
          </cell>
          <cell r="W563">
            <v>0</v>
          </cell>
          <cell r="AA563">
            <v>0</v>
          </cell>
          <cell r="AB563">
            <v>0</v>
          </cell>
          <cell r="AC563">
            <v>0</v>
          </cell>
          <cell r="AD563">
            <v>42</v>
          </cell>
          <cell r="AE563">
            <v>510600</v>
          </cell>
          <cell r="AF563">
            <v>0</v>
          </cell>
          <cell r="AI563">
            <v>2312</v>
          </cell>
          <cell r="AK563">
            <v>0</v>
          </cell>
          <cell r="AM563">
            <v>751</v>
          </cell>
          <cell r="AN563">
            <v>1</v>
          </cell>
          <cell r="AO563">
            <v>393216</v>
          </cell>
          <cell r="AQ563">
            <v>0</v>
          </cell>
          <cell r="AR563">
            <v>0</v>
          </cell>
          <cell r="AS563" t="str">
            <v>Ы</v>
          </cell>
          <cell r="AT563" t="str">
            <v>Ы</v>
          </cell>
          <cell r="AU563">
            <v>0</v>
          </cell>
          <cell r="AV563">
            <v>0</v>
          </cell>
          <cell r="AW563">
            <v>23</v>
          </cell>
          <cell r="AX563">
            <v>1</v>
          </cell>
          <cell r="AY563">
            <v>0</v>
          </cell>
          <cell r="AZ563">
            <v>0</v>
          </cell>
          <cell r="BA563">
            <v>0</v>
          </cell>
          <cell r="BB563">
            <v>0</v>
          </cell>
          <cell r="BC563">
            <v>38856</v>
          </cell>
        </row>
        <row r="564">
          <cell r="A564">
            <v>2006</v>
          </cell>
          <cell r="B564">
            <v>4</v>
          </cell>
          <cell r="C564">
            <v>606</v>
          </cell>
          <cell r="D564">
            <v>18</v>
          </cell>
          <cell r="E564">
            <v>792030</v>
          </cell>
          <cell r="F564">
            <v>0</v>
          </cell>
          <cell r="G564" t="str">
            <v>Затраты по ШПЗ (неосновные)</v>
          </cell>
          <cell r="H564">
            <v>2030</v>
          </cell>
          <cell r="I564">
            <v>7920</v>
          </cell>
          <cell r="J564">
            <v>0.62</v>
          </cell>
          <cell r="K564">
            <v>1</v>
          </cell>
          <cell r="L564">
            <v>0</v>
          </cell>
          <cell r="M564">
            <v>0</v>
          </cell>
          <cell r="N564">
            <v>0</v>
          </cell>
          <cell r="R564">
            <v>0</v>
          </cell>
          <cell r="S564">
            <v>0</v>
          </cell>
          <cell r="T564">
            <v>0</v>
          </cell>
          <cell r="U564">
            <v>42</v>
          </cell>
          <cell r="V564">
            <v>0</v>
          </cell>
          <cell r="W564">
            <v>0</v>
          </cell>
          <cell r="AA564">
            <v>0</v>
          </cell>
          <cell r="AB564">
            <v>0</v>
          </cell>
          <cell r="AC564">
            <v>0</v>
          </cell>
          <cell r="AD564">
            <v>42</v>
          </cell>
          <cell r="AE564">
            <v>510630</v>
          </cell>
          <cell r="AF564">
            <v>0</v>
          </cell>
          <cell r="AI564">
            <v>2312</v>
          </cell>
          <cell r="AK564">
            <v>0</v>
          </cell>
          <cell r="AM564">
            <v>752</v>
          </cell>
          <cell r="AN564">
            <v>1</v>
          </cell>
          <cell r="AO564">
            <v>393216</v>
          </cell>
          <cell r="AQ564">
            <v>0</v>
          </cell>
          <cell r="AR564">
            <v>0</v>
          </cell>
          <cell r="AS564" t="str">
            <v>Ы</v>
          </cell>
          <cell r="AT564" t="str">
            <v>Ы</v>
          </cell>
          <cell r="AU564">
            <v>0</v>
          </cell>
          <cell r="AV564">
            <v>0</v>
          </cell>
          <cell r="AW564">
            <v>23</v>
          </cell>
          <cell r="AX564">
            <v>1</v>
          </cell>
          <cell r="AY564">
            <v>0</v>
          </cell>
          <cell r="AZ564">
            <v>0</v>
          </cell>
          <cell r="BA564">
            <v>0</v>
          </cell>
          <cell r="BB564">
            <v>0</v>
          </cell>
          <cell r="BC564">
            <v>38856</v>
          </cell>
        </row>
        <row r="565">
          <cell r="A565">
            <v>2006</v>
          </cell>
          <cell r="B565">
            <v>5</v>
          </cell>
          <cell r="C565">
            <v>1</v>
          </cell>
          <cell r="D565">
            <v>15</v>
          </cell>
          <cell r="E565">
            <v>792030</v>
          </cell>
          <cell r="F565">
            <v>0</v>
          </cell>
          <cell r="G565" t="str">
            <v>Затраты по ШПЗ (неосновные)</v>
          </cell>
          <cell r="H565">
            <v>2030</v>
          </cell>
          <cell r="I565">
            <v>7920</v>
          </cell>
          <cell r="J565">
            <v>50779</v>
          </cell>
          <cell r="K565">
            <v>1</v>
          </cell>
          <cell r="L565">
            <v>0</v>
          </cell>
          <cell r="M565">
            <v>0</v>
          </cell>
          <cell r="N565">
            <v>0</v>
          </cell>
          <cell r="R565">
            <v>0</v>
          </cell>
          <cell r="S565">
            <v>0</v>
          </cell>
          <cell r="T565">
            <v>0</v>
          </cell>
          <cell r="U565">
            <v>36</v>
          </cell>
          <cell r="V565">
            <v>0</v>
          </cell>
          <cell r="W565">
            <v>0</v>
          </cell>
          <cell r="AA565">
            <v>0</v>
          </cell>
          <cell r="AB565">
            <v>0</v>
          </cell>
          <cell r="AC565">
            <v>0</v>
          </cell>
          <cell r="AD565">
            <v>36</v>
          </cell>
          <cell r="AE565">
            <v>110000</v>
          </cell>
          <cell r="AF565">
            <v>0</v>
          </cell>
          <cell r="AI565">
            <v>2343</v>
          </cell>
          <cell r="AK565">
            <v>0</v>
          </cell>
          <cell r="AM565">
            <v>153</v>
          </cell>
          <cell r="AN565">
            <v>1</v>
          </cell>
          <cell r="AO565">
            <v>393216</v>
          </cell>
          <cell r="AQ565">
            <v>0</v>
          </cell>
          <cell r="AR565">
            <v>0</v>
          </cell>
          <cell r="AS565" t="str">
            <v>Ы</v>
          </cell>
          <cell r="AT565" t="str">
            <v>Ы</v>
          </cell>
          <cell r="AU565">
            <v>0</v>
          </cell>
          <cell r="AV565">
            <v>0</v>
          </cell>
          <cell r="AW565">
            <v>23</v>
          </cell>
          <cell r="AX565">
            <v>1</v>
          </cell>
          <cell r="AY565">
            <v>0</v>
          </cell>
          <cell r="AZ565">
            <v>0</v>
          </cell>
          <cell r="BA565">
            <v>0</v>
          </cell>
          <cell r="BB565">
            <v>0</v>
          </cell>
          <cell r="BC565">
            <v>38888</v>
          </cell>
        </row>
        <row r="566">
          <cell r="A566">
            <v>2006</v>
          </cell>
          <cell r="B566">
            <v>5</v>
          </cell>
          <cell r="C566">
            <v>2</v>
          </cell>
          <cell r="D566">
            <v>15</v>
          </cell>
          <cell r="E566">
            <v>792030</v>
          </cell>
          <cell r="F566">
            <v>0</v>
          </cell>
          <cell r="G566" t="str">
            <v>Затраты по ШПЗ (неосновные)</v>
          </cell>
          <cell r="H566">
            <v>2030</v>
          </cell>
          <cell r="I566">
            <v>7920</v>
          </cell>
          <cell r="J566">
            <v>392600</v>
          </cell>
          <cell r="K566">
            <v>1</v>
          </cell>
          <cell r="L566">
            <v>0</v>
          </cell>
          <cell r="M566">
            <v>0</v>
          </cell>
          <cell r="N566">
            <v>0</v>
          </cell>
          <cell r="R566">
            <v>0</v>
          </cell>
          <cell r="S566">
            <v>0</v>
          </cell>
          <cell r="T566">
            <v>0</v>
          </cell>
          <cell r="U566">
            <v>36</v>
          </cell>
          <cell r="V566">
            <v>0</v>
          </cell>
          <cell r="W566">
            <v>0</v>
          </cell>
          <cell r="AA566">
            <v>0</v>
          </cell>
          <cell r="AB566">
            <v>0</v>
          </cell>
          <cell r="AC566">
            <v>0</v>
          </cell>
          <cell r="AD566">
            <v>36</v>
          </cell>
          <cell r="AE566">
            <v>230000</v>
          </cell>
          <cell r="AF566">
            <v>0</v>
          </cell>
          <cell r="AI566">
            <v>2343</v>
          </cell>
          <cell r="AK566">
            <v>0</v>
          </cell>
          <cell r="AM566">
            <v>154</v>
          </cell>
          <cell r="AN566">
            <v>1</v>
          </cell>
          <cell r="AO566">
            <v>393216</v>
          </cell>
          <cell r="AQ566">
            <v>0</v>
          </cell>
          <cell r="AR566">
            <v>0</v>
          </cell>
          <cell r="AS566" t="str">
            <v>Ы</v>
          </cell>
          <cell r="AT566" t="str">
            <v>Ы</v>
          </cell>
          <cell r="AU566">
            <v>0</v>
          </cell>
          <cell r="AV566">
            <v>0</v>
          </cell>
          <cell r="AW566">
            <v>23</v>
          </cell>
          <cell r="AX566">
            <v>1</v>
          </cell>
          <cell r="AY566">
            <v>0</v>
          </cell>
          <cell r="AZ566">
            <v>0</v>
          </cell>
          <cell r="BA566">
            <v>0</v>
          </cell>
          <cell r="BB566">
            <v>0</v>
          </cell>
          <cell r="BC566">
            <v>38888</v>
          </cell>
        </row>
        <row r="567">
          <cell r="A567">
            <v>2006</v>
          </cell>
          <cell r="B567">
            <v>5</v>
          </cell>
          <cell r="C567">
            <v>3</v>
          </cell>
          <cell r="D567">
            <v>15</v>
          </cell>
          <cell r="E567">
            <v>792030</v>
          </cell>
          <cell r="F567">
            <v>0</v>
          </cell>
          <cell r="G567" t="str">
            <v>Затраты по ШПЗ (неосновные)</v>
          </cell>
          <cell r="H567">
            <v>2030</v>
          </cell>
          <cell r="I567">
            <v>7920</v>
          </cell>
          <cell r="J567">
            <v>11385.4</v>
          </cell>
          <cell r="K567">
            <v>1</v>
          </cell>
          <cell r="L567">
            <v>0</v>
          </cell>
          <cell r="M567">
            <v>0</v>
          </cell>
          <cell r="N567">
            <v>0</v>
          </cell>
          <cell r="R567">
            <v>0</v>
          </cell>
          <cell r="S567">
            <v>0</v>
          </cell>
          <cell r="T567">
            <v>0</v>
          </cell>
          <cell r="U567">
            <v>36</v>
          </cell>
          <cell r="V567">
            <v>0</v>
          </cell>
          <cell r="W567">
            <v>0</v>
          </cell>
          <cell r="AA567">
            <v>0</v>
          </cell>
          <cell r="AB567">
            <v>0</v>
          </cell>
          <cell r="AC567">
            <v>0</v>
          </cell>
          <cell r="AD567">
            <v>36</v>
          </cell>
          <cell r="AE567">
            <v>311000</v>
          </cell>
          <cell r="AF567">
            <v>0</v>
          </cell>
          <cell r="AI567">
            <v>2343</v>
          </cell>
          <cell r="AK567">
            <v>0</v>
          </cell>
          <cell r="AM567">
            <v>155</v>
          </cell>
          <cell r="AN567">
            <v>1</v>
          </cell>
          <cell r="AO567">
            <v>393216</v>
          </cell>
          <cell r="AQ567">
            <v>0</v>
          </cell>
          <cell r="AR567">
            <v>0</v>
          </cell>
          <cell r="AS567" t="str">
            <v>Ы</v>
          </cell>
          <cell r="AT567" t="str">
            <v>Ы</v>
          </cell>
          <cell r="AU567">
            <v>0</v>
          </cell>
          <cell r="AV567">
            <v>0</v>
          </cell>
          <cell r="AW567">
            <v>23</v>
          </cell>
          <cell r="AX567">
            <v>1</v>
          </cell>
          <cell r="AY567">
            <v>0</v>
          </cell>
          <cell r="AZ567">
            <v>0</v>
          </cell>
          <cell r="BA567">
            <v>0</v>
          </cell>
          <cell r="BB567">
            <v>0</v>
          </cell>
          <cell r="BC567">
            <v>38888</v>
          </cell>
        </row>
        <row r="568">
          <cell r="A568">
            <v>2006</v>
          </cell>
          <cell r="B568">
            <v>5</v>
          </cell>
          <cell r="C568">
            <v>4</v>
          </cell>
          <cell r="D568">
            <v>15</v>
          </cell>
          <cell r="E568">
            <v>792030</v>
          </cell>
          <cell r="F568">
            <v>0</v>
          </cell>
          <cell r="G568" t="str">
            <v>Затраты по ШПЗ (неосновные)</v>
          </cell>
          <cell r="H568">
            <v>2030</v>
          </cell>
          <cell r="I568">
            <v>7920</v>
          </cell>
          <cell r="J568">
            <v>23556</v>
          </cell>
          <cell r="K568">
            <v>1</v>
          </cell>
          <cell r="L568">
            <v>0</v>
          </cell>
          <cell r="M568">
            <v>0</v>
          </cell>
          <cell r="N568">
            <v>0</v>
          </cell>
          <cell r="R568">
            <v>0</v>
          </cell>
          <cell r="S568">
            <v>0</v>
          </cell>
          <cell r="T568">
            <v>0</v>
          </cell>
          <cell r="U568">
            <v>36</v>
          </cell>
          <cell r="V568">
            <v>0</v>
          </cell>
          <cell r="W568">
            <v>0</v>
          </cell>
          <cell r="AA568">
            <v>0</v>
          </cell>
          <cell r="AB568">
            <v>0</v>
          </cell>
          <cell r="AC568">
            <v>0</v>
          </cell>
          <cell r="AD568">
            <v>36</v>
          </cell>
          <cell r="AE568">
            <v>312000</v>
          </cell>
          <cell r="AF568">
            <v>0</v>
          </cell>
          <cell r="AI568">
            <v>2343</v>
          </cell>
          <cell r="AK568">
            <v>0</v>
          </cell>
          <cell r="AM568">
            <v>156</v>
          </cell>
          <cell r="AN568">
            <v>1</v>
          </cell>
          <cell r="AO568">
            <v>393216</v>
          </cell>
          <cell r="AQ568">
            <v>0</v>
          </cell>
          <cell r="AR568">
            <v>0</v>
          </cell>
          <cell r="AS568" t="str">
            <v>Ы</v>
          </cell>
          <cell r="AT568" t="str">
            <v>Ы</v>
          </cell>
          <cell r="AU568">
            <v>0</v>
          </cell>
          <cell r="AV568">
            <v>0</v>
          </cell>
          <cell r="AW568">
            <v>23</v>
          </cell>
          <cell r="AX568">
            <v>1</v>
          </cell>
          <cell r="AY568">
            <v>0</v>
          </cell>
          <cell r="AZ568">
            <v>0</v>
          </cell>
          <cell r="BA568">
            <v>0</v>
          </cell>
          <cell r="BB568">
            <v>0</v>
          </cell>
          <cell r="BC568">
            <v>38888</v>
          </cell>
        </row>
        <row r="569">
          <cell r="A569">
            <v>2006</v>
          </cell>
          <cell r="B569">
            <v>5</v>
          </cell>
          <cell r="C569">
            <v>5</v>
          </cell>
          <cell r="D569">
            <v>15</v>
          </cell>
          <cell r="E569">
            <v>792030</v>
          </cell>
          <cell r="F569">
            <v>0</v>
          </cell>
          <cell r="G569" t="str">
            <v>Затраты по ШПЗ (неосновные)</v>
          </cell>
          <cell r="H569">
            <v>2030</v>
          </cell>
          <cell r="I569">
            <v>7920</v>
          </cell>
          <cell r="J569">
            <v>54964</v>
          </cell>
          <cell r="K569">
            <v>1</v>
          </cell>
          <cell r="L569">
            <v>0</v>
          </cell>
          <cell r="M569">
            <v>0</v>
          </cell>
          <cell r="N569">
            <v>0</v>
          </cell>
          <cell r="R569">
            <v>0</v>
          </cell>
          <cell r="S569">
            <v>0</v>
          </cell>
          <cell r="T569">
            <v>0</v>
          </cell>
          <cell r="U569">
            <v>36</v>
          </cell>
          <cell r="V569">
            <v>0</v>
          </cell>
          <cell r="W569">
            <v>0</v>
          </cell>
          <cell r="AA569">
            <v>0</v>
          </cell>
          <cell r="AB569">
            <v>0</v>
          </cell>
          <cell r="AC569">
            <v>0</v>
          </cell>
          <cell r="AD569">
            <v>36</v>
          </cell>
          <cell r="AE569">
            <v>312200</v>
          </cell>
          <cell r="AF569">
            <v>0</v>
          </cell>
          <cell r="AI569">
            <v>2343</v>
          </cell>
          <cell r="AK569">
            <v>0</v>
          </cell>
          <cell r="AM569">
            <v>157</v>
          </cell>
          <cell r="AN569">
            <v>1</v>
          </cell>
          <cell r="AO569">
            <v>393216</v>
          </cell>
          <cell r="AQ569">
            <v>0</v>
          </cell>
          <cell r="AR569">
            <v>0</v>
          </cell>
          <cell r="AS569" t="str">
            <v>Ы</v>
          </cell>
          <cell r="AT569" t="str">
            <v>Ы</v>
          </cell>
          <cell r="AU569">
            <v>0</v>
          </cell>
          <cell r="AV569">
            <v>0</v>
          </cell>
          <cell r="AW569">
            <v>23</v>
          </cell>
          <cell r="AX569">
            <v>1</v>
          </cell>
          <cell r="AY569">
            <v>0</v>
          </cell>
          <cell r="AZ569">
            <v>0</v>
          </cell>
          <cell r="BA569">
            <v>0</v>
          </cell>
          <cell r="BB569">
            <v>0</v>
          </cell>
          <cell r="BC569">
            <v>38888</v>
          </cell>
        </row>
        <row r="570">
          <cell r="A570">
            <v>2006</v>
          </cell>
          <cell r="B570">
            <v>5</v>
          </cell>
          <cell r="C570">
            <v>6</v>
          </cell>
          <cell r="D570">
            <v>15</v>
          </cell>
          <cell r="E570">
            <v>792030</v>
          </cell>
          <cell r="F570">
            <v>0</v>
          </cell>
          <cell r="G570" t="str">
            <v>Затраты по ШПЗ (неосновные)</v>
          </cell>
          <cell r="H570">
            <v>2030</v>
          </cell>
          <cell r="I570">
            <v>7920</v>
          </cell>
          <cell r="J570">
            <v>4318.6000000000004</v>
          </cell>
          <cell r="K570">
            <v>1</v>
          </cell>
          <cell r="L570">
            <v>0</v>
          </cell>
          <cell r="M570">
            <v>0</v>
          </cell>
          <cell r="N570">
            <v>0</v>
          </cell>
          <cell r="R570">
            <v>0</v>
          </cell>
          <cell r="S570">
            <v>0</v>
          </cell>
          <cell r="T570">
            <v>0</v>
          </cell>
          <cell r="U570">
            <v>36</v>
          </cell>
          <cell r="V570">
            <v>0</v>
          </cell>
          <cell r="W570">
            <v>0</v>
          </cell>
          <cell r="AA570">
            <v>0</v>
          </cell>
          <cell r="AB570">
            <v>0</v>
          </cell>
          <cell r="AC570">
            <v>0</v>
          </cell>
          <cell r="AD570">
            <v>36</v>
          </cell>
          <cell r="AE570">
            <v>313000</v>
          </cell>
          <cell r="AF570">
            <v>0</v>
          </cell>
          <cell r="AI570">
            <v>2343</v>
          </cell>
          <cell r="AK570">
            <v>0</v>
          </cell>
          <cell r="AM570">
            <v>158</v>
          </cell>
          <cell r="AN570">
            <v>1</v>
          </cell>
          <cell r="AO570">
            <v>393216</v>
          </cell>
          <cell r="AQ570">
            <v>0</v>
          </cell>
          <cell r="AR570">
            <v>0</v>
          </cell>
          <cell r="AS570" t="str">
            <v>Ы</v>
          </cell>
          <cell r="AT570" t="str">
            <v>Ы</v>
          </cell>
          <cell r="AU570">
            <v>0</v>
          </cell>
          <cell r="AV570">
            <v>0</v>
          </cell>
          <cell r="AW570">
            <v>23</v>
          </cell>
          <cell r="AX570">
            <v>1</v>
          </cell>
          <cell r="AY570">
            <v>0</v>
          </cell>
          <cell r="AZ570">
            <v>0</v>
          </cell>
          <cell r="BA570">
            <v>0</v>
          </cell>
          <cell r="BB570">
            <v>0</v>
          </cell>
          <cell r="BC570">
            <v>38888</v>
          </cell>
        </row>
        <row r="571">
          <cell r="A571">
            <v>2006</v>
          </cell>
          <cell r="B571">
            <v>5</v>
          </cell>
          <cell r="C571">
            <v>7</v>
          </cell>
          <cell r="D571">
            <v>15</v>
          </cell>
          <cell r="E571">
            <v>792030</v>
          </cell>
          <cell r="F571">
            <v>0</v>
          </cell>
          <cell r="G571" t="str">
            <v>Затраты по ШПЗ (неосновные)</v>
          </cell>
          <cell r="H571">
            <v>2030</v>
          </cell>
          <cell r="I571">
            <v>7920</v>
          </cell>
          <cell r="J571">
            <v>7852</v>
          </cell>
          <cell r="K571">
            <v>1</v>
          </cell>
          <cell r="L571">
            <v>0</v>
          </cell>
          <cell r="M571">
            <v>0</v>
          </cell>
          <cell r="N571">
            <v>0</v>
          </cell>
          <cell r="R571">
            <v>0</v>
          </cell>
          <cell r="S571">
            <v>0</v>
          </cell>
          <cell r="T571">
            <v>0</v>
          </cell>
          <cell r="U571">
            <v>36</v>
          </cell>
          <cell r="V571">
            <v>0</v>
          </cell>
          <cell r="W571">
            <v>0</v>
          </cell>
          <cell r="AA571">
            <v>0</v>
          </cell>
          <cell r="AB571">
            <v>0</v>
          </cell>
          <cell r="AC571">
            <v>0</v>
          </cell>
          <cell r="AD571">
            <v>36</v>
          </cell>
          <cell r="AE571">
            <v>314000</v>
          </cell>
          <cell r="AF571">
            <v>0</v>
          </cell>
          <cell r="AI571">
            <v>2343</v>
          </cell>
          <cell r="AK571">
            <v>0</v>
          </cell>
          <cell r="AM571">
            <v>159</v>
          </cell>
          <cell r="AN571">
            <v>1</v>
          </cell>
          <cell r="AO571">
            <v>393216</v>
          </cell>
          <cell r="AQ571">
            <v>0</v>
          </cell>
          <cell r="AR571">
            <v>0</v>
          </cell>
          <cell r="AS571" t="str">
            <v>Ы</v>
          </cell>
          <cell r="AT571" t="str">
            <v>Ы</v>
          </cell>
          <cell r="AU571">
            <v>0</v>
          </cell>
          <cell r="AV571">
            <v>0</v>
          </cell>
          <cell r="AW571">
            <v>23</v>
          </cell>
          <cell r="AX571">
            <v>1</v>
          </cell>
          <cell r="AY571">
            <v>0</v>
          </cell>
          <cell r="AZ571">
            <v>0</v>
          </cell>
          <cell r="BA571">
            <v>0</v>
          </cell>
          <cell r="BB571">
            <v>0</v>
          </cell>
          <cell r="BC571">
            <v>38888</v>
          </cell>
        </row>
        <row r="572">
          <cell r="A572">
            <v>2006</v>
          </cell>
          <cell r="B572">
            <v>5</v>
          </cell>
          <cell r="C572">
            <v>8</v>
          </cell>
          <cell r="D572">
            <v>15</v>
          </cell>
          <cell r="E572">
            <v>792030</v>
          </cell>
          <cell r="F572">
            <v>0</v>
          </cell>
          <cell r="G572" t="str">
            <v>Затраты по ШПЗ (неосновные)</v>
          </cell>
          <cell r="H572">
            <v>2030</v>
          </cell>
          <cell r="I572">
            <v>7920</v>
          </cell>
          <cell r="J572">
            <v>1570.4</v>
          </cell>
          <cell r="K572">
            <v>1</v>
          </cell>
          <cell r="L572">
            <v>0</v>
          </cell>
          <cell r="M572">
            <v>0</v>
          </cell>
          <cell r="N572">
            <v>0</v>
          </cell>
          <cell r="R572">
            <v>0</v>
          </cell>
          <cell r="S572">
            <v>0</v>
          </cell>
          <cell r="T572">
            <v>0</v>
          </cell>
          <cell r="U572">
            <v>36</v>
          </cell>
          <cell r="V572">
            <v>0</v>
          </cell>
          <cell r="W572">
            <v>0</v>
          </cell>
          <cell r="AA572">
            <v>0</v>
          </cell>
          <cell r="AB572">
            <v>0</v>
          </cell>
          <cell r="AC572">
            <v>0</v>
          </cell>
          <cell r="AD572">
            <v>36</v>
          </cell>
          <cell r="AE572">
            <v>315000</v>
          </cell>
          <cell r="AF572">
            <v>0</v>
          </cell>
          <cell r="AI572">
            <v>2343</v>
          </cell>
          <cell r="AK572">
            <v>0</v>
          </cell>
          <cell r="AM572">
            <v>160</v>
          </cell>
          <cell r="AN572">
            <v>1</v>
          </cell>
          <cell r="AO572">
            <v>393216</v>
          </cell>
          <cell r="AQ572">
            <v>0</v>
          </cell>
          <cell r="AR572">
            <v>0</v>
          </cell>
          <cell r="AS572" t="str">
            <v>Ы</v>
          </cell>
          <cell r="AT572" t="str">
            <v>Ы</v>
          </cell>
          <cell r="AU572">
            <v>0</v>
          </cell>
          <cell r="AV572">
            <v>0</v>
          </cell>
          <cell r="AW572">
            <v>23</v>
          </cell>
          <cell r="AX572">
            <v>1</v>
          </cell>
          <cell r="AY572">
            <v>0</v>
          </cell>
          <cell r="AZ572">
            <v>0</v>
          </cell>
          <cell r="BA572">
            <v>0</v>
          </cell>
          <cell r="BB572">
            <v>0</v>
          </cell>
          <cell r="BC572">
            <v>38888</v>
          </cell>
        </row>
        <row r="573">
          <cell r="A573">
            <v>2006</v>
          </cell>
          <cell r="B573">
            <v>5</v>
          </cell>
          <cell r="C573">
            <v>73</v>
          </cell>
          <cell r="D573">
            <v>16</v>
          </cell>
          <cell r="E573">
            <v>792030</v>
          </cell>
          <cell r="F573">
            <v>0</v>
          </cell>
          <cell r="G573" t="str">
            <v>Затраты по ШПЗ (неосновные)</v>
          </cell>
          <cell r="H573">
            <v>2030</v>
          </cell>
          <cell r="I573">
            <v>7920</v>
          </cell>
          <cell r="J573">
            <v>9364.69</v>
          </cell>
          <cell r="K573">
            <v>1</v>
          </cell>
          <cell r="L573">
            <v>0</v>
          </cell>
          <cell r="M573">
            <v>0</v>
          </cell>
          <cell r="N573">
            <v>0</v>
          </cell>
          <cell r="R573">
            <v>0</v>
          </cell>
          <cell r="S573">
            <v>0</v>
          </cell>
          <cell r="T573">
            <v>0</v>
          </cell>
          <cell r="U573">
            <v>34</v>
          </cell>
          <cell r="V573">
            <v>0</v>
          </cell>
          <cell r="W573">
            <v>0</v>
          </cell>
          <cell r="AA573">
            <v>0</v>
          </cell>
          <cell r="AB573">
            <v>0</v>
          </cell>
          <cell r="AC573">
            <v>0</v>
          </cell>
          <cell r="AD573">
            <v>34</v>
          </cell>
          <cell r="AE573">
            <v>110000</v>
          </cell>
          <cell r="AF573">
            <v>0</v>
          </cell>
          <cell r="AI573">
            <v>2343</v>
          </cell>
          <cell r="AK573">
            <v>0</v>
          </cell>
          <cell r="AM573">
            <v>225</v>
          </cell>
          <cell r="AN573">
            <v>1</v>
          </cell>
          <cell r="AO573">
            <v>393216</v>
          </cell>
          <cell r="AQ573">
            <v>0</v>
          </cell>
          <cell r="AR573">
            <v>0</v>
          </cell>
          <cell r="AS573" t="str">
            <v>Ы</v>
          </cell>
          <cell r="AT573" t="str">
            <v>Ы</v>
          </cell>
          <cell r="AU573">
            <v>0</v>
          </cell>
          <cell r="AV573">
            <v>0</v>
          </cell>
          <cell r="AW573">
            <v>23</v>
          </cell>
          <cell r="AX573">
            <v>1</v>
          </cell>
          <cell r="AY573">
            <v>0</v>
          </cell>
          <cell r="AZ573">
            <v>0</v>
          </cell>
          <cell r="BA573">
            <v>0</v>
          </cell>
          <cell r="BB573">
            <v>0</v>
          </cell>
          <cell r="BC573">
            <v>38888</v>
          </cell>
        </row>
        <row r="574">
          <cell r="A574">
            <v>2006</v>
          </cell>
          <cell r="B574">
            <v>5</v>
          </cell>
          <cell r="C574">
            <v>74</v>
          </cell>
          <cell r="D574">
            <v>16</v>
          </cell>
          <cell r="E574">
            <v>792030</v>
          </cell>
          <cell r="F574">
            <v>0</v>
          </cell>
          <cell r="G574" t="str">
            <v>Затраты по ШПЗ (неосновные)</v>
          </cell>
          <cell r="H574">
            <v>2030</v>
          </cell>
          <cell r="I574">
            <v>7920</v>
          </cell>
          <cell r="J574">
            <v>15259</v>
          </cell>
          <cell r="K574">
            <v>1</v>
          </cell>
          <cell r="L574">
            <v>0</v>
          </cell>
          <cell r="M574">
            <v>0</v>
          </cell>
          <cell r="N574">
            <v>0</v>
          </cell>
          <cell r="R574">
            <v>0</v>
          </cell>
          <cell r="S574">
            <v>0</v>
          </cell>
          <cell r="T574">
            <v>0</v>
          </cell>
          <cell r="U574">
            <v>34</v>
          </cell>
          <cell r="V574">
            <v>0</v>
          </cell>
          <cell r="W574">
            <v>0</v>
          </cell>
          <cell r="AA574">
            <v>0</v>
          </cell>
          <cell r="AB574">
            <v>0</v>
          </cell>
          <cell r="AC574">
            <v>0</v>
          </cell>
          <cell r="AD574">
            <v>34</v>
          </cell>
          <cell r="AE574">
            <v>143000</v>
          </cell>
          <cell r="AF574">
            <v>0</v>
          </cell>
          <cell r="AI574">
            <v>2343</v>
          </cell>
          <cell r="AK574">
            <v>0</v>
          </cell>
          <cell r="AM574">
            <v>226</v>
          </cell>
          <cell r="AN574">
            <v>1</v>
          </cell>
          <cell r="AO574">
            <v>393216</v>
          </cell>
          <cell r="AQ574">
            <v>0</v>
          </cell>
          <cell r="AR574">
            <v>0</v>
          </cell>
          <cell r="AS574" t="str">
            <v>Ы</v>
          </cell>
          <cell r="AT574" t="str">
            <v>Ы</v>
          </cell>
          <cell r="AU574">
            <v>0</v>
          </cell>
          <cell r="AV574">
            <v>0</v>
          </cell>
          <cell r="AW574">
            <v>23</v>
          </cell>
          <cell r="AX574">
            <v>1</v>
          </cell>
          <cell r="AY574">
            <v>0</v>
          </cell>
          <cell r="AZ574">
            <v>0</v>
          </cell>
          <cell r="BA574">
            <v>0</v>
          </cell>
          <cell r="BB574">
            <v>0</v>
          </cell>
          <cell r="BC574">
            <v>38888</v>
          </cell>
        </row>
        <row r="575">
          <cell r="A575">
            <v>2006</v>
          </cell>
          <cell r="B575">
            <v>5</v>
          </cell>
          <cell r="C575">
            <v>75</v>
          </cell>
          <cell r="D575">
            <v>16</v>
          </cell>
          <cell r="E575">
            <v>792030</v>
          </cell>
          <cell r="F575">
            <v>0</v>
          </cell>
          <cell r="G575" t="str">
            <v>Затраты по ШПЗ (неосновные)</v>
          </cell>
          <cell r="H575">
            <v>2030</v>
          </cell>
          <cell r="I575">
            <v>7920</v>
          </cell>
          <cell r="J575">
            <v>242917</v>
          </cell>
          <cell r="K575">
            <v>1</v>
          </cell>
          <cell r="L575">
            <v>0</v>
          </cell>
          <cell r="M575">
            <v>0</v>
          </cell>
          <cell r="N575">
            <v>0</v>
          </cell>
          <cell r="R575">
            <v>0</v>
          </cell>
          <cell r="S575">
            <v>0</v>
          </cell>
          <cell r="T575">
            <v>0</v>
          </cell>
          <cell r="U575">
            <v>34</v>
          </cell>
          <cell r="V575">
            <v>0</v>
          </cell>
          <cell r="W575">
            <v>0</v>
          </cell>
          <cell r="AA575">
            <v>0</v>
          </cell>
          <cell r="AB575">
            <v>0</v>
          </cell>
          <cell r="AC575">
            <v>0</v>
          </cell>
          <cell r="AD575">
            <v>34</v>
          </cell>
          <cell r="AE575">
            <v>240000</v>
          </cell>
          <cell r="AF575">
            <v>0</v>
          </cell>
          <cell r="AI575">
            <v>2343</v>
          </cell>
          <cell r="AK575">
            <v>0</v>
          </cell>
          <cell r="AM575">
            <v>227</v>
          </cell>
          <cell r="AN575">
            <v>1</v>
          </cell>
          <cell r="AO575">
            <v>393216</v>
          </cell>
          <cell r="AQ575">
            <v>0</v>
          </cell>
          <cell r="AR575">
            <v>0</v>
          </cell>
          <cell r="AS575" t="str">
            <v>Ы</v>
          </cell>
          <cell r="AT575" t="str">
            <v>Ы</v>
          </cell>
          <cell r="AU575">
            <v>0</v>
          </cell>
          <cell r="AV575">
            <v>0</v>
          </cell>
          <cell r="AW575">
            <v>23</v>
          </cell>
          <cell r="AX575">
            <v>1</v>
          </cell>
          <cell r="AY575">
            <v>0</v>
          </cell>
          <cell r="AZ575">
            <v>0</v>
          </cell>
          <cell r="BA575">
            <v>0</v>
          </cell>
          <cell r="BB575">
            <v>0</v>
          </cell>
          <cell r="BC575">
            <v>38888</v>
          </cell>
        </row>
        <row r="576">
          <cell r="A576">
            <v>2006</v>
          </cell>
          <cell r="B576">
            <v>5</v>
          </cell>
          <cell r="C576">
            <v>76</v>
          </cell>
          <cell r="D576">
            <v>16</v>
          </cell>
          <cell r="E576">
            <v>792030</v>
          </cell>
          <cell r="F576">
            <v>0</v>
          </cell>
          <cell r="G576" t="str">
            <v>Затраты по ШПЗ (неосновные)</v>
          </cell>
          <cell r="H576">
            <v>2030</v>
          </cell>
          <cell r="I576">
            <v>7920</v>
          </cell>
          <cell r="J576">
            <v>7044.58</v>
          </cell>
          <cell r="K576">
            <v>1</v>
          </cell>
          <cell r="L576">
            <v>0</v>
          </cell>
          <cell r="M576">
            <v>0</v>
          </cell>
          <cell r="N576">
            <v>0</v>
          </cell>
          <cell r="R576">
            <v>0</v>
          </cell>
          <cell r="S576">
            <v>0</v>
          </cell>
          <cell r="T576">
            <v>0</v>
          </cell>
          <cell r="U576">
            <v>34</v>
          </cell>
          <cell r="V576">
            <v>0</v>
          </cell>
          <cell r="W576">
            <v>0</v>
          </cell>
          <cell r="AA576">
            <v>0</v>
          </cell>
          <cell r="AB576">
            <v>0</v>
          </cell>
          <cell r="AC576">
            <v>0</v>
          </cell>
          <cell r="AD576">
            <v>34</v>
          </cell>
          <cell r="AE576">
            <v>311000</v>
          </cell>
          <cell r="AF576">
            <v>0</v>
          </cell>
          <cell r="AI576">
            <v>2343</v>
          </cell>
          <cell r="AK576">
            <v>0</v>
          </cell>
          <cell r="AM576">
            <v>228</v>
          </cell>
          <cell r="AN576">
            <v>1</v>
          </cell>
          <cell r="AO576">
            <v>393216</v>
          </cell>
          <cell r="AQ576">
            <v>0</v>
          </cell>
          <cell r="AR576">
            <v>0</v>
          </cell>
          <cell r="AS576" t="str">
            <v>Ы</v>
          </cell>
          <cell r="AT576" t="str">
            <v>Ы</v>
          </cell>
          <cell r="AU576">
            <v>0</v>
          </cell>
          <cell r="AV576">
            <v>0</v>
          </cell>
          <cell r="AW576">
            <v>23</v>
          </cell>
          <cell r="AX576">
            <v>1</v>
          </cell>
          <cell r="AY576">
            <v>0</v>
          </cell>
          <cell r="AZ576">
            <v>0</v>
          </cell>
          <cell r="BA576">
            <v>0</v>
          </cell>
          <cell r="BB576">
            <v>0</v>
          </cell>
          <cell r="BC576">
            <v>38888</v>
          </cell>
        </row>
        <row r="577">
          <cell r="A577">
            <v>2006</v>
          </cell>
          <cell r="B577">
            <v>5</v>
          </cell>
          <cell r="C577">
            <v>77</v>
          </cell>
          <cell r="D577">
            <v>16</v>
          </cell>
          <cell r="E577">
            <v>792030</v>
          </cell>
          <cell r="F577">
            <v>0</v>
          </cell>
          <cell r="G577" t="str">
            <v>Затраты по ШПЗ (неосновные)</v>
          </cell>
          <cell r="H577">
            <v>2030</v>
          </cell>
          <cell r="I577">
            <v>7920</v>
          </cell>
          <cell r="J577">
            <v>14575</v>
          </cell>
          <cell r="K577">
            <v>1</v>
          </cell>
          <cell r="L577">
            <v>0</v>
          </cell>
          <cell r="M577">
            <v>0</v>
          </cell>
          <cell r="N577">
            <v>0</v>
          </cell>
          <cell r="R577">
            <v>0</v>
          </cell>
          <cell r="S577">
            <v>0</v>
          </cell>
          <cell r="T577">
            <v>0</v>
          </cell>
          <cell r="U577">
            <v>34</v>
          </cell>
          <cell r="V577">
            <v>0</v>
          </cell>
          <cell r="W577">
            <v>0</v>
          </cell>
          <cell r="AA577">
            <v>0</v>
          </cell>
          <cell r="AB577">
            <v>0</v>
          </cell>
          <cell r="AC577">
            <v>0</v>
          </cell>
          <cell r="AD577">
            <v>34</v>
          </cell>
          <cell r="AE577">
            <v>312000</v>
          </cell>
          <cell r="AF577">
            <v>0</v>
          </cell>
          <cell r="AI577">
            <v>2343</v>
          </cell>
          <cell r="AK577">
            <v>0</v>
          </cell>
          <cell r="AM577">
            <v>229</v>
          </cell>
          <cell r="AN577">
            <v>1</v>
          </cell>
          <cell r="AO577">
            <v>393216</v>
          </cell>
          <cell r="AQ577">
            <v>0</v>
          </cell>
          <cell r="AR577">
            <v>0</v>
          </cell>
          <cell r="AS577" t="str">
            <v>Ы</v>
          </cell>
          <cell r="AT577" t="str">
            <v>Ы</v>
          </cell>
          <cell r="AU577">
            <v>0</v>
          </cell>
          <cell r="AV577">
            <v>0</v>
          </cell>
          <cell r="AW577">
            <v>23</v>
          </cell>
          <cell r="AX577">
            <v>1</v>
          </cell>
          <cell r="AY577">
            <v>0</v>
          </cell>
          <cell r="AZ577">
            <v>0</v>
          </cell>
          <cell r="BA577">
            <v>0</v>
          </cell>
          <cell r="BB577">
            <v>0</v>
          </cell>
          <cell r="BC577">
            <v>38888</v>
          </cell>
        </row>
        <row r="578">
          <cell r="A578">
            <v>2006</v>
          </cell>
          <cell r="B578">
            <v>5</v>
          </cell>
          <cell r="C578">
            <v>78</v>
          </cell>
          <cell r="D578">
            <v>16</v>
          </cell>
          <cell r="E578">
            <v>792030</v>
          </cell>
          <cell r="F578">
            <v>0</v>
          </cell>
          <cell r="G578" t="str">
            <v>Затраты по ШПЗ (неосновные)</v>
          </cell>
          <cell r="H578">
            <v>2030</v>
          </cell>
          <cell r="I578">
            <v>7920</v>
          </cell>
          <cell r="J578">
            <v>2744.96</v>
          </cell>
          <cell r="K578">
            <v>1</v>
          </cell>
          <cell r="L578">
            <v>0</v>
          </cell>
          <cell r="M578">
            <v>0</v>
          </cell>
          <cell r="N578">
            <v>0</v>
          </cell>
          <cell r="R578">
            <v>0</v>
          </cell>
          <cell r="S578">
            <v>0</v>
          </cell>
          <cell r="T578">
            <v>0</v>
          </cell>
          <cell r="U578">
            <v>34</v>
          </cell>
          <cell r="V578">
            <v>0</v>
          </cell>
          <cell r="W578">
            <v>0</v>
          </cell>
          <cell r="AA578">
            <v>0</v>
          </cell>
          <cell r="AB578">
            <v>0</v>
          </cell>
          <cell r="AC578">
            <v>0</v>
          </cell>
          <cell r="AD578">
            <v>34</v>
          </cell>
          <cell r="AE578">
            <v>312100</v>
          </cell>
          <cell r="AF578">
            <v>0</v>
          </cell>
          <cell r="AI578">
            <v>2343</v>
          </cell>
          <cell r="AK578">
            <v>0</v>
          </cell>
          <cell r="AM578">
            <v>230</v>
          </cell>
          <cell r="AN578">
            <v>1</v>
          </cell>
          <cell r="AO578">
            <v>393216</v>
          </cell>
          <cell r="AQ578">
            <v>0</v>
          </cell>
          <cell r="AR578">
            <v>0</v>
          </cell>
          <cell r="AS578" t="str">
            <v>Ы</v>
          </cell>
          <cell r="AT578" t="str">
            <v>Ы</v>
          </cell>
          <cell r="AU578">
            <v>0</v>
          </cell>
          <cell r="AV578">
            <v>0</v>
          </cell>
          <cell r="AW578">
            <v>23</v>
          </cell>
          <cell r="AX578">
            <v>1</v>
          </cell>
          <cell r="AY578">
            <v>0</v>
          </cell>
          <cell r="AZ578">
            <v>0</v>
          </cell>
          <cell r="BA578">
            <v>0</v>
          </cell>
          <cell r="BB578">
            <v>0</v>
          </cell>
          <cell r="BC578">
            <v>38888</v>
          </cell>
        </row>
        <row r="579">
          <cell r="A579">
            <v>2006</v>
          </cell>
          <cell r="B579">
            <v>5</v>
          </cell>
          <cell r="C579">
            <v>79</v>
          </cell>
          <cell r="D579">
            <v>16</v>
          </cell>
          <cell r="E579">
            <v>792030</v>
          </cell>
          <cell r="F579">
            <v>0</v>
          </cell>
          <cell r="G579" t="str">
            <v>Затраты по ШПЗ (неосновные)</v>
          </cell>
          <cell r="H579">
            <v>2030</v>
          </cell>
          <cell r="I579">
            <v>7920</v>
          </cell>
          <cell r="J579">
            <v>31263.37</v>
          </cell>
          <cell r="K579">
            <v>1</v>
          </cell>
          <cell r="L579">
            <v>0</v>
          </cell>
          <cell r="M579">
            <v>0</v>
          </cell>
          <cell r="N579">
            <v>0</v>
          </cell>
          <cell r="R579">
            <v>0</v>
          </cell>
          <cell r="S579">
            <v>0</v>
          </cell>
          <cell r="T579">
            <v>0</v>
          </cell>
          <cell r="U579">
            <v>34</v>
          </cell>
          <cell r="V579">
            <v>0</v>
          </cell>
          <cell r="W579">
            <v>0</v>
          </cell>
          <cell r="AA579">
            <v>0</v>
          </cell>
          <cell r="AB579">
            <v>0</v>
          </cell>
          <cell r="AC579">
            <v>0</v>
          </cell>
          <cell r="AD579">
            <v>34</v>
          </cell>
          <cell r="AE579">
            <v>312200</v>
          </cell>
          <cell r="AF579">
            <v>0</v>
          </cell>
          <cell r="AI579">
            <v>2343</v>
          </cell>
          <cell r="AK579">
            <v>0</v>
          </cell>
          <cell r="AM579">
            <v>231</v>
          </cell>
          <cell r="AN579">
            <v>1</v>
          </cell>
          <cell r="AO579">
            <v>393216</v>
          </cell>
          <cell r="AQ579">
            <v>0</v>
          </cell>
          <cell r="AR579">
            <v>0</v>
          </cell>
          <cell r="AS579" t="str">
            <v>Ы</v>
          </cell>
          <cell r="AT579" t="str">
            <v>Ы</v>
          </cell>
          <cell r="AU579">
            <v>0</v>
          </cell>
          <cell r="AV579">
            <v>0</v>
          </cell>
          <cell r="AW579">
            <v>23</v>
          </cell>
          <cell r="AX579">
            <v>1</v>
          </cell>
          <cell r="AY579">
            <v>0</v>
          </cell>
          <cell r="AZ579">
            <v>0</v>
          </cell>
          <cell r="BA579">
            <v>0</v>
          </cell>
          <cell r="BB579">
            <v>0</v>
          </cell>
          <cell r="BC579">
            <v>38888</v>
          </cell>
        </row>
        <row r="580">
          <cell r="A580">
            <v>2006</v>
          </cell>
          <cell r="B580">
            <v>5</v>
          </cell>
          <cell r="C580">
            <v>80</v>
          </cell>
          <cell r="D580">
            <v>16</v>
          </cell>
          <cell r="E580">
            <v>792030</v>
          </cell>
          <cell r="F580">
            <v>0</v>
          </cell>
          <cell r="G580" t="str">
            <v>Затраты по ШПЗ (неосновные)</v>
          </cell>
          <cell r="H580">
            <v>2030</v>
          </cell>
          <cell r="I580">
            <v>7920</v>
          </cell>
          <cell r="J580">
            <v>2672.08</v>
          </cell>
          <cell r="K580">
            <v>1</v>
          </cell>
          <cell r="L580">
            <v>0</v>
          </cell>
          <cell r="M580">
            <v>0</v>
          </cell>
          <cell r="N580">
            <v>0</v>
          </cell>
          <cell r="R580">
            <v>0</v>
          </cell>
          <cell r="S580">
            <v>0</v>
          </cell>
          <cell r="T580">
            <v>0</v>
          </cell>
          <cell r="U580">
            <v>34</v>
          </cell>
          <cell r="V580">
            <v>0</v>
          </cell>
          <cell r="W580">
            <v>0</v>
          </cell>
          <cell r="AA580">
            <v>0</v>
          </cell>
          <cell r="AB580">
            <v>0</v>
          </cell>
          <cell r="AC580">
            <v>0</v>
          </cell>
          <cell r="AD580">
            <v>34</v>
          </cell>
          <cell r="AE580">
            <v>313000</v>
          </cell>
          <cell r="AF580">
            <v>0</v>
          </cell>
          <cell r="AI580">
            <v>2343</v>
          </cell>
          <cell r="AK580">
            <v>0</v>
          </cell>
          <cell r="AM580">
            <v>232</v>
          </cell>
          <cell r="AN580">
            <v>1</v>
          </cell>
          <cell r="AO580">
            <v>393216</v>
          </cell>
          <cell r="AQ580">
            <v>0</v>
          </cell>
          <cell r="AR580">
            <v>0</v>
          </cell>
          <cell r="AS580" t="str">
            <v>Ы</v>
          </cell>
          <cell r="AT580" t="str">
            <v>Ы</v>
          </cell>
          <cell r="AU580">
            <v>0</v>
          </cell>
          <cell r="AV580">
            <v>0</v>
          </cell>
          <cell r="AW580">
            <v>23</v>
          </cell>
          <cell r="AX580">
            <v>1</v>
          </cell>
          <cell r="AY580">
            <v>0</v>
          </cell>
          <cell r="AZ580">
            <v>0</v>
          </cell>
          <cell r="BA580">
            <v>0</v>
          </cell>
          <cell r="BB580">
            <v>0</v>
          </cell>
          <cell r="BC580">
            <v>38888</v>
          </cell>
        </row>
        <row r="581">
          <cell r="A581">
            <v>2006</v>
          </cell>
          <cell r="B581">
            <v>5</v>
          </cell>
          <cell r="C581">
            <v>81</v>
          </cell>
          <cell r="D581">
            <v>16</v>
          </cell>
          <cell r="E581">
            <v>792030</v>
          </cell>
          <cell r="F581">
            <v>0</v>
          </cell>
          <cell r="G581" t="str">
            <v>Затраты по ШПЗ (неосновные)</v>
          </cell>
          <cell r="H581">
            <v>2030</v>
          </cell>
          <cell r="I581">
            <v>7920</v>
          </cell>
          <cell r="J581">
            <v>4858.33</v>
          </cell>
          <cell r="K581">
            <v>1</v>
          </cell>
          <cell r="L581">
            <v>0</v>
          </cell>
          <cell r="M581">
            <v>0</v>
          </cell>
          <cell r="N581">
            <v>0</v>
          </cell>
          <cell r="R581">
            <v>0</v>
          </cell>
          <cell r="S581">
            <v>0</v>
          </cell>
          <cell r="T581">
            <v>0</v>
          </cell>
          <cell r="U581">
            <v>34</v>
          </cell>
          <cell r="V581">
            <v>0</v>
          </cell>
          <cell r="W581">
            <v>0</v>
          </cell>
          <cell r="AA581">
            <v>0</v>
          </cell>
          <cell r="AB581">
            <v>0</v>
          </cell>
          <cell r="AC581">
            <v>0</v>
          </cell>
          <cell r="AD581">
            <v>34</v>
          </cell>
          <cell r="AE581">
            <v>314000</v>
          </cell>
          <cell r="AF581">
            <v>0</v>
          </cell>
          <cell r="AI581">
            <v>2343</v>
          </cell>
          <cell r="AK581">
            <v>0</v>
          </cell>
          <cell r="AM581">
            <v>233</v>
          </cell>
          <cell r="AN581">
            <v>1</v>
          </cell>
          <cell r="AO581">
            <v>393216</v>
          </cell>
          <cell r="AQ581">
            <v>0</v>
          </cell>
          <cell r="AR581">
            <v>0</v>
          </cell>
          <cell r="AS581" t="str">
            <v>Ы</v>
          </cell>
          <cell r="AT581" t="str">
            <v>Ы</v>
          </cell>
          <cell r="AU581">
            <v>0</v>
          </cell>
          <cell r="AV581">
            <v>0</v>
          </cell>
          <cell r="AW581">
            <v>23</v>
          </cell>
          <cell r="AX581">
            <v>1</v>
          </cell>
          <cell r="AY581">
            <v>0</v>
          </cell>
          <cell r="AZ581">
            <v>0</v>
          </cell>
          <cell r="BA581">
            <v>0</v>
          </cell>
          <cell r="BB581">
            <v>0</v>
          </cell>
          <cell r="BC581">
            <v>38888</v>
          </cell>
        </row>
        <row r="582">
          <cell r="A582">
            <v>2006</v>
          </cell>
          <cell r="B582">
            <v>5</v>
          </cell>
          <cell r="C582">
            <v>82</v>
          </cell>
          <cell r="D582">
            <v>16</v>
          </cell>
          <cell r="E582">
            <v>792030</v>
          </cell>
          <cell r="F582">
            <v>0</v>
          </cell>
          <cell r="G582" t="str">
            <v>Затраты по ШПЗ (неосновные)</v>
          </cell>
          <cell r="H582">
            <v>2030</v>
          </cell>
          <cell r="I582">
            <v>7920</v>
          </cell>
          <cell r="J582">
            <v>971.68</v>
          </cell>
          <cell r="K582">
            <v>1</v>
          </cell>
          <cell r="L582">
            <v>0</v>
          </cell>
          <cell r="M582">
            <v>0</v>
          </cell>
          <cell r="N582">
            <v>0</v>
          </cell>
          <cell r="R582">
            <v>0</v>
          </cell>
          <cell r="S582">
            <v>0</v>
          </cell>
          <cell r="T582">
            <v>0</v>
          </cell>
          <cell r="U582">
            <v>34</v>
          </cell>
          <cell r="V582">
            <v>0</v>
          </cell>
          <cell r="W582">
            <v>0</v>
          </cell>
          <cell r="AA582">
            <v>0</v>
          </cell>
          <cell r="AB582">
            <v>0</v>
          </cell>
          <cell r="AC582">
            <v>0</v>
          </cell>
          <cell r="AD582">
            <v>34</v>
          </cell>
          <cell r="AE582">
            <v>315000</v>
          </cell>
          <cell r="AF582">
            <v>0</v>
          </cell>
          <cell r="AI582">
            <v>2343</v>
          </cell>
          <cell r="AK582">
            <v>0</v>
          </cell>
          <cell r="AM582">
            <v>234</v>
          </cell>
          <cell r="AN582">
            <v>1</v>
          </cell>
          <cell r="AO582">
            <v>393216</v>
          </cell>
          <cell r="AQ582">
            <v>0</v>
          </cell>
          <cell r="AR582">
            <v>0</v>
          </cell>
          <cell r="AS582" t="str">
            <v>Ы</v>
          </cell>
          <cell r="AT582" t="str">
            <v>Ы</v>
          </cell>
          <cell r="AU582">
            <v>0</v>
          </cell>
          <cell r="AV582">
            <v>0</v>
          </cell>
          <cell r="AW582">
            <v>23</v>
          </cell>
          <cell r="AX582">
            <v>1</v>
          </cell>
          <cell r="AY582">
            <v>0</v>
          </cell>
          <cell r="AZ582">
            <v>0</v>
          </cell>
          <cell r="BA582">
            <v>0</v>
          </cell>
          <cell r="BB582">
            <v>0</v>
          </cell>
          <cell r="BC582">
            <v>38888</v>
          </cell>
        </row>
        <row r="583">
          <cell r="A583">
            <v>2006</v>
          </cell>
          <cell r="B583">
            <v>5</v>
          </cell>
          <cell r="C583">
            <v>142</v>
          </cell>
          <cell r="D583">
            <v>16</v>
          </cell>
          <cell r="E583">
            <v>792030</v>
          </cell>
          <cell r="F583">
            <v>0</v>
          </cell>
          <cell r="G583" t="str">
            <v>Затраты по ШПЗ (неосновные)</v>
          </cell>
          <cell r="H583">
            <v>2030</v>
          </cell>
          <cell r="I583">
            <v>7920</v>
          </cell>
          <cell r="J583">
            <v>1422.17</v>
          </cell>
          <cell r="K583">
            <v>1</v>
          </cell>
          <cell r="L583">
            <v>0</v>
          </cell>
          <cell r="M583">
            <v>0</v>
          </cell>
          <cell r="N583">
            <v>0</v>
          </cell>
          <cell r="R583">
            <v>0</v>
          </cell>
          <cell r="S583">
            <v>0</v>
          </cell>
          <cell r="T583">
            <v>0</v>
          </cell>
          <cell r="U583">
            <v>38</v>
          </cell>
          <cell r="V583">
            <v>0</v>
          </cell>
          <cell r="W583">
            <v>0</v>
          </cell>
          <cell r="AA583">
            <v>0</v>
          </cell>
          <cell r="AB583">
            <v>0</v>
          </cell>
          <cell r="AC583">
            <v>0</v>
          </cell>
          <cell r="AD583">
            <v>38</v>
          </cell>
          <cell r="AE583">
            <v>110000</v>
          </cell>
          <cell r="AF583">
            <v>0</v>
          </cell>
          <cell r="AI583">
            <v>2343</v>
          </cell>
          <cell r="AK583">
            <v>0</v>
          </cell>
          <cell r="AM583">
            <v>294</v>
          </cell>
          <cell r="AN583">
            <v>1</v>
          </cell>
          <cell r="AO583">
            <v>393216</v>
          </cell>
          <cell r="AQ583">
            <v>0</v>
          </cell>
          <cell r="AR583">
            <v>0</v>
          </cell>
          <cell r="AS583" t="str">
            <v>Ы</v>
          </cell>
          <cell r="AT583" t="str">
            <v>Ы</v>
          </cell>
          <cell r="AU583">
            <v>0</v>
          </cell>
          <cell r="AV583">
            <v>0</v>
          </cell>
          <cell r="AW583">
            <v>23</v>
          </cell>
          <cell r="AX583">
            <v>1</v>
          </cell>
          <cell r="AY583">
            <v>0</v>
          </cell>
          <cell r="AZ583">
            <v>0</v>
          </cell>
          <cell r="BA583">
            <v>0</v>
          </cell>
          <cell r="BB583">
            <v>0</v>
          </cell>
          <cell r="BC583">
            <v>38888</v>
          </cell>
        </row>
        <row r="584">
          <cell r="A584">
            <v>2006</v>
          </cell>
          <cell r="B584">
            <v>5</v>
          </cell>
          <cell r="C584">
            <v>143</v>
          </cell>
          <cell r="D584">
            <v>16</v>
          </cell>
          <cell r="E584">
            <v>792030</v>
          </cell>
          <cell r="F584">
            <v>0</v>
          </cell>
          <cell r="G584" t="str">
            <v>Затраты по ШПЗ (неосновные)</v>
          </cell>
          <cell r="H584">
            <v>2030</v>
          </cell>
          <cell r="I584">
            <v>7920</v>
          </cell>
          <cell r="J584">
            <v>431.31</v>
          </cell>
          <cell r="K584">
            <v>1</v>
          </cell>
          <cell r="L584">
            <v>0</v>
          </cell>
          <cell r="M584">
            <v>0</v>
          </cell>
          <cell r="N584">
            <v>0</v>
          </cell>
          <cell r="R584">
            <v>0</v>
          </cell>
          <cell r="S584">
            <v>0</v>
          </cell>
          <cell r="T584">
            <v>0</v>
          </cell>
          <cell r="U584">
            <v>38</v>
          </cell>
          <cell r="V584">
            <v>0</v>
          </cell>
          <cell r="W584">
            <v>0</v>
          </cell>
          <cell r="AA584">
            <v>0</v>
          </cell>
          <cell r="AB584">
            <v>0</v>
          </cell>
          <cell r="AC584">
            <v>0</v>
          </cell>
          <cell r="AD584">
            <v>38</v>
          </cell>
          <cell r="AE584">
            <v>114020</v>
          </cell>
          <cell r="AF584">
            <v>0</v>
          </cell>
          <cell r="AI584">
            <v>2343</v>
          </cell>
          <cell r="AK584">
            <v>0</v>
          </cell>
          <cell r="AM584">
            <v>295</v>
          </cell>
          <cell r="AN584">
            <v>1</v>
          </cell>
          <cell r="AO584">
            <v>393216</v>
          </cell>
          <cell r="AQ584">
            <v>0</v>
          </cell>
          <cell r="AR584">
            <v>0</v>
          </cell>
          <cell r="AS584" t="str">
            <v>Ы</v>
          </cell>
          <cell r="AT584" t="str">
            <v>Ы</v>
          </cell>
          <cell r="AU584">
            <v>0</v>
          </cell>
          <cell r="AV584">
            <v>0</v>
          </cell>
          <cell r="AW584">
            <v>23</v>
          </cell>
          <cell r="AX584">
            <v>1</v>
          </cell>
          <cell r="AY584">
            <v>0</v>
          </cell>
          <cell r="AZ584">
            <v>0</v>
          </cell>
          <cell r="BA584">
            <v>0</v>
          </cell>
          <cell r="BB584">
            <v>0</v>
          </cell>
          <cell r="BC584">
            <v>38888</v>
          </cell>
        </row>
        <row r="585">
          <cell r="A585">
            <v>2006</v>
          </cell>
          <cell r="B585">
            <v>5</v>
          </cell>
          <cell r="C585">
            <v>144</v>
          </cell>
          <cell r="D585">
            <v>16</v>
          </cell>
          <cell r="E585">
            <v>792030</v>
          </cell>
          <cell r="F585">
            <v>0</v>
          </cell>
          <cell r="G585" t="str">
            <v>Затраты по ШПЗ (неосновные)</v>
          </cell>
          <cell r="H585">
            <v>2030</v>
          </cell>
          <cell r="I585">
            <v>7920</v>
          </cell>
          <cell r="J585">
            <v>22.65</v>
          </cell>
          <cell r="K585">
            <v>1</v>
          </cell>
          <cell r="L585">
            <v>0</v>
          </cell>
          <cell r="M585">
            <v>0</v>
          </cell>
          <cell r="N585">
            <v>0</v>
          </cell>
          <cell r="R585">
            <v>0</v>
          </cell>
          <cell r="S585">
            <v>0</v>
          </cell>
          <cell r="T585">
            <v>0</v>
          </cell>
          <cell r="U585">
            <v>38</v>
          </cell>
          <cell r="V585">
            <v>0</v>
          </cell>
          <cell r="W585">
            <v>0</v>
          </cell>
          <cell r="AA585">
            <v>0</v>
          </cell>
          <cell r="AB585">
            <v>0</v>
          </cell>
          <cell r="AC585">
            <v>0</v>
          </cell>
          <cell r="AD585">
            <v>38</v>
          </cell>
          <cell r="AE585">
            <v>117000</v>
          </cell>
          <cell r="AF585">
            <v>0</v>
          </cell>
          <cell r="AI585">
            <v>2343</v>
          </cell>
          <cell r="AK585">
            <v>0</v>
          </cell>
          <cell r="AM585">
            <v>296</v>
          </cell>
          <cell r="AN585">
            <v>1</v>
          </cell>
          <cell r="AO585">
            <v>393216</v>
          </cell>
          <cell r="AQ585">
            <v>0</v>
          </cell>
          <cell r="AR585">
            <v>0</v>
          </cell>
          <cell r="AS585" t="str">
            <v>Ы</v>
          </cell>
          <cell r="AT585" t="str">
            <v>Ы</v>
          </cell>
          <cell r="AU585">
            <v>0</v>
          </cell>
          <cell r="AV585">
            <v>0</v>
          </cell>
          <cell r="AW585">
            <v>23</v>
          </cell>
          <cell r="AX585">
            <v>1</v>
          </cell>
          <cell r="AY585">
            <v>0</v>
          </cell>
          <cell r="AZ585">
            <v>0</v>
          </cell>
          <cell r="BA585">
            <v>0</v>
          </cell>
          <cell r="BB585">
            <v>0</v>
          </cell>
          <cell r="BC585">
            <v>38888</v>
          </cell>
        </row>
        <row r="586">
          <cell r="A586">
            <v>2006</v>
          </cell>
          <cell r="B586">
            <v>5</v>
          </cell>
          <cell r="C586">
            <v>145</v>
          </cell>
          <cell r="D586">
            <v>16</v>
          </cell>
          <cell r="E586">
            <v>792030</v>
          </cell>
          <cell r="F586">
            <v>0</v>
          </cell>
          <cell r="G586" t="str">
            <v>Затраты по ШПЗ (неосновные)</v>
          </cell>
          <cell r="H586">
            <v>2030</v>
          </cell>
          <cell r="I586">
            <v>7920</v>
          </cell>
          <cell r="J586">
            <v>3172.62</v>
          </cell>
          <cell r="K586">
            <v>1</v>
          </cell>
          <cell r="L586">
            <v>0</v>
          </cell>
          <cell r="M586">
            <v>0</v>
          </cell>
          <cell r="N586">
            <v>0</v>
          </cell>
          <cell r="R586">
            <v>0</v>
          </cell>
          <cell r="S586">
            <v>0</v>
          </cell>
          <cell r="T586">
            <v>0</v>
          </cell>
          <cell r="U586">
            <v>38</v>
          </cell>
          <cell r="V586">
            <v>0</v>
          </cell>
          <cell r="W586">
            <v>0</v>
          </cell>
          <cell r="AA586">
            <v>0</v>
          </cell>
          <cell r="AB586">
            <v>0</v>
          </cell>
          <cell r="AC586">
            <v>0</v>
          </cell>
          <cell r="AD586">
            <v>38</v>
          </cell>
          <cell r="AE586">
            <v>130100</v>
          </cell>
          <cell r="AF586">
            <v>0</v>
          </cell>
          <cell r="AI586">
            <v>2343</v>
          </cell>
          <cell r="AK586">
            <v>0</v>
          </cell>
          <cell r="AM586">
            <v>297</v>
          </cell>
          <cell r="AN586">
            <v>1</v>
          </cell>
          <cell r="AO586">
            <v>393216</v>
          </cell>
          <cell r="AQ586">
            <v>0</v>
          </cell>
          <cell r="AR586">
            <v>0</v>
          </cell>
          <cell r="AS586" t="str">
            <v>Ы</v>
          </cell>
          <cell r="AT586" t="str">
            <v>Ы</v>
          </cell>
          <cell r="AU586">
            <v>0</v>
          </cell>
          <cell r="AV586">
            <v>0</v>
          </cell>
          <cell r="AW586">
            <v>23</v>
          </cell>
          <cell r="AX586">
            <v>1</v>
          </cell>
          <cell r="AY586">
            <v>0</v>
          </cell>
          <cell r="AZ586">
            <v>0</v>
          </cell>
          <cell r="BA586">
            <v>0</v>
          </cell>
          <cell r="BB586">
            <v>0</v>
          </cell>
          <cell r="BC586">
            <v>38888</v>
          </cell>
        </row>
        <row r="587">
          <cell r="A587">
            <v>2006</v>
          </cell>
          <cell r="B587">
            <v>5</v>
          </cell>
          <cell r="C587">
            <v>146</v>
          </cell>
          <cell r="D587">
            <v>16</v>
          </cell>
          <cell r="E587">
            <v>792030</v>
          </cell>
          <cell r="F587">
            <v>0</v>
          </cell>
          <cell r="G587" t="str">
            <v>Затраты по ШПЗ (неосновные)</v>
          </cell>
          <cell r="H587">
            <v>2030</v>
          </cell>
          <cell r="I587">
            <v>7920</v>
          </cell>
          <cell r="J587">
            <v>604.96</v>
          </cell>
          <cell r="K587">
            <v>1</v>
          </cell>
          <cell r="L587">
            <v>0</v>
          </cell>
          <cell r="M587">
            <v>0</v>
          </cell>
          <cell r="N587">
            <v>0</v>
          </cell>
          <cell r="R587">
            <v>0</v>
          </cell>
          <cell r="S587">
            <v>0</v>
          </cell>
          <cell r="T587">
            <v>0</v>
          </cell>
          <cell r="U587">
            <v>38</v>
          </cell>
          <cell r="V587">
            <v>0</v>
          </cell>
          <cell r="W587">
            <v>0</v>
          </cell>
          <cell r="AA587">
            <v>0</v>
          </cell>
          <cell r="AB587">
            <v>0</v>
          </cell>
          <cell r="AC587">
            <v>0</v>
          </cell>
          <cell r="AD587">
            <v>38</v>
          </cell>
          <cell r="AE587">
            <v>132000</v>
          </cell>
          <cell r="AF587">
            <v>0</v>
          </cell>
          <cell r="AI587">
            <v>2343</v>
          </cell>
          <cell r="AK587">
            <v>0</v>
          </cell>
          <cell r="AM587">
            <v>298</v>
          </cell>
          <cell r="AN587">
            <v>1</v>
          </cell>
          <cell r="AO587">
            <v>393216</v>
          </cell>
          <cell r="AQ587">
            <v>0</v>
          </cell>
          <cell r="AR587">
            <v>0</v>
          </cell>
          <cell r="AS587" t="str">
            <v>Ы</v>
          </cell>
          <cell r="AT587" t="str">
            <v>Ы</v>
          </cell>
          <cell r="AU587">
            <v>0</v>
          </cell>
          <cell r="AV587">
            <v>0</v>
          </cell>
          <cell r="AW587">
            <v>23</v>
          </cell>
          <cell r="AX587">
            <v>1</v>
          </cell>
          <cell r="AY587">
            <v>0</v>
          </cell>
          <cell r="AZ587">
            <v>0</v>
          </cell>
          <cell r="BA587">
            <v>0</v>
          </cell>
          <cell r="BB587">
            <v>0</v>
          </cell>
          <cell r="BC587">
            <v>38888</v>
          </cell>
        </row>
        <row r="588">
          <cell r="A588">
            <v>2006</v>
          </cell>
          <cell r="B588">
            <v>5</v>
          </cell>
          <cell r="C588">
            <v>147</v>
          </cell>
          <cell r="D588">
            <v>16</v>
          </cell>
          <cell r="E588">
            <v>792030</v>
          </cell>
          <cell r="F588">
            <v>0</v>
          </cell>
          <cell r="G588" t="str">
            <v>Затраты по ШПЗ (неосновные)</v>
          </cell>
          <cell r="H588">
            <v>2030</v>
          </cell>
          <cell r="I588">
            <v>7920</v>
          </cell>
          <cell r="J588">
            <v>113.05</v>
          </cell>
          <cell r="K588">
            <v>1</v>
          </cell>
          <cell r="L588">
            <v>0</v>
          </cell>
          <cell r="M588">
            <v>0</v>
          </cell>
          <cell r="N588">
            <v>0</v>
          </cell>
          <cell r="R588">
            <v>0</v>
          </cell>
          <cell r="S588">
            <v>0</v>
          </cell>
          <cell r="T588">
            <v>0</v>
          </cell>
          <cell r="U588">
            <v>38</v>
          </cell>
          <cell r="V588">
            <v>0</v>
          </cell>
          <cell r="W588">
            <v>0</v>
          </cell>
          <cell r="AA588">
            <v>0</v>
          </cell>
          <cell r="AB588">
            <v>0</v>
          </cell>
          <cell r="AC588">
            <v>0</v>
          </cell>
          <cell r="AD588">
            <v>38</v>
          </cell>
          <cell r="AE588">
            <v>135000</v>
          </cell>
          <cell r="AF588">
            <v>0</v>
          </cell>
          <cell r="AI588">
            <v>2343</v>
          </cell>
          <cell r="AK588">
            <v>0</v>
          </cell>
          <cell r="AM588">
            <v>299</v>
          </cell>
          <cell r="AN588">
            <v>1</v>
          </cell>
          <cell r="AO588">
            <v>393216</v>
          </cell>
          <cell r="AQ588">
            <v>0</v>
          </cell>
          <cell r="AR588">
            <v>0</v>
          </cell>
          <cell r="AS588" t="str">
            <v>Ы</v>
          </cell>
          <cell r="AT588" t="str">
            <v>Ы</v>
          </cell>
          <cell r="AU588">
            <v>0</v>
          </cell>
          <cell r="AV588">
            <v>0</v>
          </cell>
          <cell r="AW588">
            <v>23</v>
          </cell>
          <cell r="AX588">
            <v>1</v>
          </cell>
          <cell r="AY588">
            <v>0</v>
          </cell>
          <cell r="AZ588">
            <v>0</v>
          </cell>
          <cell r="BA588">
            <v>0</v>
          </cell>
          <cell r="BB588">
            <v>0</v>
          </cell>
          <cell r="BC588">
            <v>38888</v>
          </cell>
        </row>
        <row r="589">
          <cell r="A589">
            <v>2006</v>
          </cell>
          <cell r="B589">
            <v>5</v>
          </cell>
          <cell r="C589">
            <v>148</v>
          </cell>
          <cell r="D589">
            <v>16</v>
          </cell>
          <cell r="E589">
            <v>792030</v>
          </cell>
          <cell r="F589">
            <v>0</v>
          </cell>
          <cell r="G589" t="str">
            <v>Затраты по ШПЗ (неосновные)</v>
          </cell>
          <cell r="H589">
            <v>2030</v>
          </cell>
          <cell r="I589">
            <v>7920</v>
          </cell>
          <cell r="J589">
            <v>2864.43</v>
          </cell>
          <cell r="K589">
            <v>1</v>
          </cell>
          <cell r="L589">
            <v>0</v>
          </cell>
          <cell r="M589">
            <v>0</v>
          </cell>
          <cell r="N589">
            <v>0</v>
          </cell>
          <cell r="R589">
            <v>0</v>
          </cell>
          <cell r="S589">
            <v>0</v>
          </cell>
          <cell r="T589">
            <v>0</v>
          </cell>
          <cell r="U589">
            <v>38</v>
          </cell>
          <cell r="V589">
            <v>0</v>
          </cell>
          <cell r="W589">
            <v>0</v>
          </cell>
          <cell r="AA589">
            <v>0</v>
          </cell>
          <cell r="AB589">
            <v>0</v>
          </cell>
          <cell r="AC589">
            <v>0</v>
          </cell>
          <cell r="AD589">
            <v>38</v>
          </cell>
          <cell r="AE589">
            <v>143000</v>
          </cell>
          <cell r="AF589">
            <v>0</v>
          </cell>
          <cell r="AI589">
            <v>2343</v>
          </cell>
          <cell r="AK589">
            <v>0</v>
          </cell>
          <cell r="AM589">
            <v>300</v>
          </cell>
          <cell r="AN589">
            <v>1</v>
          </cell>
          <cell r="AO589">
            <v>393216</v>
          </cell>
          <cell r="AQ589">
            <v>0</v>
          </cell>
          <cell r="AR589">
            <v>0</v>
          </cell>
          <cell r="AS589" t="str">
            <v>Ы</v>
          </cell>
          <cell r="AT589" t="str">
            <v>Ы</v>
          </cell>
          <cell r="AU589">
            <v>0</v>
          </cell>
          <cell r="AV589">
            <v>0</v>
          </cell>
          <cell r="AW589">
            <v>23</v>
          </cell>
          <cell r="AX589">
            <v>1</v>
          </cell>
          <cell r="AY589">
            <v>0</v>
          </cell>
          <cell r="AZ589">
            <v>0</v>
          </cell>
          <cell r="BA589">
            <v>0</v>
          </cell>
          <cell r="BB589">
            <v>0</v>
          </cell>
          <cell r="BC589">
            <v>38888</v>
          </cell>
        </row>
        <row r="590">
          <cell r="A590">
            <v>2006</v>
          </cell>
          <cell r="B590">
            <v>5</v>
          </cell>
          <cell r="C590">
            <v>149</v>
          </cell>
          <cell r="D590">
            <v>16</v>
          </cell>
          <cell r="E590">
            <v>792030</v>
          </cell>
          <cell r="F590">
            <v>0</v>
          </cell>
          <cell r="G590" t="str">
            <v>Затраты по ШПЗ (неосновные)</v>
          </cell>
          <cell r="H590">
            <v>2030</v>
          </cell>
          <cell r="I590">
            <v>7920</v>
          </cell>
          <cell r="J590">
            <v>668.56</v>
          </cell>
          <cell r="K590">
            <v>1</v>
          </cell>
          <cell r="L590">
            <v>0</v>
          </cell>
          <cell r="M590">
            <v>0</v>
          </cell>
          <cell r="N590">
            <v>0</v>
          </cell>
          <cell r="R590">
            <v>0</v>
          </cell>
          <cell r="S590">
            <v>0</v>
          </cell>
          <cell r="T590">
            <v>0</v>
          </cell>
          <cell r="U590">
            <v>38</v>
          </cell>
          <cell r="V590">
            <v>0</v>
          </cell>
          <cell r="W590">
            <v>0</v>
          </cell>
          <cell r="AA590">
            <v>0</v>
          </cell>
          <cell r="AB590">
            <v>0</v>
          </cell>
          <cell r="AC590">
            <v>0</v>
          </cell>
          <cell r="AD590">
            <v>38</v>
          </cell>
          <cell r="AE590">
            <v>151000</v>
          </cell>
          <cell r="AF590">
            <v>0</v>
          </cell>
          <cell r="AI590">
            <v>2343</v>
          </cell>
          <cell r="AK590">
            <v>0</v>
          </cell>
          <cell r="AM590">
            <v>301</v>
          </cell>
          <cell r="AN590">
            <v>1</v>
          </cell>
          <cell r="AO590">
            <v>393216</v>
          </cell>
          <cell r="AQ590">
            <v>0</v>
          </cell>
          <cell r="AR590">
            <v>0</v>
          </cell>
          <cell r="AS590" t="str">
            <v>Ы</v>
          </cell>
          <cell r="AT590" t="str">
            <v>Ы</v>
          </cell>
          <cell r="AU590">
            <v>0</v>
          </cell>
          <cell r="AV590">
            <v>0</v>
          </cell>
          <cell r="AW590">
            <v>23</v>
          </cell>
          <cell r="AX590">
            <v>1</v>
          </cell>
          <cell r="AY590">
            <v>0</v>
          </cell>
          <cell r="AZ590">
            <v>0</v>
          </cell>
          <cell r="BA590">
            <v>0</v>
          </cell>
          <cell r="BB590">
            <v>0</v>
          </cell>
          <cell r="BC590">
            <v>38888</v>
          </cell>
        </row>
        <row r="591">
          <cell r="A591">
            <v>2006</v>
          </cell>
          <cell r="B591">
            <v>5</v>
          </cell>
          <cell r="C591">
            <v>150</v>
          </cell>
          <cell r="D591">
            <v>16</v>
          </cell>
          <cell r="E591">
            <v>792030</v>
          </cell>
          <cell r="F591">
            <v>0</v>
          </cell>
          <cell r="G591" t="str">
            <v>Затраты по ШПЗ (неосновные)</v>
          </cell>
          <cell r="H591">
            <v>2030</v>
          </cell>
          <cell r="I591">
            <v>7920</v>
          </cell>
          <cell r="J591">
            <v>166.07</v>
          </cell>
          <cell r="K591">
            <v>1</v>
          </cell>
          <cell r="L591">
            <v>0</v>
          </cell>
          <cell r="M591">
            <v>0</v>
          </cell>
          <cell r="N591">
            <v>0</v>
          </cell>
          <cell r="R591">
            <v>0</v>
          </cell>
          <cell r="S591">
            <v>0</v>
          </cell>
          <cell r="T591">
            <v>0</v>
          </cell>
          <cell r="U591">
            <v>38</v>
          </cell>
          <cell r="V591">
            <v>0</v>
          </cell>
          <cell r="W591">
            <v>0</v>
          </cell>
          <cell r="AA591">
            <v>0</v>
          </cell>
          <cell r="AB591">
            <v>0</v>
          </cell>
          <cell r="AC591">
            <v>0</v>
          </cell>
          <cell r="AD591">
            <v>38</v>
          </cell>
          <cell r="AE591">
            <v>152000</v>
          </cell>
          <cell r="AF591">
            <v>0</v>
          </cell>
          <cell r="AI591">
            <v>2343</v>
          </cell>
          <cell r="AK591">
            <v>0</v>
          </cell>
          <cell r="AM591">
            <v>302</v>
          </cell>
          <cell r="AN591">
            <v>1</v>
          </cell>
          <cell r="AO591">
            <v>393216</v>
          </cell>
          <cell r="AQ591">
            <v>0</v>
          </cell>
          <cell r="AR591">
            <v>0</v>
          </cell>
          <cell r="AS591" t="str">
            <v>Ы</v>
          </cell>
          <cell r="AT591" t="str">
            <v>Ы</v>
          </cell>
          <cell r="AU591">
            <v>0</v>
          </cell>
          <cell r="AV591">
            <v>0</v>
          </cell>
          <cell r="AW591">
            <v>23</v>
          </cell>
          <cell r="AX591">
            <v>1</v>
          </cell>
          <cell r="AY591">
            <v>0</v>
          </cell>
          <cell r="AZ591">
            <v>0</v>
          </cell>
          <cell r="BA591">
            <v>0</v>
          </cell>
          <cell r="BB591">
            <v>0</v>
          </cell>
          <cell r="BC591">
            <v>38888</v>
          </cell>
        </row>
        <row r="592">
          <cell r="A592">
            <v>2006</v>
          </cell>
          <cell r="B592">
            <v>5</v>
          </cell>
          <cell r="C592">
            <v>151</v>
          </cell>
          <cell r="D592">
            <v>16</v>
          </cell>
          <cell r="E592">
            <v>792030</v>
          </cell>
          <cell r="F592">
            <v>0</v>
          </cell>
          <cell r="G592" t="str">
            <v>Затраты по ШПЗ (неосновные)</v>
          </cell>
          <cell r="H592">
            <v>2030</v>
          </cell>
          <cell r="I592">
            <v>7920</v>
          </cell>
          <cell r="J592">
            <v>366400</v>
          </cell>
          <cell r="K592">
            <v>1</v>
          </cell>
          <cell r="L592">
            <v>0</v>
          </cell>
          <cell r="M592">
            <v>0</v>
          </cell>
          <cell r="N592">
            <v>0</v>
          </cell>
          <cell r="R592">
            <v>0</v>
          </cell>
          <cell r="S592">
            <v>0</v>
          </cell>
          <cell r="T592">
            <v>0</v>
          </cell>
          <cell r="U592">
            <v>38</v>
          </cell>
          <cell r="V592">
            <v>0</v>
          </cell>
          <cell r="W592">
            <v>0</v>
          </cell>
          <cell r="AA592">
            <v>0</v>
          </cell>
          <cell r="AB592">
            <v>0</v>
          </cell>
          <cell r="AC592">
            <v>0</v>
          </cell>
          <cell r="AD592">
            <v>38</v>
          </cell>
          <cell r="AE592">
            <v>240000</v>
          </cell>
          <cell r="AF592">
            <v>0</v>
          </cell>
          <cell r="AI592">
            <v>2343</v>
          </cell>
          <cell r="AK592">
            <v>0</v>
          </cell>
          <cell r="AM592">
            <v>303</v>
          </cell>
          <cell r="AN592">
            <v>1</v>
          </cell>
          <cell r="AO592">
            <v>393216</v>
          </cell>
          <cell r="AQ592">
            <v>0</v>
          </cell>
          <cell r="AR592">
            <v>0</v>
          </cell>
          <cell r="AS592" t="str">
            <v>Ы</v>
          </cell>
          <cell r="AT592" t="str">
            <v>Ы</v>
          </cell>
          <cell r="AU592">
            <v>0</v>
          </cell>
          <cell r="AV592">
            <v>0</v>
          </cell>
          <cell r="AW592">
            <v>23</v>
          </cell>
          <cell r="AX592">
            <v>1</v>
          </cell>
          <cell r="AY592">
            <v>0</v>
          </cell>
          <cell r="AZ592">
            <v>0</v>
          </cell>
          <cell r="BA592">
            <v>0</v>
          </cell>
          <cell r="BB592">
            <v>0</v>
          </cell>
          <cell r="BC592">
            <v>38888</v>
          </cell>
        </row>
        <row r="593">
          <cell r="A593">
            <v>2006</v>
          </cell>
          <cell r="B593">
            <v>5</v>
          </cell>
          <cell r="C593">
            <v>152</v>
          </cell>
          <cell r="D593">
            <v>16</v>
          </cell>
          <cell r="E593">
            <v>792030</v>
          </cell>
          <cell r="F593">
            <v>0</v>
          </cell>
          <cell r="G593" t="str">
            <v>Затраты по ШПЗ (неосновные)</v>
          </cell>
          <cell r="H593">
            <v>2030</v>
          </cell>
          <cell r="I593">
            <v>7920</v>
          </cell>
          <cell r="J593">
            <v>10605.3</v>
          </cell>
          <cell r="K593">
            <v>1</v>
          </cell>
          <cell r="L593">
            <v>0</v>
          </cell>
          <cell r="M593">
            <v>0</v>
          </cell>
          <cell r="N593">
            <v>0</v>
          </cell>
          <cell r="R593">
            <v>0</v>
          </cell>
          <cell r="S593">
            <v>0</v>
          </cell>
          <cell r="T593">
            <v>0</v>
          </cell>
          <cell r="U593">
            <v>38</v>
          </cell>
          <cell r="V593">
            <v>0</v>
          </cell>
          <cell r="W593">
            <v>0</v>
          </cell>
          <cell r="AA593">
            <v>0</v>
          </cell>
          <cell r="AB593">
            <v>0</v>
          </cell>
          <cell r="AC593">
            <v>0</v>
          </cell>
          <cell r="AD593">
            <v>38</v>
          </cell>
          <cell r="AE593">
            <v>311000</v>
          </cell>
          <cell r="AF593">
            <v>0</v>
          </cell>
          <cell r="AI593">
            <v>2343</v>
          </cell>
          <cell r="AK593">
            <v>0</v>
          </cell>
          <cell r="AM593">
            <v>304</v>
          </cell>
          <cell r="AN593">
            <v>1</v>
          </cell>
          <cell r="AO593">
            <v>393216</v>
          </cell>
          <cell r="AQ593">
            <v>0</v>
          </cell>
          <cell r="AR593">
            <v>0</v>
          </cell>
          <cell r="AS593" t="str">
            <v>Ы</v>
          </cell>
          <cell r="AT593" t="str">
            <v>Ы</v>
          </cell>
          <cell r="AU593">
            <v>0</v>
          </cell>
          <cell r="AV593">
            <v>0</v>
          </cell>
          <cell r="AW593">
            <v>23</v>
          </cell>
          <cell r="AX593">
            <v>1</v>
          </cell>
          <cell r="AY593">
            <v>0</v>
          </cell>
          <cell r="AZ593">
            <v>0</v>
          </cell>
          <cell r="BA593">
            <v>0</v>
          </cell>
          <cell r="BB593">
            <v>0</v>
          </cell>
          <cell r="BC593">
            <v>38888</v>
          </cell>
        </row>
        <row r="594">
          <cell r="A594">
            <v>2006</v>
          </cell>
          <cell r="B594">
            <v>5</v>
          </cell>
          <cell r="C594">
            <v>153</v>
          </cell>
          <cell r="D594">
            <v>16</v>
          </cell>
          <cell r="E594">
            <v>792030</v>
          </cell>
          <cell r="F594">
            <v>0</v>
          </cell>
          <cell r="G594" t="str">
            <v>Затраты по ШПЗ (неосновные)</v>
          </cell>
          <cell r="H594">
            <v>2030</v>
          </cell>
          <cell r="I594">
            <v>7920</v>
          </cell>
          <cell r="J594">
            <v>21942.01</v>
          </cell>
          <cell r="K594">
            <v>1</v>
          </cell>
          <cell r="L594">
            <v>0</v>
          </cell>
          <cell r="M594">
            <v>0</v>
          </cell>
          <cell r="N594">
            <v>0</v>
          </cell>
          <cell r="R594">
            <v>0</v>
          </cell>
          <cell r="S594">
            <v>0</v>
          </cell>
          <cell r="T594">
            <v>0</v>
          </cell>
          <cell r="U594">
            <v>38</v>
          </cell>
          <cell r="V594">
            <v>0</v>
          </cell>
          <cell r="W594">
            <v>0</v>
          </cell>
          <cell r="AA594">
            <v>0</v>
          </cell>
          <cell r="AB594">
            <v>0</v>
          </cell>
          <cell r="AC594">
            <v>0</v>
          </cell>
          <cell r="AD594">
            <v>38</v>
          </cell>
          <cell r="AE594">
            <v>312000</v>
          </cell>
          <cell r="AF594">
            <v>0</v>
          </cell>
          <cell r="AI594">
            <v>2343</v>
          </cell>
          <cell r="AK594">
            <v>0</v>
          </cell>
          <cell r="AM594">
            <v>305</v>
          </cell>
          <cell r="AN594">
            <v>1</v>
          </cell>
          <cell r="AO594">
            <v>393216</v>
          </cell>
          <cell r="AQ594">
            <v>0</v>
          </cell>
          <cell r="AR594">
            <v>0</v>
          </cell>
          <cell r="AS594" t="str">
            <v>Ы</v>
          </cell>
          <cell r="AT594" t="str">
            <v>Ы</v>
          </cell>
          <cell r="AU594">
            <v>0</v>
          </cell>
          <cell r="AV594">
            <v>0</v>
          </cell>
          <cell r="AW594">
            <v>23</v>
          </cell>
          <cell r="AX594">
            <v>1</v>
          </cell>
          <cell r="AY594">
            <v>0</v>
          </cell>
          <cell r="AZ594">
            <v>0</v>
          </cell>
          <cell r="BA594">
            <v>0</v>
          </cell>
          <cell r="BB594">
            <v>0</v>
          </cell>
          <cell r="BC594">
            <v>38888</v>
          </cell>
        </row>
        <row r="595">
          <cell r="A595">
            <v>2006</v>
          </cell>
          <cell r="B595">
            <v>5</v>
          </cell>
          <cell r="C595">
            <v>154</v>
          </cell>
          <cell r="D595">
            <v>16</v>
          </cell>
          <cell r="E595">
            <v>792030</v>
          </cell>
          <cell r="F595">
            <v>0</v>
          </cell>
          <cell r="G595" t="str">
            <v>Затраты по ШПЗ (неосновные)</v>
          </cell>
          <cell r="H595">
            <v>2030</v>
          </cell>
          <cell r="I595">
            <v>7920</v>
          </cell>
          <cell r="J595">
            <v>3804</v>
          </cell>
          <cell r="K595">
            <v>1</v>
          </cell>
          <cell r="L595">
            <v>0</v>
          </cell>
          <cell r="M595">
            <v>0</v>
          </cell>
          <cell r="N595">
            <v>0</v>
          </cell>
          <cell r="R595">
            <v>0</v>
          </cell>
          <cell r="S595">
            <v>0</v>
          </cell>
          <cell r="T595">
            <v>0</v>
          </cell>
          <cell r="U595">
            <v>38</v>
          </cell>
          <cell r="V595">
            <v>0</v>
          </cell>
          <cell r="W595">
            <v>0</v>
          </cell>
          <cell r="AA595">
            <v>0</v>
          </cell>
          <cell r="AB595">
            <v>0</v>
          </cell>
          <cell r="AC595">
            <v>0</v>
          </cell>
          <cell r="AD595">
            <v>38</v>
          </cell>
          <cell r="AE595">
            <v>312100</v>
          </cell>
          <cell r="AF595">
            <v>0</v>
          </cell>
          <cell r="AI595">
            <v>2343</v>
          </cell>
          <cell r="AK595">
            <v>0</v>
          </cell>
          <cell r="AM595">
            <v>306</v>
          </cell>
          <cell r="AN595">
            <v>1</v>
          </cell>
          <cell r="AO595">
            <v>393216</v>
          </cell>
          <cell r="AQ595">
            <v>0</v>
          </cell>
          <cell r="AR595">
            <v>0</v>
          </cell>
          <cell r="AS595" t="str">
            <v>Ы</v>
          </cell>
          <cell r="AT595" t="str">
            <v>Ы</v>
          </cell>
          <cell r="AU595">
            <v>0</v>
          </cell>
          <cell r="AV595">
            <v>0</v>
          </cell>
          <cell r="AW595">
            <v>23</v>
          </cell>
          <cell r="AX595">
            <v>1</v>
          </cell>
          <cell r="AY595">
            <v>0</v>
          </cell>
          <cell r="AZ595">
            <v>0</v>
          </cell>
          <cell r="BA595">
            <v>0</v>
          </cell>
          <cell r="BB595">
            <v>0</v>
          </cell>
          <cell r="BC595">
            <v>38888</v>
          </cell>
        </row>
        <row r="596">
          <cell r="A596">
            <v>2006</v>
          </cell>
          <cell r="B596">
            <v>5</v>
          </cell>
          <cell r="C596">
            <v>155</v>
          </cell>
          <cell r="D596">
            <v>16</v>
          </cell>
          <cell r="E596">
            <v>792030</v>
          </cell>
          <cell r="F596">
            <v>0</v>
          </cell>
          <cell r="G596" t="str">
            <v>Затраты по ШПЗ (неосновные)</v>
          </cell>
          <cell r="H596">
            <v>2030</v>
          </cell>
          <cell r="I596">
            <v>7920</v>
          </cell>
          <cell r="J596">
            <v>47492</v>
          </cell>
          <cell r="K596">
            <v>1</v>
          </cell>
          <cell r="L596">
            <v>0</v>
          </cell>
          <cell r="M596">
            <v>0</v>
          </cell>
          <cell r="N596">
            <v>0</v>
          </cell>
          <cell r="R596">
            <v>0</v>
          </cell>
          <cell r="S596">
            <v>0</v>
          </cell>
          <cell r="T596">
            <v>0</v>
          </cell>
          <cell r="U596">
            <v>38</v>
          </cell>
          <cell r="V596">
            <v>0</v>
          </cell>
          <cell r="W596">
            <v>0</v>
          </cell>
          <cell r="AA596">
            <v>0</v>
          </cell>
          <cell r="AB596">
            <v>0</v>
          </cell>
          <cell r="AC596">
            <v>0</v>
          </cell>
          <cell r="AD596">
            <v>38</v>
          </cell>
          <cell r="AE596">
            <v>312200</v>
          </cell>
          <cell r="AF596">
            <v>0</v>
          </cell>
          <cell r="AI596">
            <v>2343</v>
          </cell>
          <cell r="AK596">
            <v>0</v>
          </cell>
          <cell r="AM596">
            <v>307</v>
          </cell>
          <cell r="AN596">
            <v>1</v>
          </cell>
          <cell r="AO596">
            <v>393216</v>
          </cell>
          <cell r="AQ596">
            <v>0</v>
          </cell>
          <cell r="AR596">
            <v>0</v>
          </cell>
          <cell r="AS596" t="str">
            <v>Ы</v>
          </cell>
          <cell r="AT596" t="str">
            <v>Ы</v>
          </cell>
          <cell r="AU596">
            <v>0</v>
          </cell>
          <cell r="AV596">
            <v>0</v>
          </cell>
          <cell r="AW596">
            <v>23</v>
          </cell>
          <cell r="AX596">
            <v>1</v>
          </cell>
          <cell r="AY596">
            <v>0</v>
          </cell>
          <cell r="AZ596">
            <v>0</v>
          </cell>
          <cell r="BA596">
            <v>0</v>
          </cell>
          <cell r="BB596">
            <v>0</v>
          </cell>
          <cell r="BC596">
            <v>38888</v>
          </cell>
        </row>
        <row r="597">
          <cell r="A597">
            <v>2006</v>
          </cell>
          <cell r="B597">
            <v>5</v>
          </cell>
          <cell r="C597">
            <v>156</v>
          </cell>
          <cell r="D597">
            <v>16</v>
          </cell>
          <cell r="E597">
            <v>792030</v>
          </cell>
          <cell r="F597">
            <v>0</v>
          </cell>
          <cell r="G597" t="str">
            <v>Затраты по ШПЗ (неосновные)</v>
          </cell>
          <cell r="H597">
            <v>2030</v>
          </cell>
          <cell r="I597">
            <v>7920</v>
          </cell>
          <cell r="J597">
            <v>4022.7</v>
          </cell>
          <cell r="K597">
            <v>1</v>
          </cell>
          <cell r="L597">
            <v>0</v>
          </cell>
          <cell r="M597">
            <v>0</v>
          </cell>
          <cell r="N597">
            <v>0</v>
          </cell>
          <cell r="R597">
            <v>0</v>
          </cell>
          <cell r="S597">
            <v>0</v>
          </cell>
          <cell r="T597">
            <v>0</v>
          </cell>
          <cell r="U597">
            <v>38</v>
          </cell>
          <cell r="V597">
            <v>0</v>
          </cell>
          <cell r="W597">
            <v>0</v>
          </cell>
          <cell r="AA597">
            <v>0</v>
          </cell>
          <cell r="AB597">
            <v>0</v>
          </cell>
          <cell r="AC597">
            <v>0</v>
          </cell>
          <cell r="AD597">
            <v>38</v>
          </cell>
          <cell r="AE597">
            <v>313000</v>
          </cell>
          <cell r="AF597">
            <v>0</v>
          </cell>
          <cell r="AI597">
            <v>2343</v>
          </cell>
          <cell r="AK597">
            <v>0</v>
          </cell>
          <cell r="AM597">
            <v>308</v>
          </cell>
          <cell r="AN597">
            <v>1</v>
          </cell>
          <cell r="AO597">
            <v>393216</v>
          </cell>
          <cell r="AQ597">
            <v>0</v>
          </cell>
          <cell r="AR597">
            <v>0</v>
          </cell>
          <cell r="AS597" t="str">
            <v>Ы</v>
          </cell>
          <cell r="AT597" t="str">
            <v>Ы</v>
          </cell>
          <cell r="AU597">
            <v>0</v>
          </cell>
          <cell r="AV597">
            <v>0</v>
          </cell>
          <cell r="AW597">
            <v>23</v>
          </cell>
          <cell r="AX597">
            <v>1</v>
          </cell>
          <cell r="AY597">
            <v>0</v>
          </cell>
          <cell r="AZ597">
            <v>0</v>
          </cell>
          <cell r="BA597">
            <v>0</v>
          </cell>
          <cell r="BB597">
            <v>0</v>
          </cell>
          <cell r="BC597">
            <v>38888</v>
          </cell>
        </row>
        <row r="598">
          <cell r="A598">
            <v>2006</v>
          </cell>
          <cell r="B598">
            <v>5</v>
          </cell>
          <cell r="C598">
            <v>157</v>
          </cell>
          <cell r="D598">
            <v>16</v>
          </cell>
          <cell r="E598">
            <v>792030</v>
          </cell>
          <cell r="F598">
            <v>0</v>
          </cell>
          <cell r="G598" t="str">
            <v>Затраты по ШПЗ (неосновные)</v>
          </cell>
          <cell r="H598">
            <v>2030</v>
          </cell>
          <cell r="I598">
            <v>7920</v>
          </cell>
          <cell r="J598">
            <v>7314.01</v>
          </cell>
          <cell r="K598">
            <v>1</v>
          </cell>
          <cell r="L598">
            <v>0</v>
          </cell>
          <cell r="M598">
            <v>0</v>
          </cell>
          <cell r="N598">
            <v>0</v>
          </cell>
          <cell r="R598">
            <v>0</v>
          </cell>
          <cell r="S598">
            <v>0</v>
          </cell>
          <cell r="T598">
            <v>0</v>
          </cell>
          <cell r="U598">
            <v>38</v>
          </cell>
          <cell r="V598">
            <v>0</v>
          </cell>
          <cell r="W598">
            <v>0</v>
          </cell>
          <cell r="AA598">
            <v>0</v>
          </cell>
          <cell r="AB598">
            <v>0</v>
          </cell>
          <cell r="AC598">
            <v>0</v>
          </cell>
          <cell r="AD598">
            <v>38</v>
          </cell>
          <cell r="AE598">
            <v>314000</v>
          </cell>
          <cell r="AF598">
            <v>0</v>
          </cell>
          <cell r="AI598">
            <v>2343</v>
          </cell>
          <cell r="AK598">
            <v>0</v>
          </cell>
          <cell r="AM598">
            <v>309</v>
          </cell>
          <cell r="AN598">
            <v>1</v>
          </cell>
          <cell r="AO598">
            <v>393216</v>
          </cell>
          <cell r="AQ598">
            <v>0</v>
          </cell>
          <cell r="AR598">
            <v>0</v>
          </cell>
          <cell r="AS598" t="str">
            <v>Ы</v>
          </cell>
          <cell r="AT598" t="str">
            <v>Ы</v>
          </cell>
          <cell r="AU598">
            <v>0</v>
          </cell>
          <cell r="AV598">
            <v>0</v>
          </cell>
          <cell r="AW598">
            <v>23</v>
          </cell>
          <cell r="AX598">
            <v>1</v>
          </cell>
          <cell r="AY598">
            <v>0</v>
          </cell>
          <cell r="AZ598">
            <v>0</v>
          </cell>
          <cell r="BA598">
            <v>0</v>
          </cell>
          <cell r="BB598">
            <v>0</v>
          </cell>
          <cell r="BC598">
            <v>38888</v>
          </cell>
        </row>
        <row r="599">
          <cell r="A599">
            <v>2006</v>
          </cell>
          <cell r="B599">
            <v>5</v>
          </cell>
          <cell r="C599">
            <v>158</v>
          </cell>
          <cell r="D599">
            <v>16</v>
          </cell>
          <cell r="E599">
            <v>792030</v>
          </cell>
          <cell r="F599">
            <v>0</v>
          </cell>
          <cell r="G599" t="str">
            <v>Затраты по ШПЗ (неосновные)</v>
          </cell>
          <cell r="H599">
            <v>2030</v>
          </cell>
          <cell r="I599">
            <v>7920</v>
          </cell>
          <cell r="J599">
            <v>1464.48</v>
          </cell>
          <cell r="K599">
            <v>1</v>
          </cell>
          <cell r="L599">
            <v>0</v>
          </cell>
          <cell r="M599">
            <v>0</v>
          </cell>
          <cell r="N599">
            <v>0</v>
          </cell>
          <cell r="R599">
            <v>0</v>
          </cell>
          <cell r="S599">
            <v>0</v>
          </cell>
          <cell r="T599">
            <v>0</v>
          </cell>
          <cell r="U599">
            <v>38</v>
          </cell>
          <cell r="V599">
            <v>0</v>
          </cell>
          <cell r="W599">
            <v>0</v>
          </cell>
          <cell r="AA599">
            <v>0</v>
          </cell>
          <cell r="AB599">
            <v>0</v>
          </cell>
          <cell r="AC599">
            <v>0</v>
          </cell>
          <cell r="AD599">
            <v>38</v>
          </cell>
          <cell r="AE599">
            <v>315000</v>
          </cell>
          <cell r="AF599">
            <v>0</v>
          </cell>
          <cell r="AI599">
            <v>2343</v>
          </cell>
          <cell r="AK599">
            <v>0</v>
          </cell>
          <cell r="AM599">
            <v>310</v>
          </cell>
          <cell r="AN599">
            <v>1</v>
          </cell>
          <cell r="AO599">
            <v>393216</v>
          </cell>
          <cell r="AQ599">
            <v>0</v>
          </cell>
          <cell r="AR599">
            <v>0</v>
          </cell>
          <cell r="AS599" t="str">
            <v>Ы</v>
          </cell>
          <cell r="AT599" t="str">
            <v>Ы</v>
          </cell>
          <cell r="AU599">
            <v>0</v>
          </cell>
          <cell r="AV599">
            <v>0</v>
          </cell>
          <cell r="AW599">
            <v>23</v>
          </cell>
          <cell r="AX599">
            <v>1</v>
          </cell>
          <cell r="AY599">
            <v>0</v>
          </cell>
          <cell r="AZ599">
            <v>0</v>
          </cell>
          <cell r="BA599">
            <v>0</v>
          </cell>
          <cell r="BB599">
            <v>0</v>
          </cell>
          <cell r="BC599">
            <v>38888</v>
          </cell>
        </row>
        <row r="600">
          <cell r="A600">
            <v>2006</v>
          </cell>
          <cell r="B600">
            <v>5</v>
          </cell>
          <cell r="C600">
            <v>159</v>
          </cell>
          <cell r="D600">
            <v>16</v>
          </cell>
          <cell r="E600">
            <v>792030</v>
          </cell>
          <cell r="F600">
            <v>0</v>
          </cell>
          <cell r="G600" t="str">
            <v>Затраты по ШПЗ (неосновные)</v>
          </cell>
          <cell r="H600">
            <v>2030</v>
          </cell>
          <cell r="I600">
            <v>7920</v>
          </cell>
          <cell r="J600">
            <v>1914.6</v>
          </cell>
          <cell r="K600">
            <v>1</v>
          </cell>
          <cell r="L600">
            <v>0</v>
          </cell>
          <cell r="M600">
            <v>0</v>
          </cell>
          <cell r="N600">
            <v>0</v>
          </cell>
          <cell r="R600">
            <v>0</v>
          </cell>
          <cell r="S600">
            <v>0</v>
          </cell>
          <cell r="T600">
            <v>0</v>
          </cell>
          <cell r="U600">
            <v>38</v>
          </cell>
          <cell r="V600">
            <v>0</v>
          </cell>
          <cell r="W600">
            <v>0</v>
          </cell>
          <cell r="AA600">
            <v>0</v>
          </cell>
          <cell r="AB600">
            <v>0</v>
          </cell>
          <cell r="AC600">
            <v>0</v>
          </cell>
          <cell r="AD600">
            <v>38</v>
          </cell>
          <cell r="AE600">
            <v>410000</v>
          </cell>
          <cell r="AF600">
            <v>0</v>
          </cell>
          <cell r="AI600">
            <v>2343</v>
          </cell>
          <cell r="AK600">
            <v>0</v>
          </cell>
          <cell r="AM600">
            <v>311</v>
          </cell>
          <cell r="AN600">
            <v>1</v>
          </cell>
          <cell r="AO600">
            <v>393216</v>
          </cell>
          <cell r="AQ600">
            <v>0</v>
          </cell>
          <cell r="AR600">
            <v>0</v>
          </cell>
          <cell r="AS600" t="str">
            <v>Ы</v>
          </cell>
          <cell r="AT600" t="str">
            <v>Ы</v>
          </cell>
          <cell r="AU600">
            <v>0</v>
          </cell>
          <cell r="AV600">
            <v>0</v>
          </cell>
          <cell r="AW600">
            <v>23</v>
          </cell>
          <cell r="AX600">
            <v>1</v>
          </cell>
          <cell r="AY600">
            <v>0</v>
          </cell>
          <cell r="AZ600">
            <v>0</v>
          </cell>
          <cell r="BA600">
            <v>0</v>
          </cell>
          <cell r="BB600">
            <v>0</v>
          </cell>
          <cell r="BC600">
            <v>38888</v>
          </cell>
        </row>
        <row r="601">
          <cell r="A601">
            <v>2006</v>
          </cell>
          <cell r="B601">
            <v>5</v>
          </cell>
          <cell r="C601">
            <v>160</v>
          </cell>
          <cell r="D601">
            <v>16</v>
          </cell>
          <cell r="E601">
            <v>792030</v>
          </cell>
          <cell r="F601">
            <v>0</v>
          </cell>
          <cell r="G601" t="str">
            <v>Затраты по ШПЗ (неосновные)</v>
          </cell>
          <cell r="H601">
            <v>2030</v>
          </cell>
          <cell r="I601">
            <v>7920</v>
          </cell>
          <cell r="J601">
            <v>8598.06</v>
          </cell>
          <cell r="K601">
            <v>1</v>
          </cell>
          <cell r="L601">
            <v>0</v>
          </cell>
          <cell r="M601">
            <v>0</v>
          </cell>
          <cell r="N601">
            <v>0</v>
          </cell>
          <cell r="R601">
            <v>0</v>
          </cell>
          <cell r="S601">
            <v>0</v>
          </cell>
          <cell r="T601">
            <v>0</v>
          </cell>
          <cell r="U601">
            <v>38</v>
          </cell>
          <cell r="V601">
            <v>0</v>
          </cell>
          <cell r="W601">
            <v>0</v>
          </cell>
          <cell r="AA601">
            <v>0</v>
          </cell>
          <cell r="AB601">
            <v>0</v>
          </cell>
          <cell r="AC601">
            <v>0</v>
          </cell>
          <cell r="AD601">
            <v>38</v>
          </cell>
          <cell r="AE601">
            <v>420000</v>
          </cell>
          <cell r="AF601">
            <v>0</v>
          </cell>
          <cell r="AI601">
            <v>2343</v>
          </cell>
          <cell r="AK601">
            <v>0</v>
          </cell>
          <cell r="AM601">
            <v>312</v>
          </cell>
          <cell r="AN601">
            <v>1</v>
          </cell>
          <cell r="AO601">
            <v>393216</v>
          </cell>
          <cell r="AQ601">
            <v>0</v>
          </cell>
          <cell r="AR601">
            <v>0</v>
          </cell>
          <cell r="AS601" t="str">
            <v>Ы</v>
          </cell>
          <cell r="AT601" t="str">
            <v>Ы</v>
          </cell>
          <cell r="AU601">
            <v>0</v>
          </cell>
          <cell r="AV601">
            <v>0</v>
          </cell>
          <cell r="AW601">
            <v>23</v>
          </cell>
          <cell r="AX601">
            <v>1</v>
          </cell>
          <cell r="AY601">
            <v>0</v>
          </cell>
          <cell r="AZ601">
            <v>0</v>
          </cell>
          <cell r="BA601">
            <v>0</v>
          </cell>
          <cell r="BB601">
            <v>0</v>
          </cell>
          <cell r="BC601">
            <v>38888</v>
          </cell>
        </row>
        <row r="602">
          <cell r="A602">
            <v>2006</v>
          </cell>
          <cell r="B602">
            <v>5</v>
          </cell>
          <cell r="C602">
            <v>161</v>
          </cell>
          <cell r="D602">
            <v>16</v>
          </cell>
          <cell r="E602">
            <v>792030</v>
          </cell>
          <cell r="F602">
            <v>0</v>
          </cell>
          <cell r="G602" t="str">
            <v>Затраты по ШПЗ (неосновные)</v>
          </cell>
          <cell r="H602">
            <v>2030</v>
          </cell>
          <cell r="I602">
            <v>7920</v>
          </cell>
          <cell r="J602">
            <v>3270.75</v>
          </cell>
          <cell r="K602">
            <v>1</v>
          </cell>
          <cell r="L602">
            <v>0</v>
          </cell>
          <cell r="M602">
            <v>0</v>
          </cell>
          <cell r="N602">
            <v>0</v>
          </cell>
          <cell r="R602">
            <v>0</v>
          </cell>
          <cell r="S602">
            <v>0</v>
          </cell>
          <cell r="T602">
            <v>0</v>
          </cell>
          <cell r="U602">
            <v>38</v>
          </cell>
          <cell r="V602">
            <v>0</v>
          </cell>
          <cell r="W602">
            <v>0</v>
          </cell>
          <cell r="AA602">
            <v>0</v>
          </cell>
          <cell r="AB602">
            <v>0</v>
          </cell>
          <cell r="AC602">
            <v>0</v>
          </cell>
          <cell r="AD602">
            <v>38</v>
          </cell>
          <cell r="AE602">
            <v>430000</v>
          </cell>
          <cell r="AF602">
            <v>0</v>
          </cell>
          <cell r="AI602">
            <v>2343</v>
          </cell>
          <cell r="AK602">
            <v>0</v>
          </cell>
          <cell r="AM602">
            <v>313</v>
          </cell>
          <cell r="AN602">
            <v>1</v>
          </cell>
          <cell r="AO602">
            <v>393216</v>
          </cell>
          <cell r="AQ602">
            <v>0</v>
          </cell>
          <cell r="AR602">
            <v>0</v>
          </cell>
          <cell r="AS602" t="str">
            <v>Ы</v>
          </cell>
          <cell r="AT602" t="str">
            <v>Ы</v>
          </cell>
          <cell r="AU602">
            <v>0</v>
          </cell>
          <cell r="AV602">
            <v>0</v>
          </cell>
          <cell r="AW602">
            <v>23</v>
          </cell>
          <cell r="AX602">
            <v>1</v>
          </cell>
          <cell r="AY602">
            <v>0</v>
          </cell>
          <cell r="AZ602">
            <v>0</v>
          </cell>
          <cell r="BA602">
            <v>0</v>
          </cell>
          <cell r="BB602">
            <v>0</v>
          </cell>
          <cell r="BC602">
            <v>38888</v>
          </cell>
        </row>
        <row r="603">
          <cell r="A603">
            <v>2006</v>
          </cell>
          <cell r="B603">
            <v>5</v>
          </cell>
          <cell r="C603">
            <v>162</v>
          </cell>
          <cell r="D603">
            <v>16</v>
          </cell>
          <cell r="E603">
            <v>792030</v>
          </cell>
          <cell r="F603">
            <v>0</v>
          </cell>
          <cell r="G603" t="str">
            <v>Затраты по ШПЗ (неосновные)</v>
          </cell>
          <cell r="H603">
            <v>2030</v>
          </cell>
          <cell r="I603">
            <v>7920</v>
          </cell>
          <cell r="J603">
            <v>630.34</v>
          </cell>
          <cell r="K603">
            <v>1</v>
          </cell>
          <cell r="L603">
            <v>0</v>
          </cell>
          <cell r="M603">
            <v>0</v>
          </cell>
          <cell r="N603">
            <v>0</v>
          </cell>
          <cell r="R603">
            <v>0</v>
          </cell>
          <cell r="S603">
            <v>0</v>
          </cell>
          <cell r="T603">
            <v>0</v>
          </cell>
          <cell r="U603">
            <v>38</v>
          </cell>
          <cell r="V603">
            <v>0</v>
          </cell>
          <cell r="W603">
            <v>0</v>
          </cell>
          <cell r="AA603">
            <v>0</v>
          </cell>
          <cell r="AB603">
            <v>0</v>
          </cell>
          <cell r="AC603">
            <v>0</v>
          </cell>
          <cell r="AD603">
            <v>38</v>
          </cell>
          <cell r="AE603">
            <v>450000</v>
          </cell>
          <cell r="AF603">
            <v>0</v>
          </cell>
          <cell r="AI603">
            <v>2343</v>
          </cell>
          <cell r="AK603">
            <v>0</v>
          </cell>
          <cell r="AM603">
            <v>314</v>
          </cell>
          <cell r="AN603">
            <v>1</v>
          </cell>
          <cell r="AO603">
            <v>393216</v>
          </cell>
          <cell r="AQ603">
            <v>0</v>
          </cell>
          <cell r="AR603">
            <v>0</v>
          </cell>
          <cell r="AS603" t="str">
            <v>Ы</v>
          </cell>
          <cell r="AT603" t="str">
            <v>Ы</v>
          </cell>
          <cell r="AU603">
            <v>0</v>
          </cell>
          <cell r="AV603">
            <v>0</v>
          </cell>
          <cell r="AW603">
            <v>23</v>
          </cell>
          <cell r="AX603">
            <v>1</v>
          </cell>
          <cell r="AY603">
            <v>0</v>
          </cell>
          <cell r="AZ603">
            <v>0</v>
          </cell>
          <cell r="BA603">
            <v>0</v>
          </cell>
          <cell r="BB603">
            <v>0</v>
          </cell>
          <cell r="BC603">
            <v>38888</v>
          </cell>
        </row>
        <row r="604">
          <cell r="A604">
            <v>2006</v>
          </cell>
          <cell r="B604">
            <v>5</v>
          </cell>
          <cell r="C604">
            <v>163</v>
          </cell>
          <cell r="D604">
            <v>16</v>
          </cell>
          <cell r="E604">
            <v>792030</v>
          </cell>
          <cell r="F604">
            <v>0</v>
          </cell>
          <cell r="G604" t="str">
            <v>Затраты по ШПЗ (неосновные)</v>
          </cell>
          <cell r="H604">
            <v>2030</v>
          </cell>
          <cell r="I604">
            <v>7920</v>
          </cell>
          <cell r="J604">
            <v>44.05</v>
          </cell>
          <cell r="K604">
            <v>1</v>
          </cell>
          <cell r="L604">
            <v>0</v>
          </cell>
          <cell r="M604">
            <v>0</v>
          </cell>
          <cell r="N604">
            <v>0</v>
          </cell>
          <cell r="R604">
            <v>0</v>
          </cell>
          <cell r="S604">
            <v>0</v>
          </cell>
          <cell r="T604">
            <v>0</v>
          </cell>
          <cell r="U604">
            <v>38</v>
          </cell>
          <cell r="V604">
            <v>0</v>
          </cell>
          <cell r="W604">
            <v>0</v>
          </cell>
          <cell r="AA604">
            <v>0</v>
          </cell>
          <cell r="AB604">
            <v>0</v>
          </cell>
          <cell r="AC604">
            <v>0</v>
          </cell>
          <cell r="AD604">
            <v>38</v>
          </cell>
          <cell r="AE604">
            <v>460000</v>
          </cell>
          <cell r="AF604">
            <v>0</v>
          </cell>
          <cell r="AI604">
            <v>2343</v>
          </cell>
          <cell r="AK604">
            <v>0</v>
          </cell>
          <cell r="AM604">
            <v>315</v>
          </cell>
          <cell r="AN604">
            <v>1</v>
          </cell>
          <cell r="AO604">
            <v>393216</v>
          </cell>
          <cell r="AQ604">
            <v>0</v>
          </cell>
          <cell r="AR604">
            <v>0</v>
          </cell>
          <cell r="AS604" t="str">
            <v>Ы</v>
          </cell>
          <cell r="AT604" t="str">
            <v>Ы</v>
          </cell>
          <cell r="AU604">
            <v>0</v>
          </cell>
          <cell r="AV604">
            <v>0</v>
          </cell>
          <cell r="AW604">
            <v>23</v>
          </cell>
          <cell r="AX604">
            <v>1</v>
          </cell>
          <cell r="AY604">
            <v>0</v>
          </cell>
          <cell r="AZ604">
            <v>0</v>
          </cell>
          <cell r="BA604">
            <v>0</v>
          </cell>
          <cell r="BB604">
            <v>0</v>
          </cell>
          <cell r="BC604">
            <v>38888</v>
          </cell>
        </row>
        <row r="605">
          <cell r="A605">
            <v>2006</v>
          </cell>
          <cell r="B605">
            <v>5</v>
          </cell>
          <cell r="C605">
            <v>164</v>
          </cell>
          <cell r="D605">
            <v>16</v>
          </cell>
          <cell r="E605">
            <v>792030</v>
          </cell>
          <cell r="F605">
            <v>0</v>
          </cell>
          <cell r="G605" t="str">
            <v>Затраты по ШПЗ (неосновные)</v>
          </cell>
          <cell r="H605">
            <v>2030</v>
          </cell>
          <cell r="I605">
            <v>7920</v>
          </cell>
          <cell r="J605">
            <v>10.32</v>
          </cell>
          <cell r="K605">
            <v>1</v>
          </cell>
          <cell r="L605">
            <v>0</v>
          </cell>
          <cell r="M605">
            <v>0</v>
          </cell>
          <cell r="N605">
            <v>0</v>
          </cell>
          <cell r="R605">
            <v>0</v>
          </cell>
          <cell r="S605">
            <v>0</v>
          </cell>
          <cell r="T605">
            <v>0</v>
          </cell>
          <cell r="U605">
            <v>38</v>
          </cell>
          <cell r="V605">
            <v>0</v>
          </cell>
          <cell r="W605">
            <v>0</v>
          </cell>
          <cell r="AA605">
            <v>0</v>
          </cell>
          <cell r="AB605">
            <v>0</v>
          </cell>
          <cell r="AC605">
            <v>0</v>
          </cell>
          <cell r="AD605">
            <v>38</v>
          </cell>
          <cell r="AE605">
            <v>465000</v>
          </cell>
          <cell r="AF605">
            <v>0</v>
          </cell>
          <cell r="AI605">
            <v>2343</v>
          </cell>
          <cell r="AK605">
            <v>0</v>
          </cell>
          <cell r="AM605">
            <v>316</v>
          </cell>
          <cell r="AN605">
            <v>1</v>
          </cell>
          <cell r="AO605">
            <v>393216</v>
          </cell>
          <cell r="AQ605">
            <v>0</v>
          </cell>
          <cell r="AR605">
            <v>0</v>
          </cell>
          <cell r="AS605" t="str">
            <v>Ы</v>
          </cell>
          <cell r="AT605" t="str">
            <v>Ы</v>
          </cell>
          <cell r="AU605">
            <v>0</v>
          </cell>
          <cell r="AV605">
            <v>0</v>
          </cell>
          <cell r="AW605">
            <v>23</v>
          </cell>
          <cell r="AX605">
            <v>1</v>
          </cell>
          <cell r="AY605">
            <v>0</v>
          </cell>
          <cell r="AZ605">
            <v>0</v>
          </cell>
          <cell r="BA605">
            <v>0</v>
          </cell>
          <cell r="BB605">
            <v>0</v>
          </cell>
          <cell r="BC605">
            <v>38888</v>
          </cell>
        </row>
        <row r="606">
          <cell r="A606">
            <v>2006</v>
          </cell>
          <cell r="B606">
            <v>5</v>
          </cell>
          <cell r="C606">
            <v>165</v>
          </cell>
          <cell r="D606">
            <v>16</v>
          </cell>
          <cell r="E606">
            <v>792030</v>
          </cell>
          <cell r="F606">
            <v>0</v>
          </cell>
          <cell r="G606" t="str">
            <v>Затраты по ШПЗ (неосновные)</v>
          </cell>
          <cell r="H606">
            <v>2030</v>
          </cell>
          <cell r="I606">
            <v>7920</v>
          </cell>
          <cell r="J606">
            <v>1382.34</v>
          </cell>
          <cell r="K606">
            <v>1</v>
          </cell>
          <cell r="L606">
            <v>0</v>
          </cell>
          <cell r="M606">
            <v>0</v>
          </cell>
          <cell r="N606">
            <v>0</v>
          </cell>
          <cell r="R606">
            <v>0</v>
          </cell>
          <cell r="S606">
            <v>0</v>
          </cell>
          <cell r="T606">
            <v>0</v>
          </cell>
          <cell r="U606">
            <v>38</v>
          </cell>
          <cell r="V606">
            <v>0</v>
          </cell>
          <cell r="W606">
            <v>0</v>
          </cell>
          <cell r="AA606">
            <v>0</v>
          </cell>
          <cell r="AB606">
            <v>0</v>
          </cell>
          <cell r="AC606">
            <v>0</v>
          </cell>
          <cell r="AD606">
            <v>38</v>
          </cell>
          <cell r="AE606">
            <v>501102</v>
          </cell>
          <cell r="AF606">
            <v>0</v>
          </cell>
          <cell r="AI606">
            <v>2343</v>
          </cell>
          <cell r="AK606">
            <v>0</v>
          </cell>
          <cell r="AM606">
            <v>317</v>
          </cell>
          <cell r="AN606">
            <v>1</v>
          </cell>
          <cell r="AO606">
            <v>393216</v>
          </cell>
          <cell r="AQ606">
            <v>0</v>
          </cell>
          <cell r="AR606">
            <v>0</v>
          </cell>
          <cell r="AS606" t="str">
            <v>Ы</v>
          </cell>
          <cell r="AT606" t="str">
            <v>Ы</v>
          </cell>
          <cell r="AU606">
            <v>0</v>
          </cell>
          <cell r="AV606">
            <v>0</v>
          </cell>
          <cell r="AW606">
            <v>23</v>
          </cell>
          <cell r="AX606">
            <v>1</v>
          </cell>
          <cell r="AY606">
            <v>0</v>
          </cell>
          <cell r="AZ606">
            <v>0</v>
          </cell>
          <cell r="BA606">
            <v>0</v>
          </cell>
          <cell r="BB606">
            <v>0</v>
          </cell>
          <cell r="BC606">
            <v>38888</v>
          </cell>
        </row>
        <row r="607">
          <cell r="A607">
            <v>2006</v>
          </cell>
          <cell r="B607">
            <v>5</v>
          </cell>
          <cell r="C607">
            <v>166</v>
          </cell>
          <cell r="D607">
            <v>16</v>
          </cell>
          <cell r="E607">
            <v>792030</v>
          </cell>
          <cell r="F607">
            <v>0</v>
          </cell>
          <cell r="G607" t="str">
            <v>Затраты по ШПЗ (неосновные)</v>
          </cell>
          <cell r="H607">
            <v>2030</v>
          </cell>
          <cell r="I607">
            <v>7920</v>
          </cell>
          <cell r="J607">
            <v>3224.52</v>
          </cell>
          <cell r="K607">
            <v>1</v>
          </cell>
          <cell r="L607">
            <v>0</v>
          </cell>
          <cell r="M607">
            <v>0</v>
          </cell>
          <cell r="N607">
            <v>0</v>
          </cell>
          <cell r="R607">
            <v>0</v>
          </cell>
          <cell r="S607">
            <v>0</v>
          </cell>
          <cell r="T607">
            <v>0</v>
          </cell>
          <cell r="U607">
            <v>38</v>
          </cell>
          <cell r="V607">
            <v>0</v>
          </cell>
          <cell r="W607">
            <v>0</v>
          </cell>
          <cell r="AA607">
            <v>0</v>
          </cell>
          <cell r="AB607">
            <v>0</v>
          </cell>
          <cell r="AC607">
            <v>0</v>
          </cell>
          <cell r="AD607">
            <v>38</v>
          </cell>
          <cell r="AE607">
            <v>501103</v>
          </cell>
          <cell r="AF607">
            <v>0</v>
          </cell>
          <cell r="AI607">
            <v>2343</v>
          </cell>
          <cell r="AK607">
            <v>0</v>
          </cell>
          <cell r="AM607">
            <v>318</v>
          </cell>
          <cell r="AN607">
            <v>1</v>
          </cell>
          <cell r="AO607">
            <v>393216</v>
          </cell>
          <cell r="AQ607">
            <v>0</v>
          </cell>
          <cell r="AR607">
            <v>0</v>
          </cell>
          <cell r="AS607" t="str">
            <v>Ы</v>
          </cell>
          <cell r="AT607" t="str">
            <v>Ы</v>
          </cell>
          <cell r="AU607">
            <v>0</v>
          </cell>
          <cell r="AV607">
            <v>0</v>
          </cell>
          <cell r="AW607">
            <v>23</v>
          </cell>
          <cell r="AX607">
            <v>1</v>
          </cell>
          <cell r="AY607">
            <v>0</v>
          </cell>
          <cell r="AZ607">
            <v>0</v>
          </cell>
          <cell r="BA607">
            <v>0</v>
          </cell>
          <cell r="BB607">
            <v>0</v>
          </cell>
          <cell r="BC607">
            <v>38888</v>
          </cell>
        </row>
        <row r="608">
          <cell r="A608">
            <v>2006</v>
          </cell>
          <cell r="B608">
            <v>5</v>
          </cell>
          <cell r="C608">
            <v>167</v>
          </cell>
          <cell r="D608">
            <v>16</v>
          </cell>
          <cell r="E608">
            <v>792030</v>
          </cell>
          <cell r="F608">
            <v>0</v>
          </cell>
          <cell r="G608" t="str">
            <v>Затраты по ШПЗ (неосновные)</v>
          </cell>
          <cell r="H608">
            <v>2030</v>
          </cell>
          <cell r="I608">
            <v>7920</v>
          </cell>
          <cell r="J608">
            <v>1.3</v>
          </cell>
          <cell r="K608">
            <v>1</v>
          </cell>
          <cell r="L608">
            <v>0</v>
          </cell>
          <cell r="M608">
            <v>0</v>
          </cell>
          <cell r="N608">
            <v>0</v>
          </cell>
          <cell r="R608">
            <v>0</v>
          </cell>
          <cell r="S608">
            <v>0</v>
          </cell>
          <cell r="T608">
            <v>0</v>
          </cell>
          <cell r="U608">
            <v>38</v>
          </cell>
          <cell r="V608">
            <v>0</v>
          </cell>
          <cell r="W608">
            <v>0</v>
          </cell>
          <cell r="AA608">
            <v>0</v>
          </cell>
          <cell r="AB608">
            <v>0</v>
          </cell>
          <cell r="AC608">
            <v>0</v>
          </cell>
          <cell r="AD608">
            <v>38</v>
          </cell>
          <cell r="AE608">
            <v>501105</v>
          </cell>
          <cell r="AF608">
            <v>0</v>
          </cell>
          <cell r="AI608">
            <v>2343</v>
          </cell>
          <cell r="AK608">
            <v>0</v>
          </cell>
          <cell r="AM608">
            <v>319</v>
          </cell>
          <cell r="AN608">
            <v>1</v>
          </cell>
          <cell r="AO608">
            <v>393216</v>
          </cell>
          <cell r="AQ608">
            <v>0</v>
          </cell>
          <cell r="AR608">
            <v>0</v>
          </cell>
          <cell r="AS608" t="str">
            <v>Ы</v>
          </cell>
          <cell r="AT608" t="str">
            <v>Ы</v>
          </cell>
          <cell r="AU608">
            <v>0</v>
          </cell>
          <cell r="AV608">
            <v>0</v>
          </cell>
          <cell r="AW608">
            <v>23</v>
          </cell>
          <cell r="AX608">
            <v>1</v>
          </cell>
          <cell r="AY608">
            <v>0</v>
          </cell>
          <cell r="AZ608">
            <v>0</v>
          </cell>
          <cell r="BA608">
            <v>0</v>
          </cell>
          <cell r="BB608">
            <v>0</v>
          </cell>
          <cell r="BC608">
            <v>38888</v>
          </cell>
        </row>
        <row r="609">
          <cell r="A609">
            <v>2006</v>
          </cell>
          <cell r="B609">
            <v>5</v>
          </cell>
          <cell r="C609">
            <v>168</v>
          </cell>
          <cell r="D609">
            <v>16</v>
          </cell>
          <cell r="E609">
            <v>792030</v>
          </cell>
          <cell r="F609">
            <v>0</v>
          </cell>
          <cell r="G609" t="str">
            <v>Затраты по ШПЗ (неосновные)</v>
          </cell>
          <cell r="H609">
            <v>2030</v>
          </cell>
          <cell r="I609">
            <v>7920</v>
          </cell>
          <cell r="J609">
            <v>14168.96</v>
          </cell>
          <cell r="K609">
            <v>1</v>
          </cell>
          <cell r="L609">
            <v>0</v>
          </cell>
          <cell r="M609">
            <v>0</v>
          </cell>
          <cell r="N609">
            <v>0</v>
          </cell>
          <cell r="R609">
            <v>0</v>
          </cell>
          <cell r="S609">
            <v>0</v>
          </cell>
          <cell r="T609">
            <v>0</v>
          </cell>
          <cell r="U609">
            <v>38</v>
          </cell>
          <cell r="V609">
            <v>0</v>
          </cell>
          <cell r="W609">
            <v>0</v>
          </cell>
          <cell r="AA609">
            <v>0</v>
          </cell>
          <cell r="AB609">
            <v>0</v>
          </cell>
          <cell r="AC609">
            <v>0</v>
          </cell>
          <cell r="AD609">
            <v>38</v>
          </cell>
          <cell r="AE609">
            <v>503000</v>
          </cell>
          <cell r="AF609">
            <v>0</v>
          </cell>
          <cell r="AI609">
            <v>2343</v>
          </cell>
          <cell r="AK609">
            <v>0</v>
          </cell>
          <cell r="AM609">
            <v>320</v>
          </cell>
          <cell r="AN609">
            <v>1</v>
          </cell>
          <cell r="AO609">
            <v>393216</v>
          </cell>
          <cell r="AQ609">
            <v>0</v>
          </cell>
          <cell r="AR609">
            <v>0</v>
          </cell>
          <cell r="AS609" t="str">
            <v>Ы</v>
          </cell>
          <cell r="AT609" t="str">
            <v>Ы</v>
          </cell>
          <cell r="AU609">
            <v>0</v>
          </cell>
          <cell r="AV609">
            <v>0</v>
          </cell>
          <cell r="AW609">
            <v>23</v>
          </cell>
          <cell r="AX609">
            <v>1</v>
          </cell>
          <cell r="AY609">
            <v>0</v>
          </cell>
          <cell r="AZ609">
            <v>0</v>
          </cell>
          <cell r="BA609">
            <v>0</v>
          </cell>
          <cell r="BB609">
            <v>0</v>
          </cell>
          <cell r="BC609">
            <v>38888</v>
          </cell>
        </row>
        <row r="610">
          <cell r="A610">
            <v>2006</v>
          </cell>
          <cell r="B610">
            <v>5</v>
          </cell>
          <cell r="C610">
            <v>169</v>
          </cell>
          <cell r="D610">
            <v>16</v>
          </cell>
          <cell r="E610">
            <v>792030</v>
          </cell>
          <cell r="F610">
            <v>0</v>
          </cell>
          <cell r="G610" t="str">
            <v>Затраты по ШПЗ (неосновные)</v>
          </cell>
          <cell r="H610">
            <v>2030</v>
          </cell>
          <cell r="I610">
            <v>7920</v>
          </cell>
          <cell r="J610">
            <v>442.25</v>
          </cell>
          <cell r="K610">
            <v>1</v>
          </cell>
          <cell r="L610">
            <v>0</v>
          </cell>
          <cell r="M610">
            <v>0</v>
          </cell>
          <cell r="N610">
            <v>0</v>
          </cell>
          <cell r="R610">
            <v>0</v>
          </cell>
          <cell r="S610">
            <v>0</v>
          </cell>
          <cell r="T610">
            <v>0</v>
          </cell>
          <cell r="U610">
            <v>38</v>
          </cell>
          <cell r="V610">
            <v>0</v>
          </cell>
          <cell r="W610">
            <v>0</v>
          </cell>
          <cell r="AA610">
            <v>0</v>
          </cell>
          <cell r="AB610">
            <v>0</v>
          </cell>
          <cell r="AC610">
            <v>0</v>
          </cell>
          <cell r="AD610">
            <v>38</v>
          </cell>
          <cell r="AE610">
            <v>504100</v>
          </cell>
          <cell r="AF610">
            <v>0</v>
          </cell>
          <cell r="AI610">
            <v>2343</v>
          </cell>
          <cell r="AK610">
            <v>0</v>
          </cell>
          <cell r="AM610">
            <v>321</v>
          </cell>
          <cell r="AN610">
            <v>1</v>
          </cell>
          <cell r="AO610">
            <v>393216</v>
          </cell>
          <cell r="AQ610">
            <v>0</v>
          </cell>
          <cell r="AR610">
            <v>0</v>
          </cell>
          <cell r="AS610" t="str">
            <v>Ы</v>
          </cell>
          <cell r="AT610" t="str">
            <v>Ы</v>
          </cell>
          <cell r="AU610">
            <v>0</v>
          </cell>
          <cell r="AV610">
            <v>0</v>
          </cell>
          <cell r="AW610">
            <v>23</v>
          </cell>
          <cell r="AX610">
            <v>1</v>
          </cell>
          <cell r="AY610">
            <v>0</v>
          </cell>
          <cell r="AZ610">
            <v>0</v>
          </cell>
          <cell r="BA610">
            <v>0</v>
          </cell>
          <cell r="BB610">
            <v>0</v>
          </cell>
          <cell r="BC610">
            <v>38888</v>
          </cell>
        </row>
        <row r="611">
          <cell r="A611">
            <v>2006</v>
          </cell>
          <cell r="B611">
            <v>5</v>
          </cell>
          <cell r="C611">
            <v>170</v>
          </cell>
          <cell r="D611">
            <v>16</v>
          </cell>
          <cell r="E611">
            <v>792030</v>
          </cell>
          <cell r="F611">
            <v>0</v>
          </cell>
          <cell r="G611" t="str">
            <v>Затраты по ШПЗ (неосновные)</v>
          </cell>
          <cell r="H611">
            <v>2030</v>
          </cell>
          <cell r="I611">
            <v>7920</v>
          </cell>
          <cell r="J611">
            <v>1104.51</v>
          </cell>
          <cell r="K611">
            <v>1</v>
          </cell>
          <cell r="L611">
            <v>0</v>
          </cell>
          <cell r="M611">
            <v>0</v>
          </cell>
          <cell r="N611">
            <v>0</v>
          </cell>
          <cell r="R611">
            <v>0</v>
          </cell>
          <cell r="S611">
            <v>0</v>
          </cell>
          <cell r="T611">
            <v>0</v>
          </cell>
          <cell r="U611">
            <v>38</v>
          </cell>
          <cell r="V611">
            <v>0</v>
          </cell>
          <cell r="W611">
            <v>0</v>
          </cell>
          <cell r="AA611">
            <v>0</v>
          </cell>
          <cell r="AB611">
            <v>0</v>
          </cell>
          <cell r="AC611">
            <v>0</v>
          </cell>
          <cell r="AD611">
            <v>38</v>
          </cell>
          <cell r="AE611">
            <v>504200</v>
          </cell>
          <cell r="AF611">
            <v>0</v>
          </cell>
          <cell r="AI611">
            <v>2343</v>
          </cell>
          <cell r="AK611">
            <v>0</v>
          </cell>
          <cell r="AM611">
            <v>322</v>
          </cell>
          <cell r="AN611">
            <v>1</v>
          </cell>
          <cell r="AO611">
            <v>393216</v>
          </cell>
          <cell r="AQ611">
            <v>0</v>
          </cell>
          <cell r="AR611">
            <v>0</v>
          </cell>
          <cell r="AS611" t="str">
            <v>Ы</v>
          </cell>
          <cell r="AT611" t="str">
            <v>Ы</v>
          </cell>
          <cell r="AU611">
            <v>0</v>
          </cell>
          <cell r="AV611">
            <v>0</v>
          </cell>
          <cell r="AW611">
            <v>23</v>
          </cell>
          <cell r="AX611">
            <v>1</v>
          </cell>
          <cell r="AY611">
            <v>0</v>
          </cell>
          <cell r="AZ611">
            <v>0</v>
          </cell>
          <cell r="BA611">
            <v>0</v>
          </cell>
          <cell r="BB611">
            <v>0</v>
          </cell>
          <cell r="BC611">
            <v>38888</v>
          </cell>
        </row>
        <row r="612">
          <cell r="A612">
            <v>2006</v>
          </cell>
          <cell r="B612">
            <v>5</v>
          </cell>
          <cell r="C612">
            <v>171</v>
          </cell>
          <cell r="D612">
            <v>16</v>
          </cell>
          <cell r="E612">
            <v>792030</v>
          </cell>
          <cell r="F612">
            <v>0</v>
          </cell>
          <cell r="G612" t="str">
            <v>Затраты по ШПЗ (неосновные)</v>
          </cell>
          <cell r="H612">
            <v>2030</v>
          </cell>
          <cell r="I612">
            <v>7920</v>
          </cell>
          <cell r="J612">
            <v>448.11</v>
          </cell>
          <cell r="K612">
            <v>1</v>
          </cell>
          <cell r="L612">
            <v>0</v>
          </cell>
          <cell r="M612">
            <v>0</v>
          </cell>
          <cell r="N612">
            <v>0</v>
          </cell>
          <cell r="R612">
            <v>0</v>
          </cell>
          <cell r="S612">
            <v>0</v>
          </cell>
          <cell r="T612">
            <v>0</v>
          </cell>
          <cell r="U612">
            <v>38</v>
          </cell>
          <cell r="V612">
            <v>0</v>
          </cell>
          <cell r="W612">
            <v>0</v>
          </cell>
          <cell r="AA612">
            <v>0</v>
          </cell>
          <cell r="AB612">
            <v>0</v>
          </cell>
          <cell r="AC612">
            <v>0</v>
          </cell>
          <cell r="AD612">
            <v>38</v>
          </cell>
          <cell r="AE612">
            <v>504400</v>
          </cell>
          <cell r="AF612">
            <v>0</v>
          </cell>
          <cell r="AI612">
            <v>2343</v>
          </cell>
          <cell r="AK612">
            <v>0</v>
          </cell>
          <cell r="AM612">
            <v>323</v>
          </cell>
          <cell r="AN612">
            <v>1</v>
          </cell>
          <cell r="AO612">
            <v>393216</v>
          </cell>
          <cell r="AQ612">
            <v>0</v>
          </cell>
          <cell r="AR612">
            <v>0</v>
          </cell>
          <cell r="AS612" t="str">
            <v>Ы</v>
          </cell>
          <cell r="AT612" t="str">
            <v>Ы</v>
          </cell>
          <cell r="AU612">
            <v>0</v>
          </cell>
          <cell r="AV612">
            <v>0</v>
          </cell>
          <cell r="AW612">
            <v>23</v>
          </cell>
          <cell r="AX612">
            <v>1</v>
          </cell>
          <cell r="AY612">
            <v>0</v>
          </cell>
          <cell r="AZ612">
            <v>0</v>
          </cell>
          <cell r="BA612">
            <v>0</v>
          </cell>
          <cell r="BB612">
            <v>0</v>
          </cell>
          <cell r="BC612">
            <v>38888</v>
          </cell>
        </row>
        <row r="613">
          <cell r="A613">
            <v>2006</v>
          </cell>
          <cell r="B613">
            <v>5</v>
          </cell>
          <cell r="C613">
            <v>172</v>
          </cell>
          <cell r="D613">
            <v>16</v>
          </cell>
          <cell r="E613">
            <v>792030</v>
          </cell>
          <cell r="F613">
            <v>0</v>
          </cell>
          <cell r="G613" t="str">
            <v>Затраты по ШПЗ (неосновные)</v>
          </cell>
          <cell r="H613">
            <v>2030</v>
          </cell>
          <cell r="I613">
            <v>7920</v>
          </cell>
          <cell r="J613">
            <v>1204.0999999999999</v>
          </cell>
          <cell r="K613">
            <v>1</v>
          </cell>
          <cell r="L613">
            <v>0</v>
          </cell>
          <cell r="M613">
            <v>0</v>
          </cell>
          <cell r="N613">
            <v>0</v>
          </cell>
          <cell r="R613">
            <v>0</v>
          </cell>
          <cell r="S613">
            <v>0</v>
          </cell>
          <cell r="T613">
            <v>0</v>
          </cell>
          <cell r="U613">
            <v>38</v>
          </cell>
          <cell r="V613">
            <v>0</v>
          </cell>
          <cell r="W613">
            <v>0</v>
          </cell>
          <cell r="AA613">
            <v>0</v>
          </cell>
          <cell r="AB613">
            <v>0</v>
          </cell>
          <cell r="AC613">
            <v>0</v>
          </cell>
          <cell r="AD613">
            <v>38</v>
          </cell>
          <cell r="AE613">
            <v>505100</v>
          </cell>
          <cell r="AF613">
            <v>0</v>
          </cell>
          <cell r="AI613">
            <v>2343</v>
          </cell>
          <cell r="AK613">
            <v>0</v>
          </cell>
          <cell r="AM613">
            <v>324</v>
          </cell>
          <cell r="AN613">
            <v>1</v>
          </cell>
          <cell r="AO613">
            <v>393216</v>
          </cell>
          <cell r="AQ613">
            <v>0</v>
          </cell>
          <cell r="AR613">
            <v>0</v>
          </cell>
          <cell r="AS613" t="str">
            <v>Ы</v>
          </cell>
          <cell r="AT613" t="str">
            <v>Ы</v>
          </cell>
          <cell r="AU613">
            <v>0</v>
          </cell>
          <cell r="AV613">
            <v>0</v>
          </cell>
          <cell r="AW613">
            <v>23</v>
          </cell>
          <cell r="AX613">
            <v>1</v>
          </cell>
          <cell r="AY613">
            <v>0</v>
          </cell>
          <cell r="AZ613">
            <v>0</v>
          </cell>
          <cell r="BA613">
            <v>0</v>
          </cell>
          <cell r="BB613">
            <v>0</v>
          </cell>
          <cell r="BC613">
            <v>38888</v>
          </cell>
        </row>
        <row r="614">
          <cell r="A614">
            <v>2006</v>
          </cell>
          <cell r="B614">
            <v>5</v>
          </cell>
          <cell r="C614">
            <v>173</v>
          </cell>
          <cell r="D614">
            <v>16</v>
          </cell>
          <cell r="E614">
            <v>792030</v>
          </cell>
          <cell r="F614">
            <v>0</v>
          </cell>
          <cell r="G614" t="str">
            <v>Затраты по ШПЗ (неосновные)</v>
          </cell>
          <cell r="H614">
            <v>2030</v>
          </cell>
          <cell r="I614">
            <v>7920</v>
          </cell>
          <cell r="J614">
            <v>94.85</v>
          </cell>
          <cell r="K614">
            <v>1</v>
          </cell>
          <cell r="L614">
            <v>0</v>
          </cell>
          <cell r="M614">
            <v>0</v>
          </cell>
          <cell r="N614">
            <v>0</v>
          </cell>
          <cell r="R614">
            <v>0</v>
          </cell>
          <cell r="S614">
            <v>0</v>
          </cell>
          <cell r="T614">
            <v>0</v>
          </cell>
          <cell r="U614">
            <v>38</v>
          </cell>
          <cell r="V614">
            <v>0</v>
          </cell>
          <cell r="W614">
            <v>0</v>
          </cell>
          <cell r="AA614">
            <v>0</v>
          </cell>
          <cell r="AB614">
            <v>0</v>
          </cell>
          <cell r="AC614">
            <v>0</v>
          </cell>
          <cell r="AD614">
            <v>38</v>
          </cell>
          <cell r="AE614">
            <v>505200</v>
          </cell>
          <cell r="AF614">
            <v>0</v>
          </cell>
          <cell r="AI614">
            <v>2343</v>
          </cell>
          <cell r="AK614">
            <v>0</v>
          </cell>
          <cell r="AM614">
            <v>325</v>
          </cell>
          <cell r="AN614">
            <v>1</v>
          </cell>
          <cell r="AO614">
            <v>393216</v>
          </cell>
          <cell r="AQ614">
            <v>0</v>
          </cell>
          <cell r="AR614">
            <v>0</v>
          </cell>
          <cell r="AS614" t="str">
            <v>Ы</v>
          </cell>
          <cell r="AT614" t="str">
            <v>Ы</v>
          </cell>
          <cell r="AU614">
            <v>0</v>
          </cell>
          <cell r="AV614">
            <v>0</v>
          </cell>
          <cell r="AW614">
            <v>23</v>
          </cell>
          <cell r="AX614">
            <v>1</v>
          </cell>
          <cell r="AY614">
            <v>0</v>
          </cell>
          <cell r="AZ614">
            <v>0</v>
          </cell>
          <cell r="BA614">
            <v>0</v>
          </cell>
          <cell r="BB614">
            <v>0</v>
          </cell>
          <cell r="BC614">
            <v>38888</v>
          </cell>
        </row>
        <row r="615">
          <cell r="A615">
            <v>2006</v>
          </cell>
          <cell r="B615">
            <v>5</v>
          </cell>
          <cell r="C615">
            <v>174</v>
          </cell>
          <cell r="D615">
            <v>16</v>
          </cell>
          <cell r="E615">
            <v>792030</v>
          </cell>
          <cell r="F615">
            <v>0</v>
          </cell>
          <cell r="G615" t="str">
            <v>Затраты по ШПЗ (неосновные)</v>
          </cell>
          <cell r="H615">
            <v>2030</v>
          </cell>
          <cell r="I615">
            <v>7920</v>
          </cell>
          <cell r="J615">
            <v>16.57</v>
          </cell>
          <cell r="K615">
            <v>1</v>
          </cell>
          <cell r="L615">
            <v>0</v>
          </cell>
          <cell r="M615">
            <v>0</v>
          </cell>
          <cell r="N615">
            <v>0</v>
          </cell>
          <cell r="R615">
            <v>0</v>
          </cell>
          <cell r="S615">
            <v>0</v>
          </cell>
          <cell r="T615">
            <v>0</v>
          </cell>
          <cell r="U615">
            <v>38</v>
          </cell>
          <cell r="V615">
            <v>0</v>
          </cell>
          <cell r="W615">
            <v>0</v>
          </cell>
          <cell r="AA615">
            <v>0</v>
          </cell>
          <cell r="AB615">
            <v>0</v>
          </cell>
          <cell r="AC615">
            <v>0</v>
          </cell>
          <cell r="AD615">
            <v>38</v>
          </cell>
          <cell r="AE615">
            <v>505300</v>
          </cell>
          <cell r="AF615">
            <v>0</v>
          </cell>
          <cell r="AI615">
            <v>2343</v>
          </cell>
          <cell r="AK615">
            <v>0</v>
          </cell>
          <cell r="AM615">
            <v>326</v>
          </cell>
          <cell r="AN615">
            <v>1</v>
          </cell>
          <cell r="AO615">
            <v>393216</v>
          </cell>
          <cell r="AQ615">
            <v>0</v>
          </cell>
          <cell r="AR615">
            <v>0</v>
          </cell>
          <cell r="AS615" t="str">
            <v>Ы</v>
          </cell>
          <cell r="AT615" t="str">
            <v>Ы</v>
          </cell>
          <cell r="AU615">
            <v>0</v>
          </cell>
          <cell r="AV615">
            <v>0</v>
          </cell>
          <cell r="AW615">
            <v>23</v>
          </cell>
          <cell r="AX615">
            <v>1</v>
          </cell>
          <cell r="AY615">
            <v>0</v>
          </cell>
          <cell r="AZ615">
            <v>0</v>
          </cell>
          <cell r="BA615">
            <v>0</v>
          </cell>
          <cell r="BB615">
            <v>0</v>
          </cell>
          <cell r="BC615">
            <v>38888</v>
          </cell>
        </row>
        <row r="616">
          <cell r="A616">
            <v>2006</v>
          </cell>
          <cell r="B616">
            <v>5</v>
          </cell>
          <cell r="C616">
            <v>175</v>
          </cell>
          <cell r="D616">
            <v>16</v>
          </cell>
          <cell r="E616">
            <v>792030</v>
          </cell>
          <cell r="F616">
            <v>0</v>
          </cell>
          <cell r="G616" t="str">
            <v>Затраты по ШПЗ (неосновные)</v>
          </cell>
          <cell r="H616">
            <v>2030</v>
          </cell>
          <cell r="I616">
            <v>7920</v>
          </cell>
          <cell r="J616">
            <v>988.56</v>
          </cell>
          <cell r="K616">
            <v>1</v>
          </cell>
          <cell r="L616">
            <v>0</v>
          </cell>
          <cell r="M616">
            <v>0</v>
          </cell>
          <cell r="N616">
            <v>0</v>
          </cell>
          <cell r="R616">
            <v>0</v>
          </cell>
          <cell r="S616">
            <v>0</v>
          </cell>
          <cell r="T616">
            <v>0</v>
          </cell>
          <cell r="U616">
            <v>38</v>
          </cell>
          <cell r="V616">
            <v>0</v>
          </cell>
          <cell r="W616">
            <v>0</v>
          </cell>
          <cell r="AA616">
            <v>0</v>
          </cell>
          <cell r="AB616">
            <v>0</v>
          </cell>
          <cell r="AC616">
            <v>0</v>
          </cell>
          <cell r="AD616">
            <v>38</v>
          </cell>
          <cell r="AE616">
            <v>506100</v>
          </cell>
          <cell r="AF616">
            <v>0</v>
          </cell>
          <cell r="AI616">
            <v>2343</v>
          </cell>
          <cell r="AK616">
            <v>0</v>
          </cell>
          <cell r="AM616">
            <v>327</v>
          </cell>
          <cell r="AN616">
            <v>1</v>
          </cell>
          <cell r="AO616">
            <v>393216</v>
          </cell>
          <cell r="AQ616">
            <v>0</v>
          </cell>
          <cell r="AR616">
            <v>0</v>
          </cell>
          <cell r="AS616" t="str">
            <v>Ы</v>
          </cell>
          <cell r="AT616" t="str">
            <v>Ы</v>
          </cell>
          <cell r="AU616">
            <v>0</v>
          </cell>
          <cell r="AV616">
            <v>0</v>
          </cell>
          <cell r="AW616">
            <v>23</v>
          </cell>
          <cell r="AX616">
            <v>1</v>
          </cell>
          <cell r="AY616">
            <v>0</v>
          </cell>
          <cell r="AZ616">
            <v>0</v>
          </cell>
          <cell r="BA616">
            <v>0</v>
          </cell>
          <cell r="BB616">
            <v>0</v>
          </cell>
          <cell r="BC616">
            <v>38888</v>
          </cell>
        </row>
        <row r="617">
          <cell r="A617">
            <v>2006</v>
          </cell>
          <cell r="B617">
            <v>5</v>
          </cell>
          <cell r="C617">
            <v>176</v>
          </cell>
          <cell r="D617">
            <v>16</v>
          </cell>
          <cell r="E617">
            <v>792030</v>
          </cell>
          <cell r="F617">
            <v>0</v>
          </cell>
          <cell r="G617" t="str">
            <v>Затраты по ШПЗ (неосновные)</v>
          </cell>
          <cell r="H617">
            <v>2030</v>
          </cell>
          <cell r="I617">
            <v>7920</v>
          </cell>
          <cell r="J617">
            <v>82.38</v>
          </cell>
          <cell r="K617">
            <v>1</v>
          </cell>
          <cell r="L617">
            <v>0</v>
          </cell>
          <cell r="M617">
            <v>0</v>
          </cell>
          <cell r="N617">
            <v>0</v>
          </cell>
          <cell r="R617">
            <v>0</v>
          </cell>
          <cell r="S617">
            <v>0</v>
          </cell>
          <cell r="T617">
            <v>0</v>
          </cell>
          <cell r="U617">
            <v>38</v>
          </cell>
          <cell r="V617">
            <v>0</v>
          </cell>
          <cell r="W617">
            <v>0</v>
          </cell>
          <cell r="AA617">
            <v>0</v>
          </cell>
          <cell r="AB617">
            <v>0</v>
          </cell>
          <cell r="AC617">
            <v>0</v>
          </cell>
          <cell r="AD617">
            <v>38</v>
          </cell>
          <cell r="AE617">
            <v>506300</v>
          </cell>
          <cell r="AF617">
            <v>0</v>
          </cell>
          <cell r="AI617">
            <v>2343</v>
          </cell>
          <cell r="AK617">
            <v>0</v>
          </cell>
          <cell r="AM617">
            <v>328</v>
          </cell>
          <cell r="AN617">
            <v>1</v>
          </cell>
          <cell r="AO617">
            <v>393216</v>
          </cell>
          <cell r="AQ617">
            <v>0</v>
          </cell>
          <cell r="AR617">
            <v>0</v>
          </cell>
          <cell r="AS617" t="str">
            <v>Ы</v>
          </cell>
          <cell r="AT617" t="str">
            <v>Ы</v>
          </cell>
          <cell r="AU617">
            <v>0</v>
          </cell>
          <cell r="AV617">
            <v>0</v>
          </cell>
          <cell r="AW617">
            <v>23</v>
          </cell>
          <cell r="AX617">
            <v>1</v>
          </cell>
          <cell r="AY617">
            <v>0</v>
          </cell>
          <cell r="AZ617">
            <v>0</v>
          </cell>
          <cell r="BA617">
            <v>0</v>
          </cell>
          <cell r="BB617">
            <v>0</v>
          </cell>
          <cell r="BC617">
            <v>38888</v>
          </cell>
        </row>
        <row r="618">
          <cell r="A618">
            <v>2006</v>
          </cell>
          <cell r="B618">
            <v>5</v>
          </cell>
          <cell r="C618">
            <v>177</v>
          </cell>
          <cell r="D618">
            <v>16</v>
          </cell>
          <cell r="E618">
            <v>792030</v>
          </cell>
          <cell r="F618">
            <v>0</v>
          </cell>
          <cell r="G618" t="str">
            <v>Затраты по ШПЗ (неосновные)</v>
          </cell>
          <cell r="H618">
            <v>2030</v>
          </cell>
          <cell r="I618">
            <v>7920</v>
          </cell>
          <cell r="J618">
            <v>9.5399999999999991</v>
          </cell>
          <cell r="K618">
            <v>1</v>
          </cell>
          <cell r="L618">
            <v>0</v>
          </cell>
          <cell r="M618">
            <v>0</v>
          </cell>
          <cell r="N618">
            <v>0</v>
          </cell>
          <cell r="R618">
            <v>0</v>
          </cell>
          <cell r="S618">
            <v>0</v>
          </cell>
          <cell r="T618">
            <v>0</v>
          </cell>
          <cell r="U618">
            <v>38</v>
          </cell>
          <cell r="V618">
            <v>0</v>
          </cell>
          <cell r="W618">
            <v>0</v>
          </cell>
          <cell r="AA618">
            <v>0</v>
          </cell>
          <cell r="AB618">
            <v>0</v>
          </cell>
          <cell r="AC618">
            <v>0</v>
          </cell>
          <cell r="AD618">
            <v>38</v>
          </cell>
          <cell r="AE618">
            <v>508700</v>
          </cell>
          <cell r="AF618">
            <v>0</v>
          </cell>
          <cell r="AI618">
            <v>2343</v>
          </cell>
          <cell r="AK618">
            <v>0</v>
          </cell>
          <cell r="AM618">
            <v>329</v>
          </cell>
          <cell r="AN618">
            <v>1</v>
          </cell>
          <cell r="AO618">
            <v>393216</v>
          </cell>
          <cell r="AQ618">
            <v>0</v>
          </cell>
          <cell r="AR618">
            <v>0</v>
          </cell>
          <cell r="AS618" t="str">
            <v>Ы</v>
          </cell>
          <cell r="AT618" t="str">
            <v>Ы</v>
          </cell>
          <cell r="AU618">
            <v>0</v>
          </cell>
          <cell r="AV618">
            <v>0</v>
          </cell>
          <cell r="AW618">
            <v>23</v>
          </cell>
          <cell r="AX618">
            <v>1</v>
          </cell>
          <cell r="AY618">
            <v>0</v>
          </cell>
          <cell r="AZ618">
            <v>0</v>
          </cell>
          <cell r="BA618">
            <v>0</v>
          </cell>
          <cell r="BB618">
            <v>0</v>
          </cell>
          <cell r="BC618">
            <v>38888</v>
          </cell>
        </row>
        <row r="619">
          <cell r="A619">
            <v>2006</v>
          </cell>
          <cell r="B619">
            <v>5</v>
          </cell>
          <cell r="C619">
            <v>178</v>
          </cell>
          <cell r="D619">
            <v>16</v>
          </cell>
          <cell r="E619">
            <v>792030</v>
          </cell>
          <cell r="F619">
            <v>0</v>
          </cell>
          <cell r="G619" t="str">
            <v>Затраты по ШПЗ (неосновные)</v>
          </cell>
          <cell r="H619">
            <v>2030</v>
          </cell>
          <cell r="I619">
            <v>7920</v>
          </cell>
          <cell r="J619">
            <v>4555.8500000000004</v>
          </cell>
          <cell r="K619">
            <v>1</v>
          </cell>
          <cell r="L619">
            <v>0</v>
          </cell>
          <cell r="M619">
            <v>0</v>
          </cell>
          <cell r="N619">
            <v>0</v>
          </cell>
          <cell r="R619">
            <v>0</v>
          </cell>
          <cell r="S619">
            <v>0</v>
          </cell>
          <cell r="T619">
            <v>0</v>
          </cell>
          <cell r="U619">
            <v>38</v>
          </cell>
          <cell r="V619">
            <v>0</v>
          </cell>
          <cell r="W619">
            <v>0</v>
          </cell>
          <cell r="AA619">
            <v>0</v>
          </cell>
          <cell r="AB619">
            <v>0</v>
          </cell>
          <cell r="AC619">
            <v>0</v>
          </cell>
          <cell r="AD619">
            <v>38</v>
          </cell>
          <cell r="AE619">
            <v>510100</v>
          </cell>
          <cell r="AF619">
            <v>0</v>
          </cell>
          <cell r="AI619">
            <v>2343</v>
          </cell>
          <cell r="AK619">
            <v>0</v>
          </cell>
          <cell r="AM619">
            <v>330</v>
          </cell>
          <cell r="AN619">
            <v>1</v>
          </cell>
          <cell r="AO619">
            <v>393216</v>
          </cell>
          <cell r="AQ619">
            <v>0</v>
          </cell>
          <cell r="AR619">
            <v>0</v>
          </cell>
          <cell r="AS619" t="str">
            <v>Ы</v>
          </cell>
          <cell r="AT619" t="str">
            <v>Ы</v>
          </cell>
          <cell r="AU619">
            <v>0</v>
          </cell>
          <cell r="AV619">
            <v>0</v>
          </cell>
          <cell r="AW619">
            <v>23</v>
          </cell>
          <cell r="AX619">
            <v>1</v>
          </cell>
          <cell r="AY619">
            <v>0</v>
          </cell>
          <cell r="AZ619">
            <v>0</v>
          </cell>
          <cell r="BA619">
            <v>0</v>
          </cell>
          <cell r="BB619">
            <v>0</v>
          </cell>
          <cell r="BC619">
            <v>38888</v>
          </cell>
        </row>
        <row r="620">
          <cell r="A620">
            <v>2006</v>
          </cell>
          <cell r="B620">
            <v>5</v>
          </cell>
          <cell r="C620">
            <v>179</v>
          </cell>
          <cell r="D620">
            <v>16</v>
          </cell>
          <cell r="E620">
            <v>792030</v>
          </cell>
          <cell r="F620">
            <v>0</v>
          </cell>
          <cell r="G620" t="str">
            <v>Затраты по ШПЗ (неосновные)</v>
          </cell>
          <cell r="H620">
            <v>2030</v>
          </cell>
          <cell r="I620">
            <v>7920</v>
          </cell>
          <cell r="J620">
            <v>16.82</v>
          </cell>
          <cell r="K620">
            <v>1</v>
          </cell>
          <cell r="L620">
            <v>0</v>
          </cell>
          <cell r="M620">
            <v>0</v>
          </cell>
          <cell r="N620">
            <v>0</v>
          </cell>
          <cell r="R620">
            <v>0</v>
          </cell>
          <cell r="S620">
            <v>0</v>
          </cell>
          <cell r="T620">
            <v>0</v>
          </cell>
          <cell r="U620">
            <v>38</v>
          </cell>
          <cell r="V620">
            <v>0</v>
          </cell>
          <cell r="W620">
            <v>0</v>
          </cell>
          <cell r="AA620">
            <v>0</v>
          </cell>
          <cell r="AB620">
            <v>0</v>
          </cell>
          <cell r="AC620">
            <v>0</v>
          </cell>
          <cell r="AD620">
            <v>38</v>
          </cell>
          <cell r="AE620">
            <v>510200</v>
          </cell>
          <cell r="AF620">
            <v>0</v>
          </cell>
          <cell r="AI620">
            <v>2343</v>
          </cell>
          <cell r="AK620">
            <v>0</v>
          </cell>
          <cell r="AM620">
            <v>331</v>
          </cell>
          <cell r="AN620">
            <v>1</v>
          </cell>
          <cell r="AO620">
            <v>393216</v>
          </cell>
          <cell r="AQ620">
            <v>0</v>
          </cell>
          <cell r="AR620">
            <v>0</v>
          </cell>
          <cell r="AS620" t="str">
            <v>Ы</v>
          </cell>
          <cell r="AT620" t="str">
            <v>Ы</v>
          </cell>
          <cell r="AU620">
            <v>0</v>
          </cell>
          <cell r="AV620">
            <v>0</v>
          </cell>
          <cell r="AW620">
            <v>23</v>
          </cell>
          <cell r="AX620">
            <v>1</v>
          </cell>
          <cell r="AY620">
            <v>0</v>
          </cell>
          <cell r="AZ620">
            <v>0</v>
          </cell>
          <cell r="BA620">
            <v>0</v>
          </cell>
          <cell r="BB620">
            <v>0</v>
          </cell>
          <cell r="BC620">
            <v>38888</v>
          </cell>
        </row>
        <row r="621">
          <cell r="A621">
            <v>2006</v>
          </cell>
          <cell r="B621">
            <v>5</v>
          </cell>
          <cell r="C621">
            <v>180</v>
          </cell>
          <cell r="D621">
            <v>16</v>
          </cell>
          <cell r="E621">
            <v>792030</v>
          </cell>
          <cell r="F621">
            <v>0</v>
          </cell>
          <cell r="G621" t="str">
            <v>Затраты по ШПЗ (неосновные)</v>
          </cell>
          <cell r="H621">
            <v>2030</v>
          </cell>
          <cell r="I621">
            <v>7920</v>
          </cell>
          <cell r="J621">
            <v>188.7</v>
          </cell>
          <cell r="K621">
            <v>1</v>
          </cell>
          <cell r="L621">
            <v>0</v>
          </cell>
          <cell r="M621">
            <v>0</v>
          </cell>
          <cell r="N621">
            <v>0</v>
          </cell>
          <cell r="R621">
            <v>0</v>
          </cell>
          <cell r="S621">
            <v>0</v>
          </cell>
          <cell r="T621">
            <v>0</v>
          </cell>
          <cell r="U621">
            <v>38</v>
          </cell>
          <cell r="V621">
            <v>0</v>
          </cell>
          <cell r="W621">
            <v>0</v>
          </cell>
          <cell r="AA621">
            <v>0</v>
          </cell>
          <cell r="AB621">
            <v>0</v>
          </cell>
          <cell r="AC621">
            <v>0</v>
          </cell>
          <cell r="AD621">
            <v>38</v>
          </cell>
          <cell r="AE621">
            <v>510300</v>
          </cell>
          <cell r="AF621">
            <v>0</v>
          </cell>
          <cell r="AI621">
            <v>2343</v>
          </cell>
          <cell r="AK621">
            <v>0</v>
          </cell>
          <cell r="AM621">
            <v>332</v>
          </cell>
          <cell r="AN621">
            <v>1</v>
          </cell>
          <cell r="AO621">
            <v>393216</v>
          </cell>
          <cell r="AQ621">
            <v>0</v>
          </cell>
          <cell r="AR621">
            <v>0</v>
          </cell>
          <cell r="AS621" t="str">
            <v>Ы</v>
          </cell>
          <cell r="AT621" t="str">
            <v>Ы</v>
          </cell>
          <cell r="AU621">
            <v>0</v>
          </cell>
          <cell r="AV621">
            <v>0</v>
          </cell>
          <cell r="AW621">
            <v>23</v>
          </cell>
          <cell r="AX621">
            <v>1</v>
          </cell>
          <cell r="AY621">
            <v>0</v>
          </cell>
          <cell r="AZ621">
            <v>0</v>
          </cell>
          <cell r="BA621">
            <v>0</v>
          </cell>
          <cell r="BB621">
            <v>0</v>
          </cell>
          <cell r="BC621">
            <v>38888</v>
          </cell>
        </row>
        <row r="622">
          <cell r="A622">
            <v>2006</v>
          </cell>
          <cell r="B622">
            <v>5</v>
          </cell>
          <cell r="C622">
            <v>181</v>
          </cell>
          <cell r="D622">
            <v>16</v>
          </cell>
          <cell r="E622">
            <v>792030</v>
          </cell>
          <cell r="F622">
            <v>0</v>
          </cell>
          <cell r="G622" t="str">
            <v>Затраты по ШПЗ (неосновные)</v>
          </cell>
          <cell r="H622">
            <v>2030</v>
          </cell>
          <cell r="I622">
            <v>7920</v>
          </cell>
          <cell r="J622">
            <v>250.94</v>
          </cell>
          <cell r="K622">
            <v>1</v>
          </cell>
          <cell r="L622">
            <v>0</v>
          </cell>
          <cell r="M622">
            <v>0</v>
          </cell>
          <cell r="N622">
            <v>0</v>
          </cell>
          <cell r="R622">
            <v>0</v>
          </cell>
          <cell r="S622">
            <v>0</v>
          </cell>
          <cell r="T622">
            <v>0</v>
          </cell>
          <cell r="U622">
            <v>38</v>
          </cell>
          <cell r="V622">
            <v>0</v>
          </cell>
          <cell r="W622">
            <v>0</v>
          </cell>
          <cell r="AA622">
            <v>0</v>
          </cell>
          <cell r="AB622">
            <v>0</v>
          </cell>
          <cell r="AC622">
            <v>0</v>
          </cell>
          <cell r="AD622">
            <v>38</v>
          </cell>
          <cell r="AE622">
            <v>510400</v>
          </cell>
          <cell r="AF622">
            <v>0</v>
          </cell>
          <cell r="AI622">
            <v>2343</v>
          </cell>
          <cell r="AK622">
            <v>0</v>
          </cell>
          <cell r="AM622">
            <v>333</v>
          </cell>
          <cell r="AN622">
            <v>1</v>
          </cell>
          <cell r="AO622">
            <v>393216</v>
          </cell>
          <cell r="AQ622">
            <v>0</v>
          </cell>
          <cell r="AR622">
            <v>0</v>
          </cell>
          <cell r="AS622" t="str">
            <v>Ы</v>
          </cell>
          <cell r="AT622" t="str">
            <v>Ы</v>
          </cell>
          <cell r="AU622">
            <v>0</v>
          </cell>
          <cell r="AV622">
            <v>0</v>
          </cell>
          <cell r="AW622">
            <v>23</v>
          </cell>
          <cell r="AX622">
            <v>1</v>
          </cell>
          <cell r="AY622">
            <v>0</v>
          </cell>
          <cell r="AZ622">
            <v>0</v>
          </cell>
          <cell r="BA622">
            <v>0</v>
          </cell>
          <cell r="BB622">
            <v>0</v>
          </cell>
          <cell r="BC622">
            <v>38888</v>
          </cell>
        </row>
        <row r="623">
          <cell r="A623">
            <v>2006</v>
          </cell>
          <cell r="B623">
            <v>5</v>
          </cell>
          <cell r="C623">
            <v>182</v>
          </cell>
          <cell r="D623">
            <v>16</v>
          </cell>
          <cell r="E623">
            <v>792030</v>
          </cell>
          <cell r="F623">
            <v>0</v>
          </cell>
          <cell r="G623" t="str">
            <v>Затраты по ШПЗ (неосновные)</v>
          </cell>
          <cell r="H623">
            <v>2030</v>
          </cell>
          <cell r="I623">
            <v>7920</v>
          </cell>
          <cell r="J623">
            <v>3838.09</v>
          </cell>
          <cell r="K623">
            <v>1</v>
          </cell>
          <cell r="L623">
            <v>0</v>
          </cell>
          <cell r="M623">
            <v>0</v>
          </cell>
          <cell r="N623">
            <v>0</v>
          </cell>
          <cell r="R623">
            <v>0</v>
          </cell>
          <cell r="S623">
            <v>0</v>
          </cell>
          <cell r="T623">
            <v>0</v>
          </cell>
          <cell r="U623">
            <v>38</v>
          </cell>
          <cell r="V623">
            <v>0</v>
          </cell>
          <cell r="W623">
            <v>0</v>
          </cell>
          <cell r="AA623">
            <v>0</v>
          </cell>
          <cell r="AB623">
            <v>0</v>
          </cell>
          <cell r="AC623">
            <v>0</v>
          </cell>
          <cell r="AD623">
            <v>38</v>
          </cell>
          <cell r="AE623">
            <v>510600</v>
          </cell>
          <cell r="AF623">
            <v>0</v>
          </cell>
          <cell r="AI623">
            <v>2343</v>
          </cell>
          <cell r="AK623">
            <v>0</v>
          </cell>
          <cell r="AM623">
            <v>334</v>
          </cell>
          <cell r="AN623">
            <v>1</v>
          </cell>
          <cell r="AO623">
            <v>393216</v>
          </cell>
          <cell r="AQ623">
            <v>0</v>
          </cell>
          <cell r="AR623">
            <v>0</v>
          </cell>
          <cell r="AS623" t="str">
            <v>Ы</v>
          </cell>
          <cell r="AT623" t="str">
            <v>Ы</v>
          </cell>
          <cell r="AU623">
            <v>0</v>
          </cell>
          <cell r="AV623">
            <v>0</v>
          </cell>
          <cell r="AW623">
            <v>23</v>
          </cell>
          <cell r="AX623">
            <v>1</v>
          </cell>
          <cell r="AY623">
            <v>0</v>
          </cell>
          <cell r="AZ623">
            <v>0</v>
          </cell>
          <cell r="BA623">
            <v>0</v>
          </cell>
          <cell r="BB623">
            <v>0</v>
          </cell>
          <cell r="BC623">
            <v>38888</v>
          </cell>
        </row>
        <row r="624">
          <cell r="A624">
            <v>2006</v>
          </cell>
          <cell r="B624">
            <v>5</v>
          </cell>
          <cell r="C624">
            <v>183</v>
          </cell>
          <cell r="D624">
            <v>16</v>
          </cell>
          <cell r="E624">
            <v>792030</v>
          </cell>
          <cell r="F624">
            <v>0</v>
          </cell>
          <cell r="G624" t="str">
            <v>Затраты по ШПЗ (неосновные)</v>
          </cell>
          <cell r="H624">
            <v>2030</v>
          </cell>
          <cell r="I624">
            <v>7920</v>
          </cell>
          <cell r="J624">
            <v>1092.6199999999999</v>
          </cell>
          <cell r="K624">
            <v>1</v>
          </cell>
          <cell r="L624">
            <v>0</v>
          </cell>
          <cell r="M624">
            <v>0</v>
          </cell>
          <cell r="N624">
            <v>0</v>
          </cell>
          <cell r="R624">
            <v>0</v>
          </cell>
          <cell r="S624">
            <v>0</v>
          </cell>
          <cell r="T624">
            <v>0</v>
          </cell>
          <cell r="U624">
            <v>38</v>
          </cell>
          <cell r="V624">
            <v>0</v>
          </cell>
          <cell r="W624">
            <v>0</v>
          </cell>
          <cell r="AA624">
            <v>0</v>
          </cell>
          <cell r="AB624">
            <v>0</v>
          </cell>
          <cell r="AC624">
            <v>0</v>
          </cell>
          <cell r="AD624">
            <v>38</v>
          </cell>
          <cell r="AE624">
            <v>510900</v>
          </cell>
          <cell r="AF624">
            <v>0</v>
          </cell>
          <cell r="AI624">
            <v>2343</v>
          </cell>
          <cell r="AK624">
            <v>0</v>
          </cell>
          <cell r="AM624">
            <v>335</v>
          </cell>
          <cell r="AN624">
            <v>1</v>
          </cell>
          <cell r="AO624">
            <v>393216</v>
          </cell>
          <cell r="AQ624">
            <v>0</v>
          </cell>
          <cell r="AR624">
            <v>0</v>
          </cell>
          <cell r="AS624" t="str">
            <v>Ы</v>
          </cell>
          <cell r="AT624" t="str">
            <v>Ы</v>
          </cell>
          <cell r="AU624">
            <v>0</v>
          </cell>
          <cell r="AV624">
            <v>0</v>
          </cell>
          <cell r="AW624">
            <v>23</v>
          </cell>
          <cell r="AX624">
            <v>1</v>
          </cell>
          <cell r="AY624">
            <v>0</v>
          </cell>
          <cell r="AZ624">
            <v>0</v>
          </cell>
          <cell r="BA624">
            <v>0</v>
          </cell>
          <cell r="BB624">
            <v>0</v>
          </cell>
          <cell r="BC624">
            <v>38888</v>
          </cell>
        </row>
        <row r="625">
          <cell r="A625">
            <v>2006</v>
          </cell>
          <cell r="B625">
            <v>5</v>
          </cell>
          <cell r="C625">
            <v>184</v>
          </cell>
          <cell r="D625">
            <v>16</v>
          </cell>
          <cell r="E625">
            <v>792030</v>
          </cell>
          <cell r="F625">
            <v>0</v>
          </cell>
          <cell r="G625" t="str">
            <v>Затраты по ШПЗ (неосновные)</v>
          </cell>
          <cell r="H625">
            <v>2030</v>
          </cell>
          <cell r="I625">
            <v>7920</v>
          </cell>
          <cell r="J625">
            <v>215.15</v>
          </cell>
          <cell r="K625">
            <v>1</v>
          </cell>
          <cell r="L625">
            <v>0</v>
          </cell>
          <cell r="M625">
            <v>0</v>
          </cell>
          <cell r="N625">
            <v>0</v>
          </cell>
          <cell r="R625">
            <v>0</v>
          </cell>
          <cell r="S625">
            <v>0</v>
          </cell>
          <cell r="T625">
            <v>0</v>
          </cell>
          <cell r="U625">
            <v>38</v>
          </cell>
          <cell r="V625">
            <v>0</v>
          </cell>
          <cell r="W625">
            <v>0</v>
          </cell>
          <cell r="AA625">
            <v>0</v>
          </cell>
          <cell r="AB625">
            <v>0</v>
          </cell>
          <cell r="AC625">
            <v>0</v>
          </cell>
          <cell r="AD625">
            <v>38</v>
          </cell>
          <cell r="AE625">
            <v>513600</v>
          </cell>
          <cell r="AF625">
            <v>0</v>
          </cell>
          <cell r="AI625">
            <v>2343</v>
          </cell>
          <cell r="AK625">
            <v>0</v>
          </cell>
          <cell r="AM625">
            <v>336</v>
          </cell>
          <cell r="AN625">
            <v>1</v>
          </cell>
          <cell r="AO625">
            <v>393216</v>
          </cell>
          <cell r="AQ625">
            <v>0</v>
          </cell>
          <cell r="AR625">
            <v>0</v>
          </cell>
          <cell r="AS625" t="str">
            <v>Ы</v>
          </cell>
          <cell r="AT625" t="str">
            <v>Ы</v>
          </cell>
          <cell r="AU625">
            <v>0</v>
          </cell>
          <cell r="AV625">
            <v>0</v>
          </cell>
          <cell r="AW625">
            <v>23</v>
          </cell>
          <cell r="AX625">
            <v>1</v>
          </cell>
          <cell r="AY625">
            <v>0</v>
          </cell>
          <cell r="AZ625">
            <v>0</v>
          </cell>
          <cell r="BA625">
            <v>0</v>
          </cell>
          <cell r="BB625">
            <v>0</v>
          </cell>
          <cell r="BC625">
            <v>38888</v>
          </cell>
        </row>
        <row r="626">
          <cell r="A626">
            <v>2006</v>
          </cell>
          <cell r="B626">
            <v>5</v>
          </cell>
          <cell r="C626">
            <v>251</v>
          </cell>
          <cell r="D626">
            <v>16</v>
          </cell>
          <cell r="E626">
            <v>792030</v>
          </cell>
          <cell r="F626">
            <v>0</v>
          </cell>
          <cell r="G626" t="str">
            <v>Затраты по ШПЗ (неосновные)</v>
          </cell>
          <cell r="H626">
            <v>2030</v>
          </cell>
          <cell r="I626">
            <v>7920</v>
          </cell>
          <cell r="J626">
            <v>45.45</v>
          </cell>
          <cell r="K626">
            <v>1</v>
          </cell>
          <cell r="L626">
            <v>0</v>
          </cell>
          <cell r="M626">
            <v>0</v>
          </cell>
          <cell r="N626">
            <v>0</v>
          </cell>
          <cell r="R626">
            <v>0</v>
          </cell>
          <cell r="S626">
            <v>0</v>
          </cell>
          <cell r="T626">
            <v>0</v>
          </cell>
          <cell r="U626">
            <v>32</v>
          </cell>
          <cell r="V626">
            <v>0</v>
          </cell>
          <cell r="W626">
            <v>0</v>
          </cell>
          <cell r="AA626">
            <v>0</v>
          </cell>
          <cell r="AB626">
            <v>0</v>
          </cell>
          <cell r="AC626">
            <v>0</v>
          </cell>
          <cell r="AD626">
            <v>32</v>
          </cell>
          <cell r="AE626">
            <v>110000</v>
          </cell>
          <cell r="AF626">
            <v>0</v>
          </cell>
          <cell r="AI626">
            <v>2343</v>
          </cell>
          <cell r="AK626">
            <v>0</v>
          </cell>
          <cell r="AM626">
            <v>403</v>
          </cell>
          <cell r="AN626">
            <v>1</v>
          </cell>
          <cell r="AO626">
            <v>393216</v>
          </cell>
          <cell r="AQ626">
            <v>0</v>
          </cell>
          <cell r="AR626">
            <v>0</v>
          </cell>
          <cell r="AS626" t="str">
            <v>Ы</v>
          </cell>
          <cell r="AT626" t="str">
            <v>Ы</v>
          </cell>
          <cell r="AU626">
            <v>0</v>
          </cell>
          <cell r="AV626">
            <v>0</v>
          </cell>
          <cell r="AW626">
            <v>23</v>
          </cell>
          <cell r="AX626">
            <v>1</v>
          </cell>
          <cell r="AY626">
            <v>0</v>
          </cell>
          <cell r="AZ626">
            <v>0</v>
          </cell>
          <cell r="BA626">
            <v>0</v>
          </cell>
          <cell r="BB626">
            <v>0</v>
          </cell>
          <cell r="BC626">
            <v>38888</v>
          </cell>
        </row>
        <row r="627">
          <cell r="A627">
            <v>2006</v>
          </cell>
          <cell r="B627">
            <v>5</v>
          </cell>
          <cell r="C627">
            <v>252</v>
          </cell>
          <cell r="D627">
            <v>16</v>
          </cell>
          <cell r="E627">
            <v>792030</v>
          </cell>
          <cell r="F627">
            <v>0</v>
          </cell>
          <cell r="G627" t="str">
            <v>Затраты по ШПЗ (неосновные)</v>
          </cell>
          <cell r="H627">
            <v>2030</v>
          </cell>
          <cell r="I627">
            <v>7920</v>
          </cell>
          <cell r="J627">
            <v>1.59</v>
          </cell>
          <cell r="K627">
            <v>1</v>
          </cell>
          <cell r="L627">
            <v>0</v>
          </cell>
          <cell r="M627">
            <v>0</v>
          </cell>
          <cell r="N627">
            <v>0</v>
          </cell>
          <cell r="R627">
            <v>0</v>
          </cell>
          <cell r="S627">
            <v>0</v>
          </cell>
          <cell r="T627">
            <v>0</v>
          </cell>
          <cell r="U627">
            <v>32</v>
          </cell>
          <cell r="V627">
            <v>0</v>
          </cell>
          <cell r="W627">
            <v>0</v>
          </cell>
          <cell r="AA627">
            <v>0</v>
          </cell>
          <cell r="AB627">
            <v>0</v>
          </cell>
          <cell r="AC627">
            <v>0</v>
          </cell>
          <cell r="AD627">
            <v>32</v>
          </cell>
          <cell r="AE627">
            <v>114020</v>
          </cell>
          <cell r="AF627">
            <v>0</v>
          </cell>
          <cell r="AI627">
            <v>2343</v>
          </cell>
          <cell r="AK627">
            <v>0</v>
          </cell>
          <cell r="AM627">
            <v>404</v>
          </cell>
          <cell r="AN627">
            <v>1</v>
          </cell>
          <cell r="AO627">
            <v>393216</v>
          </cell>
          <cell r="AQ627">
            <v>0</v>
          </cell>
          <cell r="AR627">
            <v>0</v>
          </cell>
          <cell r="AS627" t="str">
            <v>Ы</v>
          </cell>
          <cell r="AT627" t="str">
            <v>Ы</v>
          </cell>
          <cell r="AU627">
            <v>0</v>
          </cell>
          <cell r="AV627">
            <v>0</v>
          </cell>
          <cell r="AW627">
            <v>23</v>
          </cell>
          <cell r="AX627">
            <v>1</v>
          </cell>
          <cell r="AY627">
            <v>0</v>
          </cell>
          <cell r="AZ627">
            <v>0</v>
          </cell>
          <cell r="BA627">
            <v>0</v>
          </cell>
          <cell r="BB627">
            <v>0</v>
          </cell>
          <cell r="BC627">
            <v>38888</v>
          </cell>
        </row>
        <row r="628">
          <cell r="A628">
            <v>2006</v>
          </cell>
          <cell r="B628">
            <v>5</v>
          </cell>
          <cell r="C628">
            <v>253</v>
          </cell>
          <cell r="D628">
            <v>16</v>
          </cell>
          <cell r="E628">
            <v>792030</v>
          </cell>
          <cell r="F628">
            <v>0</v>
          </cell>
          <cell r="G628" t="str">
            <v>Затраты по ШПЗ (неосновные)</v>
          </cell>
          <cell r="H628">
            <v>2030</v>
          </cell>
          <cell r="I628">
            <v>7920</v>
          </cell>
          <cell r="J628">
            <v>6.5</v>
          </cell>
          <cell r="K628">
            <v>1</v>
          </cell>
          <cell r="L628">
            <v>0</v>
          </cell>
          <cell r="M628">
            <v>0</v>
          </cell>
          <cell r="N628">
            <v>0</v>
          </cell>
          <cell r="R628">
            <v>0</v>
          </cell>
          <cell r="S628">
            <v>0</v>
          </cell>
          <cell r="T628">
            <v>0</v>
          </cell>
          <cell r="U628">
            <v>32</v>
          </cell>
          <cell r="V628">
            <v>0</v>
          </cell>
          <cell r="W628">
            <v>0</v>
          </cell>
          <cell r="AA628">
            <v>0</v>
          </cell>
          <cell r="AB628">
            <v>0</v>
          </cell>
          <cell r="AC628">
            <v>0</v>
          </cell>
          <cell r="AD628">
            <v>32</v>
          </cell>
          <cell r="AE628">
            <v>117000</v>
          </cell>
          <cell r="AF628">
            <v>0</v>
          </cell>
          <cell r="AI628">
            <v>2343</v>
          </cell>
          <cell r="AK628">
            <v>0</v>
          </cell>
          <cell r="AM628">
            <v>405</v>
          </cell>
          <cell r="AN628">
            <v>1</v>
          </cell>
          <cell r="AO628">
            <v>393216</v>
          </cell>
          <cell r="AQ628">
            <v>0</v>
          </cell>
          <cell r="AR628">
            <v>0</v>
          </cell>
          <cell r="AS628" t="str">
            <v>Ы</v>
          </cell>
          <cell r="AT628" t="str">
            <v>Ы</v>
          </cell>
          <cell r="AU628">
            <v>0</v>
          </cell>
          <cell r="AV628">
            <v>0</v>
          </cell>
          <cell r="AW628">
            <v>23</v>
          </cell>
          <cell r="AX628">
            <v>1</v>
          </cell>
          <cell r="AY628">
            <v>0</v>
          </cell>
          <cell r="AZ628">
            <v>0</v>
          </cell>
          <cell r="BA628">
            <v>0</v>
          </cell>
          <cell r="BB628">
            <v>0</v>
          </cell>
          <cell r="BC628">
            <v>38888</v>
          </cell>
        </row>
        <row r="629">
          <cell r="A629">
            <v>2006</v>
          </cell>
          <cell r="B629">
            <v>5</v>
          </cell>
          <cell r="C629">
            <v>254</v>
          </cell>
          <cell r="D629">
            <v>16</v>
          </cell>
          <cell r="E629">
            <v>792030</v>
          </cell>
          <cell r="F629">
            <v>0</v>
          </cell>
          <cell r="G629" t="str">
            <v>Затраты по ШПЗ (неосновные)</v>
          </cell>
          <cell r="H629">
            <v>2030</v>
          </cell>
          <cell r="I629">
            <v>7920</v>
          </cell>
          <cell r="J629">
            <v>3.38</v>
          </cell>
          <cell r="K629">
            <v>1</v>
          </cell>
          <cell r="L629">
            <v>0</v>
          </cell>
          <cell r="M629">
            <v>0</v>
          </cell>
          <cell r="N629">
            <v>0</v>
          </cell>
          <cell r="R629">
            <v>0</v>
          </cell>
          <cell r="S629">
            <v>0</v>
          </cell>
          <cell r="T629">
            <v>0</v>
          </cell>
          <cell r="U629">
            <v>32</v>
          </cell>
          <cell r="V629">
            <v>0</v>
          </cell>
          <cell r="W629">
            <v>0</v>
          </cell>
          <cell r="AA629">
            <v>0</v>
          </cell>
          <cell r="AB629">
            <v>0</v>
          </cell>
          <cell r="AC629">
            <v>0</v>
          </cell>
          <cell r="AD629">
            <v>32</v>
          </cell>
          <cell r="AE629">
            <v>130000</v>
          </cell>
          <cell r="AF629">
            <v>0</v>
          </cell>
          <cell r="AI629">
            <v>2343</v>
          </cell>
          <cell r="AK629">
            <v>0</v>
          </cell>
          <cell r="AM629">
            <v>406</v>
          </cell>
          <cell r="AN629">
            <v>1</v>
          </cell>
          <cell r="AO629">
            <v>393216</v>
          </cell>
          <cell r="AQ629">
            <v>0</v>
          </cell>
          <cell r="AR629">
            <v>0</v>
          </cell>
          <cell r="AS629" t="str">
            <v>Ы</v>
          </cell>
          <cell r="AT629" t="str">
            <v>Ы</v>
          </cell>
          <cell r="AU629">
            <v>0</v>
          </cell>
          <cell r="AV629">
            <v>0</v>
          </cell>
          <cell r="AW629">
            <v>23</v>
          </cell>
          <cell r="AX629">
            <v>1</v>
          </cell>
          <cell r="AY629">
            <v>0</v>
          </cell>
          <cell r="AZ629">
            <v>0</v>
          </cell>
          <cell r="BA629">
            <v>0</v>
          </cell>
          <cell r="BB629">
            <v>0</v>
          </cell>
          <cell r="BC629">
            <v>38888</v>
          </cell>
        </row>
        <row r="630">
          <cell r="A630">
            <v>2006</v>
          </cell>
          <cell r="B630">
            <v>5</v>
          </cell>
          <cell r="C630">
            <v>255</v>
          </cell>
          <cell r="D630">
            <v>16</v>
          </cell>
          <cell r="E630">
            <v>792030</v>
          </cell>
          <cell r="F630">
            <v>0</v>
          </cell>
          <cell r="G630" t="str">
            <v>Затраты по ШПЗ (неосновные)</v>
          </cell>
          <cell r="H630">
            <v>2030</v>
          </cell>
          <cell r="I630">
            <v>7920</v>
          </cell>
          <cell r="J630">
            <v>0.48</v>
          </cell>
          <cell r="K630">
            <v>1</v>
          </cell>
          <cell r="L630">
            <v>0</v>
          </cell>
          <cell r="M630">
            <v>0</v>
          </cell>
          <cell r="N630">
            <v>0</v>
          </cell>
          <cell r="R630">
            <v>0</v>
          </cell>
          <cell r="S630">
            <v>0</v>
          </cell>
          <cell r="T630">
            <v>0</v>
          </cell>
          <cell r="U630">
            <v>32</v>
          </cell>
          <cell r="V630">
            <v>0</v>
          </cell>
          <cell r="W630">
            <v>0</v>
          </cell>
          <cell r="AA630">
            <v>0</v>
          </cell>
          <cell r="AB630">
            <v>0</v>
          </cell>
          <cell r="AC630">
            <v>0</v>
          </cell>
          <cell r="AD630">
            <v>32</v>
          </cell>
          <cell r="AE630">
            <v>131000</v>
          </cell>
          <cell r="AF630">
            <v>0</v>
          </cell>
          <cell r="AI630">
            <v>2343</v>
          </cell>
          <cell r="AK630">
            <v>0</v>
          </cell>
          <cell r="AM630">
            <v>407</v>
          </cell>
          <cell r="AN630">
            <v>1</v>
          </cell>
          <cell r="AO630">
            <v>393216</v>
          </cell>
          <cell r="AQ630">
            <v>0</v>
          </cell>
          <cell r="AR630">
            <v>0</v>
          </cell>
          <cell r="AS630" t="str">
            <v>Ы</v>
          </cell>
          <cell r="AT630" t="str">
            <v>Ы</v>
          </cell>
          <cell r="AU630">
            <v>0</v>
          </cell>
          <cell r="AV630">
            <v>0</v>
          </cell>
          <cell r="AW630">
            <v>23</v>
          </cell>
          <cell r="AX630">
            <v>1</v>
          </cell>
          <cell r="AY630">
            <v>0</v>
          </cell>
          <cell r="AZ630">
            <v>0</v>
          </cell>
          <cell r="BA630">
            <v>0</v>
          </cell>
          <cell r="BB630">
            <v>0</v>
          </cell>
          <cell r="BC630">
            <v>38888</v>
          </cell>
        </row>
        <row r="631">
          <cell r="A631">
            <v>2006</v>
          </cell>
          <cell r="B631">
            <v>5</v>
          </cell>
          <cell r="C631">
            <v>256</v>
          </cell>
          <cell r="D631">
            <v>16</v>
          </cell>
          <cell r="E631">
            <v>792030</v>
          </cell>
          <cell r="F631">
            <v>0</v>
          </cell>
          <cell r="G631" t="str">
            <v>Затраты по ШПЗ (неосновные)</v>
          </cell>
          <cell r="H631">
            <v>2030</v>
          </cell>
          <cell r="I631">
            <v>7920</v>
          </cell>
          <cell r="J631">
            <v>0.95</v>
          </cell>
          <cell r="K631">
            <v>1</v>
          </cell>
          <cell r="L631">
            <v>0</v>
          </cell>
          <cell r="M631">
            <v>0</v>
          </cell>
          <cell r="N631">
            <v>0</v>
          </cell>
          <cell r="R631">
            <v>0</v>
          </cell>
          <cell r="S631">
            <v>0</v>
          </cell>
          <cell r="T631">
            <v>0</v>
          </cell>
          <cell r="U631">
            <v>32</v>
          </cell>
          <cell r="V631">
            <v>0</v>
          </cell>
          <cell r="W631">
            <v>0</v>
          </cell>
          <cell r="AA631">
            <v>0</v>
          </cell>
          <cell r="AB631">
            <v>0</v>
          </cell>
          <cell r="AC631">
            <v>0</v>
          </cell>
          <cell r="AD631">
            <v>32</v>
          </cell>
          <cell r="AE631">
            <v>132000</v>
          </cell>
          <cell r="AF631">
            <v>0</v>
          </cell>
          <cell r="AI631">
            <v>2343</v>
          </cell>
          <cell r="AK631">
            <v>0</v>
          </cell>
          <cell r="AM631">
            <v>408</v>
          </cell>
          <cell r="AN631">
            <v>1</v>
          </cell>
          <cell r="AO631">
            <v>393216</v>
          </cell>
          <cell r="AQ631">
            <v>0</v>
          </cell>
          <cell r="AR631">
            <v>0</v>
          </cell>
          <cell r="AS631" t="str">
            <v>Ы</v>
          </cell>
          <cell r="AT631" t="str">
            <v>Ы</v>
          </cell>
          <cell r="AU631">
            <v>0</v>
          </cell>
          <cell r="AV631">
            <v>0</v>
          </cell>
          <cell r="AW631">
            <v>23</v>
          </cell>
          <cell r="AX631">
            <v>1</v>
          </cell>
          <cell r="AY631">
            <v>0</v>
          </cell>
          <cell r="AZ631">
            <v>0</v>
          </cell>
          <cell r="BA631">
            <v>0</v>
          </cell>
          <cell r="BB631">
            <v>0</v>
          </cell>
          <cell r="BC631">
            <v>38888</v>
          </cell>
        </row>
        <row r="632">
          <cell r="A632">
            <v>2006</v>
          </cell>
          <cell r="B632">
            <v>5</v>
          </cell>
          <cell r="C632">
            <v>257</v>
          </cell>
          <cell r="D632">
            <v>16</v>
          </cell>
          <cell r="E632">
            <v>792030</v>
          </cell>
          <cell r="F632">
            <v>0</v>
          </cell>
          <cell r="G632" t="str">
            <v>Затраты по ШПЗ (неосновные)</v>
          </cell>
          <cell r="H632">
            <v>2030</v>
          </cell>
          <cell r="I632">
            <v>7920</v>
          </cell>
          <cell r="J632">
            <v>10.78</v>
          </cell>
          <cell r="K632">
            <v>1</v>
          </cell>
          <cell r="L632">
            <v>0</v>
          </cell>
          <cell r="M632">
            <v>0</v>
          </cell>
          <cell r="N632">
            <v>0</v>
          </cell>
          <cell r="R632">
            <v>0</v>
          </cell>
          <cell r="S632">
            <v>0</v>
          </cell>
          <cell r="T632">
            <v>0</v>
          </cell>
          <cell r="U632">
            <v>32</v>
          </cell>
          <cell r="V632">
            <v>0</v>
          </cell>
          <cell r="W632">
            <v>0</v>
          </cell>
          <cell r="AA632">
            <v>0</v>
          </cell>
          <cell r="AB632">
            <v>0</v>
          </cell>
          <cell r="AC632">
            <v>0</v>
          </cell>
          <cell r="AD632">
            <v>32</v>
          </cell>
          <cell r="AE632">
            <v>133200</v>
          </cell>
          <cell r="AF632">
            <v>0</v>
          </cell>
          <cell r="AI632">
            <v>2343</v>
          </cell>
          <cell r="AK632">
            <v>0</v>
          </cell>
          <cell r="AM632">
            <v>409</v>
          </cell>
          <cell r="AN632">
            <v>1</v>
          </cell>
          <cell r="AO632">
            <v>393216</v>
          </cell>
          <cell r="AQ632">
            <v>0</v>
          </cell>
          <cell r="AR632">
            <v>0</v>
          </cell>
          <cell r="AS632" t="str">
            <v>Ы</v>
          </cell>
          <cell r="AT632" t="str">
            <v>Ы</v>
          </cell>
          <cell r="AU632">
            <v>0</v>
          </cell>
          <cell r="AV632">
            <v>0</v>
          </cell>
          <cell r="AW632">
            <v>23</v>
          </cell>
          <cell r="AX632">
            <v>1</v>
          </cell>
          <cell r="AY632">
            <v>0</v>
          </cell>
          <cell r="AZ632">
            <v>0</v>
          </cell>
          <cell r="BA632">
            <v>0</v>
          </cell>
          <cell r="BB632">
            <v>0</v>
          </cell>
          <cell r="BC632">
            <v>38888</v>
          </cell>
        </row>
        <row r="633">
          <cell r="A633">
            <v>2006</v>
          </cell>
          <cell r="B633">
            <v>5</v>
          </cell>
          <cell r="C633">
            <v>258</v>
          </cell>
          <cell r="D633">
            <v>16</v>
          </cell>
          <cell r="E633">
            <v>792030</v>
          </cell>
          <cell r="F633">
            <v>0</v>
          </cell>
          <cell r="G633" t="str">
            <v>Затраты по ШПЗ (неосновные)</v>
          </cell>
          <cell r="H633">
            <v>2030</v>
          </cell>
          <cell r="I633">
            <v>7920</v>
          </cell>
          <cell r="J633">
            <v>4.93</v>
          </cell>
          <cell r="K633">
            <v>1</v>
          </cell>
          <cell r="L633">
            <v>0</v>
          </cell>
          <cell r="M633">
            <v>0</v>
          </cell>
          <cell r="N633">
            <v>0</v>
          </cell>
          <cell r="R633">
            <v>0</v>
          </cell>
          <cell r="S633">
            <v>0</v>
          </cell>
          <cell r="T633">
            <v>0</v>
          </cell>
          <cell r="U633">
            <v>32</v>
          </cell>
          <cell r="V633">
            <v>0</v>
          </cell>
          <cell r="W633">
            <v>0</v>
          </cell>
          <cell r="AA633">
            <v>0</v>
          </cell>
          <cell r="AB633">
            <v>0</v>
          </cell>
          <cell r="AC633">
            <v>0</v>
          </cell>
          <cell r="AD633">
            <v>32</v>
          </cell>
          <cell r="AE633">
            <v>135000</v>
          </cell>
          <cell r="AF633">
            <v>0</v>
          </cell>
          <cell r="AI633">
            <v>2343</v>
          </cell>
          <cell r="AK633">
            <v>0</v>
          </cell>
          <cell r="AM633">
            <v>410</v>
          </cell>
          <cell r="AN633">
            <v>1</v>
          </cell>
          <cell r="AO633">
            <v>393216</v>
          </cell>
          <cell r="AQ633">
            <v>0</v>
          </cell>
          <cell r="AR633">
            <v>0</v>
          </cell>
          <cell r="AS633" t="str">
            <v>Ы</v>
          </cell>
          <cell r="AT633" t="str">
            <v>Ы</v>
          </cell>
          <cell r="AU633">
            <v>0</v>
          </cell>
          <cell r="AV633">
            <v>0</v>
          </cell>
          <cell r="AW633">
            <v>23</v>
          </cell>
          <cell r="AX633">
            <v>1</v>
          </cell>
          <cell r="AY633">
            <v>0</v>
          </cell>
          <cell r="AZ633">
            <v>0</v>
          </cell>
          <cell r="BA633">
            <v>0</v>
          </cell>
          <cell r="BB633">
            <v>0</v>
          </cell>
          <cell r="BC633">
            <v>38888</v>
          </cell>
        </row>
        <row r="634">
          <cell r="A634">
            <v>2006</v>
          </cell>
          <cell r="B634">
            <v>5</v>
          </cell>
          <cell r="C634">
            <v>259</v>
          </cell>
          <cell r="D634">
            <v>16</v>
          </cell>
          <cell r="E634">
            <v>792030</v>
          </cell>
          <cell r="F634">
            <v>0</v>
          </cell>
          <cell r="G634" t="str">
            <v>Затраты по ШПЗ (неосновные)</v>
          </cell>
          <cell r="H634">
            <v>2030</v>
          </cell>
          <cell r="I634">
            <v>7920</v>
          </cell>
          <cell r="J634">
            <v>44267.83</v>
          </cell>
          <cell r="K634">
            <v>1</v>
          </cell>
          <cell r="L634">
            <v>0</v>
          </cell>
          <cell r="M634">
            <v>0</v>
          </cell>
          <cell r="N634">
            <v>0</v>
          </cell>
          <cell r="R634">
            <v>0</v>
          </cell>
          <cell r="S634">
            <v>0</v>
          </cell>
          <cell r="T634">
            <v>0</v>
          </cell>
          <cell r="U634">
            <v>32</v>
          </cell>
          <cell r="V634">
            <v>0</v>
          </cell>
          <cell r="W634">
            <v>0</v>
          </cell>
          <cell r="AA634">
            <v>0</v>
          </cell>
          <cell r="AB634">
            <v>0</v>
          </cell>
          <cell r="AC634">
            <v>0</v>
          </cell>
          <cell r="AD634">
            <v>32</v>
          </cell>
          <cell r="AE634">
            <v>143000</v>
          </cell>
          <cell r="AF634">
            <v>0</v>
          </cell>
          <cell r="AI634">
            <v>2343</v>
          </cell>
          <cell r="AK634">
            <v>0</v>
          </cell>
          <cell r="AM634">
            <v>411</v>
          </cell>
          <cell r="AN634">
            <v>1</v>
          </cell>
          <cell r="AO634">
            <v>393216</v>
          </cell>
          <cell r="AQ634">
            <v>0</v>
          </cell>
          <cell r="AR634">
            <v>0</v>
          </cell>
          <cell r="AS634" t="str">
            <v>Ы</v>
          </cell>
          <cell r="AT634" t="str">
            <v>Ы</v>
          </cell>
          <cell r="AU634">
            <v>0</v>
          </cell>
          <cell r="AV634">
            <v>0</v>
          </cell>
          <cell r="AW634">
            <v>23</v>
          </cell>
          <cell r="AX634">
            <v>1</v>
          </cell>
          <cell r="AY634">
            <v>0</v>
          </cell>
          <cell r="AZ634">
            <v>0</v>
          </cell>
          <cell r="BA634">
            <v>0</v>
          </cell>
          <cell r="BB634">
            <v>0</v>
          </cell>
          <cell r="BC634">
            <v>38888</v>
          </cell>
        </row>
        <row r="635">
          <cell r="A635">
            <v>2006</v>
          </cell>
          <cell r="B635">
            <v>5</v>
          </cell>
          <cell r="C635">
            <v>260</v>
          </cell>
          <cell r="D635">
            <v>16</v>
          </cell>
          <cell r="E635">
            <v>792030</v>
          </cell>
          <cell r="F635">
            <v>0</v>
          </cell>
          <cell r="G635" t="str">
            <v>Затраты по ШПЗ (неосновные)</v>
          </cell>
          <cell r="H635">
            <v>2030</v>
          </cell>
          <cell r="I635">
            <v>7920</v>
          </cell>
          <cell r="J635">
            <v>133.16999999999999</v>
          </cell>
          <cell r="K635">
            <v>1</v>
          </cell>
          <cell r="L635">
            <v>0</v>
          </cell>
          <cell r="M635">
            <v>0</v>
          </cell>
          <cell r="N635">
            <v>0</v>
          </cell>
          <cell r="R635">
            <v>0</v>
          </cell>
          <cell r="S635">
            <v>0</v>
          </cell>
          <cell r="T635">
            <v>0</v>
          </cell>
          <cell r="U635">
            <v>32</v>
          </cell>
          <cell r="V635">
            <v>0</v>
          </cell>
          <cell r="W635">
            <v>0</v>
          </cell>
          <cell r="AA635">
            <v>0</v>
          </cell>
          <cell r="AB635">
            <v>0</v>
          </cell>
          <cell r="AC635">
            <v>0</v>
          </cell>
          <cell r="AD635">
            <v>32</v>
          </cell>
          <cell r="AE635">
            <v>151000</v>
          </cell>
          <cell r="AF635">
            <v>0</v>
          </cell>
          <cell r="AI635">
            <v>2343</v>
          </cell>
          <cell r="AK635">
            <v>0</v>
          </cell>
          <cell r="AM635">
            <v>412</v>
          </cell>
          <cell r="AN635">
            <v>1</v>
          </cell>
          <cell r="AO635">
            <v>393216</v>
          </cell>
          <cell r="AQ635">
            <v>0</v>
          </cell>
          <cell r="AR635">
            <v>0</v>
          </cell>
          <cell r="AS635" t="str">
            <v>Ы</v>
          </cell>
          <cell r="AT635" t="str">
            <v>Ы</v>
          </cell>
          <cell r="AU635">
            <v>0</v>
          </cell>
          <cell r="AV635">
            <v>0</v>
          </cell>
          <cell r="AW635">
            <v>23</v>
          </cell>
          <cell r="AX635">
            <v>1</v>
          </cell>
          <cell r="AY635">
            <v>0</v>
          </cell>
          <cell r="AZ635">
            <v>0</v>
          </cell>
          <cell r="BA635">
            <v>0</v>
          </cell>
          <cell r="BB635">
            <v>0</v>
          </cell>
          <cell r="BC635">
            <v>38888</v>
          </cell>
        </row>
        <row r="636">
          <cell r="A636">
            <v>2006</v>
          </cell>
          <cell r="B636">
            <v>5</v>
          </cell>
          <cell r="C636">
            <v>261</v>
          </cell>
          <cell r="D636">
            <v>16</v>
          </cell>
          <cell r="E636">
            <v>792030</v>
          </cell>
          <cell r="F636">
            <v>0</v>
          </cell>
          <cell r="G636" t="str">
            <v>Затраты по ШПЗ (неосновные)</v>
          </cell>
          <cell r="H636">
            <v>2030</v>
          </cell>
          <cell r="I636">
            <v>7920</v>
          </cell>
          <cell r="J636">
            <v>12.25</v>
          </cell>
          <cell r="K636">
            <v>1</v>
          </cell>
          <cell r="L636">
            <v>0</v>
          </cell>
          <cell r="M636">
            <v>0</v>
          </cell>
          <cell r="N636">
            <v>0</v>
          </cell>
          <cell r="R636">
            <v>0</v>
          </cell>
          <cell r="S636">
            <v>0</v>
          </cell>
          <cell r="T636">
            <v>0</v>
          </cell>
          <cell r="U636">
            <v>32</v>
          </cell>
          <cell r="V636">
            <v>0</v>
          </cell>
          <cell r="W636">
            <v>0</v>
          </cell>
          <cell r="AA636">
            <v>0</v>
          </cell>
          <cell r="AB636">
            <v>0</v>
          </cell>
          <cell r="AC636">
            <v>0</v>
          </cell>
          <cell r="AD636">
            <v>32</v>
          </cell>
          <cell r="AE636">
            <v>152000</v>
          </cell>
          <cell r="AF636">
            <v>0</v>
          </cell>
          <cell r="AI636">
            <v>2343</v>
          </cell>
          <cell r="AK636">
            <v>0</v>
          </cell>
          <cell r="AM636">
            <v>413</v>
          </cell>
          <cell r="AN636">
            <v>1</v>
          </cell>
          <cell r="AO636">
            <v>393216</v>
          </cell>
          <cell r="AQ636">
            <v>0</v>
          </cell>
          <cell r="AR636">
            <v>0</v>
          </cell>
          <cell r="AS636" t="str">
            <v>Ы</v>
          </cell>
          <cell r="AT636" t="str">
            <v>Ы</v>
          </cell>
          <cell r="AU636">
            <v>0</v>
          </cell>
          <cell r="AV636">
            <v>0</v>
          </cell>
          <cell r="AW636">
            <v>23</v>
          </cell>
          <cell r="AX636">
            <v>1</v>
          </cell>
          <cell r="AY636">
            <v>0</v>
          </cell>
          <cell r="AZ636">
            <v>0</v>
          </cell>
          <cell r="BA636">
            <v>0</v>
          </cell>
          <cell r="BB636">
            <v>0</v>
          </cell>
          <cell r="BC636">
            <v>38888</v>
          </cell>
        </row>
        <row r="637">
          <cell r="A637">
            <v>2006</v>
          </cell>
          <cell r="B637">
            <v>5</v>
          </cell>
          <cell r="C637">
            <v>262</v>
          </cell>
          <cell r="D637">
            <v>16</v>
          </cell>
          <cell r="E637">
            <v>792030</v>
          </cell>
          <cell r="F637">
            <v>0</v>
          </cell>
          <cell r="G637" t="str">
            <v>Затраты по ШПЗ (неосновные)</v>
          </cell>
          <cell r="H637">
            <v>2030</v>
          </cell>
          <cell r="I637">
            <v>7920</v>
          </cell>
          <cell r="J637">
            <v>968.73</v>
          </cell>
          <cell r="K637">
            <v>1</v>
          </cell>
          <cell r="L637">
            <v>0</v>
          </cell>
          <cell r="M637">
            <v>0</v>
          </cell>
          <cell r="N637">
            <v>0</v>
          </cell>
          <cell r="R637">
            <v>0</v>
          </cell>
          <cell r="S637">
            <v>0</v>
          </cell>
          <cell r="T637">
            <v>0</v>
          </cell>
          <cell r="U637">
            <v>32</v>
          </cell>
          <cell r="V637">
            <v>0</v>
          </cell>
          <cell r="W637">
            <v>0</v>
          </cell>
          <cell r="AA637">
            <v>0</v>
          </cell>
          <cell r="AB637">
            <v>0</v>
          </cell>
          <cell r="AC637">
            <v>0</v>
          </cell>
          <cell r="AD637">
            <v>32</v>
          </cell>
          <cell r="AE637">
            <v>220000</v>
          </cell>
          <cell r="AF637">
            <v>0</v>
          </cell>
          <cell r="AI637">
            <v>2343</v>
          </cell>
          <cell r="AK637">
            <v>0</v>
          </cell>
          <cell r="AM637">
            <v>414</v>
          </cell>
          <cell r="AN637">
            <v>1</v>
          </cell>
          <cell r="AO637">
            <v>393216</v>
          </cell>
          <cell r="AQ637">
            <v>0</v>
          </cell>
          <cell r="AR637">
            <v>0</v>
          </cell>
          <cell r="AS637" t="str">
            <v>Ы</v>
          </cell>
          <cell r="AT637" t="str">
            <v>Ы</v>
          </cell>
          <cell r="AU637">
            <v>0</v>
          </cell>
          <cell r="AV637">
            <v>0</v>
          </cell>
          <cell r="AW637">
            <v>23</v>
          </cell>
          <cell r="AX637">
            <v>1</v>
          </cell>
          <cell r="AY637">
            <v>0</v>
          </cell>
          <cell r="AZ637">
            <v>0</v>
          </cell>
          <cell r="BA637">
            <v>0</v>
          </cell>
          <cell r="BB637">
            <v>0</v>
          </cell>
          <cell r="BC637">
            <v>38888</v>
          </cell>
        </row>
        <row r="638">
          <cell r="A638">
            <v>2006</v>
          </cell>
          <cell r="B638">
            <v>5</v>
          </cell>
          <cell r="C638">
            <v>263</v>
          </cell>
          <cell r="D638">
            <v>16</v>
          </cell>
          <cell r="E638">
            <v>792030</v>
          </cell>
          <cell r="F638">
            <v>0</v>
          </cell>
          <cell r="G638" t="str">
            <v>Затраты по ШПЗ (неосновные)</v>
          </cell>
          <cell r="H638">
            <v>2030</v>
          </cell>
          <cell r="I638">
            <v>7920</v>
          </cell>
          <cell r="J638">
            <v>487.81</v>
          </cell>
          <cell r="K638">
            <v>1</v>
          </cell>
          <cell r="L638">
            <v>0</v>
          </cell>
          <cell r="M638">
            <v>0</v>
          </cell>
          <cell r="N638">
            <v>0</v>
          </cell>
          <cell r="R638">
            <v>0</v>
          </cell>
          <cell r="S638">
            <v>0</v>
          </cell>
          <cell r="T638">
            <v>0</v>
          </cell>
          <cell r="U638">
            <v>32</v>
          </cell>
          <cell r="V638">
            <v>0</v>
          </cell>
          <cell r="W638">
            <v>0</v>
          </cell>
          <cell r="AA638">
            <v>0</v>
          </cell>
          <cell r="AB638">
            <v>0</v>
          </cell>
          <cell r="AC638">
            <v>0</v>
          </cell>
          <cell r="AD638">
            <v>32</v>
          </cell>
          <cell r="AE638">
            <v>230000</v>
          </cell>
          <cell r="AF638">
            <v>0</v>
          </cell>
          <cell r="AI638">
            <v>2343</v>
          </cell>
          <cell r="AK638">
            <v>0</v>
          </cell>
          <cell r="AM638">
            <v>415</v>
          </cell>
          <cell r="AN638">
            <v>1</v>
          </cell>
          <cell r="AO638">
            <v>393216</v>
          </cell>
          <cell r="AQ638">
            <v>0</v>
          </cell>
          <cell r="AR638">
            <v>0</v>
          </cell>
          <cell r="AS638" t="str">
            <v>Ы</v>
          </cell>
          <cell r="AT638" t="str">
            <v>Ы</v>
          </cell>
          <cell r="AU638">
            <v>0</v>
          </cell>
          <cell r="AV638">
            <v>0</v>
          </cell>
          <cell r="AW638">
            <v>23</v>
          </cell>
          <cell r="AX638">
            <v>1</v>
          </cell>
          <cell r="AY638">
            <v>0</v>
          </cell>
          <cell r="AZ638">
            <v>0</v>
          </cell>
          <cell r="BA638">
            <v>0</v>
          </cell>
          <cell r="BB638">
            <v>0</v>
          </cell>
          <cell r="BC638">
            <v>38888</v>
          </cell>
        </row>
        <row r="639">
          <cell r="A639">
            <v>2006</v>
          </cell>
          <cell r="B639">
            <v>5</v>
          </cell>
          <cell r="C639">
            <v>264</v>
          </cell>
          <cell r="D639">
            <v>16</v>
          </cell>
          <cell r="E639">
            <v>792030</v>
          </cell>
          <cell r="F639">
            <v>0</v>
          </cell>
          <cell r="G639" t="str">
            <v>Затраты по ШПЗ (неосновные)</v>
          </cell>
          <cell r="H639">
            <v>2030</v>
          </cell>
          <cell r="I639">
            <v>7920</v>
          </cell>
          <cell r="J639">
            <v>592000</v>
          </cell>
          <cell r="K639">
            <v>1</v>
          </cell>
          <cell r="L639">
            <v>0</v>
          </cell>
          <cell r="M639">
            <v>0</v>
          </cell>
          <cell r="N639">
            <v>0</v>
          </cell>
          <cell r="R639">
            <v>0</v>
          </cell>
          <cell r="S639">
            <v>0</v>
          </cell>
          <cell r="T639">
            <v>0</v>
          </cell>
          <cell r="U639">
            <v>32</v>
          </cell>
          <cell r="V639">
            <v>0</v>
          </cell>
          <cell r="W639">
            <v>0</v>
          </cell>
          <cell r="AA639">
            <v>0</v>
          </cell>
          <cell r="AB639">
            <v>0</v>
          </cell>
          <cell r="AC639">
            <v>0</v>
          </cell>
          <cell r="AD639">
            <v>32</v>
          </cell>
          <cell r="AE639">
            <v>240000</v>
          </cell>
          <cell r="AF639">
            <v>0</v>
          </cell>
          <cell r="AI639">
            <v>2343</v>
          </cell>
          <cell r="AK639">
            <v>0</v>
          </cell>
          <cell r="AM639">
            <v>416</v>
          </cell>
          <cell r="AN639">
            <v>1</v>
          </cell>
          <cell r="AO639">
            <v>393216</v>
          </cell>
          <cell r="AQ639">
            <v>0</v>
          </cell>
          <cell r="AR639">
            <v>0</v>
          </cell>
          <cell r="AS639" t="str">
            <v>Ы</v>
          </cell>
          <cell r="AT639" t="str">
            <v>Ы</v>
          </cell>
          <cell r="AU639">
            <v>0</v>
          </cell>
          <cell r="AV639">
            <v>0</v>
          </cell>
          <cell r="AW639">
            <v>23</v>
          </cell>
          <cell r="AX639">
            <v>1</v>
          </cell>
          <cell r="AY639">
            <v>0</v>
          </cell>
          <cell r="AZ639">
            <v>0</v>
          </cell>
          <cell r="BA639">
            <v>0</v>
          </cell>
          <cell r="BB639">
            <v>0</v>
          </cell>
          <cell r="BC639">
            <v>38888</v>
          </cell>
        </row>
        <row r="640">
          <cell r="A640">
            <v>2006</v>
          </cell>
          <cell r="B640">
            <v>5</v>
          </cell>
          <cell r="C640">
            <v>265</v>
          </cell>
          <cell r="D640">
            <v>16</v>
          </cell>
          <cell r="E640">
            <v>792030</v>
          </cell>
          <cell r="F640">
            <v>0</v>
          </cell>
          <cell r="G640" t="str">
            <v>Затраты по ШПЗ (неосновные)</v>
          </cell>
          <cell r="H640">
            <v>2030</v>
          </cell>
          <cell r="I640">
            <v>7920</v>
          </cell>
          <cell r="J640">
            <v>172.53</v>
          </cell>
          <cell r="K640">
            <v>1</v>
          </cell>
          <cell r="L640">
            <v>0</v>
          </cell>
          <cell r="M640">
            <v>0</v>
          </cell>
          <cell r="N640">
            <v>0</v>
          </cell>
          <cell r="R640">
            <v>0</v>
          </cell>
          <cell r="S640">
            <v>0</v>
          </cell>
          <cell r="T640">
            <v>0</v>
          </cell>
          <cell r="U640">
            <v>32</v>
          </cell>
          <cell r="V640">
            <v>0</v>
          </cell>
          <cell r="W640">
            <v>0</v>
          </cell>
          <cell r="AA640">
            <v>0</v>
          </cell>
          <cell r="AB640">
            <v>0</v>
          </cell>
          <cell r="AC640">
            <v>0</v>
          </cell>
          <cell r="AD640">
            <v>32</v>
          </cell>
          <cell r="AE640">
            <v>260000</v>
          </cell>
          <cell r="AF640">
            <v>0</v>
          </cell>
          <cell r="AI640">
            <v>2343</v>
          </cell>
          <cell r="AK640">
            <v>0</v>
          </cell>
          <cell r="AM640">
            <v>417</v>
          </cell>
          <cell r="AN640">
            <v>1</v>
          </cell>
          <cell r="AO640">
            <v>393216</v>
          </cell>
          <cell r="AQ640">
            <v>0</v>
          </cell>
          <cell r="AR640">
            <v>0</v>
          </cell>
          <cell r="AS640" t="str">
            <v>Ы</v>
          </cell>
          <cell r="AT640" t="str">
            <v>Ы</v>
          </cell>
          <cell r="AU640">
            <v>0</v>
          </cell>
          <cell r="AV640">
            <v>0</v>
          </cell>
          <cell r="AW640">
            <v>23</v>
          </cell>
          <cell r="AX640">
            <v>1</v>
          </cell>
          <cell r="AY640">
            <v>0</v>
          </cell>
          <cell r="AZ640">
            <v>0</v>
          </cell>
          <cell r="BA640">
            <v>0</v>
          </cell>
          <cell r="BB640">
            <v>0</v>
          </cell>
          <cell r="BC640">
            <v>38888</v>
          </cell>
        </row>
        <row r="641">
          <cell r="A641">
            <v>2006</v>
          </cell>
          <cell r="B641">
            <v>5</v>
          </cell>
          <cell r="C641">
            <v>266</v>
          </cell>
          <cell r="D641">
            <v>16</v>
          </cell>
          <cell r="E641">
            <v>792030</v>
          </cell>
          <cell r="F641">
            <v>0</v>
          </cell>
          <cell r="G641" t="str">
            <v>Затраты по ШПЗ (неосновные)</v>
          </cell>
          <cell r="H641">
            <v>2030</v>
          </cell>
          <cell r="I641">
            <v>7920</v>
          </cell>
          <cell r="J641">
            <v>165.14</v>
          </cell>
          <cell r="K641">
            <v>1</v>
          </cell>
          <cell r="L641">
            <v>0</v>
          </cell>
          <cell r="M641">
            <v>0</v>
          </cell>
          <cell r="N641">
            <v>0</v>
          </cell>
          <cell r="R641">
            <v>0</v>
          </cell>
          <cell r="S641">
            <v>0</v>
          </cell>
          <cell r="T641">
            <v>0</v>
          </cell>
          <cell r="U641">
            <v>32</v>
          </cell>
          <cell r="V641">
            <v>0</v>
          </cell>
          <cell r="W641">
            <v>0</v>
          </cell>
          <cell r="AA641">
            <v>0</v>
          </cell>
          <cell r="AB641">
            <v>0</v>
          </cell>
          <cell r="AC641">
            <v>0</v>
          </cell>
          <cell r="AD641">
            <v>32</v>
          </cell>
          <cell r="AE641">
            <v>270000</v>
          </cell>
          <cell r="AF641">
            <v>0</v>
          </cell>
          <cell r="AI641">
            <v>2343</v>
          </cell>
          <cell r="AK641">
            <v>0</v>
          </cell>
          <cell r="AM641">
            <v>418</v>
          </cell>
          <cell r="AN641">
            <v>1</v>
          </cell>
          <cell r="AO641">
            <v>393216</v>
          </cell>
          <cell r="AQ641">
            <v>0</v>
          </cell>
          <cell r="AR641">
            <v>0</v>
          </cell>
          <cell r="AS641" t="str">
            <v>Ы</v>
          </cell>
          <cell r="AT641" t="str">
            <v>Ы</v>
          </cell>
          <cell r="AU641">
            <v>0</v>
          </cell>
          <cell r="AV641">
            <v>0</v>
          </cell>
          <cell r="AW641">
            <v>23</v>
          </cell>
          <cell r="AX641">
            <v>1</v>
          </cell>
          <cell r="AY641">
            <v>0</v>
          </cell>
          <cell r="AZ641">
            <v>0</v>
          </cell>
          <cell r="BA641">
            <v>0</v>
          </cell>
          <cell r="BB641">
            <v>0</v>
          </cell>
          <cell r="BC641">
            <v>38888</v>
          </cell>
        </row>
        <row r="642">
          <cell r="A642">
            <v>2006</v>
          </cell>
          <cell r="B642">
            <v>5</v>
          </cell>
          <cell r="C642">
            <v>267</v>
          </cell>
          <cell r="D642">
            <v>16</v>
          </cell>
          <cell r="E642">
            <v>792030</v>
          </cell>
          <cell r="F642">
            <v>0</v>
          </cell>
          <cell r="G642" t="str">
            <v>Затраты по ШПЗ (неосновные)</v>
          </cell>
          <cell r="H642">
            <v>2030</v>
          </cell>
          <cell r="I642">
            <v>7920</v>
          </cell>
          <cell r="J642">
            <v>6.47</v>
          </cell>
          <cell r="K642">
            <v>1</v>
          </cell>
          <cell r="L642">
            <v>0</v>
          </cell>
          <cell r="M642">
            <v>0</v>
          </cell>
          <cell r="N642">
            <v>0</v>
          </cell>
          <cell r="R642">
            <v>0</v>
          </cell>
          <cell r="S642">
            <v>0</v>
          </cell>
          <cell r="T642">
            <v>0</v>
          </cell>
          <cell r="U642">
            <v>32</v>
          </cell>
          <cell r="V642">
            <v>0</v>
          </cell>
          <cell r="W642">
            <v>0</v>
          </cell>
          <cell r="AA642">
            <v>0</v>
          </cell>
          <cell r="AB642">
            <v>0</v>
          </cell>
          <cell r="AC642">
            <v>0</v>
          </cell>
          <cell r="AD642">
            <v>32</v>
          </cell>
          <cell r="AE642">
            <v>280000</v>
          </cell>
          <cell r="AF642">
            <v>0</v>
          </cell>
          <cell r="AI642">
            <v>2343</v>
          </cell>
          <cell r="AK642">
            <v>0</v>
          </cell>
          <cell r="AM642">
            <v>419</v>
          </cell>
          <cell r="AN642">
            <v>1</v>
          </cell>
          <cell r="AO642">
            <v>393216</v>
          </cell>
          <cell r="AQ642">
            <v>0</v>
          </cell>
          <cell r="AR642">
            <v>0</v>
          </cell>
          <cell r="AS642" t="str">
            <v>Ы</v>
          </cell>
          <cell r="AT642" t="str">
            <v>Ы</v>
          </cell>
          <cell r="AU642">
            <v>0</v>
          </cell>
          <cell r="AV642">
            <v>0</v>
          </cell>
          <cell r="AW642">
            <v>23</v>
          </cell>
          <cell r="AX642">
            <v>1</v>
          </cell>
          <cell r="AY642">
            <v>0</v>
          </cell>
          <cell r="AZ642">
            <v>0</v>
          </cell>
          <cell r="BA642">
            <v>0</v>
          </cell>
          <cell r="BB642">
            <v>0</v>
          </cell>
          <cell r="BC642">
            <v>38888</v>
          </cell>
        </row>
        <row r="643">
          <cell r="A643">
            <v>2006</v>
          </cell>
          <cell r="B643">
            <v>5</v>
          </cell>
          <cell r="C643">
            <v>268</v>
          </cell>
          <cell r="D643">
            <v>16</v>
          </cell>
          <cell r="E643">
            <v>792030</v>
          </cell>
          <cell r="F643">
            <v>0</v>
          </cell>
          <cell r="G643" t="str">
            <v>Затраты по ШПЗ (неосновные)</v>
          </cell>
          <cell r="H643">
            <v>2030</v>
          </cell>
          <cell r="I643">
            <v>7920</v>
          </cell>
          <cell r="J643">
            <v>37.340000000000003</v>
          </cell>
          <cell r="K643">
            <v>1</v>
          </cell>
          <cell r="L643">
            <v>0</v>
          </cell>
          <cell r="M643">
            <v>0</v>
          </cell>
          <cell r="N643">
            <v>0</v>
          </cell>
          <cell r="R643">
            <v>0</v>
          </cell>
          <cell r="S643">
            <v>0</v>
          </cell>
          <cell r="T643">
            <v>0</v>
          </cell>
          <cell r="U643">
            <v>32</v>
          </cell>
          <cell r="V643">
            <v>0</v>
          </cell>
          <cell r="W643">
            <v>0</v>
          </cell>
          <cell r="AA643">
            <v>0</v>
          </cell>
          <cell r="AB643">
            <v>0</v>
          </cell>
          <cell r="AC643">
            <v>0</v>
          </cell>
          <cell r="AD643">
            <v>32</v>
          </cell>
          <cell r="AE643">
            <v>280100</v>
          </cell>
          <cell r="AF643">
            <v>0</v>
          </cell>
          <cell r="AI643">
            <v>2343</v>
          </cell>
          <cell r="AK643">
            <v>0</v>
          </cell>
          <cell r="AM643">
            <v>420</v>
          </cell>
          <cell r="AN643">
            <v>1</v>
          </cell>
          <cell r="AO643">
            <v>393216</v>
          </cell>
          <cell r="AQ643">
            <v>0</v>
          </cell>
          <cell r="AR643">
            <v>0</v>
          </cell>
          <cell r="AS643" t="str">
            <v>Ы</v>
          </cell>
          <cell r="AT643" t="str">
            <v>Ы</v>
          </cell>
          <cell r="AU643">
            <v>0</v>
          </cell>
          <cell r="AV643">
            <v>0</v>
          </cell>
          <cell r="AW643">
            <v>23</v>
          </cell>
          <cell r="AX643">
            <v>1</v>
          </cell>
          <cell r="AY643">
            <v>0</v>
          </cell>
          <cell r="AZ643">
            <v>0</v>
          </cell>
          <cell r="BA643">
            <v>0</v>
          </cell>
          <cell r="BB643">
            <v>0</v>
          </cell>
          <cell r="BC643">
            <v>38888</v>
          </cell>
        </row>
        <row r="644">
          <cell r="A644">
            <v>2006</v>
          </cell>
          <cell r="B644">
            <v>5</v>
          </cell>
          <cell r="C644">
            <v>269</v>
          </cell>
          <cell r="D644">
            <v>16</v>
          </cell>
          <cell r="E644">
            <v>792030</v>
          </cell>
          <cell r="F644">
            <v>0</v>
          </cell>
          <cell r="G644" t="str">
            <v>Затраты по ШПЗ (неосновные)</v>
          </cell>
          <cell r="H644">
            <v>2030</v>
          </cell>
          <cell r="I644">
            <v>7920</v>
          </cell>
          <cell r="J644">
            <v>8.2100000000000009</v>
          </cell>
          <cell r="K644">
            <v>1</v>
          </cell>
          <cell r="L644">
            <v>0</v>
          </cell>
          <cell r="M644">
            <v>0</v>
          </cell>
          <cell r="N644">
            <v>0</v>
          </cell>
          <cell r="R644">
            <v>0</v>
          </cell>
          <cell r="S644">
            <v>0</v>
          </cell>
          <cell r="T644">
            <v>0</v>
          </cell>
          <cell r="U644">
            <v>32</v>
          </cell>
          <cell r="V644">
            <v>0</v>
          </cell>
          <cell r="W644">
            <v>0</v>
          </cell>
          <cell r="AA644">
            <v>0</v>
          </cell>
          <cell r="AB644">
            <v>0</v>
          </cell>
          <cell r="AC644">
            <v>0</v>
          </cell>
          <cell r="AD644">
            <v>32</v>
          </cell>
          <cell r="AE644">
            <v>280200</v>
          </cell>
          <cell r="AF644">
            <v>0</v>
          </cell>
          <cell r="AI644">
            <v>2343</v>
          </cell>
          <cell r="AK644">
            <v>0</v>
          </cell>
          <cell r="AM644">
            <v>421</v>
          </cell>
          <cell r="AN644">
            <v>1</v>
          </cell>
          <cell r="AO644">
            <v>393216</v>
          </cell>
          <cell r="AQ644">
            <v>0</v>
          </cell>
          <cell r="AR644">
            <v>0</v>
          </cell>
          <cell r="AS644" t="str">
            <v>Ы</v>
          </cell>
          <cell r="AT644" t="str">
            <v>Ы</v>
          </cell>
          <cell r="AU644">
            <v>0</v>
          </cell>
          <cell r="AV644">
            <v>0</v>
          </cell>
          <cell r="AW644">
            <v>23</v>
          </cell>
          <cell r="AX644">
            <v>1</v>
          </cell>
          <cell r="AY644">
            <v>0</v>
          </cell>
          <cell r="AZ644">
            <v>0</v>
          </cell>
          <cell r="BA644">
            <v>0</v>
          </cell>
          <cell r="BB644">
            <v>0</v>
          </cell>
          <cell r="BC644">
            <v>38888</v>
          </cell>
        </row>
        <row r="645">
          <cell r="A645">
            <v>2006</v>
          </cell>
          <cell r="B645">
            <v>5</v>
          </cell>
          <cell r="C645">
            <v>270</v>
          </cell>
          <cell r="D645">
            <v>16</v>
          </cell>
          <cell r="E645">
            <v>792030</v>
          </cell>
          <cell r="F645">
            <v>0</v>
          </cell>
          <cell r="G645" t="str">
            <v>Затраты по ШПЗ (неосновные)</v>
          </cell>
          <cell r="H645">
            <v>2030</v>
          </cell>
          <cell r="I645">
            <v>7920</v>
          </cell>
          <cell r="J645">
            <v>13.87</v>
          </cell>
          <cell r="K645">
            <v>1</v>
          </cell>
          <cell r="L645">
            <v>0</v>
          </cell>
          <cell r="M645">
            <v>0</v>
          </cell>
          <cell r="N645">
            <v>0</v>
          </cell>
          <cell r="R645">
            <v>0</v>
          </cell>
          <cell r="S645">
            <v>0</v>
          </cell>
          <cell r="T645">
            <v>0</v>
          </cell>
          <cell r="U645">
            <v>32</v>
          </cell>
          <cell r="V645">
            <v>0</v>
          </cell>
          <cell r="W645">
            <v>0</v>
          </cell>
          <cell r="AA645">
            <v>0</v>
          </cell>
          <cell r="AB645">
            <v>0</v>
          </cell>
          <cell r="AC645">
            <v>0</v>
          </cell>
          <cell r="AD645">
            <v>32</v>
          </cell>
          <cell r="AE645">
            <v>280400</v>
          </cell>
          <cell r="AF645">
            <v>0</v>
          </cell>
          <cell r="AI645">
            <v>2343</v>
          </cell>
          <cell r="AK645">
            <v>0</v>
          </cell>
          <cell r="AM645">
            <v>422</v>
          </cell>
          <cell r="AN645">
            <v>1</v>
          </cell>
          <cell r="AO645">
            <v>393216</v>
          </cell>
          <cell r="AQ645">
            <v>0</v>
          </cell>
          <cell r="AR645">
            <v>0</v>
          </cell>
          <cell r="AS645" t="str">
            <v>Ы</v>
          </cell>
          <cell r="AT645" t="str">
            <v>Ы</v>
          </cell>
          <cell r="AU645">
            <v>0</v>
          </cell>
          <cell r="AV645">
            <v>0</v>
          </cell>
          <cell r="AW645">
            <v>23</v>
          </cell>
          <cell r="AX645">
            <v>1</v>
          </cell>
          <cell r="AY645">
            <v>0</v>
          </cell>
          <cell r="AZ645">
            <v>0</v>
          </cell>
          <cell r="BA645">
            <v>0</v>
          </cell>
          <cell r="BB645">
            <v>0</v>
          </cell>
          <cell r="BC645">
            <v>38888</v>
          </cell>
        </row>
        <row r="646">
          <cell r="A646">
            <v>2006</v>
          </cell>
          <cell r="B646">
            <v>5</v>
          </cell>
          <cell r="C646">
            <v>271</v>
          </cell>
          <cell r="D646">
            <v>16</v>
          </cell>
          <cell r="E646">
            <v>792030</v>
          </cell>
          <cell r="F646">
            <v>0</v>
          </cell>
          <cell r="G646" t="str">
            <v>Затраты по ШПЗ (неосновные)</v>
          </cell>
          <cell r="H646">
            <v>2030</v>
          </cell>
          <cell r="I646">
            <v>7920</v>
          </cell>
          <cell r="J646">
            <v>12.56</v>
          </cell>
          <cell r="K646">
            <v>1</v>
          </cell>
          <cell r="L646">
            <v>0</v>
          </cell>
          <cell r="M646">
            <v>0</v>
          </cell>
          <cell r="N646">
            <v>0</v>
          </cell>
          <cell r="R646">
            <v>0</v>
          </cell>
          <cell r="S646">
            <v>0</v>
          </cell>
          <cell r="T646">
            <v>0</v>
          </cell>
          <cell r="U646">
            <v>32</v>
          </cell>
          <cell r="V646">
            <v>0</v>
          </cell>
          <cell r="W646">
            <v>0</v>
          </cell>
          <cell r="AA646">
            <v>0</v>
          </cell>
          <cell r="AB646">
            <v>0</v>
          </cell>
          <cell r="AC646">
            <v>0</v>
          </cell>
          <cell r="AD646">
            <v>32</v>
          </cell>
          <cell r="AE646">
            <v>281100</v>
          </cell>
          <cell r="AF646">
            <v>0</v>
          </cell>
          <cell r="AI646">
            <v>2343</v>
          </cell>
          <cell r="AK646">
            <v>0</v>
          </cell>
          <cell r="AM646">
            <v>423</v>
          </cell>
          <cell r="AN646">
            <v>1</v>
          </cell>
          <cell r="AO646">
            <v>393216</v>
          </cell>
          <cell r="AQ646">
            <v>0</v>
          </cell>
          <cell r="AR646">
            <v>0</v>
          </cell>
          <cell r="AS646" t="str">
            <v>Ы</v>
          </cell>
          <cell r="AT646" t="str">
            <v>Ы</v>
          </cell>
          <cell r="AU646">
            <v>0</v>
          </cell>
          <cell r="AV646">
            <v>0</v>
          </cell>
          <cell r="AW646">
            <v>23</v>
          </cell>
          <cell r="AX646">
            <v>1</v>
          </cell>
          <cell r="AY646">
            <v>0</v>
          </cell>
          <cell r="AZ646">
            <v>0</v>
          </cell>
          <cell r="BA646">
            <v>0</v>
          </cell>
          <cell r="BB646">
            <v>0</v>
          </cell>
          <cell r="BC646">
            <v>38888</v>
          </cell>
        </row>
        <row r="647">
          <cell r="A647">
            <v>2006</v>
          </cell>
          <cell r="B647">
            <v>5</v>
          </cell>
          <cell r="C647">
            <v>272</v>
          </cell>
          <cell r="D647">
            <v>16</v>
          </cell>
          <cell r="E647">
            <v>792030</v>
          </cell>
          <cell r="F647">
            <v>0</v>
          </cell>
          <cell r="G647" t="str">
            <v>Затраты по ШПЗ (неосновные)</v>
          </cell>
          <cell r="H647">
            <v>2030</v>
          </cell>
          <cell r="I647">
            <v>7920</v>
          </cell>
          <cell r="J647">
            <v>0.14000000000000001</v>
          </cell>
          <cell r="K647">
            <v>1</v>
          </cell>
          <cell r="L647">
            <v>0</v>
          </cell>
          <cell r="M647">
            <v>0</v>
          </cell>
          <cell r="N647">
            <v>0</v>
          </cell>
          <cell r="R647">
            <v>0</v>
          </cell>
          <cell r="S647">
            <v>0</v>
          </cell>
          <cell r="T647">
            <v>0</v>
          </cell>
          <cell r="U647">
            <v>32</v>
          </cell>
          <cell r="V647">
            <v>0</v>
          </cell>
          <cell r="W647">
            <v>0</v>
          </cell>
          <cell r="AA647">
            <v>0</v>
          </cell>
          <cell r="AB647">
            <v>0</v>
          </cell>
          <cell r="AC647">
            <v>0</v>
          </cell>
          <cell r="AD647">
            <v>32</v>
          </cell>
          <cell r="AE647">
            <v>282200</v>
          </cell>
          <cell r="AF647">
            <v>0</v>
          </cell>
          <cell r="AI647">
            <v>2343</v>
          </cell>
          <cell r="AK647">
            <v>0</v>
          </cell>
          <cell r="AM647">
            <v>424</v>
          </cell>
          <cell r="AN647">
            <v>1</v>
          </cell>
          <cell r="AO647">
            <v>393216</v>
          </cell>
          <cell r="AQ647">
            <v>0</v>
          </cell>
          <cell r="AR647">
            <v>0</v>
          </cell>
          <cell r="AS647" t="str">
            <v>Ы</v>
          </cell>
          <cell r="AT647" t="str">
            <v>Ы</v>
          </cell>
          <cell r="AU647">
            <v>0</v>
          </cell>
          <cell r="AV647">
            <v>0</v>
          </cell>
          <cell r="AW647">
            <v>23</v>
          </cell>
          <cell r="AX647">
            <v>1</v>
          </cell>
          <cell r="AY647">
            <v>0</v>
          </cell>
          <cell r="AZ647">
            <v>0</v>
          </cell>
          <cell r="BA647">
            <v>0</v>
          </cell>
          <cell r="BB647">
            <v>0</v>
          </cell>
          <cell r="BC647">
            <v>38888</v>
          </cell>
        </row>
        <row r="648">
          <cell r="A648">
            <v>2006</v>
          </cell>
          <cell r="B648">
            <v>5</v>
          </cell>
          <cell r="C648">
            <v>273</v>
          </cell>
          <cell r="D648">
            <v>16</v>
          </cell>
          <cell r="E648">
            <v>792030</v>
          </cell>
          <cell r="F648">
            <v>0</v>
          </cell>
          <cell r="G648" t="str">
            <v>Затраты по ШПЗ (неосновные)</v>
          </cell>
          <cell r="H648">
            <v>2030</v>
          </cell>
          <cell r="I648">
            <v>7920</v>
          </cell>
          <cell r="J648">
            <v>108.66</v>
          </cell>
          <cell r="K648">
            <v>1</v>
          </cell>
          <cell r="L648">
            <v>0</v>
          </cell>
          <cell r="M648">
            <v>0</v>
          </cell>
          <cell r="N648">
            <v>0</v>
          </cell>
          <cell r="R648">
            <v>0</v>
          </cell>
          <cell r="S648">
            <v>0</v>
          </cell>
          <cell r="T648">
            <v>0</v>
          </cell>
          <cell r="U648">
            <v>32</v>
          </cell>
          <cell r="V648">
            <v>0</v>
          </cell>
          <cell r="W648">
            <v>0</v>
          </cell>
          <cell r="AA648">
            <v>0</v>
          </cell>
          <cell r="AB648">
            <v>0</v>
          </cell>
          <cell r="AC648">
            <v>0</v>
          </cell>
          <cell r="AD648">
            <v>32</v>
          </cell>
          <cell r="AE648">
            <v>283000</v>
          </cell>
          <cell r="AF648">
            <v>0</v>
          </cell>
          <cell r="AI648">
            <v>2343</v>
          </cell>
          <cell r="AK648">
            <v>0</v>
          </cell>
          <cell r="AM648">
            <v>425</v>
          </cell>
          <cell r="AN648">
            <v>1</v>
          </cell>
          <cell r="AO648">
            <v>393216</v>
          </cell>
          <cell r="AQ648">
            <v>0</v>
          </cell>
          <cell r="AR648">
            <v>0</v>
          </cell>
          <cell r="AS648" t="str">
            <v>Ы</v>
          </cell>
          <cell r="AT648" t="str">
            <v>Ы</v>
          </cell>
          <cell r="AU648">
            <v>0</v>
          </cell>
          <cell r="AV648">
            <v>0</v>
          </cell>
          <cell r="AW648">
            <v>23</v>
          </cell>
          <cell r="AX648">
            <v>1</v>
          </cell>
          <cell r="AY648">
            <v>0</v>
          </cell>
          <cell r="AZ648">
            <v>0</v>
          </cell>
          <cell r="BA648">
            <v>0</v>
          </cell>
          <cell r="BB648">
            <v>0</v>
          </cell>
          <cell r="BC648">
            <v>38888</v>
          </cell>
        </row>
        <row r="649">
          <cell r="A649">
            <v>2006</v>
          </cell>
          <cell r="B649">
            <v>5</v>
          </cell>
          <cell r="C649">
            <v>274</v>
          </cell>
          <cell r="D649">
            <v>16</v>
          </cell>
          <cell r="E649">
            <v>792030</v>
          </cell>
          <cell r="F649">
            <v>0</v>
          </cell>
          <cell r="G649" t="str">
            <v>Затраты по ШПЗ (неосновные)</v>
          </cell>
          <cell r="H649">
            <v>2030</v>
          </cell>
          <cell r="I649">
            <v>7920</v>
          </cell>
          <cell r="J649">
            <v>7.5</v>
          </cell>
          <cell r="K649">
            <v>1</v>
          </cell>
          <cell r="L649">
            <v>0</v>
          </cell>
          <cell r="M649">
            <v>0</v>
          </cell>
          <cell r="N649">
            <v>0</v>
          </cell>
          <cell r="R649">
            <v>0</v>
          </cell>
          <cell r="S649">
            <v>0</v>
          </cell>
          <cell r="T649">
            <v>0</v>
          </cell>
          <cell r="U649">
            <v>32</v>
          </cell>
          <cell r="V649">
            <v>0</v>
          </cell>
          <cell r="W649">
            <v>0</v>
          </cell>
          <cell r="AA649">
            <v>0</v>
          </cell>
          <cell r="AB649">
            <v>0</v>
          </cell>
          <cell r="AC649">
            <v>0</v>
          </cell>
          <cell r="AD649">
            <v>32</v>
          </cell>
          <cell r="AE649">
            <v>285000</v>
          </cell>
          <cell r="AF649">
            <v>0</v>
          </cell>
          <cell r="AI649">
            <v>2343</v>
          </cell>
          <cell r="AK649">
            <v>0</v>
          </cell>
          <cell r="AM649">
            <v>426</v>
          </cell>
          <cell r="AN649">
            <v>1</v>
          </cell>
          <cell r="AO649">
            <v>393216</v>
          </cell>
          <cell r="AQ649">
            <v>0</v>
          </cell>
          <cell r="AR649">
            <v>0</v>
          </cell>
          <cell r="AS649" t="str">
            <v>Ы</v>
          </cell>
          <cell r="AT649" t="str">
            <v>Ы</v>
          </cell>
          <cell r="AU649">
            <v>0</v>
          </cell>
          <cell r="AV649">
            <v>0</v>
          </cell>
          <cell r="AW649">
            <v>23</v>
          </cell>
          <cell r="AX649">
            <v>1</v>
          </cell>
          <cell r="AY649">
            <v>0</v>
          </cell>
          <cell r="AZ649">
            <v>0</v>
          </cell>
          <cell r="BA649">
            <v>0</v>
          </cell>
          <cell r="BB649">
            <v>0</v>
          </cell>
          <cell r="BC649">
            <v>38888</v>
          </cell>
        </row>
        <row r="650">
          <cell r="A650">
            <v>2006</v>
          </cell>
          <cell r="B650">
            <v>5</v>
          </cell>
          <cell r="C650">
            <v>275</v>
          </cell>
          <cell r="D650">
            <v>16</v>
          </cell>
          <cell r="E650">
            <v>792030</v>
          </cell>
          <cell r="F650">
            <v>0</v>
          </cell>
          <cell r="G650" t="str">
            <v>Затраты по ШПЗ (неосновные)</v>
          </cell>
          <cell r="H650">
            <v>2030</v>
          </cell>
          <cell r="I650">
            <v>7920</v>
          </cell>
          <cell r="J650">
            <v>17065.61</v>
          </cell>
          <cell r="K650">
            <v>1</v>
          </cell>
          <cell r="L650">
            <v>0</v>
          </cell>
          <cell r="M650">
            <v>0</v>
          </cell>
          <cell r="N650">
            <v>0</v>
          </cell>
          <cell r="R650">
            <v>0</v>
          </cell>
          <cell r="S650">
            <v>0</v>
          </cell>
          <cell r="T650">
            <v>0</v>
          </cell>
          <cell r="U650">
            <v>32</v>
          </cell>
          <cell r="V650">
            <v>0</v>
          </cell>
          <cell r="W650">
            <v>0</v>
          </cell>
          <cell r="AA650">
            <v>0</v>
          </cell>
          <cell r="AB650">
            <v>0</v>
          </cell>
          <cell r="AC650">
            <v>0</v>
          </cell>
          <cell r="AD650">
            <v>32</v>
          </cell>
          <cell r="AE650">
            <v>311000</v>
          </cell>
          <cell r="AF650">
            <v>0</v>
          </cell>
          <cell r="AI650">
            <v>2343</v>
          </cell>
          <cell r="AK650">
            <v>0</v>
          </cell>
          <cell r="AM650">
            <v>427</v>
          </cell>
          <cell r="AN650">
            <v>1</v>
          </cell>
          <cell r="AO650">
            <v>393216</v>
          </cell>
          <cell r="AQ650">
            <v>0</v>
          </cell>
          <cell r="AR650">
            <v>0</v>
          </cell>
          <cell r="AS650" t="str">
            <v>Ы</v>
          </cell>
          <cell r="AT650" t="str">
            <v>Ы</v>
          </cell>
          <cell r="AU650">
            <v>0</v>
          </cell>
          <cell r="AV650">
            <v>0</v>
          </cell>
          <cell r="AW650">
            <v>23</v>
          </cell>
          <cell r="AX650">
            <v>1</v>
          </cell>
          <cell r="AY650">
            <v>0</v>
          </cell>
          <cell r="AZ650">
            <v>0</v>
          </cell>
          <cell r="BA650">
            <v>0</v>
          </cell>
          <cell r="BB650">
            <v>0</v>
          </cell>
          <cell r="BC650">
            <v>38888</v>
          </cell>
        </row>
        <row r="651">
          <cell r="A651">
            <v>2006</v>
          </cell>
          <cell r="B651">
            <v>5</v>
          </cell>
          <cell r="C651">
            <v>276</v>
          </cell>
          <cell r="D651">
            <v>16</v>
          </cell>
          <cell r="E651">
            <v>792030</v>
          </cell>
          <cell r="F651">
            <v>0</v>
          </cell>
          <cell r="G651" t="str">
            <v>Затраты по ШПЗ (неосновные)</v>
          </cell>
          <cell r="H651">
            <v>2030</v>
          </cell>
          <cell r="I651">
            <v>7920</v>
          </cell>
          <cell r="J651">
            <v>118465.55</v>
          </cell>
          <cell r="K651">
            <v>1</v>
          </cell>
          <cell r="L651">
            <v>0</v>
          </cell>
          <cell r="M651">
            <v>0</v>
          </cell>
          <cell r="N651">
            <v>0</v>
          </cell>
          <cell r="R651">
            <v>0</v>
          </cell>
          <cell r="S651">
            <v>0</v>
          </cell>
          <cell r="T651">
            <v>0</v>
          </cell>
          <cell r="U651">
            <v>32</v>
          </cell>
          <cell r="V651">
            <v>0</v>
          </cell>
          <cell r="W651">
            <v>0</v>
          </cell>
          <cell r="AA651">
            <v>0</v>
          </cell>
          <cell r="AB651">
            <v>0</v>
          </cell>
          <cell r="AC651">
            <v>0</v>
          </cell>
          <cell r="AD651">
            <v>32</v>
          </cell>
          <cell r="AE651">
            <v>312000</v>
          </cell>
          <cell r="AF651">
            <v>0</v>
          </cell>
          <cell r="AI651">
            <v>2343</v>
          </cell>
          <cell r="AK651">
            <v>0</v>
          </cell>
          <cell r="AM651">
            <v>428</v>
          </cell>
          <cell r="AN651">
            <v>1</v>
          </cell>
          <cell r="AO651">
            <v>393216</v>
          </cell>
          <cell r="AQ651">
            <v>0</v>
          </cell>
          <cell r="AR651">
            <v>0</v>
          </cell>
          <cell r="AS651" t="str">
            <v>Ы</v>
          </cell>
          <cell r="AT651" t="str">
            <v>Ы</v>
          </cell>
          <cell r="AU651">
            <v>0</v>
          </cell>
          <cell r="AV651">
            <v>0</v>
          </cell>
          <cell r="AW651">
            <v>23</v>
          </cell>
          <cell r="AX651">
            <v>1</v>
          </cell>
          <cell r="AY651">
            <v>0</v>
          </cell>
          <cell r="AZ651">
            <v>0</v>
          </cell>
          <cell r="BA651">
            <v>0</v>
          </cell>
          <cell r="BB651">
            <v>0</v>
          </cell>
          <cell r="BC651">
            <v>38888</v>
          </cell>
        </row>
        <row r="652">
          <cell r="A652">
            <v>2006</v>
          </cell>
          <cell r="B652">
            <v>5</v>
          </cell>
          <cell r="C652">
            <v>277</v>
          </cell>
          <cell r="D652">
            <v>16</v>
          </cell>
          <cell r="E652">
            <v>792030</v>
          </cell>
          <cell r="F652">
            <v>0</v>
          </cell>
          <cell r="G652" t="str">
            <v>Затраты по ШПЗ (неосновные)</v>
          </cell>
          <cell r="H652">
            <v>2030</v>
          </cell>
          <cell r="I652">
            <v>7920</v>
          </cell>
          <cell r="J652">
            <v>6473.15</v>
          </cell>
          <cell r="K652">
            <v>1</v>
          </cell>
          <cell r="L652">
            <v>0</v>
          </cell>
          <cell r="M652">
            <v>0</v>
          </cell>
          <cell r="N652">
            <v>0</v>
          </cell>
          <cell r="R652">
            <v>0</v>
          </cell>
          <cell r="S652">
            <v>0</v>
          </cell>
          <cell r="T652">
            <v>0</v>
          </cell>
          <cell r="U652">
            <v>32</v>
          </cell>
          <cell r="V652">
            <v>0</v>
          </cell>
          <cell r="W652">
            <v>0</v>
          </cell>
          <cell r="AA652">
            <v>0</v>
          </cell>
          <cell r="AB652">
            <v>0</v>
          </cell>
          <cell r="AC652">
            <v>0</v>
          </cell>
          <cell r="AD652">
            <v>32</v>
          </cell>
          <cell r="AE652">
            <v>313000</v>
          </cell>
          <cell r="AF652">
            <v>0</v>
          </cell>
          <cell r="AI652">
            <v>2343</v>
          </cell>
          <cell r="AK652">
            <v>0</v>
          </cell>
          <cell r="AM652">
            <v>429</v>
          </cell>
          <cell r="AN652">
            <v>1</v>
          </cell>
          <cell r="AO652">
            <v>393216</v>
          </cell>
          <cell r="AQ652">
            <v>0</v>
          </cell>
          <cell r="AR652">
            <v>0</v>
          </cell>
          <cell r="AS652" t="str">
            <v>Ы</v>
          </cell>
          <cell r="AT652" t="str">
            <v>Ы</v>
          </cell>
          <cell r="AU652">
            <v>0</v>
          </cell>
          <cell r="AV652">
            <v>0</v>
          </cell>
          <cell r="AW652">
            <v>23</v>
          </cell>
          <cell r="AX652">
            <v>1</v>
          </cell>
          <cell r="AY652">
            <v>0</v>
          </cell>
          <cell r="AZ652">
            <v>0</v>
          </cell>
          <cell r="BA652">
            <v>0</v>
          </cell>
          <cell r="BB652">
            <v>0</v>
          </cell>
          <cell r="BC652">
            <v>38888</v>
          </cell>
        </row>
        <row r="653">
          <cell r="A653">
            <v>2006</v>
          </cell>
          <cell r="B653">
            <v>5</v>
          </cell>
          <cell r="C653">
            <v>278</v>
          </cell>
          <cell r="D653">
            <v>16</v>
          </cell>
          <cell r="E653">
            <v>792030</v>
          </cell>
          <cell r="F653">
            <v>0</v>
          </cell>
          <cell r="G653" t="str">
            <v>Затраты по ШПЗ (неосновные)</v>
          </cell>
          <cell r="H653">
            <v>2030</v>
          </cell>
          <cell r="I653">
            <v>7920</v>
          </cell>
          <cell r="J653">
            <v>11769.39</v>
          </cell>
          <cell r="K653">
            <v>1</v>
          </cell>
          <cell r="L653">
            <v>0</v>
          </cell>
          <cell r="M653">
            <v>0</v>
          </cell>
          <cell r="N653">
            <v>0</v>
          </cell>
          <cell r="R653">
            <v>0</v>
          </cell>
          <cell r="S653">
            <v>0</v>
          </cell>
          <cell r="T653">
            <v>0</v>
          </cell>
          <cell r="U653">
            <v>32</v>
          </cell>
          <cell r="V653">
            <v>0</v>
          </cell>
          <cell r="W653">
            <v>0</v>
          </cell>
          <cell r="AA653">
            <v>0</v>
          </cell>
          <cell r="AB653">
            <v>0</v>
          </cell>
          <cell r="AC653">
            <v>0</v>
          </cell>
          <cell r="AD653">
            <v>32</v>
          </cell>
          <cell r="AE653">
            <v>314000</v>
          </cell>
          <cell r="AF653">
            <v>0</v>
          </cell>
          <cell r="AI653">
            <v>2343</v>
          </cell>
          <cell r="AK653">
            <v>0</v>
          </cell>
          <cell r="AM653">
            <v>430</v>
          </cell>
          <cell r="AN653">
            <v>1</v>
          </cell>
          <cell r="AO653">
            <v>393216</v>
          </cell>
          <cell r="AQ653">
            <v>0</v>
          </cell>
          <cell r="AR653">
            <v>0</v>
          </cell>
          <cell r="AS653" t="str">
            <v>Ы</v>
          </cell>
          <cell r="AT653" t="str">
            <v>Ы</v>
          </cell>
          <cell r="AU653">
            <v>0</v>
          </cell>
          <cell r="AV653">
            <v>0</v>
          </cell>
          <cell r="AW653">
            <v>23</v>
          </cell>
          <cell r="AX653">
            <v>1</v>
          </cell>
          <cell r="AY653">
            <v>0</v>
          </cell>
          <cell r="AZ653">
            <v>0</v>
          </cell>
          <cell r="BA653">
            <v>0</v>
          </cell>
          <cell r="BB653">
            <v>0</v>
          </cell>
          <cell r="BC653">
            <v>38888</v>
          </cell>
        </row>
        <row r="654">
          <cell r="A654">
            <v>2006</v>
          </cell>
          <cell r="B654">
            <v>5</v>
          </cell>
          <cell r="C654">
            <v>279</v>
          </cell>
          <cell r="D654">
            <v>16</v>
          </cell>
          <cell r="E654">
            <v>792030</v>
          </cell>
          <cell r="F654">
            <v>0</v>
          </cell>
          <cell r="G654" t="str">
            <v>Затраты по ШПЗ (неосновные)</v>
          </cell>
          <cell r="H654">
            <v>2030</v>
          </cell>
          <cell r="I654">
            <v>7920</v>
          </cell>
          <cell r="J654">
            <v>2367.11</v>
          </cell>
          <cell r="K654">
            <v>1</v>
          </cell>
          <cell r="L654">
            <v>0</v>
          </cell>
          <cell r="M654">
            <v>0</v>
          </cell>
          <cell r="N654">
            <v>0</v>
          </cell>
          <cell r="R654">
            <v>0</v>
          </cell>
          <cell r="S654">
            <v>0</v>
          </cell>
          <cell r="T654">
            <v>0</v>
          </cell>
          <cell r="U654">
            <v>32</v>
          </cell>
          <cell r="V654">
            <v>0</v>
          </cell>
          <cell r="W654">
            <v>0</v>
          </cell>
          <cell r="AA654">
            <v>0</v>
          </cell>
          <cell r="AB654">
            <v>0</v>
          </cell>
          <cell r="AC654">
            <v>0</v>
          </cell>
          <cell r="AD654">
            <v>32</v>
          </cell>
          <cell r="AE654">
            <v>315000</v>
          </cell>
          <cell r="AF654">
            <v>0</v>
          </cell>
          <cell r="AI654">
            <v>2343</v>
          </cell>
          <cell r="AK654">
            <v>0</v>
          </cell>
          <cell r="AM654">
            <v>431</v>
          </cell>
          <cell r="AN654">
            <v>1</v>
          </cell>
          <cell r="AO654">
            <v>393216</v>
          </cell>
          <cell r="AQ654">
            <v>0</v>
          </cell>
          <cell r="AR654">
            <v>0</v>
          </cell>
          <cell r="AS654" t="str">
            <v>Ы</v>
          </cell>
          <cell r="AT654" t="str">
            <v>Ы</v>
          </cell>
          <cell r="AU654">
            <v>0</v>
          </cell>
          <cell r="AV654">
            <v>0</v>
          </cell>
          <cell r="AW654">
            <v>23</v>
          </cell>
          <cell r="AX654">
            <v>1</v>
          </cell>
          <cell r="AY654">
            <v>0</v>
          </cell>
          <cell r="AZ654">
            <v>0</v>
          </cell>
          <cell r="BA654">
            <v>0</v>
          </cell>
          <cell r="BB654">
            <v>0</v>
          </cell>
          <cell r="BC654">
            <v>38888</v>
          </cell>
        </row>
        <row r="655">
          <cell r="A655">
            <v>2006</v>
          </cell>
          <cell r="B655">
            <v>5</v>
          </cell>
          <cell r="C655">
            <v>280</v>
          </cell>
          <cell r="D655">
            <v>16</v>
          </cell>
          <cell r="E655">
            <v>792030</v>
          </cell>
          <cell r="F655">
            <v>0</v>
          </cell>
          <cell r="G655" t="str">
            <v>Затраты по ШПЗ (неосновные)</v>
          </cell>
          <cell r="H655">
            <v>2030</v>
          </cell>
          <cell r="I655">
            <v>7920</v>
          </cell>
          <cell r="J655">
            <v>3.41</v>
          </cell>
          <cell r="K655">
            <v>1</v>
          </cell>
          <cell r="L655">
            <v>0</v>
          </cell>
          <cell r="M655">
            <v>0</v>
          </cell>
          <cell r="N655">
            <v>0</v>
          </cell>
          <cell r="R655">
            <v>0</v>
          </cell>
          <cell r="S655">
            <v>0</v>
          </cell>
          <cell r="T655">
            <v>0</v>
          </cell>
          <cell r="U655">
            <v>32</v>
          </cell>
          <cell r="V655">
            <v>0</v>
          </cell>
          <cell r="W655">
            <v>0</v>
          </cell>
          <cell r="AA655">
            <v>0</v>
          </cell>
          <cell r="AB655">
            <v>0</v>
          </cell>
          <cell r="AC655">
            <v>0</v>
          </cell>
          <cell r="AD655">
            <v>32</v>
          </cell>
          <cell r="AE655">
            <v>410000</v>
          </cell>
          <cell r="AF655">
            <v>0</v>
          </cell>
          <cell r="AI655">
            <v>2343</v>
          </cell>
          <cell r="AK655">
            <v>0</v>
          </cell>
          <cell r="AM655">
            <v>432</v>
          </cell>
          <cell r="AN655">
            <v>1</v>
          </cell>
          <cell r="AO655">
            <v>393216</v>
          </cell>
          <cell r="AQ655">
            <v>0</v>
          </cell>
          <cell r="AR655">
            <v>0</v>
          </cell>
          <cell r="AS655" t="str">
            <v>Ы</v>
          </cell>
          <cell r="AT655" t="str">
            <v>Ы</v>
          </cell>
          <cell r="AU655">
            <v>0</v>
          </cell>
          <cell r="AV655">
            <v>0</v>
          </cell>
          <cell r="AW655">
            <v>23</v>
          </cell>
          <cell r="AX655">
            <v>1</v>
          </cell>
          <cell r="AY655">
            <v>0</v>
          </cell>
          <cell r="AZ655">
            <v>0</v>
          </cell>
          <cell r="BA655">
            <v>0</v>
          </cell>
          <cell r="BB655">
            <v>0</v>
          </cell>
          <cell r="BC655">
            <v>38888</v>
          </cell>
        </row>
        <row r="656">
          <cell r="A656">
            <v>2006</v>
          </cell>
          <cell r="B656">
            <v>5</v>
          </cell>
          <cell r="C656">
            <v>281</v>
          </cell>
          <cell r="D656">
            <v>16</v>
          </cell>
          <cell r="E656">
            <v>792030</v>
          </cell>
          <cell r="F656">
            <v>0</v>
          </cell>
          <cell r="G656" t="str">
            <v>Затраты по ШПЗ (неосновные)</v>
          </cell>
          <cell r="H656">
            <v>2030</v>
          </cell>
          <cell r="I656">
            <v>7920</v>
          </cell>
          <cell r="J656">
            <v>279.2</v>
          </cell>
          <cell r="K656">
            <v>1</v>
          </cell>
          <cell r="L656">
            <v>0</v>
          </cell>
          <cell r="M656">
            <v>0</v>
          </cell>
          <cell r="N656">
            <v>0</v>
          </cell>
          <cell r="R656">
            <v>0</v>
          </cell>
          <cell r="S656">
            <v>0</v>
          </cell>
          <cell r="T656">
            <v>0</v>
          </cell>
          <cell r="U656">
            <v>32</v>
          </cell>
          <cell r="V656">
            <v>0</v>
          </cell>
          <cell r="W656">
            <v>0</v>
          </cell>
          <cell r="AA656">
            <v>0</v>
          </cell>
          <cell r="AB656">
            <v>0</v>
          </cell>
          <cell r="AC656">
            <v>0</v>
          </cell>
          <cell r="AD656">
            <v>32</v>
          </cell>
          <cell r="AE656">
            <v>420000</v>
          </cell>
          <cell r="AF656">
            <v>0</v>
          </cell>
          <cell r="AI656">
            <v>2343</v>
          </cell>
          <cell r="AK656">
            <v>0</v>
          </cell>
          <cell r="AM656">
            <v>433</v>
          </cell>
          <cell r="AN656">
            <v>1</v>
          </cell>
          <cell r="AO656">
            <v>393216</v>
          </cell>
          <cell r="AQ656">
            <v>0</v>
          </cell>
          <cell r="AR656">
            <v>0</v>
          </cell>
          <cell r="AS656" t="str">
            <v>Ы</v>
          </cell>
          <cell r="AT656" t="str">
            <v>Ы</v>
          </cell>
          <cell r="AU656">
            <v>0</v>
          </cell>
          <cell r="AV656">
            <v>0</v>
          </cell>
          <cell r="AW656">
            <v>23</v>
          </cell>
          <cell r="AX656">
            <v>1</v>
          </cell>
          <cell r="AY656">
            <v>0</v>
          </cell>
          <cell r="AZ656">
            <v>0</v>
          </cell>
          <cell r="BA656">
            <v>0</v>
          </cell>
          <cell r="BB656">
            <v>0</v>
          </cell>
          <cell r="BC656">
            <v>38888</v>
          </cell>
        </row>
        <row r="657">
          <cell r="A657">
            <v>2006</v>
          </cell>
          <cell r="B657">
            <v>5</v>
          </cell>
          <cell r="C657">
            <v>282</v>
          </cell>
          <cell r="D657">
            <v>16</v>
          </cell>
          <cell r="E657">
            <v>792030</v>
          </cell>
          <cell r="F657">
            <v>0</v>
          </cell>
          <cell r="G657" t="str">
            <v>Затраты по ШПЗ (неосновные)</v>
          </cell>
          <cell r="H657">
            <v>2030</v>
          </cell>
          <cell r="I657">
            <v>7920</v>
          </cell>
          <cell r="J657">
            <v>53.2</v>
          </cell>
          <cell r="K657">
            <v>1</v>
          </cell>
          <cell r="L657">
            <v>0</v>
          </cell>
          <cell r="M657">
            <v>0</v>
          </cell>
          <cell r="N657">
            <v>0</v>
          </cell>
          <cell r="R657">
            <v>0</v>
          </cell>
          <cell r="S657">
            <v>0</v>
          </cell>
          <cell r="T657">
            <v>0</v>
          </cell>
          <cell r="U657">
            <v>32</v>
          </cell>
          <cell r="V657">
            <v>0</v>
          </cell>
          <cell r="W657">
            <v>0</v>
          </cell>
          <cell r="AA657">
            <v>0</v>
          </cell>
          <cell r="AB657">
            <v>0</v>
          </cell>
          <cell r="AC657">
            <v>0</v>
          </cell>
          <cell r="AD657">
            <v>32</v>
          </cell>
          <cell r="AE657">
            <v>430000</v>
          </cell>
          <cell r="AF657">
            <v>0</v>
          </cell>
          <cell r="AI657">
            <v>2343</v>
          </cell>
          <cell r="AK657">
            <v>0</v>
          </cell>
          <cell r="AM657">
            <v>434</v>
          </cell>
          <cell r="AN657">
            <v>1</v>
          </cell>
          <cell r="AO657">
            <v>393216</v>
          </cell>
          <cell r="AQ657">
            <v>0</v>
          </cell>
          <cell r="AR657">
            <v>0</v>
          </cell>
          <cell r="AS657" t="str">
            <v>Ы</v>
          </cell>
          <cell r="AT657" t="str">
            <v>Ы</v>
          </cell>
          <cell r="AU657">
            <v>0</v>
          </cell>
          <cell r="AV657">
            <v>0</v>
          </cell>
          <cell r="AW657">
            <v>23</v>
          </cell>
          <cell r="AX657">
            <v>1</v>
          </cell>
          <cell r="AY657">
            <v>0</v>
          </cell>
          <cell r="AZ657">
            <v>0</v>
          </cell>
          <cell r="BA657">
            <v>0</v>
          </cell>
          <cell r="BB657">
            <v>0</v>
          </cell>
          <cell r="BC657">
            <v>38888</v>
          </cell>
        </row>
        <row r="658">
          <cell r="A658">
            <v>2006</v>
          </cell>
          <cell r="B658">
            <v>5</v>
          </cell>
          <cell r="C658">
            <v>283</v>
          </cell>
          <cell r="D658">
            <v>16</v>
          </cell>
          <cell r="E658">
            <v>792030</v>
          </cell>
          <cell r="F658">
            <v>0</v>
          </cell>
          <cell r="G658" t="str">
            <v>Затраты по ШПЗ (неосновные)</v>
          </cell>
          <cell r="H658">
            <v>2030</v>
          </cell>
          <cell r="I658">
            <v>7920</v>
          </cell>
          <cell r="J658">
            <v>7.16</v>
          </cell>
          <cell r="K658">
            <v>1</v>
          </cell>
          <cell r="L658">
            <v>0</v>
          </cell>
          <cell r="M658">
            <v>0</v>
          </cell>
          <cell r="N658">
            <v>0</v>
          </cell>
          <cell r="R658">
            <v>0</v>
          </cell>
          <cell r="S658">
            <v>0</v>
          </cell>
          <cell r="T658">
            <v>0</v>
          </cell>
          <cell r="U658">
            <v>32</v>
          </cell>
          <cell r="V658">
            <v>0</v>
          </cell>
          <cell r="W658">
            <v>0</v>
          </cell>
          <cell r="AA658">
            <v>0</v>
          </cell>
          <cell r="AB658">
            <v>0</v>
          </cell>
          <cell r="AC658">
            <v>0</v>
          </cell>
          <cell r="AD658">
            <v>32</v>
          </cell>
          <cell r="AE658">
            <v>450000</v>
          </cell>
          <cell r="AF658">
            <v>0</v>
          </cell>
          <cell r="AI658">
            <v>2343</v>
          </cell>
          <cell r="AK658">
            <v>0</v>
          </cell>
          <cell r="AM658">
            <v>435</v>
          </cell>
          <cell r="AN658">
            <v>1</v>
          </cell>
          <cell r="AO658">
            <v>393216</v>
          </cell>
          <cell r="AQ658">
            <v>0</v>
          </cell>
          <cell r="AR658">
            <v>0</v>
          </cell>
          <cell r="AS658" t="str">
            <v>Ы</v>
          </cell>
          <cell r="AT658" t="str">
            <v>Ы</v>
          </cell>
          <cell r="AU658">
            <v>0</v>
          </cell>
          <cell r="AV658">
            <v>0</v>
          </cell>
          <cell r="AW658">
            <v>23</v>
          </cell>
          <cell r="AX658">
            <v>1</v>
          </cell>
          <cell r="AY658">
            <v>0</v>
          </cell>
          <cell r="AZ658">
            <v>0</v>
          </cell>
          <cell r="BA658">
            <v>0</v>
          </cell>
          <cell r="BB658">
            <v>0</v>
          </cell>
          <cell r="BC658">
            <v>38888</v>
          </cell>
        </row>
        <row r="659">
          <cell r="A659">
            <v>2006</v>
          </cell>
          <cell r="B659">
            <v>5</v>
          </cell>
          <cell r="C659">
            <v>284</v>
          </cell>
          <cell r="D659">
            <v>16</v>
          </cell>
          <cell r="E659">
            <v>792030</v>
          </cell>
          <cell r="F659">
            <v>0</v>
          </cell>
          <cell r="G659" t="str">
            <v>Затраты по ШПЗ (неосновные)</v>
          </cell>
          <cell r="H659">
            <v>2030</v>
          </cell>
          <cell r="I659">
            <v>7920</v>
          </cell>
          <cell r="J659">
            <v>15.01</v>
          </cell>
          <cell r="K659">
            <v>1</v>
          </cell>
          <cell r="L659">
            <v>0</v>
          </cell>
          <cell r="M659">
            <v>0</v>
          </cell>
          <cell r="N659">
            <v>0</v>
          </cell>
          <cell r="R659">
            <v>0</v>
          </cell>
          <cell r="S659">
            <v>0</v>
          </cell>
          <cell r="T659">
            <v>0</v>
          </cell>
          <cell r="U659">
            <v>32</v>
          </cell>
          <cell r="V659">
            <v>0</v>
          </cell>
          <cell r="W659">
            <v>0</v>
          </cell>
          <cell r="AA659">
            <v>0</v>
          </cell>
          <cell r="AB659">
            <v>0</v>
          </cell>
          <cell r="AC659">
            <v>0</v>
          </cell>
          <cell r="AD659">
            <v>32</v>
          </cell>
          <cell r="AE659">
            <v>460000</v>
          </cell>
          <cell r="AF659">
            <v>0</v>
          </cell>
          <cell r="AI659">
            <v>2343</v>
          </cell>
          <cell r="AK659">
            <v>0</v>
          </cell>
          <cell r="AM659">
            <v>436</v>
          </cell>
          <cell r="AN659">
            <v>1</v>
          </cell>
          <cell r="AO659">
            <v>393216</v>
          </cell>
          <cell r="AQ659">
            <v>0</v>
          </cell>
          <cell r="AR659">
            <v>0</v>
          </cell>
          <cell r="AS659" t="str">
            <v>Ы</v>
          </cell>
          <cell r="AT659" t="str">
            <v>Ы</v>
          </cell>
          <cell r="AU659">
            <v>0</v>
          </cell>
          <cell r="AV659">
            <v>0</v>
          </cell>
          <cell r="AW659">
            <v>23</v>
          </cell>
          <cell r="AX659">
            <v>1</v>
          </cell>
          <cell r="AY659">
            <v>0</v>
          </cell>
          <cell r="AZ659">
            <v>0</v>
          </cell>
          <cell r="BA659">
            <v>0</v>
          </cell>
          <cell r="BB659">
            <v>0</v>
          </cell>
          <cell r="BC659">
            <v>38888</v>
          </cell>
        </row>
        <row r="660">
          <cell r="A660">
            <v>2006</v>
          </cell>
          <cell r="B660">
            <v>5</v>
          </cell>
          <cell r="C660">
            <v>285</v>
          </cell>
          <cell r="D660">
            <v>16</v>
          </cell>
          <cell r="E660">
            <v>792030</v>
          </cell>
          <cell r="F660">
            <v>0</v>
          </cell>
          <cell r="G660" t="str">
            <v>Затраты по ШПЗ (неосновные)</v>
          </cell>
          <cell r="H660">
            <v>2030</v>
          </cell>
          <cell r="I660">
            <v>7920</v>
          </cell>
          <cell r="J660">
            <v>1.24</v>
          </cell>
          <cell r="K660">
            <v>1</v>
          </cell>
          <cell r="L660">
            <v>0</v>
          </cell>
          <cell r="M660">
            <v>0</v>
          </cell>
          <cell r="N660">
            <v>0</v>
          </cell>
          <cell r="R660">
            <v>0</v>
          </cell>
          <cell r="S660">
            <v>0</v>
          </cell>
          <cell r="T660">
            <v>0</v>
          </cell>
          <cell r="U660">
            <v>32</v>
          </cell>
          <cell r="V660">
            <v>0</v>
          </cell>
          <cell r="W660">
            <v>0</v>
          </cell>
          <cell r="AA660">
            <v>0</v>
          </cell>
          <cell r="AB660">
            <v>0</v>
          </cell>
          <cell r="AC660">
            <v>0</v>
          </cell>
          <cell r="AD660">
            <v>32</v>
          </cell>
          <cell r="AE660">
            <v>465000</v>
          </cell>
          <cell r="AF660">
            <v>0</v>
          </cell>
          <cell r="AI660">
            <v>2343</v>
          </cell>
          <cell r="AK660">
            <v>0</v>
          </cell>
          <cell r="AM660">
            <v>437</v>
          </cell>
          <cell r="AN660">
            <v>1</v>
          </cell>
          <cell r="AO660">
            <v>393216</v>
          </cell>
          <cell r="AQ660">
            <v>0</v>
          </cell>
          <cell r="AR660">
            <v>0</v>
          </cell>
          <cell r="AS660" t="str">
            <v>Ы</v>
          </cell>
          <cell r="AT660" t="str">
            <v>Ы</v>
          </cell>
          <cell r="AU660">
            <v>0</v>
          </cell>
          <cell r="AV660">
            <v>0</v>
          </cell>
          <cell r="AW660">
            <v>23</v>
          </cell>
          <cell r="AX660">
            <v>1</v>
          </cell>
          <cell r="AY660">
            <v>0</v>
          </cell>
          <cell r="AZ660">
            <v>0</v>
          </cell>
          <cell r="BA660">
            <v>0</v>
          </cell>
          <cell r="BB660">
            <v>0</v>
          </cell>
          <cell r="BC660">
            <v>38888</v>
          </cell>
        </row>
        <row r="661">
          <cell r="A661">
            <v>2006</v>
          </cell>
          <cell r="B661">
            <v>5</v>
          </cell>
          <cell r="C661">
            <v>286</v>
          </cell>
          <cell r="D661">
            <v>16</v>
          </cell>
          <cell r="E661">
            <v>792030</v>
          </cell>
          <cell r="F661">
            <v>0</v>
          </cell>
          <cell r="G661" t="str">
            <v>Затраты по ШПЗ (неосновные)</v>
          </cell>
          <cell r="H661">
            <v>2030</v>
          </cell>
          <cell r="I661">
            <v>7920</v>
          </cell>
          <cell r="J661">
            <v>482.36</v>
          </cell>
          <cell r="K661">
            <v>1</v>
          </cell>
          <cell r="L661">
            <v>0</v>
          </cell>
          <cell r="M661">
            <v>0</v>
          </cell>
          <cell r="N661">
            <v>0</v>
          </cell>
          <cell r="R661">
            <v>0</v>
          </cell>
          <cell r="S661">
            <v>0</v>
          </cell>
          <cell r="T661">
            <v>0</v>
          </cell>
          <cell r="U661">
            <v>32</v>
          </cell>
          <cell r="V661">
            <v>0</v>
          </cell>
          <cell r="W661">
            <v>0</v>
          </cell>
          <cell r="AA661">
            <v>0</v>
          </cell>
          <cell r="AB661">
            <v>0</v>
          </cell>
          <cell r="AC661">
            <v>0</v>
          </cell>
          <cell r="AD661">
            <v>32</v>
          </cell>
          <cell r="AE661">
            <v>501108</v>
          </cell>
          <cell r="AF661">
            <v>0</v>
          </cell>
          <cell r="AI661">
            <v>2343</v>
          </cell>
          <cell r="AK661">
            <v>0</v>
          </cell>
          <cell r="AM661">
            <v>438</v>
          </cell>
          <cell r="AN661">
            <v>1</v>
          </cell>
          <cell r="AO661">
            <v>393216</v>
          </cell>
          <cell r="AQ661">
            <v>0</v>
          </cell>
          <cell r="AR661">
            <v>0</v>
          </cell>
          <cell r="AS661" t="str">
            <v>Ы</v>
          </cell>
          <cell r="AT661" t="str">
            <v>Ы</v>
          </cell>
          <cell r="AU661">
            <v>0</v>
          </cell>
          <cell r="AV661">
            <v>0</v>
          </cell>
          <cell r="AW661">
            <v>23</v>
          </cell>
          <cell r="AX661">
            <v>1</v>
          </cell>
          <cell r="AY661">
            <v>0</v>
          </cell>
          <cell r="AZ661">
            <v>0</v>
          </cell>
          <cell r="BA661">
            <v>0</v>
          </cell>
          <cell r="BB661">
            <v>0</v>
          </cell>
          <cell r="BC661">
            <v>38888</v>
          </cell>
        </row>
        <row r="662">
          <cell r="A662">
            <v>2006</v>
          </cell>
          <cell r="B662">
            <v>5</v>
          </cell>
          <cell r="C662">
            <v>287</v>
          </cell>
          <cell r="D662">
            <v>16</v>
          </cell>
          <cell r="E662">
            <v>792030</v>
          </cell>
          <cell r="F662">
            <v>0</v>
          </cell>
          <cell r="G662" t="str">
            <v>Затраты по ШПЗ (неосновные)</v>
          </cell>
          <cell r="H662">
            <v>2030</v>
          </cell>
          <cell r="I662">
            <v>7920</v>
          </cell>
          <cell r="J662">
            <v>3.74</v>
          </cell>
          <cell r="K662">
            <v>1</v>
          </cell>
          <cell r="L662">
            <v>0</v>
          </cell>
          <cell r="M662">
            <v>0</v>
          </cell>
          <cell r="N662">
            <v>0</v>
          </cell>
          <cell r="R662">
            <v>0</v>
          </cell>
          <cell r="S662">
            <v>0</v>
          </cell>
          <cell r="T662">
            <v>0</v>
          </cell>
          <cell r="U662">
            <v>32</v>
          </cell>
          <cell r="V662">
            <v>0</v>
          </cell>
          <cell r="W662">
            <v>0</v>
          </cell>
          <cell r="AA662">
            <v>0</v>
          </cell>
          <cell r="AB662">
            <v>0</v>
          </cell>
          <cell r="AC662">
            <v>0</v>
          </cell>
          <cell r="AD662">
            <v>32</v>
          </cell>
          <cell r="AE662">
            <v>502100</v>
          </cell>
          <cell r="AF662">
            <v>0</v>
          </cell>
          <cell r="AI662">
            <v>2343</v>
          </cell>
          <cell r="AK662">
            <v>0</v>
          </cell>
          <cell r="AM662">
            <v>439</v>
          </cell>
          <cell r="AN662">
            <v>1</v>
          </cell>
          <cell r="AO662">
            <v>393216</v>
          </cell>
          <cell r="AQ662">
            <v>0</v>
          </cell>
          <cell r="AR662">
            <v>0</v>
          </cell>
          <cell r="AS662" t="str">
            <v>Ы</v>
          </cell>
          <cell r="AT662" t="str">
            <v>Ы</v>
          </cell>
          <cell r="AU662">
            <v>0</v>
          </cell>
          <cell r="AV662">
            <v>0</v>
          </cell>
          <cell r="AW662">
            <v>23</v>
          </cell>
          <cell r="AX662">
            <v>1</v>
          </cell>
          <cell r="AY662">
            <v>0</v>
          </cell>
          <cell r="AZ662">
            <v>0</v>
          </cell>
          <cell r="BA662">
            <v>0</v>
          </cell>
          <cell r="BB662">
            <v>0</v>
          </cell>
          <cell r="BC662">
            <v>38888</v>
          </cell>
        </row>
        <row r="663">
          <cell r="A663">
            <v>2006</v>
          </cell>
          <cell r="B663">
            <v>5</v>
          </cell>
          <cell r="C663">
            <v>288</v>
          </cell>
          <cell r="D663">
            <v>16</v>
          </cell>
          <cell r="E663">
            <v>792030</v>
          </cell>
          <cell r="F663">
            <v>0</v>
          </cell>
          <cell r="G663" t="str">
            <v>Затраты по ШПЗ (неосновные)</v>
          </cell>
          <cell r="H663">
            <v>2030</v>
          </cell>
          <cell r="I663">
            <v>7920</v>
          </cell>
          <cell r="J663">
            <v>421.3</v>
          </cell>
          <cell r="K663">
            <v>1</v>
          </cell>
          <cell r="L663">
            <v>0</v>
          </cell>
          <cell r="M663">
            <v>0</v>
          </cell>
          <cell r="N663">
            <v>0</v>
          </cell>
          <cell r="R663">
            <v>0</v>
          </cell>
          <cell r="S663">
            <v>0</v>
          </cell>
          <cell r="T663">
            <v>0</v>
          </cell>
          <cell r="U663">
            <v>32</v>
          </cell>
          <cell r="V663">
            <v>0</v>
          </cell>
          <cell r="W663">
            <v>0</v>
          </cell>
          <cell r="AA663">
            <v>0</v>
          </cell>
          <cell r="AB663">
            <v>0</v>
          </cell>
          <cell r="AC663">
            <v>0</v>
          </cell>
          <cell r="AD663">
            <v>32</v>
          </cell>
          <cell r="AE663">
            <v>503000</v>
          </cell>
          <cell r="AF663">
            <v>0</v>
          </cell>
          <cell r="AI663">
            <v>2343</v>
          </cell>
          <cell r="AK663">
            <v>0</v>
          </cell>
          <cell r="AM663">
            <v>440</v>
          </cell>
          <cell r="AN663">
            <v>1</v>
          </cell>
          <cell r="AO663">
            <v>393216</v>
          </cell>
          <cell r="AQ663">
            <v>0</v>
          </cell>
          <cell r="AR663">
            <v>0</v>
          </cell>
          <cell r="AS663" t="str">
            <v>Ы</v>
          </cell>
          <cell r="AT663" t="str">
            <v>Ы</v>
          </cell>
          <cell r="AU663">
            <v>0</v>
          </cell>
          <cell r="AV663">
            <v>0</v>
          </cell>
          <cell r="AW663">
            <v>23</v>
          </cell>
          <cell r="AX663">
            <v>1</v>
          </cell>
          <cell r="AY663">
            <v>0</v>
          </cell>
          <cell r="AZ663">
            <v>0</v>
          </cell>
          <cell r="BA663">
            <v>0</v>
          </cell>
          <cell r="BB663">
            <v>0</v>
          </cell>
          <cell r="BC663">
            <v>38888</v>
          </cell>
        </row>
        <row r="664">
          <cell r="A664">
            <v>2006</v>
          </cell>
          <cell r="B664">
            <v>5</v>
          </cell>
          <cell r="C664">
            <v>289</v>
          </cell>
          <cell r="D664">
            <v>16</v>
          </cell>
          <cell r="E664">
            <v>792030</v>
          </cell>
          <cell r="F664">
            <v>0</v>
          </cell>
          <cell r="G664" t="str">
            <v>Затраты по ШПЗ (неосновные)</v>
          </cell>
          <cell r="H664">
            <v>2030</v>
          </cell>
          <cell r="I664">
            <v>7920</v>
          </cell>
          <cell r="J664">
            <v>2.96</v>
          </cell>
          <cell r="K664">
            <v>1</v>
          </cell>
          <cell r="L664">
            <v>0</v>
          </cell>
          <cell r="M664">
            <v>0</v>
          </cell>
          <cell r="N664">
            <v>0</v>
          </cell>
          <cell r="R664">
            <v>0</v>
          </cell>
          <cell r="S664">
            <v>0</v>
          </cell>
          <cell r="T664">
            <v>0</v>
          </cell>
          <cell r="U664">
            <v>32</v>
          </cell>
          <cell r="V664">
            <v>0</v>
          </cell>
          <cell r="W664">
            <v>0</v>
          </cell>
          <cell r="AA664">
            <v>0</v>
          </cell>
          <cell r="AB664">
            <v>0</v>
          </cell>
          <cell r="AC664">
            <v>0</v>
          </cell>
          <cell r="AD664">
            <v>32</v>
          </cell>
          <cell r="AE664">
            <v>504900</v>
          </cell>
          <cell r="AF664">
            <v>0</v>
          </cell>
          <cell r="AI664">
            <v>2343</v>
          </cell>
          <cell r="AK664">
            <v>0</v>
          </cell>
          <cell r="AM664">
            <v>441</v>
          </cell>
          <cell r="AN664">
            <v>1</v>
          </cell>
          <cell r="AO664">
            <v>393216</v>
          </cell>
          <cell r="AQ664">
            <v>0</v>
          </cell>
          <cell r="AR664">
            <v>0</v>
          </cell>
          <cell r="AS664" t="str">
            <v>Ы</v>
          </cell>
          <cell r="AT664" t="str">
            <v>Ы</v>
          </cell>
          <cell r="AU664">
            <v>0</v>
          </cell>
          <cell r="AV664">
            <v>0</v>
          </cell>
          <cell r="AW664">
            <v>23</v>
          </cell>
          <cell r="AX664">
            <v>1</v>
          </cell>
          <cell r="AY664">
            <v>0</v>
          </cell>
          <cell r="AZ664">
            <v>0</v>
          </cell>
          <cell r="BA664">
            <v>0</v>
          </cell>
          <cell r="BB664">
            <v>0</v>
          </cell>
          <cell r="BC664">
            <v>38888</v>
          </cell>
        </row>
        <row r="665">
          <cell r="A665">
            <v>2006</v>
          </cell>
          <cell r="B665">
            <v>5</v>
          </cell>
          <cell r="C665">
            <v>290</v>
          </cell>
          <cell r="D665">
            <v>16</v>
          </cell>
          <cell r="E665">
            <v>792030</v>
          </cell>
          <cell r="F665">
            <v>0</v>
          </cell>
          <cell r="G665" t="str">
            <v>Затраты по ШПЗ (неосновные)</v>
          </cell>
          <cell r="H665">
            <v>2030</v>
          </cell>
          <cell r="I665">
            <v>7920</v>
          </cell>
          <cell r="J665">
            <v>0.25</v>
          </cell>
          <cell r="K665">
            <v>1</v>
          </cell>
          <cell r="L665">
            <v>0</v>
          </cell>
          <cell r="M665">
            <v>0</v>
          </cell>
          <cell r="N665">
            <v>0</v>
          </cell>
          <cell r="R665">
            <v>0</v>
          </cell>
          <cell r="S665">
            <v>0</v>
          </cell>
          <cell r="T665">
            <v>0</v>
          </cell>
          <cell r="U665">
            <v>32</v>
          </cell>
          <cell r="V665">
            <v>0</v>
          </cell>
          <cell r="W665">
            <v>0</v>
          </cell>
          <cell r="AA665">
            <v>0</v>
          </cell>
          <cell r="AB665">
            <v>0</v>
          </cell>
          <cell r="AC665">
            <v>0</v>
          </cell>
          <cell r="AD665">
            <v>32</v>
          </cell>
          <cell r="AE665">
            <v>505100</v>
          </cell>
          <cell r="AF665">
            <v>0</v>
          </cell>
          <cell r="AI665">
            <v>2343</v>
          </cell>
          <cell r="AK665">
            <v>0</v>
          </cell>
          <cell r="AM665">
            <v>442</v>
          </cell>
          <cell r="AN665">
            <v>1</v>
          </cell>
          <cell r="AO665">
            <v>393216</v>
          </cell>
          <cell r="AQ665">
            <v>0</v>
          </cell>
          <cell r="AR665">
            <v>0</v>
          </cell>
          <cell r="AS665" t="str">
            <v>Ы</v>
          </cell>
          <cell r="AT665" t="str">
            <v>Ы</v>
          </cell>
          <cell r="AU665">
            <v>0</v>
          </cell>
          <cell r="AV665">
            <v>0</v>
          </cell>
          <cell r="AW665">
            <v>23</v>
          </cell>
          <cell r="AX665">
            <v>1</v>
          </cell>
          <cell r="AY665">
            <v>0</v>
          </cell>
          <cell r="AZ665">
            <v>0</v>
          </cell>
          <cell r="BA665">
            <v>0</v>
          </cell>
          <cell r="BB665">
            <v>0</v>
          </cell>
          <cell r="BC665">
            <v>38888</v>
          </cell>
        </row>
        <row r="666">
          <cell r="A666">
            <v>2006</v>
          </cell>
          <cell r="B666">
            <v>5</v>
          </cell>
          <cell r="C666">
            <v>291</v>
          </cell>
          <cell r="D666">
            <v>16</v>
          </cell>
          <cell r="E666">
            <v>792030</v>
          </cell>
          <cell r="F666">
            <v>0</v>
          </cell>
          <cell r="G666" t="str">
            <v>Затраты по ШПЗ (неосновные)</v>
          </cell>
          <cell r="H666">
            <v>2030</v>
          </cell>
          <cell r="I666">
            <v>7920</v>
          </cell>
          <cell r="J666">
            <v>0.42</v>
          </cell>
          <cell r="K666">
            <v>1</v>
          </cell>
          <cell r="L666">
            <v>0</v>
          </cell>
          <cell r="M666">
            <v>0</v>
          </cell>
          <cell r="N666">
            <v>0</v>
          </cell>
          <cell r="R666">
            <v>0</v>
          </cell>
          <cell r="S666">
            <v>0</v>
          </cell>
          <cell r="T666">
            <v>0</v>
          </cell>
          <cell r="U666">
            <v>32</v>
          </cell>
          <cell r="V666">
            <v>0</v>
          </cell>
          <cell r="W666">
            <v>0</v>
          </cell>
          <cell r="AA666">
            <v>0</v>
          </cell>
          <cell r="AB666">
            <v>0</v>
          </cell>
          <cell r="AC666">
            <v>0</v>
          </cell>
          <cell r="AD666">
            <v>32</v>
          </cell>
          <cell r="AE666">
            <v>505200</v>
          </cell>
          <cell r="AF666">
            <v>0</v>
          </cell>
          <cell r="AI666">
            <v>2343</v>
          </cell>
          <cell r="AK666">
            <v>0</v>
          </cell>
          <cell r="AM666">
            <v>443</v>
          </cell>
          <cell r="AN666">
            <v>1</v>
          </cell>
          <cell r="AO666">
            <v>393216</v>
          </cell>
          <cell r="AQ666">
            <v>0</v>
          </cell>
          <cell r="AR666">
            <v>0</v>
          </cell>
          <cell r="AS666" t="str">
            <v>Ы</v>
          </cell>
          <cell r="AT666" t="str">
            <v>Ы</v>
          </cell>
          <cell r="AU666">
            <v>0</v>
          </cell>
          <cell r="AV666">
            <v>0</v>
          </cell>
          <cell r="AW666">
            <v>23</v>
          </cell>
          <cell r="AX666">
            <v>1</v>
          </cell>
          <cell r="AY666">
            <v>0</v>
          </cell>
          <cell r="AZ666">
            <v>0</v>
          </cell>
          <cell r="BA666">
            <v>0</v>
          </cell>
          <cell r="BB666">
            <v>0</v>
          </cell>
          <cell r="BC666">
            <v>38888</v>
          </cell>
        </row>
        <row r="667">
          <cell r="A667">
            <v>2006</v>
          </cell>
          <cell r="B667">
            <v>5</v>
          </cell>
          <cell r="C667">
            <v>292</v>
          </cell>
          <cell r="D667">
            <v>16</v>
          </cell>
          <cell r="E667">
            <v>792030</v>
          </cell>
          <cell r="F667">
            <v>0</v>
          </cell>
          <cell r="G667" t="str">
            <v>Затраты по ШПЗ (неосновные)</v>
          </cell>
          <cell r="H667">
            <v>2030</v>
          </cell>
          <cell r="I667">
            <v>7920</v>
          </cell>
          <cell r="J667">
            <v>1.33</v>
          </cell>
          <cell r="K667">
            <v>1</v>
          </cell>
          <cell r="L667">
            <v>0</v>
          </cell>
          <cell r="M667">
            <v>0</v>
          </cell>
          <cell r="N667">
            <v>0</v>
          </cell>
          <cell r="R667">
            <v>0</v>
          </cell>
          <cell r="S667">
            <v>0</v>
          </cell>
          <cell r="T667">
            <v>0</v>
          </cell>
          <cell r="U667">
            <v>32</v>
          </cell>
          <cell r="V667">
            <v>0</v>
          </cell>
          <cell r="W667">
            <v>0</v>
          </cell>
          <cell r="AA667">
            <v>0</v>
          </cell>
          <cell r="AB667">
            <v>0</v>
          </cell>
          <cell r="AC667">
            <v>0</v>
          </cell>
          <cell r="AD667">
            <v>32</v>
          </cell>
          <cell r="AE667">
            <v>505300</v>
          </cell>
          <cell r="AF667">
            <v>0</v>
          </cell>
          <cell r="AI667">
            <v>2343</v>
          </cell>
          <cell r="AK667">
            <v>0</v>
          </cell>
          <cell r="AM667">
            <v>444</v>
          </cell>
          <cell r="AN667">
            <v>1</v>
          </cell>
          <cell r="AO667">
            <v>393216</v>
          </cell>
          <cell r="AQ667">
            <v>0</v>
          </cell>
          <cell r="AR667">
            <v>0</v>
          </cell>
          <cell r="AS667" t="str">
            <v>Ы</v>
          </cell>
          <cell r="AT667" t="str">
            <v>Ы</v>
          </cell>
          <cell r="AU667">
            <v>0</v>
          </cell>
          <cell r="AV667">
            <v>0</v>
          </cell>
          <cell r="AW667">
            <v>23</v>
          </cell>
          <cell r="AX667">
            <v>1</v>
          </cell>
          <cell r="AY667">
            <v>0</v>
          </cell>
          <cell r="AZ667">
            <v>0</v>
          </cell>
          <cell r="BA667">
            <v>0</v>
          </cell>
          <cell r="BB667">
            <v>0</v>
          </cell>
          <cell r="BC667">
            <v>38888</v>
          </cell>
        </row>
        <row r="668">
          <cell r="A668">
            <v>2006</v>
          </cell>
          <cell r="B668">
            <v>5</v>
          </cell>
          <cell r="C668">
            <v>293</v>
          </cell>
          <cell r="D668">
            <v>16</v>
          </cell>
          <cell r="E668">
            <v>792030</v>
          </cell>
          <cell r="F668">
            <v>0</v>
          </cell>
          <cell r="G668" t="str">
            <v>Затраты по ШПЗ (неосновные)</v>
          </cell>
          <cell r="H668">
            <v>2030</v>
          </cell>
          <cell r="I668">
            <v>7920</v>
          </cell>
          <cell r="J668">
            <v>1.05</v>
          </cell>
          <cell r="K668">
            <v>1</v>
          </cell>
          <cell r="L668">
            <v>0</v>
          </cell>
          <cell r="M668">
            <v>0</v>
          </cell>
          <cell r="N668">
            <v>0</v>
          </cell>
          <cell r="R668">
            <v>0</v>
          </cell>
          <cell r="S668">
            <v>0</v>
          </cell>
          <cell r="T668">
            <v>0</v>
          </cell>
          <cell r="U668">
            <v>32</v>
          </cell>
          <cell r="V668">
            <v>0</v>
          </cell>
          <cell r="W668">
            <v>0</v>
          </cell>
          <cell r="AA668">
            <v>0</v>
          </cell>
          <cell r="AB668">
            <v>0</v>
          </cell>
          <cell r="AC668">
            <v>0</v>
          </cell>
          <cell r="AD668">
            <v>32</v>
          </cell>
          <cell r="AE668">
            <v>507000</v>
          </cell>
          <cell r="AF668">
            <v>0</v>
          </cell>
          <cell r="AI668">
            <v>2343</v>
          </cell>
          <cell r="AK668">
            <v>0</v>
          </cell>
          <cell r="AM668">
            <v>445</v>
          </cell>
          <cell r="AN668">
            <v>1</v>
          </cell>
          <cell r="AO668">
            <v>393216</v>
          </cell>
          <cell r="AQ668">
            <v>0</v>
          </cell>
          <cell r="AR668">
            <v>0</v>
          </cell>
          <cell r="AS668" t="str">
            <v>Ы</v>
          </cell>
          <cell r="AT668" t="str">
            <v>Ы</v>
          </cell>
          <cell r="AU668">
            <v>0</v>
          </cell>
          <cell r="AV668">
            <v>0</v>
          </cell>
          <cell r="AW668">
            <v>23</v>
          </cell>
          <cell r="AX668">
            <v>1</v>
          </cell>
          <cell r="AY668">
            <v>0</v>
          </cell>
          <cell r="AZ668">
            <v>0</v>
          </cell>
          <cell r="BA668">
            <v>0</v>
          </cell>
          <cell r="BB668">
            <v>0</v>
          </cell>
          <cell r="BC668">
            <v>38888</v>
          </cell>
        </row>
        <row r="669">
          <cell r="A669">
            <v>2006</v>
          </cell>
          <cell r="B669">
            <v>5</v>
          </cell>
          <cell r="C669">
            <v>294</v>
          </cell>
          <cell r="D669">
            <v>16</v>
          </cell>
          <cell r="E669">
            <v>792030</v>
          </cell>
          <cell r="F669">
            <v>0</v>
          </cell>
          <cell r="G669" t="str">
            <v>Затраты по ШПЗ (неосновные)</v>
          </cell>
          <cell r="H669">
            <v>2030</v>
          </cell>
          <cell r="I669">
            <v>7920</v>
          </cell>
          <cell r="J669">
            <v>386.25</v>
          </cell>
          <cell r="K669">
            <v>1</v>
          </cell>
          <cell r="L669">
            <v>0</v>
          </cell>
          <cell r="M669">
            <v>0</v>
          </cell>
          <cell r="N669">
            <v>0</v>
          </cell>
          <cell r="R669">
            <v>0</v>
          </cell>
          <cell r="S669">
            <v>0</v>
          </cell>
          <cell r="T669">
            <v>0</v>
          </cell>
          <cell r="U669">
            <v>32</v>
          </cell>
          <cell r="V669">
            <v>0</v>
          </cell>
          <cell r="W669">
            <v>0</v>
          </cell>
          <cell r="AA669">
            <v>0</v>
          </cell>
          <cell r="AB669">
            <v>0</v>
          </cell>
          <cell r="AC669">
            <v>0</v>
          </cell>
          <cell r="AD669">
            <v>32</v>
          </cell>
          <cell r="AE669">
            <v>510100</v>
          </cell>
          <cell r="AF669">
            <v>0</v>
          </cell>
          <cell r="AI669">
            <v>2343</v>
          </cell>
          <cell r="AK669">
            <v>0</v>
          </cell>
          <cell r="AM669">
            <v>446</v>
          </cell>
          <cell r="AN669">
            <v>1</v>
          </cell>
          <cell r="AO669">
            <v>393216</v>
          </cell>
          <cell r="AQ669">
            <v>0</v>
          </cell>
          <cell r="AR669">
            <v>0</v>
          </cell>
          <cell r="AS669" t="str">
            <v>Ы</v>
          </cell>
          <cell r="AT669" t="str">
            <v>Ы</v>
          </cell>
          <cell r="AU669">
            <v>0</v>
          </cell>
          <cell r="AV669">
            <v>0</v>
          </cell>
          <cell r="AW669">
            <v>23</v>
          </cell>
          <cell r="AX669">
            <v>1</v>
          </cell>
          <cell r="AY669">
            <v>0</v>
          </cell>
          <cell r="AZ669">
            <v>0</v>
          </cell>
          <cell r="BA669">
            <v>0</v>
          </cell>
          <cell r="BB669">
            <v>0</v>
          </cell>
          <cell r="BC669">
            <v>38888</v>
          </cell>
        </row>
        <row r="670">
          <cell r="A670">
            <v>2006</v>
          </cell>
          <cell r="B670">
            <v>5</v>
          </cell>
          <cell r="C670">
            <v>295</v>
          </cell>
          <cell r="D670">
            <v>16</v>
          </cell>
          <cell r="E670">
            <v>792030</v>
          </cell>
          <cell r="F670">
            <v>0</v>
          </cell>
          <cell r="G670" t="str">
            <v>Затраты по ШПЗ (неосновные)</v>
          </cell>
          <cell r="H670">
            <v>2030</v>
          </cell>
          <cell r="I670">
            <v>7920</v>
          </cell>
          <cell r="J670">
            <v>1.1299999999999999</v>
          </cell>
          <cell r="K670">
            <v>1</v>
          </cell>
          <cell r="L670">
            <v>0</v>
          </cell>
          <cell r="M670">
            <v>0</v>
          </cell>
          <cell r="N670">
            <v>0</v>
          </cell>
          <cell r="R670">
            <v>0</v>
          </cell>
          <cell r="S670">
            <v>0</v>
          </cell>
          <cell r="T670">
            <v>0</v>
          </cell>
          <cell r="U670">
            <v>32</v>
          </cell>
          <cell r="V670">
            <v>0</v>
          </cell>
          <cell r="W670">
            <v>0</v>
          </cell>
          <cell r="AA670">
            <v>0</v>
          </cell>
          <cell r="AB670">
            <v>0</v>
          </cell>
          <cell r="AC670">
            <v>0</v>
          </cell>
          <cell r="AD670">
            <v>32</v>
          </cell>
          <cell r="AE670">
            <v>510400</v>
          </cell>
          <cell r="AF670">
            <v>0</v>
          </cell>
          <cell r="AI670">
            <v>2343</v>
          </cell>
          <cell r="AK670">
            <v>0</v>
          </cell>
          <cell r="AM670">
            <v>447</v>
          </cell>
          <cell r="AN670">
            <v>1</v>
          </cell>
          <cell r="AO670">
            <v>393216</v>
          </cell>
          <cell r="AQ670">
            <v>0</v>
          </cell>
          <cell r="AR670">
            <v>0</v>
          </cell>
          <cell r="AS670" t="str">
            <v>Ы</v>
          </cell>
          <cell r="AT670" t="str">
            <v>Ы</v>
          </cell>
          <cell r="AU670">
            <v>0</v>
          </cell>
          <cell r="AV670">
            <v>0</v>
          </cell>
          <cell r="AW670">
            <v>23</v>
          </cell>
          <cell r="AX670">
            <v>1</v>
          </cell>
          <cell r="AY670">
            <v>0</v>
          </cell>
          <cell r="AZ670">
            <v>0</v>
          </cell>
          <cell r="BA670">
            <v>0</v>
          </cell>
          <cell r="BB670">
            <v>0</v>
          </cell>
          <cell r="BC670">
            <v>38888</v>
          </cell>
        </row>
        <row r="671">
          <cell r="A671">
            <v>2006</v>
          </cell>
          <cell r="B671">
            <v>5</v>
          </cell>
          <cell r="C671">
            <v>296</v>
          </cell>
          <cell r="D671">
            <v>16</v>
          </cell>
          <cell r="E671">
            <v>792030</v>
          </cell>
          <cell r="F671">
            <v>0</v>
          </cell>
          <cell r="G671" t="str">
            <v>Затраты по ШПЗ (неосновные)</v>
          </cell>
          <cell r="H671">
            <v>2030</v>
          </cell>
          <cell r="I671">
            <v>7920</v>
          </cell>
          <cell r="J671">
            <v>492.82</v>
          </cell>
          <cell r="K671">
            <v>1</v>
          </cell>
          <cell r="L671">
            <v>0</v>
          </cell>
          <cell r="M671">
            <v>0</v>
          </cell>
          <cell r="N671">
            <v>0</v>
          </cell>
          <cell r="R671">
            <v>0</v>
          </cell>
          <cell r="S671">
            <v>0</v>
          </cell>
          <cell r="T671">
            <v>0</v>
          </cell>
          <cell r="U671">
            <v>32</v>
          </cell>
          <cell r="V671">
            <v>0</v>
          </cell>
          <cell r="W671">
            <v>0</v>
          </cell>
          <cell r="AA671">
            <v>0</v>
          </cell>
          <cell r="AB671">
            <v>0</v>
          </cell>
          <cell r="AC671">
            <v>0</v>
          </cell>
          <cell r="AD671">
            <v>32</v>
          </cell>
          <cell r="AE671">
            <v>510600</v>
          </cell>
          <cell r="AF671">
            <v>0</v>
          </cell>
          <cell r="AI671">
            <v>2343</v>
          </cell>
          <cell r="AK671">
            <v>0</v>
          </cell>
          <cell r="AM671">
            <v>448</v>
          </cell>
          <cell r="AN671">
            <v>1</v>
          </cell>
          <cell r="AO671">
            <v>393216</v>
          </cell>
          <cell r="AQ671">
            <v>0</v>
          </cell>
          <cell r="AR671">
            <v>0</v>
          </cell>
          <cell r="AS671" t="str">
            <v>Ы</v>
          </cell>
          <cell r="AT671" t="str">
            <v>Ы</v>
          </cell>
          <cell r="AU671">
            <v>0</v>
          </cell>
          <cell r="AV671">
            <v>0</v>
          </cell>
          <cell r="AW671">
            <v>23</v>
          </cell>
          <cell r="AX671">
            <v>1</v>
          </cell>
          <cell r="AY671">
            <v>0</v>
          </cell>
          <cell r="AZ671">
            <v>0</v>
          </cell>
          <cell r="BA671">
            <v>0</v>
          </cell>
          <cell r="BB671">
            <v>0</v>
          </cell>
          <cell r="BC671">
            <v>38888</v>
          </cell>
        </row>
        <row r="672">
          <cell r="A672">
            <v>2006</v>
          </cell>
          <cell r="B672">
            <v>5</v>
          </cell>
          <cell r="C672">
            <v>354</v>
          </cell>
          <cell r="D672">
            <v>16</v>
          </cell>
          <cell r="E672">
            <v>792030</v>
          </cell>
          <cell r="F672">
            <v>0</v>
          </cell>
          <cell r="G672" t="str">
            <v>Затраты по ШПЗ (неосновные)</v>
          </cell>
          <cell r="H672">
            <v>2030</v>
          </cell>
          <cell r="I672">
            <v>7920</v>
          </cell>
          <cell r="J672">
            <v>13358.24</v>
          </cell>
          <cell r="K672">
            <v>1</v>
          </cell>
          <cell r="L672">
            <v>0</v>
          </cell>
          <cell r="M672">
            <v>0</v>
          </cell>
          <cell r="N672">
            <v>0</v>
          </cell>
          <cell r="R672">
            <v>0</v>
          </cell>
          <cell r="S672">
            <v>0</v>
          </cell>
          <cell r="T672">
            <v>0</v>
          </cell>
          <cell r="U672">
            <v>42</v>
          </cell>
          <cell r="V672">
            <v>0</v>
          </cell>
          <cell r="W672">
            <v>0</v>
          </cell>
          <cell r="AA672">
            <v>0</v>
          </cell>
          <cell r="AB672">
            <v>0</v>
          </cell>
          <cell r="AC672">
            <v>0</v>
          </cell>
          <cell r="AD672">
            <v>42</v>
          </cell>
          <cell r="AE672">
            <v>110000</v>
          </cell>
          <cell r="AF672">
            <v>0</v>
          </cell>
          <cell r="AI672">
            <v>2343</v>
          </cell>
          <cell r="AK672">
            <v>0</v>
          </cell>
          <cell r="AM672">
            <v>506</v>
          </cell>
          <cell r="AN672">
            <v>1</v>
          </cell>
          <cell r="AO672">
            <v>393216</v>
          </cell>
          <cell r="AQ672">
            <v>0</v>
          </cell>
          <cell r="AR672">
            <v>0</v>
          </cell>
          <cell r="AS672" t="str">
            <v>Ы</v>
          </cell>
          <cell r="AT672" t="str">
            <v>Ы</v>
          </cell>
          <cell r="AU672">
            <v>0</v>
          </cell>
          <cell r="AV672">
            <v>0</v>
          </cell>
          <cell r="AW672">
            <v>23</v>
          </cell>
          <cell r="AX672">
            <v>1</v>
          </cell>
          <cell r="AY672">
            <v>0</v>
          </cell>
          <cell r="AZ672">
            <v>0</v>
          </cell>
          <cell r="BA672">
            <v>0</v>
          </cell>
          <cell r="BB672">
            <v>0</v>
          </cell>
          <cell r="BC672">
            <v>38888</v>
          </cell>
        </row>
        <row r="673">
          <cell r="A673">
            <v>2006</v>
          </cell>
          <cell r="B673">
            <v>5</v>
          </cell>
          <cell r="C673">
            <v>355</v>
          </cell>
          <cell r="D673">
            <v>16</v>
          </cell>
          <cell r="E673">
            <v>792030</v>
          </cell>
          <cell r="F673">
            <v>0</v>
          </cell>
          <cell r="G673" t="str">
            <v>Затраты по ШПЗ (неосновные)</v>
          </cell>
          <cell r="H673">
            <v>2030</v>
          </cell>
          <cell r="I673">
            <v>7920</v>
          </cell>
          <cell r="J673">
            <v>379.6</v>
          </cell>
          <cell r="K673">
            <v>1</v>
          </cell>
          <cell r="L673">
            <v>0</v>
          </cell>
          <cell r="M673">
            <v>0</v>
          </cell>
          <cell r="N673">
            <v>0</v>
          </cell>
          <cell r="R673">
            <v>0</v>
          </cell>
          <cell r="S673">
            <v>0</v>
          </cell>
          <cell r="T673">
            <v>0</v>
          </cell>
          <cell r="U673">
            <v>42</v>
          </cell>
          <cell r="V673">
            <v>0</v>
          </cell>
          <cell r="W673">
            <v>0</v>
          </cell>
          <cell r="AA673">
            <v>0</v>
          </cell>
          <cell r="AB673">
            <v>0</v>
          </cell>
          <cell r="AC673">
            <v>0</v>
          </cell>
          <cell r="AD673">
            <v>42</v>
          </cell>
          <cell r="AE673">
            <v>114020</v>
          </cell>
          <cell r="AF673">
            <v>0</v>
          </cell>
          <cell r="AI673">
            <v>2343</v>
          </cell>
          <cell r="AK673">
            <v>0</v>
          </cell>
          <cell r="AM673">
            <v>507</v>
          </cell>
          <cell r="AN673">
            <v>1</v>
          </cell>
          <cell r="AO673">
            <v>393216</v>
          </cell>
          <cell r="AQ673">
            <v>0</v>
          </cell>
          <cell r="AR673">
            <v>0</v>
          </cell>
          <cell r="AS673" t="str">
            <v>Ы</v>
          </cell>
          <cell r="AT673" t="str">
            <v>Ы</v>
          </cell>
          <cell r="AU673">
            <v>0</v>
          </cell>
          <cell r="AV673">
            <v>0</v>
          </cell>
          <cell r="AW673">
            <v>23</v>
          </cell>
          <cell r="AX673">
            <v>1</v>
          </cell>
          <cell r="AY673">
            <v>0</v>
          </cell>
          <cell r="AZ673">
            <v>0</v>
          </cell>
          <cell r="BA673">
            <v>0</v>
          </cell>
          <cell r="BB673">
            <v>0</v>
          </cell>
          <cell r="BC673">
            <v>38888</v>
          </cell>
        </row>
        <row r="674">
          <cell r="A674">
            <v>2006</v>
          </cell>
          <cell r="B674">
            <v>5</v>
          </cell>
          <cell r="C674">
            <v>356</v>
          </cell>
          <cell r="D674">
            <v>16</v>
          </cell>
          <cell r="E674">
            <v>792030</v>
          </cell>
          <cell r="F674">
            <v>0</v>
          </cell>
          <cell r="G674" t="str">
            <v>Затраты по ШПЗ (неосновные)</v>
          </cell>
          <cell r="H674">
            <v>2030</v>
          </cell>
          <cell r="I674">
            <v>7920</v>
          </cell>
          <cell r="J674">
            <v>379.27</v>
          </cell>
          <cell r="K674">
            <v>1</v>
          </cell>
          <cell r="L674">
            <v>0</v>
          </cell>
          <cell r="M674">
            <v>0</v>
          </cell>
          <cell r="N674">
            <v>0</v>
          </cell>
          <cell r="R674">
            <v>0</v>
          </cell>
          <cell r="S674">
            <v>0</v>
          </cell>
          <cell r="T674">
            <v>0</v>
          </cell>
          <cell r="U674">
            <v>42</v>
          </cell>
          <cell r="V674">
            <v>0</v>
          </cell>
          <cell r="W674">
            <v>0</v>
          </cell>
          <cell r="AA674">
            <v>0</v>
          </cell>
          <cell r="AB674">
            <v>0</v>
          </cell>
          <cell r="AC674">
            <v>0</v>
          </cell>
          <cell r="AD674">
            <v>42</v>
          </cell>
          <cell r="AE674">
            <v>117000</v>
          </cell>
          <cell r="AF674">
            <v>0</v>
          </cell>
          <cell r="AI674">
            <v>2343</v>
          </cell>
          <cell r="AK674">
            <v>0</v>
          </cell>
          <cell r="AM674">
            <v>508</v>
          </cell>
          <cell r="AN674">
            <v>1</v>
          </cell>
          <cell r="AO674">
            <v>393216</v>
          </cell>
          <cell r="AQ674">
            <v>0</v>
          </cell>
          <cell r="AR674">
            <v>0</v>
          </cell>
          <cell r="AS674" t="str">
            <v>Ы</v>
          </cell>
          <cell r="AT674" t="str">
            <v>Ы</v>
          </cell>
          <cell r="AU674">
            <v>0</v>
          </cell>
          <cell r="AV674">
            <v>0</v>
          </cell>
          <cell r="AW674">
            <v>23</v>
          </cell>
          <cell r="AX674">
            <v>1</v>
          </cell>
          <cell r="AY674">
            <v>0</v>
          </cell>
          <cell r="AZ674">
            <v>0</v>
          </cell>
          <cell r="BA674">
            <v>0</v>
          </cell>
          <cell r="BB674">
            <v>0</v>
          </cell>
          <cell r="BC674">
            <v>38888</v>
          </cell>
        </row>
        <row r="675">
          <cell r="A675">
            <v>2006</v>
          </cell>
          <cell r="B675">
            <v>5</v>
          </cell>
          <cell r="C675">
            <v>357</v>
          </cell>
          <cell r="D675">
            <v>16</v>
          </cell>
          <cell r="E675">
            <v>792030</v>
          </cell>
          <cell r="F675">
            <v>0</v>
          </cell>
          <cell r="G675" t="str">
            <v>Затраты по ШПЗ (неосновные)</v>
          </cell>
          <cell r="H675">
            <v>2030</v>
          </cell>
          <cell r="I675">
            <v>7920</v>
          </cell>
          <cell r="J675">
            <v>1952.86</v>
          </cell>
          <cell r="K675">
            <v>1</v>
          </cell>
          <cell r="L675">
            <v>0</v>
          </cell>
          <cell r="M675">
            <v>0</v>
          </cell>
          <cell r="N675">
            <v>0</v>
          </cell>
          <cell r="R675">
            <v>0</v>
          </cell>
          <cell r="S675">
            <v>0</v>
          </cell>
          <cell r="T675">
            <v>0</v>
          </cell>
          <cell r="U675">
            <v>42</v>
          </cell>
          <cell r="V675">
            <v>0</v>
          </cell>
          <cell r="W675">
            <v>0</v>
          </cell>
          <cell r="AA675">
            <v>0</v>
          </cell>
          <cell r="AB675">
            <v>0</v>
          </cell>
          <cell r="AC675">
            <v>0</v>
          </cell>
          <cell r="AD675">
            <v>42</v>
          </cell>
          <cell r="AE675">
            <v>118000</v>
          </cell>
          <cell r="AF675">
            <v>0</v>
          </cell>
          <cell r="AI675">
            <v>2343</v>
          </cell>
          <cell r="AK675">
            <v>0</v>
          </cell>
          <cell r="AM675">
            <v>509</v>
          </cell>
          <cell r="AN675">
            <v>1</v>
          </cell>
          <cell r="AO675">
            <v>393216</v>
          </cell>
          <cell r="AQ675">
            <v>0</v>
          </cell>
          <cell r="AR675">
            <v>0</v>
          </cell>
          <cell r="AS675" t="str">
            <v>Ы</v>
          </cell>
          <cell r="AT675" t="str">
            <v>Ы</v>
          </cell>
          <cell r="AU675">
            <v>0</v>
          </cell>
          <cell r="AV675">
            <v>0</v>
          </cell>
          <cell r="AW675">
            <v>23</v>
          </cell>
          <cell r="AX675">
            <v>1</v>
          </cell>
          <cell r="AY675">
            <v>0</v>
          </cell>
          <cell r="AZ675">
            <v>0</v>
          </cell>
          <cell r="BA675">
            <v>0</v>
          </cell>
          <cell r="BB675">
            <v>0</v>
          </cell>
          <cell r="BC675">
            <v>38888</v>
          </cell>
        </row>
        <row r="676">
          <cell r="A676">
            <v>2006</v>
          </cell>
          <cell r="B676">
            <v>5</v>
          </cell>
          <cell r="C676">
            <v>358</v>
          </cell>
          <cell r="D676">
            <v>16</v>
          </cell>
          <cell r="E676">
            <v>792030</v>
          </cell>
          <cell r="F676">
            <v>0</v>
          </cell>
          <cell r="G676" t="str">
            <v>Затраты по ШПЗ (неосновные)</v>
          </cell>
          <cell r="H676">
            <v>2030</v>
          </cell>
          <cell r="I676">
            <v>7920</v>
          </cell>
          <cell r="J676">
            <v>132.94999999999999</v>
          </cell>
          <cell r="K676">
            <v>1</v>
          </cell>
          <cell r="L676">
            <v>0</v>
          </cell>
          <cell r="M676">
            <v>0</v>
          </cell>
          <cell r="N676">
            <v>0</v>
          </cell>
          <cell r="R676">
            <v>0</v>
          </cell>
          <cell r="S676">
            <v>0</v>
          </cell>
          <cell r="T676">
            <v>0</v>
          </cell>
          <cell r="U676">
            <v>42</v>
          </cell>
          <cell r="V676">
            <v>0</v>
          </cell>
          <cell r="W676">
            <v>0</v>
          </cell>
          <cell r="AA676">
            <v>0</v>
          </cell>
          <cell r="AB676">
            <v>0</v>
          </cell>
          <cell r="AC676">
            <v>0</v>
          </cell>
          <cell r="AD676">
            <v>42</v>
          </cell>
          <cell r="AE676">
            <v>130000</v>
          </cell>
          <cell r="AF676">
            <v>0</v>
          </cell>
          <cell r="AI676">
            <v>2343</v>
          </cell>
          <cell r="AK676">
            <v>0</v>
          </cell>
          <cell r="AM676">
            <v>510</v>
          </cell>
          <cell r="AN676">
            <v>1</v>
          </cell>
          <cell r="AO676">
            <v>393216</v>
          </cell>
          <cell r="AQ676">
            <v>0</v>
          </cell>
          <cell r="AR676">
            <v>0</v>
          </cell>
          <cell r="AS676" t="str">
            <v>Ы</v>
          </cell>
          <cell r="AT676" t="str">
            <v>Ы</v>
          </cell>
          <cell r="AU676">
            <v>0</v>
          </cell>
          <cell r="AV676">
            <v>0</v>
          </cell>
          <cell r="AW676">
            <v>23</v>
          </cell>
          <cell r="AX676">
            <v>1</v>
          </cell>
          <cell r="AY676">
            <v>0</v>
          </cell>
          <cell r="AZ676">
            <v>0</v>
          </cell>
          <cell r="BA676">
            <v>0</v>
          </cell>
          <cell r="BB676">
            <v>0</v>
          </cell>
          <cell r="BC676">
            <v>38888</v>
          </cell>
        </row>
        <row r="677">
          <cell r="A677">
            <v>2006</v>
          </cell>
          <cell r="B677">
            <v>5</v>
          </cell>
          <cell r="C677">
            <v>359</v>
          </cell>
          <cell r="D677">
            <v>16</v>
          </cell>
          <cell r="E677">
            <v>792030</v>
          </cell>
          <cell r="F677">
            <v>0</v>
          </cell>
          <cell r="G677" t="str">
            <v>Затраты по ШПЗ (неосновные)</v>
          </cell>
          <cell r="H677">
            <v>2030</v>
          </cell>
          <cell r="I677">
            <v>7920</v>
          </cell>
          <cell r="J677">
            <v>4982.03</v>
          </cell>
          <cell r="K677">
            <v>1</v>
          </cell>
          <cell r="L677">
            <v>0</v>
          </cell>
          <cell r="M677">
            <v>0</v>
          </cell>
          <cell r="N677">
            <v>0</v>
          </cell>
          <cell r="R677">
            <v>0</v>
          </cell>
          <cell r="S677">
            <v>0</v>
          </cell>
          <cell r="T677">
            <v>0</v>
          </cell>
          <cell r="U677">
            <v>42</v>
          </cell>
          <cell r="V677">
            <v>0</v>
          </cell>
          <cell r="W677">
            <v>0</v>
          </cell>
          <cell r="AA677">
            <v>0</v>
          </cell>
          <cell r="AB677">
            <v>0</v>
          </cell>
          <cell r="AC677">
            <v>0</v>
          </cell>
          <cell r="AD677">
            <v>42</v>
          </cell>
          <cell r="AE677">
            <v>131000</v>
          </cell>
          <cell r="AF677">
            <v>0</v>
          </cell>
          <cell r="AI677">
            <v>2343</v>
          </cell>
          <cell r="AK677">
            <v>0</v>
          </cell>
          <cell r="AM677">
            <v>511</v>
          </cell>
          <cell r="AN677">
            <v>1</v>
          </cell>
          <cell r="AO677">
            <v>393216</v>
          </cell>
          <cell r="AQ677">
            <v>0</v>
          </cell>
          <cell r="AR677">
            <v>0</v>
          </cell>
          <cell r="AS677" t="str">
            <v>Ы</v>
          </cell>
          <cell r="AT677" t="str">
            <v>Ы</v>
          </cell>
          <cell r="AU677">
            <v>0</v>
          </cell>
          <cell r="AV677">
            <v>0</v>
          </cell>
          <cell r="AW677">
            <v>23</v>
          </cell>
          <cell r="AX677">
            <v>1</v>
          </cell>
          <cell r="AY677">
            <v>0</v>
          </cell>
          <cell r="AZ677">
            <v>0</v>
          </cell>
          <cell r="BA677">
            <v>0</v>
          </cell>
          <cell r="BB677">
            <v>0</v>
          </cell>
          <cell r="BC677">
            <v>38888</v>
          </cell>
        </row>
        <row r="678">
          <cell r="A678">
            <v>2006</v>
          </cell>
          <cell r="B678">
            <v>5</v>
          </cell>
          <cell r="C678">
            <v>360</v>
          </cell>
          <cell r="D678">
            <v>16</v>
          </cell>
          <cell r="E678">
            <v>792030</v>
          </cell>
          <cell r="F678">
            <v>0</v>
          </cell>
          <cell r="G678" t="str">
            <v>Затраты по ШПЗ (неосновные)</v>
          </cell>
          <cell r="H678">
            <v>2030</v>
          </cell>
          <cell r="I678">
            <v>7920</v>
          </cell>
          <cell r="J678">
            <v>6188.88</v>
          </cell>
          <cell r="K678">
            <v>1</v>
          </cell>
          <cell r="L678">
            <v>0</v>
          </cell>
          <cell r="M678">
            <v>0</v>
          </cell>
          <cell r="N678">
            <v>0</v>
          </cell>
          <cell r="R678">
            <v>0</v>
          </cell>
          <cell r="S678">
            <v>0</v>
          </cell>
          <cell r="T678">
            <v>0</v>
          </cell>
          <cell r="U678">
            <v>42</v>
          </cell>
          <cell r="V678">
            <v>0</v>
          </cell>
          <cell r="W678">
            <v>0</v>
          </cell>
          <cell r="AA678">
            <v>0</v>
          </cell>
          <cell r="AB678">
            <v>0</v>
          </cell>
          <cell r="AC678">
            <v>0</v>
          </cell>
          <cell r="AD678">
            <v>42</v>
          </cell>
          <cell r="AE678">
            <v>132000</v>
          </cell>
          <cell r="AF678">
            <v>0</v>
          </cell>
          <cell r="AI678">
            <v>2343</v>
          </cell>
          <cell r="AK678">
            <v>0</v>
          </cell>
          <cell r="AM678">
            <v>512</v>
          </cell>
          <cell r="AN678">
            <v>1</v>
          </cell>
          <cell r="AO678">
            <v>393216</v>
          </cell>
          <cell r="AQ678">
            <v>0</v>
          </cell>
          <cell r="AR678">
            <v>0</v>
          </cell>
          <cell r="AS678" t="str">
            <v>Ы</v>
          </cell>
          <cell r="AT678" t="str">
            <v>Ы</v>
          </cell>
          <cell r="AU678">
            <v>0</v>
          </cell>
          <cell r="AV678">
            <v>0</v>
          </cell>
          <cell r="AW678">
            <v>23</v>
          </cell>
          <cell r="AX678">
            <v>1</v>
          </cell>
          <cell r="AY678">
            <v>0</v>
          </cell>
          <cell r="AZ678">
            <v>0</v>
          </cell>
          <cell r="BA678">
            <v>0</v>
          </cell>
          <cell r="BB678">
            <v>0</v>
          </cell>
          <cell r="BC678">
            <v>38888</v>
          </cell>
        </row>
        <row r="679">
          <cell r="A679">
            <v>2006</v>
          </cell>
          <cell r="B679">
            <v>5</v>
          </cell>
          <cell r="C679">
            <v>361</v>
          </cell>
          <cell r="D679">
            <v>16</v>
          </cell>
          <cell r="E679">
            <v>792030</v>
          </cell>
          <cell r="F679">
            <v>0</v>
          </cell>
          <cell r="G679" t="str">
            <v>Затраты по ШПЗ (неосновные)</v>
          </cell>
          <cell r="H679">
            <v>2030</v>
          </cell>
          <cell r="I679">
            <v>7920</v>
          </cell>
          <cell r="J679">
            <v>1006.65</v>
          </cell>
          <cell r="K679">
            <v>1</v>
          </cell>
          <cell r="L679">
            <v>0</v>
          </cell>
          <cell r="M679">
            <v>0</v>
          </cell>
          <cell r="N679">
            <v>0</v>
          </cell>
          <cell r="R679">
            <v>0</v>
          </cell>
          <cell r="S679">
            <v>0</v>
          </cell>
          <cell r="T679">
            <v>0</v>
          </cell>
          <cell r="U679">
            <v>42</v>
          </cell>
          <cell r="V679">
            <v>0</v>
          </cell>
          <cell r="W679">
            <v>0</v>
          </cell>
          <cell r="AA679">
            <v>0</v>
          </cell>
          <cell r="AB679">
            <v>0</v>
          </cell>
          <cell r="AC679">
            <v>0</v>
          </cell>
          <cell r="AD679">
            <v>42</v>
          </cell>
          <cell r="AE679">
            <v>135000</v>
          </cell>
          <cell r="AF679">
            <v>0</v>
          </cell>
          <cell r="AI679">
            <v>2343</v>
          </cell>
          <cell r="AK679">
            <v>0</v>
          </cell>
          <cell r="AM679">
            <v>513</v>
          </cell>
          <cell r="AN679">
            <v>1</v>
          </cell>
          <cell r="AO679">
            <v>393216</v>
          </cell>
          <cell r="AQ679">
            <v>0</v>
          </cell>
          <cell r="AR679">
            <v>0</v>
          </cell>
          <cell r="AS679" t="str">
            <v>Ы</v>
          </cell>
          <cell r="AT679" t="str">
            <v>Ы</v>
          </cell>
          <cell r="AU679">
            <v>0</v>
          </cell>
          <cell r="AV679">
            <v>0</v>
          </cell>
          <cell r="AW679">
            <v>23</v>
          </cell>
          <cell r="AX679">
            <v>1</v>
          </cell>
          <cell r="AY679">
            <v>0</v>
          </cell>
          <cell r="AZ679">
            <v>0</v>
          </cell>
          <cell r="BA679">
            <v>0</v>
          </cell>
          <cell r="BB679">
            <v>0</v>
          </cell>
          <cell r="BC679">
            <v>38888</v>
          </cell>
        </row>
        <row r="680">
          <cell r="A680">
            <v>2006</v>
          </cell>
          <cell r="B680">
            <v>5</v>
          </cell>
          <cell r="C680">
            <v>362</v>
          </cell>
          <cell r="D680">
            <v>16</v>
          </cell>
          <cell r="E680">
            <v>792030</v>
          </cell>
          <cell r="F680">
            <v>0</v>
          </cell>
          <cell r="G680" t="str">
            <v>Затраты по ШПЗ (неосновные)</v>
          </cell>
          <cell r="H680">
            <v>2030</v>
          </cell>
          <cell r="I680">
            <v>7920</v>
          </cell>
          <cell r="J680">
            <v>74914.13</v>
          </cell>
          <cell r="K680">
            <v>1</v>
          </cell>
          <cell r="L680">
            <v>0</v>
          </cell>
          <cell r="M680">
            <v>0</v>
          </cell>
          <cell r="N680">
            <v>0</v>
          </cell>
          <cell r="R680">
            <v>0</v>
          </cell>
          <cell r="S680">
            <v>0</v>
          </cell>
          <cell r="T680">
            <v>0</v>
          </cell>
          <cell r="U680">
            <v>42</v>
          </cell>
          <cell r="V680">
            <v>0</v>
          </cell>
          <cell r="W680">
            <v>0</v>
          </cell>
          <cell r="AA680">
            <v>0</v>
          </cell>
          <cell r="AB680">
            <v>0</v>
          </cell>
          <cell r="AC680">
            <v>0</v>
          </cell>
          <cell r="AD680">
            <v>42</v>
          </cell>
          <cell r="AE680">
            <v>143000</v>
          </cell>
          <cell r="AF680">
            <v>0</v>
          </cell>
          <cell r="AI680">
            <v>2343</v>
          </cell>
          <cell r="AK680">
            <v>0</v>
          </cell>
          <cell r="AM680">
            <v>514</v>
          </cell>
          <cell r="AN680">
            <v>1</v>
          </cell>
          <cell r="AO680">
            <v>393216</v>
          </cell>
          <cell r="AQ680">
            <v>0</v>
          </cell>
          <cell r="AR680">
            <v>0</v>
          </cell>
          <cell r="AS680" t="str">
            <v>Ы</v>
          </cell>
          <cell r="AT680" t="str">
            <v>Ы</v>
          </cell>
          <cell r="AU680">
            <v>0</v>
          </cell>
          <cell r="AV680">
            <v>0</v>
          </cell>
          <cell r="AW680">
            <v>23</v>
          </cell>
          <cell r="AX680">
            <v>1</v>
          </cell>
          <cell r="AY680">
            <v>0</v>
          </cell>
          <cell r="AZ680">
            <v>0</v>
          </cell>
          <cell r="BA680">
            <v>0</v>
          </cell>
          <cell r="BB680">
            <v>0</v>
          </cell>
          <cell r="BC680">
            <v>38888</v>
          </cell>
        </row>
        <row r="681">
          <cell r="A681">
            <v>2006</v>
          </cell>
          <cell r="B681">
            <v>5</v>
          </cell>
          <cell r="C681">
            <v>363</v>
          </cell>
          <cell r="D681">
            <v>16</v>
          </cell>
          <cell r="E681">
            <v>792030</v>
          </cell>
          <cell r="F681">
            <v>0</v>
          </cell>
          <cell r="G681" t="str">
            <v>Затраты по ШПЗ (неосновные)</v>
          </cell>
          <cell r="H681">
            <v>2030</v>
          </cell>
          <cell r="I681">
            <v>7920</v>
          </cell>
          <cell r="J681">
            <v>3220496</v>
          </cell>
          <cell r="K681">
            <v>1</v>
          </cell>
          <cell r="L681">
            <v>0</v>
          </cell>
          <cell r="M681">
            <v>0</v>
          </cell>
          <cell r="N681">
            <v>0</v>
          </cell>
          <cell r="R681">
            <v>0</v>
          </cell>
          <cell r="S681">
            <v>0</v>
          </cell>
          <cell r="T681">
            <v>0</v>
          </cell>
          <cell r="U681">
            <v>42</v>
          </cell>
          <cell r="V681">
            <v>0</v>
          </cell>
          <cell r="W681">
            <v>0</v>
          </cell>
          <cell r="AA681">
            <v>0</v>
          </cell>
          <cell r="AB681">
            <v>0</v>
          </cell>
          <cell r="AC681">
            <v>0</v>
          </cell>
          <cell r="AD681">
            <v>42</v>
          </cell>
          <cell r="AE681">
            <v>240000</v>
          </cell>
          <cell r="AF681">
            <v>0</v>
          </cell>
          <cell r="AI681">
            <v>2343</v>
          </cell>
          <cell r="AK681">
            <v>0</v>
          </cell>
          <cell r="AM681">
            <v>515</v>
          </cell>
          <cell r="AN681">
            <v>1</v>
          </cell>
          <cell r="AO681">
            <v>393216</v>
          </cell>
          <cell r="AQ681">
            <v>0</v>
          </cell>
          <cell r="AR681">
            <v>0</v>
          </cell>
          <cell r="AS681" t="str">
            <v>Ы</v>
          </cell>
          <cell r="AT681" t="str">
            <v>Ы</v>
          </cell>
          <cell r="AU681">
            <v>0</v>
          </cell>
          <cell r="AV681">
            <v>0</v>
          </cell>
          <cell r="AW681">
            <v>23</v>
          </cell>
          <cell r="AX681">
            <v>1</v>
          </cell>
          <cell r="AY681">
            <v>0</v>
          </cell>
          <cell r="AZ681">
            <v>0</v>
          </cell>
          <cell r="BA681">
            <v>0</v>
          </cell>
          <cell r="BB681">
            <v>0</v>
          </cell>
          <cell r="BC681">
            <v>38888</v>
          </cell>
        </row>
        <row r="682">
          <cell r="A682">
            <v>2006</v>
          </cell>
          <cell r="B682">
            <v>5</v>
          </cell>
          <cell r="C682">
            <v>364</v>
          </cell>
          <cell r="D682">
            <v>16</v>
          </cell>
          <cell r="E682">
            <v>792030</v>
          </cell>
          <cell r="F682">
            <v>0</v>
          </cell>
          <cell r="G682" t="str">
            <v>Затраты по ШПЗ (неосновные)</v>
          </cell>
          <cell r="H682">
            <v>2030</v>
          </cell>
          <cell r="I682">
            <v>7920</v>
          </cell>
          <cell r="J682">
            <v>90061.75</v>
          </cell>
          <cell r="K682">
            <v>1</v>
          </cell>
          <cell r="L682">
            <v>0</v>
          </cell>
          <cell r="M682">
            <v>0</v>
          </cell>
          <cell r="N682">
            <v>0</v>
          </cell>
          <cell r="R682">
            <v>0</v>
          </cell>
          <cell r="S682">
            <v>0</v>
          </cell>
          <cell r="T682">
            <v>0</v>
          </cell>
          <cell r="U682">
            <v>42</v>
          </cell>
          <cell r="V682">
            <v>0</v>
          </cell>
          <cell r="W682">
            <v>0</v>
          </cell>
          <cell r="AA682">
            <v>0</v>
          </cell>
          <cell r="AB682">
            <v>0</v>
          </cell>
          <cell r="AC682">
            <v>0</v>
          </cell>
          <cell r="AD682">
            <v>42</v>
          </cell>
          <cell r="AE682">
            <v>311000</v>
          </cell>
          <cell r="AF682">
            <v>0</v>
          </cell>
          <cell r="AI682">
            <v>2343</v>
          </cell>
          <cell r="AK682">
            <v>0</v>
          </cell>
          <cell r="AM682">
            <v>516</v>
          </cell>
          <cell r="AN682">
            <v>1</v>
          </cell>
          <cell r="AO682">
            <v>393216</v>
          </cell>
          <cell r="AQ682">
            <v>0</v>
          </cell>
          <cell r="AR682">
            <v>0</v>
          </cell>
          <cell r="AS682" t="str">
            <v>Ы</v>
          </cell>
          <cell r="AT682" t="str">
            <v>Ы</v>
          </cell>
          <cell r="AU682">
            <v>0</v>
          </cell>
          <cell r="AV682">
            <v>0</v>
          </cell>
          <cell r="AW682">
            <v>23</v>
          </cell>
          <cell r="AX682">
            <v>1</v>
          </cell>
          <cell r="AY682">
            <v>0</v>
          </cell>
          <cell r="AZ682">
            <v>0</v>
          </cell>
          <cell r="BA682">
            <v>0</v>
          </cell>
          <cell r="BB682">
            <v>0</v>
          </cell>
          <cell r="BC682">
            <v>38888</v>
          </cell>
        </row>
        <row r="683">
          <cell r="A683">
            <v>2006</v>
          </cell>
          <cell r="B683">
            <v>5</v>
          </cell>
          <cell r="C683">
            <v>365</v>
          </cell>
          <cell r="D683">
            <v>16</v>
          </cell>
          <cell r="E683">
            <v>792030</v>
          </cell>
          <cell r="F683">
            <v>0</v>
          </cell>
          <cell r="G683" t="str">
            <v>Затраты по ШПЗ (неосновные)</v>
          </cell>
          <cell r="H683">
            <v>2030</v>
          </cell>
          <cell r="I683">
            <v>7920</v>
          </cell>
          <cell r="J683">
            <v>623611.18000000005</v>
          </cell>
          <cell r="K683">
            <v>1</v>
          </cell>
          <cell r="L683">
            <v>0</v>
          </cell>
          <cell r="M683">
            <v>0</v>
          </cell>
          <cell r="N683">
            <v>0</v>
          </cell>
          <cell r="R683">
            <v>0</v>
          </cell>
          <cell r="S683">
            <v>0</v>
          </cell>
          <cell r="T683">
            <v>0</v>
          </cell>
          <cell r="U683">
            <v>42</v>
          </cell>
          <cell r="V683">
            <v>0</v>
          </cell>
          <cell r="W683">
            <v>0</v>
          </cell>
          <cell r="AA683">
            <v>0</v>
          </cell>
          <cell r="AB683">
            <v>0</v>
          </cell>
          <cell r="AC683">
            <v>0</v>
          </cell>
          <cell r="AD683">
            <v>42</v>
          </cell>
          <cell r="AE683">
            <v>312000</v>
          </cell>
          <cell r="AF683">
            <v>0</v>
          </cell>
          <cell r="AI683">
            <v>2343</v>
          </cell>
          <cell r="AK683">
            <v>0</v>
          </cell>
          <cell r="AM683">
            <v>517</v>
          </cell>
          <cell r="AN683">
            <v>1</v>
          </cell>
          <cell r="AO683">
            <v>393216</v>
          </cell>
          <cell r="AQ683">
            <v>0</v>
          </cell>
          <cell r="AR683">
            <v>0</v>
          </cell>
          <cell r="AS683" t="str">
            <v>Ы</v>
          </cell>
          <cell r="AT683" t="str">
            <v>Ы</v>
          </cell>
          <cell r="AU683">
            <v>0</v>
          </cell>
          <cell r="AV683">
            <v>0</v>
          </cell>
          <cell r="AW683">
            <v>23</v>
          </cell>
          <cell r="AX683">
            <v>1</v>
          </cell>
          <cell r="AY683">
            <v>0</v>
          </cell>
          <cell r="AZ683">
            <v>0</v>
          </cell>
          <cell r="BA683">
            <v>0</v>
          </cell>
          <cell r="BB683">
            <v>0</v>
          </cell>
          <cell r="BC683">
            <v>38888</v>
          </cell>
        </row>
        <row r="684">
          <cell r="A684">
            <v>2006</v>
          </cell>
          <cell r="B684">
            <v>5</v>
          </cell>
          <cell r="C684">
            <v>366</v>
          </cell>
          <cell r="D684">
            <v>16</v>
          </cell>
          <cell r="E684">
            <v>792030</v>
          </cell>
          <cell r="F684">
            <v>0</v>
          </cell>
          <cell r="G684" t="str">
            <v>Затраты по ШПЗ (неосновные)</v>
          </cell>
          <cell r="H684">
            <v>2030</v>
          </cell>
          <cell r="I684">
            <v>7920</v>
          </cell>
          <cell r="J684">
            <v>34532.400000000001</v>
          </cell>
          <cell r="K684">
            <v>1</v>
          </cell>
          <cell r="L684">
            <v>0</v>
          </cell>
          <cell r="M684">
            <v>0</v>
          </cell>
          <cell r="N684">
            <v>0</v>
          </cell>
          <cell r="R684">
            <v>0</v>
          </cell>
          <cell r="S684">
            <v>0</v>
          </cell>
          <cell r="T684">
            <v>0</v>
          </cell>
          <cell r="U684">
            <v>42</v>
          </cell>
          <cell r="V684">
            <v>0</v>
          </cell>
          <cell r="W684">
            <v>0</v>
          </cell>
          <cell r="AA684">
            <v>0</v>
          </cell>
          <cell r="AB684">
            <v>0</v>
          </cell>
          <cell r="AC684">
            <v>0</v>
          </cell>
          <cell r="AD684">
            <v>42</v>
          </cell>
          <cell r="AE684">
            <v>313000</v>
          </cell>
          <cell r="AF684">
            <v>0</v>
          </cell>
          <cell r="AI684">
            <v>2343</v>
          </cell>
          <cell r="AK684">
            <v>0</v>
          </cell>
          <cell r="AM684">
            <v>518</v>
          </cell>
          <cell r="AN684">
            <v>1</v>
          </cell>
          <cell r="AO684">
            <v>393216</v>
          </cell>
          <cell r="AQ684">
            <v>0</v>
          </cell>
          <cell r="AR684">
            <v>0</v>
          </cell>
          <cell r="AS684" t="str">
            <v>Ы</v>
          </cell>
          <cell r="AT684" t="str">
            <v>Ы</v>
          </cell>
          <cell r="AU684">
            <v>0</v>
          </cell>
          <cell r="AV684">
            <v>0</v>
          </cell>
          <cell r="AW684">
            <v>23</v>
          </cell>
          <cell r="AX684">
            <v>1</v>
          </cell>
          <cell r="AY684">
            <v>0</v>
          </cell>
          <cell r="AZ684">
            <v>0</v>
          </cell>
          <cell r="BA684">
            <v>0</v>
          </cell>
          <cell r="BB684">
            <v>0</v>
          </cell>
          <cell r="BC684">
            <v>38888</v>
          </cell>
        </row>
        <row r="685">
          <cell r="A685">
            <v>2006</v>
          </cell>
          <cell r="B685">
            <v>5</v>
          </cell>
          <cell r="C685">
            <v>367</v>
          </cell>
          <cell r="D685">
            <v>16</v>
          </cell>
          <cell r="E685">
            <v>792030</v>
          </cell>
          <cell r="F685">
            <v>0</v>
          </cell>
          <cell r="G685" t="str">
            <v>Затраты по ШПЗ (неосновные)</v>
          </cell>
          <cell r="H685">
            <v>2030</v>
          </cell>
          <cell r="I685">
            <v>7920</v>
          </cell>
          <cell r="J685">
            <v>61792.65</v>
          </cell>
          <cell r="K685">
            <v>1</v>
          </cell>
          <cell r="L685">
            <v>0</v>
          </cell>
          <cell r="M685">
            <v>0</v>
          </cell>
          <cell r="N685">
            <v>0</v>
          </cell>
          <cell r="R685">
            <v>0</v>
          </cell>
          <cell r="S685">
            <v>0</v>
          </cell>
          <cell r="T685">
            <v>0</v>
          </cell>
          <cell r="U685">
            <v>42</v>
          </cell>
          <cell r="V685">
            <v>0</v>
          </cell>
          <cell r="W685">
            <v>0</v>
          </cell>
          <cell r="AA685">
            <v>0</v>
          </cell>
          <cell r="AB685">
            <v>0</v>
          </cell>
          <cell r="AC685">
            <v>0</v>
          </cell>
          <cell r="AD685">
            <v>42</v>
          </cell>
          <cell r="AE685">
            <v>314000</v>
          </cell>
          <cell r="AF685">
            <v>0</v>
          </cell>
          <cell r="AI685">
            <v>2343</v>
          </cell>
          <cell r="AK685">
            <v>0</v>
          </cell>
          <cell r="AM685">
            <v>519</v>
          </cell>
          <cell r="AN685">
            <v>1</v>
          </cell>
          <cell r="AO685">
            <v>393216</v>
          </cell>
          <cell r="AQ685">
            <v>0</v>
          </cell>
          <cell r="AR685">
            <v>0</v>
          </cell>
          <cell r="AS685" t="str">
            <v>Ы</v>
          </cell>
          <cell r="AT685" t="str">
            <v>Ы</v>
          </cell>
          <cell r="AU685">
            <v>0</v>
          </cell>
          <cell r="AV685">
            <v>0</v>
          </cell>
          <cell r="AW685">
            <v>23</v>
          </cell>
          <cell r="AX685">
            <v>1</v>
          </cell>
          <cell r="AY685">
            <v>0</v>
          </cell>
          <cell r="AZ685">
            <v>0</v>
          </cell>
          <cell r="BA685">
            <v>0</v>
          </cell>
          <cell r="BB685">
            <v>0</v>
          </cell>
          <cell r="BC685">
            <v>38888</v>
          </cell>
        </row>
        <row r="686">
          <cell r="A686">
            <v>2006</v>
          </cell>
          <cell r="B686">
            <v>5</v>
          </cell>
          <cell r="C686">
            <v>368</v>
          </cell>
          <cell r="D686">
            <v>16</v>
          </cell>
          <cell r="E686">
            <v>792030</v>
          </cell>
          <cell r="F686">
            <v>0</v>
          </cell>
          <cell r="G686" t="str">
            <v>Затраты по ШПЗ (неосновные)</v>
          </cell>
          <cell r="H686">
            <v>2030</v>
          </cell>
          <cell r="I686">
            <v>7920</v>
          </cell>
          <cell r="J686">
            <v>12872.63</v>
          </cell>
          <cell r="K686">
            <v>1</v>
          </cell>
          <cell r="L686">
            <v>0</v>
          </cell>
          <cell r="M686">
            <v>0</v>
          </cell>
          <cell r="N686">
            <v>0</v>
          </cell>
          <cell r="R686">
            <v>0</v>
          </cell>
          <cell r="S686">
            <v>0</v>
          </cell>
          <cell r="T686">
            <v>0</v>
          </cell>
          <cell r="U686">
            <v>42</v>
          </cell>
          <cell r="V686">
            <v>0</v>
          </cell>
          <cell r="W686">
            <v>0</v>
          </cell>
          <cell r="AA686">
            <v>0</v>
          </cell>
          <cell r="AB686">
            <v>0</v>
          </cell>
          <cell r="AC686">
            <v>0</v>
          </cell>
          <cell r="AD686">
            <v>42</v>
          </cell>
          <cell r="AE686">
            <v>315000</v>
          </cell>
          <cell r="AF686">
            <v>0</v>
          </cell>
          <cell r="AI686">
            <v>2343</v>
          </cell>
          <cell r="AK686">
            <v>0</v>
          </cell>
          <cell r="AM686">
            <v>520</v>
          </cell>
          <cell r="AN686">
            <v>1</v>
          </cell>
          <cell r="AO686">
            <v>393216</v>
          </cell>
          <cell r="AQ686">
            <v>0</v>
          </cell>
          <cell r="AR686">
            <v>0</v>
          </cell>
          <cell r="AS686" t="str">
            <v>Ы</v>
          </cell>
          <cell r="AT686" t="str">
            <v>Ы</v>
          </cell>
          <cell r="AU686">
            <v>0</v>
          </cell>
          <cell r="AV686">
            <v>0</v>
          </cell>
          <cell r="AW686">
            <v>23</v>
          </cell>
          <cell r="AX686">
            <v>1</v>
          </cell>
          <cell r="AY686">
            <v>0</v>
          </cell>
          <cell r="AZ686">
            <v>0</v>
          </cell>
          <cell r="BA686">
            <v>0</v>
          </cell>
          <cell r="BB686">
            <v>0</v>
          </cell>
          <cell r="BC686">
            <v>38888</v>
          </cell>
        </row>
        <row r="687">
          <cell r="A687">
            <v>2006</v>
          </cell>
          <cell r="B687">
            <v>5</v>
          </cell>
          <cell r="C687">
            <v>369</v>
          </cell>
          <cell r="D687">
            <v>16</v>
          </cell>
          <cell r="E687">
            <v>792030</v>
          </cell>
          <cell r="F687">
            <v>0</v>
          </cell>
          <cell r="G687" t="str">
            <v>Затраты по ШПЗ (неосновные)</v>
          </cell>
          <cell r="H687">
            <v>2030</v>
          </cell>
          <cell r="I687">
            <v>7920</v>
          </cell>
          <cell r="J687">
            <v>1373.19</v>
          </cell>
          <cell r="K687">
            <v>1</v>
          </cell>
          <cell r="L687">
            <v>0</v>
          </cell>
          <cell r="M687">
            <v>0</v>
          </cell>
          <cell r="N687">
            <v>0</v>
          </cell>
          <cell r="R687">
            <v>0</v>
          </cell>
          <cell r="S687">
            <v>0</v>
          </cell>
          <cell r="T687">
            <v>0</v>
          </cell>
          <cell r="U687">
            <v>42</v>
          </cell>
          <cell r="V687">
            <v>0</v>
          </cell>
          <cell r="W687">
            <v>0</v>
          </cell>
          <cell r="AA687">
            <v>0</v>
          </cell>
          <cell r="AB687">
            <v>0</v>
          </cell>
          <cell r="AC687">
            <v>0</v>
          </cell>
          <cell r="AD687">
            <v>42</v>
          </cell>
          <cell r="AE687">
            <v>410000</v>
          </cell>
          <cell r="AF687">
            <v>0</v>
          </cell>
          <cell r="AI687">
            <v>2343</v>
          </cell>
          <cell r="AK687">
            <v>0</v>
          </cell>
          <cell r="AM687">
            <v>521</v>
          </cell>
          <cell r="AN687">
            <v>1</v>
          </cell>
          <cell r="AO687">
            <v>393216</v>
          </cell>
          <cell r="AQ687">
            <v>0</v>
          </cell>
          <cell r="AR687">
            <v>0</v>
          </cell>
          <cell r="AS687" t="str">
            <v>Ы</v>
          </cell>
          <cell r="AT687" t="str">
            <v>Ы</v>
          </cell>
          <cell r="AU687">
            <v>0</v>
          </cell>
          <cell r="AV687">
            <v>0</v>
          </cell>
          <cell r="AW687">
            <v>23</v>
          </cell>
          <cell r="AX687">
            <v>1</v>
          </cell>
          <cell r="AY687">
            <v>0</v>
          </cell>
          <cell r="AZ687">
            <v>0</v>
          </cell>
          <cell r="BA687">
            <v>0</v>
          </cell>
          <cell r="BB687">
            <v>0</v>
          </cell>
          <cell r="BC687">
            <v>38888</v>
          </cell>
        </row>
        <row r="688">
          <cell r="A688">
            <v>2006</v>
          </cell>
          <cell r="B688">
            <v>5</v>
          </cell>
          <cell r="C688">
            <v>370</v>
          </cell>
          <cell r="D688">
            <v>16</v>
          </cell>
          <cell r="E688">
            <v>792030</v>
          </cell>
          <cell r="F688">
            <v>0</v>
          </cell>
          <cell r="G688" t="str">
            <v>Затраты по ШПЗ (неосновные)</v>
          </cell>
          <cell r="H688">
            <v>2030</v>
          </cell>
          <cell r="I688">
            <v>7920</v>
          </cell>
          <cell r="J688">
            <v>29150.79</v>
          </cell>
          <cell r="K688">
            <v>1</v>
          </cell>
          <cell r="L688">
            <v>0</v>
          </cell>
          <cell r="M688">
            <v>0</v>
          </cell>
          <cell r="N688">
            <v>0</v>
          </cell>
          <cell r="R688">
            <v>0</v>
          </cell>
          <cell r="S688">
            <v>0</v>
          </cell>
          <cell r="T688">
            <v>0</v>
          </cell>
          <cell r="U688">
            <v>42</v>
          </cell>
          <cell r="V688">
            <v>0</v>
          </cell>
          <cell r="W688">
            <v>0</v>
          </cell>
          <cell r="AA688">
            <v>0</v>
          </cell>
          <cell r="AB688">
            <v>0</v>
          </cell>
          <cell r="AC688">
            <v>0</v>
          </cell>
          <cell r="AD688">
            <v>42</v>
          </cell>
          <cell r="AE688">
            <v>420000</v>
          </cell>
          <cell r="AF688">
            <v>0</v>
          </cell>
          <cell r="AI688">
            <v>2343</v>
          </cell>
          <cell r="AK688">
            <v>0</v>
          </cell>
          <cell r="AM688">
            <v>522</v>
          </cell>
          <cell r="AN688">
            <v>1</v>
          </cell>
          <cell r="AO688">
            <v>393216</v>
          </cell>
          <cell r="AQ688">
            <v>0</v>
          </cell>
          <cell r="AR688">
            <v>0</v>
          </cell>
          <cell r="AS688" t="str">
            <v>Ы</v>
          </cell>
          <cell r="AT688" t="str">
            <v>Ы</v>
          </cell>
          <cell r="AU688">
            <v>0</v>
          </cell>
          <cell r="AV688">
            <v>0</v>
          </cell>
          <cell r="AW688">
            <v>23</v>
          </cell>
          <cell r="AX688">
            <v>1</v>
          </cell>
          <cell r="AY688">
            <v>0</v>
          </cell>
          <cell r="AZ688">
            <v>0</v>
          </cell>
          <cell r="BA688">
            <v>0</v>
          </cell>
          <cell r="BB688">
            <v>0</v>
          </cell>
          <cell r="BC688">
            <v>38888</v>
          </cell>
        </row>
        <row r="689">
          <cell r="A689">
            <v>2006</v>
          </cell>
          <cell r="B689">
            <v>5</v>
          </cell>
          <cell r="C689">
            <v>371</v>
          </cell>
          <cell r="D689">
            <v>16</v>
          </cell>
          <cell r="E689">
            <v>792030</v>
          </cell>
          <cell r="F689">
            <v>0</v>
          </cell>
          <cell r="G689" t="str">
            <v>Затраты по ШПЗ (неосновные)</v>
          </cell>
          <cell r="H689">
            <v>2030</v>
          </cell>
          <cell r="I689">
            <v>7920</v>
          </cell>
          <cell r="J689">
            <v>4627.55</v>
          </cell>
          <cell r="K689">
            <v>1</v>
          </cell>
          <cell r="L689">
            <v>0</v>
          </cell>
          <cell r="M689">
            <v>0</v>
          </cell>
          <cell r="N689">
            <v>0</v>
          </cell>
          <cell r="R689">
            <v>0</v>
          </cell>
          <cell r="S689">
            <v>0</v>
          </cell>
          <cell r="T689">
            <v>0</v>
          </cell>
          <cell r="U689">
            <v>42</v>
          </cell>
          <cell r="V689">
            <v>0</v>
          </cell>
          <cell r="W689">
            <v>0</v>
          </cell>
          <cell r="AA689">
            <v>0</v>
          </cell>
          <cell r="AB689">
            <v>0</v>
          </cell>
          <cell r="AC689">
            <v>0</v>
          </cell>
          <cell r="AD689">
            <v>42</v>
          </cell>
          <cell r="AE689">
            <v>430000</v>
          </cell>
          <cell r="AF689">
            <v>0</v>
          </cell>
          <cell r="AI689">
            <v>2343</v>
          </cell>
          <cell r="AK689">
            <v>0</v>
          </cell>
          <cell r="AM689">
            <v>523</v>
          </cell>
          <cell r="AN689">
            <v>1</v>
          </cell>
          <cell r="AO689">
            <v>393216</v>
          </cell>
          <cell r="AQ689">
            <v>0</v>
          </cell>
          <cell r="AR689">
            <v>0</v>
          </cell>
          <cell r="AS689" t="str">
            <v>Ы</v>
          </cell>
          <cell r="AT689" t="str">
            <v>Ы</v>
          </cell>
          <cell r="AU689">
            <v>0</v>
          </cell>
          <cell r="AV689">
            <v>0</v>
          </cell>
          <cell r="AW689">
            <v>23</v>
          </cell>
          <cell r="AX689">
            <v>1</v>
          </cell>
          <cell r="AY689">
            <v>0</v>
          </cell>
          <cell r="AZ689">
            <v>0</v>
          </cell>
          <cell r="BA689">
            <v>0</v>
          </cell>
          <cell r="BB689">
            <v>0</v>
          </cell>
          <cell r="BC689">
            <v>38888</v>
          </cell>
        </row>
        <row r="690">
          <cell r="A690">
            <v>2006</v>
          </cell>
          <cell r="B690">
            <v>5</v>
          </cell>
          <cell r="C690">
            <v>372</v>
          </cell>
          <cell r="D690">
            <v>16</v>
          </cell>
          <cell r="E690">
            <v>792030</v>
          </cell>
          <cell r="F690">
            <v>0</v>
          </cell>
          <cell r="G690" t="str">
            <v>Затраты по ШПЗ (неосновные)</v>
          </cell>
          <cell r="H690">
            <v>2030</v>
          </cell>
          <cell r="I690">
            <v>7920</v>
          </cell>
          <cell r="J690">
            <v>2091.5500000000002</v>
          </cell>
          <cell r="K690">
            <v>1</v>
          </cell>
          <cell r="L690">
            <v>0</v>
          </cell>
          <cell r="M690">
            <v>0</v>
          </cell>
          <cell r="N690">
            <v>0</v>
          </cell>
          <cell r="R690">
            <v>0</v>
          </cell>
          <cell r="S690">
            <v>0</v>
          </cell>
          <cell r="T690">
            <v>0</v>
          </cell>
          <cell r="U690">
            <v>42</v>
          </cell>
          <cell r="V690">
            <v>0</v>
          </cell>
          <cell r="W690">
            <v>0</v>
          </cell>
          <cell r="AA690">
            <v>0</v>
          </cell>
          <cell r="AB690">
            <v>0</v>
          </cell>
          <cell r="AC690">
            <v>0</v>
          </cell>
          <cell r="AD690">
            <v>42</v>
          </cell>
          <cell r="AE690">
            <v>450000</v>
          </cell>
          <cell r="AF690">
            <v>0</v>
          </cell>
          <cell r="AI690">
            <v>2343</v>
          </cell>
          <cell r="AK690">
            <v>0</v>
          </cell>
          <cell r="AM690">
            <v>524</v>
          </cell>
          <cell r="AN690">
            <v>1</v>
          </cell>
          <cell r="AO690">
            <v>393216</v>
          </cell>
          <cell r="AQ690">
            <v>0</v>
          </cell>
          <cell r="AR690">
            <v>0</v>
          </cell>
          <cell r="AS690" t="str">
            <v>Ы</v>
          </cell>
          <cell r="AT690" t="str">
            <v>Ы</v>
          </cell>
          <cell r="AU690">
            <v>0</v>
          </cell>
          <cell r="AV690">
            <v>0</v>
          </cell>
          <cell r="AW690">
            <v>23</v>
          </cell>
          <cell r="AX690">
            <v>1</v>
          </cell>
          <cell r="AY690">
            <v>0</v>
          </cell>
          <cell r="AZ690">
            <v>0</v>
          </cell>
          <cell r="BA690">
            <v>0</v>
          </cell>
          <cell r="BB690">
            <v>0</v>
          </cell>
          <cell r="BC690">
            <v>38888</v>
          </cell>
        </row>
        <row r="691">
          <cell r="A691">
            <v>2006</v>
          </cell>
          <cell r="B691">
            <v>5</v>
          </cell>
          <cell r="C691">
            <v>373</v>
          </cell>
          <cell r="D691">
            <v>16</v>
          </cell>
          <cell r="E691">
            <v>792030</v>
          </cell>
          <cell r="F691">
            <v>0</v>
          </cell>
          <cell r="G691" t="str">
            <v>Затраты по ШПЗ (неосновные)</v>
          </cell>
          <cell r="H691">
            <v>2030</v>
          </cell>
          <cell r="I691">
            <v>7920</v>
          </cell>
          <cell r="J691">
            <v>635.23</v>
          </cell>
          <cell r="K691">
            <v>1</v>
          </cell>
          <cell r="L691">
            <v>0</v>
          </cell>
          <cell r="M691">
            <v>0</v>
          </cell>
          <cell r="N691">
            <v>0</v>
          </cell>
          <cell r="R691">
            <v>0</v>
          </cell>
          <cell r="S691">
            <v>0</v>
          </cell>
          <cell r="T691">
            <v>0</v>
          </cell>
          <cell r="U691">
            <v>42</v>
          </cell>
          <cell r="V691">
            <v>0</v>
          </cell>
          <cell r="W691">
            <v>0</v>
          </cell>
          <cell r="AA691">
            <v>0</v>
          </cell>
          <cell r="AB691">
            <v>0</v>
          </cell>
          <cell r="AC691">
            <v>0</v>
          </cell>
          <cell r="AD691">
            <v>42</v>
          </cell>
          <cell r="AE691">
            <v>460000</v>
          </cell>
          <cell r="AF691">
            <v>0</v>
          </cell>
          <cell r="AI691">
            <v>2343</v>
          </cell>
          <cell r="AK691">
            <v>0</v>
          </cell>
          <cell r="AM691">
            <v>525</v>
          </cell>
          <cell r="AN691">
            <v>1</v>
          </cell>
          <cell r="AO691">
            <v>393216</v>
          </cell>
          <cell r="AQ691">
            <v>0</v>
          </cell>
          <cell r="AR691">
            <v>0</v>
          </cell>
          <cell r="AS691" t="str">
            <v>Ы</v>
          </cell>
          <cell r="AT691" t="str">
            <v>Ы</v>
          </cell>
          <cell r="AU691">
            <v>0</v>
          </cell>
          <cell r="AV691">
            <v>0</v>
          </cell>
          <cell r="AW691">
            <v>23</v>
          </cell>
          <cell r="AX691">
            <v>1</v>
          </cell>
          <cell r="AY691">
            <v>0</v>
          </cell>
          <cell r="AZ691">
            <v>0</v>
          </cell>
          <cell r="BA691">
            <v>0</v>
          </cell>
          <cell r="BB691">
            <v>0</v>
          </cell>
          <cell r="BC691">
            <v>38888</v>
          </cell>
        </row>
        <row r="692">
          <cell r="A692">
            <v>2006</v>
          </cell>
          <cell r="B692">
            <v>5</v>
          </cell>
          <cell r="C692">
            <v>374</v>
          </cell>
          <cell r="D692">
            <v>16</v>
          </cell>
          <cell r="E692">
            <v>792030</v>
          </cell>
          <cell r="F692">
            <v>0</v>
          </cell>
          <cell r="G692" t="str">
            <v>Затраты по ШПЗ (неосновные)</v>
          </cell>
          <cell r="H692">
            <v>2030</v>
          </cell>
          <cell r="I692">
            <v>7920</v>
          </cell>
          <cell r="J692">
            <v>20.53</v>
          </cell>
          <cell r="K692">
            <v>1</v>
          </cell>
          <cell r="L692">
            <v>0</v>
          </cell>
          <cell r="M692">
            <v>0</v>
          </cell>
          <cell r="N692">
            <v>0</v>
          </cell>
          <cell r="R692">
            <v>0</v>
          </cell>
          <cell r="S692">
            <v>0</v>
          </cell>
          <cell r="T692">
            <v>0</v>
          </cell>
          <cell r="U692">
            <v>42</v>
          </cell>
          <cell r="V692">
            <v>0</v>
          </cell>
          <cell r="W692">
            <v>0</v>
          </cell>
          <cell r="AA692">
            <v>0</v>
          </cell>
          <cell r="AB692">
            <v>0</v>
          </cell>
          <cell r="AC692">
            <v>0</v>
          </cell>
          <cell r="AD692">
            <v>42</v>
          </cell>
          <cell r="AE692">
            <v>465000</v>
          </cell>
          <cell r="AF692">
            <v>0</v>
          </cell>
          <cell r="AI692">
            <v>2343</v>
          </cell>
          <cell r="AK692">
            <v>0</v>
          </cell>
          <cell r="AM692">
            <v>526</v>
          </cell>
          <cell r="AN692">
            <v>1</v>
          </cell>
          <cell r="AO692">
            <v>393216</v>
          </cell>
          <cell r="AQ692">
            <v>0</v>
          </cell>
          <cell r="AR692">
            <v>0</v>
          </cell>
          <cell r="AS692" t="str">
            <v>Ы</v>
          </cell>
          <cell r="AT692" t="str">
            <v>Ы</v>
          </cell>
          <cell r="AU692">
            <v>0</v>
          </cell>
          <cell r="AV692">
            <v>0</v>
          </cell>
          <cell r="AW692">
            <v>23</v>
          </cell>
          <cell r="AX692">
            <v>1</v>
          </cell>
          <cell r="AY692">
            <v>0</v>
          </cell>
          <cell r="AZ692">
            <v>0</v>
          </cell>
          <cell r="BA692">
            <v>0</v>
          </cell>
          <cell r="BB692">
            <v>0</v>
          </cell>
          <cell r="BC692">
            <v>38888</v>
          </cell>
        </row>
        <row r="693">
          <cell r="A693">
            <v>2006</v>
          </cell>
          <cell r="B693">
            <v>5</v>
          </cell>
          <cell r="C693">
            <v>375</v>
          </cell>
          <cell r="D693">
            <v>16</v>
          </cell>
          <cell r="E693">
            <v>792030</v>
          </cell>
          <cell r="F693">
            <v>0</v>
          </cell>
          <cell r="G693" t="str">
            <v>Затраты по ШПЗ (неосновные)</v>
          </cell>
          <cell r="H693">
            <v>2030</v>
          </cell>
          <cell r="I693">
            <v>7920</v>
          </cell>
          <cell r="J693">
            <v>276.8</v>
          </cell>
          <cell r="K693">
            <v>1</v>
          </cell>
          <cell r="L693">
            <v>0</v>
          </cell>
          <cell r="M693">
            <v>0</v>
          </cell>
          <cell r="N693">
            <v>0</v>
          </cell>
          <cell r="R693">
            <v>0</v>
          </cell>
          <cell r="S693">
            <v>0</v>
          </cell>
          <cell r="T693">
            <v>0</v>
          </cell>
          <cell r="U693">
            <v>42</v>
          </cell>
          <cell r="V693">
            <v>0</v>
          </cell>
          <cell r="W693">
            <v>0</v>
          </cell>
          <cell r="AA693">
            <v>0</v>
          </cell>
          <cell r="AB693">
            <v>0</v>
          </cell>
          <cell r="AC693">
            <v>0</v>
          </cell>
          <cell r="AD693">
            <v>42</v>
          </cell>
          <cell r="AE693">
            <v>501103</v>
          </cell>
          <cell r="AF693">
            <v>0</v>
          </cell>
          <cell r="AI693">
            <v>2343</v>
          </cell>
          <cell r="AK693">
            <v>0</v>
          </cell>
          <cell r="AM693">
            <v>527</v>
          </cell>
          <cell r="AN693">
            <v>1</v>
          </cell>
          <cell r="AO693">
            <v>393216</v>
          </cell>
          <cell r="AQ693">
            <v>0</v>
          </cell>
          <cell r="AR693">
            <v>0</v>
          </cell>
          <cell r="AS693" t="str">
            <v>Ы</v>
          </cell>
          <cell r="AT693" t="str">
            <v>Ы</v>
          </cell>
          <cell r="AU693">
            <v>0</v>
          </cell>
          <cell r="AV693">
            <v>0</v>
          </cell>
          <cell r="AW693">
            <v>23</v>
          </cell>
          <cell r="AX693">
            <v>1</v>
          </cell>
          <cell r="AY693">
            <v>0</v>
          </cell>
          <cell r="AZ693">
            <v>0</v>
          </cell>
          <cell r="BA693">
            <v>0</v>
          </cell>
          <cell r="BB693">
            <v>0</v>
          </cell>
          <cell r="BC693">
            <v>38888</v>
          </cell>
        </row>
        <row r="694">
          <cell r="A694">
            <v>2006</v>
          </cell>
          <cell r="B694">
            <v>5</v>
          </cell>
          <cell r="C694">
            <v>376</v>
          </cell>
          <cell r="D694">
            <v>16</v>
          </cell>
          <cell r="E694">
            <v>792030</v>
          </cell>
          <cell r="F694">
            <v>0</v>
          </cell>
          <cell r="G694" t="str">
            <v>Затраты по ШПЗ (неосновные)</v>
          </cell>
          <cell r="H694">
            <v>2030</v>
          </cell>
          <cell r="I694">
            <v>7920</v>
          </cell>
          <cell r="J694">
            <v>5002.12</v>
          </cell>
          <cell r="K694">
            <v>1</v>
          </cell>
          <cell r="L694">
            <v>0</v>
          </cell>
          <cell r="M694">
            <v>0</v>
          </cell>
          <cell r="N694">
            <v>0</v>
          </cell>
          <cell r="R694">
            <v>0</v>
          </cell>
          <cell r="S694">
            <v>0</v>
          </cell>
          <cell r="T694">
            <v>0</v>
          </cell>
          <cell r="U694">
            <v>42</v>
          </cell>
          <cell r="V694">
            <v>0</v>
          </cell>
          <cell r="W694">
            <v>0</v>
          </cell>
          <cell r="AA694">
            <v>0</v>
          </cell>
          <cell r="AB694">
            <v>0</v>
          </cell>
          <cell r="AC694">
            <v>0</v>
          </cell>
          <cell r="AD694">
            <v>42</v>
          </cell>
          <cell r="AE694">
            <v>501105</v>
          </cell>
          <cell r="AF694">
            <v>0</v>
          </cell>
          <cell r="AI694">
            <v>2343</v>
          </cell>
          <cell r="AK694">
            <v>0</v>
          </cell>
          <cell r="AM694">
            <v>528</v>
          </cell>
          <cell r="AN694">
            <v>1</v>
          </cell>
          <cell r="AO694">
            <v>393216</v>
          </cell>
          <cell r="AQ694">
            <v>0</v>
          </cell>
          <cell r="AR694">
            <v>0</v>
          </cell>
          <cell r="AS694" t="str">
            <v>Ы</v>
          </cell>
          <cell r="AT694" t="str">
            <v>Ы</v>
          </cell>
          <cell r="AU694">
            <v>0</v>
          </cell>
          <cell r="AV694">
            <v>0</v>
          </cell>
          <cell r="AW694">
            <v>23</v>
          </cell>
          <cell r="AX694">
            <v>1</v>
          </cell>
          <cell r="AY694">
            <v>0</v>
          </cell>
          <cell r="AZ694">
            <v>0</v>
          </cell>
          <cell r="BA694">
            <v>0</v>
          </cell>
          <cell r="BB694">
            <v>0</v>
          </cell>
          <cell r="BC694">
            <v>38888</v>
          </cell>
        </row>
        <row r="695">
          <cell r="A695">
            <v>2006</v>
          </cell>
          <cell r="B695">
            <v>5</v>
          </cell>
          <cell r="C695">
            <v>377</v>
          </cell>
          <cell r="D695">
            <v>16</v>
          </cell>
          <cell r="E695">
            <v>792030</v>
          </cell>
          <cell r="F695">
            <v>0</v>
          </cell>
          <cell r="G695" t="str">
            <v>Затраты по ШПЗ (неосновные)</v>
          </cell>
          <cell r="H695">
            <v>2030</v>
          </cell>
          <cell r="I695">
            <v>7920</v>
          </cell>
          <cell r="J695">
            <v>10489.21</v>
          </cell>
          <cell r="K695">
            <v>1</v>
          </cell>
          <cell r="L695">
            <v>0</v>
          </cell>
          <cell r="M695">
            <v>0</v>
          </cell>
          <cell r="N695">
            <v>0</v>
          </cell>
          <cell r="R695">
            <v>0</v>
          </cell>
          <cell r="S695">
            <v>0</v>
          </cell>
          <cell r="T695">
            <v>0</v>
          </cell>
          <cell r="U695">
            <v>42</v>
          </cell>
          <cell r="V695">
            <v>0</v>
          </cell>
          <cell r="W695">
            <v>0</v>
          </cell>
          <cell r="AA695">
            <v>0</v>
          </cell>
          <cell r="AB695">
            <v>0</v>
          </cell>
          <cell r="AC695">
            <v>0</v>
          </cell>
          <cell r="AD695">
            <v>42</v>
          </cell>
          <cell r="AE695">
            <v>502100</v>
          </cell>
          <cell r="AF695">
            <v>0</v>
          </cell>
          <cell r="AI695">
            <v>2343</v>
          </cell>
          <cell r="AK695">
            <v>0</v>
          </cell>
          <cell r="AM695">
            <v>529</v>
          </cell>
          <cell r="AN695">
            <v>1</v>
          </cell>
          <cell r="AO695">
            <v>393216</v>
          </cell>
          <cell r="AQ695">
            <v>0</v>
          </cell>
          <cell r="AR695">
            <v>0</v>
          </cell>
          <cell r="AS695" t="str">
            <v>Ы</v>
          </cell>
          <cell r="AT695" t="str">
            <v>Ы</v>
          </cell>
          <cell r="AU695">
            <v>0</v>
          </cell>
          <cell r="AV695">
            <v>0</v>
          </cell>
          <cell r="AW695">
            <v>23</v>
          </cell>
          <cell r="AX695">
            <v>1</v>
          </cell>
          <cell r="AY695">
            <v>0</v>
          </cell>
          <cell r="AZ695">
            <v>0</v>
          </cell>
          <cell r="BA695">
            <v>0</v>
          </cell>
          <cell r="BB695">
            <v>0</v>
          </cell>
          <cell r="BC695">
            <v>38888</v>
          </cell>
        </row>
        <row r="696">
          <cell r="A696">
            <v>2006</v>
          </cell>
          <cell r="B696">
            <v>5</v>
          </cell>
          <cell r="C696">
            <v>378</v>
          </cell>
          <cell r="D696">
            <v>16</v>
          </cell>
          <cell r="E696">
            <v>792030</v>
          </cell>
          <cell r="F696">
            <v>0</v>
          </cell>
          <cell r="G696" t="str">
            <v>Затраты по ШПЗ (неосновные)</v>
          </cell>
          <cell r="H696">
            <v>2030</v>
          </cell>
          <cell r="I696">
            <v>7920</v>
          </cell>
          <cell r="J696">
            <v>15202.77</v>
          </cell>
          <cell r="K696">
            <v>1</v>
          </cell>
          <cell r="L696">
            <v>0</v>
          </cell>
          <cell r="M696">
            <v>0</v>
          </cell>
          <cell r="N696">
            <v>0</v>
          </cell>
          <cell r="R696">
            <v>0</v>
          </cell>
          <cell r="S696">
            <v>0</v>
          </cell>
          <cell r="T696">
            <v>0</v>
          </cell>
          <cell r="U696">
            <v>42</v>
          </cell>
          <cell r="V696">
            <v>0</v>
          </cell>
          <cell r="W696">
            <v>0</v>
          </cell>
          <cell r="AA696">
            <v>0</v>
          </cell>
          <cell r="AB696">
            <v>0</v>
          </cell>
          <cell r="AC696">
            <v>0</v>
          </cell>
          <cell r="AD696">
            <v>42</v>
          </cell>
          <cell r="AE696">
            <v>503000</v>
          </cell>
          <cell r="AF696">
            <v>0</v>
          </cell>
          <cell r="AI696">
            <v>2343</v>
          </cell>
          <cell r="AK696">
            <v>0</v>
          </cell>
          <cell r="AM696">
            <v>530</v>
          </cell>
          <cell r="AN696">
            <v>1</v>
          </cell>
          <cell r="AO696">
            <v>393216</v>
          </cell>
          <cell r="AQ696">
            <v>0</v>
          </cell>
          <cell r="AR696">
            <v>0</v>
          </cell>
          <cell r="AS696" t="str">
            <v>Ы</v>
          </cell>
          <cell r="AT696" t="str">
            <v>Ы</v>
          </cell>
          <cell r="AU696">
            <v>0</v>
          </cell>
          <cell r="AV696">
            <v>0</v>
          </cell>
          <cell r="AW696">
            <v>23</v>
          </cell>
          <cell r="AX696">
            <v>1</v>
          </cell>
          <cell r="AY696">
            <v>0</v>
          </cell>
          <cell r="AZ696">
            <v>0</v>
          </cell>
          <cell r="BA696">
            <v>0</v>
          </cell>
          <cell r="BB696">
            <v>0</v>
          </cell>
          <cell r="BC696">
            <v>38888</v>
          </cell>
        </row>
        <row r="697">
          <cell r="A697">
            <v>2006</v>
          </cell>
          <cell r="B697">
            <v>5</v>
          </cell>
          <cell r="C697">
            <v>379</v>
          </cell>
          <cell r="D697">
            <v>16</v>
          </cell>
          <cell r="E697">
            <v>792030</v>
          </cell>
          <cell r="F697">
            <v>0</v>
          </cell>
          <cell r="G697" t="str">
            <v>Затраты по ШПЗ (неосновные)</v>
          </cell>
          <cell r="H697">
            <v>2030</v>
          </cell>
          <cell r="I697">
            <v>7920</v>
          </cell>
          <cell r="J697">
            <v>19.64</v>
          </cell>
          <cell r="K697">
            <v>1</v>
          </cell>
          <cell r="L697">
            <v>0</v>
          </cell>
          <cell r="M697">
            <v>0</v>
          </cell>
          <cell r="N697">
            <v>0</v>
          </cell>
          <cell r="R697">
            <v>0</v>
          </cell>
          <cell r="S697">
            <v>0</v>
          </cell>
          <cell r="T697">
            <v>0</v>
          </cell>
          <cell r="U697">
            <v>42</v>
          </cell>
          <cell r="V697">
            <v>0</v>
          </cell>
          <cell r="W697">
            <v>0</v>
          </cell>
          <cell r="AA697">
            <v>0</v>
          </cell>
          <cell r="AB697">
            <v>0</v>
          </cell>
          <cell r="AC697">
            <v>0</v>
          </cell>
          <cell r="AD697">
            <v>42</v>
          </cell>
          <cell r="AE697">
            <v>504100</v>
          </cell>
          <cell r="AF697">
            <v>0</v>
          </cell>
          <cell r="AI697">
            <v>2343</v>
          </cell>
          <cell r="AK697">
            <v>0</v>
          </cell>
          <cell r="AM697">
            <v>531</v>
          </cell>
          <cell r="AN697">
            <v>1</v>
          </cell>
          <cell r="AO697">
            <v>393216</v>
          </cell>
          <cell r="AQ697">
            <v>0</v>
          </cell>
          <cell r="AR697">
            <v>0</v>
          </cell>
          <cell r="AS697" t="str">
            <v>Ы</v>
          </cell>
          <cell r="AT697" t="str">
            <v>Ы</v>
          </cell>
          <cell r="AU697">
            <v>0</v>
          </cell>
          <cell r="AV697">
            <v>0</v>
          </cell>
          <cell r="AW697">
            <v>23</v>
          </cell>
          <cell r="AX697">
            <v>1</v>
          </cell>
          <cell r="AY697">
            <v>0</v>
          </cell>
          <cell r="AZ697">
            <v>0</v>
          </cell>
          <cell r="BA697">
            <v>0</v>
          </cell>
          <cell r="BB697">
            <v>0</v>
          </cell>
          <cell r="BC697">
            <v>38888</v>
          </cell>
        </row>
        <row r="698">
          <cell r="A698">
            <v>2006</v>
          </cell>
          <cell r="B698">
            <v>5</v>
          </cell>
          <cell r="C698">
            <v>380</v>
          </cell>
          <cell r="D698">
            <v>16</v>
          </cell>
          <cell r="E698">
            <v>792030</v>
          </cell>
          <cell r="F698">
            <v>0</v>
          </cell>
          <cell r="G698" t="str">
            <v>Затраты по ШПЗ (неосновные)</v>
          </cell>
          <cell r="H698">
            <v>2030</v>
          </cell>
          <cell r="I698">
            <v>7920</v>
          </cell>
          <cell r="J698">
            <v>81.540000000000006</v>
          </cell>
          <cell r="K698">
            <v>1</v>
          </cell>
          <cell r="L698">
            <v>0</v>
          </cell>
          <cell r="M698">
            <v>0</v>
          </cell>
          <cell r="N698">
            <v>0</v>
          </cell>
          <cell r="R698">
            <v>0</v>
          </cell>
          <cell r="S698">
            <v>0</v>
          </cell>
          <cell r="T698">
            <v>0</v>
          </cell>
          <cell r="U698">
            <v>42</v>
          </cell>
          <cell r="V698">
            <v>0</v>
          </cell>
          <cell r="W698">
            <v>0</v>
          </cell>
          <cell r="AA698">
            <v>0</v>
          </cell>
          <cell r="AB698">
            <v>0</v>
          </cell>
          <cell r="AC698">
            <v>0</v>
          </cell>
          <cell r="AD698">
            <v>42</v>
          </cell>
          <cell r="AE698">
            <v>504200</v>
          </cell>
          <cell r="AF698">
            <v>0</v>
          </cell>
          <cell r="AI698">
            <v>2343</v>
          </cell>
          <cell r="AK698">
            <v>0</v>
          </cell>
          <cell r="AM698">
            <v>532</v>
          </cell>
          <cell r="AN698">
            <v>1</v>
          </cell>
          <cell r="AO698">
            <v>393216</v>
          </cell>
          <cell r="AQ698">
            <v>0</v>
          </cell>
          <cell r="AR698">
            <v>0</v>
          </cell>
          <cell r="AS698" t="str">
            <v>Ы</v>
          </cell>
          <cell r="AT698" t="str">
            <v>Ы</v>
          </cell>
          <cell r="AU698">
            <v>0</v>
          </cell>
          <cell r="AV698">
            <v>0</v>
          </cell>
          <cell r="AW698">
            <v>23</v>
          </cell>
          <cell r="AX698">
            <v>1</v>
          </cell>
          <cell r="AY698">
            <v>0</v>
          </cell>
          <cell r="AZ698">
            <v>0</v>
          </cell>
          <cell r="BA698">
            <v>0</v>
          </cell>
          <cell r="BB698">
            <v>0</v>
          </cell>
          <cell r="BC698">
            <v>38888</v>
          </cell>
        </row>
        <row r="699">
          <cell r="A699">
            <v>2006</v>
          </cell>
          <cell r="B699">
            <v>5</v>
          </cell>
          <cell r="C699">
            <v>381</v>
          </cell>
          <cell r="D699">
            <v>16</v>
          </cell>
          <cell r="E699">
            <v>792030</v>
          </cell>
          <cell r="F699">
            <v>0</v>
          </cell>
          <cell r="G699" t="str">
            <v>Затраты по ШПЗ (неосновные)</v>
          </cell>
          <cell r="H699">
            <v>2030</v>
          </cell>
          <cell r="I699">
            <v>7920</v>
          </cell>
          <cell r="J699">
            <v>38.51</v>
          </cell>
          <cell r="K699">
            <v>1</v>
          </cell>
          <cell r="L699">
            <v>0</v>
          </cell>
          <cell r="M699">
            <v>0</v>
          </cell>
          <cell r="N699">
            <v>0</v>
          </cell>
          <cell r="R699">
            <v>0</v>
          </cell>
          <cell r="S699">
            <v>0</v>
          </cell>
          <cell r="T699">
            <v>0</v>
          </cell>
          <cell r="U699">
            <v>42</v>
          </cell>
          <cell r="V699">
            <v>0</v>
          </cell>
          <cell r="W699">
            <v>0</v>
          </cell>
          <cell r="AA699">
            <v>0</v>
          </cell>
          <cell r="AB699">
            <v>0</v>
          </cell>
          <cell r="AC699">
            <v>0</v>
          </cell>
          <cell r="AD699">
            <v>42</v>
          </cell>
          <cell r="AE699">
            <v>504400</v>
          </cell>
          <cell r="AF699">
            <v>0</v>
          </cell>
          <cell r="AI699">
            <v>2343</v>
          </cell>
          <cell r="AK699">
            <v>0</v>
          </cell>
          <cell r="AM699">
            <v>533</v>
          </cell>
          <cell r="AN699">
            <v>1</v>
          </cell>
          <cell r="AO699">
            <v>393216</v>
          </cell>
          <cell r="AQ699">
            <v>0</v>
          </cell>
          <cell r="AR699">
            <v>0</v>
          </cell>
          <cell r="AS699" t="str">
            <v>Ы</v>
          </cell>
          <cell r="AT699" t="str">
            <v>Ы</v>
          </cell>
          <cell r="AU699">
            <v>0</v>
          </cell>
          <cell r="AV699">
            <v>0</v>
          </cell>
          <cell r="AW699">
            <v>23</v>
          </cell>
          <cell r="AX699">
            <v>1</v>
          </cell>
          <cell r="AY699">
            <v>0</v>
          </cell>
          <cell r="AZ699">
            <v>0</v>
          </cell>
          <cell r="BA699">
            <v>0</v>
          </cell>
          <cell r="BB699">
            <v>0</v>
          </cell>
          <cell r="BC699">
            <v>38888</v>
          </cell>
        </row>
        <row r="700">
          <cell r="A700">
            <v>2006</v>
          </cell>
          <cell r="B700">
            <v>5</v>
          </cell>
          <cell r="C700">
            <v>382</v>
          </cell>
          <cell r="D700">
            <v>16</v>
          </cell>
          <cell r="E700">
            <v>792030</v>
          </cell>
          <cell r="F700">
            <v>0</v>
          </cell>
          <cell r="G700" t="str">
            <v>Затраты по ШПЗ (неосновные)</v>
          </cell>
          <cell r="H700">
            <v>2030</v>
          </cell>
          <cell r="I700">
            <v>7920</v>
          </cell>
          <cell r="J700">
            <v>1079.99</v>
          </cell>
          <cell r="K700">
            <v>1</v>
          </cell>
          <cell r="L700">
            <v>0</v>
          </cell>
          <cell r="M700">
            <v>0</v>
          </cell>
          <cell r="N700">
            <v>0</v>
          </cell>
          <cell r="R700">
            <v>0</v>
          </cell>
          <cell r="S700">
            <v>0</v>
          </cell>
          <cell r="T700">
            <v>0</v>
          </cell>
          <cell r="U700">
            <v>42</v>
          </cell>
          <cell r="V700">
            <v>0</v>
          </cell>
          <cell r="W700">
            <v>0</v>
          </cell>
          <cell r="AA700">
            <v>0</v>
          </cell>
          <cell r="AB700">
            <v>0</v>
          </cell>
          <cell r="AC700">
            <v>0</v>
          </cell>
          <cell r="AD700">
            <v>42</v>
          </cell>
          <cell r="AE700">
            <v>504900</v>
          </cell>
          <cell r="AF700">
            <v>0</v>
          </cell>
          <cell r="AI700">
            <v>2343</v>
          </cell>
          <cell r="AK700">
            <v>0</v>
          </cell>
          <cell r="AM700">
            <v>534</v>
          </cell>
          <cell r="AN700">
            <v>1</v>
          </cell>
          <cell r="AO700">
            <v>393216</v>
          </cell>
          <cell r="AQ700">
            <v>0</v>
          </cell>
          <cell r="AR700">
            <v>0</v>
          </cell>
          <cell r="AS700" t="str">
            <v>Ы</v>
          </cell>
          <cell r="AT700" t="str">
            <v>Ы</v>
          </cell>
          <cell r="AU700">
            <v>0</v>
          </cell>
          <cell r="AV700">
            <v>0</v>
          </cell>
          <cell r="AW700">
            <v>23</v>
          </cell>
          <cell r="AX700">
            <v>1</v>
          </cell>
          <cell r="AY700">
            <v>0</v>
          </cell>
          <cell r="AZ700">
            <v>0</v>
          </cell>
          <cell r="BA700">
            <v>0</v>
          </cell>
          <cell r="BB700">
            <v>0</v>
          </cell>
          <cell r="BC700">
            <v>38888</v>
          </cell>
        </row>
        <row r="701">
          <cell r="A701">
            <v>2006</v>
          </cell>
          <cell r="B701">
            <v>5</v>
          </cell>
          <cell r="C701">
            <v>383</v>
          </cell>
          <cell r="D701">
            <v>16</v>
          </cell>
          <cell r="E701">
            <v>792030</v>
          </cell>
          <cell r="F701">
            <v>0</v>
          </cell>
          <cell r="G701" t="str">
            <v>Затраты по ШПЗ (неосновные)</v>
          </cell>
          <cell r="H701">
            <v>2030</v>
          </cell>
          <cell r="I701">
            <v>7920</v>
          </cell>
          <cell r="J701">
            <v>3151.89</v>
          </cell>
          <cell r="K701">
            <v>1</v>
          </cell>
          <cell r="L701">
            <v>0</v>
          </cell>
          <cell r="M701">
            <v>0</v>
          </cell>
          <cell r="N701">
            <v>0</v>
          </cell>
          <cell r="R701">
            <v>0</v>
          </cell>
          <cell r="S701">
            <v>0</v>
          </cell>
          <cell r="T701">
            <v>0</v>
          </cell>
          <cell r="U701">
            <v>42</v>
          </cell>
          <cell r="V701">
            <v>0</v>
          </cell>
          <cell r="W701">
            <v>0</v>
          </cell>
          <cell r="AA701">
            <v>0</v>
          </cell>
          <cell r="AB701">
            <v>0</v>
          </cell>
          <cell r="AC701">
            <v>0</v>
          </cell>
          <cell r="AD701">
            <v>42</v>
          </cell>
          <cell r="AE701">
            <v>505100</v>
          </cell>
          <cell r="AF701">
            <v>0</v>
          </cell>
          <cell r="AI701">
            <v>2343</v>
          </cell>
          <cell r="AK701">
            <v>0</v>
          </cell>
          <cell r="AM701">
            <v>535</v>
          </cell>
          <cell r="AN701">
            <v>1</v>
          </cell>
          <cell r="AO701">
            <v>393216</v>
          </cell>
          <cell r="AQ701">
            <v>0</v>
          </cell>
          <cell r="AR701">
            <v>0</v>
          </cell>
          <cell r="AS701" t="str">
            <v>Ы</v>
          </cell>
          <cell r="AT701" t="str">
            <v>Ы</v>
          </cell>
          <cell r="AU701">
            <v>0</v>
          </cell>
          <cell r="AV701">
            <v>0</v>
          </cell>
          <cell r="AW701">
            <v>23</v>
          </cell>
          <cell r="AX701">
            <v>1</v>
          </cell>
          <cell r="AY701">
            <v>0</v>
          </cell>
          <cell r="AZ701">
            <v>0</v>
          </cell>
          <cell r="BA701">
            <v>0</v>
          </cell>
          <cell r="BB701">
            <v>0</v>
          </cell>
          <cell r="BC701">
            <v>38888</v>
          </cell>
        </row>
        <row r="702">
          <cell r="A702">
            <v>2006</v>
          </cell>
          <cell r="B702">
            <v>5</v>
          </cell>
          <cell r="C702">
            <v>384</v>
          </cell>
          <cell r="D702">
            <v>16</v>
          </cell>
          <cell r="E702">
            <v>792030</v>
          </cell>
          <cell r="F702">
            <v>0</v>
          </cell>
          <cell r="G702" t="str">
            <v>Затраты по ШПЗ (неосновные)</v>
          </cell>
          <cell r="H702">
            <v>2030</v>
          </cell>
          <cell r="I702">
            <v>7920</v>
          </cell>
          <cell r="J702">
            <v>2395.1999999999998</v>
          </cell>
          <cell r="K702">
            <v>1</v>
          </cell>
          <cell r="L702">
            <v>0</v>
          </cell>
          <cell r="M702">
            <v>0</v>
          </cell>
          <cell r="N702">
            <v>0</v>
          </cell>
          <cell r="R702">
            <v>0</v>
          </cell>
          <cell r="S702">
            <v>0</v>
          </cell>
          <cell r="T702">
            <v>0</v>
          </cell>
          <cell r="U702">
            <v>42</v>
          </cell>
          <cell r="V702">
            <v>0</v>
          </cell>
          <cell r="W702">
            <v>0</v>
          </cell>
          <cell r="AA702">
            <v>0</v>
          </cell>
          <cell r="AB702">
            <v>0</v>
          </cell>
          <cell r="AC702">
            <v>0</v>
          </cell>
          <cell r="AD702">
            <v>42</v>
          </cell>
          <cell r="AE702">
            <v>505200</v>
          </cell>
          <cell r="AF702">
            <v>0</v>
          </cell>
          <cell r="AI702">
            <v>2343</v>
          </cell>
          <cell r="AK702">
            <v>0</v>
          </cell>
          <cell r="AM702">
            <v>536</v>
          </cell>
          <cell r="AN702">
            <v>1</v>
          </cell>
          <cell r="AO702">
            <v>393216</v>
          </cell>
          <cell r="AQ702">
            <v>0</v>
          </cell>
          <cell r="AR702">
            <v>0</v>
          </cell>
          <cell r="AS702" t="str">
            <v>Ы</v>
          </cell>
          <cell r="AT702" t="str">
            <v>Ы</v>
          </cell>
          <cell r="AU702">
            <v>0</v>
          </cell>
          <cell r="AV702">
            <v>0</v>
          </cell>
          <cell r="AW702">
            <v>23</v>
          </cell>
          <cell r="AX702">
            <v>1</v>
          </cell>
          <cell r="AY702">
            <v>0</v>
          </cell>
          <cell r="AZ702">
            <v>0</v>
          </cell>
          <cell r="BA702">
            <v>0</v>
          </cell>
          <cell r="BB702">
            <v>0</v>
          </cell>
          <cell r="BC702">
            <v>38888</v>
          </cell>
        </row>
        <row r="703">
          <cell r="A703">
            <v>2006</v>
          </cell>
          <cell r="B703">
            <v>5</v>
          </cell>
          <cell r="C703">
            <v>385</v>
          </cell>
          <cell r="D703">
            <v>16</v>
          </cell>
          <cell r="E703">
            <v>792030</v>
          </cell>
          <cell r="F703">
            <v>0</v>
          </cell>
          <cell r="G703" t="str">
            <v>Затраты по ШПЗ (неосновные)</v>
          </cell>
          <cell r="H703">
            <v>2030</v>
          </cell>
          <cell r="I703">
            <v>7920</v>
          </cell>
          <cell r="J703">
            <v>52.98</v>
          </cell>
          <cell r="K703">
            <v>1</v>
          </cell>
          <cell r="L703">
            <v>0</v>
          </cell>
          <cell r="M703">
            <v>0</v>
          </cell>
          <cell r="N703">
            <v>0</v>
          </cell>
          <cell r="R703">
            <v>0</v>
          </cell>
          <cell r="S703">
            <v>0</v>
          </cell>
          <cell r="T703">
            <v>0</v>
          </cell>
          <cell r="U703">
            <v>42</v>
          </cell>
          <cell r="V703">
            <v>0</v>
          </cell>
          <cell r="W703">
            <v>0</v>
          </cell>
          <cell r="AA703">
            <v>0</v>
          </cell>
          <cell r="AB703">
            <v>0</v>
          </cell>
          <cell r="AC703">
            <v>0</v>
          </cell>
          <cell r="AD703">
            <v>42</v>
          </cell>
          <cell r="AE703">
            <v>508400</v>
          </cell>
          <cell r="AF703">
            <v>0</v>
          </cell>
          <cell r="AI703">
            <v>2343</v>
          </cell>
          <cell r="AK703">
            <v>0</v>
          </cell>
          <cell r="AM703">
            <v>537</v>
          </cell>
          <cell r="AN703">
            <v>1</v>
          </cell>
          <cell r="AO703">
            <v>393216</v>
          </cell>
          <cell r="AQ703">
            <v>0</v>
          </cell>
          <cell r="AR703">
            <v>0</v>
          </cell>
          <cell r="AS703" t="str">
            <v>Ы</v>
          </cell>
          <cell r="AT703" t="str">
            <v>Ы</v>
          </cell>
          <cell r="AU703">
            <v>0</v>
          </cell>
          <cell r="AV703">
            <v>0</v>
          </cell>
          <cell r="AW703">
            <v>23</v>
          </cell>
          <cell r="AX703">
            <v>1</v>
          </cell>
          <cell r="AY703">
            <v>0</v>
          </cell>
          <cell r="AZ703">
            <v>0</v>
          </cell>
          <cell r="BA703">
            <v>0</v>
          </cell>
          <cell r="BB703">
            <v>0</v>
          </cell>
          <cell r="BC703">
            <v>38888</v>
          </cell>
        </row>
        <row r="704">
          <cell r="A704">
            <v>2006</v>
          </cell>
          <cell r="B704">
            <v>5</v>
          </cell>
          <cell r="C704">
            <v>386</v>
          </cell>
          <cell r="D704">
            <v>16</v>
          </cell>
          <cell r="E704">
            <v>792030</v>
          </cell>
          <cell r="F704">
            <v>0</v>
          </cell>
          <cell r="G704" t="str">
            <v>Затраты по ШПЗ (неосновные)</v>
          </cell>
          <cell r="H704">
            <v>2030</v>
          </cell>
          <cell r="I704">
            <v>7920</v>
          </cell>
          <cell r="J704">
            <v>61.81</v>
          </cell>
          <cell r="K704">
            <v>1</v>
          </cell>
          <cell r="L704">
            <v>0</v>
          </cell>
          <cell r="M704">
            <v>0</v>
          </cell>
          <cell r="N704">
            <v>0</v>
          </cell>
          <cell r="R704">
            <v>0</v>
          </cell>
          <cell r="S704">
            <v>0</v>
          </cell>
          <cell r="T704">
            <v>0</v>
          </cell>
          <cell r="U704">
            <v>42</v>
          </cell>
          <cell r="V704">
            <v>0</v>
          </cell>
          <cell r="W704">
            <v>0</v>
          </cell>
          <cell r="AA704">
            <v>0</v>
          </cell>
          <cell r="AB704">
            <v>0</v>
          </cell>
          <cell r="AC704">
            <v>0</v>
          </cell>
          <cell r="AD704">
            <v>42</v>
          </cell>
          <cell r="AE704">
            <v>508700</v>
          </cell>
          <cell r="AF704">
            <v>0</v>
          </cell>
          <cell r="AI704">
            <v>2343</v>
          </cell>
          <cell r="AK704">
            <v>0</v>
          </cell>
          <cell r="AM704">
            <v>538</v>
          </cell>
          <cell r="AN704">
            <v>1</v>
          </cell>
          <cell r="AO704">
            <v>393216</v>
          </cell>
          <cell r="AQ704">
            <v>0</v>
          </cell>
          <cell r="AR704">
            <v>0</v>
          </cell>
          <cell r="AS704" t="str">
            <v>Ы</v>
          </cell>
          <cell r="AT704" t="str">
            <v>Ы</v>
          </cell>
          <cell r="AU704">
            <v>0</v>
          </cell>
          <cell r="AV704">
            <v>0</v>
          </cell>
          <cell r="AW704">
            <v>23</v>
          </cell>
          <cell r="AX704">
            <v>1</v>
          </cell>
          <cell r="AY704">
            <v>0</v>
          </cell>
          <cell r="AZ704">
            <v>0</v>
          </cell>
          <cell r="BA704">
            <v>0</v>
          </cell>
          <cell r="BB704">
            <v>0</v>
          </cell>
          <cell r="BC704">
            <v>38888</v>
          </cell>
        </row>
        <row r="705">
          <cell r="A705">
            <v>2006</v>
          </cell>
          <cell r="B705">
            <v>5</v>
          </cell>
          <cell r="C705">
            <v>387</v>
          </cell>
          <cell r="D705">
            <v>16</v>
          </cell>
          <cell r="E705">
            <v>792030</v>
          </cell>
          <cell r="F705">
            <v>0</v>
          </cell>
          <cell r="G705" t="str">
            <v>Затраты по ШПЗ (неосновные)</v>
          </cell>
          <cell r="H705">
            <v>2030</v>
          </cell>
          <cell r="I705">
            <v>7920</v>
          </cell>
          <cell r="J705">
            <v>15615.95</v>
          </cell>
          <cell r="K705">
            <v>1</v>
          </cell>
          <cell r="L705">
            <v>0</v>
          </cell>
          <cell r="M705">
            <v>0</v>
          </cell>
          <cell r="N705">
            <v>0</v>
          </cell>
          <cell r="R705">
            <v>0</v>
          </cell>
          <cell r="S705">
            <v>0</v>
          </cell>
          <cell r="T705">
            <v>0</v>
          </cell>
          <cell r="U705">
            <v>42</v>
          </cell>
          <cell r="V705">
            <v>0</v>
          </cell>
          <cell r="W705">
            <v>0</v>
          </cell>
          <cell r="AA705">
            <v>0</v>
          </cell>
          <cell r="AB705">
            <v>0</v>
          </cell>
          <cell r="AC705">
            <v>0</v>
          </cell>
          <cell r="AD705">
            <v>42</v>
          </cell>
          <cell r="AE705">
            <v>510100</v>
          </cell>
          <cell r="AF705">
            <v>0</v>
          </cell>
          <cell r="AI705">
            <v>2343</v>
          </cell>
          <cell r="AK705">
            <v>0</v>
          </cell>
          <cell r="AM705">
            <v>539</v>
          </cell>
          <cell r="AN705">
            <v>1</v>
          </cell>
          <cell r="AO705">
            <v>393216</v>
          </cell>
          <cell r="AQ705">
            <v>0</v>
          </cell>
          <cell r="AR705">
            <v>0</v>
          </cell>
          <cell r="AS705" t="str">
            <v>Ы</v>
          </cell>
          <cell r="AT705" t="str">
            <v>Ы</v>
          </cell>
          <cell r="AU705">
            <v>0</v>
          </cell>
          <cell r="AV705">
            <v>0</v>
          </cell>
          <cell r="AW705">
            <v>23</v>
          </cell>
          <cell r="AX705">
            <v>1</v>
          </cell>
          <cell r="AY705">
            <v>0</v>
          </cell>
          <cell r="AZ705">
            <v>0</v>
          </cell>
          <cell r="BA705">
            <v>0</v>
          </cell>
          <cell r="BB705">
            <v>0</v>
          </cell>
          <cell r="BC705">
            <v>38888</v>
          </cell>
        </row>
        <row r="706">
          <cell r="A706">
            <v>2006</v>
          </cell>
          <cell r="B706">
            <v>5</v>
          </cell>
          <cell r="C706">
            <v>388</v>
          </cell>
          <cell r="D706">
            <v>16</v>
          </cell>
          <cell r="E706">
            <v>792030</v>
          </cell>
          <cell r="F706">
            <v>0</v>
          </cell>
          <cell r="G706" t="str">
            <v>Затраты по ШПЗ (неосновные)</v>
          </cell>
          <cell r="H706">
            <v>2030</v>
          </cell>
          <cell r="I706">
            <v>7920</v>
          </cell>
          <cell r="J706">
            <v>6.06</v>
          </cell>
          <cell r="K706">
            <v>1</v>
          </cell>
          <cell r="L706">
            <v>0</v>
          </cell>
          <cell r="M706">
            <v>0</v>
          </cell>
          <cell r="N706">
            <v>0</v>
          </cell>
          <cell r="R706">
            <v>0</v>
          </cell>
          <cell r="S706">
            <v>0</v>
          </cell>
          <cell r="T706">
            <v>0</v>
          </cell>
          <cell r="U706">
            <v>42</v>
          </cell>
          <cell r="V706">
            <v>0</v>
          </cell>
          <cell r="W706">
            <v>0</v>
          </cell>
          <cell r="AA706">
            <v>0</v>
          </cell>
          <cell r="AB706">
            <v>0</v>
          </cell>
          <cell r="AC706">
            <v>0</v>
          </cell>
          <cell r="AD706">
            <v>42</v>
          </cell>
          <cell r="AE706">
            <v>510200</v>
          </cell>
          <cell r="AF706">
            <v>0</v>
          </cell>
          <cell r="AI706">
            <v>2343</v>
          </cell>
          <cell r="AK706">
            <v>0</v>
          </cell>
          <cell r="AM706">
            <v>540</v>
          </cell>
          <cell r="AN706">
            <v>1</v>
          </cell>
          <cell r="AO706">
            <v>393216</v>
          </cell>
          <cell r="AQ706">
            <v>0</v>
          </cell>
          <cell r="AR706">
            <v>0</v>
          </cell>
          <cell r="AS706" t="str">
            <v>Ы</v>
          </cell>
          <cell r="AT706" t="str">
            <v>Ы</v>
          </cell>
          <cell r="AU706">
            <v>0</v>
          </cell>
          <cell r="AV706">
            <v>0</v>
          </cell>
          <cell r="AW706">
            <v>23</v>
          </cell>
          <cell r="AX706">
            <v>1</v>
          </cell>
          <cell r="AY706">
            <v>0</v>
          </cell>
          <cell r="AZ706">
            <v>0</v>
          </cell>
          <cell r="BA706">
            <v>0</v>
          </cell>
          <cell r="BB706">
            <v>0</v>
          </cell>
          <cell r="BC706">
            <v>38888</v>
          </cell>
        </row>
        <row r="707">
          <cell r="A707">
            <v>2006</v>
          </cell>
          <cell r="B707">
            <v>5</v>
          </cell>
          <cell r="C707">
            <v>389</v>
          </cell>
          <cell r="D707">
            <v>16</v>
          </cell>
          <cell r="E707">
            <v>792030</v>
          </cell>
          <cell r="F707">
            <v>0</v>
          </cell>
          <cell r="G707" t="str">
            <v>Затраты по ШПЗ (неосновные)</v>
          </cell>
          <cell r="H707">
            <v>2030</v>
          </cell>
          <cell r="I707">
            <v>7920</v>
          </cell>
          <cell r="J707">
            <v>56.55</v>
          </cell>
          <cell r="K707">
            <v>1</v>
          </cell>
          <cell r="L707">
            <v>0</v>
          </cell>
          <cell r="M707">
            <v>0</v>
          </cell>
          <cell r="N707">
            <v>0</v>
          </cell>
          <cell r="R707">
            <v>0</v>
          </cell>
          <cell r="S707">
            <v>0</v>
          </cell>
          <cell r="T707">
            <v>0</v>
          </cell>
          <cell r="U707">
            <v>42</v>
          </cell>
          <cell r="V707">
            <v>0</v>
          </cell>
          <cell r="W707">
            <v>0</v>
          </cell>
          <cell r="AA707">
            <v>0</v>
          </cell>
          <cell r="AB707">
            <v>0</v>
          </cell>
          <cell r="AC707">
            <v>0</v>
          </cell>
          <cell r="AD707">
            <v>42</v>
          </cell>
          <cell r="AE707">
            <v>510300</v>
          </cell>
          <cell r="AF707">
            <v>0</v>
          </cell>
          <cell r="AI707">
            <v>2343</v>
          </cell>
          <cell r="AK707">
            <v>0</v>
          </cell>
          <cell r="AM707">
            <v>541</v>
          </cell>
          <cell r="AN707">
            <v>1</v>
          </cell>
          <cell r="AO707">
            <v>393216</v>
          </cell>
          <cell r="AQ707">
            <v>0</v>
          </cell>
          <cell r="AR707">
            <v>0</v>
          </cell>
          <cell r="AS707" t="str">
            <v>Ы</v>
          </cell>
          <cell r="AT707" t="str">
            <v>Ы</v>
          </cell>
          <cell r="AU707">
            <v>0</v>
          </cell>
          <cell r="AV707">
            <v>0</v>
          </cell>
          <cell r="AW707">
            <v>23</v>
          </cell>
          <cell r="AX707">
            <v>1</v>
          </cell>
          <cell r="AY707">
            <v>0</v>
          </cell>
          <cell r="AZ707">
            <v>0</v>
          </cell>
          <cell r="BA707">
            <v>0</v>
          </cell>
          <cell r="BB707">
            <v>0</v>
          </cell>
          <cell r="BC707">
            <v>38888</v>
          </cell>
        </row>
        <row r="708">
          <cell r="A708">
            <v>2006</v>
          </cell>
          <cell r="B708">
            <v>5</v>
          </cell>
          <cell r="C708">
            <v>390</v>
          </cell>
          <cell r="D708">
            <v>16</v>
          </cell>
          <cell r="E708">
            <v>792030</v>
          </cell>
          <cell r="F708">
            <v>0</v>
          </cell>
          <cell r="G708" t="str">
            <v>Затраты по ШПЗ (неосновные)</v>
          </cell>
          <cell r="H708">
            <v>2030</v>
          </cell>
          <cell r="I708">
            <v>7920</v>
          </cell>
          <cell r="J708">
            <v>272.02</v>
          </cell>
          <cell r="K708">
            <v>1</v>
          </cell>
          <cell r="L708">
            <v>0</v>
          </cell>
          <cell r="M708">
            <v>0</v>
          </cell>
          <cell r="N708">
            <v>0</v>
          </cell>
          <cell r="R708">
            <v>0</v>
          </cell>
          <cell r="S708">
            <v>0</v>
          </cell>
          <cell r="T708">
            <v>0</v>
          </cell>
          <cell r="U708">
            <v>42</v>
          </cell>
          <cell r="V708">
            <v>0</v>
          </cell>
          <cell r="W708">
            <v>0</v>
          </cell>
          <cell r="AA708">
            <v>0</v>
          </cell>
          <cell r="AB708">
            <v>0</v>
          </cell>
          <cell r="AC708">
            <v>0</v>
          </cell>
          <cell r="AD708">
            <v>42</v>
          </cell>
          <cell r="AE708">
            <v>510400</v>
          </cell>
          <cell r="AF708">
            <v>0</v>
          </cell>
          <cell r="AI708">
            <v>2343</v>
          </cell>
          <cell r="AK708">
            <v>0</v>
          </cell>
          <cell r="AM708">
            <v>542</v>
          </cell>
          <cell r="AN708">
            <v>1</v>
          </cell>
          <cell r="AO708">
            <v>393216</v>
          </cell>
          <cell r="AQ708">
            <v>0</v>
          </cell>
          <cell r="AR708">
            <v>0</v>
          </cell>
          <cell r="AS708" t="str">
            <v>Ы</v>
          </cell>
          <cell r="AT708" t="str">
            <v>Ы</v>
          </cell>
          <cell r="AU708">
            <v>0</v>
          </cell>
          <cell r="AV708">
            <v>0</v>
          </cell>
          <cell r="AW708">
            <v>23</v>
          </cell>
          <cell r="AX708">
            <v>1</v>
          </cell>
          <cell r="AY708">
            <v>0</v>
          </cell>
          <cell r="AZ708">
            <v>0</v>
          </cell>
          <cell r="BA708">
            <v>0</v>
          </cell>
          <cell r="BB708">
            <v>0</v>
          </cell>
          <cell r="BC708">
            <v>38888</v>
          </cell>
        </row>
        <row r="709">
          <cell r="A709">
            <v>2006</v>
          </cell>
          <cell r="B709">
            <v>5</v>
          </cell>
          <cell r="C709">
            <v>391</v>
          </cell>
          <cell r="D709">
            <v>16</v>
          </cell>
          <cell r="E709">
            <v>792030</v>
          </cell>
          <cell r="F709">
            <v>0</v>
          </cell>
          <cell r="G709" t="str">
            <v>Затраты по ШПЗ (неосновные)</v>
          </cell>
          <cell r="H709">
            <v>2030</v>
          </cell>
          <cell r="I709">
            <v>7920</v>
          </cell>
          <cell r="J709">
            <v>235.84</v>
          </cell>
          <cell r="K709">
            <v>1</v>
          </cell>
          <cell r="L709">
            <v>0</v>
          </cell>
          <cell r="M709">
            <v>0</v>
          </cell>
          <cell r="N709">
            <v>0</v>
          </cell>
          <cell r="R709">
            <v>0</v>
          </cell>
          <cell r="S709">
            <v>0</v>
          </cell>
          <cell r="T709">
            <v>0</v>
          </cell>
          <cell r="U709">
            <v>42</v>
          </cell>
          <cell r="V709">
            <v>0</v>
          </cell>
          <cell r="W709">
            <v>0</v>
          </cell>
          <cell r="AA709">
            <v>0</v>
          </cell>
          <cell r="AB709">
            <v>0</v>
          </cell>
          <cell r="AC709">
            <v>0</v>
          </cell>
          <cell r="AD709">
            <v>42</v>
          </cell>
          <cell r="AE709">
            <v>510500</v>
          </cell>
          <cell r="AF709">
            <v>0</v>
          </cell>
          <cell r="AI709">
            <v>2343</v>
          </cell>
          <cell r="AK709">
            <v>0</v>
          </cell>
          <cell r="AM709">
            <v>543</v>
          </cell>
          <cell r="AN709">
            <v>1</v>
          </cell>
          <cell r="AO709">
            <v>393216</v>
          </cell>
          <cell r="AQ709">
            <v>0</v>
          </cell>
          <cell r="AR709">
            <v>0</v>
          </cell>
          <cell r="AS709" t="str">
            <v>Ы</v>
          </cell>
          <cell r="AT709" t="str">
            <v>Ы</v>
          </cell>
          <cell r="AU709">
            <v>0</v>
          </cell>
          <cell r="AV709">
            <v>0</v>
          </cell>
          <cell r="AW709">
            <v>23</v>
          </cell>
          <cell r="AX709">
            <v>1</v>
          </cell>
          <cell r="AY709">
            <v>0</v>
          </cell>
          <cell r="AZ709">
            <v>0</v>
          </cell>
          <cell r="BA709">
            <v>0</v>
          </cell>
          <cell r="BB709">
            <v>0</v>
          </cell>
          <cell r="BC709">
            <v>38888</v>
          </cell>
        </row>
        <row r="710">
          <cell r="A710">
            <v>2006</v>
          </cell>
          <cell r="B710">
            <v>5</v>
          </cell>
          <cell r="C710">
            <v>392</v>
          </cell>
          <cell r="D710">
            <v>16</v>
          </cell>
          <cell r="E710">
            <v>792030</v>
          </cell>
          <cell r="F710">
            <v>0</v>
          </cell>
          <cell r="G710" t="str">
            <v>Затраты по ШПЗ (неосновные)</v>
          </cell>
          <cell r="H710">
            <v>2030</v>
          </cell>
          <cell r="I710">
            <v>7920</v>
          </cell>
          <cell r="J710">
            <v>5971.57</v>
          </cell>
          <cell r="K710">
            <v>1</v>
          </cell>
          <cell r="L710">
            <v>0</v>
          </cell>
          <cell r="M710">
            <v>0</v>
          </cell>
          <cell r="N710">
            <v>0</v>
          </cell>
          <cell r="R710">
            <v>0</v>
          </cell>
          <cell r="S710">
            <v>0</v>
          </cell>
          <cell r="T710">
            <v>0</v>
          </cell>
          <cell r="U710">
            <v>42</v>
          </cell>
          <cell r="V710">
            <v>0</v>
          </cell>
          <cell r="W710">
            <v>0</v>
          </cell>
          <cell r="AA710">
            <v>0</v>
          </cell>
          <cell r="AB710">
            <v>0</v>
          </cell>
          <cell r="AC710">
            <v>0</v>
          </cell>
          <cell r="AD710">
            <v>42</v>
          </cell>
          <cell r="AE710">
            <v>510600</v>
          </cell>
          <cell r="AF710">
            <v>0</v>
          </cell>
          <cell r="AI710">
            <v>2343</v>
          </cell>
          <cell r="AK710">
            <v>0</v>
          </cell>
          <cell r="AM710">
            <v>544</v>
          </cell>
          <cell r="AN710">
            <v>1</v>
          </cell>
          <cell r="AO710">
            <v>393216</v>
          </cell>
          <cell r="AQ710">
            <v>0</v>
          </cell>
          <cell r="AR710">
            <v>0</v>
          </cell>
          <cell r="AS710" t="str">
            <v>Ы</v>
          </cell>
          <cell r="AT710" t="str">
            <v>Ы</v>
          </cell>
          <cell r="AU710">
            <v>0</v>
          </cell>
          <cell r="AV710">
            <v>0</v>
          </cell>
          <cell r="AW710">
            <v>23</v>
          </cell>
          <cell r="AX710">
            <v>1</v>
          </cell>
          <cell r="AY710">
            <v>0</v>
          </cell>
          <cell r="AZ710">
            <v>0</v>
          </cell>
          <cell r="BA710">
            <v>0</v>
          </cell>
          <cell r="BB710">
            <v>0</v>
          </cell>
          <cell r="BC710">
            <v>38888</v>
          </cell>
        </row>
        <row r="711">
          <cell r="A711">
            <v>2006</v>
          </cell>
          <cell r="B711">
            <v>5</v>
          </cell>
          <cell r="C711">
            <v>393</v>
          </cell>
          <cell r="D711">
            <v>16</v>
          </cell>
          <cell r="E711">
            <v>792030</v>
          </cell>
          <cell r="F711">
            <v>0</v>
          </cell>
          <cell r="G711" t="str">
            <v>Затраты по ШПЗ (неосновные)</v>
          </cell>
          <cell r="H711">
            <v>2030</v>
          </cell>
          <cell r="I711">
            <v>7920</v>
          </cell>
          <cell r="J711">
            <v>70.36</v>
          </cell>
          <cell r="K711">
            <v>1</v>
          </cell>
          <cell r="L711">
            <v>0</v>
          </cell>
          <cell r="M711">
            <v>0</v>
          </cell>
          <cell r="N711">
            <v>0</v>
          </cell>
          <cell r="R711">
            <v>0</v>
          </cell>
          <cell r="S711">
            <v>0</v>
          </cell>
          <cell r="T711">
            <v>0</v>
          </cell>
          <cell r="U711">
            <v>42</v>
          </cell>
          <cell r="V711">
            <v>0</v>
          </cell>
          <cell r="W711">
            <v>0</v>
          </cell>
          <cell r="AA711">
            <v>0</v>
          </cell>
          <cell r="AB711">
            <v>0</v>
          </cell>
          <cell r="AC711">
            <v>0</v>
          </cell>
          <cell r="AD711">
            <v>42</v>
          </cell>
          <cell r="AE711">
            <v>510630</v>
          </cell>
          <cell r="AF711">
            <v>0</v>
          </cell>
          <cell r="AI711">
            <v>2343</v>
          </cell>
          <cell r="AK711">
            <v>0</v>
          </cell>
          <cell r="AM711">
            <v>545</v>
          </cell>
          <cell r="AN711">
            <v>1</v>
          </cell>
          <cell r="AO711">
            <v>393216</v>
          </cell>
          <cell r="AQ711">
            <v>0</v>
          </cell>
          <cell r="AR711">
            <v>0</v>
          </cell>
          <cell r="AS711" t="str">
            <v>Ы</v>
          </cell>
          <cell r="AT711" t="str">
            <v>Ы</v>
          </cell>
          <cell r="AU711">
            <v>0</v>
          </cell>
          <cell r="AV711">
            <v>0</v>
          </cell>
          <cell r="AW711">
            <v>23</v>
          </cell>
          <cell r="AX711">
            <v>1</v>
          </cell>
          <cell r="AY711">
            <v>0</v>
          </cell>
          <cell r="AZ711">
            <v>0</v>
          </cell>
          <cell r="BA711">
            <v>0</v>
          </cell>
          <cell r="BB711">
            <v>0</v>
          </cell>
          <cell r="BC711">
            <v>38888</v>
          </cell>
        </row>
        <row r="712">
          <cell r="A712">
            <v>2006</v>
          </cell>
          <cell r="B712">
            <v>5</v>
          </cell>
          <cell r="C712">
            <v>394</v>
          </cell>
          <cell r="D712">
            <v>16</v>
          </cell>
          <cell r="E712">
            <v>792030</v>
          </cell>
          <cell r="F712">
            <v>0</v>
          </cell>
          <cell r="G712" t="str">
            <v>Затраты по ШПЗ (неосновные)</v>
          </cell>
          <cell r="H712">
            <v>2030</v>
          </cell>
          <cell r="I712">
            <v>7920</v>
          </cell>
          <cell r="J712">
            <v>1688.7</v>
          </cell>
          <cell r="K712">
            <v>1</v>
          </cell>
          <cell r="L712">
            <v>0</v>
          </cell>
          <cell r="M712">
            <v>0</v>
          </cell>
          <cell r="N712">
            <v>0</v>
          </cell>
          <cell r="R712">
            <v>0</v>
          </cell>
          <cell r="S712">
            <v>0</v>
          </cell>
          <cell r="T712">
            <v>0</v>
          </cell>
          <cell r="U712">
            <v>42</v>
          </cell>
          <cell r="V712">
            <v>0</v>
          </cell>
          <cell r="W712">
            <v>0</v>
          </cell>
          <cell r="AA712">
            <v>0</v>
          </cell>
          <cell r="AB712">
            <v>0</v>
          </cell>
          <cell r="AC712">
            <v>0</v>
          </cell>
          <cell r="AD712">
            <v>42</v>
          </cell>
          <cell r="AE712">
            <v>511000</v>
          </cell>
          <cell r="AF712">
            <v>0</v>
          </cell>
          <cell r="AI712">
            <v>2343</v>
          </cell>
          <cell r="AK712">
            <v>0</v>
          </cell>
          <cell r="AM712">
            <v>546</v>
          </cell>
          <cell r="AN712">
            <v>1</v>
          </cell>
          <cell r="AO712">
            <v>393216</v>
          </cell>
          <cell r="AQ712">
            <v>0</v>
          </cell>
          <cell r="AR712">
            <v>0</v>
          </cell>
          <cell r="AS712" t="str">
            <v>Ы</v>
          </cell>
          <cell r="AT712" t="str">
            <v>Ы</v>
          </cell>
          <cell r="AU712">
            <v>0</v>
          </cell>
          <cell r="AV712">
            <v>0</v>
          </cell>
          <cell r="AW712">
            <v>23</v>
          </cell>
          <cell r="AX712">
            <v>1</v>
          </cell>
          <cell r="AY712">
            <v>0</v>
          </cell>
          <cell r="AZ712">
            <v>0</v>
          </cell>
          <cell r="BA712">
            <v>0</v>
          </cell>
          <cell r="BB712">
            <v>0</v>
          </cell>
          <cell r="BC712">
            <v>38888</v>
          </cell>
        </row>
        <row r="713">
          <cell r="A713">
            <v>2006</v>
          </cell>
          <cell r="B713">
            <v>5</v>
          </cell>
          <cell r="C713">
            <v>461</v>
          </cell>
          <cell r="D713">
            <v>16</v>
          </cell>
          <cell r="E713">
            <v>792030</v>
          </cell>
          <cell r="F713">
            <v>0</v>
          </cell>
          <cell r="G713" t="str">
            <v>Затраты по ШПЗ (неосновные)</v>
          </cell>
          <cell r="H713">
            <v>2030</v>
          </cell>
          <cell r="I713">
            <v>7920</v>
          </cell>
          <cell r="J713">
            <v>14780</v>
          </cell>
          <cell r="K713">
            <v>1</v>
          </cell>
          <cell r="L713">
            <v>0</v>
          </cell>
          <cell r="M713">
            <v>0</v>
          </cell>
          <cell r="N713">
            <v>0</v>
          </cell>
          <cell r="R713">
            <v>0</v>
          </cell>
          <cell r="S713">
            <v>0</v>
          </cell>
          <cell r="T713">
            <v>0</v>
          </cell>
          <cell r="U713">
            <v>33</v>
          </cell>
          <cell r="V713">
            <v>0</v>
          </cell>
          <cell r="W713">
            <v>0</v>
          </cell>
          <cell r="AA713">
            <v>0</v>
          </cell>
          <cell r="AB713">
            <v>0</v>
          </cell>
          <cell r="AC713">
            <v>0</v>
          </cell>
          <cell r="AD713">
            <v>33</v>
          </cell>
          <cell r="AE713">
            <v>143000</v>
          </cell>
          <cell r="AF713">
            <v>0</v>
          </cell>
          <cell r="AI713">
            <v>2343</v>
          </cell>
          <cell r="AK713">
            <v>0</v>
          </cell>
          <cell r="AM713">
            <v>613</v>
          </cell>
          <cell r="AN713">
            <v>1</v>
          </cell>
          <cell r="AO713">
            <v>393216</v>
          </cell>
          <cell r="AQ713">
            <v>0</v>
          </cell>
          <cell r="AR713">
            <v>0</v>
          </cell>
          <cell r="AS713" t="str">
            <v>Ы</v>
          </cell>
          <cell r="AT713" t="str">
            <v>Ы</v>
          </cell>
          <cell r="AU713">
            <v>0</v>
          </cell>
          <cell r="AV713">
            <v>0</v>
          </cell>
          <cell r="AW713">
            <v>23</v>
          </cell>
          <cell r="AX713">
            <v>1</v>
          </cell>
          <cell r="AY713">
            <v>0</v>
          </cell>
          <cell r="AZ713">
            <v>0</v>
          </cell>
          <cell r="BA713">
            <v>0</v>
          </cell>
          <cell r="BB713">
            <v>0</v>
          </cell>
          <cell r="BC713">
            <v>38888</v>
          </cell>
        </row>
        <row r="714">
          <cell r="A714">
            <v>2006</v>
          </cell>
          <cell r="B714">
            <v>5</v>
          </cell>
          <cell r="C714">
            <v>462</v>
          </cell>
          <cell r="D714">
            <v>16</v>
          </cell>
          <cell r="E714">
            <v>792030</v>
          </cell>
          <cell r="F714">
            <v>0</v>
          </cell>
          <cell r="G714" t="str">
            <v>Затраты по ШПЗ (неосновные)</v>
          </cell>
          <cell r="H714">
            <v>2030</v>
          </cell>
          <cell r="I714">
            <v>7920</v>
          </cell>
          <cell r="J714">
            <v>252500</v>
          </cell>
          <cell r="K714">
            <v>1</v>
          </cell>
          <cell r="L714">
            <v>0</v>
          </cell>
          <cell r="M714">
            <v>0</v>
          </cell>
          <cell r="N714">
            <v>0</v>
          </cell>
          <cell r="R714">
            <v>0</v>
          </cell>
          <cell r="S714">
            <v>0</v>
          </cell>
          <cell r="T714">
            <v>0</v>
          </cell>
          <cell r="U714">
            <v>33</v>
          </cell>
          <cell r="V714">
            <v>0</v>
          </cell>
          <cell r="W714">
            <v>0</v>
          </cell>
          <cell r="AA714">
            <v>0</v>
          </cell>
          <cell r="AB714">
            <v>0</v>
          </cell>
          <cell r="AC714">
            <v>0</v>
          </cell>
          <cell r="AD714">
            <v>33</v>
          </cell>
          <cell r="AE714">
            <v>240000</v>
          </cell>
          <cell r="AF714">
            <v>0</v>
          </cell>
          <cell r="AI714">
            <v>2343</v>
          </cell>
          <cell r="AK714">
            <v>0</v>
          </cell>
          <cell r="AM714">
            <v>614</v>
          </cell>
          <cell r="AN714">
            <v>1</v>
          </cell>
          <cell r="AO714">
            <v>393216</v>
          </cell>
          <cell r="AQ714">
            <v>0</v>
          </cell>
          <cell r="AR714">
            <v>0</v>
          </cell>
          <cell r="AS714" t="str">
            <v>Ы</v>
          </cell>
          <cell r="AT714" t="str">
            <v>Ы</v>
          </cell>
          <cell r="AU714">
            <v>0</v>
          </cell>
          <cell r="AV714">
            <v>0</v>
          </cell>
          <cell r="AW714">
            <v>23</v>
          </cell>
          <cell r="AX714">
            <v>1</v>
          </cell>
          <cell r="AY714">
            <v>0</v>
          </cell>
          <cell r="AZ714">
            <v>0</v>
          </cell>
          <cell r="BA714">
            <v>0</v>
          </cell>
          <cell r="BB714">
            <v>0</v>
          </cell>
          <cell r="BC714">
            <v>38888</v>
          </cell>
        </row>
        <row r="715">
          <cell r="A715">
            <v>2006</v>
          </cell>
          <cell r="B715">
            <v>5</v>
          </cell>
          <cell r="C715">
            <v>463</v>
          </cell>
          <cell r="D715">
            <v>16</v>
          </cell>
          <cell r="E715">
            <v>792030</v>
          </cell>
          <cell r="F715">
            <v>0</v>
          </cell>
          <cell r="G715" t="str">
            <v>Затраты по ШПЗ (неосновные)</v>
          </cell>
          <cell r="H715">
            <v>2030</v>
          </cell>
          <cell r="I715">
            <v>7920</v>
          </cell>
          <cell r="J715">
            <v>7252.9</v>
          </cell>
          <cell r="K715">
            <v>1</v>
          </cell>
          <cell r="L715">
            <v>0</v>
          </cell>
          <cell r="M715">
            <v>0</v>
          </cell>
          <cell r="N715">
            <v>0</v>
          </cell>
          <cell r="R715">
            <v>0</v>
          </cell>
          <cell r="S715">
            <v>0</v>
          </cell>
          <cell r="T715">
            <v>0</v>
          </cell>
          <cell r="U715">
            <v>33</v>
          </cell>
          <cell r="V715">
            <v>0</v>
          </cell>
          <cell r="W715">
            <v>0</v>
          </cell>
          <cell r="AA715">
            <v>0</v>
          </cell>
          <cell r="AB715">
            <v>0</v>
          </cell>
          <cell r="AC715">
            <v>0</v>
          </cell>
          <cell r="AD715">
            <v>33</v>
          </cell>
          <cell r="AE715">
            <v>311000</v>
          </cell>
          <cell r="AF715">
            <v>0</v>
          </cell>
          <cell r="AI715">
            <v>2343</v>
          </cell>
          <cell r="AK715">
            <v>0</v>
          </cell>
          <cell r="AM715">
            <v>615</v>
          </cell>
          <cell r="AN715">
            <v>1</v>
          </cell>
          <cell r="AO715">
            <v>393216</v>
          </cell>
          <cell r="AQ715">
            <v>0</v>
          </cell>
          <cell r="AR715">
            <v>0</v>
          </cell>
          <cell r="AS715" t="str">
            <v>Ы</v>
          </cell>
          <cell r="AT715" t="str">
            <v>Ы</v>
          </cell>
          <cell r="AU715">
            <v>0</v>
          </cell>
          <cell r="AV715">
            <v>0</v>
          </cell>
          <cell r="AW715">
            <v>23</v>
          </cell>
          <cell r="AX715">
            <v>1</v>
          </cell>
          <cell r="AY715">
            <v>0</v>
          </cell>
          <cell r="AZ715">
            <v>0</v>
          </cell>
          <cell r="BA715">
            <v>0</v>
          </cell>
          <cell r="BB715">
            <v>0</v>
          </cell>
          <cell r="BC715">
            <v>38888</v>
          </cell>
        </row>
        <row r="716">
          <cell r="A716">
            <v>2006</v>
          </cell>
          <cell r="B716">
            <v>5</v>
          </cell>
          <cell r="C716">
            <v>464</v>
          </cell>
          <cell r="D716">
            <v>16</v>
          </cell>
          <cell r="E716">
            <v>792030</v>
          </cell>
          <cell r="F716">
            <v>0</v>
          </cell>
          <cell r="G716" t="str">
            <v>Затраты по ШПЗ (неосновные)</v>
          </cell>
          <cell r="H716">
            <v>2030</v>
          </cell>
          <cell r="I716">
            <v>7920</v>
          </cell>
          <cell r="J716">
            <v>15006.01</v>
          </cell>
          <cell r="K716">
            <v>1</v>
          </cell>
          <cell r="L716">
            <v>0</v>
          </cell>
          <cell r="M716">
            <v>0</v>
          </cell>
          <cell r="N716">
            <v>0</v>
          </cell>
          <cell r="R716">
            <v>0</v>
          </cell>
          <cell r="S716">
            <v>0</v>
          </cell>
          <cell r="T716">
            <v>0</v>
          </cell>
          <cell r="U716">
            <v>33</v>
          </cell>
          <cell r="V716">
            <v>0</v>
          </cell>
          <cell r="W716">
            <v>0</v>
          </cell>
          <cell r="AA716">
            <v>0</v>
          </cell>
          <cell r="AB716">
            <v>0</v>
          </cell>
          <cell r="AC716">
            <v>0</v>
          </cell>
          <cell r="AD716">
            <v>33</v>
          </cell>
          <cell r="AE716">
            <v>312000</v>
          </cell>
          <cell r="AF716">
            <v>0</v>
          </cell>
          <cell r="AI716">
            <v>2343</v>
          </cell>
          <cell r="AK716">
            <v>0</v>
          </cell>
          <cell r="AM716">
            <v>616</v>
          </cell>
          <cell r="AN716">
            <v>1</v>
          </cell>
          <cell r="AO716">
            <v>393216</v>
          </cell>
          <cell r="AQ716">
            <v>0</v>
          </cell>
          <cell r="AR716">
            <v>0</v>
          </cell>
          <cell r="AS716" t="str">
            <v>Ы</v>
          </cell>
          <cell r="AT716" t="str">
            <v>Ы</v>
          </cell>
          <cell r="AU716">
            <v>0</v>
          </cell>
          <cell r="AV716">
            <v>0</v>
          </cell>
          <cell r="AW716">
            <v>23</v>
          </cell>
          <cell r="AX716">
            <v>1</v>
          </cell>
          <cell r="AY716">
            <v>0</v>
          </cell>
          <cell r="AZ716">
            <v>0</v>
          </cell>
          <cell r="BA716">
            <v>0</v>
          </cell>
          <cell r="BB716">
            <v>0</v>
          </cell>
          <cell r="BC716">
            <v>38888</v>
          </cell>
        </row>
        <row r="717">
          <cell r="A717">
            <v>2006</v>
          </cell>
          <cell r="B717">
            <v>5</v>
          </cell>
          <cell r="C717">
            <v>465</v>
          </cell>
          <cell r="D717">
            <v>16</v>
          </cell>
          <cell r="E717">
            <v>792030</v>
          </cell>
          <cell r="F717">
            <v>0</v>
          </cell>
          <cell r="G717" t="str">
            <v>Затраты по ШПЗ (неосновные)</v>
          </cell>
          <cell r="H717">
            <v>2030</v>
          </cell>
          <cell r="I717">
            <v>7920</v>
          </cell>
          <cell r="J717">
            <v>2194</v>
          </cell>
          <cell r="K717">
            <v>1</v>
          </cell>
          <cell r="L717">
            <v>0</v>
          </cell>
          <cell r="M717">
            <v>0</v>
          </cell>
          <cell r="N717">
            <v>0</v>
          </cell>
          <cell r="R717">
            <v>0</v>
          </cell>
          <cell r="S717">
            <v>0</v>
          </cell>
          <cell r="T717">
            <v>0</v>
          </cell>
          <cell r="U717">
            <v>33</v>
          </cell>
          <cell r="V717">
            <v>0</v>
          </cell>
          <cell r="W717">
            <v>0</v>
          </cell>
          <cell r="AA717">
            <v>0</v>
          </cell>
          <cell r="AB717">
            <v>0</v>
          </cell>
          <cell r="AC717">
            <v>0</v>
          </cell>
          <cell r="AD717">
            <v>33</v>
          </cell>
          <cell r="AE717">
            <v>312100</v>
          </cell>
          <cell r="AF717">
            <v>0</v>
          </cell>
          <cell r="AI717">
            <v>2343</v>
          </cell>
          <cell r="AK717">
            <v>0</v>
          </cell>
          <cell r="AM717">
            <v>617</v>
          </cell>
          <cell r="AN717">
            <v>1</v>
          </cell>
          <cell r="AO717">
            <v>393216</v>
          </cell>
          <cell r="AQ717">
            <v>0</v>
          </cell>
          <cell r="AR717">
            <v>0</v>
          </cell>
          <cell r="AS717" t="str">
            <v>Ы</v>
          </cell>
          <cell r="AT717" t="str">
            <v>Ы</v>
          </cell>
          <cell r="AU717">
            <v>0</v>
          </cell>
          <cell r="AV717">
            <v>0</v>
          </cell>
          <cell r="AW717">
            <v>23</v>
          </cell>
          <cell r="AX717">
            <v>1</v>
          </cell>
          <cell r="AY717">
            <v>0</v>
          </cell>
          <cell r="AZ717">
            <v>0</v>
          </cell>
          <cell r="BA717">
            <v>0</v>
          </cell>
          <cell r="BB717">
            <v>0</v>
          </cell>
          <cell r="BC717">
            <v>38888</v>
          </cell>
        </row>
        <row r="718">
          <cell r="A718">
            <v>2006</v>
          </cell>
          <cell r="B718">
            <v>5</v>
          </cell>
          <cell r="C718">
            <v>466</v>
          </cell>
          <cell r="D718">
            <v>16</v>
          </cell>
          <cell r="E718">
            <v>792030</v>
          </cell>
          <cell r="F718">
            <v>0</v>
          </cell>
          <cell r="G718" t="str">
            <v>Затраты по ШПЗ (неосновные)</v>
          </cell>
          <cell r="H718">
            <v>2030</v>
          </cell>
          <cell r="I718">
            <v>7920</v>
          </cell>
          <cell r="J718">
            <v>33156</v>
          </cell>
          <cell r="K718">
            <v>1</v>
          </cell>
          <cell r="L718">
            <v>0</v>
          </cell>
          <cell r="M718">
            <v>0</v>
          </cell>
          <cell r="N718">
            <v>0</v>
          </cell>
          <cell r="R718">
            <v>0</v>
          </cell>
          <cell r="S718">
            <v>0</v>
          </cell>
          <cell r="T718">
            <v>0</v>
          </cell>
          <cell r="U718">
            <v>33</v>
          </cell>
          <cell r="V718">
            <v>0</v>
          </cell>
          <cell r="W718">
            <v>0</v>
          </cell>
          <cell r="AA718">
            <v>0</v>
          </cell>
          <cell r="AB718">
            <v>0</v>
          </cell>
          <cell r="AC718">
            <v>0</v>
          </cell>
          <cell r="AD718">
            <v>33</v>
          </cell>
          <cell r="AE718">
            <v>312200</v>
          </cell>
          <cell r="AF718">
            <v>0</v>
          </cell>
          <cell r="AI718">
            <v>2343</v>
          </cell>
          <cell r="AK718">
            <v>0</v>
          </cell>
          <cell r="AM718">
            <v>618</v>
          </cell>
          <cell r="AN718">
            <v>1</v>
          </cell>
          <cell r="AO718">
            <v>393216</v>
          </cell>
          <cell r="AQ718">
            <v>0</v>
          </cell>
          <cell r="AR718">
            <v>0</v>
          </cell>
          <cell r="AS718" t="str">
            <v>Ы</v>
          </cell>
          <cell r="AT718" t="str">
            <v>Ы</v>
          </cell>
          <cell r="AU718">
            <v>0</v>
          </cell>
          <cell r="AV718">
            <v>0</v>
          </cell>
          <cell r="AW718">
            <v>23</v>
          </cell>
          <cell r="AX718">
            <v>1</v>
          </cell>
          <cell r="AY718">
            <v>0</v>
          </cell>
          <cell r="AZ718">
            <v>0</v>
          </cell>
          <cell r="BA718">
            <v>0</v>
          </cell>
          <cell r="BB718">
            <v>0</v>
          </cell>
          <cell r="BC718">
            <v>38888</v>
          </cell>
        </row>
        <row r="719">
          <cell r="A719">
            <v>2006</v>
          </cell>
          <cell r="B719">
            <v>5</v>
          </cell>
          <cell r="C719">
            <v>467</v>
          </cell>
          <cell r="D719">
            <v>16</v>
          </cell>
          <cell r="E719">
            <v>792030</v>
          </cell>
          <cell r="F719">
            <v>0</v>
          </cell>
          <cell r="G719" t="str">
            <v>Затраты по ШПЗ (неосновные)</v>
          </cell>
          <cell r="H719">
            <v>2030</v>
          </cell>
          <cell r="I719">
            <v>7920</v>
          </cell>
          <cell r="J719">
            <v>2751.12</v>
          </cell>
          <cell r="K719">
            <v>1</v>
          </cell>
          <cell r="L719">
            <v>0</v>
          </cell>
          <cell r="M719">
            <v>0</v>
          </cell>
          <cell r="N719">
            <v>0</v>
          </cell>
          <cell r="R719">
            <v>0</v>
          </cell>
          <cell r="S719">
            <v>0</v>
          </cell>
          <cell r="T719">
            <v>0</v>
          </cell>
          <cell r="U719">
            <v>33</v>
          </cell>
          <cell r="V719">
            <v>0</v>
          </cell>
          <cell r="W719">
            <v>0</v>
          </cell>
          <cell r="AA719">
            <v>0</v>
          </cell>
          <cell r="AB719">
            <v>0</v>
          </cell>
          <cell r="AC719">
            <v>0</v>
          </cell>
          <cell r="AD719">
            <v>33</v>
          </cell>
          <cell r="AE719">
            <v>313000</v>
          </cell>
          <cell r="AF719">
            <v>0</v>
          </cell>
          <cell r="AI719">
            <v>2343</v>
          </cell>
          <cell r="AK719">
            <v>0</v>
          </cell>
          <cell r="AM719">
            <v>619</v>
          </cell>
          <cell r="AN719">
            <v>1</v>
          </cell>
          <cell r="AO719">
            <v>393216</v>
          </cell>
          <cell r="AQ719">
            <v>0</v>
          </cell>
          <cell r="AR719">
            <v>0</v>
          </cell>
          <cell r="AS719" t="str">
            <v>Ы</v>
          </cell>
          <cell r="AT719" t="str">
            <v>Ы</v>
          </cell>
          <cell r="AU719">
            <v>0</v>
          </cell>
          <cell r="AV719">
            <v>0</v>
          </cell>
          <cell r="AW719">
            <v>23</v>
          </cell>
          <cell r="AX719">
            <v>1</v>
          </cell>
          <cell r="AY719">
            <v>0</v>
          </cell>
          <cell r="AZ719">
            <v>0</v>
          </cell>
          <cell r="BA719">
            <v>0</v>
          </cell>
          <cell r="BB719">
            <v>0</v>
          </cell>
          <cell r="BC719">
            <v>38888</v>
          </cell>
        </row>
        <row r="720">
          <cell r="A720">
            <v>2006</v>
          </cell>
          <cell r="B720">
            <v>5</v>
          </cell>
          <cell r="C720">
            <v>468</v>
          </cell>
          <cell r="D720">
            <v>16</v>
          </cell>
          <cell r="E720">
            <v>792030</v>
          </cell>
          <cell r="F720">
            <v>0</v>
          </cell>
          <cell r="G720" t="str">
            <v>Затраты по ШПЗ (неосновные)</v>
          </cell>
          <cell r="H720">
            <v>2030</v>
          </cell>
          <cell r="I720">
            <v>7920</v>
          </cell>
          <cell r="J720">
            <v>5002.0200000000004</v>
          </cell>
          <cell r="K720">
            <v>1</v>
          </cell>
          <cell r="L720">
            <v>0</v>
          </cell>
          <cell r="M720">
            <v>0</v>
          </cell>
          <cell r="N720">
            <v>0</v>
          </cell>
          <cell r="R720">
            <v>0</v>
          </cell>
          <cell r="S720">
            <v>0</v>
          </cell>
          <cell r="T720">
            <v>0</v>
          </cell>
          <cell r="U720">
            <v>33</v>
          </cell>
          <cell r="V720">
            <v>0</v>
          </cell>
          <cell r="W720">
            <v>0</v>
          </cell>
          <cell r="AA720">
            <v>0</v>
          </cell>
          <cell r="AB720">
            <v>0</v>
          </cell>
          <cell r="AC720">
            <v>0</v>
          </cell>
          <cell r="AD720">
            <v>33</v>
          </cell>
          <cell r="AE720">
            <v>314000</v>
          </cell>
          <cell r="AF720">
            <v>0</v>
          </cell>
          <cell r="AI720">
            <v>2343</v>
          </cell>
          <cell r="AK720">
            <v>0</v>
          </cell>
          <cell r="AM720">
            <v>620</v>
          </cell>
          <cell r="AN720">
            <v>1</v>
          </cell>
          <cell r="AO720">
            <v>393216</v>
          </cell>
          <cell r="AQ720">
            <v>0</v>
          </cell>
          <cell r="AR720">
            <v>0</v>
          </cell>
          <cell r="AS720" t="str">
            <v>Ы</v>
          </cell>
          <cell r="AT720" t="str">
            <v>Ы</v>
          </cell>
          <cell r="AU720">
            <v>0</v>
          </cell>
          <cell r="AV720">
            <v>0</v>
          </cell>
          <cell r="AW720">
            <v>23</v>
          </cell>
          <cell r="AX720">
            <v>1</v>
          </cell>
          <cell r="AY720">
            <v>0</v>
          </cell>
          <cell r="AZ720">
            <v>0</v>
          </cell>
          <cell r="BA720">
            <v>0</v>
          </cell>
          <cell r="BB720">
            <v>0</v>
          </cell>
          <cell r="BC720">
            <v>38888</v>
          </cell>
        </row>
        <row r="721">
          <cell r="A721">
            <v>2006</v>
          </cell>
          <cell r="B721">
            <v>5</v>
          </cell>
          <cell r="C721">
            <v>469</v>
          </cell>
          <cell r="D721">
            <v>16</v>
          </cell>
          <cell r="E721">
            <v>792030</v>
          </cell>
          <cell r="F721">
            <v>0</v>
          </cell>
          <cell r="G721" t="str">
            <v>Затраты по ШПЗ (неосновные)</v>
          </cell>
          <cell r="H721">
            <v>2030</v>
          </cell>
          <cell r="I721">
            <v>7920</v>
          </cell>
          <cell r="J721">
            <v>1006.16</v>
          </cell>
          <cell r="K721">
            <v>1</v>
          </cell>
          <cell r="L721">
            <v>0</v>
          </cell>
          <cell r="M721">
            <v>0</v>
          </cell>
          <cell r="N721">
            <v>0</v>
          </cell>
          <cell r="R721">
            <v>0</v>
          </cell>
          <cell r="S721">
            <v>0</v>
          </cell>
          <cell r="T721">
            <v>0</v>
          </cell>
          <cell r="U721">
            <v>33</v>
          </cell>
          <cell r="V721">
            <v>0</v>
          </cell>
          <cell r="W721">
            <v>0</v>
          </cell>
          <cell r="AA721">
            <v>0</v>
          </cell>
          <cell r="AB721">
            <v>0</v>
          </cell>
          <cell r="AC721">
            <v>0</v>
          </cell>
          <cell r="AD721">
            <v>33</v>
          </cell>
          <cell r="AE721">
            <v>315000</v>
          </cell>
          <cell r="AF721">
            <v>0</v>
          </cell>
          <cell r="AI721">
            <v>2343</v>
          </cell>
          <cell r="AK721">
            <v>0</v>
          </cell>
          <cell r="AM721">
            <v>621</v>
          </cell>
          <cell r="AN721">
            <v>1</v>
          </cell>
          <cell r="AO721">
            <v>393216</v>
          </cell>
          <cell r="AQ721">
            <v>0</v>
          </cell>
          <cell r="AR721">
            <v>0</v>
          </cell>
          <cell r="AS721" t="str">
            <v>Ы</v>
          </cell>
          <cell r="AT721" t="str">
            <v>Ы</v>
          </cell>
          <cell r="AU721">
            <v>0</v>
          </cell>
          <cell r="AV721">
            <v>0</v>
          </cell>
          <cell r="AW721">
            <v>23</v>
          </cell>
          <cell r="AX721">
            <v>1</v>
          </cell>
          <cell r="AY721">
            <v>0</v>
          </cell>
          <cell r="AZ721">
            <v>0</v>
          </cell>
          <cell r="BA721">
            <v>0</v>
          </cell>
          <cell r="BB721">
            <v>0</v>
          </cell>
          <cell r="BC721">
            <v>38888</v>
          </cell>
        </row>
        <row r="722">
          <cell r="A722">
            <v>2006</v>
          </cell>
          <cell r="B722">
            <v>5</v>
          </cell>
          <cell r="C722">
            <v>470</v>
          </cell>
          <cell r="D722">
            <v>16</v>
          </cell>
          <cell r="E722">
            <v>792030</v>
          </cell>
          <cell r="F722">
            <v>0</v>
          </cell>
          <cell r="G722" t="str">
            <v>Затраты по ШПЗ (неосновные)</v>
          </cell>
          <cell r="H722">
            <v>2030</v>
          </cell>
          <cell r="I722">
            <v>7920</v>
          </cell>
          <cell r="J722">
            <v>340</v>
          </cell>
          <cell r="K722">
            <v>1</v>
          </cell>
          <cell r="L722">
            <v>0</v>
          </cell>
          <cell r="M722">
            <v>0</v>
          </cell>
          <cell r="N722">
            <v>0</v>
          </cell>
          <cell r="R722">
            <v>0</v>
          </cell>
          <cell r="S722">
            <v>0</v>
          </cell>
          <cell r="T722">
            <v>0</v>
          </cell>
          <cell r="U722">
            <v>33</v>
          </cell>
          <cell r="V722">
            <v>0</v>
          </cell>
          <cell r="W722">
            <v>0</v>
          </cell>
          <cell r="AA722">
            <v>0</v>
          </cell>
          <cell r="AB722">
            <v>0</v>
          </cell>
          <cell r="AC722">
            <v>0</v>
          </cell>
          <cell r="AD722">
            <v>33</v>
          </cell>
          <cell r="AE722">
            <v>503000</v>
          </cell>
          <cell r="AF722">
            <v>0</v>
          </cell>
          <cell r="AI722">
            <v>2343</v>
          </cell>
          <cell r="AK722">
            <v>0</v>
          </cell>
          <cell r="AM722">
            <v>622</v>
          </cell>
          <cell r="AN722">
            <v>1</v>
          </cell>
          <cell r="AO722">
            <v>393216</v>
          </cell>
          <cell r="AQ722">
            <v>0</v>
          </cell>
          <cell r="AR722">
            <v>0</v>
          </cell>
          <cell r="AS722" t="str">
            <v>Ы</v>
          </cell>
          <cell r="AT722" t="str">
            <v>Ы</v>
          </cell>
          <cell r="AU722">
            <v>0</v>
          </cell>
          <cell r="AV722">
            <v>0</v>
          </cell>
          <cell r="AW722">
            <v>23</v>
          </cell>
          <cell r="AX722">
            <v>1</v>
          </cell>
          <cell r="AY722">
            <v>0</v>
          </cell>
          <cell r="AZ722">
            <v>0</v>
          </cell>
          <cell r="BA722">
            <v>0</v>
          </cell>
          <cell r="BB722">
            <v>0</v>
          </cell>
          <cell r="BC722">
            <v>38888</v>
          </cell>
        </row>
        <row r="723">
          <cell r="A723">
            <v>2006</v>
          </cell>
          <cell r="B723">
            <v>5</v>
          </cell>
          <cell r="C723">
            <v>471</v>
          </cell>
          <cell r="D723">
            <v>16</v>
          </cell>
          <cell r="E723">
            <v>792030</v>
          </cell>
          <cell r="F723">
            <v>0</v>
          </cell>
          <cell r="G723" t="str">
            <v>Затраты по ШПЗ (неосновные)</v>
          </cell>
          <cell r="H723">
            <v>2030</v>
          </cell>
          <cell r="I723">
            <v>7920</v>
          </cell>
          <cell r="J723">
            <v>426</v>
          </cell>
          <cell r="K723">
            <v>1</v>
          </cell>
          <cell r="L723">
            <v>0</v>
          </cell>
          <cell r="M723">
            <v>0</v>
          </cell>
          <cell r="N723">
            <v>0</v>
          </cell>
          <cell r="R723">
            <v>0</v>
          </cell>
          <cell r="S723">
            <v>0</v>
          </cell>
          <cell r="T723">
            <v>0</v>
          </cell>
          <cell r="U723">
            <v>33</v>
          </cell>
          <cell r="V723">
            <v>0</v>
          </cell>
          <cell r="W723">
            <v>0</v>
          </cell>
          <cell r="AA723">
            <v>0</v>
          </cell>
          <cell r="AB723">
            <v>0</v>
          </cell>
          <cell r="AC723">
            <v>0</v>
          </cell>
          <cell r="AD723">
            <v>33</v>
          </cell>
          <cell r="AE723">
            <v>510100</v>
          </cell>
          <cell r="AF723">
            <v>0</v>
          </cell>
          <cell r="AI723">
            <v>2343</v>
          </cell>
          <cell r="AK723">
            <v>0</v>
          </cell>
          <cell r="AM723">
            <v>623</v>
          </cell>
          <cell r="AN723">
            <v>1</v>
          </cell>
          <cell r="AO723">
            <v>393216</v>
          </cell>
          <cell r="AQ723">
            <v>0</v>
          </cell>
          <cell r="AR723">
            <v>0</v>
          </cell>
          <cell r="AS723" t="str">
            <v>Ы</v>
          </cell>
          <cell r="AT723" t="str">
            <v>Ы</v>
          </cell>
          <cell r="AU723">
            <v>0</v>
          </cell>
          <cell r="AV723">
            <v>0</v>
          </cell>
          <cell r="AW723">
            <v>23</v>
          </cell>
          <cell r="AX723">
            <v>1</v>
          </cell>
          <cell r="AY723">
            <v>0</v>
          </cell>
          <cell r="AZ723">
            <v>0</v>
          </cell>
          <cell r="BA723">
            <v>0</v>
          </cell>
          <cell r="BB723">
            <v>0</v>
          </cell>
          <cell r="BC723">
            <v>38888</v>
          </cell>
        </row>
        <row r="724">
          <cell r="A724">
            <v>2006</v>
          </cell>
          <cell r="B724">
            <v>5</v>
          </cell>
          <cell r="C724">
            <v>530</v>
          </cell>
          <cell r="D724">
            <v>16</v>
          </cell>
          <cell r="E724">
            <v>792030</v>
          </cell>
          <cell r="F724">
            <v>0</v>
          </cell>
          <cell r="G724" t="str">
            <v>Затраты по ШПЗ (неосновные)</v>
          </cell>
          <cell r="H724">
            <v>2030</v>
          </cell>
          <cell r="I724">
            <v>7920</v>
          </cell>
          <cell r="J724">
            <v>22000</v>
          </cell>
          <cell r="K724">
            <v>1</v>
          </cell>
          <cell r="L724">
            <v>0</v>
          </cell>
          <cell r="M724">
            <v>0</v>
          </cell>
          <cell r="N724">
            <v>0</v>
          </cell>
          <cell r="R724">
            <v>0</v>
          </cell>
          <cell r="S724">
            <v>0</v>
          </cell>
          <cell r="T724">
            <v>0</v>
          </cell>
          <cell r="U724">
            <v>31</v>
          </cell>
          <cell r="V724">
            <v>0</v>
          </cell>
          <cell r="W724">
            <v>0</v>
          </cell>
          <cell r="AA724">
            <v>0</v>
          </cell>
          <cell r="AB724">
            <v>0</v>
          </cell>
          <cell r="AC724">
            <v>0</v>
          </cell>
          <cell r="AD724">
            <v>31</v>
          </cell>
          <cell r="AE724">
            <v>151000</v>
          </cell>
          <cell r="AF724">
            <v>0</v>
          </cell>
          <cell r="AI724">
            <v>2343</v>
          </cell>
          <cell r="AK724">
            <v>0</v>
          </cell>
          <cell r="AM724">
            <v>682</v>
          </cell>
          <cell r="AN724">
            <v>1</v>
          </cell>
          <cell r="AO724">
            <v>393216</v>
          </cell>
          <cell r="AQ724">
            <v>0</v>
          </cell>
          <cell r="AR724">
            <v>0</v>
          </cell>
          <cell r="AS724" t="str">
            <v>Ы</v>
          </cell>
          <cell r="AT724" t="str">
            <v>Ы</v>
          </cell>
          <cell r="AU724">
            <v>0</v>
          </cell>
          <cell r="AV724">
            <v>0</v>
          </cell>
          <cell r="AW724">
            <v>23</v>
          </cell>
          <cell r="AX724">
            <v>1</v>
          </cell>
          <cell r="AY724">
            <v>0</v>
          </cell>
          <cell r="AZ724">
            <v>0</v>
          </cell>
          <cell r="BA724">
            <v>0</v>
          </cell>
          <cell r="BB724">
            <v>0</v>
          </cell>
          <cell r="BC724">
            <v>38888</v>
          </cell>
        </row>
        <row r="725">
          <cell r="A725">
            <v>2006</v>
          </cell>
          <cell r="B725">
            <v>5</v>
          </cell>
          <cell r="C725">
            <v>531</v>
          </cell>
          <cell r="D725">
            <v>16</v>
          </cell>
          <cell r="E725">
            <v>792030</v>
          </cell>
          <cell r="F725">
            <v>0</v>
          </cell>
          <cell r="G725" t="str">
            <v>Затраты по ШПЗ (неосновные)</v>
          </cell>
          <cell r="H725">
            <v>2030</v>
          </cell>
          <cell r="I725">
            <v>7920</v>
          </cell>
          <cell r="J725">
            <v>440000</v>
          </cell>
          <cell r="K725">
            <v>1</v>
          </cell>
          <cell r="L725">
            <v>0</v>
          </cell>
          <cell r="M725">
            <v>0</v>
          </cell>
          <cell r="N725">
            <v>0</v>
          </cell>
          <cell r="R725">
            <v>0</v>
          </cell>
          <cell r="S725">
            <v>0</v>
          </cell>
          <cell r="T725">
            <v>0</v>
          </cell>
          <cell r="U725">
            <v>31</v>
          </cell>
          <cell r="V725">
            <v>0</v>
          </cell>
          <cell r="W725">
            <v>0</v>
          </cell>
          <cell r="AA725">
            <v>0</v>
          </cell>
          <cell r="AB725">
            <v>0</v>
          </cell>
          <cell r="AC725">
            <v>0</v>
          </cell>
          <cell r="AD725">
            <v>31</v>
          </cell>
          <cell r="AE725">
            <v>240000</v>
          </cell>
          <cell r="AF725">
            <v>0</v>
          </cell>
          <cell r="AI725">
            <v>2343</v>
          </cell>
          <cell r="AK725">
            <v>0</v>
          </cell>
          <cell r="AM725">
            <v>683</v>
          </cell>
          <cell r="AN725">
            <v>1</v>
          </cell>
          <cell r="AO725">
            <v>393216</v>
          </cell>
          <cell r="AQ725">
            <v>0</v>
          </cell>
          <cell r="AR725">
            <v>0</v>
          </cell>
          <cell r="AS725" t="str">
            <v>Ы</v>
          </cell>
          <cell r="AT725" t="str">
            <v>Ы</v>
          </cell>
          <cell r="AU725">
            <v>0</v>
          </cell>
          <cell r="AV725">
            <v>0</v>
          </cell>
          <cell r="AW725">
            <v>23</v>
          </cell>
          <cell r="AX725">
            <v>1</v>
          </cell>
          <cell r="AY725">
            <v>0</v>
          </cell>
          <cell r="AZ725">
            <v>0</v>
          </cell>
          <cell r="BA725">
            <v>0</v>
          </cell>
          <cell r="BB725">
            <v>0</v>
          </cell>
          <cell r="BC725">
            <v>38888</v>
          </cell>
        </row>
        <row r="726">
          <cell r="A726">
            <v>2006</v>
          </cell>
          <cell r="B726">
            <v>5</v>
          </cell>
          <cell r="C726">
            <v>532</v>
          </cell>
          <cell r="D726">
            <v>16</v>
          </cell>
          <cell r="E726">
            <v>792030</v>
          </cell>
          <cell r="F726">
            <v>0</v>
          </cell>
          <cell r="G726" t="str">
            <v>Затраты по ШПЗ (неосновные)</v>
          </cell>
          <cell r="H726">
            <v>2030</v>
          </cell>
          <cell r="I726">
            <v>7920</v>
          </cell>
          <cell r="J726">
            <v>12760</v>
          </cell>
          <cell r="K726">
            <v>1</v>
          </cell>
          <cell r="L726">
            <v>0</v>
          </cell>
          <cell r="M726">
            <v>0</v>
          </cell>
          <cell r="N726">
            <v>0</v>
          </cell>
          <cell r="R726">
            <v>0</v>
          </cell>
          <cell r="S726">
            <v>0</v>
          </cell>
          <cell r="T726">
            <v>0</v>
          </cell>
          <cell r="U726">
            <v>31</v>
          </cell>
          <cell r="V726">
            <v>0</v>
          </cell>
          <cell r="W726">
            <v>0</v>
          </cell>
          <cell r="AA726">
            <v>0</v>
          </cell>
          <cell r="AB726">
            <v>0</v>
          </cell>
          <cell r="AC726">
            <v>0</v>
          </cell>
          <cell r="AD726">
            <v>31</v>
          </cell>
          <cell r="AE726">
            <v>311000</v>
          </cell>
          <cell r="AF726">
            <v>0</v>
          </cell>
          <cell r="AI726">
            <v>2343</v>
          </cell>
          <cell r="AK726">
            <v>0</v>
          </cell>
          <cell r="AM726">
            <v>684</v>
          </cell>
          <cell r="AN726">
            <v>1</v>
          </cell>
          <cell r="AO726">
            <v>393216</v>
          </cell>
          <cell r="AQ726">
            <v>0</v>
          </cell>
          <cell r="AR726">
            <v>0</v>
          </cell>
          <cell r="AS726" t="str">
            <v>Ы</v>
          </cell>
          <cell r="AT726" t="str">
            <v>Ы</v>
          </cell>
          <cell r="AU726">
            <v>0</v>
          </cell>
          <cell r="AV726">
            <v>0</v>
          </cell>
          <cell r="AW726">
            <v>23</v>
          </cell>
          <cell r="AX726">
            <v>1</v>
          </cell>
          <cell r="AY726">
            <v>0</v>
          </cell>
          <cell r="AZ726">
            <v>0</v>
          </cell>
          <cell r="BA726">
            <v>0</v>
          </cell>
          <cell r="BB726">
            <v>0</v>
          </cell>
          <cell r="BC726">
            <v>38888</v>
          </cell>
        </row>
        <row r="727">
          <cell r="A727">
            <v>2006</v>
          </cell>
          <cell r="B727">
            <v>5</v>
          </cell>
          <cell r="C727">
            <v>533</v>
          </cell>
          <cell r="D727">
            <v>16</v>
          </cell>
          <cell r="E727">
            <v>792030</v>
          </cell>
          <cell r="F727">
            <v>0</v>
          </cell>
          <cell r="G727" t="str">
            <v>Затраты по ШПЗ (неосновные)</v>
          </cell>
          <cell r="H727">
            <v>2030</v>
          </cell>
          <cell r="I727">
            <v>7920</v>
          </cell>
          <cell r="J727">
            <v>26400</v>
          </cell>
          <cell r="K727">
            <v>1</v>
          </cell>
          <cell r="L727">
            <v>0</v>
          </cell>
          <cell r="M727">
            <v>0</v>
          </cell>
          <cell r="N727">
            <v>0</v>
          </cell>
          <cell r="R727">
            <v>0</v>
          </cell>
          <cell r="S727">
            <v>0</v>
          </cell>
          <cell r="T727">
            <v>0</v>
          </cell>
          <cell r="U727">
            <v>31</v>
          </cell>
          <cell r="V727">
            <v>0</v>
          </cell>
          <cell r="W727">
            <v>0</v>
          </cell>
          <cell r="AA727">
            <v>0</v>
          </cell>
          <cell r="AB727">
            <v>0</v>
          </cell>
          <cell r="AC727">
            <v>0</v>
          </cell>
          <cell r="AD727">
            <v>31</v>
          </cell>
          <cell r="AE727">
            <v>312000</v>
          </cell>
          <cell r="AF727">
            <v>0</v>
          </cell>
          <cell r="AI727">
            <v>2343</v>
          </cell>
          <cell r="AK727">
            <v>0</v>
          </cell>
          <cell r="AM727">
            <v>685</v>
          </cell>
          <cell r="AN727">
            <v>1</v>
          </cell>
          <cell r="AO727">
            <v>393216</v>
          </cell>
          <cell r="AQ727">
            <v>0</v>
          </cell>
          <cell r="AR727">
            <v>0</v>
          </cell>
          <cell r="AS727" t="str">
            <v>Ы</v>
          </cell>
          <cell r="AT727" t="str">
            <v>Ы</v>
          </cell>
          <cell r="AU727">
            <v>0</v>
          </cell>
          <cell r="AV727">
            <v>0</v>
          </cell>
          <cell r="AW727">
            <v>23</v>
          </cell>
          <cell r="AX727">
            <v>1</v>
          </cell>
          <cell r="AY727">
            <v>0</v>
          </cell>
          <cell r="AZ727">
            <v>0</v>
          </cell>
          <cell r="BA727">
            <v>0</v>
          </cell>
          <cell r="BB727">
            <v>0</v>
          </cell>
          <cell r="BC727">
            <v>38888</v>
          </cell>
        </row>
        <row r="728">
          <cell r="A728">
            <v>2006</v>
          </cell>
          <cell r="B728">
            <v>5</v>
          </cell>
          <cell r="C728">
            <v>534</v>
          </cell>
          <cell r="D728">
            <v>16</v>
          </cell>
          <cell r="E728">
            <v>792030</v>
          </cell>
          <cell r="F728">
            <v>0</v>
          </cell>
          <cell r="G728" t="str">
            <v>Затраты по ШПЗ (неосновные)</v>
          </cell>
          <cell r="H728">
            <v>2030</v>
          </cell>
          <cell r="I728">
            <v>7920</v>
          </cell>
          <cell r="J728">
            <v>61600</v>
          </cell>
          <cell r="K728">
            <v>1</v>
          </cell>
          <cell r="L728">
            <v>0</v>
          </cell>
          <cell r="M728">
            <v>0</v>
          </cell>
          <cell r="N728">
            <v>0</v>
          </cell>
          <cell r="R728">
            <v>0</v>
          </cell>
          <cell r="S728">
            <v>0</v>
          </cell>
          <cell r="T728">
            <v>0</v>
          </cell>
          <cell r="U728">
            <v>31</v>
          </cell>
          <cell r="V728">
            <v>0</v>
          </cell>
          <cell r="W728">
            <v>0</v>
          </cell>
          <cell r="AA728">
            <v>0</v>
          </cell>
          <cell r="AB728">
            <v>0</v>
          </cell>
          <cell r="AC728">
            <v>0</v>
          </cell>
          <cell r="AD728">
            <v>31</v>
          </cell>
          <cell r="AE728">
            <v>312200</v>
          </cell>
          <cell r="AF728">
            <v>0</v>
          </cell>
          <cell r="AI728">
            <v>2343</v>
          </cell>
          <cell r="AK728">
            <v>0</v>
          </cell>
          <cell r="AM728">
            <v>686</v>
          </cell>
          <cell r="AN728">
            <v>1</v>
          </cell>
          <cell r="AO728">
            <v>393216</v>
          </cell>
          <cell r="AQ728">
            <v>0</v>
          </cell>
          <cell r="AR728">
            <v>0</v>
          </cell>
          <cell r="AS728" t="str">
            <v>Ы</v>
          </cell>
          <cell r="AT728" t="str">
            <v>Ы</v>
          </cell>
          <cell r="AU728">
            <v>0</v>
          </cell>
          <cell r="AV728">
            <v>0</v>
          </cell>
          <cell r="AW728">
            <v>23</v>
          </cell>
          <cell r="AX728">
            <v>1</v>
          </cell>
          <cell r="AY728">
            <v>0</v>
          </cell>
          <cell r="AZ728">
            <v>0</v>
          </cell>
          <cell r="BA728">
            <v>0</v>
          </cell>
          <cell r="BB728">
            <v>0</v>
          </cell>
          <cell r="BC728">
            <v>38888</v>
          </cell>
        </row>
        <row r="729">
          <cell r="A729">
            <v>2006</v>
          </cell>
          <cell r="B729">
            <v>5</v>
          </cell>
          <cell r="C729">
            <v>535</v>
          </cell>
          <cell r="D729">
            <v>16</v>
          </cell>
          <cell r="E729">
            <v>792030</v>
          </cell>
          <cell r="F729">
            <v>0</v>
          </cell>
          <cell r="G729" t="str">
            <v>Затраты по ШПЗ (неосновные)</v>
          </cell>
          <cell r="H729">
            <v>2030</v>
          </cell>
          <cell r="I729">
            <v>7920</v>
          </cell>
          <cell r="J729">
            <v>4840</v>
          </cell>
          <cell r="K729">
            <v>1</v>
          </cell>
          <cell r="L729">
            <v>0</v>
          </cell>
          <cell r="M729">
            <v>0</v>
          </cell>
          <cell r="N729">
            <v>0</v>
          </cell>
          <cell r="R729">
            <v>0</v>
          </cell>
          <cell r="S729">
            <v>0</v>
          </cell>
          <cell r="T729">
            <v>0</v>
          </cell>
          <cell r="U729">
            <v>31</v>
          </cell>
          <cell r="V729">
            <v>0</v>
          </cell>
          <cell r="W729">
            <v>0</v>
          </cell>
          <cell r="AA729">
            <v>0</v>
          </cell>
          <cell r="AB729">
            <v>0</v>
          </cell>
          <cell r="AC729">
            <v>0</v>
          </cell>
          <cell r="AD729">
            <v>31</v>
          </cell>
          <cell r="AE729">
            <v>313000</v>
          </cell>
          <cell r="AF729">
            <v>0</v>
          </cell>
          <cell r="AI729">
            <v>2343</v>
          </cell>
          <cell r="AK729">
            <v>0</v>
          </cell>
          <cell r="AM729">
            <v>687</v>
          </cell>
          <cell r="AN729">
            <v>1</v>
          </cell>
          <cell r="AO729">
            <v>393216</v>
          </cell>
          <cell r="AQ729">
            <v>0</v>
          </cell>
          <cell r="AR729">
            <v>0</v>
          </cell>
          <cell r="AS729" t="str">
            <v>Ы</v>
          </cell>
          <cell r="AT729" t="str">
            <v>Ы</v>
          </cell>
          <cell r="AU729">
            <v>0</v>
          </cell>
          <cell r="AV729">
            <v>0</v>
          </cell>
          <cell r="AW729">
            <v>23</v>
          </cell>
          <cell r="AX729">
            <v>1</v>
          </cell>
          <cell r="AY729">
            <v>0</v>
          </cell>
          <cell r="AZ729">
            <v>0</v>
          </cell>
          <cell r="BA729">
            <v>0</v>
          </cell>
          <cell r="BB729">
            <v>0</v>
          </cell>
          <cell r="BC729">
            <v>38888</v>
          </cell>
        </row>
        <row r="730">
          <cell r="A730">
            <v>2006</v>
          </cell>
          <cell r="B730">
            <v>5</v>
          </cell>
          <cell r="C730">
            <v>536</v>
          </cell>
          <cell r="D730">
            <v>16</v>
          </cell>
          <cell r="E730">
            <v>792030</v>
          </cell>
          <cell r="F730">
            <v>0</v>
          </cell>
          <cell r="G730" t="str">
            <v>Затраты по ШПЗ (неосновные)</v>
          </cell>
          <cell r="H730">
            <v>2030</v>
          </cell>
          <cell r="I730">
            <v>7920</v>
          </cell>
          <cell r="J730">
            <v>8800</v>
          </cell>
          <cell r="K730">
            <v>1</v>
          </cell>
          <cell r="L730">
            <v>0</v>
          </cell>
          <cell r="M730">
            <v>0</v>
          </cell>
          <cell r="N730">
            <v>0</v>
          </cell>
          <cell r="R730">
            <v>0</v>
          </cell>
          <cell r="S730">
            <v>0</v>
          </cell>
          <cell r="T730">
            <v>0</v>
          </cell>
          <cell r="U730">
            <v>31</v>
          </cell>
          <cell r="V730">
            <v>0</v>
          </cell>
          <cell r="W730">
            <v>0</v>
          </cell>
          <cell r="AA730">
            <v>0</v>
          </cell>
          <cell r="AB730">
            <v>0</v>
          </cell>
          <cell r="AC730">
            <v>0</v>
          </cell>
          <cell r="AD730">
            <v>31</v>
          </cell>
          <cell r="AE730">
            <v>314000</v>
          </cell>
          <cell r="AF730">
            <v>0</v>
          </cell>
          <cell r="AI730">
            <v>2343</v>
          </cell>
          <cell r="AK730">
            <v>0</v>
          </cell>
          <cell r="AM730">
            <v>688</v>
          </cell>
          <cell r="AN730">
            <v>1</v>
          </cell>
          <cell r="AO730">
            <v>393216</v>
          </cell>
          <cell r="AQ730">
            <v>0</v>
          </cell>
          <cell r="AR730">
            <v>0</v>
          </cell>
          <cell r="AS730" t="str">
            <v>Ы</v>
          </cell>
          <cell r="AT730" t="str">
            <v>Ы</v>
          </cell>
          <cell r="AU730">
            <v>0</v>
          </cell>
          <cell r="AV730">
            <v>0</v>
          </cell>
          <cell r="AW730">
            <v>23</v>
          </cell>
          <cell r="AX730">
            <v>1</v>
          </cell>
          <cell r="AY730">
            <v>0</v>
          </cell>
          <cell r="AZ730">
            <v>0</v>
          </cell>
          <cell r="BA730">
            <v>0</v>
          </cell>
          <cell r="BB730">
            <v>0</v>
          </cell>
          <cell r="BC730">
            <v>38888</v>
          </cell>
        </row>
        <row r="731">
          <cell r="A731">
            <v>2006</v>
          </cell>
          <cell r="B731">
            <v>5</v>
          </cell>
          <cell r="C731">
            <v>537</v>
          </cell>
          <cell r="D731">
            <v>16</v>
          </cell>
          <cell r="E731">
            <v>792030</v>
          </cell>
          <cell r="F731">
            <v>0</v>
          </cell>
          <cell r="G731" t="str">
            <v>Затраты по ШПЗ (неосновные)</v>
          </cell>
          <cell r="H731">
            <v>2030</v>
          </cell>
          <cell r="I731">
            <v>7920</v>
          </cell>
          <cell r="J731">
            <v>1760</v>
          </cell>
          <cell r="K731">
            <v>1</v>
          </cell>
          <cell r="L731">
            <v>0</v>
          </cell>
          <cell r="M731">
            <v>0</v>
          </cell>
          <cell r="N731">
            <v>0</v>
          </cell>
          <cell r="R731">
            <v>0</v>
          </cell>
          <cell r="S731">
            <v>0</v>
          </cell>
          <cell r="T731">
            <v>0</v>
          </cell>
          <cell r="U731">
            <v>31</v>
          </cell>
          <cell r="V731">
            <v>0</v>
          </cell>
          <cell r="W731">
            <v>0</v>
          </cell>
          <cell r="AA731">
            <v>0</v>
          </cell>
          <cell r="AB731">
            <v>0</v>
          </cell>
          <cell r="AC731">
            <v>0</v>
          </cell>
          <cell r="AD731">
            <v>31</v>
          </cell>
          <cell r="AE731">
            <v>315000</v>
          </cell>
          <cell r="AF731">
            <v>0</v>
          </cell>
          <cell r="AI731">
            <v>2343</v>
          </cell>
          <cell r="AK731">
            <v>0</v>
          </cell>
          <cell r="AM731">
            <v>689</v>
          </cell>
          <cell r="AN731">
            <v>1</v>
          </cell>
          <cell r="AO731">
            <v>393216</v>
          </cell>
          <cell r="AQ731">
            <v>0</v>
          </cell>
          <cell r="AR731">
            <v>0</v>
          </cell>
          <cell r="AS731" t="str">
            <v>Ы</v>
          </cell>
          <cell r="AT731" t="str">
            <v>Ы</v>
          </cell>
          <cell r="AU731">
            <v>0</v>
          </cell>
          <cell r="AV731">
            <v>0</v>
          </cell>
          <cell r="AW731">
            <v>23</v>
          </cell>
          <cell r="AX731">
            <v>1</v>
          </cell>
          <cell r="AY731">
            <v>0</v>
          </cell>
          <cell r="AZ731">
            <v>0</v>
          </cell>
          <cell r="BA731">
            <v>0</v>
          </cell>
          <cell r="BB731">
            <v>0</v>
          </cell>
          <cell r="BC731">
            <v>38888</v>
          </cell>
        </row>
        <row r="732">
          <cell r="A732">
            <v>2006</v>
          </cell>
          <cell r="B732">
            <v>5</v>
          </cell>
          <cell r="C732">
            <v>538</v>
          </cell>
          <cell r="D732">
            <v>16</v>
          </cell>
          <cell r="E732">
            <v>792030</v>
          </cell>
          <cell r="F732">
            <v>0</v>
          </cell>
          <cell r="G732" t="str">
            <v>Затраты по ШПЗ (неосновные)</v>
          </cell>
          <cell r="H732">
            <v>2030</v>
          </cell>
          <cell r="I732">
            <v>7920</v>
          </cell>
          <cell r="J732">
            <v>8000</v>
          </cell>
          <cell r="K732">
            <v>1</v>
          </cell>
          <cell r="L732">
            <v>0</v>
          </cell>
          <cell r="M732">
            <v>0</v>
          </cell>
          <cell r="N732">
            <v>0</v>
          </cell>
          <cell r="R732">
            <v>0</v>
          </cell>
          <cell r="S732">
            <v>0</v>
          </cell>
          <cell r="T732">
            <v>0</v>
          </cell>
          <cell r="U732">
            <v>31</v>
          </cell>
          <cell r="V732">
            <v>0</v>
          </cell>
          <cell r="W732">
            <v>0</v>
          </cell>
          <cell r="AA732">
            <v>0</v>
          </cell>
          <cell r="AB732">
            <v>0</v>
          </cell>
          <cell r="AC732">
            <v>0</v>
          </cell>
          <cell r="AD732">
            <v>31</v>
          </cell>
          <cell r="AE732">
            <v>501102</v>
          </cell>
          <cell r="AF732">
            <v>0</v>
          </cell>
          <cell r="AI732">
            <v>2343</v>
          </cell>
          <cell r="AK732">
            <v>0</v>
          </cell>
          <cell r="AM732">
            <v>690</v>
          </cell>
          <cell r="AN732">
            <v>1</v>
          </cell>
          <cell r="AO732">
            <v>393216</v>
          </cell>
          <cell r="AQ732">
            <v>0</v>
          </cell>
          <cell r="AR732">
            <v>0</v>
          </cell>
          <cell r="AS732" t="str">
            <v>Ы</v>
          </cell>
          <cell r="AT732" t="str">
            <v>Ы</v>
          </cell>
          <cell r="AU732">
            <v>0</v>
          </cell>
          <cell r="AV732">
            <v>0</v>
          </cell>
          <cell r="AW732">
            <v>23</v>
          </cell>
          <cell r="AX732">
            <v>1</v>
          </cell>
          <cell r="AY732">
            <v>0</v>
          </cell>
          <cell r="AZ732">
            <v>0</v>
          </cell>
          <cell r="BA732">
            <v>0</v>
          </cell>
          <cell r="BB732">
            <v>0</v>
          </cell>
          <cell r="BC732">
            <v>38888</v>
          </cell>
        </row>
        <row r="733">
          <cell r="A733">
            <v>2006</v>
          </cell>
          <cell r="B733">
            <v>5</v>
          </cell>
          <cell r="C733">
            <v>615</v>
          </cell>
          <cell r="D733">
            <v>16</v>
          </cell>
          <cell r="E733">
            <v>792030</v>
          </cell>
          <cell r="F733">
            <v>0</v>
          </cell>
          <cell r="G733" t="str">
            <v>Затраты по ШПЗ (неосновные)</v>
          </cell>
          <cell r="H733">
            <v>2030</v>
          </cell>
          <cell r="I733">
            <v>7920</v>
          </cell>
          <cell r="J733">
            <v>61983.18</v>
          </cell>
          <cell r="K733">
            <v>1</v>
          </cell>
          <cell r="L733">
            <v>0</v>
          </cell>
          <cell r="M733">
            <v>0</v>
          </cell>
          <cell r="N733">
            <v>0</v>
          </cell>
          <cell r="R733">
            <v>0</v>
          </cell>
          <cell r="S733">
            <v>0</v>
          </cell>
          <cell r="T733">
            <v>0</v>
          </cell>
          <cell r="U733">
            <v>35</v>
          </cell>
          <cell r="V733">
            <v>0</v>
          </cell>
          <cell r="W733">
            <v>0</v>
          </cell>
          <cell r="AA733">
            <v>0</v>
          </cell>
          <cell r="AB733">
            <v>0</v>
          </cell>
          <cell r="AC733">
            <v>0</v>
          </cell>
          <cell r="AD733">
            <v>35</v>
          </cell>
          <cell r="AE733">
            <v>110000</v>
          </cell>
          <cell r="AF733">
            <v>0</v>
          </cell>
          <cell r="AI733">
            <v>2343</v>
          </cell>
          <cell r="AK733">
            <v>0</v>
          </cell>
          <cell r="AM733">
            <v>767</v>
          </cell>
          <cell r="AN733">
            <v>1</v>
          </cell>
          <cell r="AO733">
            <v>393216</v>
          </cell>
          <cell r="AQ733">
            <v>0</v>
          </cell>
          <cell r="AR733">
            <v>0</v>
          </cell>
          <cell r="AS733" t="str">
            <v>Ы</v>
          </cell>
          <cell r="AT733" t="str">
            <v>Ы</v>
          </cell>
          <cell r="AU733">
            <v>0</v>
          </cell>
          <cell r="AV733">
            <v>0</v>
          </cell>
          <cell r="AW733">
            <v>23</v>
          </cell>
          <cell r="AX733">
            <v>1</v>
          </cell>
          <cell r="AY733">
            <v>0</v>
          </cell>
          <cell r="AZ733">
            <v>0</v>
          </cell>
          <cell r="BA733">
            <v>0</v>
          </cell>
          <cell r="BB733">
            <v>0</v>
          </cell>
          <cell r="BC733">
            <v>38888</v>
          </cell>
        </row>
        <row r="734">
          <cell r="A734">
            <v>2006</v>
          </cell>
          <cell r="B734">
            <v>5</v>
          </cell>
          <cell r="C734">
            <v>616</v>
          </cell>
          <cell r="D734">
            <v>16</v>
          </cell>
          <cell r="E734">
            <v>792030</v>
          </cell>
          <cell r="F734">
            <v>0</v>
          </cell>
          <cell r="G734" t="str">
            <v>Затраты по ШПЗ (неосновные)</v>
          </cell>
          <cell r="H734">
            <v>2030</v>
          </cell>
          <cell r="I734">
            <v>7920</v>
          </cell>
          <cell r="J734">
            <v>342.84</v>
          </cell>
          <cell r="K734">
            <v>1</v>
          </cell>
          <cell r="L734">
            <v>0</v>
          </cell>
          <cell r="M734">
            <v>0</v>
          </cell>
          <cell r="N734">
            <v>0</v>
          </cell>
          <cell r="R734">
            <v>0</v>
          </cell>
          <cell r="S734">
            <v>0</v>
          </cell>
          <cell r="T734">
            <v>0</v>
          </cell>
          <cell r="U734">
            <v>35</v>
          </cell>
          <cell r="V734">
            <v>0</v>
          </cell>
          <cell r="W734">
            <v>0</v>
          </cell>
          <cell r="AA734">
            <v>0</v>
          </cell>
          <cell r="AB734">
            <v>0</v>
          </cell>
          <cell r="AC734">
            <v>0</v>
          </cell>
          <cell r="AD734">
            <v>35</v>
          </cell>
          <cell r="AE734">
            <v>114020</v>
          </cell>
          <cell r="AF734">
            <v>0</v>
          </cell>
          <cell r="AI734">
            <v>2343</v>
          </cell>
          <cell r="AK734">
            <v>0</v>
          </cell>
          <cell r="AM734">
            <v>768</v>
          </cell>
          <cell r="AN734">
            <v>1</v>
          </cell>
          <cell r="AO734">
            <v>393216</v>
          </cell>
          <cell r="AQ734">
            <v>0</v>
          </cell>
          <cell r="AR734">
            <v>0</v>
          </cell>
          <cell r="AS734" t="str">
            <v>Ы</v>
          </cell>
          <cell r="AT734" t="str">
            <v>Ы</v>
          </cell>
          <cell r="AU734">
            <v>0</v>
          </cell>
          <cell r="AV734">
            <v>0</v>
          </cell>
          <cell r="AW734">
            <v>23</v>
          </cell>
          <cell r="AX734">
            <v>1</v>
          </cell>
          <cell r="AY734">
            <v>0</v>
          </cell>
          <cell r="AZ734">
            <v>0</v>
          </cell>
          <cell r="BA734">
            <v>0</v>
          </cell>
          <cell r="BB734">
            <v>0</v>
          </cell>
          <cell r="BC734">
            <v>38888</v>
          </cell>
        </row>
        <row r="735">
          <cell r="A735">
            <v>2006</v>
          </cell>
          <cell r="B735">
            <v>5</v>
          </cell>
          <cell r="C735">
            <v>617</v>
          </cell>
          <cell r="D735">
            <v>16</v>
          </cell>
          <cell r="E735">
            <v>792030</v>
          </cell>
          <cell r="F735">
            <v>0</v>
          </cell>
          <cell r="G735" t="str">
            <v>Затраты по ШПЗ (неосновные)</v>
          </cell>
          <cell r="H735">
            <v>2030</v>
          </cell>
          <cell r="I735">
            <v>7920</v>
          </cell>
          <cell r="J735">
            <v>39.49</v>
          </cell>
          <cell r="K735">
            <v>1</v>
          </cell>
          <cell r="L735">
            <v>0</v>
          </cell>
          <cell r="M735">
            <v>0</v>
          </cell>
          <cell r="N735">
            <v>0</v>
          </cell>
          <cell r="R735">
            <v>0</v>
          </cell>
          <cell r="S735">
            <v>0</v>
          </cell>
          <cell r="T735">
            <v>0</v>
          </cell>
          <cell r="U735">
            <v>35</v>
          </cell>
          <cell r="V735">
            <v>0</v>
          </cell>
          <cell r="W735">
            <v>0</v>
          </cell>
          <cell r="AA735">
            <v>0</v>
          </cell>
          <cell r="AB735">
            <v>0</v>
          </cell>
          <cell r="AC735">
            <v>0</v>
          </cell>
          <cell r="AD735">
            <v>35</v>
          </cell>
          <cell r="AE735">
            <v>117000</v>
          </cell>
          <cell r="AF735">
            <v>0</v>
          </cell>
          <cell r="AI735">
            <v>2343</v>
          </cell>
          <cell r="AK735">
            <v>0</v>
          </cell>
          <cell r="AM735">
            <v>769</v>
          </cell>
          <cell r="AN735">
            <v>1</v>
          </cell>
          <cell r="AO735">
            <v>393216</v>
          </cell>
          <cell r="AQ735">
            <v>0</v>
          </cell>
          <cell r="AR735">
            <v>0</v>
          </cell>
          <cell r="AS735" t="str">
            <v>Ы</v>
          </cell>
          <cell r="AT735" t="str">
            <v>Ы</v>
          </cell>
          <cell r="AU735">
            <v>0</v>
          </cell>
          <cell r="AV735">
            <v>0</v>
          </cell>
          <cell r="AW735">
            <v>23</v>
          </cell>
          <cell r="AX735">
            <v>1</v>
          </cell>
          <cell r="AY735">
            <v>0</v>
          </cell>
          <cell r="AZ735">
            <v>0</v>
          </cell>
          <cell r="BA735">
            <v>0</v>
          </cell>
          <cell r="BB735">
            <v>0</v>
          </cell>
          <cell r="BC735">
            <v>38888</v>
          </cell>
        </row>
        <row r="736">
          <cell r="A736">
            <v>2006</v>
          </cell>
          <cell r="B736">
            <v>5</v>
          </cell>
          <cell r="C736">
            <v>618</v>
          </cell>
          <cell r="D736">
            <v>16</v>
          </cell>
          <cell r="E736">
            <v>792030</v>
          </cell>
          <cell r="F736">
            <v>0</v>
          </cell>
          <cell r="G736" t="str">
            <v>Затраты по ШПЗ (неосновные)</v>
          </cell>
          <cell r="H736">
            <v>2030</v>
          </cell>
          <cell r="I736">
            <v>7920</v>
          </cell>
          <cell r="J736">
            <v>556.95000000000005</v>
          </cell>
          <cell r="K736">
            <v>1</v>
          </cell>
          <cell r="L736">
            <v>0</v>
          </cell>
          <cell r="M736">
            <v>0</v>
          </cell>
          <cell r="N736">
            <v>0</v>
          </cell>
          <cell r="R736">
            <v>0</v>
          </cell>
          <cell r="S736">
            <v>0</v>
          </cell>
          <cell r="T736">
            <v>0</v>
          </cell>
          <cell r="U736">
            <v>35</v>
          </cell>
          <cell r="V736">
            <v>0</v>
          </cell>
          <cell r="W736">
            <v>0</v>
          </cell>
          <cell r="AA736">
            <v>0</v>
          </cell>
          <cell r="AB736">
            <v>0</v>
          </cell>
          <cell r="AC736">
            <v>0</v>
          </cell>
          <cell r="AD736">
            <v>35</v>
          </cell>
          <cell r="AE736">
            <v>118000</v>
          </cell>
          <cell r="AF736">
            <v>0</v>
          </cell>
          <cell r="AI736">
            <v>2343</v>
          </cell>
          <cell r="AK736">
            <v>0</v>
          </cell>
          <cell r="AM736">
            <v>770</v>
          </cell>
          <cell r="AN736">
            <v>1</v>
          </cell>
          <cell r="AO736">
            <v>393216</v>
          </cell>
          <cell r="AQ736">
            <v>0</v>
          </cell>
          <cell r="AR736">
            <v>0</v>
          </cell>
          <cell r="AS736" t="str">
            <v>Ы</v>
          </cell>
          <cell r="AT736" t="str">
            <v>Ы</v>
          </cell>
          <cell r="AU736">
            <v>0</v>
          </cell>
          <cell r="AV736">
            <v>0</v>
          </cell>
          <cell r="AW736">
            <v>23</v>
          </cell>
          <cell r="AX736">
            <v>1</v>
          </cell>
          <cell r="AY736">
            <v>0</v>
          </cell>
          <cell r="AZ736">
            <v>0</v>
          </cell>
          <cell r="BA736">
            <v>0</v>
          </cell>
          <cell r="BB736">
            <v>0</v>
          </cell>
          <cell r="BC736">
            <v>38888</v>
          </cell>
        </row>
        <row r="737">
          <cell r="A737">
            <v>2006</v>
          </cell>
          <cell r="B737">
            <v>5</v>
          </cell>
          <cell r="C737">
            <v>619</v>
          </cell>
          <cell r="D737">
            <v>16</v>
          </cell>
          <cell r="E737">
            <v>792030</v>
          </cell>
          <cell r="F737">
            <v>0</v>
          </cell>
          <cell r="G737" t="str">
            <v>Затраты по ШПЗ (неосновные)</v>
          </cell>
          <cell r="H737">
            <v>2030</v>
          </cell>
          <cell r="I737">
            <v>7920</v>
          </cell>
          <cell r="J737">
            <v>722.22</v>
          </cell>
          <cell r="K737">
            <v>1</v>
          </cell>
          <cell r="L737">
            <v>0</v>
          </cell>
          <cell r="M737">
            <v>0</v>
          </cell>
          <cell r="N737">
            <v>0</v>
          </cell>
          <cell r="R737">
            <v>0</v>
          </cell>
          <cell r="S737">
            <v>0</v>
          </cell>
          <cell r="T737">
            <v>0</v>
          </cell>
          <cell r="U737">
            <v>35</v>
          </cell>
          <cell r="V737">
            <v>0</v>
          </cell>
          <cell r="W737">
            <v>0</v>
          </cell>
          <cell r="AA737">
            <v>0</v>
          </cell>
          <cell r="AB737">
            <v>0</v>
          </cell>
          <cell r="AC737">
            <v>0</v>
          </cell>
          <cell r="AD737">
            <v>35</v>
          </cell>
          <cell r="AE737">
            <v>131000</v>
          </cell>
          <cell r="AF737">
            <v>0</v>
          </cell>
          <cell r="AI737">
            <v>2343</v>
          </cell>
          <cell r="AK737">
            <v>0</v>
          </cell>
          <cell r="AM737">
            <v>771</v>
          </cell>
          <cell r="AN737">
            <v>1</v>
          </cell>
          <cell r="AO737">
            <v>393216</v>
          </cell>
          <cell r="AQ737">
            <v>0</v>
          </cell>
          <cell r="AR737">
            <v>0</v>
          </cell>
          <cell r="AS737" t="str">
            <v>Ы</v>
          </cell>
          <cell r="AT737" t="str">
            <v>Ы</v>
          </cell>
          <cell r="AU737">
            <v>0</v>
          </cell>
          <cell r="AV737">
            <v>0</v>
          </cell>
          <cell r="AW737">
            <v>23</v>
          </cell>
          <cell r="AX737">
            <v>1</v>
          </cell>
          <cell r="AY737">
            <v>0</v>
          </cell>
          <cell r="AZ737">
            <v>0</v>
          </cell>
          <cell r="BA737">
            <v>0</v>
          </cell>
          <cell r="BB737">
            <v>0</v>
          </cell>
          <cell r="BC737">
            <v>38888</v>
          </cell>
        </row>
        <row r="738">
          <cell r="A738">
            <v>2006</v>
          </cell>
          <cell r="B738">
            <v>5</v>
          </cell>
          <cell r="C738">
            <v>620</v>
          </cell>
          <cell r="D738">
            <v>16</v>
          </cell>
          <cell r="E738">
            <v>792030</v>
          </cell>
          <cell r="F738">
            <v>0</v>
          </cell>
          <cell r="G738" t="str">
            <v>Затраты по ШПЗ (неосновные)</v>
          </cell>
          <cell r="H738">
            <v>2030</v>
          </cell>
          <cell r="I738">
            <v>7920</v>
          </cell>
          <cell r="J738">
            <v>809.67</v>
          </cell>
          <cell r="K738">
            <v>1</v>
          </cell>
          <cell r="L738">
            <v>0</v>
          </cell>
          <cell r="M738">
            <v>0</v>
          </cell>
          <cell r="N738">
            <v>0</v>
          </cell>
          <cell r="R738">
            <v>0</v>
          </cell>
          <cell r="S738">
            <v>0</v>
          </cell>
          <cell r="T738">
            <v>0</v>
          </cell>
          <cell r="U738">
            <v>35</v>
          </cell>
          <cell r="V738">
            <v>0</v>
          </cell>
          <cell r="W738">
            <v>0</v>
          </cell>
          <cell r="AA738">
            <v>0</v>
          </cell>
          <cell r="AB738">
            <v>0</v>
          </cell>
          <cell r="AC738">
            <v>0</v>
          </cell>
          <cell r="AD738">
            <v>35</v>
          </cell>
          <cell r="AE738">
            <v>132000</v>
          </cell>
          <cell r="AF738">
            <v>0</v>
          </cell>
          <cell r="AI738">
            <v>2343</v>
          </cell>
          <cell r="AK738">
            <v>0</v>
          </cell>
          <cell r="AM738">
            <v>772</v>
          </cell>
          <cell r="AN738">
            <v>1</v>
          </cell>
          <cell r="AO738">
            <v>393216</v>
          </cell>
          <cell r="AQ738">
            <v>0</v>
          </cell>
          <cell r="AR738">
            <v>0</v>
          </cell>
          <cell r="AS738" t="str">
            <v>Ы</v>
          </cell>
          <cell r="AT738" t="str">
            <v>Ы</v>
          </cell>
          <cell r="AU738">
            <v>0</v>
          </cell>
          <cell r="AV738">
            <v>0</v>
          </cell>
          <cell r="AW738">
            <v>23</v>
          </cell>
          <cell r="AX738">
            <v>1</v>
          </cell>
          <cell r="AY738">
            <v>0</v>
          </cell>
          <cell r="AZ738">
            <v>0</v>
          </cell>
          <cell r="BA738">
            <v>0</v>
          </cell>
          <cell r="BB738">
            <v>0</v>
          </cell>
          <cell r="BC738">
            <v>38888</v>
          </cell>
        </row>
        <row r="739">
          <cell r="A739">
            <v>2006</v>
          </cell>
          <cell r="B739">
            <v>5</v>
          </cell>
          <cell r="C739">
            <v>621</v>
          </cell>
          <cell r="D739">
            <v>16</v>
          </cell>
          <cell r="E739">
            <v>792030</v>
          </cell>
          <cell r="F739">
            <v>0</v>
          </cell>
          <cell r="G739" t="str">
            <v>Затраты по ШПЗ (неосновные)</v>
          </cell>
          <cell r="H739">
            <v>2030</v>
          </cell>
          <cell r="I739">
            <v>7920</v>
          </cell>
          <cell r="J739">
            <v>257.18</v>
          </cell>
          <cell r="K739">
            <v>1</v>
          </cell>
          <cell r="L739">
            <v>0</v>
          </cell>
          <cell r="M739">
            <v>0</v>
          </cell>
          <cell r="N739">
            <v>0</v>
          </cell>
          <cell r="R739">
            <v>0</v>
          </cell>
          <cell r="S739">
            <v>0</v>
          </cell>
          <cell r="T739">
            <v>0</v>
          </cell>
          <cell r="U739">
            <v>35</v>
          </cell>
          <cell r="V739">
            <v>0</v>
          </cell>
          <cell r="W739">
            <v>0</v>
          </cell>
          <cell r="AA739">
            <v>0</v>
          </cell>
          <cell r="AB739">
            <v>0</v>
          </cell>
          <cell r="AC739">
            <v>0</v>
          </cell>
          <cell r="AD739">
            <v>35</v>
          </cell>
          <cell r="AE739">
            <v>135000</v>
          </cell>
          <cell r="AF739">
            <v>0</v>
          </cell>
          <cell r="AI739">
            <v>2343</v>
          </cell>
          <cell r="AK739">
            <v>0</v>
          </cell>
          <cell r="AM739">
            <v>773</v>
          </cell>
          <cell r="AN739">
            <v>1</v>
          </cell>
          <cell r="AO739">
            <v>393216</v>
          </cell>
          <cell r="AQ739">
            <v>0</v>
          </cell>
          <cell r="AR739">
            <v>0</v>
          </cell>
          <cell r="AS739" t="str">
            <v>Ы</v>
          </cell>
          <cell r="AT739" t="str">
            <v>Ы</v>
          </cell>
          <cell r="AU739">
            <v>0</v>
          </cell>
          <cell r="AV739">
            <v>0</v>
          </cell>
          <cell r="AW739">
            <v>23</v>
          </cell>
          <cell r="AX739">
            <v>1</v>
          </cell>
          <cell r="AY739">
            <v>0</v>
          </cell>
          <cell r="AZ739">
            <v>0</v>
          </cell>
          <cell r="BA739">
            <v>0</v>
          </cell>
          <cell r="BB739">
            <v>0</v>
          </cell>
          <cell r="BC739">
            <v>38888</v>
          </cell>
        </row>
        <row r="740">
          <cell r="A740">
            <v>2006</v>
          </cell>
          <cell r="B740">
            <v>5</v>
          </cell>
          <cell r="C740">
            <v>622</v>
          </cell>
          <cell r="D740">
            <v>16</v>
          </cell>
          <cell r="E740">
            <v>792030</v>
          </cell>
          <cell r="F740">
            <v>0</v>
          </cell>
          <cell r="G740" t="str">
            <v>Затраты по ШПЗ (неосновные)</v>
          </cell>
          <cell r="H740">
            <v>2030</v>
          </cell>
          <cell r="I740">
            <v>7920</v>
          </cell>
          <cell r="J740">
            <v>7904.03</v>
          </cell>
          <cell r="K740">
            <v>1</v>
          </cell>
          <cell r="L740">
            <v>0</v>
          </cell>
          <cell r="M740">
            <v>0</v>
          </cell>
          <cell r="N740">
            <v>0</v>
          </cell>
          <cell r="R740">
            <v>0</v>
          </cell>
          <cell r="S740">
            <v>0</v>
          </cell>
          <cell r="T740">
            <v>0</v>
          </cell>
          <cell r="U740">
            <v>35</v>
          </cell>
          <cell r="V740">
            <v>0</v>
          </cell>
          <cell r="W740">
            <v>0</v>
          </cell>
          <cell r="AA740">
            <v>0</v>
          </cell>
          <cell r="AB740">
            <v>0</v>
          </cell>
          <cell r="AC740">
            <v>0</v>
          </cell>
          <cell r="AD740">
            <v>35</v>
          </cell>
          <cell r="AE740">
            <v>143000</v>
          </cell>
          <cell r="AF740">
            <v>0</v>
          </cell>
          <cell r="AI740">
            <v>2343</v>
          </cell>
          <cell r="AK740">
            <v>0</v>
          </cell>
          <cell r="AM740">
            <v>774</v>
          </cell>
          <cell r="AN740">
            <v>1</v>
          </cell>
          <cell r="AO740">
            <v>393216</v>
          </cell>
          <cell r="AQ740">
            <v>0</v>
          </cell>
          <cell r="AR740">
            <v>0</v>
          </cell>
          <cell r="AS740" t="str">
            <v>Ы</v>
          </cell>
          <cell r="AT740" t="str">
            <v>Ы</v>
          </cell>
          <cell r="AU740">
            <v>0</v>
          </cell>
          <cell r="AV740">
            <v>0</v>
          </cell>
          <cell r="AW740">
            <v>23</v>
          </cell>
          <cell r="AX740">
            <v>1</v>
          </cell>
          <cell r="AY740">
            <v>0</v>
          </cell>
          <cell r="AZ740">
            <v>0</v>
          </cell>
          <cell r="BA740">
            <v>0</v>
          </cell>
          <cell r="BB740">
            <v>0</v>
          </cell>
          <cell r="BC740">
            <v>38888</v>
          </cell>
        </row>
        <row r="741">
          <cell r="A741">
            <v>2006</v>
          </cell>
          <cell r="B741">
            <v>5</v>
          </cell>
          <cell r="C741">
            <v>623</v>
          </cell>
          <cell r="D741">
            <v>16</v>
          </cell>
          <cell r="E741">
            <v>792030</v>
          </cell>
          <cell r="F741">
            <v>0</v>
          </cell>
          <cell r="G741" t="str">
            <v>Затраты по ШПЗ (неосновные)</v>
          </cell>
          <cell r="H741">
            <v>2030</v>
          </cell>
          <cell r="I741">
            <v>7920</v>
          </cell>
          <cell r="J741">
            <v>165867</v>
          </cell>
          <cell r="K741">
            <v>1</v>
          </cell>
          <cell r="L741">
            <v>0</v>
          </cell>
          <cell r="M741">
            <v>0</v>
          </cell>
          <cell r="N741">
            <v>0</v>
          </cell>
          <cell r="R741">
            <v>0</v>
          </cell>
          <cell r="S741">
            <v>0</v>
          </cell>
          <cell r="T741">
            <v>0</v>
          </cell>
          <cell r="U741">
            <v>35</v>
          </cell>
          <cell r="V741">
            <v>0</v>
          </cell>
          <cell r="W741">
            <v>0</v>
          </cell>
          <cell r="AA741">
            <v>0</v>
          </cell>
          <cell r="AB741">
            <v>0</v>
          </cell>
          <cell r="AC741">
            <v>0</v>
          </cell>
          <cell r="AD741">
            <v>35</v>
          </cell>
          <cell r="AE741">
            <v>240000</v>
          </cell>
          <cell r="AF741">
            <v>0</v>
          </cell>
          <cell r="AI741">
            <v>2343</v>
          </cell>
          <cell r="AK741">
            <v>0</v>
          </cell>
          <cell r="AM741">
            <v>775</v>
          </cell>
          <cell r="AN741">
            <v>1</v>
          </cell>
          <cell r="AO741">
            <v>393216</v>
          </cell>
          <cell r="AQ741">
            <v>0</v>
          </cell>
          <cell r="AR741">
            <v>0</v>
          </cell>
          <cell r="AS741" t="str">
            <v>Ы</v>
          </cell>
          <cell r="AT741" t="str">
            <v>Ы</v>
          </cell>
          <cell r="AU741">
            <v>0</v>
          </cell>
          <cell r="AV741">
            <v>0</v>
          </cell>
          <cell r="AW741">
            <v>23</v>
          </cell>
          <cell r="AX741">
            <v>1</v>
          </cell>
          <cell r="AY741">
            <v>0</v>
          </cell>
          <cell r="AZ741">
            <v>0</v>
          </cell>
          <cell r="BA741">
            <v>0</v>
          </cell>
          <cell r="BB741">
            <v>0</v>
          </cell>
          <cell r="BC741">
            <v>38888</v>
          </cell>
        </row>
        <row r="742">
          <cell r="A742">
            <v>2006</v>
          </cell>
          <cell r="B742">
            <v>5</v>
          </cell>
          <cell r="C742">
            <v>624</v>
          </cell>
          <cell r="D742">
            <v>16</v>
          </cell>
          <cell r="E742">
            <v>792030</v>
          </cell>
          <cell r="F742">
            <v>0</v>
          </cell>
          <cell r="G742" t="str">
            <v>Затраты по ШПЗ (неосновные)</v>
          </cell>
          <cell r="H742">
            <v>2030</v>
          </cell>
          <cell r="I742">
            <v>7920</v>
          </cell>
          <cell r="J742">
            <v>4769.43</v>
          </cell>
          <cell r="K742">
            <v>1</v>
          </cell>
          <cell r="L742">
            <v>0</v>
          </cell>
          <cell r="M742">
            <v>0</v>
          </cell>
          <cell r="N742">
            <v>0</v>
          </cell>
          <cell r="R742">
            <v>0</v>
          </cell>
          <cell r="S742">
            <v>0</v>
          </cell>
          <cell r="T742">
            <v>0</v>
          </cell>
          <cell r="U742">
            <v>35</v>
          </cell>
          <cell r="V742">
            <v>0</v>
          </cell>
          <cell r="W742">
            <v>0</v>
          </cell>
          <cell r="AA742">
            <v>0</v>
          </cell>
          <cell r="AB742">
            <v>0</v>
          </cell>
          <cell r="AC742">
            <v>0</v>
          </cell>
          <cell r="AD742">
            <v>35</v>
          </cell>
          <cell r="AE742">
            <v>311000</v>
          </cell>
          <cell r="AF742">
            <v>0</v>
          </cell>
          <cell r="AI742">
            <v>2343</v>
          </cell>
          <cell r="AK742">
            <v>0</v>
          </cell>
          <cell r="AM742">
            <v>776</v>
          </cell>
          <cell r="AN742">
            <v>1</v>
          </cell>
          <cell r="AO742">
            <v>393216</v>
          </cell>
          <cell r="AQ742">
            <v>0</v>
          </cell>
          <cell r="AR742">
            <v>0</v>
          </cell>
          <cell r="AS742" t="str">
            <v>Ы</v>
          </cell>
          <cell r="AT742" t="str">
            <v>Ы</v>
          </cell>
          <cell r="AU742">
            <v>0</v>
          </cell>
          <cell r="AV742">
            <v>0</v>
          </cell>
          <cell r="AW742">
            <v>23</v>
          </cell>
          <cell r="AX742">
            <v>1</v>
          </cell>
          <cell r="AY742">
            <v>0</v>
          </cell>
          <cell r="AZ742">
            <v>0</v>
          </cell>
          <cell r="BA742">
            <v>0</v>
          </cell>
          <cell r="BB742">
            <v>0</v>
          </cell>
          <cell r="BC742">
            <v>38888</v>
          </cell>
        </row>
        <row r="743">
          <cell r="A743">
            <v>2006</v>
          </cell>
          <cell r="B743">
            <v>5</v>
          </cell>
          <cell r="C743">
            <v>625</v>
          </cell>
          <cell r="D743">
            <v>16</v>
          </cell>
          <cell r="E743">
            <v>792030</v>
          </cell>
          <cell r="F743">
            <v>0</v>
          </cell>
          <cell r="G743" t="str">
            <v>Затраты по ШПЗ (неосновные)</v>
          </cell>
          <cell r="H743">
            <v>2030</v>
          </cell>
          <cell r="I743">
            <v>7920</v>
          </cell>
          <cell r="J743">
            <v>9867.89</v>
          </cell>
          <cell r="K743">
            <v>1</v>
          </cell>
          <cell r="L743">
            <v>0</v>
          </cell>
          <cell r="M743">
            <v>0</v>
          </cell>
          <cell r="N743">
            <v>0</v>
          </cell>
          <cell r="R743">
            <v>0</v>
          </cell>
          <cell r="S743">
            <v>0</v>
          </cell>
          <cell r="T743">
            <v>0</v>
          </cell>
          <cell r="U743">
            <v>35</v>
          </cell>
          <cell r="V743">
            <v>0</v>
          </cell>
          <cell r="W743">
            <v>0</v>
          </cell>
          <cell r="AA743">
            <v>0</v>
          </cell>
          <cell r="AB743">
            <v>0</v>
          </cell>
          <cell r="AC743">
            <v>0</v>
          </cell>
          <cell r="AD743">
            <v>35</v>
          </cell>
          <cell r="AE743">
            <v>312000</v>
          </cell>
          <cell r="AF743">
            <v>0</v>
          </cell>
          <cell r="AI743">
            <v>2343</v>
          </cell>
          <cell r="AK743">
            <v>0</v>
          </cell>
          <cell r="AM743">
            <v>777</v>
          </cell>
          <cell r="AN743">
            <v>1</v>
          </cell>
          <cell r="AO743">
            <v>393216</v>
          </cell>
          <cell r="AQ743">
            <v>0</v>
          </cell>
          <cell r="AR743">
            <v>0</v>
          </cell>
          <cell r="AS743" t="str">
            <v>Ы</v>
          </cell>
          <cell r="AT743" t="str">
            <v>Ы</v>
          </cell>
          <cell r="AU743">
            <v>0</v>
          </cell>
          <cell r="AV743">
            <v>0</v>
          </cell>
          <cell r="AW743">
            <v>23</v>
          </cell>
          <cell r="AX743">
            <v>1</v>
          </cell>
          <cell r="AY743">
            <v>0</v>
          </cell>
          <cell r="AZ743">
            <v>0</v>
          </cell>
          <cell r="BA743">
            <v>0</v>
          </cell>
          <cell r="BB743">
            <v>0</v>
          </cell>
          <cell r="BC743">
            <v>38888</v>
          </cell>
        </row>
        <row r="744">
          <cell r="A744">
            <v>2006</v>
          </cell>
          <cell r="B744">
            <v>5</v>
          </cell>
          <cell r="C744">
            <v>626</v>
          </cell>
          <cell r="D744">
            <v>16</v>
          </cell>
          <cell r="E744">
            <v>792030</v>
          </cell>
          <cell r="F744">
            <v>0</v>
          </cell>
          <cell r="G744" t="str">
            <v>Затраты по ШПЗ (неосновные)</v>
          </cell>
          <cell r="H744">
            <v>2030</v>
          </cell>
          <cell r="I744">
            <v>7920</v>
          </cell>
          <cell r="J744">
            <v>2156.48</v>
          </cell>
          <cell r="K744">
            <v>1</v>
          </cell>
          <cell r="L744">
            <v>0</v>
          </cell>
          <cell r="M744">
            <v>0</v>
          </cell>
          <cell r="N744">
            <v>0</v>
          </cell>
          <cell r="R744">
            <v>0</v>
          </cell>
          <cell r="S744">
            <v>0</v>
          </cell>
          <cell r="T744">
            <v>0</v>
          </cell>
          <cell r="U744">
            <v>35</v>
          </cell>
          <cell r="V744">
            <v>0</v>
          </cell>
          <cell r="W744">
            <v>0</v>
          </cell>
          <cell r="AA744">
            <v>0</v>
          </cell>
          <cell r="AB744">
            <v>0</v>
          </cell>
          <cell r="AC744">
            <v>0</v>
          </cell>
          <cell r="AD744">
            <v>35</v>
          </cell>
          <cell r="AE744">
            <v>312100</v>
          </cell>
          <cell r="AF744">
            <v>0</v>
          </cell>
          <cell r="AI744">
            <v>2343</v>
          </cell>
          <cell r="AK744">
            <v>0</v>
          </cell>
          <cell r="AM744">
            <v>778</v>
          </cell>
          <cell r="AN744">
            <v>1</v>
          </cell>
          <cell r="AO744">
            <v>393216</v>
          </cell>
          <cell r="AQ744">
            <v>0</v>
          </cell>
          <cell r="AR744">
            <v>0</v>
          </cell>
          <cell r="AS744" t="str">
            <v>Ы</v>
          </cell>
          <cell r="AT744" t="str">
            <v>Ы</v>
          </cell>
          <cell r="AU744">
            <v>0</v>
          </cell>
          <cell r="AV744">
            <v>0</v>
          </cell>
          <cell r="AW744">
            <v>23</v>
          </cell>
          <cell r="AX744">
            <v>1</v>
          </cell>
          <cell r="AY744">
            <v>0</v>
          </cell>
          <cell r="AZ744">
            <v>0</v>
          </cell>
          <cell r="BA744">
            <v>0</v>
          </cell>
          <cell r="BB744">
            <v>0</v>
          </cell>
          <cell r="BC744">
            <v>38888</v>
          </cell>
        </row>
        <row r="745">
          <cell r="A745">
            <v>2006</v>
          </cell>
          <cell r="B745">
            <v>5</v>
          </cell>
          <cell r="C745">
            <v>627</v>
          </cell>
          <cell r="D745">
            <v>16</v>
          </cell>
          <cell r="E745">
            <v>792030</v>
          </cell>
          <cell r="F745">
            <v>0</v>
          </cell>
          <cell r="G745" t="str">
            <v>Затраты по ШПЗ (неосновные)</v>
          </cell>
          <cell r="H745">
            <v>2030</v>
          </cell>
          <cell r="I745">
            <v>7920</v>
          </cell>
          <cell r="J745">
            <v>21064.93</v>
          </cell>
          <cell r="K745">
            <v>1</v>
          </cell>
          <cell r="L745">
            <v>0</v>
          </cell>
          <cell r="M745">
            <v>0</v>
          </cell>
          <cell r="N745">
            <v>0</v>
          </cell>
          <cell r="R745">
            <v>0</v>
          </cell>
          <cell r="S745">
            <v>0</v>
          </cell>
          <cell r="T745">
            <v>0</v>
          </cell>
          <cell r="U745">
            <v>35</v>
          </cell>
          <cell r="V745">
            <v>0</v>
          </cell>
          <cell r="W745">
            <v>0</v>
          </cell>
          <cell r="AA745">
            <v>0</v>
          </cell>
          <cell r="AB745">
            <v>0</v>
          </cell>
          <cell r="AC745">
            <v>0</v>
          </cell>
          <cell r="AD745">
            <v>35</v>
          </cell>
          <cell r="AE745">
            <v>312200</v>
          </cell>
          <cell r="AF745">
            <v>0</v>
          </cell>
          <cell r="AI745">
            <v>2343</v>
          </cell>
          <cell r="AK745">
            <v>0</v>
          </cell>
          <cell r="AM745">
            <v>779</v>
          </cell>
          <cell r="AN745">
            <v>1</v>
          </cell>
          <cell r="AO745">
            <v>393216</v>
          </cell>
          <cell r="AQ745">
            <v>0</v>
          </cell>
          <cell r="AR745">
            <v>0</v>
          </cell>
          <cell r="AS745" t="str">
            <v>Ы</v>
          </cell>
          <cell r="AT745" t="str">
            <v>Ы</v>
          </cell>
          <cell r="AU745">
            <v>0</v>
          </cell>
          <cell r="AV745">
            <v>0</v>
          </cell>
          <cell r="AW745">
            <v>23</v>
          </cell>
          <cell r="AX745">
            <v>1</v>
          </cell>
          <cell r="AY745">
            <v>0</v>
          </cell>
          <cell r="AZ745">
            <v>0</v>
          </cell>
          <cell r="BA745">
            <v>0</v>
          </cell>
          <cell r="BB745">
            <v>0</v>
          </cell>
          <cell r="BC745">
            <v>38888</v>
          </cell>
        </row>
        <row r="746">
          <cell r="A746">
            <v>2006</v>
          </cell>
          <cell r="B746">
            <v>5</v>
          </cell>
          <cell r="C746">
            <v>628</v>
          </cell>
          <cell r="D746">
            <v>16</v>
          </cell>
          <cell r="E746">
            <v>792030</v>
          </cell>
          <cell r="F746">
            <v>0</v>
          </cell>
          <cell r="G746" t="str">
            <v>Затраты по ШПЗ (неосновные)</v>
          </cell>
          <cell r="H746">
            <v>2030</v>
          </cell>
          <cell r="I746">
            <v>7920</v>
          </cell>
          <cell r="J746">
            <v>1809.12</v>
          </cell>
          <cell r="K746">
            <v>1</v>
          </cell>
          <cell r="L746">
            <v>0</v>
          </cell>
          <cell r="M746">
            <v>0</v>
          </cell>
          <cell r="N746">
            <v>0</v>
          </cell>
          <cell r="R746">
            <v>0</v>
          </cell>
          <cell r="S746">
            <v>0</v>
          </cell>
          <cell r="T746">
            <v>0</v>
          </cell>
          <cell r="U746">
            <v>35</v>
          </cell>
          <cell r="V746">
            <v>0</v>
          </cell>
          <cell r="W746">
            <v>0</v>
          </cell>
          <cell r="AA746">
            <v>0</v>
          </cell>
          <cell r="AB746">
            <v>0</v>
          </cell>
          <cell r="AC746">
            <v>0</v>
          </cell>
          <cell r="AD746">
            <v>35</v>
          </cell>
          <cell r="AE746">
            <v>313000</v>
          </cell>
          <cell r="AF746">
            <v>0</v>
          </cell>
          <cell r="AI746">
            <v>2343</v>
          </cell>
          <cell r="AK746">
            <v>0</v>
          </cell>
          <cell r="AM746">
            <v>780</v>
          </cell>
          <cell r="AN746">
            <v>1</v>
          </cell>
          <cell r="AO746">
            <v>393216</v>
          </cell>
          <cell r="AQ746">
            <v>0</v>
          </cell>
          <cell r="AR746">
            <v>0</v>
          </cell>
          <cell r="AS746" t="str">
            <v>Ы</v>
          </cell>
          <cell r="AT746" t="str">
            <v>Ы</v>
          </cell>
          <cell r="AU746">
            <v>0</v>
          </cell>
          <cell r="AV746">
            <v>0</v>
          </cell>
          <cell r="AW746">
            <v>23</v>
          </cell>
          <cell r="AX746">
            <v>1</v>
          </cell>
          <cell r="AY746">
            <v>0</v>
          </cell>
          <cell r="AZ746">
            <v>0</v>
          </cell>
          <cell r="BA746">
            <v>0</v>
          </cell>
          <cell r="BB746">
            <v>0</v>
          </cell>
          <cell r="BC746">
            <v>38888</v>
          </cell>
        </row>
        <row r="747">
          <cell r="A747">
            <v>2006</v>
          </cell>
          <cell r="B747">
            <v>5</v>
          </cell>
          <cell r="C747">
            <v>629</v>
          </cell>
          <cell r="D747">
            <v>16</v>
          </cell>
          <cell r="E747">
            <v>792030</v>
          </cell>
          <cell r="F747">
            <v>0</v>
          </cell>
          <cell r="G747" t="str">
            <v>Затраты по ШПЗ (неосновные)</v>
          </cell>
          <cell r="H747">
            <v>2030</v>
          </cell>
          <cell r="I747">
            <v>7920</v>
          </cell>
          <cell r="J747">
            <v>3289.31</v>
          </cell>
          <cell r="K747">
            <v>1</v>
          </cell>
          <cell r="L747">
            <v>0</v>
          </cell>
          <cell r="M747">
            <v>0</v>
          </cell>
          <cell r="N747">
            <v>0</v>
          </cell>
          <cell r="R747">
            <v>0</v>
          </cell>
          <cell r="S747">
            <v>0</v>
          </cell>
          <cell r="T747">
            <v>0</v>
          </cell>
          <cell r="U747">
            <v>35</v>
          </cell>
          <cell r="V747">
            <v>0</v>
          </cell>
          <cell r="W747">
            <v>0</v>
          </cell>
          <cell r="AA747">
            <v>0</v>
          </cell>
          <cell r="AB747">
            <v>0</v>
          </cell>
          <cell r="AC747">
            <v>0</v>
          </cell>
          <cell r="AD747">
            <v>35</v>
          </cell>
          <cell r="AE747">
            <v>314000</v>
          </cell>
          <cell r="AF747">
            <v>0</v>
          </cell>
          <cell r="AI747">
            <v>2343</v>
          </cell>
          <cell r="AK747">
            <v>0</v>
          </cell>
          <cell r="AM747">
            <v>781</v>
          </cell>
          <cell r="AN747">
            <v>1</v>
          </cell>
          <cell r="AO747">
            <v>393216</v>
          </cell>
          <cell r="AQ747">
            <v>0</v>
          </cell>
          <cell r="AR747">
            <v>0</v>
          </cell>
          <cell r="AS747" t="str">
            <v>Ы</v>
          </cell>
          <cell r="AT747" t="str">
            <v>Ы</v>
          </cell>
          <cell r="AU747">
            <v>0</v>
          </cell>
          <cell r="AV747">
            <v>0</v>
          </cell>
          <cell r="AW747">
            <v>23</v>
          </cell>
          <cell r="AX747">
            <v>1</v>
          </cell>
          <cell r="AY747">
            <v>0</v>
          </cell>
          <cell r="AZ747">
            <v>0</v>
          </cell>
          <cell r="BA747">
            <v>0</v>
          </cell>
          <cell r="BB747">
            <v>0</v>
          </cell>
          <cell r="BC747">
            <v>38888</v>
          </cell>
        </row>
        <row r="748">
          <cell r="A748">
            <v>2006</v>
          </cell>
          <cell r="B748">
            <v>5</v>
          </cell>
          <cell r="C748">
            <v>630</v>
          </cell>
          <cell r="D748">
            <v>16</v>
          </cell>
          <cell r="E748">
            <v>792030</v>
          </cell>
          <cell r="F748">
            <v>0</v>
          </cell>
          <cell r="G748" t="str">
            <v>Затраты по ШПЗ (неосновные)</v>
          </cell>
          <cell r="H748">
            <v>2030</v>
          </cell>
          <cell r="I748">
            <v>7920</v>
          </cell>
          <cell r="J748">
            <v>661.24</v>
          </cell>
          <cell r="K748">
            <v>1</v>
          </cell>
          <cell r="L748">
            <v>0</v>
          </cell>
          <cell r="M748">
            <v>0</v>
          </cell>
          <cell r="N748">
            <v>0</v>
          </cell>
          <cell r="R748">
            <v>0</v>
          </cell>
          <cell r="S748">
            <v>0</v>
          </cell>
          <cell r="T748">
            <v>0</v>
          </cell>
          <cell r="U748">
            <v>35</v>
          </cell>
          <cell r="V748">
            <v>0</v>
          </cell>
          <cell r="W748">
            <v>0</v>
          </cell>
          <cell r="AA748">
            <v>0</v>
          </cell>
          <cell r="AB748">
            <v>0</v>
          </cell>
          <cell r="AC748">
            <v>0</v>
          </cell>
          <cell r="AD748">
            <v>35</v>
          </cell>
          <cell r="AE748">
            <v>315000</v>
          </cell>
          <cell r="AF748">
            <v>0</v>
          </cell>
          <cell r="AI748">
            <v>2343</v>
          </cell>
          <cell r="AK748">
            <v>0</v>
          </cell>
          <cell r="AM748">
            <v>782</v>
          </cell>
          <cell r="AN748">
            <v>1</v>
          </cell>
          <cell r="AO748">
            <v>393216</v>
          </cell>
          <cell r="AQ748">
            <v>0</v>
          </cell>
          <cell r="AR748">
            <v>0</v>
          </cell>
          <cell r="AS748" t="str">
            <v>Ы</v>
          </cell>
          <cell r="AT748" t="str">
            <v>Ы</v>
          </cell>
          <cell r="AU748">
            <v>0</v>
          </cell>
          <cell r="AV748">
            <v>0</v>
          </cell>
          <cell r="AW748">
            <v>23</v>
          </cell>
          <cell r="AX748">
            <v>1</v>
          </cell>
          <cell r="AY748">
            <v>0</v>
          </cell>
          <cell r="AZ748">
            <v>0</v>
          </cell>
          <cell r="BA748">
            <v>0</v>
          </cell>
          <cell r="BB748">
            <v>0</v>
          </cell>
          <cell r="BC748">
            <v>38888</v>
          </cell>
        </row>
        <row r="749">
          <cell r="A749">
            <v>2006</v>
          </cell>
          <cell r="B749">
            <v>5</v>
          </cell>
          <cell r="C749">
            <v>631</v>
          </cell>
          <cell r="D749">
            <v>16</v>
          </cell>
          <cell r="E749">
            <v>792030</v>
          </cell>
          <cell r="F749">
            <v>0</v>
          </cell>
          <cell r="G749" t="str">
            <v>Затраты по ШПЗ (неосновные)</v>
          </cell>
          <cell r="H749">
            <v>2030</v>
          </cell>
          <cell r="I749">
            <v>7920</v>
          </cell>
          <cell r="J749">
            <v>1060.8599999999999</v>
          </cell>
          <cell r="K749">
            <v>1</v>
          </cell>
          <cell r="L749">
            <v>0</v>
          </cell>
          <cell r="M749">
            <v>0</v>
          </cell>
          <cell r="N749">
            <v>0</v>
          </cell>
          <cell r="R749">
            <v>0</v>
          </cell>
          <cell r="S749">
            <v>0</v>
          </cell>
          <cell r="T749">
            <v>0</v>
          </cell>
          <cell r="U749">
            <v>35</v>
          </cell>
          <cell r="V749">
            <v>0</v>
          </cell>
          <cell r="W749">
            <v>0</v>
          </cell>
          <cell r="AA749">
            <v>0</v>
          </cell>
          <cell r="AB749">
            <v>0</v>
          </cell>
          <cell r="AC749">
            <v>0</v>
          </cell>
          <cell r="AD749">
            <v>35</v>
          </cell>
          <cell r="AE749">
            <v>410000</v>
          </cell>
          <cell r="AF749">
            <v>0</v>
          </cell>
          <cell r="AI749">
            <v>2343</v>
          </cell>
          <cell r="AK749">
            <v>0</v>
          </cell>
          <cell r="AM749">
            <v>783</v>
          </cell>
          <cell r="AN749">
            <v>1</v>
          </cell>
          <cell r="AO749">
            <v>393216</v>
          </cell>
          <cell r="AQ749">
            <v>0</v>
          </cell>
          <cell r="AR749">
            <v>0</v>
          </cell>
          <cell r="AS749" t="str">
            <v>Ы</v>
          </cell>
          <cell r="AT749" t="str">
            <v>Ы</v>
          </cell>
          <cell r="AU749">
            <v>0</v>
          </cell>
          <cell r="AV749">
            <v>0</v>
          </cell>
          <cell r="AW749">
            <v>23</v>
          </cell>
          <cell r="AX749">
            <v>1</v>
          </cell>
          <cell r="AY749">
            <v>0</v>
          </cell>
          <cell r="AZ749">
            <v>0</v>
          </cell>
          <cell r="BA749">
            <v>0</v>
          </cell>
          <cell r="BB749">
            <v>0</v>
          </cell>
          <cell r="BC749">
            <v>38888</v>
          </cell>
        </row>
        <row r="750">
          <cell r="A750">
            <v>2006</v>
          </cell>
          <cell r="B750">
            <v>5</v>
          </cell>
          <cell r="C750">
            <v>632</v>
          </cell>
          <cell r="D750">
            <v>16</v>
          </cell>
          <cell r="E750">
            <v>792030</v>
          </cell>
          <cell r="F750">
            <v>0</v>
          </cell>
          <cell r="G750" t="str">
            <v>Затраты по ШПЗ (неосновные)</v>
          </cell>
          <cell r="H750">
            <v>2030</v>
          </cell>
          <cell r="I750">
            <v>7920</v>
          </cell>
          <cell r="J750">
            <v>7494.01</v>
          </cell>
          <cell r="K750">
            <v>1</v>
          </cell>
          <cell r="L750">
            <v>0</v>
          </cell>
          <cell r="M750">
            <v>0</v>
          </cell>
          <cell r="N750">
            <v>0</v>
          </cell>
          <cell r="R750">
            <v>0</v>
          </cell>
          <cell r="S750">
            <v>0</v>
          </cell>
          <cell r="T750">
            <v>0</v>
          </cell>
          <cell r="U750">
            <v>35</v>
          </cell>
          <cell r="V750">
            <v>0</v>
          </cell>
          <cell r="W750">
            <v>0</v>
          </cell>
          <cell r="AA750">
            <v>0</v>
          </cell>
          <cell r="AB750">
            <v>0</v>
          </cell>
          <cell r="AC750">
            <v>0</v>
          </cell>
          <cell r="AD750">
            <v>35</v>
          </cell>
          <cell r="AE750">
            <v>420000</v>
          </cell>
          <cell r="AF750">
            <v>0</v>
          </cell>
          <cell r="AI750">
            <v>2343</v>
          </cell>
          <cell r="AK750">
            <v>0</v>
          </cell>
          <cell r="AM750">
            <v>784</v>
          </cell>
          <cell r="AN750">
            <v>1</v>
          </cell>
          <cell r="AO750">
            <v>393216</v>
          </cell>
          <cell r="AQ750">
            <v>0</v>
          </cell>
          <cell r="AR750">
            <v>0</v>
          </cell>
          <cell r="AS750" t="str">
            <v>Ы</v>
          </cell>
          <cell r="AT750" t="str">
            <v>Ы</v>
          </cell>
          <cell r="AU750">
            <v>0</v>
          </cell>
          <cell r="AV750">
            <v>0</v>
          </cell>
          <cell r="AW750">
            <v>23</v>
          </cell>
          <cell r="AX750">
            <v>1</v>
          </cell>
          <cell r="AY750">
            <v>0</v>
          </cell>
          <cell r="AZ750">
            <v>0</v>
          </cell>
          <cell r="BA750">
            <v>0</v>
          </cell>
          <cell r="BB750">
            <v>0</v>
          </cell>
          <cell r="BC750">
            <v>38888</v>
          </cell>
        </row>
        <row r="751">
          <cell r="A751">
            <v>2006</v>
          </cell>
          <cell r="B751">
            <v>5</v>
          </cell>
          <cell r="C751">
            <v>633</v>
          </cell>
          <cell r="D751">
            <v>16</v>
          </cell>
          <cell r="E751">
            <v>792030</v>
          </cell>
          <cell r="F751">
            <v>0</v>
          </cell>
          <cell r="G751" t="str">
            <v>Затраты по ШПЗ (неосновные)</v>
          </cell>
          <cell r="H751">
            <v>2030</v>
          </cell>
          <cell r="I751">
            <v>7920</v>
          </cell>
          <cell r="J751">
            <v>172.47</v>
          </cell>
          <cell r="K751">
            <v>1</v>
          </cell>
          <cell r="L751">
            <v>0</v>
          </cell>
          <cell r="M751">
            <v>0</v>
          </cell>
          <cell r="N751">
            <v>0</v>
          </cell>
          <cell r="R751">
            <v>0</v>
          </cell>
          <cell r="S751">
            <v>0</v>
          </cell>
          <cell r="T751">
            <v>0</v>
          </cell>
          <cell r="U751">
            <v>35</v>
          </cell>
          <cell r="V751">
            <v>0</v>
          </cell>
          <cell r="W751">
            <v>0</v>
          </cell>
          <cell r="AA751">
            <v>0</v>
          </cell>
          <cell r="AB751">
            <v>0</v>
          </cell>
          <cell r="AC751">
            <v>0</v>
          </cell>
          <cell r="AD751">
            <v>35</v>
          </cell>
          <cell r="AE751">
            <v>430000</v>
          </cell>
          <cell r="AF751">
            <v>0</v>
          </cell>
          <cell r="AI751">
            <v>2343</v>
          </cell>
          <cell r="AK751">
            <v>0</v>
          </cell>
          <cell r="AM751">
            <v>785</v>
          </cell>
          <cell r="AN751">
            <v>1</v>
          </cell>
          <cell r="AO751">
            <v>393216</v>
          </cell>
          <cell r="AQ751">
            <v>0</v>
          </cell>
          <cell r="AR751">
            <v>0</v>
          </cell>
          <cell r="AS751" t="str">
            <v>Ы</v>
          </cell>
          <cell r="AT751" t="str">
            <v>Ы</v>
          </cell>
          <cell r="AU751">
            <v>0</v>
          </cell>
          <cell r="AV751">
            <v>0</v>
          </cell>
          <cell r="AW751">
            <v>23</v>
          </cell>
          <cell r="AX751">
            <v>1</v>
          </cell>
          <cell r="AY751">
            <v>0</v>
          </cell>
          <cell r="AZ751">
            <v>0</v>
          </cell>
          <cell r="BA751">
            <v>0</v>
          </cell>
          <cell r="BB751">
            <v>0</v>
          </cell>
          <cell r="BC751">
            <v>38888</v>
          </cell>
        </row>
        <row r="752">
          <cell r="A752">
            <v>2006</v>
          </cell>
          <cell r="B752">
            <v>5</v>
          </cell>
          <cell r="C752">
            <v>634</v>
          </cell>
          <cell r="D752">
            <v>16</v>
          </cell>
          <cell r="E752">
            <v>792030</v>
          </cell>
          <cell r="F752">
            <v>0</v>
          </cell>
          <cell r="G752" t="str">
            <v>Затраты по ШПЗ (неосновные)</v>
          </cell>
          <cell r="H752">
            <v>2030</v>
          </cell>
          <cell r="I752">
            <v>7920</v>
          </cell>
          <cell r="J752">
            <v>1198.6099999999999</v>
          </cell>
          <cell r="K752">
            <v>1</v>
          </cell>
          <cell r="L752">
            <v>0</v>
          </cell>
          <cell r="M752">
            <v>0</v>
          </cell>
          <cell r="N752">
            <v>0</v>
          </cell>
          <cell r="R752">
            <v>0</v>
          </cell>
          <cell r="S752">
            <v>0</v>
          </cell>
          <cell r="T752">
            <v>0</v>
          </cell>
          <cell r="U752">
            <v>35</v>
          </cell>
          <cell r="V752">
            <v>0</v>
          </cell>
          <cell r="W752">
            <v>0</v>
          </cell>
          <cell r="AA752">
            <v>0</v>
          </cell>
          <cell r="AB752">
            <v>0</v>
          </cell>
          <cell r="AC752">
            <v>0</v>
          </cell>
          <cell r="AD752">
            <v>35</v>
          </cell>
          <cell r="AE752">
            <v>430110</v>
          </cell>
          <cell r="AF752">
            <v>0</v>
          </cell>
          <cell r="AI752">
            <v>2343</v>
          </cell>
          <cell r="AK752">
            <v>0</v>
          </cell>
          <cell r="AM752">
            <v>786</v>
          </cell>
          <cell r="AN752">
            <v>1</v>
          </cell>
          <cell r="AO752">
            <v>393216</v>
          </cell>
          <cell r="AQ752">
            <v>0</v>
          </cell>
          <cell r="AR752">
            <v>0</v>
          </cell>
          <cell r="AS752" t="str">
            <v>Ы</v>
          </cell>
          <cell r="AT752" t="str">
            <v>Ы</v>
          </cell>
          <cell r="AU752">
            <v>0</v>
          </cell>
          <cell r="AV752">
            <v>0</v>
          </cell>
          <cell r="AW752">
            <v>23</v>
          </cell>
          <cell r="AX752">
            <v>1</v>
          </cell>
          <cell r="AY752">
            <v>0</v>
          </cell>
          <cell r="AZ752">
            <v>0</v>
          </cell>
          <cell r="BA752">
            <v>0</v>
          </cell>
          <cell r="BB752">
            <v>0</v>
          </cell>
          <cell r="BC752">
            <v>38888</v>
          </cell>
        </row>
        <row r="753">
          <cell r="A753">
            <v>2006</v>
          </cell>
          <cell r="B753">
            <v>5</v>
          </cell>
          <cell r="C753">
            <v>635</v>
          </cell>
          <cell r="D753">
            <v>16</v>
          </cell>
          <cell r="E753">
            <v>792030</v>
          </cell>
          <cell r="F753">
            <v>0</v>
          </cell>
          <cell r="G753" t="str">
            <v>Затраты по ШПЗ (неосновные)</v>
          </cell>
          <cell r="H753">
            <v>2030</v>
          </cell>
          <cell r="I753">
            <v>7920</v>
          </cell>
          <cell r="J753">
            <v>416.2</v>
          </cell>
          <cell r="K753">
            <v>1</v>
          </cell>
          <cell r="L753">
            <v>0</v>
          </cell>
          <cell r="M753">
            <v>0</v>
          </cell>
          <cell r="N753">
            <v>0</v>
          </cell>
          <cell r="R753">
            <v>0</v>
          </cell>
          <cell r="S753">
            <v>0</v>
          </cell>
          <cell r="T753">
            <v>0</v>
          </cell>
          <cell r="U753">
            <v>35</v>
          </cell>
          <cell r="V753">
            <v>0</v>
          </cell>
          <cell r="W753">
            <v>0</v>
          </cell>
          <cell r="AA753">
            <v>0</v>
          </cell>
          <cell r="AB753">
            <v>0</v>
          </cell>
          <cell r="AC753">
            <v>0</v>
          </cell>
          <cell r="AD753">
            <v>35</v>
          </cell>
          <cell r="AE753">
            <v>430120</v>
          </cell>
          <cell r="AF753">
            <v>0</v>
          </cell>
          <cell r="AI753">
            <v>2343</v>
          </cell>
          <cell r="AK753">
            <v>0</v>
          </cell>
          <cell r="AM753">
            <v>787</v>
          </cell>
          <cell r="AN753">
            <v>1</v>
          </cell>
          <cell r="AO753">
            <v>393216</v>
          </cell>
          <cell r="AQ753">
            <v>0</v>
          </cell>
          <cell r="AR753">
            <v>0</v>
          </cell>
          <cell r="AS753" t="str">
            <v>Ы</v>
          </cell>
          <cell r="AT753" t="str">
            <v>Ы</v>
          </cell>
          <cell r="AU753">
            <v>0</v>
          </cell>
          <cell r="AV753">
            <v>0</v>
          </cell>
          <cell r="AW753">
            <v>23</v>
          </cell>
          <cell r="AX753">
            <v>1</v>
          </cell>
          <cell r="AY753">
            <v>0</v>
          </cell>
          <cell r="AZ753">
            <v>0</v>
          </cell>
          <cell r="BA753">
            <v>0</v>
          </cell>
          <cell r="BB753">
            <v>0</v>
          </cell>
          <cell r="BC753">
            <v>38888</v>
          </cell>
        </row>
        <row r="754">
          <cell r="A754">
            <v>2006</v>
          </cell>
          <cell r="B754">
            <v>5</v>
          </cell>
          <cell r="C754">
            <v>636</v>
          </cell>
          <cell r="D754">
            <v>16</v>
          </cell>
          <cell r="E754">
            <v>792030</v>
          </cell>
          <cell r="F754">
            <v>0</v>
          </cell>
          <cell r="G754" t="str">
            <v>Затраты по ШПЗ (неосновные)</v>
          </cell>
          <cell r="H754">
            <v>2030</v>
          </cell>
          <cell r="I754">
            <v>7920</v>
          </cell>
          <cell r="J754">
            <v>1860.28</v>
          </cell>
          <cell r="K754">
            <v>1</v>
          </cell>
          <cell r="L754">
            <v>0</v>
          </cell>
          <cell r="M754">
            <v>0</v>
          </cell>
          <cell r="N754">
            <v>0</v>
          </cell>
          <cell r="R754">
            <v>0</v>
          </cell>
          <cell r="S754">
            <v>0</v>
          </cell>
          <cell r="T754">
            <v>0</v>
          </cell>
          <cell r="U754">
            <v>35</v>
          </cell>
          <cell r="V754">
            <v>0</v>
          </cell>
          <cell r="W754">
            <v>0</v>
          </cell>
          <cell r="AA754">
            <v>0</v>
          </cell>
          <cell r="AB754">
            <v>0</v>
          </cell>
          <cell r="AC754">
            <v>0</v>
          </cell>
          <cell r="AD754">
            <v>35</v>
          </cell>
          <cell r="AE754">
            <v>430130</v>
          </cell>
          <cell r="AF754">
            <v>0</v>
          </cell>
          <cell r="AI754">
            <v>2343</v>
          </cell>
          <cell r="AK754">
            <v>0</v>
          </cell>
          <cell r="AM754">
            <v>788</v>
          </cell>
          <cell r="AN754">
            <v>1</v>
          </cell>
          <cell r="AO754">
            <v>393216</v>
          </cell>
          <cell r="AQ754">
            <v>0</v>
          </cell>
          <cell r="AR754">
            <v>0</v>
          </cell>
          <cell r="AS754" t="str">
            <v>Ы</v>
          </cell>
          <cell r="AT754" t="str">
            <v>Ы</v>
          </cell>
          <cell r="AU754">
            <v>0</v>
          </cell>
          <cell r="AV754">
            <v>0</v>
          </cell>
          <cell r="AW754">
            <v>23</v>
          </cell>
          <cell r="AX754">
            <v>1</v>
          </cell>
          <cell r="AY754">
            <v>0</v>
          </cell>
          <cell r="AZ754">
            <v>0</v>
          </cell>
          <cell r="BA754">
            <v>0</v>
          </cell>
          <cell r="BB754">
            <v>0</v>
          </cell>
          <cell r="BC754">
            <v>38888</v>
          </cell>
        </row>
        <row r="755">
          <cell r="A755">
            <v>2006</v>
          </cell>
          <cell r="B755">
            <v>5</v>
          </cell>
          <cell r="C755">
            <v>637</v>
          </cell>
          <cell r="D755">
            <v>16</v>
          </cell>
          <cell r="E755">
            <v>792030</v>
          </cell>
          <cell r="F755">
            <v>0</v>
          </cell>
          <cell r="G755" t="str">
            <v>Затраты по ШПЗ (неосновные)</v>
          </cell>
          <cell r="H755">
            <v>2030</v>
          </cell>
          <cell r="I755">
            <v>7920</v>
          </cell>
          <cell r="J755">
            <v>1655.23</v>
          </cell>
          <cell r="K755">
            <v>1</v>
          </cell>
          <cell r="L755">
            <v>0</v>
          </cell>
          <cell r="M755">
            <v>0</v>
          </cell>
          <cell r="N755">
            <v>0</v>
          </cell>
          <cell r="R755">
            <v>0</v>
          </cell>
          <cell r="S755">
            <v>0</v>
          </cell>
          <cell r="T755">
            <v>0</v>
          </cell>
          <cell r="U755">
            <v>35</v>
          </cell>
          <cell r="V755">
            <v>0</v>
          </cell>
          <cell r="W755">
            <v>0</v>
          </cell>
          <cell r="AA755">
            <v>0</v>
          </cell>
          <cell r="AB755">
            <v>0</v>
          </cell>
          <cell r="AC755">
            <v>0</v>
          </cell>
          <cell r="AD755">
            <v>35</v>
          </cell>
          <cell r="AE755">
            <v>430140</v>
          </cell>
          <cell r="AF755">
            <v>0</v>
          </cell>
          <cell r="AI755">
            <v>2343</v>
          </cell>
          <cell r="AK755">
            <v>0</v>
          </cell>
          <cell r="AM755">
            <v>789</v>
          </cell>
          <cell r="AN755">
            <v>1</v>
          </cell>
          <cell r="AO755">
            <v>393216</v>
          </cell>
          <cell r="AQ755">
            <v>0</v>
          </cell>
          <cell r="AR755">
            <v>0</v>
          </cell>
          <cell r="AS755" t="str">
            <v>Ы</v>
          </cell>
          <cell r="AT755" t="str">
            <v>Ы</v>
          </cell>
          <cell r="AU755">
            <v>0</v>
          </cell>
          <cell r="AV755">
            <v>0</v>
          </cell>
          <cell r="AW755">
            <v>23</v>
          </cell>
          <cell r="AX755">
            <v>1</v>
          </cell>
          <cell r="AY755">
            <v>0</v>
          </cell>
          <cell r="AZ755">
            <v>0</v>
          </cell>
          <cell r="BA755">
            <v>0</v>
          </cell>
          <cell r="BB755">
            <v>0</v>
          </cell>
          <cell r="BC755">
            <v>38888</v>
          </cell>
        </row>
        <row r="756">
          <cell r="A756">
            <v>2006</v>
          </cell>
          <cell r="B756">
            <v>5</v>
          </cell>
          <cell r="C756">
            <v>638</v>
          </cell>
          <cell r="D756">
            <v>16</v>
          </cell>
          <cell r="E756">
            <v>792030</v>
          </cell>
          <cell r="F756">
            <v>0</v>
          </cell>
          <cell r="G756" t="str">
            <v>Затраты по ШПЗ (неосновные)</v>
          </cell>
          <cell r="H756">
            <v>2030</v>
          </cell>
          <cell r="I756">
            <v>7920</v>
          </cell>
          <cell r="J756">
            <v>5.24</v>
          </cell>
          <cell r="K756">
            <v>1</v>
          </cell>
          <cell r="L756">
            <v>0</v>
          </cell>
          <cell r="M756">
            <v>0</v>
          </cell>
          <cell r="N756">
            <v>0</v>
          </cell>
          <cell r="R756">
            <v>0</v>
          </cell>
          <cell r="S756">
            <v>0</v>
          </cell>
          <cell r="T756">
            <v>0</v>
          </cell>
          <cell r="U756">
            <v>35</v>
          </cell>
          <cell r="V756">
            <v>0</v>
          </cell>
          <cell r="W756">
            <v>0</v>
          </cell>
          <cell r="AA756">
            <v>0</v>
          </cell>
          <cell r="AB756">
            <v>0</v>
          </cell>
          <cell r="AC756">
            <v>0</v>
          </cell>
          <cell r="AD756">
            <v>35</v>
          </cell>
          <cell r="AE756">
            <v>430230</v>
          </cell>
          <cell r="AF756">
            <v>0</v>
          </cell>
          <cell r="AI756">
            <v>2343</v>
          </cell>
          <cell r="AK756">
            <v>0</v>
          </cell>
          <cell r="AM756">
            <v>790</v>
          </cell>
          <cell r="AN756">
            <v>1</v>
          </cell>
          <cell r="AO756">
            <v>393216</v>
          </cell>
          <cell r="AQ756">
            <v>0</v>
          </cell>
          <cell r="AR756">
            <v>0</v>
          </cell>
          <cell r="AS756" t="str">
            <v>Ы</v>
          </cell>
          <cell r="AT756" t="str">
            <v>Ы</v>
          </cell>
          <cell r="AU756">
            <v>0</v>
          </cell>
          <cell r="AV756">
            <v>0</v>
          </cell>
          <cell r="AW756">
            <v>23</v>
          </cell>
          <cell r="AX756">
            <v>1</v>
          </cell>
          <cell r="AY756">
            <v>0</v>
          </cell>
          <cell r="AZ756">
            <v>0</v>
          </cell>
          <cell r="BA756">
            <v>0</v>
          </cell>
          <cell r="BB756">
            <v>0</v>
          </cell>
          <cell r="BC756">
            <v>38888</v>
          </cell>
        </row>
        <row r="757">
          <cell r="A757">
            <v>2006</v>
          </cell>
          <cell r="B757">
            <v>5</v>
          </cell>
          <cell r="C757">
            <v>639</v>
          </cell>
          <cell r="D757">
            <v>16</v>
          </cell>
          <cell r="E757">
            <v>792030</v>
          </cell>
          <cell r="F757">
            <v>0</v>
          </cell>
          <cell r="G757" t="str">
            <v>Затраты по ШПЗ (неосновные)</v>
          </cell>
          <cell r="H757">
            <v>2030</v>
          </cell>
          <cell r="I757">
            <v>7920</v>
          </cell>
          <cell r="J757">
            <v>115.56</v>
          </cell>
          <cell r="K757">
            <v>1</v>
          </cell>
          <cell r="L757">
            <v>0</v>
          </cell>
          <cell r="M757">
            <v>0</v>
          </cell>
          <cell r="N757">
            <v>0</v>
          </cell>
          <cell r="R757">
            <v>0</v>
          </cell>
          <cell r="S757">
            <v>0</v>
          </cell>
          <cell r="T757">
            <v>0</v>
          </cell>
          <cell r="U757">
            <v>35</v>
          </cell>
          <cell r="V757">
            <v>0</v>
          </cell>
          <cell r="W757">
            <v>0</v>
          </cell>
          <cell r="AA757">
            <v>0</v>
          </cell>
          <cell r="AB757">
            <v>0</v>
          </cell>
          <cell r="AC757">
            <v>0</v>
          </cell>
          <cell r="AD757">
            <v>35</v>
          </cell>
          <cell r="AE757">
            <v>430240</v>
          </cell>
          <cell r="AF757">
            <v>0</v>
          </cell>
          <cell r="AI757">
            <v>2343</v>
          </cell>
          <cell r="AK757">
            <v>0</v>
          </cell>
          <cell r="AM757">
            <v>791</v>
          </cell>
          <cell r="AN757">
            <v>1</v>
          </cell>
          <cell r="AO757">
            <v>393216</v>
          </cell>
          <cell r="AQ757">
            <v>0</v>
          </cell>
          <cell r="AR757">
            <v>0</v>
          </cell>
          <cell r="AS757" t="str">
            <v>Ы</v>
          </cell>
          <cell r="AT757" t="str">
            <v>Ы</v>
          </cell>
          <cell r="AU757">
            <v>0</v>
          </cell>
          <cell r="AV757">
            <v>0</v>
          </cell>
          <cell r="AW757">
            <v>23</v>
          </cell>
          <cell r="AX757">
            <v>1</v>
          </cell>
          <cell r="AY757">
            <v>0</v>
          </cell>
          <cell r="AZ757">
            <v>0</v>
          </cell>
          <cell r="BA757">
            <v>0</v>
          </cell>
          <cell r="BB757">
            <v>0</v>
          </cell>
          <cell r="BC757">
            <v>38888</v>
          </cell>
        </row>
        <row r="758">
          <cell r="A758">
            <v>2006</v>
          </cell>
          <cell r="B758">
            <v>5</v>
          </cell>
          <cell r="C758">
            <v>640</v>
          </cell>
          <cell r="D758">
            <v>16</v>
          </cell>
          <cell r="E758">
            <v>792030</v>
          </cell>
          <cell r="F758">
            <v>0</v>
          </cell>
          <cell r="G758" t="str">
            <v>Затраты по ШПЗ (неосновные)</v>
          </cell>
          <cell r="H758">
            <v>2030</v>
          </cell>
          <cell r="I758">
            <v>7920</v>
          </cell>
          <cell r="J758">
            <v>1434.94</v>
          </cell>
          <cell r="K758">
            <v>1</v>
          </cell>
          <cell r="L758">
            <v>0</v>
          </cell>
          <cell r="M758">
            <v>0</v>
          </cell>
          <cell r="N758">
            <v>0</v>
          </cell>
          <cell r="R758">
            <v>0</v>
          </cell>
          <cell r="S758">
            <v>0</v>
          </cell>
          <cell r="T758">
            <v>0</v>
          </cell>
          <cell r="U758">
            <v>35</v>
          </cell>
          <cell r="V758">
            <v>0</v>
          </cell>
          <cell r="W758">
            <v>0</v>
          </cell>
          <cell r="AA758">
            <v>0</v>
          </cell>
          <cell r="AB758">
            <v>0</v>
          </cell>
          <cell r="AC758">
            <v>0</v>
          </cell>
          <cell r="AD758">
            <v>35</v>
          </cell>
          <cell r="AE758">
            <v>450000</v>
          </cell>
          <cell r="AF758">
            <v>0</v>
          </cell>
          <cell r="AI758">
            <v>2343</v>
          </cell>
          <cell r="AK758">
            <v>0</v>
          </cell>
          <cell r="AM758">
            <v>792</v>
          </cell>
          <cell r="AN758">
            <v>1</v>
          </cell>
          <cell r="AO758">
            <v>393216</v>
          </cell>
          <cell r="AQ758">
            <v>0</v>
          </cell>
          <cell r="AR758">
            <v>0</v>
          </cell>
          <cell r="AS758" t="str">
            <v>Ы</v>
          </cell>
          <cell r="AT758" t="str">
            <v>Ы</v>
          </cell>
          <cell r="AU758">
            <v>0</v>
          </cell>
          <cell r="AV758">
            <v>0</v>
          </cell>
          <cell r="AW758">
            <v>23</v>
          </cell>
          <cell r="AX758">
            <v>1</v>
          </cell>
          <cell r="AY758">
            <v>0</v>
          </cell>
          <cell r="AZ758">
            <v>0</v>
          </cell>
          <cell r="BA758">
            <v>0</v>
          </cell>
          <cell r="BB758">
            <v>0</v>
          </cell>
          <cell r="BC758">
            <v>38888</v>
          </cell>
        </row>
        <row r="759">
          <cell r="A759">
            <v>2006</v>
          </cell>
          <cell r="B759">
            <v>5</v>
          </cell>
          <cell r="C759">
            <v>641</v>
          </cell>
          <cell r="D759">
            <v>16</v>
          </cell>
          <cell r="E759">
            <v>792030</v>
          </cell>
          <cell r="F759">
            <v>0</v>
          </cell>
          <cell r="G759" t="str">
            <v>Затраты по ШПЗ (неосновные)</v>
          </cell>
          <cell r="H759">
            <v>2030</v>
          </cell>
          <cell r="I759">
            <v>7920</v>
          </cell>
          <cell r="J759">
            <v>145.84</v>
          </cell>
          <cell r="K759">
            <v>1</v>
          </cell>
          <cell r="L759">
            <v>0</v>
          </cell>
          <cell r="M759">
            <v>0</v>
          </cell>
          <cell r="N759">
            <v>0</v>
          </cell>
          <cell r="R759">
            <v>0</v>
          </cell>
          <cell r="S759">
            <v>0</v>
          </cell>
          <cell r="T759">
            <v>0</v>
          </cell>
          <cell r="U759">
            <v>35</v>
          </cell>
          <cell r="V759">
            <v>0</v>
          </cell>
          <cell r="W759">
            <v>0</v>
          </cell>
          <cell r="AA759">
            <v>0</v>
          </cell>
          <cell r="AB759">
            <v>0</v>
          </cell>
          <cell r="AC759">
            <v>0</v>
          </cell>
          <cell r="AD759">
            <v>35</v>
          </cell>
          <cell r="AE759">
            <v>460000</v>
          </cell>
          <cell r="AF759">
            <v>0</v>
          </cell>
          <cell r="AI759">
            <v>2343</v>
          </cell>
          <cell r="AK759">
            <v>0</v>
          </cell>
          <cell r="AM759">
            <v>793</v>
          </cell>
          <cell r="AN759">
            <v>1</v>
          </cell>
          <cell r="AO759">
            <v>393216</v>
          </cell>
          <cell r="AQ759">
            <v>0</v>
          </cell>
          <cell r="AR759">
            <v>0</v>
          </cell>
          <cell r="AS759" t="str">
            <v>Ы</v>
          </cell>
          <cell r="AT759" t="str">
            <v>Ы</v>
          </cell>
          <cell r="AU759">
            <v>0</v>
          </cell>
          <cell r="AV759">
            <v>0</v>
          </cell>
          <cell r="AW759">
            <v>23</v>
          </cell>
          <cell r="AX759">
            <v>1</v>
          </cell>
          <cell r="AY759">
            <v>0</v>
          </cell>
          <cell r="AZ759">
            <v>0</v>
          </cell>
          <cell r="BA759">
            <v>0</v>
          </cell>
          <cell r="BB759">
            <v>0</v>
          </cell>
          <cell r="BC759">
            <v>38888</v>
          </cell>
        </row>
        <row r="760">
          <cell r="A760">
            <v>2006</v>
          </cell>
          <cell r="B760">
            <v>5</v>
          </cell>
          <cell r="C760">
            <v>642</v>
          </cell>
          <cell r="D760">
            <v>16</v>
          </cell>
          <cell r="E760">
            <v>792030</v>
          </cell>
          <cell r="F760">
            <v>0</v>
          </cell>
          <cell r="G760" t="str">
            <v>Затраты по ШПЗ (неосновные)</v>
          </cell>
          <cell r="H760">
            <v>2030</v>
          </cell>
          <cell r="I760">
            <v>7920</v>
          </cell>
          <cell r="J760">
            <v>60.85</v>
          </cell>
          <cell r="K760">
            <v>1</v>
          </cell>
          <cell r="L760">
            <v>0</v>
          </cell>
          <cell r="M760">
            <v>0</v>
          </cell>
          <cell r="N760">
            <v>0</v>
          </cell>
          <cell r="R760">
            <v>0</v>
          </cell>
          <cell r="S760">
            <v>0</v>
          </cell>
          <cell r="T760">
            <v>0</v>
          </cell>
          <cell r="U760">
            <v>35</v>
          </cell>
          <cell r="V760">
            <v>0</v>
          </cell>
          <cell r="W760">
            <v>0</v>
          </cell>
          <cell r="AA760">
            <v>0</v>
          </cell>
          <cell r="AB760">
            <v>0</v>
          </cell>
          <cell r="AC760">
            <v>0</v>
          </cell>
          <cell r="AD760">
            <v>35</v>
          </cell>
          <cell r="AE760">
            <v>465000</v>
          </cell>
          <cell r="AF760">
            <v>0</v>
          </cell>
          <cell r="AI760">
            <v>2343</v>
          </cell>
          <cell r="AK760">
            <v>0</v>
          </cell>
          <cell r="AM760">
            <v>794</v>
          </cell>
          <cell r="AN760">
            <v>1</v>
          </cell>
          <cell r="AO760">
            <v>393216</v>
          </cell>
          <cell r="AQ760">
            <v>0</v>
          </cell>
          <cell r="AR760">
            <v>0</v>
          </cell>
          <cell r="AS760" t="str">
            <v>Ы</v>
          </cell>
          <cell r="AT760" t="str">
            <v>Ы</v>
          </cell>
          <cell r="AU760">
            <v>0</v>
          </cell>
          <cell r="AV760">
            <v>0</v>
          </cell>
          <cell r="AW760">
            <v>23</v>
          </cell>
          <cell r="AX760">
            <v>1</v>
          </cell>
          <cell r="AY760">
            <v>0</v>
          </cell>
          <cell r="AZ760">
            <v>0</v>
          </cell>
          <cell r="BA760">
            <v>0</v>
          </cell>
          <cell r="BB760">
            <v>0</v>
          </cell>
          <cell r="BC760">
            <v>38888</v>
          </cell>
        </row>
        <row r="761">
          <cell r="A761">
            <v>2006</v>
          </cell>
          <cell r="B761">
            <v>5</v>
          </cell>
          <cell r="C761">
            <v>643</v>
          </cell>
          <cell r="D761">
            <v>16</v>
          </cell>
          <cell r="E761">
            <v>792030</v>
          </cell>
          <cell r="F761">
            <v>0</v>
          </cell>
          <cell r="G761" t="str">
            <v>Затраты по ШПЗ (неосновные)</v>
          </cell>
          <cell r="H761">
            <v>2030</v>
          </cell>
          <cell r="I761">
            <v>7920</v>
          </cell>
          <cell r="J761">
            <v>0.37</v>
          </cell>
          <cell r="K761">
            <v>1</v>
          </cell>
          <cell r="L761">
            <v>0</v>
          </cell>
          <cell r="M761">
            <v>0</v>
          </cell>
          <cell r="N761">
            <v>0</v>
          </cell>
          <cell r="R761">
            <v>0</v>
          </cell>
          <cell r="S761">
            <v>0</v>
          </cell>
          <cell r="T761">
            <v>0</v>
          </cell>
          <cell r="U761">
            <v>35</v>
          </cell>
          <cell r="V761">
            <v>0</v>
          </cell>
          <cell r="W761">
            <v>0</v>
          </cell>
          <cell r="AA761">
            <v>0</v>
          </cell>
          <cell r="AB761">
            <v>0</v>
          </cell>
          <cell r="AC761">
            <v>0</v>
          </cell>
          <cell r="AD761">
            <v>35</v>
          </cell>
          <cell r="AE761">
            <v>501105</v>
          </cell>
          <cell r="AF761">
            <v>0</v>
          </cell>
          <cell r="AI761">
            <v>2343</v>
          </cell>
          <cell r="AK761">
            <v>0</v>
          </cell>
          <cell r="AM761">
            <v>795</v>
          </cell>
          <cell r="AN761">
            <v>1</v>
          </cell>
          <cell r="AO761">
            <v>393216</v>
          </cell>
          <cell r="AQ761">
            <v>0</v>
          </cell>
          <cell r="AR761">
            <v>0</v>
          </cell>
          <cell r="AS761" t="str">
            <v>Ы</v>
          </cell>
          <cell r="AT761" t="str">
            <v>Ы</v>
          </cell>
          <cell r="AU761">
            <v>0</v>
          </cell>
          <cell r="AV761">
            <v>0</v>
          </cell>
          <cell r="AW761">
            <v>23</v>
          </cell>
          <cell r="AX761">
            <v>1</v>
          </cell>
          <cell r="AY761">
            <v>0</v>
          </cell>
          <cell r="AZ761">
            <v>0</v>
          </cell>
          <cell r="BA761">
            <v>0</v>
          </cell>
          <cell r="BB761">
            <v>0</v>
          </cell>
          <cell r="BC761">
            <v>38888</v>
          </cell>
        </row>
        <row r="762">
          <cell r="A762">
            <v>2006</v>
          </cell>
          <cell r="B762">
            <v>5</v>
          </cell>
          <cell r="C762">
            <v>644</v>
          </cell>
          <cell r="D762">
            <v>16</v>
          </cell>
          <cell r="E762">
            <v>792030</v>
          </cell>
          <cell r="F762">
            <v>0</v>
          </cell>
          <cell r="G762" t="str">
            <v>Затраты по ШПЗ (неосновные)</v>
          </cell>
          <cell r="H762">
            <v>2030</v>
          </cell>
          <cell r="I762">
            <v>7920</v>
          </cell>
          <cell r="J762">
            <v>2905.81</v>
          </cell>
          <cell r="K762">
            <v>1</v>
          </cell>
          <cell r="L762">
            <v>0</v>
          </cell>
          <cell r="M762">
            <v>0</v>
          </cell>
          <cell r="N762">
            <v>0</v>
          </cell>
          <cell r="R762">
            <v>0</v>
          </cell>
          <cell r="S762">
            <v>0</v>
          </cell>
          <cell r="T762">
            <v>0</v>
          </cell>
          <cell r="U762">
            <v>35</v>
          </cell>
          <cell r="V762">
            <v>0</v>
          </cell>
          <cell r="W762">
            <v>0</v>
          </cell>
          <cell r="AA762">
            <v>0</v>
          </cell>
          <cell r="AB762">
            <v>0</v>
          </cell>
          <cell r="AC762">
            <v>0</v>
          </cell>
          <cell r="AD762">
            <v>35</v>
          </cell>
          <cell r="AE762">
            <v>503000</v>
          </cell>
          <cell r="AF762">
            <v>0</v>
          </cell>
          <cell r="AI762">
            <v>2343</v>
          </cell>
          <cell r="AK762">
            <v>0</v>
          </cell>
          <cell r="AM762">
            <v>796</v>
          </cell>
          <cell r="AN762">
            <v>1</v>
          </cell>
          <cell r="AO762">
            <v>393216</v>
          </cell>
          <cell r="AQ762">
            <v>0</v>
          </cell>
          <cell r="AR762">
            <v>0</v>
          </cell>
          <cell r="AS762" t="str">
            <v>Ы</v>
          </cell>
          <cell r="AT762" t="str">
            <v>Ы</v>
          </cell>
          <cell r="AU762">
            <v>0</v>
          </cell>
          <cell r="AV762">
            <v>0</v>
          </cell>
          <cell r="AW762">
            <v>23</v>
          </cell>
          <cell r="AX762">
            <v>1</v>
          </cell>
          <cell r="AY762">
            <v>0</v>
          </cell>
          <cell r="AZ762">
            <v>0</v>
          </cell>
          <cell r="BA762">
            <v>0</v>
          </cell>
          <cell r="BB762">
            <v>0</v>
          </cell>
          <cell r="BC762">
            <v>38888</v>
          </cell>
        </row>
        <row r="763">
          <cell r="A763">
            <v>2006</v>
          </cell>
          <cell r="B763">
            <v>5</v>
          </cell>
          <cell r="C763">
            <v>645</v>
          </cell>
          <cell r="D763">
            <v>16</v>
          </cell>
          <cell r="E763">
            <v>792030</v>
          </cell>
          <cell r="F763">
            <v>0</v>
          </cell>
          <cell r="G763" t="str">
            <v>Затраты по ШПЗ (неосновные)</v>
          </cell>
          <cell r="H763">
            <v>2030</v>
          </cell>
          <cell r="I763">
            <v>7920</v>
          </cell>
          <cell r="J763">
            <v>78.98</v>
          </cell>
          <cell r="K763">
            <v>1</v>
          </cell>
          <cell r="L763">
            <v>0</v>
          </cell>
          <cell r="M763">
            <v>0</v>
          </cell>
          <cell r="N763">
            <v>0</v>
          </cell>
          <cell r="R763">
            <v>0</v>
          </cell>
          <cell r="S763">
            <v>0</v>
          </cell>
          <cell r="T763">
            <v>0</v>
          </cell>
          <cell r="U763">
            <v>35</v>
          </cell>
          <cell r="V763">
            <v>0</v>
          </cell>
          <cell r="W763">
            <v>0</v>
          </cell>
          <cell r="AA763">
            <v>0</v>
          </cell>
          <cell r="AB763">
            <v>0</v>
          </cell>
          <cell r="AC763">
            <v>0</v>
          </cell>
          <cell r="AD763">
            <v>35</v>
          </cell>
          <cell r="AE763">
            <v>504100</v>
          </cell>
          <cell r="AF763">
            <v>0</v>
          </cell>
          <cell r="AI763">
            <v>2343</v>
          </cell>
          <cell r="AK763">
            <v>0</v>
          </cell>
          <cell r="AM763">
            <v>797</v>
          </cell>
          <cell r="AN763">
            <v>1</v>
          </cell>
          <cell r="AO763">
            <v>393216</v>
          </cell>
          <cell r="AQ763">
            <v>0</v>
          </cell>
          <cell r="AR763">
            <v>0</v>
          </cell>
          <cell r="AS763" t="str">
            <v>Ы</v>
          </cell>
          <cell r="AT763" t="str">
            <v>Ы</v>
          </cell>
          <cell r="AU763">
            <v>0</v>
          </cell>
          <cell r="AV763">
            <v>0</v>
          </cell>
          <cell r="AW763">
            <v>23</v>
          </cell>
          <cell r="AX763">
            <v>1</v>
          </cell>
          <cell r="AY763">
            <v>0</v>
          </cell>
          <cell r="AZ763">
            <v>0</v>
          </cell>
          <cell r="BA763">
            <v>0</v>
          </cell>
          <cell r="BB763">
            <v>0</v>
          </cell>
          <cell r="BC763">
            <v>38888</v>
          </cell>
        </row>
        <row r="764">
          <cell r="A764">
            <v>2006</v>
          </cell>
          <cell r="B764">
            <v>5</v>
          </cell>
          <cell r="C764">
            <v>646</v>
          </cell>
          <cell r="D764">
            <v>16</v>
          </cell>
          <cell r="E764">
            <v>792030</v>
          </cell>
          <cell r="F764">
            <v>0</v>
          </cell>
          <cell r="G764" t="str">
            <v>Затраты по ШПЗ (неосновные)</v>
          </cell>
          <cell r="H764">
            <v>2030</v>
          </cell>
          <cell r="I764">
            <v>7920</v>
          </cell>
          <cell r="J764">
            <v>365.87</v>
          </cell>
          <cell r="K764">
            <v>1</v>
          </cell>
          <cell r="L764">
            <v>0</v>
          </cell>
          <cell r="M764">
            <v>0</v>
          </cell>
          <cell r="N764">
            <v>0</v>
          </cell>
          <cell r="R764">
            <v>0</v>
          </cell>
          <cell r="S764">
            <v>0</v>
          </cell>
          <cell r="T764">
            <v>0</v>
          </cell>
          <cell r="U764">
            <v>35</v>
          </cell>
          <cell r="V764">
            <v>0</v>
          </cell>
          <cell r="W764">
            <v>0</v>
          </cell>
          <cell r="AA764">
            <v>0</v>
          </cell>
          <cell r="AB764">
            <v>0</v>
          </cell>
          <cell r="AC764">
            <v>0</v>
          </cell>
          <cell r="AD764">
            <v>35</v>
          </cell>
          <cell r="AE764">
            <v>504200</v>
          </cell>
          <cell r="AF764">
            <v>0</v>
          </cell>
          <cell r="AI764">
            <v>2343</v>
          </cell>
          <cell r="AK764">
            <v>0</v>
          </cell>
          <cell r="AM764">
            <v>798</v>
          </cell>
          <cell r="AN764">
            <v>1</v>
          </cell>
          <cell r="AO764">
            <v>393216</v>
          </cell>
          <cell r="AQ764">
            <v>0</v>
          </cell>
          <cell r="AR764">
            <v>0</v>
          </cell>
          <cell r="AS764" t="str">
            <v>Ы</v>
          </cell>
          <cell r="AT764" t="str">
            <v>Ы</v>
          </cell>
          <cell r="AU764">
            <v>0</v>
          </cell>
          <cell r="AV764">
            <v>0</v>
          </cell>
          <cell r="AW764">
            <v>23</v>
          </cell>
          <cell r="AX764">
            <v>1</v>
          </cell>
          <cell r="AY764">
            <v>0</v>
          </cell>
          <cell r="AZ764">
            <v>0</v>
          </cell>
          <cell r="BA764">
            <v>0</v>
          </cell>
          <cell r="BB764">
            <v>0</v>
          </cell>
          <cell r="BC764">
            <v>38888</v>
          </cell>
        </row>
        <row r="765">
          <cell r="A765">
            <v>2006</v>
          </cell>
          <cell r="B765">
            <v>5</v>
          </cell>
          <cell r="C765">
            <v>647</v>
          </cell>
          <cell r="D765">
            <v>16</v>
          </cell>
          <cell r="E765">
            <v>792030</v>
          </cell>
          <cell r="F765">
            <v>0</v>
          </cell>
          <cell r="G765" t="str">
            <v>Затраты по ШПЗ (неосновные)</v>
          </cell>
          <cell r="H765">
            <v>2030</v>
          </cell>
          <cell r="I765">
            <v>7920</v>
          </cell>
          <cell r="J765">
            <v>366.12</v>
          </cell>
          <cell r="K765">
            <v>1</v>
          </cell>
          <cell r="L765">
            <v>0</v>
          </cell>
          <cell r="M765">
            <v>0</v>
          </cell>
          <cell r="N765">
            <v>0</v>
          </cell>
          <cell r="R765">
            <v>0</v>
          </cell>
          <cell r="S765">
            <v>0</v>
          </cell>
          <cell r="T765">
            <v>0</v>
          </cell>
          <cell r="U765">
            <v>35</v>
          </cell>
          <cell r="V765">
            <v>0</v>
          </cell>
          <cell r="W765">
            <v>0</v>
          </cell>
          <cell r="AA765">
            <v>0</v>
          </cell>
          <cell r="AB765">
            <v>0</v>
          </cell>
          <cell r="AC765">
            <v>0</v>
          </cell>
          <cell r="AD765">
            <v>35</v>
          </cell>
          <cell r="AE765">
            <v>504400</v>
          </cell>
          <cell r="AF765">
            <v>0</v>
          </cell>
          <cell r="AI765">
            <v>2343</v>
          </cell>
          <cell r="AK765">
            <v>0</v>
          </cell>
          <cell r="AM765">
            <v>799</v>
          </cell>
          <cell r="AN765">
            <v>1</v>
          </cell>
          <cell r="AO765">
            <v>393216</v>
          </cell>
          <cell r="AQ765">
            <v>0</v>
          </cell>
          <cell r="AR765">
            <v>0</v>
          </cell>
          <cell r="AS765" t="str">
            <v>Ы</v>
          </cell>
          <cell r="AT765" t="str">
            <v>Ы</v>
          </cell>
          <cell r="AU765">
            <v>0</v>
          </cell>
          <cell r="AV765">
            <v>0</v>
          </cell>
          <cell r="AW765">
            <v>23</v>
          </cell>
          <cell r="AX765">
            <v>1</v>
          </cell>
          <cell r="AY765">
            <v>0</v>
          </cell>
          <cell r="AZ765">
            <v>0</v>
          </cell>
          <cell r="BA765">
            <v>0</v>
          </cell>
          <cell r="BB765">
            <v>0</v>
          </cell>
          <cell r="BC765">
            <v>38888</v>
          </cell>
        </row>
        <row r="766">
          <cell r="A766">
            <v>2006</v>
          </cell>
          <cell r="B766">
            <v>5</v>
          </cell>
          <cell r="C766">
            <v>648</v>
          </cell>
          <cell r="D766">
            <v>16</v>
          </cell>
          <cell r="E766">
            <v>792030</v>
          </cell>
          <cell r="F766">
            <v>0</v>
          </cell>
          <cell r="G766" t="str">
            <v>Затраты по ШПЗ (неосновные)</v>
          </cell>
          <cell r="H766">
            <v>2030</v>
          </cell>
          <cell r="I766">
            <v>7920</v>
          </cell>
          <cell r="J766">
            <v>1301.3599999999999</v>
          </cell>
          <cell r="K766">
            <v>1</v>
          </cell>
          <cell r="L766">
            <v>0</v>
          </cell>
          <cell r="M766">
            <v>0</v>
          </cell>
          <cell r="N766">
            <v>0</v>
          </cell>
          <cell r="R766">
            <v>0</v>
          </cell>
          <cell r="S766">
            <v>0</v>
          </cell>
          <cell r="T766">
            <v>0</v>
          </cell>
          <cell r="U766">
            <v>35</v>
          </cell>
          <cell r="V766">
            <v>0</v>
          </cell>
          <cell r="W766">
            <v>0</v>
          </cell>
          <cell r="AA766">
            <v>0</v>
          </cell>
          <cell r="AB766">
            <v>0</v>
          </cell>
          <cell r="AC766">
            <v>0</v>
          </cell>
          <cell r="AD766">
            <v>35</v>
          </cell>
          <cell r="AE766">
            <v>505100</v>
          </cell>
          <cell r="AF766">
            <v>0</v>
          </cell>
          <cell r="AI766">
            <v>2343</v>
          </cell>
          <cell r="AK766">
            <v>0</v>
          </cell>
          <cell r="AM766">
            <v>800</v>
          </cell>
          <cell r="AN766">
            <v>1</v>
          </cell>
          <cell r="AO766">
            <v>393216</v>
          </cell>
          <cell r="AQ766">
            <v>0</v>
          </cell>
          <cell r="AR766">
            <v>0</v>
          </cell>
          <cell r="AS766" t="str">
            <v>Ы</v>
          </cell>
          <cell r="AT766" t="str">
            <v>Ы</v>
          </cell>
          <cell r="AU766">
            <v>0</v>
          </cell>
          <cell r="AV766">
            <v>0</v>
          </cell>
          <cell r="AW766">
            <v>23</v>
          </cell>
          <cell r="AX766">
            <v>1</v>
          </cell>
          <cell r="AY766">
            <v>0</v>
          </cell>
          <cell r="AZ766">
            <v>0</v>
          </cell>
          <cell r="BA766">
            <v>0</v>
          </cell>
          <cell r="BB766">
            <v>0</v>
          </cell>
          <cell r="BC766">
            <v>38888</v>
          </cell>
        </row>
        <row r="767">
          <cell r="A767">
            <v>2006</v>
          </cell>
          <cell r="B767">
            <v>5</v>
          </cell>
          <cell r="C767">
            <v>649</v>
          </cell>
          <cell r="D767">
            <v>16</v>
          </cell>
          <cell r="E767">
            <v>792030</v>
          </cell>
          <cell r="F767">
            <v>0</v>
          </cell>
          <cell r="G767" t="str">
            <v>Затраты по ШПЗ (неосновные)</v>
          </cell>
          <cell r="H767">
            <v>2030</v>
          </cell>
          <cell r="I767">
            <v>7920</v>
          </cell>
          <cell r="J767">
            <v>6174.75</v>
          </cell>
          <cell r="K767">
            <v>1</v>
          </cell>
          <cell r="L767">
            <v>0</v>
          </cell>
          <cell r="M767">
            <v>0</v>
          </cell>
          <cell r="N767">
            <v>0</v>
          </cell>
          <cell r="R767">
            <v>0</v>
          </cell>
          <cell r="S767">
            <v>0</v>
          </cell>
          <cell r="T767">
            <v>0</v>
          </cell>
          <cell r="U767">
            <v>35</v>
          </cell>
          <cell r="V767">
            <v>0</v>
          </cell>
          <cell r="W767">
            <v>0</v>
          </cell>
          <cell r="AA767">
            <v>0</v>
          </cell>
          <cell r="AB767">
            <v>0</v>
          </cell>
          <cell r="AC767">
            <v>0</v>
          </cell>
          <cell r="AD767">
            <v>35</v>
          </cell>
          <cell r="AE767">
            <v>510100</v>
          </cell>
          <cell r="AF767">
            <v>0</v>
          </cell>
          <cell r="AI767">
            <v>2343</v>
          </cell>
          <cell r="AK767">
            <v>0</v>
          </cell>
          <cell r="AM767">
            <v>801</v>
          </cell>
          <cell r="AN767">
            <v>1</v>
          </cell>
          <cell r="AO767">
            <v>393216</v>
          </cell>
          <cell r="AQ767">
            <v>0</v>
          </cell>
          <cell r="AR767">
            <v>0</v>
          </cell>
          <cell r="AS767" t="str">
            <v>Ы</v>
          </cell>
          <cell r="AT767" t="str">
            <v>Ы</v>
          </cell>
          <cell r="AU767">
            <v>0</v>
          </cell>
          <cell r="AV767">
            <v>0</v>
          </cell>
          <cell r="AW767">
            <v>23</v>
          </cell>
          <cell r="AX767">
            <v>1</v>
          </cell>
          <cell r="AY767">
            <v>0</v>
          </cell>
          <cell r="AZ767">
            <v>0</v>
          </cell>
          <cell r="BA767">
            <v>0</v>
          </cell>
          <cell r="BB767">
            <v>0</v>
          </cell>
          <cell r="BC767">
            <v>38888</v>
          </cell>
        </row>
        <row r="768">
          <cell r="A768">
            <v>2006</v>
          </cell>
          <cell r="B768">
            <v>5</v>
          </cell>
          <cell r="C768">
            <v>650</v>
          </cell>
          <cell r="D768">
            <v>16</v>
          </cell>
          <cell r="E768">
            <v>792030</v>
          </cell>
          <cell r="F768">
            <v>0</v>
          </cell>
          <cell r="G768" t="str">
            <v>Затраты по ШПЗ (неосновные)</v>
          </cell>
          <cell r="H768">
            <v>2030</v>
          </cell>
          <cell r="I768">
            <v>7920</v>
          </cell>
          <cell r="J768">
            <v>67.27</v>
          </cell>
          <cell r="K768">
            <v>1</v>
          </cell>
          <cell r="L768">
            <v>0</v>
          </cell>
          <cell r="M768">
            <v>0</v>
          </cell>
          <cell r="N768">
            <v>0</v>
          </cell>
          <cell r="R768">
            <v>0</v>
          </cell>
          <cell r="S768">
            <v>0</v>
          </cell>
          <cell r="T768">
            <v>0</v>
          </cell>
          <cell r="U768">
            <v>35</v>
          </cell>
          <cell r="V768">
            <v>0</v>
          </cell>
          <cell r="W768">
            <v>0</v>
          </cell>
          <cell r="AA768">
            <v>0</v>
          </cell>
          <cell r="AB768">
            <v>0</v>
          </cell>
          <cell r="AC768">
            <v>0</v>
          </cell>
          <cell r="AD768">
            <v>35</v>
          </cell>
          <cell r="AE768">
            <v>510200</v>
          </cell>
          <cell r="AF768">
            <v>0</v>
          </cell>
          <cell r="AI768">
            <v>2343</v>
          </cell>
          <cell r="AK768">
            <v>0</v>
          </cell>
          <cell r="AM768">
            <v>802</v>
          </cell>
          <cell r="AN768">
            <v>1</v>
          </cell>
          <cell r="AO768">
            <v>393216</v>
          </cell>
          <cell r="AQ768">
            <v>0</v>
          </cell>
          <cell r="AR768">
            <v>0</v>
          </cell>
          <cell r="AS768" t="str">
            <v>Ы</v>
          </cell>
          <cell r="AT768" t="str">
            <v>Ы</v>
          </cell>
          <cell r="AU768">
            <v>0</v>
          </cell>
          <cell r="AV768">
            <v>0</v>
          </cell>
          <cell r="AW768">
            <v>23</v>
          </cell>
          <cell r="AX768">
            <v>1</v>
          </cell>
          <cell r="AY768">
            <v>0</v>
          </cell>
          <cell r="AZ768">
            <v>0</v>
          </cell>
          <cell r="BA768">
            <v>0</v>
          </cell>
          <cell r="BB768">
            <v>0</v>
          </cell>
          <cell r="BC768">
            <v>38888</v>
          </cell>
        </row>
        <row r="769">
          <cell r="A769">
            <v>2006</v>
          </cell>
          <cell r="B769">
            <v>5</v>
          </cell>
          <cell r="C769">
            <v>651</v>
          </cell>
          <cell r="D769">
            <v>16</v>
          </cell>
          <cell r="E769">
            <v>792030</v>
          </cell>
          <cell r="F769">
            <v>0</v>
          </cell>
          <cell r="G769" t="str">
            <v>Затраты по ШПЗ (неосновные)</v>
          </cell>
          <cell r="H769">
            <v>2030</v>
          </cell>
          <cell r="I769">
            <v>7920</v>
          </cell>
          <cell r="J769">
            <v>149.01</v>
          </cell>
          <cell r="K769">
            <v>1</v>
          </cell>
          <cell r="L769">
            <v>0</v>
          </cell>
          <cell r="M769">
            <v>0</v>
          </cell>
          <cell r="N769">
            <v>0</v>
          </cell>
          <cell r="R769">
            <v>0</v>
          </cell>
          <cell r="S769">
            <v>0</v>
          </cell>
          <cell r="T769">
            <v>0</v>
          </cell>
          <cell r="U769">
            <v>35</v>
          </cell>
          <cell r="V769">
            <v>0</v>
          </cell>
          <cell r="W769">
            <v>0</v>
          </cell>
          <cell r="AA769">
            <v>0</v>
          </cell>
          <cell r="AB769">
            <v>0</v>
          </cell>
          <cell r="AC769">
            <v>0</v>
          </cell>
          <cell r="AD769">
            <v>35</v>
          </cell>
          <cell r="AE769">
            <v>510300</v>
          </cell>
          <cell r="AF769">
            <v>0</v>
          </cell>
          <cell r="AI769">
            <v>2343</v>
          </cell>
          <cell r="AK769">
            <v>0</v>
          </cell>
          <cell r="AM769">
            <v>803</v>
          </cell>
          <cell r="AN769">
            <v>1</v>
          </cell>
          <cell r="AO769">
            <v>393216</v>
          </cell>
          <cell r="AQ769">
            <v>0</v>
          </cell>
          <cell r="AR769">
            <v>0</v>
          </cell>
          <cell r="AS769" t="str">
            <v>Ы</v>
          </cell>
          <cell r="AT769" t="str">
            <v>Ы</v>
          </cell>
          <cell r="AU769">
            <v>0</v>
          </cell>
          <cell r="AV769">
            <v>0</v>
          </cell>
          <cell r="AW769">
            <v>23</v>
          </cell>
          <cell r="AX769">
            <v>1</v>
          </cell>
          <cell r="AY769">
            <v>0</v>
          </cell>
          <cell r="AZ769">
            <v>0</v>
          </cell>
          <cell r="BA769">
            <v>0</v>
          </cell>
          <cell r="BB769">
            <v>0</v>
          </cell>
          <cell r="BC769">
            <v>38888</v>
          </cell>
        </row>
        <row r="770">
          <cell r="A770">
            <v>2006</v>
          </cell>
          <cell r="B770">
            <v>5</v>
          </cell>
          <cell r="C770">
            <v>652</v>
          </cell>
          <cell r="D770">
            <v>16</v>
          </cell>
          <cell r="E770">
            <v>792030</v>
          </cell>
          <cell r="F770">
            <v>0</v>
          </cell>
          <cell r="G770" t="str">
            <v>Затраты по ШПЗ (неосновные)</v>
          </cell>
          <cell r="H770">
            <v>2030</v>
          </cell>
          <cell r="I770">
            <v>7920</v>
          </cell>
          <cell r="J770">
            <v>243.49</v>
          </cell>
          <cell r="K770">
            <v>1</v>
          </cell>
          <cell r="L770">
            <v>0</v>
          </cell>
          <cell r="M770">
            <v>0</v>
          </cell>
          <cell r="N770">
            <v>0</v>
          </cell>
          <cell r="R770">
            <v>0</v>
          </cell>
          <cell r="S770">
            <v>0</v>
          </cell>
          <cell r="T770">
            <v>0</v>
          </cell>
          <cell r="U770">
            <v>35</v>
          </cell>
          <cell r="V770">
            <v>0</v>
          </cell>
          <cell r="W770">
            <v>0</v>
          </cell>
          <cell r="AA770">
            <v>0</v>
          </cell>
          <cell r="AB770">
            <v>0</v>
          </cell>
          <cell r="AC770">
            <v>0</v>
          </cell>
          <cell r="AD770">
            <v>35</v>
          </cell>
          <cell r="AE770">
            <v>510400</v>
          </cell>
          <cell r="AF770">
            <v>0</v>
          </cell>
          <cell r="AI770">
            <v>2343</v>
          </cell>
          <cell r="AK770">
            <v>0</v>
          </cell>
          <cell r="AM770">
            <v>804</v>
          </cell>
          <cell r="AN770">
            <v>1</v>
          </cell>
          <cell r="AO770">
            <v>393216</v>
          </cell>
          <cell r="AQ770">
            <v>0</v>
          </cell>
          <cell r="AR770">
            <v>0</v>
          </cell>
          <cell r="AS770" t="str">
            <v>Ы</v>
          </cell>
          <cell r="AT770" t="str">
            <v>Ы</v>
          </cell>
          <cell r="AU770">
            <v>0</v>
          </cell>
          <cell r="AV770">
            <v>0</v>
          </cell>
          <cell r="AW770">
            <v>23</v>
          </cell>
          <cell r="AX770">
            <v>1</v>
          </cell>
          <cell r="AY770">
            <v>0</v>
          </cell>
          <cell r="AZ770">
            <v>0</v>
          </cell>
          <cell r="BA770">
            <v>0</v>
          </cell>
          <cell r="BB770">
            <v>0</v>
          </cell>
          <cell r="BC770">
            <v>38888</v>
          </cell>
        </row>
        <row r="771">
          <cell r="A771">
            <v>2006</v>
          </cell>
          <cell r="B771">
            <v>5</v>
          </cell>
          <cell r="C771">
            <v>653</v>
          </cell>
          <cell r="D771">
            <v>16</v>
          </cell>
          <cell r="E771">
            <v>792030</v>
          </cell>
          <cell r="F771">
            <v>0</v>
          </cell>
          <cell r="G771" t="str">
            <v>Затраты по ШПЗ (неосновные)</v>
          </cell>
          <cell r="H771">
            <v>2030</v>
          </cell>
          <cell r="I771">
            <v>7920</v>
          </cell>
          <cell r="J771">
            <v>18333.82</v>
          </cell>
          <cell r="K771">
            <v>1</v>
          </cell>
          <cell r="L771">
            <v>0</v>
          </cell>
          <cell r="M771">
            <v>0</v>
          </cell>
          <cell r="N771">
            <v>0</v>
          </cell>
          <cell r="R771">
            <v>0</v>
          </cell>
          <cell r="S771">
            <v>0</v>
          </cell>
          <cell r="T771">
            <v>0</v>
          </cell>
          <cell r="U771">
            <v>35</v>
          </cell>
          <cell r="V771">
            <v>0</v>
          </cell>
          <cell r="W771">
            <v>0</v>
          </cell>
          <cell r="AA771">
            <v>0</v>
          </cell>
          <cell r="AB771">
            <v>0</v>
          </cell>
          <cell r="AC771">
            <v>0</v>
          </cell>
          <cell r="AD771">
            <v>35</v>
          </cell>
          <cell r="AE771">
            <v>510600</v>
          </cell>
          <cell r="AF771">
            <v>0</v>
          </cell>
          <cell r="AI771">
            <v>2343</v>
          </cell>
          <cell r="AK771">
            <v>0</v>
          </cell>
          <cell r="AM771">
            <v>805</v>
          </cell>
          <cell r="AN771">
            <v>1</v>
          </cell>
          <cell r="AO771">
            <v>393216</v>
          </cell>
          <cell r="AQ771">
            <v>0</v>
          </cell>
          <cell r="AR771">
            <v>0</v>
          </cell>
          <cell r="AS771" t="str">
            <v>Ы</v>
          </cell>
          <cell r="AT771" t="str">
            <v>Ы</v>
          </cell>
          <cell r="AU771">
            <v>0</v>
          </cell>
          <cell r="AV771">
            <v>0</v>
          </cell>
          <cell r="AW771">
            <v>23</v>
          </cell>
          <cell r="AX771">
            <v>1</v>
          </cell>
          <cell r="AY771">
            <v>0</v>
          </cell>
          <cell r="AZ771">
            <v>0</v>
          </cell>
          <cell r="BA771">
            <v>0</v>
          </cell>
          <cell r="BB771">
            <v>0</v>
          </cell>
          <cell r="BC771">
            <v>38888</v>
          </cell>
        </row>
        <row r="772">
          <cell r="A772">
            <v>2006</v>
          </cell>
          <cell r="B772">
            <v>5</v>
          </cell>
          <cell r="C772">
            <v>654</v>
          </cell>
          <cell r="D772">
            <v>16</v>
          </cell>
          <cell r="E772">
            <v>792030</v>
          </cell>
          <cell r="F772">
            <v>0</v>
          </cell>
          <cell r="G772" t="str">
            <v>Затраты по ШПЗ (неосновные)</v>
          </cell>
          <cell r="H772">
            <v>2030</v>
          </cell>
          <cell r="I772">
            <v>7920</v>
          </cell>
          <cell r="J772">
            <v>1.47</v>
          </cell>
          <cell r="K772">
            <v>1</v>
          </cell>
          <cell r="L772">
            <v>0</v>
          </cell>
          <cell r="M772">
            <v>0</v>
          </cell>
          <cell r="N772">
            <v>0</v>
          </cell>
          <cell r="R772">
            <v>0</v>
          </cell>
          <cell r="S772">
            <v>0</v>
          </cell>
          <cell r="T772">
            <v>0</v>
          </cell>
          <cell r="U772">
            <v>35</v>
          </cell>
          <cell r="V772">
            <v>0</v>
          </cell>
          <cell r="W772">
            <v>0</v>
          </cell>
          <cell r="AA772">
            <v>0</v>
          </cell>
          <cell r="AB772">
            <v>0</v>
          </cell>
          <cell r="AC772">
            <v>0</v>
          </cell>
          <cell r="AD772">
            <v>35</v>
          </cell>
          <cell r="AE772">
            <v>512000</v>
          </cell>
          <cell r="AF772">
            <v>0</v>
          </cell>
          <cell r="AI772">
            <v>2343</v>
          </cell>
          <cell r="AK772">
            <v>0</v>
          </cell>
          <cell r="AM772">
            <v>806</v>
          </cell>
          <cell r="AN772">
            <v>1</v>
          </cell>
          <cell r="AO772">
            <v>393216</v>
          </cell>
          <cell r="AQ772">
            <v>0</v>
          </cell>
          <cell r="AR772">
            <v>0</v>
          </cell>
          <cell r="AS772" t="str">
            <v>Ы</v>
          </cell>
          <cell r="AT772" t="str">
            <v>Ы</v>
          </cell>
          <cell r="AU772">
            <v>0</v>
          </cell>
          <cell r="AV772">
            <v>0</v>
          </cell>
          <cell r="AW772">
            <v>23</v>
          </cell>
          <cell r="AX772">
            <v>1</v>
          </cell>
          <cell r="AY772">
            <v>0</v>
          </cell>
          <cell r="AZ772">
            <v>0</v>
          </cell>
          <cell r="BA772">
            <v>0</v>
          </cell>
          <cell r="BB772">
            <v>0</v>
          </cell>
          <cell r="BC772">
            <v>38888</v>
          </cell>
        </row>
        <row r="773">
          <cell r="A773">
            <v>2006</v>
          </cell>
          <cell r="B773">
            <v>5</v>
          </cell>
          <cell r="C773">
            <v>655</v>
          </cell>
          <cell r="D773">
            <v>16</v>
          </cell>
          <cell r="E773">
            <v>792030</v>
          </cell>
          <cell r="F773">
            <v>0</v>
          </cell>
          <cell r="G773" t="str">
            <v>Затраты по ШПЗ (неосновные)</v>
          </cell>
          <cell r="H773">
            <v>2030</v>
          </cell>
          <cell r="I773">
            <v>7920</v>
          </cell>
          <cell r="J773">
            <v>-14.49</v>
          </cell>
          <cell r="K773">
            <v>1</v>
          </cell>
          <cell r="L773">
            <v>0</v>
          </cell>
          <cell r="M773">
            <v>0</v>
          </cell>
          <cell r="N773">
            <v>0</v>
          </cell>
          <cell r="R773">
            <v>0</v>
          </cell>
          <cell r="S773">
            <v>0</v>
          </cell>
          <cell r="T773">
            <v>0</v>
          </cell>
          <cell r="U773">
            <v>35</v>
          </cell>
          <cell r="V773">
            <v>0</v>
          </cell>
          <cell r="W773">
            <v>0</v>
          </cell>
          <cell r="AA773">
            <v>0</v>
          </cell>
          <cell r="AB773">
            <v>0</v>
          </cell>
          <cell r="AC773">
            <v>0</v>
          </cell>
          <cell r="AD773">
            <v>35</v>
          </cell>
          <cell r="AE773">
            <v>523000</v>
          </cell>
          <cell r="AF773">
            <v>0</v>
          </cell>
          <cell r="AI773">
            <v>2343</v>
          </cell>
          <cell r="AK773">
            <v>0</v>
          </cell>
          <cell r="AM773">
            <v>807</v>
          </cell>
          <cell r="AN773">
            <v>1</v>
          </cell>
          <cell r="AO773">
            <v>393216</v>
          </cell>
          <cell r="AQ773">
            <v>0</v>
          </cell>
          <cell r="AR773">
            <v>0</v>
          </cell>
          <cell r="AS773" t="str">
            <v>Ы</v>
          </cell>
          <cell r="AT773" t="str">
            <v>Ы</v>
          </cell>
          <cell r="AU773">
            <v>0</v>
          </cell>
          <cell r="AV773">
            <v>0</v>
          </cell>
          <cell r="AW773">
            <v>23</v>
          </cell>
          <cell r="AX773">
            <v>1</v>
          </cell>
          <cell r="AY773">
            <v>0</v>
          </cell>
          <cell r="AZ773">
            <v>0</v>
          </cell>
          <cell r="BA773">
            <v>0</v>
          </cell>
          <cell r="BB773">
            <v>0</v>
          </cell>
          <cell r="BC773">
            <v>38888</v>
          </cell>
        </row>
        <row r="774">
          <cell r="A774">
            <v>2006</v>
          </cell>
          <cell r="B774">
            <v>5</v>
          </cell>
          <cell r="C774">
            <v>656</v>
          </cell>
          <cell r="D774">
            <v>16</v>
          </cell>
          <cell r="E774">
            <v>792030</v>
          </cell>
          <cell r="F774">
            <v>0</v>
          </cell>
          <cell r="G774" t="str">
            <v>Затраты по ШПЗ (неосновные)</v>
          </cell>
          <cell r="H774">
            <v>2030</v>
          </cell>
          <cell r="I774">
            <v>7920</v>
          </cell>
          <cell r="J774">
            <v>14.49</v>
          </cell>
          <cell r="K774">
            <v>1</v>
          </cell>
          <cell r="L774">
            <v>0</v>
          </cell>
          <cell r="M774">
            <v>0</v>
          </cell>
          <cell r="N774">
            <v>0</v>
          </cell>
          <cell r="R774">
            <v>0</v>
          </cell>
          <cell r="S774">
            <v>0</v>
          </cell>
          <cell r="T774">
            <v>0</v>
          </cell>
          <cell r="U774">
            <v>35</v>
          </cell>
          <cell r="V774">
            <v>0</v>
          </cell>
          <cell r="W774">
            <v>0</v>
          </cell>
          <cell r="AA774">
            <v>0</v>
          </cell>
          <cell r="AB774">
            <v>0</v>
          </cell>
          <cell r="AC774">
            <v>0</v>
          </cell>
          <cell r="AD774">
            <v>35</v>
          </cell>
          <cell r="AE774">
            <v>530000</v>
          </cell>
          <cell r="AF774">
            <v>0</v>
          </cell>
          <cell r="AI774">
            <v>2343</v>
          </cell>
          <cell r="AK774">
            <v>0</v>
          </cell>
          <cell r="AM774">
            <v>808</v>
          </cell>
          <cell r="AN774">
            <v>1</v>
          </cell>
          <cell r="AO774">
            <v>393216</v>
          </cell>
          <cell r="AQ774">
            <v>0</v>
          </cell>
          <cell r="AR774">
            <v>0</v>
          </cell>
          <cell r="AS774" t="str">
            <v>Ы</v>
          </cell>
          <cell r="AT774" t="str">
            <v>Ы</v>
          </cell>
          <cell r="AU774">
            <v>0</v>
          </cell>
          <cell r="AV774">
            <v>0</v>
          </cell>
          <cell r="AW774">
            <v>23</v>
          </cell>
          <cell r="AX774">
            <v>1</v>
          </cell>
          <cell r="AY774">
            <v>0</v>
          </cell>
          <cell r="AZ774">
            <v>0</v>
          </cell>
          <cell r="BA774">
            <v>0</v>
          </cell>
          <cell r="BB774">
            <v>0</v>
          </cell>
          <cell r="BC774">
            <v>38888</v>
          </cell>
        </row>
        <row r="775">
          <cell r="A775">
            <v>2006</v>
          </cell>
          <cell r="B775">
            <v>5</v>
          </cell>
          <cell r="C775">
            <v>714</v>
          </cell>
          <cell r="D775">
            <v>19</v>
          </cell>
          <cell r="E775">
            <v>792030</v>
          </cell>
          <cell r="F775">
            <v>0</v>
          </cell>
          <cell r="G775" t="str">
            <v>Затраты по ШПЗ (неосновные)</v>
          </cell>
          <cell r="H775">
            <v>2030</v>
          </cell>
          <cell r="I775">
            <v>7920</v>
          </cell>
          <cell r="J775">
            <v>929530</v>
          </cell>
          <cell r="K775">
            <v>1</v>
          </cell>
          <cell r="L775">
            <v>0</v>
          </cell>
          <cell r="M775">
            <v>0</v>
          </cell>
          <cell r="N775">
            <v>0</v>
          </cell>
          <cell r="R775">
            <v>0</v>
          </cell>
          <cell r="S775">
            <v>0</v>
          </cell>
          <cell r="T775">
            <v>0</v>
          </cell>
          <cell r="U775">
            <v>37</v>
          </cell>
          <cell r="V775">
            <v>0</v>
          </cell>
          <cell r="W775">
            <v>0</v>
          </cell>
          <cell r="AA775">
            <v>0</v>
          </cell>
          <cell r="AB775">
            <v>0</v>
          </cell>
          <cell r="AC775">
            <v>0</v>
          </cell>
          <cell r="AD775">
            <v>37</v>
          </cell>
          <cell r="AE775">
            <v>240000</v>
          </cell>
          <cell r="AF775">
            <v>0</v>
          </cell>
          <cell r="AI775">
            <v>2343</v>
          </cell>
          <cell r="AK775">
            <v>0</v>
          </cell>
          <cell r="AM775">
            <v>866</v>
          </cell>
          <cell r="AN775">
            <v>1</v>
          </cell>
          <cell r="AO775">
            <v>393216</v>
          </cell>
          <cell r="AQ775">
            <v>0</v>
          </cell>
          <cell r="AR775">
            <v>0</v>
          </cell>
          <cell r="AS775" t="str">
            <v>Ы</v>
          </cell>
          <cell r="AT775" t="str">
            <v>Ы</v>
          </cell>
          <cell r="AU775">
            <v>0</v>
          </cell>
          <cell r="AV775">
            <v>0</v>
          </cell>
          <cell r="AW775">
            <v>23</v>
          </cell>
          <cell r="AX775">
            <v>1</v>
          </cell>
          <cell r="AY775">
            <v>0</v>
          </cell>
          <cell r="AZ775">
            <v>0</v>
          </cell>
          <cell r="BA775">
            <v>0</v>
          </cell>
          <cell r="BB775">
            <v>0</v>
          </cell>
          <cell r="BC775">
            <v>38888</v>
          </cell>
        </row>
        <row r="776">
          <cell r="A776">
            <v>2006</v>
          </cell>
          <cell r="B776">
            <v>5</v>
          </cell>
          <cell r="C776">
            <v>715</v>
          </cell>
          <cell r="D776">
            <v>19</v>
          </cell>
          <cell r="E776">
            <v>792030</v>
          </cell>
          <cell r="F776">
            <v>0</v>
          </cell>
          <cell r="G776" t="str">
            <v>Затраты по ШПЗ (неосновные)</v>
          </cell>
          <cell r="H776">
            <v>2030</v>
          </cell>
          <cell r="I776">
            <v>7920</v>
          </cell>
          <cell r="J776">
            <v>26388.080000000002</v>
          </cell>
          <cell r="K776">
            <v>1</v>
          </cell>
          <cell r="L776">
            <v>0</v>
          </cell>
          <cell r="M776">
            <v>0</v>
          </cell>
          <cell r="N776">
            <v>0</v>
          </cell>
          <cell r="R776">
            <v>0</v>
          </cell>
          <cell r="S776">
            <v>0</v>
          </cell>
          <cell r="T776">
            <v>0</v>
          </cell>
          <cell r="U776">
            <v>37</v>
          </cell>
          <cell r="V776">
            <v>0</v>
          </cell>
          <cell r="W776">
            <v>0</v>
          </cell>
          <cell r="AA776">
            <v>0</v>
          </cell>
          <cell r="AB776">
            <v>0</v>
          </cell>
          <cell r="AC776">
            <v>0</v>
          </cell>
          <cell r="AD776">
            <v>37</v>
          </cell>
          <cell r="AE776">
            <v>311000</v>
          </cell>
          <cell r="AF776">
            <v>0</v>
          </cell>
          <cell r="AI776">
            <v>2343</v>
          </cell>
          <cell r="AK776">
            <v>0</v>
          </cell>
          <cell r="AM776">
            <v>867</v>
          </cell>
          <cell r="AN776">
            <v>1</v>
          </cell>
          <cell r="AO776">
            <v>393216</v>
          </cell>
          <cell r="AQ776">
            <v>0</v>
          </cell>
          <cell r="AR776">
            <v>0</v>
          </cell>
          <cell r="AS776" t="str">
            <v>Ы</v>
          </cell>
          <cell r="AT776" t="str">
            <v>Ы</v>
          </cell>
          <cell r="AU776">
            <v>0</v>
          </cell>
          <cell r="AV776">
            <v>0</v>
          </cell>
          <cell r="AW776">
            <v>23</v>
          </cell>
          <cell r="AX776">
            <v>1</v>
          </cell>
          <cell r="AY776">
            <v>0</v>
          </cell>
          <cell r="AZ776">
            <v>0</v>
          </cell>
          <cell r="BA776">
            <v>0</v>
          </cell>
          <cell r="BB776">
            <v>0</v>
          </cell>
          <cell r="BC776">
            <v>38888</v>
          </cell>
        </row>
        <row r="777">
          <cell r="A777">
            <v>2006</v>
          </cell>
          <cell r="B777">
            <v>5</v>
          </cell>
          <cell r="C777">
            <v>716</v>
          </cell>
          <cell r="D777">
            <v>19</v>
          </cell>
          <cell r="E777">
            <v>792030</v>
          </cell>
          <cell r="F777">
            <v>0</v>
          </cell>
          <cell r="G777" t="str">
            <v>Затраты по ШПЗ (неосновные)</v>
          </cell>
          <cell r="H777">
            <v>2030</v>
          </cell>
          <cell r="I777">
            <v>7920</v>
          </cell>
          <cell r="J777">
            <v>182523.86</v>
          </cell>
          <cell r="K777">
            <v>1</v>
          </cell>
          <cell r="L777">
            <v>0</v>
          </cell>
          <cell r="M777">
            <v>0</v>
          </cell>
          <cell r="N777">
            <v>0</v>
          </cell>
          <cell r="R777">
            <v>0</v>
          </cell>
          <cell r="S777">
            <v>0</v>
          </cell>
          <cell r="T777">
            <v>0</v>
          </cell>
          <cell r="U777">
            <v>37</v>
          </cell>
          <cell r="V777">
            <v>0</v>
          </cell>
          <cell r="W777">
            <v>0</v>
          </cell>
          <cell r="AA777">
            <v>0</v>
          </cell>
          <cell r="AB777">
            <v>0</v>
          </cell>
          <cell r="AC777">
            <v>0</v>
          </cell>
          <cell r="AD777">
            <v>37</v>
          </cell>
          <cell r="AE777">
            <v>312000</v>
          </cell>
          <cell r="AF777">
            <v>0</v>
          </cell>
          <cell r="AI777">
            <v>2343</v>
          </cell>
          <cell r="AK777">
            <v>0</v>
          </cell>
          <cell r="AM777">
            <v>868</v>
          </cell>
          <cell r="AN777">
            <v>1</v>
          </cell>
          <cell r="AO777">
            <v>393216</v>
          </cell>
          <cell r="AQ777">
            <v>0</v>
          </cell>
          <cell r="AR777">
            <v>0</v>
          </cell>
          <cell r="AS777" t="str">
            <v>Ы</v>
          </cell>
          <cell r="AT777" t="str">
            <v>Ы</v>
          </cell>
          <cell r="AU777">
            <v>0</v>
          </cell>
          <cell r="AV777">
            <v>0</v>
          </cell>
          <cell r="AW777">
            <v>23</v>
          </cell>
          <cell r="AX777">
            <v>1</v>
          </cell>
          <cell r="AY777">
            <v>0</v>
          </cell>
          <cell r="AZ777">
            <v>0</v>
          </cell>
          <cell r="BA777">
            <v>0</v>
          </cell>
          <cell r="BB777">
            <v>0</v>
          </cell>
          <cell r="BC777">
            <v>38888</v>
          </cell>
        </row>
        <row r="778">
          <cell r="A778">
            <v>2006</v>
          </cell>
          <cell r="B778">
            <v>5</v>
          </cell>
          <cell r="C778">
            <v>717</v>
          </cell>
          <cell r="D778">
            <v>19</v>
          </cell>
          <cell r="E778">
            <v>792030</v>
          </cell>
          <cell r="F778">
            <v>0</v>
          </cell>
          <cell r="G778" t="str">
            <v>Затраты по ШПЗ (неосновные)</v>
          </cell>
          <cell r="H778">
            <v>2030</v>
          </cell>
          <cell r="I778">
            <v>7920</v>
          </cell>
          <cell r="J778">
            <v>10068.85</v>
          </cell>
          <cell r="K778">
            <v>1</v>
          </cell>
          <cell r="L778">
            <v>0</v>
          </cell>
          <cell r="M778">
            <v>0</v>
          </cell>
          <cell r="N778">
            <v>0</v>
          </cell>
          <cell r="R778">
            <v>0</v>
          </cell>
          <cell r="S778">
            <v>0</v>
          </cell>
          <cell r="T778">
            <v>0</v>
          </cell>
          <cell r="U778">
            <v>37</v>
          </cell>
          <cell r="V778">
            <v>0</v>
          </cell>
          <cell r="W778">
            <v>0</v>
          </cell>
          <cell r="AA778">
            <v>0</v>
          </cell>
          <cell r="AB778">
            <v>0</v>
          </cell>
          <cell r="AC778">
            <v>0</v>
          </cell>
          <cell r="AD778">
            <v>37</v>
          </cell>
          <cell r="AE778">
            <v>313000</v>
          </cell>
          <cell r="AF778">
            <v>0</v>
          </cell>
          <cell r="AI778">
            <v>2343</v>
          </cell>
          <cell r="AK778">
            <v>0</v>
          </cell>
          <cell r="AM778">
            <v>869</v>
          </cell>
          <cell r="AN778">
            <v>1</v>
          </cell>
          <cell r="AO778">
            <v>393216</v>
          </cell>
          <cell r="AQ778">
            <v>0</v>
          </cell>
          <cell r="AR778">
            <v>0</v>
          </cell>
          <cell r="AS778" t="str">
            <v>Ы</v>
          </cell>
          <cell r="AT778" t="str">
            <v>Ы</v>
          </cell>
          <cell r="AU778">
            <v>0</v>
          </cell>
          <cell r="AV778">
            <v>0</v>
          </cell>
          <cell r="AW778">
            <v>23</v>
          </cell>
          <cell r="AX778">
            <v>1</v>
          </cell>
          <cell r="AY778">
            <v>0</v>
          </cell>
          <cell r="AZ778">
            <v>0</v>
          </cell>
          <cell r="BA778">
            <v>0</v>
          </cell>
          <cell r="BB778">
            <v>0</v>
          </cell>
          <cell r="BC778">
            <v>38888</v>
          </cell>
        </row>
        <row r="779">
          <cell r="A779">
            <v>2006</v>
          </cell>
          <cell r="B779">
            <v>5</v>
          </cell>
          <cell r="C779">
            <v>718</v>
          </cell>
          <cell r="D779">
            <v>19</v>
          </cell>
          <cell r="E779">
            <v>792030</v>
          </cell>
          <cell r="F779">
            <v>0</v>
          </cell>
          <cell r="G779" t="str">
            <v>Затраты по ШПЗ (неосновные)</v>
          </cell>
          <cell r="H779">
            <v>2030</v>
          </cell>
          <cell r="I779">
            <v>7920</v>
          </cell>
          <cell r="J779">
            <v>18147.48</v>
          </cell>
          <cell r="K779">
            <v>1</v>
          </cell>
          <cell r="L779">
            <v>0</v>
          </cell>
          <cell r="M779">
            <v>0</v>
          </cell>
          <cell r="N779">
            <v>0</v>
          </cell>
          <cell r="R779">
            <v>0</v>
          </cell>
          <cell r="S779">
            <v>0</v>
          </cell>
          <cell r="T779">
            <v>0</v>
          </cell>
          <cell r="U779">
            <v>37</v>
          </cell>
          <cell r="V779">
            <v>0</v>
          </cell>
          <cell r="W779">
            <v>0</v>
          </cell>
          <cell r="AA779">
            <v>0</v>
          </cell>
          <cell r="AB779">
            <v>0</v>
          </cell>
          <cell r="AC779">
            <v>0</v>
          </cell>
          <cell r="AD779">
            <v>37</v>
          </cell>
          <cell r="AE779">
            <v>314000</v>
          </cell>
          <cell r="AF779">
            <v>0</v>
          </cell>
          <cell r="AI779">
            <v>2343</v>
          </cell>
          <cell r="AK779">
            <v>0</v>
          </cell>
          <cell r="AM779">
            <v>870</v>
          </cell>
          <cell r="AN779">
            <v>1</v>
          </cell>
          <cell r="AO779">
            <v>393216</v>
          </cell>
          <cell r="AQ779">
            <v>0</v>
          </cell>
          <cell r="AR779">
            <v>0</v>
          </cell>
          <cell r="AS779" t="str">
            <v>Ы</v>
          </cell>
          <cell r="AT779" t="str">
            <v>Ы</v>
          </cell>
          <cell r="AU779">
            <v>0</v>
          </cell>
          <cell r="AV779">
            <v>0</v>
          </cell>
          <cell r="AW779">
            <v>23</v>
          </cell>
          <cell r="AX779">
            <v>1</v>
          </cell>
          <cell r="AY779">
            <v>0</v>
          </cell>
          <cell r="AZ779">
            <v>0</v>
          </cell>
          <cell r="BA779">
            <v>0</v>
          </cell>
          <cell r="BB779">
            <v>0</v>
          </cell>
          <cell r="BC779">
            <v>38888</v>
          </cell>
        </row>
        <row r="780">
          <cell r="A780">
            <v>2006</v>
          </cell>
          <cell r="B780">
            <v>5</v>
          </cell>
          <cell r="C780">
            <v>719</v>
          </cell>
          <cell r="D780">
            <v>19</v>
          </cell>
          <cell r="E780">
            <v>792030</v>
          </cell>
          <cell r="F780">
            <v>0</v>
          </cell>
          <cell r="G780" t="str">
            <v>Затраты по ШПЗ (неосновные)</v>
          </cell>
          <cell r="H780">
            <v>2030</v>
          </cell>
          <cell r="I780">
            <v>7920</v>
          </cell>
          <cell r="J780">
            <v>3715.08</v>
          </cell>
          <cell r="K780">
            <v>1</v>
          </cell>
          <cell r="L780">
            <v>0</v>
          </cell>
          <cell r="M780">
            <v>0</v>
          </cell>
          <cell r="N780">
            <v>0</v>
          </cell>
          <cell r="R780">
            <v>0</v>
          </cell>
          <cell r="S780">
            <v>0</v>
          </cell>
          <cell r="T780">
            <v>0</v>
          </cell>
          <cell r="U780">
            <v>37</v>
          </cell>
          <cell r="V780">
            <v>0</v>
          </cell>
          <cell r="W780">
            <v>0</v>
          </cell>
          <cell r="AA780">
            <v>0</v>
          </cell>
          <cell r="AB780">
            <v>0</v>
          </cell>
          <cell r="AC780">
            <v>0</v>
          </cell>
          <cell r="AD780">
            <v>37</v>
          </cell>
          <cell r="AE780">
            <v>315000</v>
          </cell>
          <cell r="AF780">
            <v>0</v>
          </cell>
          <cell r="AI780">
            <v>2343</v>
          </cell>
          <cell r="AK780">
            <v>0</v>
          </cell>
          <cell r="AM780">
            <v>871</v>
          </cell>
          <cell r="AN780">
            <v>1</v>
          </cell>
          <cell r="AO780">
            <v>393216</v>
          </cell>
          <cell r="AQ780">
            <v>0</v>
          </cell>
          <cell r="AR780">
            <v>0</v>
          </cell>
          <cell r="AS780" t="str">
            <v>Ы</v>
          </cell>
          <cell r="AT780" t="str">
            <v>Ы</v>
          </cell>
          <cell r="AU780">
            <v>0</v>
          </cell>
          <cell r="AV780">
            <v>0</v>
          </cell>
          <cell r="AW780">
            <v>23</v>
          </cell>
          <cell r="AX780">
            <v>1</v>
          </cell>
          <cell r="AY780">
            <v>0</v>
          </cell>
          <cell r="AZ780">
            <v>0</v>
          </cell>
          <cell r="BA780">
            <v>0</v>
          </cell>
          <cell r="BB780">
            <v>0</v>
          </cell>
          <cell r="BC780">
            <v>38888</v>
          </cell>
        </row>
        <row r="781">
          <cell r="A781">
            <v>2006</v>
          </cell>
          <cell r="B781">
            <v>6</v>
          </cell>
          <cell r="C781">
            <v>1</v>
          </cell>
          <cell r="D781">
            <v>17</v>
          </cell>
          <cell r="E781">
            <v>792030</v>
          </cell>
          <cell r="F781">
            <v>0</v>
          </cell>
          <cell r="G781" t="str">
            <v>Затраты по ШПЗ (неосновные)</v>
          </cell>
          <cell r="H781">
            <v>2030</v>
          </cell>
          <cell r="I781">
            <v>7920</v>
          </cell>
          <cell r="J781">
            <v>13796</v>
          </cell>
          <cell r="K781">
            <v>1</v>
          </cell>
          <cell r="L781">
            <v>0</v>
          </cell>
          <cell r="M781">
            <v>0</v>
          </cell>
          <cell r="N781">
            <v>0</v>
          </cell>
          <cell r="R781">
            <v>0</v>
          </cell>
          <cell r="S781">
            <v>0</v>
          </cell>
          <cell r="T781">
            <v>0</v>
          </cell>
          <cell r="U781">
            <v>34</v>
          </cell>
          <cell r="V781">
            <v>0</v>
          </cell>
          <cell r="W781">
            <v>0</v>
          </cell>
          <cell r="AA781">
            <v>0</v>
          </cell>
          <cell r="AB781">
            <v>0</v>
          </cell>
          <cell r="AC781">
            <v>0</v>
          </cell>
          <cell r="AD781">
            <v>34</v>
          </cell>
          <cell r="AE781">
            <v>143000</v>
          </cell>
          <cell r="AF781">
            <v>0</v>
          </cell>
          <cell r="AI781">
            <v>2373</v>
          </cell>
          <cell r="AK781">
            <v>0</v>
          </cell>
          <cell r="AM781">
            <v>145</v>
          </cell>
          <cell r="AN781">
            <v>1</v>
          </cell>
          <cell r="AO781">
            <v>393216</v>
          </cell>
          <cell r="AQ781">
            <v>0</v>
          </cell>
          <cell r="AR781">
            <v>0</v>
          </cell>
          <cell r="AS781" t="str">
            <v>Ы</v>
          </cell>
          <cell r="AT781" t="str">
            <v>Ы</v>
          </cell>
          <cell r="AU781">
            <v>0</v>
          </cell>
          <cell r="AV781">
            <v>0</v>
          </cell>
          <cell r="AW781">
            <v>23</v>
          </cell>
          <cell r="AX781">
            <v>1</v>
          </cell>
          <cell r="AY781">
            <v>0</v>
          </cell>
          <cell r="AZ781">
            <v>0</v>
          </cell>
          <cell r="BA781">
            <v>0</v>
          </cell>
          <cell r="BB781">
            <v>0</v>
          </cell>
          <cell r="BC781">
            <v>38916</v>
          </cell>
        </row>
        <row r="782">
          <cell r="A782">
            <v>2006</v>
          </cell>
          <cell r="B782">
            <v>6</v>
          </cell>
          <cell r="C782">
            <v>62</v>
          </cell>
          <cell r="D782">
            <v>17</v>
          </cell>
          <cell r="E782">
            <v>792030</v>
          </cell>
          <cell r="F782">
            <v>0</v>
          </cell>
          <cell r="G782" t="str">
            <v>Затраты по ШПЗ (неосновные)</v>
          </cell>
          <cell r="H782">
            <v>2030</v>
          </cell>
          <cell r="I782">
            <v>7920</v>
          </cell>
          <cell r="J782">
            <v>12994</v>
          </cell>
          <cell r="K782">
            <v>1</v>
          </cell>
          <cell r="L782">
            <v>0</v>
          </cell>
          <cell r="M782">
            <v>0</v>
          </cell>
          <cell r="N782">
            <v>0</v>
          </cell>
          <cell r="R782">
            <v>0</v>
          </cell>
          <cell r="S782">
            <v>0</v>
          </cell>
          <cell r="T782">
            <v>0</v>
          </cell>
          <cell r="U782">
            <v>33</v>
          </cell>
          <cell r="V782">
            <v>0</v>
          </cell>
          <cell r="W782">
            <v>0</v>
          </cell>
          <cell r="AA782">
            <v>0</v>
          </cell>
          <cell r="AB782">
            <v>0</v>
          </cell>
          <cell r="AC782">
            <v>0</v>
          </cell>
          <cell r="AD782">
            <v>33</v>
          </cell>
          <cell r="AE782">
            <v>143000</v>
          </cell>
          <cell r="AF782">
            <v>0</v>
          </cell>
          <cell r="AI782">
            <v>2373</v>
          </cell>
          <cell r="AK782">
            <v>0</v>
          </cell>
          <cell r="AM782">
            <v>206</v>
          </cell>
          <cell r="AN782">
            <v>1</v>
          </cell>
          <cell r="AO782">
            <v>393216</v>
          </cell>
          <cell r="AQ782">
            <v>0</v>
          </cell>
          <cell r="AR782">
            <v>0</v>
          </cell>
          <cell r="AS782" t="str">
            <v>Ы</v>
          </cell>
          <cell r="AT782" t="str">
            <v>Ы</v>
          </cell>
          <cell r="AU782">
            <v>0</v>
          </cell>
          <cell r="AV782">
            <v>0</v>
          </cell>
          <cell r="AW782">
            <v>23</v>
          </cell>
          <cell r="AX782">
            <v>1</v>
          </cell>
          <cell r="AY782">
            <v>0</v>
          </cell>
          <cell r="AZ782">
            <v>0</v>
          </cell>
          <cell r="BA782">
            <v>0</v>
          </cell>
          <cell r="BB782">
            <v>0</v>
          </cell>
          <cell r="BC782">
            <v>38916</v>
          </cell>
        </row>
        <row r="783">
          <cell r="A783">
            <v>2006</v>
          </cell>
          <cell r="B783">
            <v>6</v>
          </cell>
          <cell r="C783">
            <v>63</v>
          </cell>
          <cell r="D783">
            <v>17</v>
          </cell>
          <cell r="E783">
            <v>792030</v>
          </cell>
          <cell r="F783">
            <v>0</v>
          </cell>
          <cell r="G783" t="str">
            <v>Затраты по ШПЗ (неосновные)</v>
          </cell>
          <cell r="H783">
            <v>2030</v>
          </cell>
          <cell r="I783">
            <v>7920</v>
          </cell>
          <cell r="J783">
            <v>139150</v>
          </cell>
          <cell r="K783">
            <v>1</v>
          </cell>
          <cell r="L783">
            <v>0</v>
          </cell>
          <cell r="M783">
            <v>0</v>
          </cell>
          <cell r="N783">
            <v>0</v>
          </cell>
          <cell r="R783">
            <v>0</v>
          </cell>
          <cell r="S783">
            <v>0</v>
          </cell>
          <cell r="T783">
            <v>0</v>
          </cell>
          <cell r="U783">
            <v>33</v>
          </cell>
          <cell r="V783">
            <v>0</v>
          </cell>
          <cell r="W783">
            <v>0</v>
          </cell>
          <cell r="AA783">
            <v>0</v>
          </cell>
          <cell r="AB783">
            <v>0</v>
          </cell>
          <cell r="AC783">
            <v>0</v>
          </cell>
          <cell r="AD783">
            <v>33</v>
          </cell>
          <cell r="AE783">
            <v>240000</v>
          </cell>
          <cell r="AF783">
            <v>0</v>
          </cell>
          <cell r="AI783">
            <v>2373</v>
          </cell>
          <cell r="AK783">
            <v>0</v>
          </cell>
          <cell r="AM783">
            <v>207</v>
          </cell>
          <cell r="AN783">
            <v>1</v>
          </cell>
          <cell r="AO783">
            <v>393216</v>
          </cell>
          <cell r="AQ783">
            <v>0</v>
          </cell>
          <cell r="AR783">
            <v>0</v>
          </cell>
          <cell r="AS783" t="str">
            <v>Ы</v>
          </cell>
          <cell r="AT783" t="str">
            <v>Ы</v>
          </cell>
          <cell r="AU783">
            <v>0</v>
          </cell>
          <cell r="AV783">
            <v>0</v>
          </cell>
          <cell r="AW783">
            <v>23</v>
          </cell>
          <cell r="AX783">
            <v>1</v>
          </cell>
          <cell r="AY783">
            <v>0</v>
          </cell>
          <cell r="AZ783">
            <v>0</v>
          </cell>
          <cell r="BA783">
            <v>0</v>
          </cell>
          <cell r="BB783">
            <v>0</v>
          </cell>
          <cell r="BC783">
            <v>38916</v>
          </cell>
        </row>
        <row r="784">
          <cell r="A784">
            <v>2006</v>
          </cell>
          <cell r="B784">
            <v>6</v>
          </cell>
          <cell r="C784">
            <v>64</v>
          </cell>
          <cell r="D784">
            <v>17</v>
          </cell>
          <cell r="E784">
            <v>792030</v>
          </cell>
          <cell r="F784">
            <v>0</v>
          </cell>
          <cell r="G784" t="str">
            <v>Затраты по ШПЗ (неосновные)</v>
          </cell>
          <cell r="H784">
            <v>2030</v>
          </cell>
          <cell r="I784">
            <v>7920</v>
          </cell>
          <cell r="J784">
            <v>4023.75</v>
          </cell>
          <cell r="K784">
            <v>1</v>
          </cell>
          <cell r="L784">
            <v>0</v>
          </cell>
          <cell r="M784">
            <v>0</v>
          </cell>
          <cell r="N784">
            <v>0</v>
          </cell>
          <cell r="R784">
            <v>0</v>
          </cell>
          <cell r="S784">
            <v>0</v>
          </cell>
          <cell r="T784">
            <v>0</v>
          </cell>
          <cell r="U784">
            <v>33</v>
          </cell>
          <cell r="V784">
            <v>0</v>
          </cell>
          <cell r="W784">
            <v>0</v>
          </cell>
          <cell r="AA784">
            <v>0</v>
          </cell>
          <cell r="AB784">
            <v>0</v>
          </cell>
          <cell r="AC784">
            <v>0</v>
          </cell>
          <cell r="AD784">
            <v>33</v>
          </cell>
          <cell r="AE784">
            <v>311000</v>
          </cell>
          <cell r="AF784">
            <v>0</v>
          </cell>
          <cell r="AI784">
            <v>2373</v>
          </cell>
          <cell r="AK784">
            <v>0</v>
          </cell>
          <cell r="AM784">
            <v>208</v>
          </cell>
          <cell r="AN784">
            <v>1</v>
          </cell>
          <cell r="AO784">
            <v>393216</v>
          </cell>
          <cell r="AQ784">
            <v>0</v>
          </cell>
          <cell r="AR784">
            <v>0</v>
          </cell>
          <cell r="AS784" t="str">
            <v>Ы</v>
          </cell>
          <cell r="AT784" t="str">
            <v>Ы</v>
          </cell>
          <cell r="AU784">
            <v>0</v>
          </cell>
          <cell r="AV784">
            <v>0</v>
          </cell>
          <cell r="AW784">
            <v>23</v>
          </cell>
          <cell r="AX784">
            <v>1</v>
          </cell>
          <cell r="AY784">
            <v>0</v>
          </cell>
          <cell r="AZ784">
            <v>0</v>
          </cell>
          <cell r="BA784">
            <v>0</v>
          </cell>
          <cell r="BB784">
            <v>0</v>
          </cell>
          <cell r="BC784">
            <v>38916</v>
          </cell>
        </row>
        <row r="785">
          <cell r="A785">
            <v>2006</v>
          </cell>
          <cell r="B785">
            <v>6</v>
          </cell>
          <cell r="C785">
            <v>65</v>
          </cell>
          <cell r="D785">
            <v>17</v>
          </cell>
          <cell r="E785">
            <v>792030</v>
          </cell>
          <cell r="F785">
            <v>0</v>
          </cell>
          <cell r="G785" t="str">
            <v>Затраты по ШПЗ (неосновные)</v>
          </cell>
          <cell r="H785">
            <v>2030</v>
          </cell>
          <cell r="I785">
            <v>7920</v>
          </cell>
          <cell r="J785">
            <v>8325</v>
          </cell>
          <cell r="K785">
            <v>1</v>
          </cell>
          <cell r="L785">
            <v>0</v>
          </cell>
          <cell r="M785">
            <v>0</v>
          </cell>
          <cell r="N785">
            <v>0</v>
          </cell>
          <cell r="R785">
            <v>0</v>
          </cell>
          <cell r="S785">
            <v>0</v>
          </cell>
          <cell r="T785">
            <v>0</v>
          </cell>
          <cell r="U785">
            <v>33</v>
          </cell>
          <cell r="V785">
            <v>0</v>
          </cell>
          <cell r="W785">
            <v>0</v>
          </cell>
          <cell r="AA785">
            <v>0</v>
          </cell>
          <cell r="AB785">
            <v>0</v>
          </cell>
          <cell r="AC785">
            <v>0</v>
          </cell>
          <cell r="AD785">
            <v>33</v>
          </cell>
          <cell r="AE785">
            <v>312000</v>
          </cell>
          <cell r="AF785">
            <v>0</v>
          </cell>
          <cell r="AI785">
            <v>2373</v>
          </cell>
          <cell r="AK785">
            <v>0</v>
          </cell>
          <cell r="AM785">
            <v>209</v>
          </cell>
          <cell r="AN785">
            <v>1</v>
          </cell>
          <cell r="AO785">
            <v>393216</v>
          </cell>
          <cell r="AQ785">
            <v>0</v>
          </cell>
          <cell r="AR785">
            <v>0</v>
          </cell>
          <cell r="AS785" t="str">
            <v>Ы</v>
          </cell>
          <cell r="AT785" t="str">
            <v>Ы</v>
          </cell>
          <cell r="AU785">
            <v>0</v>
          </cell>
          <cell r="AV785">
            <v>0</v>
          </cell>
          <cell r="AW785">
            <v>23</v>
          </cell>
          <cell r="AX785">
            <v>1</v>
          </cell>
          <cell r="AY785">
            <v>0</v>
          </cell>
          <cell r="AZ785">
            <v>0</v>
          </cell>
          <cell r="BA785">
            <v>0</v>
          </cell>
          <cell r="BB785">
            <v>0</v>
          </cell>
          <cell r="BC785">
            <v>38916</v>
          </cell>
        </row>
        <row r="786">
          <cell r="A786">
            <v>2006</v>
          </cell>
          <cell r="B786">
            <v>6</v>
          </cell>
          <cell r="C786">
            <v>66</v>
          </cell>
          <cell r="D786">
            <v>17</v>
          </cell>
          <cell r="E786">
            <v>792030</v>
          </cell>
          <cell r="F786">
            <v>0</v>
          </cell>
          <cell r="G786" t="str">
            <v>Затраты по ШПЗ (неосновные)</v>
          </cell>
          <cell r="H786">
            <v>2030</v>
          </cell>
          <cell r="I786">
            <v>7920</v>
          </cell>
          <cell r="J786">
            <v>998.4</v>
          </cell>
          <cell r="K786">
            <v>1</v>
          </cell>
          <cell r="L786">
            <v>0</v>
          </cell>
          <cell r="M786">
            <v>0</v>
          </cell>
          <cell r="N786">
            <v>0</v>
          </cell>
          <cell r="R786">
            <v>0</v>
          </cell>
          <cell r="S786">
            <v>0</v>
          </cell>
          <cell r="T786">
            <v>0</v>
          </cell>
          <cell r="U786">
            <v>33</v>
          </cell>
          <cell r="V786">
            <v>0</v>
          </cell>
          <cell r="W786">
            <v>0</v>
          </cell>
          <cell r="AA786">
            <v>0</v>
          </cell>
          <cell r="AB786">
            <v>0</v>
          </cell>
          <cell r="AC786">
            <v>0</v>
          </cell>
          <cell r="AD786">
            <v>33</v>
          </cell>
          <cell r="AE786">
            <v>312100</v>
          </cell>
          <cell r="AF786">
            <v>0</v>
          </cell>
          <cell r="AI786">
            <v>2373</v>
          </cell>
          <cell r="AK786">
            <v>0</v>
          </cell>
          <cell r="AM786">
            <v>210</v>
          </cell>
          <cell r="AN786">
            <v>1</v>
          </cell>
          <cell r="AO786">
            <v>393216</v>
          </cell>
          <cell r="AQ786">
            <v>0</v>
          </cell>
          <cell r="AR786">
            <v>0</v>
          </cell>
          <cell r="AS786" t="str">
            <v>Ы</v>
          </cell>
          <cell r="AT786" t="str">
            <v>Ы</v>
          </cell>
          <cell r="AU786">
            <v>0</v>
          </cell>
          <cell r="AV786">
            <v>0</v>
          </cell>
          <cell r="AW786">
            <v>23</v>
          </cell>
          <cell r="AX786">
            <v>1</v>
          </cell>
          <cell r="AY786">
            <v>0</v>
          </cell>
          <cell r="AZ786">
            <v>0</v>
          </cell>
          <cell r="BA786">
            <v>0</v>
          </cell>
          <cell r="BB786">
            <v>0</v>
          </cell>
          <cell r="BC786">
            <v>38916</v>
          </cell>
        </row>
        <row r="787">
          <cell r="A787">
            <v>2006</v>
          </cell>
          <cell r="B787">
            <v>6</v>
          </cell>
          <cell r="C787">
            <v>67</v>
          </cell>
          <cell r="D787">
            <v>17</v>
          </cell>
          <cell r="E787">
            <v>792030</v>
          </cell>
          <cell r="F787">
            <v>0</v>
          </cell>
          <cell r="G787" t="str">
            <v>Затраты по ШПЗ (неосновные)</v>
          </cell>
          <cell r="H787">
            <v>2030</v>
          </cell>
          <cell r="I787">
            <v>7920</v>
          </cell>
          <cell r="J787">
            <v>18482.599999999999</v>
          </cell>
          <cell r="K787">
            <v>1</v>
          </cell>
          <cell r="L787">
            <v>0</v>
          </cell>
          <cell r="M787">
            <v>0</v>
          </cell>
          <cell r="N787">
            <v>0</v>
          </cell>
          <cell r="R787">
            <v>0</v>
          </cell>
          <cell r="S787">
            <v>0</v>
          </cell>
          <cell r="T787">
            <v>0</v>
          </cell>
          <cell r="U787">
            <v>33</v>
          </cell>
          <cell r="V787">
            <v>0</v>
          </cell>
          <cell r="W787">
            <v>0</v>
          </cell>
          <cell r="AA787">
            <v>0</v>
          </cell>
          <cell r="AB787">
            <v>0</v>
          </cell>
          <cell r="AC787">
            <v>0</v>
          </cell>
          <cell r="AD787">
            <v>33</v>
          </cell>
          <cell r="AE787">
            <v>312200</v>
          </cell>
          <cell r="AF787">
            <v>0</v>
          </cell>
          <cell r="AI787">
            <v>2373</v>
          </cell>
          <cell r="AK787">
            <v>0</v>
          </cell>
          <cell r="AM787">
            <v>211</v>
          </cell>
          <cell r="AN787">
            <v>1</v>
          </cell>
          <cell r="AO787">
            <v>393216</v>
          </cell>
          <cell r="AQ787">
            <v>0</v>
          </cell>
          <cell r="AR787">
            <v>0</v>
          </cell>
          <cell r="AS787" t="str">
            <v>Ы</v>
          </cell>
          <cell r="AT787" t="str">
            <v>Ы</v>
          </cell>
          <cell r="AU787">
            <v>0</v>
          </cell>
          <cell r="AV787">
            <v>0</v>
          </cell>
          <cell r="AW787">
            <v>23</v>
          </cell>
          <cell r="AX787">
            <v>1</v>
          </cell>
          <cell r="AY787">
            <v>0</v>
          </cell>
          <cell r="AZ787">
            <v>0</v>
          </cell>
          <cell r="BA787">
            <v>0</v>
          </cell>
          <cell r="BB787">
            <v>0</v>
          </cell>
          <cell r="BC787">
            <v>38916</v>
          </cell>
        </row>
        <row r="788">
          <cell r="A788">
            <v>2006</v>
          </cell>
          <cell r="B788">
            <v>6</v>
          </cell>
          <cell r="C788">
            <v>68</v>
          </cell>
          <cell r="D788">
            <v>17</v>
          </cell>
          <cell r="E788">
            <v>792030</v>
          </cell>
          <cell r="F788">
            <v>0</v>
          </cell>
          <cell r="G788" t="str">
            <v>Затраты по ШПЗ (неосновные)</v>
          </cell>
          <cell r="H788">
            <v>2030</v>
          </cell>
          <cell r="I788">
            <v>7920</v>
          </cell>
          <cell r="J788">
            <v>1526.25</v>
          </cell>
          <cell r="K788">
            <v>1</v>
          </cell>
          <cell r="L788">
            <v>0</v>
          </cell>
          <cell r="M788">
            <v>0</v>
          </cell>
          <cell r="N788">
            <v>0</v>
          </cell>
          <cell r="R788">
            <v>0</v>
          </cell>
          <cell r="S788">
            <v>0</v>
          </cell>
          <cell r="T788">
            <v>0</v>
          </cell>
          <cell r="U788">
            <v>33</v>
          </cell>
          <cell r="V788">
            <v>0</v>
          </cell>
          <cell r="W788">
            <v>0</v>
          </cell>
          <cell r="AA788">
            <v>0</v>
          </cell>
          <cell r="AB788">
            <v>0</v>
          </cell>
          <cell r="AC788">
            <v>0</v>
          </cell>
          <cell r="AD788">
            <v>33</v>
          </cell>
          <cell r="AE788">
            <v>313000</v>
          </cell>
          <cell r="AF788">
            <v>0</v>
          </cell>
          <cell r="AI788">
            <v>2373</v>
          </cell>
          <cell r="AK788">
            <v>0</v>
          </cell>
          <cell r="AM788">
            <v>212</v>
          </cell>
          <cell r="AN788">
            <v>1</v>
          </cell>
          <cell r="AO788">
            <v>393216</v>
          </cell>
          <cell r="AQ788">
            <v>0</v>
          </cell>
          <cell r="AR788">
            <v>0</v>
          </cell>
          <cell r="AS788" t="str">
            <v>Ы</v>
          </cell>
          <cell r="AT788" t="str">
            <v>Ы</v>
          </cell>
          <cell r="AU788">
            <v>0</v>
          </cell>
          <cell r="AV788">
            <v>0</v>
          </cell>
          <cell r="AW788">
            <v>23</v>
          </cell>
          <cell r="AX788">
            <v>1</v>
          </cell>
          <cell r="AY788">
            <v>0</v>
          </cell>
          <cell r="AZ788">
            <v>0</v>
          </cell>
          <cell r="BA788">
            <v>0</v>
          </cell>
          <cell r="BB788">
            <v>0</v>
          </cell>
          <cell r="BC788">
            <v>38916</v>
          </cell>
        </row>
        <row r="789">
          <cell r="A789">
            <v>2006</v>
          </cell>
          <cell r="B789">
            <v>6</v>
          </cell>
          <cell r="C789">
            <v>69</v>
          </cell>
          <cell r="D789">
            <v>17</v>
          </cell>
          <cell r="E789">
            <v>792030</v>
          </cell>
          <cell r="F789">
            <v>0</v>
          </cell>
          <cell r="G789" t="str">
            <v>Затраты по ШПЗ (неосновные)</v>
          </cell>
          <cell r="H789">
            <v>2030</v>
          </cell>
          <cell r="I789">
            <v>7920</v>
          </cell>
          <cell r="J789">
            <v>2775</v>
          </cell>
          <cell r="K789">
            <v>1</v>
          </cell>
          <cell r="L789">
            <v>0</v>
          </cell>
          <cell r="M789">
            <v>0</v>
          </cell>
          <cell r="N789">
            <v>0</v>
          </cell>
          <cell r="R789">
            <v>0</v>
          </cell>
          <cell r="S789">
            <v>0</v>
          </cell>
          <cell r="T789">
            <v>0</v>
          </cell>
          <cell r="U789">
            <v>33</v>
          </cell>
          <cell r="V789">
            <v>0</v>
          </cell>
          <cell r="W789">
            <v>0</v>
          </cell>
          <cell r="AA789">
            <v>0</v>
          </cell>
          <cell r="AB789">
            <v>0</v>
          </cell>
          <cell r="AC789">
            <v>0</v>
          </cell>
          <cell r="AD789">
            <v>33</v>
          </cell>
          <cell r="AE789">
            <v>314000</v>
          </cell>
          <cell r="AF789">
            <v>0</v>
          </cell>
          <cell r="AI789">
            <v>2373</v>
          </cell>
          <cell r="AK789">
            <v>0</v>
          </cell>
          <cell r="AM789">
            <v>213</v>
          </cell>
          <cell r="AN789">
            <v>1</v>
          </cell>
          <cell r="AO789">
            <v>393216</v>
          </cell>
          <cell r="AQ789">
            <v>0</v>
          </cell>
          <cell r="AR789">
            <v>0</v>
          </cell>
          <cell r="AS789" t="str">
            <v>Ы</v>
          </cell>
          <cell r="AT789" t="str">
            <v>Ы</v>
          </cell>
          <cell r="AU789">
            <v>0</v>
          </cell>
          <cell r="AV789">
            <v>0</v>
          </cell>
          <cell r="AW789">
            <v>23</v>
          </cell>
          <cell r="AX789">
            <v>1</v>
          </cell>
          <cell r="AY789">
            <v>0</v>
          </cell>
          <cell r="AZ789">
            <v>0</v>
          </cell>
          <cell r="BA789">
            <v>0</v>
          </cell>
          <cell r="BB789">
            <v>0</v>
          </cell>
          <cell r="BC789">
            <v>38916</v>
          </cell>
        </row>
        <row r="790">
          <cell r="A790">
            <v>2006</v>
          </cell>
          <cell r="B790">
            <v>6</v>
          </cell>
          <cell r="C790">
            <v>70</v>
          </cell>
          <cell r="D790">
            <v>17</v>
          </cell>
          <cell r="E790">
            <v>792030</v>
          </cell>
          <cell r="F790">
            <v>0</v>
          </cell>
          <cell r="G790" t="str">
            <v>Затраты по ШПЗ (неосновные)</v>
          </cell>
          <cell r="H790">
            <v>2030</v>
          </cell>
          <cell r="I790">
            <v>7920</v>
          </cell>
          <cell r="J790">
            <v>555.96</v>
          </cell>
          <cell r="K790">
            <v>1</v>
          </cell>
          <cell r="L790">
            <v>0</v>
          </cell>
          <cell r="M790">
            <v>0</v>
          </cell>
          <cell r="N790">
            <v>0</v>
          </cell>
          <cell r="R790">
            <v>0</v>
          </cell>
          <cell r="S790">
            <v>0</v>
          </cell>
          <cell r="T790">
            <v>0</v>
          </cell>
          <cell r="U790">
            <v>33</v>
          </cell>
          <cell r="V790">
            <v>0</v>
          </cell>
          <cell r="W790">
            <v>0</v>
          </cell>
          <cell r="AA790">
            <v>0</v>
          </cell>
          <cell r="AB790">
            <v>0</v>
          </cell>
          <cell r="AC790">
            <v>0</v>
          </cell>
          <cell r="AD790">
            <v>33</v>
          </cell>
          <cell r="AE790">
            <v>315000</v>
          </cell>
          <cell r="AF790">
            <v>0</v>
          </cell>
          <cell r="AI790">
            <v>2373</v>
          </cell>
          <cell r="AK790">
            <v>0</v>
          </cell>
          <cell r="AM790">
            <v>214</v>
          </cell>
          <cell r="AN790">
            <v>1</v>
          </cell>
          <cell r="AO790">
            <v>393216</v>
          </cell>
          <cell r="AQ790">
            <v>0</v>
          </cell>
          <cell r="AR790">
            <v>0</v>
          </cell>
          <cell r="AS790" t="str">
            <v>Ы</v>
          </cell>
          <cell r="AT790" t="str">
            <v>Ы</v>
          </cell>
          <cell r="AU790">
            <v>0</v>
          </cell>
          <cell r="AV790">
            <v>0</v>
          </cell>
          <cell r="AW790">
            <v>23</v>
          </cell>
          <cell r="AX790">
            <v>1</v>
          </cell>
          <cell r="AY790">
            <v>0</v>
          </cell>
          <cell r="AZ790">
            <v>0</v>
          </cell>
          <cell r="BA790">
            <v>0</v>
          </cell>
          <cell r="BB790">
            <v>0</v>
          </cell>
          <cell r="BC790">
            <v>38916</v>
          </cell>
        </row>
        <row r="791">
          <cell r="A791">
            <v>2006</v>
          </cell>
          <cell r="B791">
            <v>6</v>
          </cell>
          <cell r="C791">
            <v>71</v>
          </cell>
          <cell r="D791">
            <v>17</v>
          </cell>
          <cell r="E791">
            <v>792030</v>
          </cell>
          <cell r="F791">
            <v>0</v>
          </cell>
          <cell r="G791" t="str">
            <v>Затраты по ШПЗ (неосновные)</v>
          </cell>
          <cell r="H791">
            <v>2030</v>
          </cell>
          <cell r="I791">
            <v>7920</v>
          </cell>
          <cell r="J791">
            <v>255</v>
          </cell>
          <cell r="K791">
            <v>1</v>
          </cell>
          <cell r="L791">
            <v>0</v>
          </cell>
          <cell r="M791">
            <v>0</v>
          </cell>
          <cell r="N791">
            <v>0</v>
          </cell>
          <cell r="R791">
            <v>0</v>
          </cell>
          <cell r="S791">
            <v>0</v>
          </cell>
          <cell r="T791">
            <v>0</v>
          </cell>
          <cell r="U791">
            <v>33</v>
          </cell>
          <cell r="V791">
            <v>0</v>
          </cell>
          <cell r="W791">
            <v>0</v>
          </cell>
          <cell r="AA791">
            <v>0</v>
          </cell>
          <cell r="AB791">
            <v>0</v>
          </cell>
          <cell r="AC791">
            <v>0</v>
          </cell>
          <cell r="AD791">
            <v>33</v>
          </cell>
          <cell r="AE791">
            <v>503000</v>
          </cell>
          <cell r="AF791">
            <v>0</v>
          </cell>
          <cell r="AI791">
            <v>2373</v>
          </cell>
          <cell r="AK791">
            <v>0</v>
          </cell>
          <cell r="AM791">
            <v>215</v>
          </cell>
          <cell r="AN791">
            <v>1</v>
          </cell>
          <cell r="AO791">
            <v>393216</v>
          </cell>
          <cell r="AQ791">
            <v>0</v>
          </cell>
          <cell r="AR791">
            <v>0</v>
          </cell>
          <cell r="AS791" t="str">
            <v>Ы</v>
          </cell>
          <cell r="AT791" t="str">
            <v>Ы</v>
          </cell>
          <cell r="AU791">
            <v>0</v>
          </cell>
          <cell r="AV791">
            <v>0</v>
          </cell>
          <cell r="AW791">
            <v>23</v>
          </cell>
          <cell r="AX791">
            <v>1</v>
          </cell>
          <cell r="AY791">
            <v>0</v>
          </cell>
          <cell r="AZ791">
            <v>0</v>
          </cell>
          <cell r="BA791">
            <v>0</v>
          </cell>
          <cell r="BB791">
            <v>0</v>
          </cell>
          <cell r="BC791">
            <v>38916</v>
          </cell>
        </row>
        <row r="792">
          <cell r="A792">
            <v>2006</v>
          </cell>
          <cell r="B792">
            <v>6</v>
          </cell>
          <cell r="C792">
            <v>72</v>
          </cell>
          <cell r="D792">
            <v>17</v>
          </cell>
          <cell r="E792">
            <v>792030</v>
          </cell>
          <cell r="F792">
            <v>0</v>
          </cell>
          <cell r="G792" t="str">
            <v>Затраты по ШПЗ (неосновные)</v>
          </cell>
          <cell r="H792">
            <v>2030</v>
          </cell>
          <cell r="I792">
            <v>7920</v>
          </cell>
          <cell r="J792">
            <v>826</v>
          </cell>
          <cell r="K792">
            <v>1</v>
          </cell>
          <cell r="L792">
            <v>0</v>
          </cell>
          <cell r="M792">
            <v>0</v>
          </cell>
          <cell r="N792">
            <v>0</v>
          </cell>
          <cell r="R792">
            <v>0</v>
          </cell>
          <cell r="S792">
            <v>0</v>
          </cell>
          <cell r="T792">
            <v>0</v>
          </cell>
          <cell r="U792">
            <v>33</v>
          </cell>
          <cell r="V792">
            <v>0</v>
          </cell>
          <cell r="W792">
            <v>0</v>
          </cell>
          <cell r="AA792">
            <v>0</v>
          </cell>
          <cell r="AB792">
            <v>0</v>
          </cell>
          <cell r="AC792">
            <v>0</v>
          </cell>
          <cell r="AD792">
            <v>33</v>
          </cell>
          <cell r="AE792">
            <v>510100</v>
          </cell>
          <cell r="AF792">
            <v>0</v>
          </cell>
          <cell r="AI792">
            <v>2373</v>
          </cell>
          <cell r="AK792">
            <v>0</v>
          </cell>
          <cell r="AM792">
            <v>216</v>
          </cell>
          <cell r="AN792">
            <v>1</v>
          </cell>
          <cell r="AO792">
            <v>393216</v>
          </cell>
          <cell r="AQ792">
            <v>0</v>
          </cell>
          <cell r="AR792">
            <v>0</v>
          </cell>
          <cell r="AS792" t="str">
            <v>Ы</v>
          </cell>
          <cell r="AT792" t="str">
            <v>Ы</v>
          </cell>
          <cell r="AU792">
            <v>0</v>
          </cell>
          <cell r="AV792">
            <v>0</v>
          </cell>
          <cell r="AW792">
            <v>23</v>
          </cell>
          <cell r="AX792">
            <v>1</v>
          </cell>
          <cell r="AY792">
            <v>0</v>
          </cell>
          <cell r="AZ792">
            <v>0</v>
          </cell>
          <cell r="BA792">
            <v>0</v>
          </cell>
          <cell r="BB792">
            <v>0</v>
          </cell>
          <cell r="BC792">
            <v>38916</v>
          </cell>
        </row>
        <row r="793">
          <cell r="A793">
            <v>2006</v>
          </cell>
          <cell r="B793">
            <v>6</v>
          </cell>
          <cell r="C793">
            <v>202</v>
          </cell>
          <cell r="D793">
            <v>17</v>
          </cell>
          <cell r="E793">
            <v>792030</v>
          </cell>
          <cell r="F793">
            <v>0</v>
          </cell>
          <cell r="G793" t="str">
            <v>Затраты по ШПЗ (неосновные)</v>
          </cell>
          <cell r="H793">
            <v>2030</v>
          </cell>
          <cell r="I793">
            <v>7920</v>
          </cell>
          <cell r="J793">
            <v>47.33</v>
          </cell>
          <cell r="K793">
            <v>1</v>
          </cell>
          <cell r="L793">
            <v>0</v>
          </cell>
          <cell r="M793">
            <v>0</v>
          </cell>
          <cell r="N793">
            <v>0</v>
          </cell>
          <cell r="R793">
            <v>0</v>
          </cell>
          <cell r="S793">
            <v>0</v>
          </cell>
          <cell r="T793">
            <v>0</v>
          </cell>
          <cell r="U793">
            <v>32</v>
          </cell>
          <cell r="V793">
            <v>0</v>
          </cell>
          <cell r="W793">
            <v>0</v>
          </cell>
          <cell r="AA793">
            <v>0</v>
          </cell>
          <cell r="AB793">
            <v>0</v>
          </cell>
          <cell r="AC793">
            <v>0</v>
          </cell>
          <cell r="AD793">
            <v>32</v>
          </cell>
          <cell r="AE793">
            <v>110000</v>
          </cell>
          <cell r="AF793">
            <v>0</v>
          </cell>
          <cell r="AI793">
            <v>2373</v>
          </cell>
          <cell r="AK793">
            <v>0</v>
          </cell>
          <cell r="AM793">
            <v>346</v>
          </cell>
          <cell r="AN793">
            <v>1</v>
          </cell>
          <cell r="AO793">
            <v>393216</v>
          </cell>
          <cell r="AQ793">
            <v>0</v>
          </cell>
          <cell r="AR793">
            <v>0</v>
          </cell>
          <cell r="AS793" t="str">
            <v>Ы</v>
          </cell>
          <cell r="AT793" t="str">
            <v>Ы</v>
          </cell>
          <cell r="AU793">
            <v>0</v>
          </cell>
          <cell r="AV793">
            <v>0</v>
          </cell>
          <cell r="AW793">
            <v>23</v>
          </cell>
          <cell r="AX793">
            <v>1</v>
          </cell>
          <cell r="AY793">
            <v>0</v>
          </cell>
          <cell r="AZ793">
            <v>0</v>
          </cell>
          <cell r="BA793">
            <v>0</v>
          </cell>
          <cell r="BB793">
            <v>0</v>
          </cell>
          <cell r="BC793">
            <v>38916</v>
          </cell>
        </row>
        <row r="794">
          <cell r="A794">
            <v>2006</v>
          </cell>
          <cell r="B794">
            <v>6</v>
          </cell>
          <cell r="C794">
            <v>203</v>
          </cell>
          <cell r="D794">
            <v>17</v>
          </cell>
          <cell r="E794">
            <v>792030</v>
          </cell>
          <cell r="F794">
            <v>0</v>
          </cell>
          <cell r="G794" t="str">
            <v>Затраты по ШПЗ (неосновные)</v>
          </cell>
          <cell r="H794">
            <v>2030</v>
          </cell>
          <cell r="I794">
            <v>7920</v>
          </cell>
          <cell r="J794">
            <v>-11.3</v>
          </cell>
          <cell r="K794">
            <v>1</v>
          </cell>
          <cell r="L794">
            <v>0</v>
          </cell>
          <cell r="M794">
            <v>0</v>
          </cell>
          <cell r="N794">
            <v>0</v>
          </cell>
          <cell r="R794">
            <v>0</v>
          </cell>
          <cell r="S794">
            <v>0</v>
          </cell>
          <cell r="T794">
            <v>0</v>
          </cell>
          <cell r="U794">
            <v>32</v>
          </cell>
          <cell r="V794">
            <v>0</v>
          </cell>
          <cell r="W794">
            <v>0</v>
          </cell>
          <cell r="AA794">
            <v>0</v>
          </cell>
          <cell r="AB794">
            <v>0</v>
          </cell>
          <cell r="AC794">
            <v>0</v>
          </cell>
          <cell r="AD794">
            <v>32</v>
          </cell>
          <cell r="AE794">
            <v>114020</v>
          </cell>
          <cell r="AF794">
            <v>0</v>
          </cell>
          <cell r="AI794">
            <v>2373</v>
          </cell>
          <cell r="AK794">
            <v>0</v>
          </cell>
          <cell r="AM794">
            <v>347</v>
          </cell>
          <cell r="AN794">
            <v>1</v>
          </cell>
          <cell r="AO794">
            <v>393216</v>
          </cell>
          <cell r="AQ794">
            <v>0</v>
          </cell>
          <cell r="AR794">
            <v>0</v>
          </cell>
          <cell r="AS794" t="str">
            <v>Ы</v>
          </cell>
          <cell r="AT794" t="str">
            <v>Ы</v>
          </cell>
          <cell r="AU794">
            <v>0</v>
          </cell>
          <cell r="AV794">
            <v>0</v>
          </cell>
          <cell r="AW794">
            <v>23</v>
          </cell>
          <cell r="AX794">
            <v>1</v>
          </cell>
          <cell r="AY794">
            <v>0</v>
          </cell>
          <cell r="AZ794">
            <v>0</v>
          </cell>
          <cell r="BA794">
            <v>0</v>
          </cell>
          <cell r="BB794">
            <v>0</v>
          </cell>
          <cell r="BC794">
            <v>38916</v>
          </cell>
        </row>
        <row r="795">
          <cell r="A795">
            <v>2006</v>
          </cell>
          <cell r="B795">
            <v>6</v>
          </cell>
          <cell r="C795">
            <v>204</v>
          </cell>
          <cell r="D795">
            <v>17</v>
          </cell>
          <cell r="E795">
            <v>792030</v>
          </cell>
          <cell r="F795">
            <v>0</v>
          </cell>
          <cell r="G795" t="str">
            <v>Затраты по ШПЗ (неосновные)</v>
          </cell>
          <cell r="H795">
            <v>2030</v>
          </cell>
          <cell r="I795">
            <v>7920</v>
          </cell>
          <cell r="J795">
            <v>17.2</v>
          </cell>
          <cell r="K795">
            <v>1</v>
          </cell>
          <cell r="L795">
            <v>0</v>
          </cell>
          <cell r="M795">
            <v>0</v>
          </cell>
          <cell r="N795">
            <v>0</v>
          </cell>
          <cell r="R795">
            <v>0</v>
          </cell>
          <cell r="S795">
            <v>0</v>
          </cell>
          <cell r="T795">
            <v>0</v>
          </cell>
          <cell r="U795">
            <v>32</v>
          </cell>
          <cell r="V795">
            <v>0</v>
          </cell>
          <cell r="W795">
            <v>0</v>
          </cell>
          <cell r="AA795">
            <v>0</v>
          </cell>
          <cell r="AB795">
            <v>0</v>
          </cell>
          <cell r="AC795">
            <v>0</v>
          </cell>
          <cell r="AD795">
            <v>32</v>
          </cell>
          <cell r="AE795">
            <v>117000</v>
          </cell>
          <cell r="AF795">
            <v>0</v>
          </cell>
          <cell r="AI795">
            <v>2373</v>
          </cell>
          <cell r="AK795">
            <v>0</v>
          </cell>
          <cell r="AM795">
            <v>348</v>
          </cell>
          <cell r="AN795">
            <v>1</v>
          </cell>
          <cell r="AO795">
            <v>393216</v>
          </cell>
          <cell r="AQ795">
            <v>0</v>
          </cell>
          <cell r="AR795">
            <v>0</v>
          </cell>
          <cell r="AS795" t="str">
            <v>Ы</v>
          </cell>
          <cell r="AT795" t="str">
            <v>Ы</v>
          </cell>
          <cell r="AU795">
            <v>0</v>
          </cell>
          <cell r="AV795">
            <v>0</v>
          </cell>
          <cell r="AW795">
            <v>23</v>
          </cell>
          <cell r="AX795">
            <v>1</v>
          </cell>
          <cell r="AY795">
            <v>0</v>
          </cell>
          <cell r="AZ795">
            <v>0</v>
          </cell>
          <cell r="BA795">
            <v>0</v>
          </cell>
          <cell r="BB795">
            <v>0</v>
          </cell>
          <cell r="BC795">
            <v>38916</v>
          </cell>
        </row>
        <row r="796">
          <cell r="A796">
            <v>2006</v>
          </cell>
          <cell r="B796">
            <v>6</v>
          </cell>
          <cell r="C796">
            <v>205</v>
          </cell>
          <cell r="D796">
            <v>17</v>
          </cell>
          <cell r="E796">
            <v>792030</v>
          </cell>
          <cell r="F796">
            <v>0</v>
          </cell>
          <cell r="G796" t="str">
            <v>Затраты по ШПЗ (неосновные)</v>
          </cell>
          <cell r="H796">
            <v>2030</v>
          </cell>
          <cell r="I796">
            <v>7920</v>
          </cell>
          <cell r="J796">
            <v>-3.75</v>
          </cell>
          <cell r="K796">
            <v>1</v>
          </cell>
          <cell r="L796">
            <v>0</v>
          </cell>
          <cell r="M796">
            <v>0</v>
          </cell>
          <cell r="N796">
            <v>0</v>
          </cell>
          <cell r="R796">
            <v>0</v>
          </cell>
          <cell r="S796">
            <v>0</v>
          </cell>
          <cell r="T796">
            <v>0</v>
          </cell>
          <cell r="U796">
            <v>32</v>
          </cell>
          <cell r="V796">
            <v>0</v>
          </cell>
          <cell r="W796">
            <v>0</v>
          </cell>
          <cell r="AA796">
            <v>0</v>
          </cell>
          <cell r="AB796">
            <v>0</v>
          </cell>
          <cell r="AC796">
            <v>0</v>
          </cell>
          <cell r="AD796">
            <v>32</v>
          </cell>
          <cell r="AE796">
            <v>130000</v>
          </cell>
          <cell r="AF796">
            <v>0</v>
          </cell>
          <cell r="AI796">
            <v>2373</v>
          </cell>
          <cell r="AK796">
            <v>0</v>
          </cell>
          <cell r="AM796">
            <v>349</v>
          </cell>
          <cell r="AN796">
            <v>1</v>
          </cell>
          <cell r="AO796">
            <v>393216</v>
          </cell>
          <cell r="AQ796">
            <v>0</v>
          </cell>
          <cell r="AR796">
            <v>0</v>
          </cell>
          <cell r="AS796" t="str">
            <v>Ы</v>
          </cell>
          <cell r="AT796" t="str">
            <v>Ы</v>
          </cell>
          <cell r="AU796">
            <v>0</v>
          </cell>
          <cell r="AV796">
            <v>0</v>
          </cell>
          <cell r="AW796">
            <v>23</v>
          </cell>
          <cell r="AX796">
            <v>1</v>
          </cell>
          <cell r="AY796">
            <v>0</v>
          </cell>
          <cell r="AZ796">
            <v>0</v>
          </cell>
          <cell r="BA796">
            <v>0</v>
          </cell>
          <cell r="BB796">
            <v>0</v>
          </cell>
          <cell r="BC796">
            <v>38916</v>
          </cell>
        </row>
        <row r="797">
          <cell r="A797">
            <v>2006</v>
          </cell>
          <cell r="B797">
            <v>6</v>
          </cell>
          <cell r="C797">
            <v>206</v>
          </cell>
          <cell r="D797">
            <v>17</v>
          </cell>
          <cell r="E797">
            <v>792030</v>
          </cell>
          <cell r="F797">
            <v>0</v>
          </cell>
          <cell r="G797" t="str">
            <v>Затраты по ШПЗ (неосновные)</v>
          </cell>
          <cell r="H797">
            <v>2030</v>
          </cell>
          <cell r="I797">
            <v>7920</v>
          </cell>
          <cell r="J797">
            <v>80.31</v>
          </cell>
          <cell r="K797">
            <v>1</v>
          </cell>
          <cell r="L797">
            <v>0</v>
          </cell>
          <cell r="M797">
            <v>0</v>
          </cell>
          <cell r="N797">
            <v>0</v>
          </cell>
          <cell r="R797">
            <v>0</v>
          </cell>
          <cell r="S797">
            <v>0</v>
          </cell>
          <cell r="T797">
            <v>0</v>
          </cell>
          <cell r="U797">
            <v>32</v>
          </cell>
          <cell r="V797">
            <v>0</v>
          </cell>
          <cell r="W797">
            <v>0</v>
          </cell>
          <cell r="AA797">
            <v>0</v>
          </cell>
          <cell r="AB797">
            <v>0</v>
          </cell>
          <cell r="AC797">
            <v>0</v>
          </cell>
          <cell r="AD797">
            <v>32</v>
          </cell>
          <cell r="AE797">
            <v>130100</v>
          </cell>
          <cell r="AF797">
            <v>0</v>
          </cell>
          <cell r="AI797">
            <v>2373</v>
          </cell>
          <cell r="AK797">
            <v>0</v>
          </cell>
          <cell r="AM797">
            <v>350</v>
          </cell>
          <cell r="AN797">
            <v>1</v>
          </cell>
          <cell r="AO797">
            <v>393216</v>
          </cell>
          <cell r="AQ797">
            <v>0</v>
          </cell>
          <cell r="AR797">
            <v>0</v>
          </cell>
          <cell r="AS797" t="str">
            <v>Ы</v>
          </cell>
          <cell r="AT797" t="str">
            <v>Ы</v>
          </cell>
          <cell r="AU797">
            <v>0</v>
          </cell>
          <cell r="AV797">
            <v>0</v>
          </cell>
          <cell r="AW797">
            <v>23</v>
          </cell>
          <cell r="AX797">
            <v>1</v>
          </cell>
          <cell r="AY797">
            <v>0</v>
          </cell>
          <cell r="AZ797">
            <v>0</v>
          </cell>
          <cell r="BA797">
            <v>0</v>
          </cell>
          <cell r="BB797">
            <v>0</v>
          </cell>
          <cell r="BC797">
            <v>38916</v>
          </cell>
        </row>
        <row r="798">
          <cell r="A798">
            <v>2006</v>
          </cell>
          <cell r="B798">
            <v>6</v>
          </cell>
          <cell r="C798">
            <v>207</v>
          </cell>
          <cell r="D798">
            <v>17</v>
          </cell>
          <cell r="E798">
            <v>792030</v>
          </cell>
          <cell r="F798">
            <v>0</v>
          </cell>
          <cell r="G798" t="str">
            <v>Затраты по ШПЗ (неосновные)</v>
          </cell>
          <cell r="H798">
            <v>2030</v>
          </cell>
          <cell r="I798">
            <v>7920</v>
          </cell>
          <cell r="J798">
            <v>5.01</v>
          </cell>
          <cell r="K798">
            <v>1</v>
          </cell>
          <cell r="L798">
            <v>0</v>
          </cell>
          <cell r="M798">
            <v>0</v>
          </cell>
          <cell r="N798">
            <v>0</v>
          </cell>
          <cell r="R798">
            <v>0</v>
          </cell>
          <cell r="S798">
            <v>0</v>
          </cell>
          <cell r="T798">
            <v>0</v>
          </cell>
          <cell r="U798">
            <v>32</v>
          </cell>
          <cell r="V798">
            <v>0</v>
          </cell>
          <cell r="W798">
            <v>0</v>
          </cell>
          <cell r="AA798">
            <v>0</v>
          </cell>
          <cell r="AB798">
            <v>0</v>
          </cell>
          <cell r="AC798">
            <v>0</v>
          </cell>
          <cell r="AD798">
            <v>32</v>
          </cell>
          <cell r="AE798">
            <v>131000</v>
          </cell>
          <cell r="AF798">
            <v>0</v>
          </cell>
          <cell r="AI798">
            <v>2373</v>
          </cell>
          <cell r="AK798">
            <v>0</v>
          </cell>
          <cell r="AM798">
            <v>351</v>
          </cell>
          <cell r="AN798">
            <v>1</v>
          </cell>
          <cell r="AO798">
            <v>393216</v>
          </cell>
          <cell r="AQ798">
            <v>0</v>
          </cell>
          <cell r="AR798">
            <v>0</v>
          </cell>
          <cell r="AS798" t="str">
            <v>Ы</v>
          </cell>
          <cell r="AT798" t="str">
            <v>Ы</v>
          </cell>
          <cell r="AU798">
            <v>0</v>
          </cell>
          <cell r="AV798">
            <v>0</v>
          </cell>
          <cell r="AW798">
            <v>23</v>
          </cell>
          <cell r="AX798">
            <v>1</v>
          </cell>
          <cell r="AY798">
            <v>0</v>
          </cell>
          <cell r="AZ798">
            <v>0</v>
          </cell>
          <cell r="BA798">
            <v>0</v>
          </cell>
          <cell r="BB798">
            <v>0</v>
          </cell>
          <cell r="BC798">
            <v>38916</v>
          </cell>
        </row>
        <row r="799">
          <cell r="A799">
            <v>2006</v>
          </cell>
          <cell r="B799">
            <v>6</v>
          </cell>
          <cell r="C799">
            <v>208</v>
          </cell>
          <cell r="D799">
            <v>17</v>
          </cell>
          <cell r="E799">
            <v>792030</v>
          </cell>
          <cell r="F799">
            <v>0</v>
          </cell>
          <cell r="G799" t="str">
            <v>Затраты по ШПЗ (неосновные)</v>
          </cell>
          <cell r="H799">
            <v>2030</v>
          </cell>
          <cell r="I799">
            <v>7920</v>
          </cell>
          <cell r="J799">
            <v>30</v>
          </cell>
          <cell r="K799">
            <v>1</v>
          </cell>
          <cell r="L799">
            <v>0</v>
          </cell>
          <cell r="M799">
            <v>0</v>
          </cell>
          <cell r="N799">
            <v>0</v>
          </cell>
          <cell r="R799">
            <v>0</v>
          </cell>
          <cell r="S799">
            <v>0</v>
          </cell>
          <cell r="T799">
            <v>0</v>
          </cell>
          <cell r="U799">
            <v>32</v>
          </cell>
          <cell r="V799">
            <v>0</v>
          </cell>
          <cell r="W799">
            <v>0</v>
          </cell>
          <cell r="AA799">
            <v>0</v>
          </cell>
          <cell r="AB799">
            <v>0</v>
          </cell>
          <cell r="AC799">
            <v>0</v>
          </cell>
          <cell r="AD799">
            <v>32</v>
          </cell>
          <cell r="AE799">
            <v>132000</v>
          </cell>
          <cell r="AF799">
            <v>0</v>
          </cell>
          <cell r="AI799">
            <v>2373</v>
          </cell>
          <cell r="AK799">
            <v>0</v>
          </cell>
          <cell r="AM799">
            <v>352</v>
          </cell>
          <cell r="AN799">
            <v>1</v>
          </cell>
          <cell r="AO799">
            <v>393216</v>
          </cell>
          <cell r="AQ799">
            <v>0</v>
          </cell>
          <cell r="AR799">
            <v>0</v>
          </cell>
          <cell r="AS799" t="str">
            <v>Ы</v>
          </cell>
          <cell r="AT799" t="str">
            <v>Ы</v>
          </cell>
          <cell r="AU799">
            <v>0</v>
          </cell>
          <cell r="AV799">
            <v>0</v>
          </cell>
          <cell r="AW799">
            <v>23</v>
          </cell>
          <cell r="AX799">
            <v>1</v>
          </cell>
          <cell r="AY799">
            <v>0</v>
          </cell>
          <cell r="AZ799">
            <v>0</v>
          </cell>
          <cell r="BA799">
            <v>0</v>
          </cell>
          <cell r="BB799">
            <v>0</v>
          </cell>
          <cell r="BC799">
            <v>38916</v>
          </cell>
        </row>
        <row r="800">
          <cell r="A800">
            <v>2006</v>
          </cell>
          <cell r="B800">
            <v>6</v>
          </cell>
          <cell r="C800">
            <v>209</v>
          </cell>
          <cell r="D800">
            <v>17</v>
          </cell>
          <cell r="E800">
            <v>792030</v>
          </cell>
          <cell r="F800">
            <v>0</v>
          </cell>
          <cell r="G800" t="str">
            <v>Затраты по ШПЗ (неосновные)</v>
          </cell>
          <cell r="H800">
            <v>2030</v>
          </cell>
          <cell r="I800">
            <v>7920</v>
          </cell>
          <cell r="J800">
            <v>-10.78</v>
          </cell>
          <cell r="K800">
            <v>1</v>
          </cell>
          <cell r="L800">
            <v>0</v>
          </cell>
          <cell r="M800">
            <v>0</v>
          </cell>
          <cell r="N800">
            <v>0</v>
          </cell>
          <cell r="R800">
            <v>0</v>
          </cell>
          <cell r="S800">
            <v>0</v>
          </cell>
          <cell r="T800">
            <v>0</v>
          </cell>
          <cell r="U800">
            <v>32</v>
          </cell>
          <cell r="V800">
            <v>0</v>
          </cell>
          <cell r="W800">
            <v>0</v>
          </cell>
          <cell r="AA800">
            <v>0</v>
          </cell>
          <cell r="AB800">
            <v>0</v>
          </cell>
          <cell r="AC800">
            <v>0</v>
          </cell>
          <cell r="AD800">
            <v>32</v>
          </cell>
          <cell r="AE800">
            <v>133200</v>
          </cell>
          <cell r="AF800">
            <v>0</v>
          </cell>
          <cell r="AI800">
            <v>2373</v>
          </cell>
          <cell r="AK800">
            <v>0</v>
          </cell>
          <cell r="AM800">
            <v>353</v>
          </cell>
          <cell r="AN800">
            <v>1</v>
          </cell>
          <cell r="AO800">
            <v>393216</v>
          </cell>
          <cell r="AQ800">
            <v>0</v>
          </cell>
          <cell r="AR800">
            <v>0</v>
          </cell>
          <cell r="AS800" t="str">
            <v>Ы</v>
          </cell>
          <cell r="AT800" t="str">
            <v>Ы</v>
          </cell>
          <cell r="AU800">
            <v>0</v>
          </cell>
          <cell r="AV800">
            <v>0</v>
          </cell>
          <cell r="AW800">
            <v>23</v>
          </cell>
          <cell r="AX800">
            <v>1</v>
          </cell>
          <cell r="AY800">
            <v>0</v>
          </cell>
          <cell r="AZ800">
            <v>0</v>
          </cell>
          <cell r="BA800">
            <v>0</v>
          </cell>
          <cell r="BB800">
            <v>0</v>
          </cell>
          <cell r="BC800">
            <v>38916</v>
          </cell>
        </row>
        <row r="801">
          <cell r="A801">
            <v>2006</v>
          </cell>
          <cell r="B801">
            <v>6</v>
          </cell>
          <cell r="C801">
            <v>210</v>
          </cell>
          <cell r="D801">
            <v>17</v>
          </cell>
          <cell r="E801">
            <v>792030</v>
          </cell>
          <cell r="F801">
            <v>0</v>
          </cell>
          <cell r="G801" t="str">
            <v>Затраты по ШПЗ (неосновные)</v>
          </cell>
          <cell r="H801">
            <v>2030</v>
          </cell>
          <cell r="I801">
            <v>7920</v>
          </cell>
          <cell r="J801">
            <v>-45.27</v>
          </cell>
          <cell r="K801">
            <v>1</v>
          </cell>
          <cell r="L801">
            <v>0</v>
          </cell>
          <cell r="M801">
            <v>0</v>
          </cell>
          <cell r="N801">
            <v>0</v>
          </cell>
          <cell r="R801">
            <v>0</v>
          </cell>
          <cell r="S801">
            <v>0</v>
          </cell>
          <cell r="T801">
            <v>0</v>
          </cell>
          <cell r="U801">
            <v>32</v>
          </cell>
          <cell r="V801">
            <v>0</v>
          </cell>
          <cell r="W801">
            <v>0</v>
          </cell>
          <cell r="AA801">
            <v>0</v>
          </cell>
          <cell r="AB801">
            <v>0</v>
          </cell>
          <cell r="AC801">
            <v>0</v>
          </cell>
          <cell r="AD801">
            <v>32</v>
          </cell>
          <cell r="AE801">
            <v>135000</v>
          </cell>
          <cell r="AF801">
            <v>0</v>
          </cell>
          <cell r="AI801">
            <v>2373</v>
          </cell>
          <cell r="AK801">
            <v>0</v>
          </cell>
          <cell r="AM801">
            <v>354</v>
          </cell>
          <cell r="AN801">
            <v>1</v>
          </cell>
          <cell r="AO801">
            <v>393216</v>
          </cell>
          <cell r="AQ801">
            <v>0</v>
          </cell>
          <cell r="AR801">
            <v>0</v>
          </cell>
          <cell r="AS801" t="str">
            <v>Ы</v>
          </cell>
          <cell r="AT801" t="str">
            <v>Ы</v>
          </cell>
          <cell r="AU801">
            <v>0</v>
          </cell>
          <cell r="AV801">
            <v>0</v>
          </cell>
          <cell r="AW801">
            <v>23</v>
          </cell>
          <cell r="AX801">
            <v>1</v>
          </cell>
          <cell r="AY801">
            <v>0</v>
          </cell>
          <cell r="AZ801">
            <v>0</v>
          </cell>
          <cell r="BA801">
            <v>0</v>
          </cell>
          <cell r="BB801">
            <v>0</v>
          </cell>
          <cell r="BC801">
            <v>38916</v>
          </cell>
        </row>
        <row r="802">
          <cell r="A802">
            <v>2006</v>
          </cell>
          <cell r="B802">
            <v>6</v>
          </cell>
          <cell r="C802">
            <v>211</v>
          </cell>
          <cell r="D802">
            <v>17</v>
          </cell>
          <cell r="E802">
            <v>792030</v>
          </cell>
          <cell r="F802">
            <v>0</v>
          </cell>
          <cell r="G802" t="str">
            <v>Затраты по ШПЗ (неосновные)</v>
          </cell>
          <cell r="H802">
            <v>2030</v>
          </cell>
          <cell r="I802">
            <v>7920</v>
          </cell>
          <cell r="J802">
            <v>46416.89</v>
          </cell>
          <cell r="K802">
            <v>1</v>
          </cell>
          <cell r="L802">
            <v>0</v>
          </cell>
          <cell r="M802">
            <v>0</v>
          </cell>
          <cell r="N802">
            <v>0</v>
          </cell>
          <cell r="R802">
            <v>0</v>
          </cell>
          <cell r="S802">
            <v>0</v>
          </cell>
          <cell r="T802">
            <v>0</v>
          </cell>
          <cell r="U802">
            <v>32</v>
          </cell>
          <cell r="V802">
            <v>0</v>
          </cell>
          <cell r="W802">
            <v>0</v>
          </cell>
          <cell r="AA802">
            <v>0</v>
          </cell>
          <cell r="AB802">
            <v>0</v>
          </cell>
          <cell r="AC802">
            <v>0</v>
          </cell>
          <cell r="AD802">
            <v>32</v>
          </cell>
          <cell r="AE802">
            <v>143000</v>
          </cell>
          <cell r="AF802">
            <v>0</v>
          </cell>
          <cell r="AI802">
            <v>2373</v>
          </cell>
          <cell r="AK802">
            <v>0</v>
          </cell>
          <cell r="AM802">
            <v>355</v>
          </cell>
          <cell r="AN802">
            <v>1</v>
          </cell>
          <cell r="AO802">
            <v>393216</v>
          </cell>
          <cell r="AQ802">
            <v>0</v>
          </cell>
          <cell r="AR802">
            <v>0</v>
          </cell>
          <cell r="AS802" t="str">
            <v>Ы</v>
          </cell>
          <cell r="AT802" t="str">
            <v>Ы</v>
          </cell>
          <cell r="AU802">
            <v>0</v>
          </cell>
          <cell r="AV802">
            <v>0</v>
          </cell>
          <cell r="AW802">
            <v>23</v>
          </cell>
          <cell r="AX802">
            <v>1</v>
          </cell>
          <cell r="AY802">
            <v>0</v>
          </cell>
          <cell r="AZ802">
            <v>0</v>
          </cell>
          <cell r="BA802">
            <v>0</v>
          </cell>
          <cell r="BB802">
            <v>0</v>
          </cell>
          <cell r="BC802">
            <v>38916</v>
          </cell>
        </row>
        <row r="803">
          <cell r="A803">
            <v>2006</v>
          </cell>
          <cell r="B803">
            <v>6</v>
          </cell>
          <cell r="C803">
            <v>212</v>
          </cell>
          <cell r="D803">
            <v>17</v>
          </cell>
          <cell r="E803">
            <v>792030</v>
          </cell>
          <cell r="F803">
            <v>0</v>
          </cell>
          <cell r="G803" t="str">
            <v>Затраты по ШПЗ (неосновные)</v>
          </cell>
          <cell r="H803">
            <v>2030</v>
          </cell>
          <cell r="I803">
            <v>7920</v>
          </cell>
          <cell r="J803">
            <v>-133.16999999999999</v>
          </cell>
          <cell r="K803">
            <v>1</v>
          </cell>
          <cell r="L803">
            <v>0</v>
          </cell>
          <cell r="M803">
            <v>0</v>
          </cell>
          <cell r="N803">
            <v>0</v>
          </cell>
          <cell r="R803">
            <v>0</v>
          </cell>
          <cell r="S803">
            <v>0</v>
          </cell>
          <cell r="T803">
            <v>0</v>
          </cell>
          <cell r="U803">
            <v>32</v>
          </cell>
          <cell r="V803">
            <v>0</v>
          </cell>
          <cell r="W803">
            <v>0</v>
          </cell>
          <cell r="AA803">
            <v>0</v>
          </cell>
          <cell r="AB803">
            <v>0</v>
          </cell>
          <cell r="AC803">
            <v>0</v>
          </cell>
          <cell r="AD803">
            <v>32</v>
          </cell>
          <cell r="AE803">
            <v>151000</v>
          </cell>
          <cell r="AF803">
            <v>0</v>
          </cell>
          <cell r="AI803">
            <v>2373</v>
          </cell>
          <cell r="AK803">
            <v>0</v>
          </cell>
          <cell r="AM803">
            <v>356</v>
          </cell>
          <cell r="AN803">
            <v>1</v>
          </cell>
          <cell r="AO803">
            <v>393216</v>
          </cell>
          <cell r="AQ803">
            <v>0</v>
          </cell>
          <cell r="AR803">
            <v>0</v>
          </cell>
          <cell r="AS803" t="str">
            <v>Ы</v>
          </cell>
          <cell r="AT803" t="str">
            <v>Ы</v>
          </cell>
          <cell r="AU803">
            <v>0</v>
          </cell>
          <cell r="AV803">
            <v>0</v>
          </cell>
          <cell r="AW803">
            <v>23</v>
          </cell>
          <cell r="AX803">
            <v>1</v>
          </cell>
          <cell r="AY803">
            <v>0</v>
          </cell>
          <cell r="AZ803">
            <v>0</v>
          </cell>
          <cell r="BA803">
            <v>0</v>
          </cell>
          <cell r="BB803">
            <v>0</v>
          </cell>
          <cell r="BC803">
            <v>38916</v>
          </cell>
        </row>
        <row r="804">
          <cell r="A804">
            <v>2006</v>
          </cell>
          <cell r="B804">
            <v>6</v>
          </cell>
          <cell r="C804">
            <v>213</v>
          </cell>
          <cell r="D804">
            <v>17</v>
          </cell>
          <cell r="E804">
            <v>792030</v>
          </cell>
          <cell r="F804">
            <v>0</v>
          </cell>
          <cell r="G804" t="str">
            <v>Затраты по ШПЗ (неосновные)</v>
          </cell>
          <cell r="H804">
            <v>2030</v>
          </cell>
          <cell r="I804">
            <v>7920</v>
          </cell>
          <cell r="J804">
            <v>-12.25</v>
          </cell>
          <cell r="K804">
            <v>1</v>
          </cell>
          <cell r="L804">
            <v>0</v>
          </cell>
          <cell r="M804">
            <v>0</v>
          </cell>
          <cell r="N804">
            <v>0</v>
          </cell>
          <cell r="R804">
            <v>0</v>
          </cell>
          <cell r="S804">
            <v>0</v>
          </cell>
          <cell r="T804">
            <v>0</v>
          </cell>
          <cell r="U804">
            <v>32</v>
          </cell>
          <cell r="V804">
            <v>0</v>
          </cell>
          <cell r="W804">
            <v>0</v>
          </cell>
          <cell r="AA804">
            <v>0</v>
          </cell>
          <cell r="AB804">
            <v>0</v>
          </cell>
          <cell r="AC804">
            <v>0</v>
          </cell>
          <cell r="AD804">
            <v>32</v>
          </cell>
          <cell r="AE804">
            <v>152000</v>
          </cell>
          <cell r="AF804">
            <v>0</v>
          </cell>
          <cell r="AI804">
            <v>2373</v>
          </cell>
          <cell r="AK804">
            <v>0</v>
          </cell>
          <cell r="AM804">
            <v>357</v>
          </cell>
          <cell r="AN804">
            <v>1</v>
          </cell>
          <cell r="AO804">
            <v>393216</v>
          </cell>
          <cell r="AQ804">
            <v>0</v>
          </cell>
          <cell r="AR804">
            <v>0</v>
          </cell>
          <cell r="AS804" t="str">
            <v>Ы</v>
          </cell>
          <cell r="AT804" t="str">
            <v>Ы</v>
          </cell>
          <cell r="AU804">
            <v>0</v>
          </cell>
          <cell r="AV804">
            <v>0</v>
          </cell>
          <cell r="AW804">
            <v>23</v>
          </cell>
          <cell r="AX804">
            <v>1</v>
          </cell>
          <cell r="AY804">
            <v>0</v>
          </cell>
          <cell r="AZ804">
            <v>0</v>
          </cell>
          <cell r="BA804">
            <v>0</v>
          </cell>
          <cell r="BB804">
            <v>0</v>
          </cell>
          <cell r="BC804">
            <v>38916</v>
          </cell>
        </row>
        <row r="805">
          <cell r="A805">
            <v>2006</v>
          </cell>
          <cell r="B805">
            <v>6</v>
          </cell>
          <cell r="C805">
            <v>214</v>
          </cell>
          <cell r="D805">
            <v>17</v>
          </cell>
          <cell r="E805">
            <v>792030</v>
          </cell>
          <cell r="F805">
            <v>0</v>
          </cell>
          <cell r="G805" t="str">
            <v>Затраты по ШПЗ (неосновные)</v>
          </cell>
          <cell r="H805">
            <v>2030</v>
          </cell>
          <cell r="I805">
            <v>7920</v>
          </cell>
          <cell r="J805">
            <v>-968.73</v>
          </cell>
          <cell r="K805">
            <v>1</v>
          </cell>
          <cell r="L805">
            <v>0</v>
          </cell>
          <cell r="M805">
            <v>0</v>
          </cell>
          <cell r="N805">
            <v>0</v>
          </cell>
          <cell r="R805">
            <v>0</v>
          </cell>
          <cell r="S805">
            <v>0</v>
          </cell>
          <cell r="T805">
            <v>0</v>
          </cell>
          <cell r="U805">
            <v>32</v>
          </cell>
          <cell r="V805">
            <v>0</v>
          </cell>
          <cell r="W805">
            <v>0</v>
          </cell>
          <cell r="AA805">
            <v>0</v>
          </cell>
          <cell r="AB805">
            <v>0</v>
          </cell>
          <cell r="AC805">
            <v>0</v>
          </cell>
          <cell r="AD805">
            <v>32</v>
          </cell>
          <cell r="AE805">
            <v>220000</v>
          </cell>
          <cell r="AF805">
            <v>0</v>
          </cell>
          <cell r="AI805">
            <v>2373</v>
          </cell>
          <cell r="AK805">
            <v>0</v>
          </cell>
          <cell r="AM805">
            <v>358</v>
          </cell>
          <cell r="AN805">
            <v>1</v>
          </cell>
          <cell r="AO805">
            <v>393216</v>
          </cell>
          <cell r="AQ805">
            <v>0</v>
          </cell>
          <cell r="AR805">
            <v>0</v>
          </cell>
          <cell r="AS805" t="str">
            <v>Ы</v>
          </cell>
          <cell r="AT805" t="str">
            <v>Ы</v>
          </cell>
          <cell r="AU805">
            <v>0</v>
          </cell>
          <cell r="AV805">
            <v>0</v>
          </cell>
          <cell r="AW805">
            <v>23</v>
          </cell>
          <cell r="AX805">
            <v>1</v>
          </cell>
          <cell r="AY805">
            <v>0</v>
          </cell>
          <cell r="AZ805">
            <v>0</v>
          </cell>
          <cell r="BA805">
            <v>0</v>
          </cell>
          <cell r="BB805">
            <v>0</v>
          </cell>
          <cell r="BC805">
            <v>38916</v>
          </cell>
        </row>
        <row r="806">
          <cell r="A806">
            <v>2006</v>
          </cell>
          <cell r="B806">
            <v>6</v>
          </cell>
          <cell r="C806">
            <v>215</v>
          </cell>
          <cell r="D806">
            <v>17</v>
          </cell>
          <cell r="E806">
            <v>792030</v>
          </cell>
          <cell r="F806">
            <v>0</v>
          </cell>
          <cell r="G806" t="str">
            <v>Затраты по ШПЗ (неосновные)</v>
          </cell>
          <cell r="H806">
            <v>2030</v>
          </cell>
          <cell r="I806">
            <v>7920</v>
          </cell>
          <cell r="J806">
            <v>-487.81</v>
          </cell>
          <cell r="K806">
            <v>1</v>
          </cell>
          <cell r="L806">
            <v>0</v>
          </cell>
          <cell r="M806">
            <v>0</v>
          </cell>
          <cell r="N806">
            <v>0</v>
          </cell>
          <cell r="R806">
            <v>0</v>
          </cell>
          <cell r="S806">
            <v>0</v>
          </cell>
          <cell r="T806">
            <v>0</v>
          </cell>
          <cell r="U806">
            <v>32</v>
          </cell>
          <cell r="V806">
            <v>0</v>
          </cell>
          <cell r="W806">
            <v>0</v>
          </cell>
          <cell r="AA806">
            <v>0</v>
          </cell>
          <cell r="AB806">
            <v>0</v>
          </cell>
          <cell r="AC806">
            <v>0</v>
          </cell>
          <cell r="AD806">
            <v>32</v>
          </cell>
          <cell r="AE806">
            <v>230000</v>
          </cell>
          <cell r="AF806">
            <v>0</v>
          </cell>
          <cell r="AI806">
            <v>2373</v>
          </cell>
          <cell r="AK806">
            <v>0</v>
          </cell>
          <cell r="AM806">
            <v>359</v>
          </cell>
          <cell r="AN806">
            <v>1</v>
          </cell>
          <cell r="AO806">
            <v>393216</v>
          </cell>
          <cell r="AQ806">
            <v>0</v>
          </cell>
          <cell r="AR806">
            <v>0</v>
          </cell>
          <cell r="AS806" t="str">
            <v>Ы</v>
          </cell>
          <cell r="AT806" t="str">
            <v>Ы</v>
          </cell>
          <cell r="AU806">
            <v>0</v>
          </cell>
          <cell r="AV806">
            <v>0</v>
          </cell>
          <cell r="AW806">
            <v>23</v>
          </cell>
          <cell r="AX806">
            <v>1</v>
          </cell>
          <cell r="AY806">
            <v>0</v>
          </cell>
          <cell r="AZ806">
            <v>0</v>
          </cell>
          <cell r="BA806">
            <v>0</v>
          </cell>
          <cell r="BB806">
            <v>0</v>
          </cell>
          <cell r="BC806">
            <v>38916</v>
          </cell>
        </row>
        <row r="807">
          <cell r="A807">
            <v>2006</v>
          </cell>
          <cell r="B807">
            <v>6</v>
          </cell>
          <cell r="C807">
            <v>216</v>
          </cell>
          <cell r="D807">
            <v>17</v>
          </cell>
          <cell r="E807">
            <v>792030</v>
          </cell>
          <cell r="F807">
            <v>0</v>
          </cell>
          <cell r="G807" t="str">
            <v>Затраты по ШПЗ (неосновные)</v>
          </cell>
          <cell r="H807">
            <v>2030</v>
          </cell>
          <cell r="I807">
            <v>7920</v>
          </cell>
          <cell r="J807">
            <v>-172.53</v>
          </cell>
          <cell r="K807">
            <v>1</v>
          </cell>
          <cell r="L807">
            <v>0</v>
          </cell>
          <cell r="M807">
            <v>0</v>
          </cell>
          <cell r="N807">
            <v>0</v>
          </cell>
          <cell r="R807">
            <v>0</v>
          </cell>
          <cell r="S807">
            <v>0</v>
          </cell>
          <cell r="T807">
            <v>0</v>
          </cell>
          <cell r="U807">
            <v>32</v>
          </cell>
          <cell r="V807">
            <v>0</v>
          </cell>
          <cell r="W807">
            <v>0</v>
          </cell>
          <cell r="AA807">
            <v>0</v>
          </cell>
          <cell r="AB807">
            <v>0</v>
          </cell>
          <cell r="AC807">
            <v>0</v>
          </cell>
          <cell r="AD807">
            <v>32</v>
          </cell>
          <cell r="AE807">
            <v>260000</v>
          </cell>
          <cell r="AF807">
            <v>0</v>
          </cell>
          <cell r="AI807">
            <v>2373</v>
          </cell>
          <cell r="AK807">
            <v>0</v>
          </cell>
          <cell r="AM807">
            <v>360</v>
          </cell>
          <cell r="AN807">
            <v>1</v>
          </cell>
          <cell r="AO807">
            <v>393216</v>
          </cell>
          <cell r="AQ807">
            <v>0</v>
          </cell>
          <cell r="AR807">
            <v>0</v>
          </cell>
          <cell r="AS807" t="str">
            <v>Ы</v>
          </cell>
          <cell r="AT807" t="str">
            <v>Ы</v>
          </cell>
          <cell r="AU807">
            <v>0</v>
          </cell>
          <cell r="AV807">
            <v>0</v>
          </cell>
          <cell r="AW807">
            <v>23</v>
          </cell>
          <cell r="AX807">
            <v>1</v>
          </cell>
          <cell r="AY807">
            <v>0</v>
          </cell>
          <cell r="AZ807">
            <v>0</v>
          </cell>
          <cell r="BA807">
            <v>0</v>
          </cell>
          <cell r="BB807">
            <v>0</v>
          </cell>
          <cell r="BC807">
            <v>38916</v>
          </cell>
        </row>
        <row r="808">
          <cell r="A808">
            <v>2006</v>
          </cell>
          <cell r="B808">
            <v>6</v>
          </cell>
          <cell r="C808">
            <v>217</v>
          </cell>
          <cell r="D808">
            <v>17</v>
          </cell>
          <cell r="E808">
            <v>792030</v>
          </cell>
          <cell r="F808">
            <v>0</v>
          </cell>
          <cell r="G808" t="str">
            <v>Затраты по ШПЗ (неосновные)</v>
          </cell>
          <cell r="H808">
            <v>2030</v>
          </cell>
          <cell r="I808">
            <v>7920</v>
          </cell>
          <cell r="J808">
            <v>-165.14</v>
          </cell>
          <cell r="K808">
            <v>1</v>
          </cell>
          <cell r="L808">
            <v>0</v>
          </cell>
          <cell r="M808">
            <v>0</v>
          </cell>
          <cell r="N808">
            <v>0</v>
          </cell>
          <cell r="R808">
            <v>0</v>
          </cell>
          <cell r="S808">
            <v>0</v>
          </cell>
          <cell r="T808">
            <v>0</v>
          </cell>
          <cell r="U808">
            <v>32</v>
          </cell>
          <cell r="V808">
            <v>0</v>
          </cell>
          <cell r="W808">
            <v>0</v>
          </cell>
          <cell r="AA808">
            <v>0</v>
          </cell>
          <cell r="AB808">
            <v>0</v>
          </cell>
          <cell r="AC808">
            <v>0</v>
          </cell>
          <cell r="AD808">
            <v>32</v>
          </cell>
          <cell r="AE808">
            <v>270000</v>
          </cell>
          <cell r="AF808">
            <v>0</v>
          </cell>
          <cell r="AI808">
            <v>2373</v>
          </cell>
          <cell r="AK808">
            <v>0</v>
          </cell>
          <cell r="AM808">
            <v>361</v>
          </cell>
          <cell r="AN808">
            <v>1</v>
          </cell>
          <cell r="AO808">
            <v>393216</v>
          </cell>
          <cell r="AQ808">
            <v>0</v>
          </cell>
          <cell r="AR808">
            <v>0</v>
          </cell>
          <cell r="AS808" t="str">
            <v>Ы</v>
          </cell>
          <cell r="AT808" t="str">
            <v>Ы</v>
          </cell>
          <cell r="AU808">
            <v>0</v>
          </cell>
          <cell r="AV808">
            <v>0</v>
          </cell>
          <cell r="AW808">
            <v>23</v>
          </cell>
          <cell r="AX808">
            <v>1</v>
          </cell>
          <cell r="AY808">
            <v>0</v>
          </cell>
          <cell r="AZ808">
            <v>0</v>
          </cell>
          <cell r="BA808">
            <v>0</v>
          </cell>
          <cell r="BB808">
            <v>0</v>
          </cell>
          <cell r="BC808">
            <v>38916</v>
          </cell>
        </row>
        <row r="809">
          <cell r="A809">
            <v>2006</v>
          </cell>
          <cell r="B809">
            <v>6</v>
          </cell>
          <cell r="C809">
            <v>218</v>
          </cell>
          <cell r="D809">
            <v>17</v>
          </cell>
          <cell r="E809">
            <v>792030</v>
          </cell>
          <cell r="F809">
            <v>0</v>
          </cell>
          <cell r="G809" t="str">
            <v>Затраты по ШПЗ (неосновные)</v>
          </cell>
          <cell r="H809">
            <v>2030</v>
          </cell>
          <cell r="I809">
            <v>7920</v>
          </cell>
          <cell r="J809">
            <v>-6.47</v>
          </cell>
          <cell r="K809">
            <v>1</v>
          </cell>
          <cell r="L809">
            <v>0</v>
          </cell>
          <cell r="M809">
            <v>0</v>
          </cell>
          <cell r="N809">
            <v>0</v>
          </cell>
          <cell r="R809">
            <v>0</v>
          </cell>
          <cell r="S809">
            <v>0</v>
          </cell>
          <cell r="T809">
            <v>0</v>
          </cell>
          <cell r="U809">
            <v>32</v>
          </cell>
          <cell r="V809">
            <v>0</v>
          </cell>
          <cell r="W809">
            <v>0</v>
          </cell>
          <cell r="AA809">
            <v>0</v>
          </cell>
          <cell r="AB809">
            <v>0</v>
          </cell>
          <cell r="AC809">
            <v>0</v>
          </cell>
          <cell r="AD809">
            <v>32</v>
          </cell>
          <cell r="AE809">
            <v>280000</v>
          </cell>
          <cell r="AF809">
            <v>0</v>
          </cell>
          <cell r="AI809">
            <v>2373</v>
          </cell>
          <cell r="AK809">
            <v>0</v>
          </cell>
          <cell r="AM809">
            <v>362</v>
          </cell>
          <cell r="AN809">
            <v>1</v>
          </cell>
          <cell r="AO809">
            <v>393216</v>
          </cell>
          <cell r="AQ809">
            <v>0</v>
          </cell>
          <cell r="AR809">
            <v>0</v>
          </cell>
          <cell r="AS809" t="str">
            <v>Ы</v>
          </cell>
          <cell r="AT809" t="str">
            <v>Ы</v>
          </cell>
          <cell r="AU809">
            <v>0</v>
          </cell>
          <cell r="AV809">
            <v>0</v>
          </cell>
          <cell r="AW809">
            <v>23</v>
          </cell>
          <cell r="AX809">
            <v>1</v>
          </cell>
          <cell r="AY809">
            <v>0</v>
          </cell>
          <cell r="AZ809">
            <v>0</v>
          </cell>
          <cell r="BA809">
            <v>0</v>
          </cell>
          <cell r="BB809">
            <v>0</v>
          </cell>
          <cell r="BC809">
            <v>38916</v>
          </cell>
        </row>
        <row r="810">
          <cell r="A810">
            <v>2006</v>
          </cell>
          <cell r="B810">
            <v>6</v>
          </cell>
          <cell r="C810">
            <v>219</v>
          </cell>
          <cell r="D810">
            <v>17</v>
          </cell>
          <cell r="E810">
            <v>792030</v>
          </cell>
          <cell r="F810">
            <v>0</v>
          </cell>
          <cell r="G810" t="str">
            <v>Затраты по ШПЗ (неосновные)</v>
          </cell>
          <cell r="H810">
            <v>2030</v>
          </cell>
          <cell r="I810">
            <v>7920</v>
          </cell>
          <cell r="J810">
            <v>-37.340000000000003</v>
          </cell>
          <cell r="K810">
            <v>1</v>
          </cell>
          <cell r="L810">
            <v>0</v>
          </cell>
          <cell r="M810">
            <v>0</v>
          </cell>
          <cell r="N810">
            <v>0</v>
          </cell>
          <cell r="R810">
            <v>0</v>
          </cell>
          <cell r="S810">
            <v>0</v>
          </cell>
          <cell r="T810">
            <v>0</v>
          </cell>
          <cell r="U810">
            <v>32</v>
          </cell>
          <cell r="V810">
            <v>0</v>
          </cell>
          <cell r="W810">
            <v>0</v>
          </cell>
          <cell r="AA810">
            <v>0</v>
          </cell>
          <cell r="AB810">
            <v>0</v>
          </cell>
          <cell r="AC810">
            <v>0</v>
          </cell>
          <cell r="AD810">
            <v>32</v>
          </cell>
          <cell r="AE810">
            <v>280100</v>
          </cell>
          <cell r="AF810">
            <v>0</v>
          </cell>
          <cell r="AI810">
            <v>2373</v>
          </cell>
          <cell r="AK810">
            <v>0</v>
          </cell>
          <cell r="AM810">
            <v>363</v>
          </cell>
          <cell r="AN810">
            <v>1</v>
          </cell>
          <cell r="AO810">
            <v>393216</v>
          </cell>
          <cell r="AQ810">
            <v>0</v>
          </cell>
          <cell r="AR810">
            <v>0</v>
          </cell>
          <cell r="AS810" t="str">
            <v>Ы</v>
          </cell>
          <cell r="AT810" t="str">
            <v>Ы</v>
          </cell>
          <cell r="AU810">
            <v>0</v>
          </cell>
          <cell r="AV810">
            <v>0</v>
          </cell>
          <cell r="AW810">
            <v>23</v>
          </cell>
          <cell r="AX810">
            <v>1</v>
          </cell>
          <cell r="AY810">
            <v>0</v>
          </cell>
          <cell r="AZ810">
            <v>0</v>
          </cell>
          <cell r="BA810">
            <v>0</v>
          </cell>
          <cell r="BB810">
            <v>0</v>
          </cell>
          <cell r="BC810">
            <v>38916</v>
          </cell>
        </row>
        <row r="811">
          <cell r="A811">
            <v>2006</v>
          </cell>
          <cell r="B811">
            <v>6</v>
          </cell>
          <cell r="C811">
            <v>220</v>
          </cell>
          <cell r="D811">
            <v>17</v>
          </cell>
          <cell r="E811">
            <v>792030</v>
          </cell>
          <cell r="F811">
            <v>0</v>
          </cell>
          <cell r="G811" t="str">
            <v>Затраты по ШПЗ (неосновные)</v>
          </cell>
          <cell r="H811">
            <v>2030</v>
          </cell>
          <cell r="I811">
            <v>7920</v>
          </cell>
          <cell r="J811">
            <v>-8.2100000000000009</v>
          </cell>
          <cell r="K811">
            <v>1</v>
          </cell>
          <cell r="L811">
            <v>0</v>
          </cell>
          <cell r="M811">
            <v>0</v>
          </cell>
          <cell r="N811">
            <v>0</v>
          </cell>
          <cell r="R811">
            <v>0</v>
          </cell>
          <cell r="S811">
            <v>0</v>
          </cell>
          <cell r="T811">
            <v>0</v>
          </cell>
          <cell r="U811">
            <v>32</v>
          </cell>
          <cell r="V811">
            <v>0</v>
          </cell>
          <cell r="W811">
            <v>0</v>
          </cell>
          <cell r="AA811">
            <v>0</v>
          </cell>
          <cell r="AB811">
            <v>0</v>
          </cell>
          <cell r="AC811">
            <v>0</v>
          </cell>
          <cell r="AD811">
            <v>32</v>
          </cell>
          <cell r="AE811">
            <v>280200</v>
          </cell>
          <cell r="AF811">
            <v>0</v>
          </cell>
          <cell r="AI811">
            <v>2373</v>
          </cell>
          <cell r="AK811">
            <v>0</v>
          </cell>
          <cell r="AM811">
            <v>364</v>
          </cell>
          <cell r="AN811">
            <v>1</v>
          </cell>
          <cell r="AO811">
            <v>393216</v>
          </cell>
          <cell r="AQ811">
            <v>0</v>
          </cell>
          <cell r="AR811">
            <v>0</v>
          </cell>
          <cell r="AS811" t="str">
            <v>Ы</v>
          </cell>
          <cell r="AT811" t="str">
            <v>Ы</v>
          </cell>
          <cell r="AU811">
            <v>0</v>
          </cell>
          <cell r="AV811">
            <v>0</v>
          </cell>
          <cell r="AW811">
            <v>23</v>
          </cell>
          <cell r="AX811">
            <v>1</v>
          </cell>
          <cell r="AY811">
            <v>0</v>
          </cell>
          <cell r="AZ811">
            <v>0</v>
          </cell>
          <cell r="BA811">
            <v>0</v>
          </cell>
          <cell r="BB811">
            <v>0</v>
          </cell>
          <cell r="BC811">
            <v>38916</v>
          </cell>
        </row>
        <row r="812">
          <cell r="A812">
            <v>2006</v>
          </cell>
          <cell r="B812">
            <v>6</v>
          </cell>
          <cell r="C812">
            <v>221</v>
          </cell>
          <cell r="D812">
            <v>17</v>
          </cell>
          <cell r="E812">
            <v>792030</v>
          </cell>
          <cell r="F812">
            <v>0</v>
          </cell>
          <cell r="G812" t="str">
            <v>Затраты по ШПЗ (неосновные)</v>
          </cell>
          <cell r="H812">
            <v>2030</v>
          </cell>
          <cell r="I812">
            <v>7920</v>
          </cell>
          <cell r="J812">
            <v>-13.87</v>
          </cell>
          <cell r="K812">
            <v>1</v>
          </cell>
          <cell r="L812">
            <v>0</v>
          </cell>
          <cell r="M812">
            <v>0</v>
          </cell>
          <cell r="N812">
            <v>0</v>
          </cell>
          <cell r="R812">
            <v>0</v>
          </cell>
          <cell r="S812">
            <v>0</v>
          </cell>
          <cell r="T812">
            <v>0</v>
          </cell>
          <cell r="U812">
            <v>32</v>
          </cell>
          <cell r="V812">
            <v>0</v>
          </cell>
          <cell r="W812">
            <v>0</v>
          </cell>
          <cell r="AA812">
            <v>0</v>
          </cell>
          <cell r="AB812">
            <v>0</v>
          </cell>
          <cell r="AC812">
            <v>0</v>
          </cell>
          <cell r="AD812">
            <v>32</v>
          </cell>
          <cell r="AE812">
            <v>280400</v>
          </cell>
          <cell r="AF812">
            <v>0</v>
          </cell>
          <cell r="AI812">
            <v>2373</v>
          </cell>
          <cell r="AK812">
            <v>0</v>
          </cell>
          <cell r="AM812">
            <v>365</v>
          </cell>
          <cell r="AN812">
            <v>1</v>
          </cell>
          <cell r="AO812">
            <v>393216</v>
          </cell>
          <cell r="AQ812">
            <v>0</v>
          </cell>
          <cell r="AR812">
            <v>0</v>
          </cell>
          <cell r="AS812" t="str">
            <v>Ы</v>
          </cell>
          <cell r="AT812" t="str">
            <v>Ы</v>
          </cell>
          <cell r="AU812">
            <v>0</v>
          </cell>
          <cell r="AV812">
            <v>0</v>
          </cell>
          <cell r="AW812">
            <v>23</v>
          </cell>
          <cell r="AX812">
            <v>1</v>
          </cell>
          <cell r="AY812">
            <v>0</v>
          </cell>
          <cell r="AZ812">
            <v>0</v>
          </cell>
          <cell r="BA812">
            <v>0</v>
          </cell>
          <cell r="BB812">
            <v>0</v>
          </cell>
          <cell r="BC812">
            <v>38916</v>
          </cell>
        </row>
        <row r="813">
          <cell r="A813">
            <v>2006</v>
          </cell>
          <cell r="B813">
            <v>6</v>
          </cell>
          <cell r="C813">
            <v>222</v>
          </cell>
          <cell r="D813">
            <v>17</v>
          </cell>
          <cell r="E813">
            <v>792030</v>
          </cell>
          <cell r="F813">
            <v>0</v>
          </cell>
          <cell r="G813" t="str">
            <v>Затраты по ШПЗ (неосновные)</v>
          </cell>
          <cell r="H813">
            <v>2030</v>
          </cell>
          <cell r="I813">
            <v>7920</v>
          </cell>
          <cell r="J813">
            <v>-12.56</v>
          </cell>
          <cell r="K813">
            <v>1</v>
          </cell>
          <cell r="L813">
            <v>0</v>
          </cell>
          <cell r="M813">
            <v>0</v>
          </cell>
          <cell r="N813">
            <v>0</v>
          </cell>
          <cell r="R813">
            <v>0</v>
          </cell>
          <cell r="S813">
            <v>0</v>
          </cell>
          <cell r="T813">
            <v>0</v>
          </cell>
          <cell r="U813">
            <v>32</v>
          </cell>
          <cell r="V813">
            <v>0</v>
          </cell>
          <cell r="W813">
            <v>0</v>
          </cell>
          <cell r="AA813">
            <v>0</v>
          </cell>
          <cell r="AB813">
            <v>0</v>
          </cell>
          <cell r="AC813">
            <v>0</v>
          </cell>
          <cell r="AD813">
            <v>32</v>
          </cell>
          <cell r="AE813">
            <v>281100</v>
          </cell>
          <cell r="AF813">
            <v>0</v>
          </cell>
          <cell r="AI813">
            <v>2373</v>
          </cell>
          <cell r="AK813">
            <v>0</v>
          </cell>
          <cell r="AM813">
            <v>366</v>
          </cell>
          <cell r="AN813">
            <v>1</v>
          </cell>
          <cell r="AO813">
            <v>393216</v>
          </cell>
          <cell r="AQ813">
            <v>0</v>
          </cell>
          <cell r="AR813">
            <v>0</v>
          </cell>
          <cell r="AS813" t="str">
            <v>Ы</v>
          </cell>
          <cell r="AT813" t="str">
            <v>Ы</v>
          </cell>
          <cell r="AU813">
            <v>0</v>
          </cell>
          <cell r="AV813">
            <v>0</v>
          </cell>
          <cell r="AW813">
            <v>23</v>
          </cell>
          <cell r="AX813">
            <v>1</v>
          </cell>
          <cell r="AY813">
            <v>0</v>
          </cell>
          <cell r="AZ813">
            <v>0</v>
          </cell>
          <cell r="BA813">
            <v>0</v>
          </cell>
          <cell r="BB813">
            <v>0</v>
          </cell>
          <cell r="BC813">
            <v>38916</v>
          </cell>
        </row>
        <row r="814">
          <cell r="A814">
            <v>2006</v>
          </cell>
          <cell r="B814">
            <v>6</v>
          </cell>
          <cell r="C814">
            <v>223</v>
          </cell>
          <cell r="D814">
            <v>17</v>
          </cell>
          <cell r="E814">
            <v>792030</v>
          </cell>
          <cell r="F814">
            <v>0</v>
          </cell>
          <cell r="G814" t="str">
            <v>Затраты по ШПЗ (неосновные)</v>
          </cell>
          <cell r="H814">
            <v>2030</v>
          </cell>
          <cell r="I814">
            <v>7920</v>
          </cell>
          <cell r="J814">
            <v>-0.14000000000000001</v>
          </cell>
          <cell r="K814">
            <v>1</v>
          </cell>
          <cell r="L814">
            <v>0</v>
          </cell>
          <cell r="M814">
            <v>0</v>
          </cell>
          <cell r="N814">
            <v>0</v>
          </cell>
          <cell r="R814">
            <v>0</v>
          </cell>
          <cell r="S814">
            <v>0</v>
          </cell>
          <cell r="T814">
            <v>0</v>
          </cell>
          <cell r="U814">
            <v>32</v>
          </cell>
          <cell r="V814">
            <v>0</v>
          </cell>
          <cell r="W814">
            <v>0</v>
          </cell>
          <cell r="AA814">
            <v>0</v>
          </cell>
          <cell r="AB814">
            <v>0</v>
          </cell>
          <cell r="AC814">
            <v>0</v>
          </cell>
          <cell r="AD814">
            <v>32</v>
          </cell>
          <cell r="AE814">
            <v>282200</v>
          </cell>
          <cell r="AF814">
            <v>0</v>
          </cell>
          <cell r="AI814">
            <v>2373</v>
          </cell>
          <cell r="AK814">
            <v>0</v>
          </cell>
          <cell r="AM814">
            <v>367</v>
          </cell>
          <cell r="AN814">
            <v>1</v>
          </cell>
          <cell r="AO814">
            <v>393216</v>
          </cell>
          <cell r="AQ814">
            <v>0</v>
          </cell>
          <cell r="AR814">
            <v>0</v>
          </cell>
          <cell r="AS814" t="str">
            <v>Ы</v>
          </cell>
          <cell r="AT814" t="str">
            <v>Ы</v>
          </cell>
          <cell r="AU814">
            <v>0</v>
          </cell>
          <cell r="AV814">
            <v>0</v>
          </cell>
          <cell r="AW814">
            <v>23</v>
          </cell>
          <cell r="AX814">
            <v>1</v>
          </cell>
          <cell r="AY814">
            <v>0</v>
          </cell>
          <cell r="AZ814">
            <v>0</v>
          </cell>
          <cell r="BA814">
            <v>0</v>
          </cell>
          <cell r="BB814">
            <v>0</v>
          </cell>
          <cell r="BC814">
            <v>38916</v>
          </cell>
        </row>
        <row r="815">
          <cell r="A815">
            <v>2006</v>
          </cell>
          <cell r="B815">
            <v>6</v>
          </cell>
          <cell r="C815">
            <v>224</v>
          </cell>
          <cell r="D815">
            <v>17</v>
          </cell>
          <cell r="E815">
            <v>792030</v>
          </cell>
          <cell r="F815">
            <v>0</v>
          </cell>
          <cell r="G815" t="str">
            <v>Затраты по ШПЗ (неосновные)</v>
          </cell>
          <cell r="H815">
            <v>2030</v>
          </cell>
          <cell r="I815">
            <v>7920</v>
          </cell>
          <cell r="J815">
            <v>-108.66</v>
          </cell>
          <cell r="K815">
            <v>1</v>
          </cell>
          <cell r="L815">
            <v>0</v>
          </cell>
          <cell r="M815">
            <v>0</v>
          </cell>
          <cell r="N815">
            <v>0</v>
          </cell>
          <cell r="R815">
            <v>0</v>
          </cell>
          <cell r="S815">
            <v>0</v>
          </cell>
          <cell r="T815">
            <v>0</v>
          </cell>
          <cell r="U815">
            <v>32</v>
          </cell>
          <cell r="V815">
            <v>0</v>
          </cell>
          <cell r="W815">
            <v>0</v>
          </cell>
          <cell r="AA815">
            <v>0</v>
          </cell>
          <cell r="AB815">
            <v>0</v>
          </cell>
          <cell r="AC815">
            <v>0</v>
          </cell>
          <cell r="AD815">
            <v>32</v>
          </cell>
          <cell r="AE815">
            <v>283000</v>
          </cell>
          <cell r="AF815">
            <v>0</v>
          </cell>
          <cell r="AI815">
            <v>2373</v>
          </cell>
          <cell r="AK815">
            <v>0</v>
          </cell>
          <cell r="AM815">
            <v>368</v>
          </cell>
          <cell r="AN815">
            <v>1</v>
          </cell>
          <cell r="AO815">
            <v>393216</v>
          </cell>
          <cell r="AQ815">
            <v>0</v>
          </cell>
          <cell r="AR815">
            <v>0</v>
          </cell>
          <cell r="AS815" t="str">
            <v>Ы</v>
          </cell>
          <cell r="AT815" t="str">
            <v>Ы</v>
          </cell>
          <cell r="AU815">
            <v>0</v>
          </cell>
          <cell r="AV815">
            <v>0</v>
          </cell>
          <cell r="AW815">
            <v>23</v>
          </cell>
          <cell r="AX815">
            <v>1</v>
          </cell>
          <cell r="AY815">
            <v>0</v>
          </cell>
          <cell r="AZ815">
            <v>0</v>
          </cell>
          <cell r="BA815">
            <v>0</v>
          </cell>
          <cell r="BB815">
            <v>0</v>
          </cell>
          <cell r="BC815">
            <v>38916</v>
          </cell>
        </row>
        <row r="816">
          <cell r="A816">
            <v>2006</v>
          </cell>
          <cell r="B816">
            <v>6</v>
          </cell>
          <cell r="C816">
            <v>225</v>
          </cell>
          <cell r="D816">
            <v>17</v>
          </cell>
          <cell r="E816">
            <v>792030</v>
          </cell>
          <cell r="F816">
            <v>0</v>
          </cell>
          <cell r="G816" t="str">
            <v>Затраты по ШПЗ (неосновные)</v>
          </cell>
          <cell r="H816">
            <v>2030</v>
          </cell>
          <cell r="I816">
            <v>7920</v>
          </cell>
          <cell r="J816">
            <v>-7.5</v>
          </cell>
          <cell r="K816">
            <v>1</v>
          </cell>
          <cell r="L816">
            <v>0</v>
          </cell>
          <cell r="M816">
            <v>0</v>
          </cell>
          <cell r="N816">
            <v>0</v>
          </cell>
          <cell r="R816">
            <v>0</v>
          </cell>
          <cell r="S816">
            <v>0</v>
          </cell>
          <cell r="T816">
            <v>0</v>
          </cell>
          <cell r="U816">
            <v>32</v>
          </cell>
          <cell r="V816">
            <v>0</v>
          </cell>
          <cell r="W816">
            <v>0</v>
          </cell>
          <cell r="AA816">
            <v>0</v>
          </cell>
          <cell r="AB816">
            <v>0</v>
          </cell>
          <cell r="AC816">
            <v>0</v>
          </cell>
          <cell r="AD816">
            <v>32</v>
          </cell>
          <cell r="AE816">
            <v>285000</v>
          </cell>
          <cell r="AF816">
            <v>0</v>
          </cell>
          <cell r="AI816">
            <v>2373</v>
          </cell>
          <cell r="AK816">
            <v>0</v>
          </cell>
          <cell r="AM816">
            <v>369</v>
          </cell>
          <cell r="AN816">
            <v>1</v>
          </cell>
          <cell r="AO816">
            <v>393216</v>
          </cell>
          <cell r="AQ816">
            <v>0</v>
          </cell>
          <cell r="AR816">
            <v>0</v>
          </cell>
          <cell r="AS816" t="str">
            <v>Ы</v>
          </cell>
          <cell r="AT816" t="str">
            <v>Ы</v>
          </cell>
          <cell r="AU816">
            <v>0</v>
          </cell>
          <cell r="AV816">
            <v>0</v>
          </cell>
          <cell r="AW816">
            <v>23</v>
          </cell>
          <cell r="AX816">
            <v>1</v>
          </cell>
          <cell r="AY816">
            <v>0</v>
          </cell>
          <cell r="AZ816">
            <v>0</v>
          </cell>
          <cell r="BA816">
            <v>0</v>
          </cell>
          <cell r="BB816">
            <v>0</v>
          </cell>
          <cell r="BC816">
            <v>38916</v>
          </cell>
        </row>
        <row r="817">
          <cell r="A817">
            <v>2006</v>
          </cell>
          <cell r="B817">
            <v>6</v>
          </cell>
          <cell r="C817">
            <v>226</v>
          </cell>
          <cell r="D817">
            <v>17</v>
          </cell>
          <cell r="E817">
            <v>792030</v>
          </cell>
          <cell r="F817">
            <v>0</v>
          </cell>
          <cell r="G817" t="str">
            <v>Затраты по ШПЗ (неосновные)</v>
          </cell>
          <cell r="H817">
            <v>2030</v>
          </cell>
          <cell r="I817">
            <v>7920</v>
          </cell>
          <cell r="J817">
            <v>-57.11</v>
          </cell>
          <cell r="K817">
            <v>1</v>
          </cell>
          <cell r="L817">
            <v>0</v>
          </cell>
          <cell r="M817">
            <v>0</v>
          </cell>
          <cell r="N817">
            <v>0</v>
          </cell>
          <cell r="R817">
            <v>0</v>
          </cell>
          <cell r="S817">
            <v>0</v>
          </cell>
          <cell r="T817">
            <v>0</v>
          </cell>
          <cell r="U817">
            <v>32</v>
          </cell>
          <cell r="V817">
            <v>0</v>
          </cell>
          <cell r="W817">
            <v>0</v>
          </cell>
          <cell r="AA817">
            <v>0</v>
          </cell>
          <cell r="AB817">
            <v>0</v>
          </cell>
          <cell r="AC817">
            <v>0</v>
          </cell>
          <cell r="AD817">
            <v>32</v>
          </cell>
          <cell r="AE817">
            <v>311000</v>
          </cell>
          <cell r="AF817">
            <v>0</v>
          </cell>
          <cell r="AI817">
            <v>2373</v>
          </cell>
          <cell r="AK817">
            <v>0</v>
          </cell>
          <cell r="AM817">
            <v>370</v>
          </cell>
          <cell r="AN817">
            <v>1</v>
          </cell>
          <cell r="AO817">
            <v>393216</v>
          </cell>
          <cell r="AQ817">
            <v>0</v>
          </cell>
          <cell r="AR817">
            <v>0</v>
          </cell>
          <cell r="AS817" t="str">
            <v>Ы</v>
          </cell>
          <cell r="AT817" t="str">
            <v>Ы</v>
          </cell>
          <cell r="AU817">
            <v>0</v>
          </cell>
          <cell r="AV817">
            <v>0</v>
          </cell>
          <cell r="AW817">
            <v>23</v>
          </cell>
          <cell r="AX817">
            <v>1</v>
          </cell>
          <cell r="AY817">
            <v>0</v>
          </cell>
          <cell r="AZ817">
            <v>0</v>
          </cell>
          <cell r="BA817">
            <v>0</v>
          </cell>
          <cell r="BB817">
            <v>0</v>
          </cell>
          <cell r="BC817">
            <v>38916</v>
          </cell>
        </row>
        <row r="818">
          <cell r="A818">
            <v>2006</v>
          </cell>
          <cell r="B818">
            <v>6</v>
          </cell>
          <cell r="C818">
            <v>227</v>
          </cell>
          <cell r="D818">
            <v>17</v>
          </cell>
          <cell r="E818">
            <v>792030</v>
          </cell>
          <cell r="F818">
            <v>0</v>
          </cell>
          <cell r="G818" t="str">
            <v>Затраты по ШПЗ (неосновные)</v>
          </cell>
          <cell r="H818">
            <v>2030</v>
          </cell>
          <cell r="I818">
            <v>7920</v>
          </cell>
          <cell r="J818">
            <v>-395.55</v>
          </cell>
          <cell r="K818">
            <v>1</v>
          </cell>
          <cell r="L818">
            <v>0</v>
          </cell>
          <cell r="M818">
            <v>0</v>
          </cell>
          <cell r="N818">
            <v>0</v>
          </cell>
          <cell r="R818">
            <v>0</v>
          </cell>
          <cell r="S818">
            <v>0</v>
          </cell>
          <cell r="T818">
            <v>0</v>
          </cell>
          <cell r="U818">
            <v>32</v>
          </cell>
          <cell r="V818">
            <v>0</v>
          </cell>
          <cell r="W818">
            <v>0</v>
          </cell>
          <cell r="AA818">
            <v>0</v>
          </cell>
          <cell r="AB818">
            <v>0</v>
          </cell>
          <cell r="AC818">
            <v>0</v>
          </cell>
          <cell r="AD818">
            <v>32</v>
          </cell>
          <cell r="AE818">
            <v>312000</v>
          </cell>
          <cell r="AF818">
            <v>0</v>
          </cell>
          <cell r="AI818">
            <v>2373</v>
          </cell>
          <cell r="AK818">
            <v>0</v>
          </cell>
          <cell r="AM818">
            <v>371</v>
          </cell>
          <cell r="AN818">
            <v>1</v>
          </cell>
          <cell r="AO818">
            <v>393216</v>
          </cell>
          <cell r="AQ818">
            <v>0</v>
          </cell>
          <cell r="AR818">
            <v>0</v>
          </cell>
          <cell r="AS818" t="str">
            <v>Ы</v>
          </cell>
          <cell r="AT818" t="str">
            <v>Ы</v>
          </cell>
          <cell r="AU818">
            <v>0</v>
          </cell>
          <cell r="AV818">
            <v>0</v>
          </cell>
          <cell r="AW818">
            <v>23</v>
          </cell>
          <cell r="AX818">
            <v>1</v>
          </cell>
          <cell r="AY818">
            <v>0</v>
          </cell>
          <cell r="AZ818">
            <v>0</v>
          </cell>
          <cell r="BA818">
            <v>0</v>
          </cell>
          <cell r="BB818">
            <v>0</v>
          </cell>
          <cell r="BC818">
            <v>38916</v>
          </cell>
        </row>
        <row r="819">
          <cell r="A819">
            <v>2006</v>
          </cell>
          <cell r="B819">
            <v>6</v>
          </cell>
          <cell r="C819">
            <v>228</v>
          </cell>
          <cell r="D819">
            <v>17</v>
          </cell>
          <cell r="E819">
            <v>792030</v>
          </cell>
          <cell r="F819">
            <v>0</v>
          </cell>
          <cell r="G819" t="str">
            <v>Затраты по ШПЗ (неосновные)</v>
          </cell>
          <cell r="H819">
            <v>2030</v>
          </cell>
          <cell r="I819">
            <v>7920</v>
          </cell>
          <cell r="J819">
            <v>-21.66</v>
          </cell>
          <cell r="K819">
            <v>1</v>
          </cell>
          <cell r="L819">
            <v>0</v>
          </cell>
          <cell r="M819">
            <v>0</v>
          </cell>
          <cell r="N819">
            <v>0</v>
          </cell>
          <cell r="R819">
            <v>0</v>
          </cell>
          <cell r="S819">
            <v>0</v>
          </cell>
          <cell r="T819">
            <v>0</v>
          </cell>
          <cell r="U819">
            <v>32</v>
          </cell>
          <cell r="V819">
            <v>0</v>
          </cell>
          <cell r="W819">
            <v>0</v>
          </cell>
          <cell r="AA819">
            <v>0</v>
          </cell>
          <cell r="AB819">
            <v>0</v>
          </cell>
          <cell r="AC819">
            <v>0</v>
          </cell>
          <cell r="AD819">
            <v>32</v>
          </cell>
          <cell r="AE819">
            <v>313000</v>
          </cell>
          <cell r="AF819">
            <v>0</v>
          </cell>
          <cell r="AI819">
            <v>2373</v>
          </cell>
          <cell r="AK819">
            <v>0</v>
          </cell>
          <cell r="AM819">
            <v>372</v>
          </cell>
          <cell r="AN819">
            <v>1</v>
          </cell>
          <cell r="AO819">
            <v>393216</v>
          </cell>
          <cell r="AQ819">
            <v>0</v>
          </cell>
          <cell r="AR819">
            <v>0</v>
          </cell>
          <cell r="AS819" t="str">
            <v>Ы</v>
          </cell>
          <cell r="AT819" t="str">
            <v>Ы</v>
          </cell>
          <cell r="AU819">
            <v>0</v>
          </cell>
          <cell r="AV819">
            <v>0</v>
          </cell>
          <cell r="AW819">
            <v>23</v>
          </cell>
          <cell r="AX819">
            <v>1</v>
          </cell>
          <cell r="AY819">
            <v>0</v>
          </cell>
          <cell r="AZ819">
            <v>0</v>
          </cell>
          <cell r="BA819">
            <v>0</v>
          </cell>
          <cell r="BB819">
            <v>0</v>
          </cell>
          <cell r="BC819">
            <v>38916</v>
          </cell>
        </row>
        <row r="820">
          <cell r="A820">
            <v>2006</v>
          </cell>
          <cell r="B820">
            <v>6</v>
          </cell>
          <cell r="C820">
            <v>229</v>
          </cell>
          <cell r="D820">
            <v>17</v>
          </cell>
          <cell r="E820">
            <v>792030</v>
          </cell>
          <cell r="F820">
            <v>0</v>
          </cell>
          <cell r="G820" t="str">
            <v>Затраты по ШПЗ (неосновные)</v>
          </cell>
          <cell r="H820">
            <v>2030</v>
          </cell>
          <cell r="I820">
            <v>7920</v>
          </cell>
          <cell r="J820">
            <v>-39.380000000000003</v>
          </cell>
          <cell r="K820">
            <v>1</v>
          </cell>
          <cell r="L820">
            <v>0</v>
          </cell>
          <cell r="M820">
            <v>0</v>
          </cell>
          <cell r="N820">
            <v>0</v>
          </cell>
          <cell r="R820">
            <v>0</v>
          </cell>
          <cell r="S820">
            <v>0</v>
          </cell>
          <cell r="T820">
            <v>0</v>
          </cell>
          <cell r="U820">
            <v>32</v>
          </cell>
          <cell r="V820">
            <v>0</v>
          </cell>
          <cell r="W820">
            <v>0</v>
          </cell>
          <cell r="AA820">
            <v>0</v>
          </cell>
          <cell r="AB820">
            <v>0</v>
          </cell>
          <cell r="AC820">
            <v>0</v>
          </cell>
          <cell r="AD820">
            <v>32</v>
          </cell>
          <cell r="AE820">
            <v>314000</v>
          </cell>
          <cell r="AF820">
            <v>0</v>
          </cell>
          <cell r="AI820">
            <v>2373</v>
          </cell>
          <cell r="AK820">
            <v>0</v>
          </cell>
          <cell r="AM820">
            <v>373</v>
          </cell>
          <cell r="AN820">
            <v>1</v>
          </cell>
          <cell r="AO820">
            <v>393216</v>
          </cell>
          <cell r="AQ820">
            <v>0</v>
          </cell>
          <cell r="AR820">
            <v>0</v>
          </cell>
          <cell r="AS820" t="str">
            <v>Ы</v>
          </cell>
          <cell r="AT820" t="str">
            <v>Ы</v>
          </cell>
          <cell r="AU820">
            <v>0</v>
          </cell>
          <cell r="AV820">
            <v>0</v>
          </cell>
          <cell r="AW820">
            <v>23</v>
          </cell>
          <cell r="AX820">
            <v>1</v>
          </cell>
          <cell r="AY820">
            <v>0</v>
          </cell>
          <cell r="AZ820">
            <v>0</v>
          </cell>
          <cell r="BA820">
            <v>0</v>
          </cell>
          <cell r="BB820">
            <v>0</v>
          </cell>
          <cell r="BC820">
            <v>38916</v>
          </cell>
        </row>
        <row r="821">
          <cell r="A821">
            <v>2006</v>
          </cell>
          <cell r="B821">
            <v>6</v>
          </cell>
          <cell r="C821">
            <v>230</v>
          </cell>
          <cell r="D821">
            <v>17</v>
          </cell>
          <cell r="E821">
            <v>792030</v>
          </cell>
          <cell r="F821">
            <v>0</v>
          </cell>
          <cell r="G821" t="str">
            <v>Затраты по ШПЗ (неосновные)</v>
          </cell>
          <cell r="H821">
            <v>2030</v>
          </cell>
          <cell r="I821">
            <v>7920</v>
          </cell>
          <cell r="J821">
            <v>-7.91</v>
          </cell>
          <cell r="K821">
            <v>1</v>
          </cell>
          <cell r="L821">
            <v>0</v>
          </cell>
          <cell r="M821">
            <v>0</v>
          </cell>
          <cell r="N821">
            <v>0</v>
          </cell>
          <cell r="R821">
            <v>0</v>
          </cell>
          <cell r="S821">
            <v>0</v>
          </cell>
          <cell r="T821">
            <v>0</v>
          </cell>
          <cell r="U821">
            <v>32</v>
          </cell>
          <cell r="V821">
            <v>0</v>
          </cell>
          <cell r="W821">
            <v>0</v>
          </cell>
          <cell r="AA821">
            <v>0</v>
          </cell>
          <cell r="AB821">
            <v>0</v>
          </cell>
          <cell r="AC821">
            <v>0</v>
          </cell>
          <cell r="AD821">
            <v>32</v>
          </cell>
          <cell r="AE821">
            <v>315000</v>
          </cell>
          <cell r="AF821">
            <v>0</v>
          </cell>
          <cell r="AI821">
            <v>2373</v>
          </cell>
          <cell r="AK821">
            <v>0</v>
          </cell>
          <cell r="AM821">
            <v>374</v>
          </cell>
          <cell r="AN821">
            <v>1</v>
          </cell>
          <cell r="AO821">
            <v>393216</v>
          </cell>
          <cell r="AQ821">
            <v>0</v>
          </cell>
          <cell r="AR821">
            <v>0</v>
          </cell>
          <cell r="AS821" t="str">
            <v>Ы</v>
          </cell>
          <cell r="AT821" t="str">
            <v>Ы</v>
          </cell>
          <cell r="AU821">
            <v>0</v>
          </cell>
          <cell r="AV821">
            <v>0</v>
          </cell>
          <cell r="AW821">
            <v>23</v>
          </cell>
          <cell r="AX821">
            <v>1</v>
          </cell>
          <cell r="AY821">
            <v>0</v>
          </cell>
          <cell r="AZ821">
            <v>0</v>
          </cell>
          <cell r="BA821">
            <v>0</v>
          </cell>
          <cell r="BB821">
            <v>0</v>
          </cell>
          <cell r="BC821">
            <v>38916</v>
          </cell>
        </row>
        <row r="822">
          <cell r="A822">
            <v>2006</v>
          </cell>
          <cell r="B822">
            <v>6</v>
          </cell>
          <cell r="C822">
            <v>231</v>
          </cell>
          <cell r="D822">
            <v>17</v>
          </cell>
          <cell r="E822">
            <v>792030</v>
          </cell>
          <cell r="F822">
            <v>0</v>
          </cell>
          <cell r="G822" t="str">
            <v>Затраты по ШПЗ (неосновные)</v>
          </cell>
          <cell r="H822">
            <v>2030</v>
          </cell>
          <cell r="I822">
            <v>7920</v>
          </cell>
          <cell r="J822">
            <v>2.83</v>
          </cell>
          <cell r="K822">
            <v>1</v>
          </cell>
          <cell r="L822">
            <v>0</v>
          </cell>
          <cell r="M822">
            <v>0</v>
          </cell>
          <cell r="N822">
            <v>0</v>
          </cell>
          <cell r="R822">
            <v>0</v>
          </cell>
          <cell r="S822">
            <v>0</v>
          </cell>
          <cell r="T822">
            <v>0</v>
          </cell>
          <cell r="U822">
            <v>32</v>
          </cell>
          <cell r="V822">
            <v>0</v>
          </cell>
          <cell r="W822">
            <v>0</v>
          </cell>
          <cell r="AA822">
            <v>0</v>
          </cell>
          <cell r="AB822">
            <v>0</v>
          </cell>
          <cell r="AC822">
            <v>0</v>
          </cell>
          <cell r="AD822">
            <v>32</v>
          </cell>
          <cell r="AE822">
            <v>410000</v>
          </cell>
          <cell r="AF822">
            <v>0</v>
          </cell>
          <cell r="AI822">
            <v>2373</v>
          </cell>
          <cell r="AK822">
            <v>0</v>
          </cell>
          <cell r="AM822">
            <v>375</v>
          </cell>
          <cell r="AN822">
            <v>1</v>
          </cell>
          <cell r="AO822">
            <v>393216</v>
          </cell>
          <cell r="AQ822">
            <v>0</v>
          </cell>
          <cell r="AR822">
            <v>0</v>
          </cell>
          <cell r="AS822" t="str">
            <v>Ы</v>
          </cell>
          <cell r="AT822" t="str">
            <v>Ы</v>
          </cell>
          <cell r="AU822">
            <v>0</v>
          </cell>
          <cell r="AV822">
            <v>0</v>
          </cell>
          <cell r="AW822">
            <v>23</v>
          </cell>
          <cell r="AX822">
            <v>1</v>
          </cell>
          <cell r="AY822">
            <v>0</v>
          </cell>
          <cell r="AZ822">
            <v>0</v>
          </cell>
          <cell r="BA822">
            <v>0</v>
          </cell>
          <cell r="BB822">
            <v>0</v>
          </cell>
          <cell r="BC822">
            <v>38916</v>
          </cell>
        </row>
        <row r="823">
          <cell r="A823">
            <v>2006</v>
          </cell>
          <cell r="B823">
            <v>6</v>
          </cell>
          <cell r="C823">
            <v>232</v>
          </cell>
          <cell r="D823">
            <v>17</v>
          </cell>
          <cell r="E823">
            <v>792030</v>
          </cell>
          <cell r="F823">
            <v>0</v>
          </cell>
          <cell r="G823" t="str">
            <v>Затраты по ШПЗ (неосновные)</v>
          </cell>
          <cell r="H823">
            <v>2030</v>
          </cell>
          <cell r="I823">
            <v>7920</v>
          </cell>
          <cell r="J823">
            <v>303.52999999999997</v>
          </cell>
          <cell r="K823">
            <v>1</v>
          </cell>
          <cell r="L823">
            <v>0</v>
          </cell>
          <cell r="M823">
            <v>0</v>
          </cell>
          <cell r="N823">
            <v>0</v>
          </cell>
          <cell r="R823">
            <v>0</v>
          </cell>
          <cell r="S823">
            <v>0</v>
          </cell>
          <cell r="T823">
            <v>0</v>
          </cell>
          <cell r="U823">
            <v>32</v>
          </cell>
          <cell r="V823">
            <v>0</v>
          </cell>
          <cell r="W823">
            <v>0</v>
          </cell>
          <cell r="AA823">
            <v>0</v>
          </cell>
          <cell r="AB823">
            <v>0</v>
          </cell>
          <cell r="AC823">
            <v>0</v>
          </cell>
          <cell r="AD823">
            <v>32</v>
          </cell>
          <cell r="AE823">
            <v>420000</v>
          </cell>
          <cell r="AF823">
            <v>0</v>
          </cell>
          <cell r="AI823">
            <v>2373</v>
          </cell>
          <cell r="AK823">
            <v>0</v>
          </cell>
          <cell r="AM823">
            <v>376</v>
          </cell>
          <cell r="AN823">
            <v>1</v>
          </cell>
          <cell r="AO823">
            <v>393216</v>
          </cell>
          <cell r="AQ823">
            <v>0</v>
          </cell>
          <cell r="AR823">
            <v>0</v>
          </cell>
          <cell r="AS823" t="str">
            <v>Ы</v>
          </cell>
          <cell r="AT823" t="str">
            <v>Ы</v>
          </cell>
          <cell r="AU823">
            <v>0</v>
          </cell>
          <cell r="AV823">
            <v>0</v>
          </cell>
          <cell r="AW823">
            <v>23</v>
          </cell>
          <cell r="AX823">
            <v>1</v>
          </cell>
          <cell r="AY823">
            <v>0</v>
          </cell>
          <cell r="AZ823">
            <v>0</v>
          </cell>
          <cell r="BA823">
            <v>0</v>
          </cell>
          <cell r="BB823">
            <v>0</v>
          </cell>
          <cell r="BC823">
            <v>38916</v>
          </cell>
        </row>
        <row r="824">
          <cell r="A824">
            <v>2006</v>
          </cell>
          <cell r="B824">
            <v>6</v>
          </cell>
          <cell r="C824">
            <v>233</v>
          </cell>
          <cell r="D824">
            <v>17</v>
          </cell>
          <cell r="E824">
            <v>792030</v>
          </cell>
          <cell r="F824">
            <v>0</v>
          </cell>
          <cell r="G824" t="str">
            <v>Затраты по ШПЗ (неосновные)</v>
          </cell>
          <cell r="H824">
            <v>2030</v>
          </cell>
          <cell r="I824">
            <v>7920</v>
          </cell>
          <cell r="J824">
            <v>57.97</v>
          </cell>
          <cell r="K824">
            <v>1</v>
          </cell>
          <cell r="L824">
            <v>0</v>
          </cell>
          <cell r="M824">
            <v>0</v>
          </cell>
          <cell r="N824">
            <v>0</v>
          </cell>
          <cell r="R824">
            <v>0</v>
          </cell>
          <cell r="S824">
            <v>0</v>
          </cell>
          <cell r="T824">
            <v>0</v>
          </cell>
          <cell r="U824">
            <v>32</v>
          </cell>
          <cell r="V824">
            <v>0</v>
          </cell>
          <cell r="W824">
            <v>0</v>
          </cell>
          <cell r="AA824">
            <v>0</v>
          </cell>
          <cell r="AB824">
            <v>0</v>
          </cell>
          <cell r="AC824">
            <v>0</v>
          </cell>
          <cell r="AD824">
            <v>32</v>
          </cell>
          <cell r="AE824">
            <v>430000</v>
          </cell>
          <cell r="AF824">
            <v>0</v>
          </cell>
          <cell r="AI824">
            <v>2373</v>
          </cell>
          <cell r="AK824">
            <v>0</v>
          </cell>
          <cell r="AM824">
            <v>377</v>
          </cell>
          <cell r="AN824">
            <v>1</v>
          </cell>
          <cell r="AO824">
            <v>393216</v>
          </cell>
          <cell r="AQ824">
            <v>0</v>
          </cell>
          <cell r="AR824">
            <v>0</v>
          </cell>
          <cell r="AS824" t="str">
            <v>Ы</v>
          </cell>
          <cell r="AT824" t="str">
            <v>Ы</v>
          </cell>
          <cell r="AU824">
            <v>0</v>
          </cell>
          <cell r="AV824">
            <v>0</v>
          </cell>
          <cell r="AW824">
            <v>23</v>
          </cell>
          <cell r="AX824">
            <v>1</v>
          </cell>
          <cell r="AY824">
            <v>0</v>
          </cell>
          <cell r="AZ824">
            <v>0</v>
          </cell>
          <cell r="BA824">
            <v>0</v>
          </cell>
          <cell r="BB824">
            <v>0</v>
          </cell>
          <cell r="BC824">
            <v>38916</v>
          </cell>
        </row>
        <row r="825">
          <cell r="A825">
            <v>2006</v>
          </cell>
          <cell r="B825">
            <v>6</v>
          </cell>
          <cell r="C825">
            <v>234</v>
          </cell>
          <cell r="D825">
            <v>17</v>
          </cell>
          <cell r="E825">
            <v>792030</v>
          </cell>
          <cell r="F825">
            <v>0</v>
          </cell>
          <cell r="G825" t="str">
            <v>Затраты по ШПЗ (неосновные)</v>
          </cell>
          <cell r="H825">
            <v>2030</v>
          </cell>
          <cell r="I825">
            <v>7920</v>
          </cell>
          <cell r="J825">
            <v>6.19</v>
          </cell>
          <cell r="K825">
            <v>1</v>
          </cell>
          <cell r="L825">
            <v>0</v>
          </cell>
          <cell r="M825">
            <v>0</v>
          </cell>
          <cell r="N825">
            <v>0</v>
          </cell>
          <cell r="R825">
            <v>0</v>
          </cell>
          <cell r="S825">
            <v>0</v>
          </cell>
          <cell r="T825">
            <v>0</v>
          </cell>
          <cell r="U825">
            <v>32</v>
          </cell>
          <cell r="V825">
            <v>0</v>
          </cell>
          <cell r="W825">
            <v>0</v>
          </cell>
          <cell r="AA825">
            <v>0</v>
          </cell>
          <cell r="AB825">
            <v>0</v>
          </cell>
          <cell r="AC825">
            <v>0</v>
          </cell>
          <cell r="AD825">
            <v>32</v>
          </cell>
          <cell r="AE825">
            <v>450000</v>
          </cell>
          <cell r="AF825">
            <v>0</v>
          </cell>
          <cell r="AI825">
            <v>2373</v>
          </cell>
          <cell r="AK825">
            <v>0</v>
          </cell>
          <cell r="AM825">
            <v>378</v>
          </cell>
          <cell r="AN825">
            <v>1</v>
          </cell>
          <cell r="AO825">
            <v>393216</v>
          </cell>
          <cell r="AQ825">
            <v>0</v>
          </cell>
          <cell r="AR825">
            <v>0</v>
          </cell>
          <cell r="AS825" t="str">
            <v>Ы</v>
          </cell>
          <cell r="AT825" t="str">
            <v>Ы</v>
          </cell>
          <cell r="AU825">
            <v>0</v>
          </cell>
          <cell r="AV825">
            <v>0</v>
          </cell>
          <cell r="AW825">
            <v>23</v>
          </cell>
          <cell r="AX825">
            <v>1</v>
          </cell>
          <cell r="AY825">
            <v>0</v>
          </cell>
          <cell r="AZ825">
            <v>0</v>
          </cell>
          <cell r="BA825">
            <v>0</v>
          </cell>
          <cell r="BB825">
            <v>0</v>
          </cell>
          <cell r="BC825">
            <v>38916</v>
          </cell>
        </row>
        <row r="826">
          <cell r="A826">
            <v>2006</v>
          </cell>
          <cell r="B826">
            <v>6</v>
          </cell>
          <cell r="C826">
            <v>235</v>
          </cell>
          <cell r="D826">
            <v>17</v>
          </cell>
          <cell r="E826">
            <v>792030</v>
          </cell>
          <cell r="F826">
            <v>0</v>
          </cell>
          <cell r="G826" t="str">
            <v>Затраты по ШПЗ (неосновные)</v>
          </cell>
          <cell r="H826">
            <v>2030</v>
          </cell>
          <cell r="I826">
            <v>7920</v>
          </cell>
          <cell r="J826">
            <v>46.09</v>
          </cell>
          <cell r="K826">
            <v>1</v>
          </cell>
          <cell r="L826">
            <v>0</v>
          </cell>
          <cell r="M826">
            <v>0</v>
          </cell>
          <cell r="N826">
            <v>0</v>
          </cell>
          <cell r="R826">
            <v>0</v>
          </cell>
          <cell r="S826">
            <v>0</v>
          </cell>
          <cell r="T826">
            <v>0</v>
          </cell>
          <cell r="U826">
            <v>32</v>
          </cell>
          <cell r="V826">
            <v>0</v>
          </cell>
          <cell r="W826">
            <v>0</v>
          </cell>
          <cell r="AA826">
            <v>0</v>
          </cell>
          <cell r="AB826">
            <v>0</v>
          </cell>
          <cell r="AC826">
            <v>0</v>
          </cell>
          <cell r="AD826">
            <v>32</v>
          </cell>
          <cell r="AE826">
            <v>460000</v>
          </cell>
          <cell r="AF826">
            <v>0</v>
          </cell>
          <cell r="AI826">
            <v>2373</v>
          </cell>
          <cell r="AK826">
            <v>0</v>
          </cell>
          <cell r="AM826">
            <v>379</v>
          </cell>
          <cell r="AN826">
            <v>1</v>
          </cell>
          <cell r="AO826">
            <v>393216</v>
          </cell>
          <cell r="AQ826">
            <v>0</v>
          </cell>
          <cell r="AR826">
            <v>0</v>
          </cell>
          <cell r="AS826" t="str">
            <v>Ы</v>
          </cell>
          <cell r="AT826" t="str">
            <v>Ы</v>
          </cell>
          <cell r="AU826">
            <v>0</v>
          </cell>
          <cell r="AV826">
            <v>0</v>
          </cell>
          <cell r="AW826">
            <v>23</v>
          </cell>
          <cell r="AX826">
            <v>1</v>
          </cell>
          <cell r="AY826">
            <v>0</v>
          </cell>
          <cell r="AZ826">
            <v>0</v>
          </cell>
          <cell r="BA826">
            <v>0</v>
          </cell>
          <cell r="BB826">
            <v>0</v>
          </cell>
          <cell r="BC826">
            <v>38916</v>
          </cell>
        </row>
        <row r="827">
          <cell r="A827">
            <v>2006</v>
          </cell>
          <cell r="B827">
            <v>6</v>
          </cell>
          <cell r="C827">
            <v>236</v>
          </cell>
          <cell r="D827">
            <v>17</v>
          </cell>
          <cell r="E827">
            <v>792030</v>
          </cell>
          <cell r="F827">
            <v>0</v>
          </cell>
          <cell r="G827" t="str">
            <v>Затраты по ШПЗ (неосновные)</v>
          </cell>
          <cell r="H827">
            <v>2030</v>
          </cell>
          <cell r="I827">
            <v>7920</v>
          </cell>
          <cell r="J827">
            <v>8.07</v>
          </cell>
          <cell r="K827">
            <v>1</v>
          </cell>
          <cell r="L827">
            <v>0</v>
          </cell>
          <cell r="M827">
            <v>0</v>
          </cell>
          <cell r="N827">
            <v>0</v>
          </cell>
          <cell r="R827">
            <v>0</v>
          </cell>
          <cell r="S827">
            <v>0</v>
          </cell>
          <cell r="T827">
            <v>0</v>
          </cell>
          <cell r="U827">
            <v>32</v>
          </cell>
          <cell r="V827">
            <v>0</v>
          </cell>
          <cell r="W827">
            <v>0</v>
          </cell>
          <cell r="AA827">
            <v>0</v>
          </cell>
          <cell r="AB827">
            <v>0</v>
          </cell>
          <cell r="AC827">
            <v>0</v>
          </cell>
          <cell r="AD827">
            <v>32</v>
          </cell>
          <cell r="AE827">
            <v>465000</v>
          </cell>
          <cell r="AF827">
            <v>0</v>
          </cell>
          <cell r="AI827">
            <v>2373</v>
          </cell>
          <cell r="AK827">
            <v>0</v>
          </cell>
          <cell r="AM827">
            <v>380</v>
          </cell>
          <cell r="AN827">
            <v>1</v>
          </cell>
          <cell r="AO827">
            <v>393216</v>
          </cell>
          <cell r="AQ827">
            <v>0</v>
          </cell>
          <cell r="AR827">
            <v>0</v>
          </cell>
          <cell r="AS827" t="str">
            <v>Ы</v>
          </cell>
          <cell r="AT827" t="str">
            <v>Ы</v>
          </cell>
          <cell r="AU827">
            <v>0</v>
          </cell>
          <cell r="AV827">
            <v>0</v>
          </cell>
          <cell r="AW827">
            <v>23</v>
          </cell>
          <cell r="AX827">
            <v>1</v>
          </cell>
          <cell r="AY827">
            <v>0</v>
          </cell>
          <cell r="AZ827">
            <v>0</v>
          </cell>
          <cell r="BA827">
            <v>0</v>
          </cell>
          <cell r="BB827">
            <v>0</v>
          </cell>
          <cell r="BC827">
            <v>38916</v>
          </cell>
        </row>
        <row r="828">
          <cell r="A828">
            <v>2006</v>
          </cell>
          <cell r="B828">
            <v>6</v>
          </cell>
          <cell r="C828">
            <v>237</v>
          </cell>
          <cell r="D828">
            <v>17</v>
          </cell>
          <cell r="E828">
            <v>792030</v>
          </cell>
          <cell r="F828">
            <v>0</v>
          </cell>
          <cell r="G828" t="str">
            <v>Затраты по ШПЗ (неосновные)</v>
          </cell>
          <cell r="H828">
            <v>2030</v>
          </cell>
          <cell r="I828">
            <v>7920</v>
          </cell>
          <cell r="J828">
            <v>-19.61</v>
          </cell>
          <cell r="K828">
            <v>1</v>
          </cell>
          <cell r="L828">
            <v>0</v>
          </cell>
          <cell r="M828">
            <v>0</v>
          </cell>
          <cell r="N828">
            <v>0</v>
          </cell>
          <cell r="R828">
            <v>0</v>
          </cell>
          <cell r="S828">
            <v>0</v>
          </cell>
          <cell r="T828">
            <v>0</v>
          </cell>
          <cell r="U828">
            <v>32</v>
          </cell>
          <cell r="V828">
            <v>0</v>
          </cell>
          <cell r="W828">
            <v>0</v>
          </cell>
          <cell r="AA828">
            <v>0</v>
          </cell>
          <cell r="AB828">
            <v>0</v>
          </cell>
          <cell r="AC828">
            <v>0</v>
          </cell>
          <cell r="AD828">
            <v>32</v>
          </cell>
          <cell r="AE828">
            <v>501102</v>
          </cell>
          <cell r="AF828">
            <v>0</v>
          </cell>
          <cell r="AI828">
            <v>2373</v>
          </cell>
          <cell r="AK828">
            <v>0</v>
          </cell>
          <cell r="AM828">
            <v>381</v>
          </cell>
          <cell r="AN828">
            <v>1</v>
          </cell>
          <cell r="AO828">
            <v>393216</v>
          </cell>
          <cell r="AQ828">
            <v>0</v>
          </cell>
          <cell r="AR828">
            <v>0</v>
          </cell>
          <cell r="AS828" t="str">
            <v>Ы</v>
          </cell>
          <cell r="AT828" t="str">
            <v>Ы</v>
          </cell>
          <cell r="AU828">
            <v>0</v>
          </cell>
          <cell r="AV828">
            <v>0</v>
          </cell>
          <cell r="AW828">
            <v>23</v>
          </cell>
          <cell r="AX828">
            <v>1</v>
          </cell>
          <cell r="AY828">
            <v>0</v>
          </cell>
          <cell r="AZ828">
            <v>0</v>
          </cell>
          <cell r="BA828">
            <v>0</v>
          </cell>
          <cell r="BB828">
            <v>0</v>
          </cell>
          <cell r="BC828">
            <v>38916</v>
          </cell>
        </row>
        <row r="829">
          <cell r="A829">
            <v>2006</v>
          </cell>
          <cell r="B829">
            <v>6</v>
          </cell>
          <cell r="C829">
            <v>238</v>
          </cell>
          <cell r="D829">
            <v>17</v>
          </cell>
          <cell r="E829">
            <v>792030</v>
          </cell>
          <cell r="F829">
            <v>0</v>
          </cell>
          <cell r="G829" t="str">
            <v>Затраты по ШПЗ (неосновные)</v>
          </cell>
          <cell r="H829">
            <v>2030</v>
          </cell>
          <cell r="I829">
            <v>7920</v>
          </cell>
          <cell r="J829">
            <v>105.29</v>
          </cell>
          <cell r="K829">
            <v>1</v>
          </cell>
          <cell r="L829">
            <v>0</v>
          </cell>
          <cell r="M829">
            <v>0</v>
          </cell>
          <cell r="N829">
            <v>0</v>
          </cell>
          <cell r="R829">
            <v>0</v>
          </cell>
          <cell r="S829">
            <v>0</v>
          </cell>
          <cell r="T829">
            <v>0</v>
          </cell>
          <cell r="U829">
            <v>32</v>
          </cell>
          <cell r="V829">
            <v>0</v>
          </cell>
          <cell r="W829">
            <v>0</v>
          </cell>
          <cell r="AA829">
            <v>0</v>
          </cell>
          <cell r="AB829">
            <v>0</v>
          </cell>
          <cell r="AC829">
            <v>0</v>
          </cell>
          <cell r="AD829">
            <v>32</v>
          </cell>
          <cell r="AE829">
            <v>501103</v>
          </cell>
          <cell r="AF829">
            <v>0</v>
          </cell>
          <cell r="AI829">
            <v>2373</v>
          </cell>
          <cell r="AK829">
            <v>0</v>
          </cell>
          <cell r="AM829">
            <v>382</v>
          </cell>
          <cell r="AN829">
            <v>1</v>
          </cell>
          <cell r="AO829">
            <v>393216</v>
          </cell>
          <cell r="AQ829">
            <v>0</v>
          </cell>
          <cell r="AR829">
            <v>0</v>
          </cell>
          <cell r="AS829" t="str">
            <v>Ы</v>
          </cell>
          <cell r="AT829" t="str">
            <v>Ы</v>
          </cell>
          <cell r="AU829">
            <v>0</v>
          </cell>
          <cell r="AV829">
            <v>0</v>
          </cell>
          <cell r="AW829">
            <v>23</v>
          </cell>
          <cell r="AX829">
            <v>1</v>
          </cell>
          <cell r="AY829">
            <v>0</v>
          </cell>
          <cell r="AZ829">
            <v>0</v>
          </cell>
          <cell r="BA829">
            <v>0</v>
          </cell>
          <cell r="BB829">
            <v>0</v>
          </cell>
          <cell r="BC829">
            <v>38916</v>
          </cell>
        </row>
        <row r="830">
          <cell r="A830">
            <v>2006</v>
          </cell>
          <cell r="B830">
            <v>6</v>
          </cell>
          <cell r="C830">
            <v>239</v>
          </cell>
          <cell r="D830">
            <v>17</v>
          </cell>
          <cell r="E830">
            <v>792030</v>
          </cell>
          <cell r="F830">
            <v>0</v>
          </cell>
          <cell r="G830" t="str">
            <v>Затраты по ШПЗ (неосновные)</v>
          </cell>
          <cell r="H830">
            <v>2030</v>
          </cell>
          <cell r="I830">
            <v>7920</v>
          </cell>
          <cell r="J830">
            <v>52.76</v>
          </cell>
          <cell r="K830">
            <v>1</v>
          </cell>
          <cell r="L830">
            <v>0</v>
          </cell>
          <cell r="M830">
            <v>0</v>
          </cell>
          <cell r="N830">
            <v>0</v>
          </cell>
          <cell r="R830">
            <v>0</v>
          </cell>
          <cell r="S830">
            <v>0</v>
          </cell>
          <cell r="T830">
            <v>0</v>
          </cell>
          <cell r="U830">
            <v>32</v>
          </cell>
          <cell r="V830">
            <v>0</v>
          </cell>
          <cell r="W830">
            <v>0</v>
          </cell>
          <cell r="AA830">
            <v>0</v>
          </cell>
          <cell r="AB830">
            <v>0</v>
          </cell>
          <cell r="AC830">
            <v>0</v>
          </cell>
          <cell r="AD830">
            <v>32</v>
          </cell>
          <cell r="AE830">
            <v>501105</v>
          </cell>
          <cell r="AF830">
            <v>0</v>
          </cell>
          <cell r="AI830">
            <v>2373</v>
          </cell>
          <cell r="AK830">
            <v>0</v>
          </cell>
          <cell r="AM830">
            <v>383</v>
          </cell>
          <cell r="AN830">
            <v>1</v>
          </cell>
          <cell r="AO830">
            <v>393216</v>
          </cell>
          <cell r="AQ830">
            <v>0</v>
          </cell>
          <cell r="AR830">
            <v>0</v>
          </cell>
          <cell r="AS830" t="str">
            <v>Ы</v>
          </cell>
          <cell r="AT830" t="str">
            <v>Ы</v>
          </cell>
          <cell r="AU830">
            <v>0</v>
          </cell>
          <cell r="AV830">
            <v>0</v>
          </cell>
          <cell r="AW830">
            <v>23</v>
          </cell>
          <cell r="AX830">
            <v>1</v>
          </cell>
          <cell r="AY830">
            <v>0</v>
          </cell>
          <cell r="AZ830">
            <v>0</v>
          </cell>
          <cell r="BA830">
            <v>0</v>
          </cell>
          <cell r="BB830">
            <v>0</v>
          </cell>
          <cell r="BC830">
            <v>38916</v>
          </cell>
        </row>
        <row r="831">
          <cell r="A831">
            <v>2006</v>
          </cell>
          <cell r="B831">
            <v>6</v>
          </cell>
          <cell r="C831">
            <v>240</v>
          </cell>
          <cell r="D831">
            <v>17</v>
          </cell>
          <cell r="E831">
            <v>792030</v>
          </cell>
          <cell r="F831">
            <v>0</v>
          </cell>
          <cell r="G831" t="str">
            <v>Затраты по ШПЗ (неосновные)</v>
          </cell>
          <cell r="H831">
            <v>2030</v>
          </cell>
          <cell r="I831">
            <v>7920</v>
          </cell>
          <cell r="J831">
            <v>7.61</v>
          </cell>
          <cell r="K831">
            <v>1</v>
          </cell>
          <cell r="L831">
            <v>0</v>
          </cell>
          <cell r="M831">
            <v>0</v>
          </cell>
          <cell r="N831">
            <v>0</v>
          </cell>
          <cell r="R831">
            <v>0</v>
          </cell>
          <cell r="S831">
            <v>0</v>
          </cell>
          <cell r="T831">
            <v>0</v>
          </cell>
          <cell r="U831">
            <v>32</v>
          </cell>
          <cell r="V831">
            <v>0</v>
          </cell>
          <cell r="W831">
            <v>0</v>
          </cell>
          <cell r="AA831">
            <v>0</v>
          </cell>
          <cell r="AB831">
            <v>0</v>
          </cell>
          <cell r="AC831">
            <v>0</v>
          </cell>
          <cell r="AD831">
            <v>32</v>
          </cell>
          <cell r="AE831">
            <v>501106</v>
          </cell>
          <cell r="AF831">
            <v>0</v>
          </cell>
          <cell r="AI831">
            <v>2373</v>
          </cell>
          <cell r="AK831">
            <v>0</v>
          </cell>
          <cell r="AM831">
            <v>384</v>
          </cell>
          <cell r="AN831">
            <v>1</v>
          </cell>
          <cell r="AO831">
            <v>393216</v>
          </cell>
          <cell r="AQ831">
            <v>0</v>
          </cell>
          <cell r="AR831">
            <v>0</v>
          </cell>
          <cell r="AS831" t="str">
            <v>Ы</v>
          </cell>
          <cell r="AT831" t="str">
            <v>Ы</v>
          </cell>
          <cell r="AU831">
            <v>0</v>
          </cell>
          <cell r="AV831">
            <v>0</v>
          </cell>
          <cell r="AW831">
            <v>23</v>
          </cell>
          <cell r="AX831">
            <v>1</v>
          </cell>
          <cell r="AY831">
            <v>0</v>
          </cell>
          <cell r="AZ831">
            <v>0</v>
          </cell>
          <cell r="BA831">
            <v>0</v>
          </cell>
          <cell r="BB831">
            <v>0</v>
          </cell>
          <cell r="BC831">
            <v>38916</v>
          </cell>
        </row>
        <row r="832">
          <cell r="A832">
            <v>2006</v>
          </cell>
          <cell r="B832">
            <v>6</v>
          </cell>
          <cell r="C832">
            <v>241</v>
          </cell>
          <cell r="D832">
            <v>17</v>
          </cell>
          <cell r="E832">
            <v>792030</v>
          </cell>
          <cell r="F832">
            <v>0</v>
          </cell>
          <cell r="G832" t="str">
            <v>Затраты по ШПЗ (неосновные)</v>
          </cell>
          <cell r="H832">
            <v>2030</v>
          </cell>
          <cell r="I832">
            <v>7920</v>
          </cell>
          <cell r="J832">
            <v>450.82</v>
          </cell>
          <cell r="K832">
            <v>1</v>
          </cell>
          <cell r="L832">
            <v>0</v>
          </cell>
          <cell r="M832">
            <v>0</v>
          </cell>
          <cell r="N832">
            <v>0</v>
          </cell>
          <cell r="R832">
            <v>0</v>
          </cell>
          <cell r="S832">
            <v>0</v>
          </cell>
          <cell r="T832">
            <v>0</v>
          </cell>
          <cell r="U832">
            <v>32</v>
          </cell>
          <cell r="V832">
            <v>0</v>
          </cell>
          <cell r="W832">
            <v>0</v>
          </cell>
          <cell r="AA832">
            <v>0</v>
          </cell>
          <cell r="AB832">
            <v>0</v>
          </cell>
          <cell r="AC832">
            <v>0</v>
          </cell>
          <cell r="AD832">
            <v>32</v>
          </cell>
          <cell r="AE832">
            <v>501108</v>
          </cell>
          <cell r="AF832">
            <v>0</v>
          </cell>
          <cell r="AI832">
            <v>2373</v>
          </cell>
          <cell r="AK832">
            <v>0</v>
          </cell>
          <cell r="AM832">
            <v>385</v>
          </cell>
          <cell r="AN832">
            <v>1</v>
          </cell>
          <cell r="AO832">
            <v>393216</v>
          </cell>
          <cell r="AQ832">
            <v>0</v>
          </cell>
          <cell r="AR832">
            <v>0</v>
          </cell>
          <cell r="AS832" t="str">
            <v>Ы</v>
          </cell>
          <cell r="AT832" t="str">
            <v>Ы</v>
          </cell>
          <cell r="AU832">
            <v>0</v>
          </cell>
          <cell r="AV832">
            <v>0</v>
          </cell>
          <cell r="AW832">
            <v>23</v>
          </cell>
          <cell r="AX832">
            <v>1</v>
          </cell>
          <cell r="AY832">
            <v>0</v>
          </cell>
          <cell r="AZ832">
            <v>0</v>
          </cell>
          <cell r="BA832">
            <v>0</v>
          </cell>
          <cell r="BB832">
            <v>0</v>
          </cell>
          <cell r="BC832">
            <v>38916</v>
          </cell>
        </row>
        <row r="833">
          <cell r="A833">
            <v>2006</v>
          </cell>
          <cell r="B833">
            <v>6</v>
          </cell>
          <cell r="C833">
            <v>242</v>
          </cell>
          <cell r="D833">
            <v>17</v>
          </cell>
          <cell r="E833">
            <v>792030</v>
          </cell>
          <cell r="F833">
            <v>0</v>
          </cell>
          <cell r="G833" t="str">
            <v>Затраты по ШПЗ (неосновные)</v>
          </cell>
          <cell r="H833">
            <v>2030</v>
          </cell>
          <cell r="I833">
            <v>7920</v>
          </cell>
          <cell r="J833">
            <v>3.51</v>
          </cell>
          <cell r="K833">
            <v>1</v>
          </cell>
          <cell r="L833">
            <v>0</v>
          </cell>
          <cell r="M833">
            <v>0</v>
          </cell>
          <cell r="N833">
            <v>0</v>
          </cell>
          <cell r="R833">
            <v>0</v>
          </cell>
          <cell r="S833">
            <v>0</v>
          </cell>
          <cell r="T833">
            <v>0</v>
          </cell>
          <cell r="U833">
            <v>32</v>
          </cell>
          <cell r="V833">
            <v>0</v>
          </cell>
          <cell r="W833">
            <v>0</v>
          </cell>
          <cell r="AA833">
            <v>0</v>
          </cell>
          <cell r="AB833">
            <v>0</v>
          </cell>
          <cell r="AC833">
            <v>0</v>
          </cell>
          <cell r="AD833">
            <v>32</v>
          </cell>
          <cell r="AE833">
            <v>502100</v>
          </cell>
          <cell r="AF833">
            <v>0</v>
          </cell>
          <cell r="AI833">
            <v>2373</v>
          </cell>
          <cell r="AK833">
            <v>0</v>
          </cell>
          <cell r="AM833">
            <v>386</v>
          </cell>
          <cell r="AN833">
            <v>1</v>
          </cell>
          <cell r="AO833">
            <v>393216</v>
          </cell>
          <cell r="AQ833">
            <v>0</v>
          </cell>
          <cell r="AR833">
            <v>0</v>
          </cell>
          <cell r="AS833" t="str">
            <v>Ы</v>
          </cell>
          <cell r="AT833" t="str">
            <v>Ы</v>
          </cell>
          <cell r="AU833">
            <v>0</v>
          </cell>
          <cell r="AV833">
            <v>0</v>
          </cell>
          <cell r="AW833">
            <v>23</v>
          </cell>
          <cell r="AX833">
            <v>1</v>
          </cell>
          <cell r="AY833">
            <v>0</v>
          </cell>
          <cell r="AZ833">
            <v>0</v>
          </cell>
          <cell r="BA833">
            <v>0</v>
          </cell>
          <cell r="BB833">
            <v>0</v>
          </cell>
          <cell r="BC833">
            <v>38916</v>
          </cell>
        </row>
        <row r="834">
          <cell r="A834">
            <v>2006</v>
          </cell>
          <cell r="B834">
            <v>6</v>
          </cell>
          <cell r="C834">
            <v>243</v>
          </cell>
          <cell r="D834">
            <v>17</v>
          </cell>
          <cell r="E834">
            <v>792030</v>
          </cell>
          <cell r="F834">
            <v>0</v>
          </cell>
          <cell r="G834" t="str">
            <v>Затраты по ШПЗ (неосновные)</v>
          </cell>
          <cell r="H834">
            <v>2030</v>
          </cell>
          <cell r="I834">
            <v>7920</v>
          </cell>
          <cell r="J834">
            <v>454.74</v>
          </cell>
          <cell r="K834">
            <v>1</v>
          </cell>
          <cell r="L834">
            <v>0</v>
          </cell>
          <cell r="M834">
            <v>0</v>
          </cell>
          <cell r="N834">
            <v>0</v>
          </cell>
          <cell r="R834">
            <v>0</v>
          </cell>
          <cell r="S834">
            <v>0</v>
          </cell>
          <cell r="T834">
            <v>0</v>
          </cell>
          <cell r="U834">
            <v>32</v>
          </cell>
          <cell r="V834">
            <v>0</v>
          </cell>
          <cell r="W834">
            <v>0</v>
          </cell>
          <cell r="AA834">
            <v>0</v>
          </cell>
          <cell r="AB834">
            <v>0</v>
          </cell>
          <cell r="AC834">
            <v>0</v>
          </cell>
          <cell r="AD834">
            <v>32</v>
          </cell>
          <cell r="AE834">
            <v>503000</v>
          </cell>
          <cell r="AF834">
            <v>0</v>
          </cell>
          <cell r="AI834">
            <v>2373</v>
          </cell>
          <cell r="AK834">
            <v>0</v>
          </cell>
          <cell r="AM834">
            <v>387</v>
          </cell>
          <cell r="AN834">
            <v>1</v>
          </cell>
          <cell r="AO834">
            <v>393216</v>
          </cell>
          <cell r="AQ834">
            <v>0</v>
          </cell>
          <cell r="AR834">
            <v>0</v>
          </cell>
          <cell r="AS834" t="str">
            <v>Ы</v>
          </cell>
          <cell r="AT834" t="str">
            <v>Ы</v>
          </cell>
          <cell r="AU834">
            <v>0</v>
          </cell>
          <cell r="AV834">
            <v>0</v>
          </cell>
          <cell r="AW834">
            <v>23</v>
          </cell>
          <cell r="AX834">
            <v>1</v>
          </cell>
          <cell r="AY834">
            <v>0</v>
          </cell>
          <cell r="AZ834">
            <v>0</v>
          </cell>
          <cell r="BA834">
            <v>0</v>
          </cell>
          <cell r="BB834">
            <v>0</v>
          </cell>
          <cell r="BC834">
            <v>38916</v>
          </cell>
        </row>
        <row r="835">
          <cell r="A835">
            <v>2006</v>
          </cell>
          <cell r="B835">
            <v>6</v>
          </cell>
          <cell r="C835">
            <v>244</v>
          </cell>
          <cell r="D835">
            <v>17</v>
          </cell>
          <cell r="E835">
            <v>792030</v>
          </cell>
          <cell r="F835">
            <v>0</v>
          </cell>
          <cell r="G835" t="str">
            <v>Затраты по ШПЗ (неосновные)</v>
          </cell>
          <cell r="H835">
            <v>2030</v>
          </cell>
          <cell r="I835">
            <v>7920</v>
          </cell>
          <cell r="J835">
            <v>0.27</v>
          </cell>
          <cell r="K835">
            <v>1</v>
          </cell>
          <cell r="L835">
            <v>0</v>
          </cell>
          <cell r="M835">
            <v>0</v>
          </cell>
          <cell r="N835">
            <v>0</v>
          </cell>
          <cell r="R835">
            <v>0</v>
          </cell>
          <cell r="S835">
            <v>0</v>
          </cell>
          <cell r="T835">
            <v>0</v>
          </cell>
          <cell r="U835">
            <v>32</v>
          </cell>
          <cell r="V835">
            <v>0</v>
          </cell>
          <cell r="W835">
            <v>0</v>
          </cell>
          <cell r="AA835">
            <v>0</v>
          </cell>
          <cell r="AB835">
            <v>0</v>
          </cell>
          <cell r="AC835">
            <v>0</v>
          </cell>
          <cell r="AD835">
            <v>32</v>
          </cell>
          <cell r="AE835">
            <v>504100</v>
          </cell>
          <cell r="AF835">
            <v>0</v>
          </cell>
          <cell r="AI835">
            <v>2373</v>
          </cell>
          <cell r="AK835">
            <v>0</v>
          </cell>
          <cell r="AM835">
            <v>388</v>
          </cell>
          <cell r="AN835">
            <v>1</v>
          </cell>
          <cell r="AO835">
            <v>393216</v>
          </cell>
          <cell r="AQ835">
            <v>0</v>
          </cell>
          <cell r="AR835">
            <v>0</v>
          </cell>
          <cell r="AS835" t="str">
            <v>Ы</v>
          </cell>
          <cell r="AT835" t="str">
            <v>Ы</v>
          </cell>
          <cell r="AU835">
            <v>0</v>
          </cell>
          <cell r="AV835">
            <v>0</v>
          </cell>
          <cell r="AW835">
            <v>23</v>
          </cell>
          <cell r="AX835">
            <v>1</v>
          </cell>
          <cell r="AY835">
            <v>0</v>
          </cell>
          <cell r="AZ835">
            <v>0</v>
          </cell>
          <cell r="BA835">
            <v>0</v>
          </cell>
          <cell r="BB835">
            <v>0</v>
          </cell>
          <cell r="BC835">
            <v>38916</v>
          </cell>
        </row>
        <row r="836">
          <cell r="A836">
            <v>2006</v>
          </cell>
          <cell r="B836">
            <v>6</v>
          </cell>
          <cell r="C836">
            <v>245</v>
          </cell>
          <cell r="D836">
            <v>17</v>
          </cell>
          <cell r="E836">
            <v>792030</v>
          </cell>
          <cell r="F836">
            <v>0</v>
          </cell>
          <cell r="G836" t="str">
            <v>Затраты по ШПЗ (неосновные)</v>
          </cell>
          <cell r="H836">
            <v>2030</v>
          </cell>
          <cell r="I836">
            <v>7920</v>
          </cell>
          <cell r="J836">
            <v>0.02</v>
          </cell>
          <cell r="K836">
            <v>1</v>
          </cell>
          <cell r="L836">
            <v>0</v>
          </cell>
          <cell r="M836">
            <v>0</v>
          </cell>
          <cell r="N836">
            <v>0</v>
          </cell>
          <cell r="R836">
            <v>0</v>
          </cell>
          <cell r="S836">
            <v>0</v>
          </cell>
          <cell r="T836">
            <v>0</v>
          </cell>
          <cell r="U836">
            <v>32</v>
          </cell>
          <cell r="V836">
            <v>0</v>
          </cell>
          <cell r="W836">
            <v>0</v>
          </cell>
          <cell r="AA836">
            <v>0</v>
          </cell>
          <cell r="AB836">
            <v>0</v>
          </cell>
          <cell r="AC836">
            <v>0</v>
          </cell>
          <cell r="AD836">
            <v>32</v>
          </cell>
          <cell r="AE836">
            <v>504200</v>
          </cell>
          <cell r="AF836">
            <v>0</v>
          </cell>
          <cell r="AI836">
            <v>2373</v>
          </cell>
          <cell r="AK836">
            <v>0</v>
          </cell>
          <cell r="AM836">
            <v>389</v>
          </cell>
          <cell r="AN836">
            <v>1</v>
          </cell>
          <cell r="AO836">
            <v>393216</v>
          </cell>
          <cell r="AQ836">
            <v>0</v>
          </cell>
          <cell r="AR836">
            <v>0</v>
          </cell>
          <cell r="AS836" t="str">
            <v>Ы</v>
          </cell>
          <cell r="AT836" t="str">
            <v>Ы</v>
          </cell>
          <cell r="AU836">
            <v>0</v>
          </cell>
          <cell r="AV836">
            <v>0</v>
          </cell>
          <cell r="AW836">
            <v>23</v>
          </cell>
          <cell r="AX836">
            <v>1</v>
          </cell>
          <cell r="AY836">
            <v>0</v>
          </cell>
          <cell r="AZ836">
            <v>0</v>
          </cell>
          <cell r="BA836">
            <v>0</v>
          </cell>
          <cell r="BB836">
            <v>0</v>
          </cell>
          <cell r="BC836">
            <v>38916</v>
          </cell>
        </row>
        <row r="837">
          <cell r="A837">
            <v>2006</v>
          </cell>
          <cell r="B837">
            <v>6</v>
          </cell>
          <cell r="C837">
            <v>246</v>
          </cell>
          <cell r="D837">
            <v>17</v>
          </cell>
          <cell r="E837">
            <v>792030</v>
          </cell>
          <cell r="F837">
            <v>0</v>
          </cell>
          <cell r="G837" t="str">
            <v>Затраты по ШПЗ (неосновные)</v>
          </cell>
          <cell r="H837">
            <v>2030</v>
          </cell>
          <cell r="I837">
            <v>7920</v>
          </cell>
          <cell r="J837">
            <v>0.13</v>
          </cell>
          <cell r="K837">
            <v>1</v>
          </cell>
          <cell r="L837">
            <v>0</v>
          </cell>
          <cell r="M837">
            <v>0</v>
          </cell>
          <cell r="N837">
            <v>0</v>
          </cell>
          <cell r="R837">
            <v>0</v>
          </cell>
          <cell r="S837">
            <v>0</v>
          </cell>
          <cell r="T837">
            <v>0</v>
          </cell>
          <cell r="U837">
            <v>32</v>
          </cell>
          <cell r="V837">
            <v>0</v>
          </cell>
          <cell r="W837">
            <v>0</v>
          </cell>
          <cell r="AA837">
            <v>0</v>
          </cell>
          <cell r="AB837">
            <v>0</v>
          </cell>
          <cell r="AC837">
            <v>0</v>
          </cell>
          <cell r="AD837">
            <v>32</v>
          </cell>
          <cell r="AE837">
            <v>504900</v>
          </cell>
          <cell r="AF837">
            <v>0</v>
          </cell>
          <cell r="AI837">
            <v>2373</v>
          </cell>
          <cell r="AK837">
            <v>0</v>
          </cell>
          <cell r="AM837">
            <v>390</v>
          </cell>
          <cell r="AN837">
            <v>1</v>
          </cell>
          <cell r="AO837">
            <v>393216</v>
          </cell>
          <cell r="AQ837">
            <v>0</v>
          </cell>
          <cell r="AR837">
            <v>0</v>
          </cell>
          <cell r="AS837" t="str">
            <v>Ы</v>
          </cell>
          <cell r="AT837" t="str">
            <v>Ы</v>
          </cell>
          <cell r="AU837">
            <v>0</v>
          </cell>
          <cell r="AV837">
            <v>0</v>
          </cell>
          <cell r="AW837">
            <v>23</v>
          </cell>
          <cell r="AX837">
            <v>1</v>
          </cell>
          <cell r="AY837">
            <v>0</v>
          </cell>
          <cell r="AZ837">
            <v>0</v>
          </cell>
          <cell r="BA837">
            <v>0</v>
          </cell>
          <cell r="BB837">
            <v>0</v>
          </cell>
          <cell r="BC837">
            <v>38916</v>
          </cell>
        </row>
        <row r="838">
          <cell r="A838">
            <v>2006</v>
          </cell>
          <cell r="B838">
            <v>6</v>
          </cell>
          <cell r="C838">
            <v>247</v>
          </cell>
          <cell r="D838">
            <v>17</v>
          </cell>
          <cell r="E838">
            <v>792030</v>
          </cell>
          <cell r="F838">
            <v>0</v>
          </cell>
          <cell r="G838" t="str">
            <v>Затраты по ШПЗ (неосновные)</v>
          </cell>
          <cell r="H838">
            <v>2030</v>
          </cell>
          <cell r="I838">
            <v>7920</v>
          </cell>
          <cell r="J838">
            <v>0.41</v>
          </cell>
          <cell r="K838">
            <v>1</v>
          </cell>
          <cell r="L838">
            <v>0</v>
          </cell>
          <cell r="M838">
            <v>0</v>
          </cell>
          <cell r="N838">
            <v>0</v>
          </cell>
          <cell r="R838">
            <v>0</v>
          </cell>
          <cell r="S838">
            <v>0</v>
          </cell>
          <cell r="T838">
            <v>0</v>
          </cell>
          <cell r="U838">
            <v>32</v>
          </cell>
          <cell r="V838">
            <v>0</v>
          </cell>
          <cell r="W838">
            <v>0</v>
          </cell>
          <cell r="AA838">
            <v>0</v>
          </cell>
          <cell r="AB838">
            <v>0</v>
          </cell>
          <cell r="AC838">
            <v>0</v>
          </cell>
          <cell r="AD838">
            <v>32</v>
          </cell>
          <cell r="AE838">
            <v>505300</v>
          </cell>
          <cell r="AF838">
            <v>0</v>
          </cell>
          <cell r="AI838">
            <v>2373</v>
          </cell>
          <cell r="AK838">
            <v>0</v>
          </cell>
          <cell r="AM838">
            <v>391</v>
          </cell>
          <cell r="AN838">
            <v>1</v>
          </cell>
          <cell r="AO838">
            <v>393216</v>
          </cell>
          <cell r="AQ838">
            <v>0</v>
          </cell>
          <cell r="AR838">
            <v>0</v>
          </cell>
          <cell r="AS838" t="str">
            <v>Ы</v>
          </cell>
          <cell r="AT838" t="str">
            <v>Ы</v>
          </cell>
          <cell r="AU838">
            <v>0</v>
          </cell>
          <cell r="AV838">
            <v>0</v>
          </cell>
          <cell r="AW838">
            <v>23</v>
          </cell>
          <cell r="AX838">
            <v>1</v>
          </cell>
          <cell r="AY838">
            <v>0</v>
          </cell>
          <cell r="AZ838">
            <v>0</v>
          </cell>
          <cell r="BA838">
            <v>0</v>
          </cell>
          <cell r="BB838">
            <v>0</v>
          </cell>
          <cell r="BC838">
            <v>38916</v>
          </cell>
        </row>
        <row r="839">
          <cell r="A839">
            <v>2006</v>
          </cell>
          <cell r="B839">
            <v>6</v>
          </cell>
          <cell r="C839">
            <v>248</v>
          </cell>
          <cell r="D839">
            <v>17</v>
          </cell>
          <cell r="E839">
            <v>792030</v>
          </cell>
          <cell r="F839">
            <v>0</v>
          </cell>
          <cell r="G839" t="str">
            <v>Затраты по ШПЗ (неосновные)</v>
          </cell>
          <cell r="H839">
            <v>2030</v>
          </cell>
          <cell r="I839">
            <v>7920</v>
          </cell>
          <cell r="J839">
            <v>421.07</v>
          </cell>
          <cell r="K839">
            <v>1</v>
          </cell>
          <cell r="L839">
            <v>0</v>
          </cell>
          <cell r="M839">
            <v>0</v>
          </cell>
          <cell r="N839">
            <v>0</v>
          </cell>
          <cell r="R839">
            <v>0</v>
          </cell>
          <cell r="S839">
            <v>0</v>
          </cell>
          <cell r="T839">
            <v>0</v>
          </cell>
          <cell r="U839">
            <v>32</v>
          </cell>
          <cell r="V839">
            <v>0</v>
          </cell>
          <cell r="W839">
            <v>0</v>
          </cell>
          <cell r="AA839">
            <v>0</v>
          </cell>
          <cell r="AB839">
            <v>0</v>
          </cell>
          <cell r="AC839">
            <v>0</v>
          </cell>
          <cell r="AD839">
            <v>32</v>
          </cell>
          <cell r="AE839">
            <v>510100</v>
          </cell>
          <cell r="AF839">
            <v>0</v>
          </cell>
          <cell r="AI839">
            <v>2373</v>
          </cell>
          <cell r="AK839">
            <v>0</v>
          </cell>
          <cell r="AM839">
            <v>392</v>
          </cell>
          <cell r="AN839">
            <v>1</v>
          </cell>
          <cell r="AO839">
            <v>393216</v>
          </cell>
          <cell r="AQ839">
            <v>0</v>
          </cell>
          <cell r="AR839">
            <v>0</v>
          </cell>
          <cell r="AS839" t="str">
            <v>Ы</v>
          </cell>
          <cell r="AT839" t="str">
            <v>Ы</v>
          </cell>
          <cell r="AU839">
            <v>0</v>
          </cell>
          <cell r="AV839">
            <v>0</v>
          </cell>
          <cell r="AW839">
            <v>23</v>
          </cell>
          <cell r="AX839">
            <v>1</v>
          </cell>
          <cell r="AY839">
            <v>0</v>
          </cell>
          <cell r="AZ839">
            <v>0</v>
          </cell>
          <cell r="BA839">
            <v>0</v>
          </cell>
          <cell r="BB839">
            <v>0</v>
          </cell>
          <cell r="BC839">
            <v>38916</v>
          </cell>
        </row>
        <row r="840">
          <cell r="A840">
            <v>2006</v>
          </cell>
          <cell r="B840">
            <v>6</v>
          </cell>
          <cell r="C840">
            <v>249</v>
          </cell>
          <cell r="D840">
            <v>17</v>
          </cell>
          <cell r="E840">
            <v>792030</v>
          </cell>
          <cell r="F840">
            <v>0</v>
          </cell>
          <cell r="G840" t="str">
            <v>Затраты по ШПЗ (неосновные)</v>
          </cell>
          <cell r="H840">
            <v>2030</v>
          </cell>
          <cell r="I840">
            <v>7920</v>
          </cell>
          <cell r="J840">
            <v>0.01</v>
          </cell>
          <cell r="K840">
            <v>1</v>
          </cell>
          <cell r="L840">
            <v>0</v>
          </cell>
          <cell r="M840">
            <v>0</v>
          </cell>
          <cell r="N840">
            <v>0</v>
          </cell>
          <cell r="R840">
            <v>0</v>
          </cell>
          <cell r="S840">
            <v>0</v>
          </cell>
          <cell r="T840">
            <v>0</v>
          </cell>
          <cell r="U840">
            <v>32</v>
          </cell>
          <cell r="V840">
            <v>0</v>
          </cell>
          <cell r="W840">
            <v>0</v>
          </cell>
          <cell r="AA840">
            <v>0</v>
          </cell>
          <cell r="AB840">
            <v>0</v>
          </cell>
          <cell r="AC840">
            <v>0</v>
          </cell>
          <cell r="AD840">
            <v>32</v>
          </cell>
          <cell r="AE840">
            <v>510200</v>
          </cell>
          <cell r="AF840">
            <v>0</v>
          </cell>
          <cell r="AI840">
            <v>2373</v>
          </cell>
          <cell r="AK840">
            <v>0</v>
          </cell>
          <cell r="AM840">
            <v>393</v>
          </cell>
          <cell r="AN840">
            <v>1</v>
          </cell>
          <cell r="AO840">
            <v>393216</v>
          </cell>
          <cell r="AQ840">
            <v>0</v>
          </cell>
          <cell r="AR840">
            <v>0</v>
          </cell>
          <cell r="AS840" t="str">
            <v>Ы</v>
          </cell>
          <cell r="AT840" t="str">
            <v>Ы</v>
          </cell>
          <cell r="AU840">
            <v>0</v>
          </cell>
          <cell r="AV840">
            <v>0</v>
          </cell>
          <cell r="AW840">
            <v>23</v>
          </cell>
          <cell r="AX840">
            <v>1</v>
          </cell>
          <cell r="AY840">
            <v>0</v>
          </cell>
          <cell r="AZ840">
            <v>0</v>
          </cell>
          <cell r="BA840">
            <v>0</v>
          </cell>
          <cell r="BB840">
            <v>0</v>
          </cell>
          <cell r="BC840">
            <v>38916</v>
          </cell>
        </row>
        <row r="841">
          <cell r="A841">
            <v>2006</v>
          </cell>
          <cell r="B841">
            <v>6</v>
          </cell>
          <cell r="C841">
            <v>250</v>
          </cell>
          <cell r="D841">
            <v>17</v>
          </cell>
          <cell r="E841">
            <v>792030</v>
          </cell>
          <cell r="F841">
            <v>0</v>
          </cell>
          <cell r="G841" t="str">
            <v>Затраты по ШПЗ (неосновные)</v>
          </cell>
          <cell r="H841">
            <v>2030</v>
          </cell>
          <cell r="I841">
            <v>7920</v>
          </cell>
          <cell r="J841">
            <v>1.06</v>
          </cell>
          <cell r="K841">
            <v>1</v>
          </cell>
          <cell r="L841">
            <v>0</v>
          </cell>
          <cell r="M841">
            <v>0</v>
          </cell>
          <cell r="N841">
            <v>0</v>
          </cell>
          <cell r="R841">
            <v>0</v>
          </cell>
          <cell r="S841">
            <v>0</v>
          </cell>
          <cell r="T841">
            <v>0</v>
          </cell>
          <cell r="U841">
            <v>32</v>
          </cell>
          <cell r="V841">
            <v>0</v>
          </cell>
          <cell r="W841">
            <v>0</v>
          </cell>
          <cell r="AA841">
            <v>0</v>
          </cell>
          <cell r="AB841">
            <v>0</v>
          </cell>
          <cell r="AC841">
            <v>0</v>
          </cell>
          <cell r="AD841">
            <v>32</v>
          </cell>
          <cell r="AE841">
            <v>510400</v>
          </cell>
          <cell r="AF841">
            <v>0</v>
          </cell>
          <cell r="AI841">
            <v>2373</v>
          </cell>
          <cell r="AK841">
            <v>0</v>
          </cell>
          <cell r="AM841">
            <v>394</v>
          </cell>
          <cell r="AN841">
            <v>1</v>
          </cell>
          <cell r="AO841">
            <v>393216</v>
          </cell>
          <cell r="AQ841">
            <v>0</v>
          </cell>
          <cell r="AR841">
            <v>0</v>
          </cell>
          <cell r="AS841" t="str">
            <v>Ы</v>
          </cell>
          <cell r="AT841" t="str">
            <v>Ы</v>
          </cell>
          <cell r="AU841">
            <v>0</v>
          </cell>
          <cell r="AV841">
            <v>0</v>
          </cell>
          <cell r="AW841">
            <v>23</v>
          </cell>
          <cell r="AX841">
            <v>1</v>
          </cell>
          <cell r="AY841">
            <v>0</v>
          </cell>
          <cell r="AZ841">
            <v>0</v>
          </cell>
          <cell r="BA841">
            <v>0</v>
          </cell>
          <cell r="BB841">
            <v>0</v>
          </cell>
          <cell r="BC841">
            <v>38916</v>
          </cell>
        </row>
        <row r="842">
          <cell r="A842">
            <v>2006</v>
          </cell>
          <cell r="B842">
            <v>6</v>
          </cell>
          <cell r="C842">
            <v>251</v>
          </cell>
          <cell r="D842">
            <v>17</v>
          </cell>
          <cell r="E842">
            <v>792030</v>
          </cell>
          <cell r="F842">
            <v>0</v>
          </cell>
          <cell r="G842" t="str">
            <v>Затраты по ШПЗ (неосновные)</v>
          </cell>
          <cell r="H842">
            <v>2030</v>
          </cell>
          <cell r="I842">
            <v>7920</v>
          </cell>
          <cell r="J842">
            <v>1.01</v>
          </cell>
          <cell r="K842">
            <v>1</v>
          </cell>
          <cell r="L842">
            <v>0</v>
          </cell>
          <cell r="M842">
            <v>0</v>
          </cell>
          <cell r="N842">
            <v>0</v>
          </cell>
          <cell r="R842">
            <v>0</v>
          </cell>
          <cell r="S842">
            <v>0</v>
          </cell>
          <cell r="T842">
            <v>0</v>
          </cell>
          <cell r="U842">
            <v>32</v>
          </cell>
          <cell r="V842">
            <v>0</v>
          </cell>
          <cell r="W842">
            <v>0</v>
          </cell>
          <cell r="AA842">
            <v>0</v>
          </cell>
          <cell r="AB842">
            <v>0</v>
          </cell>
          <cell r="AC842">
            <v>0</v>
          </cell>
          <cell r="AD842">
            <v>32</v>
          </cell>
          <cell r="AE842">
            <v>510500</v>
          </cell>
          <cell r="AF842">
            <v>0</v>
          </cell>
          <cell r="AI842">
            <v>2373</v>
          </cell>
          <cell r="AK842">
            <v>0</v>
          </cell>
          <cell r="AM842">
            <v>395</v>
          </cell>
          <cell r="AN842">
            <v>1</v>
          </cell>
          <cell r="AO842">
            <v>393216</v>
          </cell>
          <cell r="AQ842">
            <v>0</v>
          </cell>
          <cell r="AR842">
            <v>0</v>
          </cell>
          <cell r="AS842" t="str">
            <v>Ы</v>
          </cell>
          <cell r="AT842" t="str">
            <v>Ы</v>
          </cell>
          <cell r="AU842">
            <v>0</v>
          </cell>
          <cell r="AV842">
            <v>0</v>
          </cell>
          <cell r="AW842">
            <v>23</v>
          </cell>
          <cell r="AX842">
            <v>1</v>
          </cell>
          <cell r="AY842">
            <v>0</v>
          </cell>
          <cell r="AZ842">
            <v>0</v>
          </cell>
          <cell r="BA842">
            <v>0</v>
          </cell>
          <cell r="BB842">
            <v>0</v>
          </cell>
          <cell r="BC842">
            <v>38916</v>
          </cell>
        </row>
        <row r="843">
          <cell r="A843">
            <v>2006</v>
          </cell>
          <cell r="B843">
            <v>6</v>
          </cell>
          <cell r="C843">
            <v>252</v>
          </cell>
          <cell r="D843">
            <v>17</v>
          </cell>
          <cell r="E843">
            <v>792030</v>
          </cell>
          <cell r="F843">
            <v>0</v>
          </cell>
          <cell r="G843" t="str">
            <v>Затраты по ШПЗ (неосновные)</v>
          </cell>
          <cell r="H843">
            <v>2030</v>
          </cell>
          <cell r="I843">
            <v>7920</v>
          </cell>
          <cell r="J843">
            <v>488.3</v>
          </cell>
          <cell r="K843">
            <v>1</v>
          </cell>
          <cell r="L843">
            <v>0</v>
          </cell>
          <cell r="M843">
            <v>0</v>
          </cell>
          <cell r="N843">
            <v>0</v>
          </cell>
          <cell r="R843">
            <v>0</v>
          </cell>
          <cell r="S843">
            <v>0</v>
          </cell>
          <cell r="T843">
            <v>0</v>
          </cell>
          <cell r="U843">
            <v>32</v>
          </cell>
          <cell r="V843">
            <v>0</v>
          </cell>
          <cell r="W843">
            <v>0</v>
          </cell>
          <cell r="AA843">
            <v>0</v>
          </cell>
          <cell r="AB843">
            <v>0</v>
          </cell>
          <cell r="AC843">
            <v>0</v>
          </cell>
          <cell r="AD843">
            <v>32</v>
          </cell>
          <cell r="AE843">
            <v>510600</v>
          </cell>
          <cell r="AF843">
            <v>0</v>
          </cell>
          <cell r="AI843">
            <v>2373</v>
          </cell>
          <cell r="AK843">
            <v>0</v>
          </cell>
          <cell r="AM843">
            <v>396</v>
          </cell>
          <cell r="AN843">
            <v>1</v>
          </cell>
          <cell r="AO843">
            <v>393216</v>
          </cell>
          <cell r="AQ843">
            <v>0</v>
          </cell>
          <cell r="AR843">
            <v>0</v>
          </cell>
          <cell r="AS843" t="str">
            <v>Ы</v>
          </cell>
          <cell r="AT843" t="str">
            <v>Ы</v>
          </cell>
          <cell r="AU843">
            <v>0</v>
          </cell>
          <cell r="AV843">
            <v>0</v>
          </cell>
          <cell r="AW843">
            <v>23</v>
          </cell>
          <cell r="AX843">
            <v>1</v>
          </cell>
          <cell r="AY843">
            <v>0</v>
          </cell>
          <cell r="AZ843">
            <v>0</v>
          </cell>
          <cell r="BA843">
            <v>0</v>
          </cell>
          <cell r="BB843">
            <v>0</v>
          </cell>
          <cell r="BC843">
            <v>38916</v>
          </cell>
        </row>
        <row r="844">
          <cell r="A844">
            <v>2006</v>
          </cell>
          <cell r="B844">
            <v>6</v>
          </cell>
          <cell r="C844">
            <v>317</v>
          </cell>
          <cell r="D844">
            <v>17</v>
          </cell>
          <cell r="E844">
            <v>792030</v>
          </cell>
          <cell r="F844">
            <v>0</v>
          </cell>
          <cell r="G844" t="str">
            <v>Затраты по ШПЗ (неосновные)</v>
          </cell>
          <cell r="H844">
            <v>2030</v>
          </cell>
          <cell r="I844">
            <v>7920</v>
          </cell>
          <cell r="J844">
            <v>6209.52</v>
          </cell>
          <cell r="K844">
            <v>1</v>
          </cell>
          <cell r="L844">
            <v>0</v>
          </cell>
          <cell r="M844">
            <v>0</v>
          </cell>
          <cell r="N844">
            <v>0</v>
          </cell>
          <cell r="R844">
            <v>0</v>
          </cell>
          <cell r="S844">
            <v>0</v>
          </cell>
          <cell r="T844">
            <v>0</v>
          </cell>
          <cell r="U844">
            <v>35</v>
          </cell>
          <cell r="V844">
            <v>0</v>
          </cell>
          <cell r="W844">
            <v>0</v>
          </cell>
          <cell r="AA844">
            <v>0</v>
          </cell>
          <cell r="AB844">
            <v>0</v>
          </cell>
          <cell r="AC844">
            <v>0</v>
          </cell>
          <cell r="AD844">
            <v>35</v>
          </cell>
          <cell r="AE844">
            <v>110000</v>
          </cell>
          <cell r="AF844">
            <v>0</v>
          </cell>
          <cell r="AI844">
            <v>2373</v>
          </cell>
          <cell r="AK844">
            <v>0</v>
          </cell>
          <cell r="AM844">
            <v>461</v>
          </cell>
          <cell r="AN844">
            <v>1</v>
          </cell>
          <cell r="AO844">
            <v>393216</v>
          </cell>
          <cell r="AQ844">
            <v>0</v>
          </cell>
          <cell r="AR844">
            <v>0</v>
          </cell>
          <cell r="AS844" t="str">
            <v>Ы</v>
          </cell>
          <cell r="AT844" t="str">
            <v>Ы</v>
          </cell>
          <cell r="AU844">
            <v>0</v>
          </cell>
          <cell r="AV844">
            <v>0</v>
          </cell>
          <cell r="AW844">
            <v>23</v>
          </cell>
          <cell r="AX844">
            <v>1</v>
          </cell>
          <cell r="AY844">
            <v>0</v>
          </cell>
          <cell r="AZ844">
            <v>0</v>
          </cell>
          <cell r="BA844">
            <v>0</v>
          </cell>
          <cell r="BB844">
            <v>0</v>
          </cell>
          <cell r="BC844">
            <v>38916</v>
          </cell>
        </row>
        <row r="845">
          <cell r="A845">
            <v>2006</v>
          </cell>
          <cell r="B845">
            <v>6</v>
          </cell>
          <cell r="C845">
            <v>318</v>
          </cell>
          <cell r="D845">
            <v>17</v>
          </cell>
          <cell r="E845">
            <v>792030</v>
          </cell>
          <cell r="F845">
            <v>0</v>
          </cell>
          <cell r="G845" t="str">
            <v>Затраты по ШПЗ (неосновные)</v>
          </cell>
          <cell r="H845">
            <v>2030</v>
          </cell>
          <cell r="I845">
            <v>7920</v>
          </cell>
          <cell r="J845">
            <v>11.77</v>
          </cell>
          <cell r="K845">
            <v>1</v>
          </cell>
          <cell r="L845">
            <v>0</v>
          </cell>
          <cell r="M845">
            <v>0</v>
          </cell>
          <cell r="N845">
            <v>0</v>
          </cell>
          <cell r="R845">
            <v>0</v>
          </cell>
          <cell r="S845">
            <v>0</v>
          </cell>
          <cell r="T845">
            <v>0</v>
          </cell>
          <cell r="U845">
            <v>35</v>
          </cell>
          <cell r="V845">
            <v>0</v>
          </cell>
          <cell r="W845">
            <v>0</v>
          </cell>
          <cell r="AA845">
            <v>0</v>
          </cell>
          <cell r="AB845">
            <v>0</v>
          </cell>
          <cell r="AC845">
            <v>0</v>
          </cell>
          <cell r="AD845">
            <v>35</v>
          </cell>
          <cell r="AE845">
            <v>114020</v>
          </cell>
          <cell r="AF845">
            <v>0</v>
          </cell>
          <cell r="AI845">
            <v>2373</v>
          </cell>
          <cell r="AK845">
            <v>0</v>
          </cell>
          <cell r="AM845">
            <v>462</v>
          </cell>
          <cell r="AN845">
            <v>1</v>
          </cell>
          <cell r="AO845">
            <v>393216</v>
          </cell>
          <cell r="AQ845">
            <v>0</v>
          </cell>
          <cell r="AR845">
            <v>0</v>
          </cell>
          <cell r="AS845" t="str">
            <v>Ы</v>
          </cell>
          <cell r="AT845" t="str">
            <v>Ы</v>
          </cell>
          <cell r="AU845">
            <v>0</v>
          </cell>
          <cell r="AV845">
            <v>0</v>
          </cell>
          <cell r="AW845">
            <v>23</v>
          </cell>
          <cell r="AX845">
            <v>1</v>
          </cell>
          <cell r="AY845">
            <v>0</v>
          </cell>
          <cell r="AZ845">
            <v>0</v>
          </cell>
          <cell r="BA845">
            <v>0</v>
          </cell>
          <cell r="BB845">
            <v>0</v>
          </cell>
          <cell r="BC845">
            <v>38916</v>
          </cell>
        </row>
        <row r="846">
          <cell r="A846">
            <v>2006</v>
          </cell>
          <cell r="B846">
            <v>6</v>
          </cell>
          <cell r="C846">
            <v>319</v>
          </cell>
          <cell r="D846">
            <v>17</v>
          </cell>
          <cell r="E846">
            <v>792030</v>
          </cell>
          <cell r="F846">
            <v>0</v>
          </cell>
          <cell r="G846" t="str">
            <v>Затраты по ШПЗ (неосновные)</v>
          </cell>
          <cell r="H846">
            <v>2030</v>
          </cell>
          <cell r="I846">
            <v>7920</v>
          </cell>
          <cell r="J846">
            <v>2.6</v>
          </cell>
          <cell r="K846">
            <v>1</v>
          </cell>
          <cell r="L846">
            <v>0</v>
          </cell>
          <cell r="M846">
            <v>0</v>
          </cell>
          <cell r="N846">
            <v>0</v>
          </cell>
          <cell r="R846">
            <v>0</v>
          </cell>
          <cell r="S846">
            <v>0</v>
          </cell>
          <cell r="T846">
            <v>0</v>
          </cell>
          <cell r="U846">
            <v>35</v>
          </cell>
          <cell r="V846">
            <v>0</v>
          </cell>
          <cell r="W846">
            <v>0</v>
          </cell>
          <cell r="AA846">
            <v>0</v>
          </cell>
          <cell r="AB846">
            <v>0</v>
          </cell>
          <cell r="AC846">
            <v>0</v>
          </cell>
          <cell r="AD846">
            <v>35</v>
          </cell>
          <cell r="AE846">
            <v>117000</v>
          </cell>
          <cell r="AF846">
            <v>0</v>
          </cell>
          <cell r="AI846">
            <v>2373</v>
          </cell>
          <cell r="AK846">
            <v>0</v>
          </cell>
          <cell r="AM846">
            <v>463</v>
          </cell>
          <cell r="AN846">
            <v>1</v>
          </cell>
          <cell r="AO846">
            <v>393216</v>
          </cell>
          <cell r="AQ846">
            <v>0</v>
          </cell>
          <cell r="AR846">
            <v>0</v>
          </cell>
          <cell r="AS846" t="str">
            <v>Ы</v>
          </cell>
          <cell r="AT846" t="str">
            <v>Ы</v>
          </cell>
          <cell r="AU846">
            <v>0</v>
          </cell>
          <cell r="AV846">
            <v>0</v>
          </cell>
          <cell r="AW846">
            <v>23</v>
          </cell>
          <cell r="AX846">
            <v>1</v>
          </cell>
          <cell r="AY846">
            <v>0</v>
          </cell>
          <cell r="AZ846">
            <v>0</v>
          </cell>
          <cell r="BA846">
            <v>0</v>
          </cell>
          <cell r="BB846">
            <v>0</v>
          </cell>
          <cell r="BC846">
            <v>38916</v>
          </cell>
        </row>
        <row r="847">
          <cell r="A847">
            <v>2006</v>
          </cell>
          <cell r="B847">
            <v>6</v>
          </cell>
          <cell r="C847">
            <v>320</v>
          </cell>
          <cell r="D847">
            <v>17</v>
          </cell>
          <cell r="E847">
            <v>792030</v>
          </cell>
          <cell r="F847">
            <v>0</v>
          </cell>
          <cell r="G847" t="str">
            <v>Затраты по ШПЗ (неосновные)</v>
          </cell>
          <cell r="H847">
            <v>2030</v>
          </cell>
          <cell r="I847">
            <v>7920</v>
          </cell>
          <cell r="J847">
            <v>204.49</v>
          </cell>
          <cell r="K847">
            <v>1</v>
          </cell>
          <cell r="L847">
            <v>0</v>
          </cell>
          <cell r="M847">
            <v>0</v>
          </cell>
          <cell r="N847">
            <v>0</v>
          </cell>
          <cell r="R847">
            <v>0</v>
          </cell>
          <cell r="S847">
            <v>0</v>
          </cell>
          <cell r="T847">
            <v>0</v>
          </cell>
          <cell r="U847">
            <v>35</v>
          </cell>
          <cell r="V847">
            <v>0</v>
          </cell>
          <cell r="W847">
            <v>0</v>
          </cell>
          <cell r="AA847">
            <v>0</v>
          </cell>
          <cell r="AB847">
            <v>0</v>
          </cell>
          <cell r="AC847">
            <v>0</v>
          </cell>
          <cell r="AD847">
            <v>35</v>
          </cell>
          <cell r="AE847">
            <v>118000</v>
          </cell>
          <cell r="AF847">
            <v>0</v>
          </cell>
          <cell r="AI847">
            <v>2373</v>
          </cell>
          <cell r="AK847">
            <v>0</v>
          </cell>
          <cell r="AM847">
            <v>464</v>
          </cell>
          <cell r="AN847">
            <v>1</v>
          </cell>
          <cell r="AO847">
            <v>393216</v>
          </cell>
          <cell r="AQ847">
            <v>0</v>
          </cell>
          <cell r="AR847">
            <v>0</v>
          </cell>
          <cell r="AS847" t="str">
            <v>Ы</v>
          </cell>
          <cell r="AT847" t="str">
            <v>Ы</v>
          </cell>
          <cell r="AU847">
            <v>0</v>
          </cell>
          <cell r="AV847">
            <v>0</v>
          </cell>
          <cell r="AW847">
            <v>23</v>
          </cell>
          <cell r="AX847">
            <v>1</v>
          </cell>
          <cell r="AY847">
            <v>0</v>
          </cell>
          <cell r="AZ847">
            <v>0</v>
          </cell>
          <cell r="BA847">
            <v>0</v>
          </cell>
          <cell r="BB847">
            <v>0</v>
          </cell>
          <cell r="BC847">
            <v>38916</v>
          </cell>
        </row>
        <row r="848">
          <cell r="A848">
            <v>2006</v>
          </cell>
          <cell r="B848">
            <v>6</v>
          </cell>
          <cell r="C848">
            <v>321</v>
          </cell>
          <cell r="D848">
            <v>17</v>
          </cell>
          <cell r="E848">
            <v>792030</v>
          </cell>
          <cell r="F848">
            <v>0</v>
          </cell>
          <cell r="G848" t="str">
            <v>Затраты по ШПЗ (неосновные)</v>
          </cell>
          <cell r="H848">
            <v>2030</v>
          </cell>
          <cell r="I848">
            <v>7920</v>
          </cell>
          <cell r="J848">
            <v>23.72</v>
          </cell>
          <cell r="K848">
            <v>1</v>
          </cell>
          <cell r="L848">
            <v>0</v>
          </cell>
          <cell r="M848">
            <v>0</v>
          </cell>
          <cell r="N848">
            <v>0</v>
          </cell>
          <cell r="R848">
            <v>0</v>
          </cell>
          <cell r="S848">
            <v>0</v>
          </cell>
          <cell r="T848">
            <v>0</v>
          </cell>
          <cell r="U848">
            <v>35</v>
          </cell>
          <cell r="V848">
            <v>0</v>
          </cell>
          <cell r="W848">
            <v>0</v>
          </cell>
          <cell r="AA848">
            <v>0</v>
          </cell>
          <cell r="AB848">
            <v>0</v>
          </cell>
          <cell r="AC848">
            <v>0</v>
          </cell>
          <cell r="AD848">
            <v>35</v>
          </cell>
          <cell r="AE848">
            <v>131000</v>
          </cell>
          <cell r="AF848">
            <v>0</v>
          </cell>
          <cell r="AI848">
            <v>2373</v>
          </cell>
          <cell r="AK848">
            <v>0</v>
          </cell>
          <cell r="AM848">
            <v>465</v>
          </cell>
          <cell r="AN848">
            <v>1</v>
          </cell>
          <cell r="AO848">
            <v>393216</v>
          </cell>
          <cell r="AQ848">
            <v>0</v>
          </cell>
          <cell r="AR848">
            <v>0</v>
          </cell>
          <cell r="AS848" t="str">
            <v>Ы</v>
          </cell>
          <cell r="AT848" t="str">
            <v>Ы</v>
          </cell>
          <cell r="AU848">
            <v>0</v>
          </cell>
          <cell r="AV848">
            <v>0</v>
          </cell>
          <cell r="AW848">
            <v>23</v>
          </cell>
          <cell r="AX848">
            <v>1</v>
          </cell>
          <cell r="AY848">
            <v>0</v>
          </cell>
          <cell r="AZ848">
            <v>0</v>
          </cell>
          <cell r="BA848">
            <v>0</v>
          </cell>
          <cell r="BB848">
            <v>0</v>
          </cell>
          <cell r="BC848">
            <v>38916</v>
          </cell>
        </row>
        <row r="849">
          <cell r="A849">
            <v>2006</v>
          </cell>
          <cell r="B849">
            <v>6</v>
          </cell>
          <cell r="C849">
            <v>322</v>
          </cell>
          <cell r="D849">
            <v>17</v>
          </cell>
          <cell r="E849">
            <v>792030</v>
          </cell>
          <cell r="F849">
            <v>0</v>
          </cell>
          <cell r="G849" t="str">
            <v>Затраты по ШПЗ (неосновные)</v>
          </cell>
          <cell r="H849">
            <v>2030</v>
          </cell>
          <cell r="I849">
            <v>7920</v>
          </cell>
          <cell r="J849">
            <v>28.25</v>
          </cell>
          <cell r="K849">
            <v>1</v>
          </cell>
          <cell r="L849">
            <v>0</v>
          </cell>
          <cell r="M849">
            <v>0</v>
          </cell>
          <cell r="N849">
            <v>0</v>
          </cell>
          <cell r="R849">
            <v>0</v>
          </cell>
          <cell r="S849">
            <v>0</v>
          </cell>
          <cell r="T849">
            <v>0</v>
          </cell>
          <cell r="U849">
            <v>35</v>
          </cell>
          <cell r="V849">
            <v>0</v>
          </cell>
          <cell r="W849">
            <v>0</v>
          </cell>
          <cell r="AA849">
            <v>0</v>
          </cell>
          <cell r="AB849">
            <v>0</v>
          </cell>
          <cell r="AC849">
            <v>0</v>
          </cell>
          <cell r="AD849">
            <v>35</v>
          </cell>
          <cell r="AE849">
            <v>132000</v>
          </cell>
          <cell r="AF849">
            <v>0</v>
          </cell>
          <cell r="AI849">
            <v>2373</v>
          </cell>
          <cell r="AK849">
            <v>0</v>
          </cell>
          <cell r="AM849">
            <v>466</v>
          </cell>
          <cell r="AN849">
            <v>1</v>
          </cell>
          <cell r="AO849">
            <v>393216</v>
          </cell>
          <cell r="AQ849">
            <v>0</v>
          </cell>
          <cell r="AR849">
            <v>0</v>
          </cell>
          <cell r="AS849" t="str">
            <v>Ы</v>
          </cell>
          <cell r="AT849" t="str">
            <v>Ы</v>
          </cell>
          <cell r="AU849">
            <v>0</v>
          </cell>
          <cell r="AV849">
            <v>0</v>
          </cell>
          <cell r="AW849">
            <v>23</v>
          </cell>
          <cell r="AX849">
            <v>1</v>
          </cell>
          <cell r="AY849">
            <v>0</v>
          </cell>
          <cell r="AZ849">
            <v>0</v>
          </cell>
          <cell r="BA849">
            <v>0</v>
          </cell>
          <cell r="BB849">
            <v>0</v>
          </cell>
          <cell r="BC849">
            <v>38916</v>
          </cell>
        </row>
        <row r="850">
          <cell r="A850">
            <v>2006</v>
          </cell>
          <cell r="B850">
            <v>6</v>
          </cell>
          <cell r="C850">
            <v>323</v>
          </cell>
          <cell r="D850">
            <v>17</v>
          </cell>
          <cell r="E850">
            <v>792030</v>
          </cell>
          <cell r="F850">
            <v>0</v>
          </cell>
          <cell r="G850" t="str">
            <v>Затраты по ШПЗ (неосновные)</v>
          </cell>
          <cell r="H850">
            <v>2030</v>
          </cell>
          <cell r="I850">
            <v>7920</v>
          </cell>
          <cell r="J850">
            <v>19.600000000000001</v>
          </cell>
          <cell r="K850">
            <v>1</v>
          </cell>
          <cell r="L850">
            <v>0</v>
          </cell>
          <cell r="M850">
            <v>0</v>
          </cell>
          <cell r="N850">
            <v>0</v>
          </cell>
          <cell r="R850">
            <v>0</v>
          </cell>
          <cell r="S850">
            <v>0</v>
          </cell>
          <cell r="T850">
            <v>0</v>
          </cell>
          <cell r="U850">
            <v>35</v>
          </cell>
          <cell r="V850">
            <v>0</v>
          </cell>
          <cell r="W850">
            <v>0</v>
          </cell>
          <cell r="AA850">
            <v>0</v>
          </cell>
          <cell r="AB850">
            <v>0</v>
          </cell>
          <cell r="AC850">
            <v>0</v>
          </cell>
          <cell r="AD850">
            <v>35</v>
          </cell>
          <cell r="AE850">
            <v>135000</v>
          </cell>
          <cell r="AF850">
            <v>0</v>
          </cell>
          <cell r="AI850">
            <v>2373</v>
          </cell>
          <cell r="AK850">
            <v>0</v>
          </cell>
          <cell r="AM850">
            <v>467</v>
          </cell>
          <cell r="AN850">
            <v>1</v>
          </cell>
          <cell r="AO850">
            <v>393216</v>
          </cell>
          <cell r="AQ850">
            <v>0</v>
          </cell>
          <cell r="AR850">
            <v>0</v>
          </cell>
          <cell r="AS850" t="str">
            <v>Ы</v>
          </cell>
          <cell r="AT850" t="str">
            <v>Ы</v>
          </cell>
          <cell r="AU850">
            <v>0</v>
          </cell>
          <cell r="AV850">
            <v>0</v>
          </cell>
          <cell r="AW850">
            <v>23</v>
          </cell>
          <cell r="AX850">
            <v>1</v>
          </cell>
          <cell r="AY850">
            <v>0</v>
          </cell>
          <cell r="AZ850">
            <v>0</v>
          </cell>
          <cell r="BA850">
            <v>0</v>
          </cell>
          <cell r="BB850">
            <v>0</v>
          </cell>
          <cell r="BC850">
            <v>38916</v>
          </cell>
        </row>
        <row r="851">
          <cell r="A851">
            <v>2006</v>
          </cell>
          <cell r="B851">
            <v>6</v>
          </cell>
          <cell r="C851">
            <v>324</v>
          </cell>
          <cell r="D851">
            <v>17</v>
          </cell>
          <cell r="E851">
            <v>792030</v>
          </cell>
          <cell r="F851">
            <v>0</v>
          </cell>
          <cell r="G851" t="str">
            <v>Затраты по ШПЗ (неосновные)</v>
          </cell>
          <cell r="H851">
            <v>2030</v>
          </cell>
          <cell r="I851">
            <v>7920</v>
          </cell>
          <cell r="J851">
            <v>5188.51</v>
          </cell>
          <cell r="K851">
            <v>1</v>
          </cell>
          <cell r="L851">
            <v>0</v>
          </cell>
          <cell r="M851">
            <v>0</v>
          </cell>
          <cell r="N851">
            <v>0</v>
          </cell>
          <cell r="R851">
            <v>0</v>
          </cell>
          <cell r="S851">
            <v>0</v>
          </cell>
          <cell r="T851">
            <v>0</v>
          </cell>
          <cell r="U851">
            <v>35</v>
          </cell>
          <cell r="V851">
            <v>0</v>
          </cell>
          <cell r="W851">
            <v>0</v>
          </cell>
          <cell r="AA851">
            <v>0</v>
          </cell>
          <cell r="AB851">
            <v>0</v>
          </cell>
          <cell r="AC851">
            <v>0</v>
          </cell>
          <cell r="AD851">
            <v>35</v>
          </cell>
          <cell r="AE851">
            <v>143000</v>
          </cell>
          <cell r="AF851">
            <v>0</v>
          </cell>
          <cell r="AI851">
            <v>2373</v>
          </cell>
          <cell r="AK851">
            <v>0</v>
          </cell>
          <cell r="AM851">
            <v>468</v>
          </cell>
          <cell r="AN851">
            <v>1</v>
          </cell>
          <cell r="AO851">
            <v>393216</v>
          </cell>
          <cell r="AQ851">
            <v>0</v>
          </cell>
          <cell r="AR851">
            <v>0</v>
          </cell>
          <cell r="AS851" t="str">
            <v>Ы</v>
          </cell>
          <cell r="AT851" t="str">
            <v>Ы</v>
          </cell>
          <cell r="AU851">
            <v>0</v>
          </cell>
          <cell r="AV851">
            <v>0</v>
          </cell>
          <cell r="AW851">
            <v>23</v>
          </cell>
          <cell r="AX851">
            <v>1</v>
          </cell>
          <cell r="AY851">
            <v>0</v>
          </cell>
          <cell r="AZ851">
            <v>0</v>
          </cell>
          <cell r="BA851">
            <v>0</v>
          </cell>
          <cell r="BB851">
            <v>0</v>
          </cell>
          <cell r="BC851">
            <v>38916</v>
          </cell>
        </row>
        <row r="852">
          <cell r="A852">
            <v>2006</v>
          </cell>
          <cell r="B852">
            <v>6</v>
          </cell>
          <cell r="C852">
            <v>325</v>
          </cell>
          <cell r="D852">
            <v>17</v>
          </cell>
          <cell r="E852">
            <v>792030</v>
          </cell>
          <cell r="F852">
            <v>0</v>
          </cell>
          <cell r="G852" t="str">
            <v>Затраты по ШПЗ (неосновные)</v>
          </cell>
          <cell r="H852">
            <v>2030</v>
          </cell>
          <cell r="I852">
            <v>7920</v>
          </cell>
          <cell r="J852">
            <v>4704.78</v>
          </cell>
          <cell r="K852">
            <v>1</v>
          </cell>
          <cell r="L852">
            <v>0</v>
          </cell>
          <cell r="M852">
            <v>0</v>
          </cell>
          <cell r="N852">
            <v>0</v>
          </cell>
          <cell r="R852">
            <v>0</v>
          </cell>
          <cell r="S852">
            <v>0</v>
          </cell>
          <cell r="T852">
            <v>0</v>
          </cell>
          <cell r="U852">
            <v>35</v>
          </cell>
          <cell r="V852">
            <v>0</v>
          </cell>
          <cell r="W852">
            <v>0</v>
          </cell>
          <cell r="AA852">
            <v>0</v>
          </cell>
          <cell r="AB852">
            <v>0</v>
          </cell>
          <cell r="AC852">
            <v>0</v>
          </cell>
          <cell r="AD852">
            <v>35</v>
          </cell>
          <cell r="AE852">
            <v>220000</v>
          </cell>
          <cell r="AF852">
            <v>0</v>
          </cell>
          <cell r="AI852">
            <v>2373</v>
          </cell>
          <cell r="AK852">
            <v>0</v>
          </cell>
          <cell r="AM852">
            <v>469</v>
          </cell>
          <cell r="AN852">
            <v>1</v>
          </cell>
          <cell r="AO852">
            <v>393216</v>
          </cell>
          <cell r="AQ852">
            <v>0</v>
          </cell>
          <cell r="AR852">
            <v>0</v>
          </cell>
          <cell r="AS852" t="str">
            <v>Ы</v>
          </cell>
          <cell r="AT852" t="str">
            <v>Ы</v>
          </cell>
          <cell r="AU852">
            <v>0</v>
          </cell>
          <cell r="AV852">
            <v>0</v>
          </cell>
          <cell r="AW852">
            <v>23</v>
          </cell>
          <cell r="AX852">
            <v>1</v>
          </cell>
          <cell r="AY852">
            <v>0</v>
          </cell>
          <cell r="AZ852">
            <v>0</v>
          </cell>
          <cell r="BA852">
            <v>0</v>
          </cell>
          <cell r="BB852">
            <v>0</v>
          </cell>
          <cell r="BC852">
            <v>38916</v>
          </cell>
        </row>
        <row r="853">
          <cell r="A853">
            <v>2006</v>
          </cell>
          <cell r="B853">
            <v>6</v>
          </cell>
          <cell r="C853">
            <v>326</v>
          </cell>
          <cell r="D853">
            <v>17</v>
          </cell>
          <cell r="E853">
            <v>792030</v>
          </cell>
          <cell r="F853">
            <v>0</v>
          </cell>
          <cell r="G853" t="str">
            <v>Затраты по ШПЗ (неосновные)</v>
          </cell>
          <cell r="H853">
            <v>2030</v>
          </cell>
          <cell r="I853">
            <v>7920</v>
          </cell>
          <cell r="J853">
            <v>1176.19</v>
          </cell>
          <cell r="K853">
            <v>1</v>
          </cell>
          <cell r="L853">
            <v>0</v>
          </cell>
          <cell r="M853">
            <v>0</v>
          </cell>
          <cell r="N853">
            <v>0</v>
          </cell>
          <cell r="R853">
            <v>0</v>
          </cell>
          <cell r="S853">
            <v>0</v>
          </cell>
          <cell r="T853">
            <v>0</v>
          </cell>
          <cell r="U853">
            <v>35</v>
          </cell>
          <cell r="V853">
            <v>0</v>
          </cell>
          <cell r="W853">
            <v>0</v>
          </cell>
          <cell r="AA853">
            <v>0</v>
          </cell>
          <cell r="AB853">
            <v>0</v>
          </cell>
          <cell r="AC853">
            <v>0</v>
          </cell>
          <cell r="AD853">
            <v>35</v>
          </cell>
          <cell r="AE853">
            <v>230000</v>
          </cell>
          <cell r="AF853">
            <v>0</v>
          </cell>
          <cell r="AI853">
            <v>2373</v>
          </cell>
          <cell r="AK853">
            <v>0</v>
          </cell>
          <cell r="AM853">
            <v>470</v>
          </cell>
          <cell r="AN853">
            <v>1</v>
          </cell>
          <cell r="AO853">
            <v>393216</v>
          </cell>
          <cell r="AQ853">
            <v>0</v>
          </cell>
          <cell r="AR853">
            <v>0</v>
          </cell>
          <cell r="AS853" t="str">
            <v>Ы</v>
          </cell>
          <cell r="AT853" t="str">
            <v>Ы</v>
          </cell>
          <cell r="AU853">
            <v>0</v>
          </cell>
          <cell r="AV853">
            <v>0</v>
          </cell>
          <cell r="AW853">
            <v>23</v>
          </cell>
          <cell r="AX853">
            <v>1</v>
          </cell>
          <cell r="AY853">
            <v>0</v>
          </cell>
          <cell r="AZ853">
            <v>0</v>
          </cell>
          <cell r="BA853">
            <v>0</v>
          </cell>
          <cell r="BB853">
            <v>0</v>
          </cell>
          <cell r="BC853">
            <v>38916</v>
          </cell>
        </row>
        <row r="854">
          <cell r="A854">
            <v>2006</v>
          </cell>
          <cell r="B854">
            <v>6</v>
          </cell>
          <cell r="C854">
            <v>327</v>
          </cell>
          <cell r="D854">
            <v>17</v>
          </cell>
          <cell r="E854">
            <v>792030</v>
          </cell>
          <cell r="F854">
            <v>0</v>
          </cell>
          <cell r="G854" t="str">
            <v>Затраты по ШПЗ (неосновные)</v>
          </cell>
          <cell r="H854">
            <v>2030</v>
          </cell>
          <cell r="I854">
            <v>7920</v>
          </cell>
          <cell r="J854">
            <v>170.53</v>
          </cell>
          <cell r="K854">
            <v>1</v>
          </cell>
          <cell r="L854">
            <v>0</v>
          </cell>
          <cell r="M854">
            <v>0</v>
          </cell>
          <cell r="N854">
            <v>0</v>
          </cell>
          <cell r="R854">
            <v>0</v>
          </cell>
          <cell r="S854">
            <v>0</v>
          </cell>
          <cell r="T854">
            <v>0</v>
          </cell>
          <cell r="U854">
            <v>35</v>
          </cell>
          <cell r="V854">
            <v>0</v>
          </cell>
          <cell r="W854">
            <v>0</v>
          </cell>
          <cell r="AA854">
            <v>0</v>
          </cell>
          <cell r="AB854">
            <v>0</v>
          </cell>
          <cell r="AC854">
            <v>0</v>
          </cell>
          <cell r="AD854">
            <v>35</v>
          </cell>
          <cell r="AE854">
            <v>311000</v>
          </cell>
          <cell r="AF854">
            <v>0</v>
          </cell>
          <cell r="AI854">
            <v>2373</v>
          </cell>
          <cell r="AK854">
            <v>0</v>
          </cell>
          <cell r="AM854">
            <v>471</v>
          </cell>
          <cell r="AN854">
            <v>1</v>
          </cell>
          <cell r="AO854">
            <v>393216</v>
          </cell>
          <cell r="AQ854">
            <v>0</v>
          </cell>
          <cell r="AR854">
            <v>0</v>
          </cell>
          <cell r="AS854" t="str">
            <v>Ы</v>
          </cell>
          <cell r="AT854" t="str">
            <v>Ы</v>
          </cell>
          <cell r="AU854">
            <v>0</v>
          </cell>
          <cell r="AV854">
            <v>0</v>
          </cell>
          <cell r="AW854">
            <v>23</v>
          </cell>
          <cell r="AX854">
            <v>1</v>
          </cell>
          <cell r="AY854">
            <v>0</v>
          </cell>
          <cell r="AZ854">
            <v>0</v>
          </cell>
          <cell r="BA854">
            <v>0</v>
          </cell>
          <cell r="BB854">
            <v>0</v>
          </cell>
          <cell r="BC854">
            <v>38916</v>
          </cell>
        </row>
        <row r="855">
          <cell r="A855">
            <v>2006</v>
          </cell>
          <cell r="B855">
            <v>6</v>
          </cell>
          <cell r="C855">
            <v>328</v>
          </cell>
          <cell r="D855">
            <v>17</v>
          </cell>
          <cell r="E855">
            <v>792030</v>
          </cell>
          <cell r="F855">
            <v>0</v>
          </cell>
          <cell r="G855" t="str">
            <v>Затраты по ШПЗ (неосновные)</v>
          </cell>
          <cell r="H855">
            <v>2030</v>
          </cell>
          <cell r="I855">
            <v>7920</v>
          </cell>
          <cell r="J855">
            <v>352.88</v>
          </cell>
          <cell r="K855">
            <v>1</v>
          </cell>
          <cell r="L855">
            <v>0</v>
          </cell>
          <cell r="M855">
            <v>0</v>
          </cell>
          <cell r="N855">
            <v>0</v>
          </cell>
          <cell r="R855">
            <v>0</v>
          </cell>
          <cell r="S855">
            <v>0</v>
          </cell>
          <cell r="T855">
            <v>0</v>
          </cell>
          <cell r="U855">
            <v>35</v>
          </cell>
          <cell r="V855">
            <v>0</v>
          </cell>
          <cell r="W855">
            <v>0</v>
          </cell>
          <cell r="AA855">
            <v>0</v>
          </cell>
          <cell r="AB855">
            <v>0</v>
          </cell>
          <cell r="AC855">
            <v>0</v>
          </cell>
          <cell r="AD855">
            <v>35</v>
          </cell>
          <cell r="AE855">
            <v>312000</v>
          </cell>
          <cell r="AF855">
            <v>0</v>
          </cell>
          <cell r="AI855">
            <v>2373</v>
          </cell>
          <cell r="AK855">
            <v>0</v>
          </cell>
          <cell r="AM855">
            <v>472</v>
          </cell>
          <cell r="AN855">
            <v>1</v>
          </cell>
          <cell r="AO855">
            <v>393216</v>
          </cell>
          <cell r="AQ855">
            <v>0</v>
          </cell>
          <cell r="AR855">
            <v>0</v>
          </cell>
          <cell r="AS855" t="str">
            <v>Ы</v>
          </cell>
          <cell r="AT855" t="str">
            <v>Ы</v>
          </cell>
          <cell r="AU855">
            <v>0</v>
          </cell>
          <cell r="AV855">
            <v>0</v>
          </cell>
          <cell r="AW855">
            <v>23</v>
          </cell>
          <cell r="AX855">
            <v>1</v>
          </cell>
          <cell r="AY855">
            <v>0</v>
          </cell>
          <cell r="AZ855">
            <v>0</v>
          </cell>
          <cell r="BA855">
            <v>0</v>
          </cell>
          <cell r="BB855">
            <v>0</v>
          </cell>
          <cell r="BC855">
            <v>38916</v>
          </cell>
        </row>
        <row r="856">
          <cell r="A856">
            <v>2006</v>
          </cell>
          <cell r="B856">
            <v>6</v>
          </cell>
          <cell r="C856">
            <v>329</v>
          </cell>
          <cell r="D856">
            <v>17</v>
          </cell>
          <cell r="E856">
            <v>792030</v>
          </cell>
          <cell r="F856">
            <v>0</v>
          </cell>
          <cell r="G856" t="str">
            <v>Затраты по ШПЗ (неосновные)</v>
          </cell>
          <cell r="H856">
            <v>2030</v>
          </cell>
          <cell r="I856">
            <v>7920</v>
          </cell>
          <cell r="J856">
            <v>193.23</v>
          </cell>
          <cell r="K856">
            <v>1</v>
          </cell>
          <cell r="L856">
            <v>0</v>
          </cell>
          <cell r="M856">
            <v>0</v>
          </cell>
          <cell r="N856">
            <v>0</v>
          </cell>
          <cell r="R856">
            <v>0</v>
          </cell>
          <cell r="S856">
            <v>0</v>
          </cell>
          <cell r="T856">
            <v>0</v>
          </cell>
          <cell r="U856">
            <v>35</v>
          </cell>
          <cell r="V856">
            <v>0</v>
          </cell>
          <cell r="W856">
            <v>0</v>
          </cell>
          <cell r="AA856">
            <v>0</v>
          </cell>
          <cell r="AB856">
            <v>0</v>
          </cell>
          <cell r="AC856">
            <v>0</v>
          </cell>
          <cell r="AD856">
            <v>35</v>
          </cell>
          <cell r="AE856">
            <v>312100</v>
          </cell>
          <cell r="AF856">
            <v>0</v>
          </cell>
          <cell r="AI856">
            <v>2373</v>
          </cell>
          <cell r="AK856">
            <v>0</v>
          </cell>
          <cell r="AM856">
            <v>473</v>
          </cell>
          <cell r="AN856">
            <v>1</v>
          </cell>
          <cell r="AO856">
            <v>393216</v>
          </cell>
          <cell r="AQ856">
            <v>0</v>
          </cell>
          <cell r="AR856">
            <v>0</v>
          </cell>
          <cell r="AS856" t="str">
            <v>Ы</v>
          </cell>
          <cell r="AT856" t="str">
            <v>Ы</v>
          </cell>
          <cell r="AU856">
            <v>0</v>
          </cell>
          <cell r="AV856">
            <v>0</v>
          </cell>
          <cell r="AW856">
            <v>23</v>
          </cell>
          <cell r="AX856">
            <v>1</v>
          </cell>
          <cell r="AY856">
            <v>0</v>
          </cell>
          <cell r="AZ856">
            <v>0</v>
          </cell>
          <cell r="BA856">
            <v>0</v>
          </cell>
          <cell r="BB856">
            <v>0</v>
          </cell>
          <cell r="BC856">
            <v>38916</v>
          </cell>
        </row>
        <row r="857">
          <cell r="A857">
            <v>2006</v>
          </cell>
          <cell r="B857">
            <v>6</v>
          </cell>
          <cell r="C857">
            <v>330</v>
          </cell>
          <cell r="D857">
            <v>17</v>
          </cell>
          <cell r="E857">
            <v>792030</v>
          </cell>
          <cell r="F857">
            <v>0</v>
          </cell>
          <cell r="G857" t="str">
            <v>Затраты по ШПЗ (неосновные)</v>
          </cell>
          <cell r="H857">
            <v>2030</v>
          </cell>
          <cell r="I857">
            <v>7920</v>
          </cell>
          <cell r="J857">
            <v>630.09</v>
          </cell>
          <cell r="K857">
            <v>1</v>
          </cell>
          <cell r="L857">
            <v>0</v>
          </cell>
          <cell r="M857">
            <v>0</v>
          </cell>
          <cell r="N857">
            <v>0</v>
          </cell>
          <cell r="R857">
            <v>0</v>
          </cell>
          <cell r="S857">
            <v>0</v>
          </cell>
          <cell r="T857">
            <v>0</v>
          </cell>
          <cell r="U857">
            <v>35</v>
          </cell>
          <cell r="V857">
            <v>0</v>
          </cell>
          <cell r="W857">
            <v>0</v>
          </cell>
          <cell r="AA857">
            <v>0</v>
          </cell>
          <cell r="AB857">
            <v>0</v>
          </cell>
          <cell r="AC857">
            <v>0</v>
          </cell>
          <cell r="AD857">
            <v>35</v>
          </cell>
          <cell r="AE857">
            <v>312200</v>
          </cell>
          <cell r="AF857">
            <v>0</v>
          </cell>
          <cell r="AI857">
            <v>2373</v>
          </cell>
          <cell r="AK857">
            <v>0</v>
          </cell>
          <cell r="AM857">
            <v>474</v>
          </cell>
          <cell r="AN857">
            <v>1</v>
          </cell>
          <cell r="AO857">
            <v>393216</v>
          </cell>
          <cell r="AQ857">
            <v>0</v>
          </cell>
          <cell r="AR857">
            <v>0</v>
          </cell>
          <cell r="AS857" t="str">
            <v>Ы</v>
          </cell>
          <cell r="AT857" t="str">
            <v>Ы</v>
          </cell>
          <cell r="AU857">
            <v>0</v>
          </cell>
          <cell r="AV857">
            <v>0</v>
          </cell>
          <cell r="AW857">
            <v>23</v>
          </cell>
          <cell r="AX857">
            <v>1</v>
          </cell>
          <cell r="AY857">
            <v>0</v>
          </cell>
          <cell r="AZ857">
            <v>0</v>
          </cell>
          <cell r="BA857">
            <v>0</v>
          </cell>
          <cell r="BB857">
            <v>0</v>
          </cell>
          <cell r="BC857">
            <v>38916</v>
          </cell>
        </row>
        <row r="858">
          <cell r="A858">
            <v>2006</v>
          </cell>
          <cell r="B858">
            <v>6</v>
          </cell>
          <cell r="C858">
            <v>331</v>
          </cell>
          <cell r="D858">
            <v>17</v>
          </cell>
          <cell r="E858">
            <v>792030</v>
          </cell>
          <cell r="F858">
            <v>0</v>
          </cell>
          <cell r="G858" t="str">
            <v>Затраты по ШПЗ (неосновные)</v>
          </cell>
          <cell r="H858">
            <v>2030</v>
          </cell>
          <cell r="I858">
            <v>7920</v>
          </cell>
          <cell r="J858">
            <v>64.7</v>
          </cell>
          <cell r="K858">
            <v>1</v>
          </cell>
          <cell r="L858">
            <v>0</v>
          </cell>
          <cell r="M858">
            <v>0</v>
          </cell>
          <cell r="N858">
            <v>0</v>
          </cell>
          <cell r="R858">
            <v>0</v>
          </cell>
          <cell r="S858">
            <v>0</v>
          </cell>
          <cell r="T858">
            <v>0</v>
          </cell>
          <cell r="U858">
            <v>35</v>
          </cell>
          <cell r="V858">
            <v>0</v>
          </cell>
          <cell r="W858">
            <v>0</v>
          </cell>
          <cell r="AA858">
            <v>0</v>
          </cell>
          <cell r="AB858">
            <v>0</v>
          </cell>
          <cell r="AC858">
            <v>0</v>
          </cell>
          <cell r="AD858">
            <v>35</v>
          </cell>
          <cell r="AE858">
            <v>313000</v>
          </cell>
          <cell r="AF858">
            <v>0</v>
          </cell>
          <cell r="AI858">
            <v>2373</v>
          </cell>
          <cell r="AK858">
            <v>0</v>
          </cell>
          <cell r="AM858">
            <v>475</v>
          </cell>
          <cell r="AN858">
            <v>1</v>
          </cell>
          <cell r="AO858">
            <v>393216</v>
          </cell>
          <cell r="AQ858">
            <v>0</v>
          </cell>
          <cell r="AR858">
            <v>0</v>
          </cell>
          <cell r="AS858" t="str">
            <v>Ы</v>
          </cell>
          <cell r="AT858" t="str">
            <v>Ы</v>
          </cell>
          <cell r="AU858">
            <v>0</v>
          </cell>
          <cell r="AV858">
            <v>0</v>
          </cell>
          <cell r="AW858">
            <v>23</v>
          </cell>
          <cell r="AX858">
            <v>1</v>
          </cell>
          <cell r="AY858">
            <v>0</v>
          </cell>
          <cell r="AZ858">
            <v>0</v>
          </cell>
          <cell r="BA858">
            <v>0</v>
          </cell>
          <cell r="BB858">
            <v>0</v>
          </cell>
          <cell r="BC858">
            <v>38916</v>
          </cell>
        </row>
        <row r="859">
          <cell r="A859">
            <v>2006</v>
          </cell>
          <cell r="B859">
            <v>6</v>
          </cell>
          <cell r="C859">
            <v>332</v>
          </cell>
          <cell r="D859">
            <v>17</v>
          </cell>
          <cell r="E859">
            <v>792030</v>
          </cell>
          <cell r="F859">
            <v>0</v>
          </cell>
          <cell r="G859" t="str">
            <v>Затраты по ШПЗ (неосновные)</v>
          </cell>
          <cell r="H859">
            <v>2030</v>
          </cell>
          <cell r="I859">
            <v>7920</v>
          </cell>
          <cell r="J859">
            <v>117.62</v>
          </cell>
          <cell r="K859">
            <v>1</v>
          </cell>
          <cell r="L859">
            <v>0</v>
          </cell>
          <cell r="M859">
            <v>0</v>
          </cell>
          <cell r="N859">
            <v>0</v>
          </cell>
          <cell r="R859">
            <v>0</v>
          </cell>
          <cell r="S859">
            <v>0</v>
          </cell>
          <cell r="T859">
            <v>0</v>
          </cell>
          <cell r="U859">
            <v>35</v>
          </cell>
          <cell r="V859">
            <v>0</v>
          </cell>
          <cell r="W859">
            <v>0</v>
          </cell>
          <cell r="AA859">
            <v>0</v>
          </cell>
          <cell r="AB859">
            <v>0</v>
          </cell>
          <cell r="AC859">
            <v>0</v>
          </cell>
          <cell r="AD859">
            <v>35</v>
          </cell>
          <cell r="AE859">
            <v>314000</v>
          </cell>
          <cell r="AF859">
            <v>0</v>
          </cell>
          <cell r="AI859">
            <v>2373</v>
          </cell>
          <cell r="AK859">
            <v>0</v>
          </cell>
          <cell r="AM859">
            <v>476</v>
          </cell>
          <cell r="AN859">
            <v>1</v>
          </cell>
          <cell r="AO859">
            <v>393216</v>
          </cell>
          <cell r="AQ859">
            <v>0</v>
          </cell>
          <cell r="AR859">
            <v>0</v>
          </cell>
          <cell r="AS859" t="str">
            <v>Ы</v>
          </cell>
          <cell r="AT859" t="str">
            <v>Ы</v>
          </cell>
          <cell r="AU859">
            <v>0</v>
          </cell>
          <cell r="AV859">
            <v>0</v>
          </cell>
          <cell r="AW859">
            <v>23</v>
          </cell>
          <cell r="AX859">
            <v>1</v>
          </cell>
          <cell r="AY859">
            <v>0</v>
          </cell>
          <cell r="AZ859">
            <v>0</v>
          </cell>
          <cell r="BA859">
            <v>0</v>
          </cell>
          <cell r="BB859">
            <v>0</v>
          </cell>
          <cell r="BC859">
            <v>38916</v>
          </cell>
        </row>
        <row r="860">
          <cell r="A860">
            <v>2006</v>
          </cell>
          <cell r="B860">
            <v>6</v>
          </cell>
          <cell r="C860">
            <v>333</v>
          </cell>
          <cell r="D860">
            <v>17</v>
          </cell>
          <cell r="E860">
            <v>792030</v>
          </cell>
          <cell r="F860">
            <v>0</v>
          </cell>
          <cell r="G860" t="str">
            <v>Затраты по ШПЗ (неосновные)</v>
          </cell>
          <cell r="H860">
            <v>2030</v>
          </cell>
          <cell r="I860">
            <v>7920</v>
          </cell>
          <cell r="J860">
            <v>23.53</v>
          </cell>
          <cell r="K860">
            <v>1</v>
          </cell>
          <cell r="L860">
            <v>0</v>
          </cell>
          <cell r="M860">
            <v>0</v>
          </cell>
          <cell r="N860">
            <v>0</v>
          </cell>
          <cell r="R860">
            <v>0</v>
          </cell>
          <cell r="S860">
            <v>0</v>
          </cell>
          <cell r="T860">
            <v>0</v>
          </cell>
          <cell r="U860">
            <v>35</v>
          </cell>
          <cell r="V860">
            <v>0</v>
          </cell>
          <cell r="W860">
            <v>0</v>
          </cell>
          <cell r="AA860">
            <v>0</v>
          </cell>
          <cell r="AB860">
            <v>0</v>
          </cell>
          <cell r="AC860">
            <v>0</v>
          </cell>
          <cell r="AD860">
            <v>35</v>
          </cell>
          <cell r="AE860">
            <v>315000</v>
          </cell>
          <cell r="AF860">
            <v>0</v>
          </cell>
          <cell r="AI860">
            <v>2373</v>
          </cell>
          <cell r="AK860">
            <v>0</v>
          </cell>
          <cell r="AM860">
            <v>477</v>
          </cell>
          <cell r="AN860">
            <v>1</v>
          </cell>
          <cell r="AO860">
            <v>393216</v>
          </cell>
          <cell r="AQ860">
            <v>0</v>
          </cell>
          <cell r="AR860">
            <v>0</v>
          </cell>
          <cell r="AS860" t="str">
            <v>Ы</v>
          </cell>
          <cell r="AT860" t="str">
            <v>Ы</v>
          </cell>
          <cell r="AU860">
            <v>0</v>
          </cell>
          <cell r="AV860">
            <v>0</v>
          </cell>
          <cell r="AW860">
            <v>23</v>
          </cell>
          <cell r="AX860">
            <v>1</v>
          </cell>
          <cell r="AY860">
            <v>0</v>
          </cell>
          <cell r="AZ860">
            <v>0</v>
          </cell>
          <cell r="BA860">
            <v>0</v>
          </cell>
          <cell r="BB860">
            <v>0</v>
          </cell>
          <cell r="BC860">
            <v>38916</v>
          </cell>
        </row>
        <row r="861">
          <cell r="A861">
            <v>2006</v>
          </cell>
          <cell r="B861">
            <v>6</v>
          </cell>
          <cell r="C861">
            <v>334</v>
          </cell>
          <cell r="D861">
            <v>17</v>
          </cell>
          <cell r="E861">
            <v>792030</v>
          </cell>
          <cell r="F861">
            <v>0</v>
          </cell>
          <cell r="G861" t="str">
            <v>Затраты по ШПЗ (неосновные)</v>
          </cell>
          <cell r="H861">
            <v>2030</v>
          </cell>
          <cell r="I861">
            <v>7920</v>
          </cell>
          <cell r="J861">
            <v>416.38</v>
          </cell>
          <cell r="K861">
            <v>1</v>
          </cell>
          <cell r="L861">
            <v>0</v>
          </cell>
          <cell r="M861">
            <v>0</v>
          </cell>
          <cell r="N861">
            <v>0</v>
          </cell>
          <cell r="R861">
            <v>0</v>
          </cell>
          <cell r="S861">
            <v>0</v>
          </cell>
          <cell r="T861">
            <v>0</v>
          </cell>
          <cell r="U861">
            <v>35</v>
          </cell>
          <cell r="V861">
            <v>0</v>
          </cell>
          <cell r="W861">
            <v>0</v>
          </cell>
          <cell r="AA861">
            <v>0</v>
          </cell>
          <cell r="AB861">
            <v>0</v>
          </cell>
          <cell r="AC861">
            <v>0</v>
          </cell>
          <cell r="AD861">
            <v>35</v>
          </cell>
          <cell r="AE861">
            <v>410000</v>
          </cell>
          <cell r="AF861">
            <v>0</v>
          </cell>
          <cell r="AI861">
            <v>2373</v>
          </cell>
          <cell r="AK861">
            <v>0</v>
          </cell>
          <cell r="AM861">
            <v>478</v>
          </cell>
          <cell r="AN861">
            <v>1</v>
          </cell>
          <cell r="AO861">
            <v>393216</v>
          </cell>
          <cell r="AQ861">
            <v>0</v>
          </cell>
          <cell r="AR861">
            <v>0</v>
          </cell>
          <cell r="AS861" t="str">
            <v>Ы</v>
          </cell>
          <cell r="AT861" t="str">
            <v>Ы</v>
          </cell>
          <cell r="AU861">
            <v>0</v>
          </cell>
          <cell r="AV861">
            <v>0</v>
          </cell>
          <cell r="AW861">
            <v>23</v>
          </cell>
          <cell r="AX861">
            <v>1</v>
          </cell>
          <cell r="AY861">
            <v>0</v>
          </cell>
          <cell r="AZ861">
            <v>0</v>
          </cell>
          <cell r="BA861">
            <v>0</v>
          </cell>
          <cell r="BB861">
            <v>0</v>
          </cell>
          <cell r="BC861">
            <v>38916</v>
          </cell>
        </row>
        <row r="862">
          <cell r="A862">
            <v>2006</v>
          </cell>
          <cell r="B862">
            <v>6</v>
          </cell>
          <cell r="C862">
            <v>335</v>
          </cell>
          <cell r="D862">
            <v>17</v>
          </cell>
          <cell r="E862">
            <v>792030</v>
          </cell>
          <cell r="F862">
            <v>0</v>
          </cell>
          <cell r="G862" t="str">
            <v>Затраты по ШПЗ (неосновные)</v>
          </cell>
          <cell r="H862">
            <v>2030</v>
          </cell>
          <cell r="I862">
            <v>7920</v>
          </cell>
          <cell r="J862">
            <v>514.96</v>
          </cell>
          <cell r="K862">
            <v>1</v>
          </cell>
          <cell r="L862">
            <v>0</v>
          </cell>
          <cell r="M862">
            <v>0</v>
          </cell>
          <cell r="N862">
            <v>0</v>
          </cell>
          <cell r="R862">
            <v>0</v>
          </cell>
          <cell r="S862">
            <v>0</v>
          </cell>
          <cell r="T862">
            <v>0</v>
          </cell>
          <cell r="U862">
            <v>35</v>
          </cell>
          <cell r="V862">
            <v>0</v>
          </cell>
          <cell r="W862">
            <v>0</v>
          </cell>
          <cell r="AA862">
            <v>0</v>
          </cell>
          <cell r="AB862">
            <v>0</v>
          </cell>
          <cell r="AC862">
            <v>0</v>
          </cell>
          <cell r="AD862">
            <v>35</v>
          </cell>
          <cell r="AE862">
            <v>420000</v>
          </cell>
          <cell r="AF862">
            <v>0</v>
          </cell>
          <cell r="AI862">
            <v>2373</v>
          </cell>
          <cell r="AK862">
            <v>0</v>
          </cell>
          <cell r="AM862">
            <v>479</v>
          </cell>
          <cell r="AN862">
            <v>1</v>
          </cell>
          <cell r="AO862">
            <v>393216</v>
          </cell>
          <cell r="AQ862">
            <v>0</v>
          </cell>
          <cell r="AR862">
            <v>0</v>
          </cell>
          <cell r="AS862" t="str">
            <v>Ы</v>
          </cell>
          <cell r="AT862" t="str">
            <v>Ы</v>
          </cell>
          <cell r="AU862">
            <v>0</v>
          </cell>
          <cell r="AV862">
            <v>0</v>
          </cell>
          <cell r="AW862">
            <v>23</v>
          </cell>
          <cell r="AX862">
            <v>1</v>
          </cell>
          <cell r="AY862">
            <v>0</v>
          </cell>
          <cell r="AZ862">
            <v>0</v>
          </cell>
          <cell r="BA862">
            <v>0</v>
          </cell>
          <cell r="BB862">
            <v>0</v>
          </cell>
          <cell r="BC862">
            <v>38916</v>
          </cell>
        </row>
        <row r="863">
          <cell r="A863">
            <v>2006</v>
          </cell>
          <cell r="B863">
            <v>6</v>
          </cell>
          <cell r="C863">
            <v>336</v>
          </cell>
          <cell r="D863">
            <v>17</v>
          </cell>
          <cell r="E863">
            <v>792030</v>
          </cell>
          <cell r="F863">
            <v>0</v>
          </cell>
          <cell r="G863" t="str">
            <v>Затраты по ШПЗ (неосновные)</v>
          </cell>
          <cell r="H863">
            <v>2030</v>
          </cell>
          <cell r="I863">
            <v>7920</v>
          </cell>
          <cell r="J863">
            <v>14.41</v>
          </cell>
          <cell r="K863">
            <v>1</v>
          </cell>
          <cell r="L863">
            <v>0</v>
          </cell>
          <cell r="M863">
            <v>0</v>
          </cell>
          <cell r="N863">
            <v>0</v>
          </cell>
          <cell r="R863">
            <v>0</v>
          </cell>
          <cell r="S863">
            <v>0</v>
          </cell>
          <cell r="T863">
            <v>0</v>
          </cell>
          <cell r="U863">
            <v>35</v>
          </cell>
          <cell r="V863">
            <v>0</v>
          </cell>
          <cell r="W863">
            <v>0</v>
          </cell>
          <cell r="AA863">
            <v>0</v>
          </cell>
          <cell r="AB863">
            <v>0</v>
          </cell>
          <cell r="AC863">
            <v>0</v>
          </cell>
          <cell r="AD863">
            <v>35</v>
          </cell>
          <cell r="AE863">
            <v>430000</v>
          </cell>
          <cell r="AF863">
            <v>0</v>
          </cell>
          <cell r="AI863">
            <v>2373</v>
          </cell>
          <cell r="AK863">
            <v>0</v>
          </cell>
          <cell r="AM863">
            <v>480</v>
          </cell>
          <cell r="AN863">
            <v>1</v>
          </cell>
          <cell r="AO863">
            <v>393216</v>
          </cell>
          <cell r="AQ863">
            <v>0</v>
          </cell>
          <cell r="AR863">
            <v>0</v>
          </cell>
          <cell r="AS863" t="str">
            <v>Ы</v>
          </cell>
          <cell r="AT863" t="str">
            <v>Ы</v>
          </cell>
          <cell r="AU863">
            <v>0</v>
          </cell>
          <cell r="AV863">
            <v>0</v>
          </cell>
          <cell r="AW863">
            <v>23</v>
          </cell>
          <cell r="AX863">
            <v>1</v>
          </cell>
          <cell r="AY863">
            <v>0</v>
          </cell>
          <cell r="AZ863">
            <v>0</v>
          </cell>
          <cell r="BA863">
            <v>0</v>
          </cell>
          <cell r="BB863">
            <v>0</v>
          </cell>
          <cell r="BC863">
            <v>38916</v>
          </cell>
        </row>
        <row r="864">
          <cell r="A864">
            <v>2006</v>
          </cell>
          <cell r="B864">
            <v>6</v>
          </cell>
          <cell r="C864">
            <v>337</v>
          </cell>
          <cell r="D864">
            <v>17</v>
          </cell>
          <cell r="E864">
            <v>792030</v>
          </cell>
          <cell r="F864">
            <v>0</v>
          </cell>
          <cell r="G864" t="str">
            <v>Затраты по ШПЗ (неосновные)</v>
          </cell>
          <cell r="H864">
            <v>2030</v>
          </cell>
          <cell r="I864">
            <v>7920</v>
          </cell>
          <cell r="J864">
            <v>81.47</v>
          </cell>
          <cell r="K864">
            <v>1</v>
          </cell>
          <cell r="L864">
            <v>0</v>
          </cell>
          <cell r="M864">
            <v>0</v>
          </cell>
          <cell r="N864">
            <v>0</v>
          </cell>
          <cell r="R864">
            <v>0</v>
          </cell>
          <cell r="S864">
            <v>0</v>
          </cell>
          <cell r="T864">
            <v>0</v>
          </cell>
          <cell r="U864">
            <v>35</v>
          </cell>
          <cell r="V864">
            <v>0</v>
          </cell>
          <cell r="W864">
            <v>0</v>
          </cell>
          <cell r="AA864">
            <v>0</v>
          </cell>
          <cell r="AB864">
            <v>0</v>
          </cell>
          <cell r="AC864">
            <v>0</v>
          </cell>
          <cell r="AD864">
            <v>35</v>
          </cell>
          <cell r="AE864">
            <v>430110</v>
          </cell>
          <cell r="AF864">
            <v>0</v>
          </cell>
          <cell r="AI864">
            <v>2373</v>
          </cell>
          <cell r="AK864">
            <v>0</v>
          </cell>
          <cell r="AM864">
            <v>481</v>
          </cell>
          <cell r="AN864">
            <v>1</v>
          </cell>
          <cell r="AO864">
            <v>393216</v>
          </cell>
          <cell r="AQ864">
            <v>0</v>
          </cell>
          <cell r="AR864">
            <v>0</v>
          </cell>
          <cell r="AS864" t="str">
            <v>Ы</v>
          </cell>
          <cell r="AT864" t="str">
            <v>Ы</v>
          </cell>
          <cell r="AU864">
            <v>0</v>
          </cell>
          <cell r="AV864">
            <v>0</v>
          </cell>
          <cell r="AW864">
            <v>23</v>
          </cell>
          <cell r="AX864">
            <v>1</v>
          </cell>
          <cell r="AY864">
            <v>0</v>
          </cell>
          <cell r="AZ864">
            <v>0</v>
          </cell>
          <cell r="BA864">
            <v>0</v>
          </cell>
          <cell r="BB864">
            <v>0</v>
          </cell>
          <cell r="BC864">
            <v>38916</v>
          </cell>
        </row>
        <row r="865">
          <cell r="A865">
            <v>2006</v>
          </cell>
          <cell r="B865">
            <v>6</v>
          </cell>
          <cell r="C865">
            <v>338</v>
          </cell>
          <cell r="D865">
            <v>17</v>
          </cell>
          <cell r="E865">
            <v>792030</v>
          </cell>
          <cell r="F865">
            <v>0</v>
          </cell>
          <cell r="G865" t="str">
            <v>Затраты по ШПЗ (неосновные)</v>
          </cell>
          <cell r="H865">
            <v>2030</v>
          </cell>
          <cell r="I865">
            <v>7920</v>
          </cell>
          <cell r="J865">
            <v>28.37</v>
          </cell>
          <cell r="K865">
            <v>1</v>
          </cell>
          <cell r="L865">
            <v>0</v>
          </cell>
          <cell r="M865">
            <v>0</v>
          </cell>
          <cell r="N865">
            <v>0</v>
          </cell>
          <cell r="R865">
            <v>0</v>
          </cell>
          <cell r="S865">
            <v>0</v>
          </cell>
          <cell r="T865">
            <v>0</v>
          </cell>
          <cell r="U865">
            <v>35</v>
          </cell>
          <cell r="V865">
            <v>0</v>
          </cell>
          <cell r="W865">
            <v>0</v>
          </cell>
          <cell r="AA865">
            <v>0</v>
          </cell>
          <cell r="AB865">
            <v>0</v>
          </cell>
          <cell r="AC865">
            <v>0</v>
          </cell>
          <cell r="AD865">
            <v>35</v>
          </cell>
          <cell r="AE865">
            <v>430120</v>
          </cell>
          <cell r="AF865">
            <v>0</v>
          </cell>
          <cell r="AI865">
            <v>2373</v>
          </cell>
          <cell r="AK865">
            <v>0</v>
          </cell>
          <cell r="AM865">
            <v>482</v>
          </cell>
          <cell r="AN865">
            <v>1</v>
          </cell>
          <cell r="AO865">
            <v>393216</v>
          </cell>
          <cell r="AQ865">
            <v>0</v>
          </cell>
          <cell r="AR865">
            <v>0</v>
          </cell>
          <cell r="AS865" t="str">
            <v>Ы</v>
          </cell>
          <cell r="AT865" t="str">
            <v>Ы</v>
          </cell>
          <cell r="AU865">
            <v>0</v>
          </cell>
          <cell r="AV865">
            <v>0</v>
          </cell>
          <cell r="AW865">
            <v>23</v>
          </cell>
          <cell r="AX865">
            <v>1</v>
          </cell>
          <cell r="AY865">
            <v>0</v>
          </cell>
          <cell r="AZ865">
            <v>0</v>
          </cell>
          <cell r="BA865">
            <v>0</v>
          </cell>
          <cell r="BB865">
            <v>0</v>
          </cell>
          <cell r="BC865">
            <v>38916</v>
          </cell>
        </row>
        <row r="866">
          <cell r="A866">
            <v>2006</v>
          </cell>
          <cell r="B866">
            <v>6</v>
          </cell>
          <cell r="C866">
            <v>339</v>
          </cell>
          <cell r="D866">
            <v>17</v>
          </cell>
          <cell r="E866">
            <v>792030</v>
          </cell>
          <cell r="F866">
            <v>0</v>
          </cell>
          <cell r="G866" t="str">
            <v>Затраты по ШПЗ (неосновные)</v>
          </cell>
          <cell r="H866">
            <v>2030</v>
          </cell>
          <cell r="I866">
            <v>7920</v>
          </cell>
          <cell r="J866">
            <v>148.22999999999999</v>
          </cell>
          <cell r="K866">
            <v>1</v>
          </cell>
          <cell r="L866">
            <v>0</v>
          </cell>
          <cell r="M866">
            <v>0</v>
          </cell>
          <cell r="N866">
            <v>0</v>
          </cell>
          <cell r="R866">
            <v>0</v>
          </cell>
          <cell r="S866">
            <v>0</v>
          </cell>
          <cell r="T866">
            <v>0</v>
          </cell>
          <cell r="U866">
            <v>35</v>
          </cell>
          <cell r="V866">
            <v>0</v>
          </cell>
          <cell r="W866">
            <v>0</v>
          </cell>
          <cell r="AA866">
            <v>0</v>
          </cell>
          <cell r="AB866">
            <v>0</v>
          </cell>
          <cell r="AC866">
            <v>0</v>
          </cell>
          <cell r="AD866">
            <v>35</v>
          </cell>
          <cell r="AE866">
            <v>430130</v>
          </cell>
          <cell r="AF866">
            <v>0</v>
          </cell>
          <cell r="AI866">
            <v>2373</v>
          </cell>
          <cell r="AK866">
            <v>0</v>
          </cell>
          <cell r="AM866">
            <v>483</v>
          </cell>
          <cell r="AN866">
            <v>1</v>
          </cell>
          <cell r="AO866">
            <v>393216</v>
          </cell>
          <cell r="AQ866">
            <v>0</v>
          </cell>
          <cell r="AR866">
            <v>0</v>
          </cell>
          <cell r="AS866" t="str">
            <v>Ы</v>
          </cell>
          <cell r="AT866" t="str">
            <v>Ы</v>
          </cell>
          <cell r="AU866">
            <v>0</v>
          </cell>
          <cell r="AV866">
            <v>0</v>
          </cell>
          <cell r="AW866">
            <v>23</v>
          </cell>
          <cell r="AX866">
            <v>1</v>
          </cell>
          <cell r="AY866">
            <v>0</v>
          </cell>
          <cell r="AZ866">
            <v>0</v>
          </cell>
          <cell r="BA866">
            <v>0</v>
          </cell>
          <cell r="BB866">
            <v>0</v>
          </cell>
          <cell r="BC866">
            <v>38916</v>
          </cell>
        </row>
        <row r="867">
          <cell r="A867">
            <v>2006</v>
          </cell>
          <cell r="B867">
            <v>6</v>
          </cell>
          <cell r="C867">
            <v>340</v>
          </cell>
          <cell r="D867">
            <v>17</v>
          </cell>
          <cell r="E867">
            <v>792030</v>
          </cell>
          <cell r="F867">
            <v>0</v>
          </cell>
          <cell r="G867" t="str">
            <v>Затраты по ШПЗ (неосновные)</v>
          </cell>
          <cell r="H867">
            <v>2030</v>
          </cell>
          <cell r="I867">
            <v>7920</v>
          </cell>
          <cell r="J867">
            <v>99.78</v>
          </cell>
          <cell r="K867">
            <v>1</v>
          </cell>
          <cell r="L867">
            <v>0</v>
          </cell>
          <cell r="M867">
            <v>0</v>
          </cell>
          <cell r="N867">
            <v>0</v>
          </cell>
          <cell r="R867">
            <v>0</v>
          </cell>
          <cell r="S867">
            <v>0</v>
          </cell>
          <cell r="T867">
            <v>0</v>
          </cell>
          <cell r="U867">
            <v>35</v>
          </cell>
          <cell r="V867">
            <v>0</v>
          </cell>
          <cell r="W867">
            <v>0</v>
          </cell>
          <cell r="AA867">
            <v>0</v>
          </cell>
          <cell r="AB867">
            <v>0</v>
          </cell>
          <cell r="AC867">
            <v>0</v>
          </cell>
          <cell r="AD867">
            <v>35</v>
          </cell>
          <cell r="AE867">
            <v>430140</v>
          </cell>
          <cell r="AF867">
            <v>0</v>
          </cell>
          <cell r="AI867">
            <v>2373</v>
          </cell>
          <cell r="AK867">
            <v>0</v>
          </cell>
          <cell r="AM867">
            <v>484</v>
          </cell>
          <cell r="AN867">
            <v>1</v>
          </cell>
          <cell r="AO867">
            <v>393216</v>
          </cell>
          <cell r="AQ867">
            <v>0</v>
          </cell>
          <cell r="AR867">
            <v>0</v>
          </cell>
          <cell r="AS867" t="str">
            <v>Ы</v>
          </cell>
          <cell r="AT867" t="str">
            <v>Ы</v>
          </cell>
          <cell r="AU867">
            <v>0</v>
          </cell>
          <cell r="AV867">
            <v>0</v>
          </cell>
          <cell r="AW867">
            <v>23</v>
          </cell>
          <cell r="AX867">
            <v>1</v>
          </cell>
          <cell r="AY867">
            <v>0</v>
          </cell>
          <cell r="AZ867">
            <v>0</v>
          </cell>
          <cell r="BA867">
            <v>0</v>
          </cell>
          <cell r="BB867">
            <v>0</v>
          </cell>
          <cell r="BC867">
            <v>38916</v>
          </cell>
        </row>
        <row r="868">
          <cell r="A868">
            <v>2006</v>
          </cell>
          <cell r="B868">
            <v>6</v>
          </cell>
          <cell r="C868">
            <v>341</v>
          </cell>
          <cell r="D868">
            <v>17</v>
          </cell>
          <cell r="E868">
            <v>792030</v>
          </cell>
          <cell r="F868">
            <v>0</v>
          </cell>
          <cell r="G868" t="str">
            <v>Затраты по ШПЗ (неосновные)</v>
          </cell>
          <cell r="H868">
            <v>2030</v>
          </cell>
          <cell r="I868">
            <v>7920</v>
          </cell>
          <cell r="J868">
            <v>0.3</v>
          </cell>
          <cell r="K868">
            <v>1</v>
          </cell>
          <cell r="L868">
            <v>0</v>
          </cell>
          <cell r="M868">
            <v>0</v>
          </cell>
          <cell r="N868">
            <v>0</v>
          </cell>
          <cell r="R868">
            <v>0</v>
          </cell>
          <cell r="S868">
            <v>0</v>
          </cell>
          <cell r="T868">
            <v>0</v>
          </cell>
          <cell r="U868">
            <v>35</v>
          </cell>
          <cell r="V868">
            <v>0</v>
          </cell>
          <cell r="W868">
            <v>0</v>
          </cell>
          <cell r="AA868">
            <v>0</v>
          </cell>
          <cell r="AB868">
            <v>0</v>
          </cell>
          <cell r="AC868">
            <v>0</v>
          </cell>
          <cell r="AD868">
            <v>35</v>
          </cell>
          <cell r="AE868">
            <v>430230</v>
          </cell>
          <cell r="AF868">
            <v>0</v>
          </cell>
          <cell r="AI868">
            <v>2373</v>
          </cell>
          <cell r="AK868">
            <v>0</v>
          </cell>
          <cell r="AM868">
            <v>485</v>
          </cell>
          <cell r="AN868">
            <v>1</v>
          </cell>
          <cell r="AO868">
            <v>393216</v>
          </cell>
          <cell r="AQ868">
            <v>0</v>
          </cell>
          <cell r="AR868">
            <v>0</v>
          </cell>
          <cell r="AS868" t="str">
            <v>Ы</v>
          </cell>
          <cell r="AT868" t="str">
            <v>Ы</v>
          </cell>
          <cell r="AU868">
            <v>0</v>
          </cell>
          <cell r="AV868">
            <v>0</v>
          </cell>
          <cell r="AW868">
            <v>23</v>
          </cell>
          <cell r="AX868">
            <v>1</v>
          </cell>
          <cell r="AY868">
            <v>0</v>
          </cell>
          <cell r="AZ868">
            <v>0</v>
          </cell>
          <cell r="BA868">
            <v>0</v>
          </cell>
          <cell r="BB868">
            <v>0</v>
          </cell>
          <cell r="BC868">
            <v>38916</v>
          </cell>
        </row>
        <row r="869">
          <cell r="A869">
            <v>2006</v>
          </cell>
          <cell r="B869">
            <v>6</v>
          </cell>
          <cell r="C869">
            <v>342</v>
          </cell>
          <cell r="D869">
            <v>17</v>
          </cell>
          <cell r="E869">
            <v>792030</v>
          </cell>
          <cell r="F869">
            <v>0</v>
          </cell>
          <cell r="G869" t="str">
            <v>Затраты по ШПЗ (неосновные)</v>
          </cell>
          <cell r="H869">
            <v>2030</v>
          </cell>
          <cell r="I869">
            <v>7920</v>
          </cell>
          <cell r="J869">
            <v>2.7</v>
          </cell>
          <cell r="K869">
            <v>1</v>
          </cell>
          <cell r="L869">
            <v>0</v>
          </cell>
          <cell r="M869">
            <v>0</v>
          </cell>
          <cell r="N869">
            <v>0</v>
          </cell>
          <cell r="R869">
            <v>0</v>
          </cell>
          <cell r="S869">
            <v>0</v>
          </cell>
          <cell r="T869">
            <v>0</v>
          </cell>
          <cell r="U869">
            <v>35</v>
          </cell>
          <cell r="V869">
            <v>0</v>
          </cell>
          <cell r="W869">
            <v>0</v>
          </cell>
          <cell r="AA869">
            <v>0</v>
          </cell>
          <cell r="AB869">
            <v>0</v>
          </cell>
          <cell r="AC869">
            <v>0</v>
          </cell>
          <cell r="AD869">
            <v>35</v>
          </cell>
          <cell r="AE869">
            <v>430240</v>
          </cell>
          <cell r="AF869">
            <v>0</v>
          </cell>
          <cell r="AI869">
            <v>2373</v>
          </cell>
          <cell r="AK869">
            <v>0</v>
          </cell>
          <cell r="AM869">
            <v>486</v>
          </cell>
          <cell r="AN869">
            <v>1</v>
          </cell>
          <cell r="AO869">
            <v>393216</v>
          </cell>
          <cell r="AQ869">
            <v>0</v>
          </cell>
          <cell r="AR869">
            <v>0</v>
          </cell>
          <cell r="AS869" t="str">
            <v>Ы</v>
          </cell>
          <cell r="AT869" t="str">
            <v>Ы</v>
          </cell>
          <cell r="AU869">
            <v>0</v>
          </cell>
          <cell r="AV869">
            <v>0</v>
          </cell>
          <cell r="AW869">
            <v>23</v>
          </cell>
          <cell r="AX869">
            <v>1</v>
          </cell>
          <cell r="AY869">
            <v>0</v>
          </cell>
          <cell r="AZ869">
            <v>0</v>
          </cell>
          <cell r="BA869">
            <v>0</v>
          </cell>
          <cell r="BB869">
            <v>0</v>
          </cell>
          <cell r="BC869">
            <v>38916</v>
          </cell>
        </row>
        <row r="870">
          <cell r="A870">
            <v>2006</v>
          </cell>
          <cell r="B870">
            <v>6</v>
          </cell>
          <cell r="C870">
            <v>343</v>
          </cell>
          <cell r="D870">
            <v>17</v>
          </cell>
          <cell r="E870">
            <v>792030</v>
          </cell>
          <cell r="F870">
            <v>0</v>
          </cell>
          <cell r="G870" t="str">
            <v>Затраты по ШПЗ (неосновные)</v>
          </cell>
          <cell r="H870">
            <v>2030</v>
          </cell>
          <cell r="I870">
            <v>7920</v>
          </cell>
          <cell r="J870">
            <v>95.35</v>
          </cell>
          <cell r="K870">
            <v>1</v>
          </cell>
          <cell r="L870">
            <v>0</v>
          </cell>
          <cell r="M870">
            <v>0</v>
          </cell>
          <cell r="N870">
            <v>0</v>
          </cell>
          <cell r="R870">
            <v>0</v>
          </cell>
          <cell r="S870">
            <v>0</v>
          </cell>
          <cell r="T870">
            <v>0</v>
          </cell>
          <cell r="U870">
            <v>35</v>
          </cell>
          <cell r="V870">
            <v>0</v>
          </cell>
          <cell r="W870">
            <v>0</v>
          </cell>
          <cell r="AA870">
            <v>0</v>
          </cell>
          <cell r="AB870">
            <v>0</v>
          </cell>
          <cell r="AC870">
            <v>0</v>
          </cell>
          <cell r="AD870">
            <v>35</v>
          </cell>
          <cell r="AE870">
            <v>450000</v>
          </cell>
          <cell r="AF870">
            <v>0</v>
          </cell>
          <cell r="AI870">
            <v>2373</v>
          </cell>
          <cell r="AK870">
            <v>0</v>
          </cell>
          <cell r="AM870">
            <v>487</v>
          </cell>
          <cell r="AN870">
            <v>1</v>
          </cell>
          <cell r="AO870">
            <v>393216</v>
          </cell>
          <cell r="AQ870">
            <v>0</v>
          </cell>
          <cell r="AR870">
            <v>0</v>
          </cell>
          <cell r="AS870" t="str">
            <v>Ы</v>
          </cell>
          <cell r="AT870" t="str">
            <v>Ы</v>
          </cell>
          <cell r="AU870">
            <v>0</v>
          </cell>
          <cell r="AV870">
            <v>0</v>
          </cell>
          <cell r="AW870">
            <v>23</v>
          </cell>
          <cell r="AX870">
            <v>1</v>
          </cell>
          <cell r="AY870">
            <v>0</v>
          </cell>
          <cell r="AZ870">
            <v>0</v>
          </cell>
          <cell r="BA870">
            <v>0</v>
          </cell>
          <cell r="BB870">
            <v>0</v>
          </cell>
          <cell r="BC870">
            <v>38916</v>
          </cell>
        </row>
        <row r="871">
          <cell r="A871">
            <v>2006</v>
          </cell>
          <cell r="B871">
            <v>6</v>
          </cell>
          <cell r="C871">
            <v>344</v>
          </cell>
          <cell r="D871">
            <v>17</v>
          </cell>
          <cell r="E871">
            <v>792030</v>
          </cell>
          <cell r="F871">
            <v>0</v>
          </cell>
          <cell r="G871" t="str">
            <v>Затраты по ШПЗ (неосновные)</v>
          </cell>
          <cell r="H871">
            <v>2030</v>
          </cell>
          <cell r="I871">
            <v>7920</v>
          </cell>
          <cell r="J871">
            <v>9.89</v>
          </cell>
          <cell r="K871">
            <v>1</v>
          </cell>
          <cell r="L871">
            <v>0</v>
          </cell>
          <cell r="M871">
            <v>0</v>
          </cell>
          <cell r="N871">
            <v>0</v>
          </cell>
          <cell r="R871">
            <v>0</v>
          </cell>
          <cell r="S871">
            <v>0</v>
          </cell>
          <cell r="T871">
            <v>0</v>
          </cell>
          <cell r="U871">
            <v>35</v>
          </cell>
          <cell r="V871">
            <v>0</v>
          </cell>
          <cell r="W871">
            <v>0</v>
          </cell>
          <cell r="AA871">
            <v>0</v>
          </cell>
          <cell r="AB871">
            <v>0</v>
          </cell>
          <cell r="AC871">
            <v>0</v>
          </cell>
          <cell r="AD871">
            <v>35</v>
          </cell>
          <cell r="AE871">
            <v>460000</v>
          </cell>
          <cell r="AF871">
            <v>0</v>
          </cell>
          <cell r="AI871">
            <v>2373</v>
          </cell>
          <cell r="AK871">
            <v>0</v>
          </cell>
          <cell r="AM871">
            <v>488</v>
          </cell>
          <cell r="AN871">
            <v>1</v>
          </cell>
          <cell r="AO871">
            <v>393216</v>
          </cell>
          <cell r="AQ871">
            <v>0</v>
          </cell>
          <cell r="AR871">
            <v>0</v>
          </cell>
          <cell r="AS871" t="str">
            <v>Ы</v>
          </cell>
          <cell r="AT871" t="str">
            <v>Ы</v>
          </cell>
          <cell r="AU871">
            <v>0</v>
          </cell>
          <cell r="AV871">
            <v>0</v>
          </cell>
          <cell r="AW871">
            <v>23</v>
          </cell>
          <cell r="AX871">
            <v>1</v>
          </cell>
          <cell r="AY871">
            <v>0</v>
          </cell>
          <cell r="AZ871">
            <v>0</v>
          </cell>
          <cell r="BA871">
            <v>0</v>
          </cell>
          <cell r="BB871">
            <v>0</v>
          </cell>
          <cell r="BC871">
            <v>38916</v>
          </cell>
        </row>
        <row r="872">
          <cell r="A872">
            <v>2006</v>
          </cell>
          <cell r="B872">
            <v>6</v>
          </cell>
          <cell r="C872">
            <v>345</v>
          </cell>
          <cell r="D872">
            <v>17</v>
          </cell>
          <cell r="E872">
            <v>792030</v>
          </cell>
          <cell r="F872">
            <v>0</v>
          </cell>
          <cell r="G872" t="str">
            <v>Затраты по ШПЗ (неосновные)</v>
          </cell>
          <cell r="H872">
            <v>2030</v>
          </cell>
          <cell r="I872">
            <v>7920</v>
          </cell>
          <cell r="J872">
            <v>3.27</v>
          </cell>
          <cell r="K872">
            <v>1</v>
          </cell>
          <cell r="L872">
            <v>0</v>
          </cell>
          <cell r="M872">
            <v>0</v>
          </cell>
          <cell r="N872">
            <v>0</v>
          </cell>
          <cell r="R872">
            <v>0</v>
          </cell>
          <cell r="S872">
            <v>0</v>
          </cell>
          <cell r="T872">
            <v>0</v>
          </cell>
          <cell r="U872">
            <v>35</v>
          </cell>
          <cell r="V872">
            <v>0</v>
          </cell>
          <cell r="W872">
            <v>0</v>
          </cell>
          <cell r="AA872">
            <v>0</v>
          </cell>
          <cell r="AB872">
            <v>0</v>
          </cell>
          <cell r="AC872">
            <v>0</v>
          </cell>
          <cell r="AD872">
            <v>35</v>
          </cell>
          <cell r="AE872">
            <v>465000</v>
          </cell>
          <cell r="AF872">
            <v>0</v>
          </cell>
          <cell r="AI872">
            <v>2373</v>
          </cell>
          <cell r="AK872">
            <v>0</v>
          </cell>
          <cell r="AM872">
            <v>489</v>
          </cell>
          <cell r="AN872">
            <v>1</v>
          </cell>
          <cell r="AO872">
            <v>393216</v>
          </cell>
          <cell r="AQ872">
            <v>0</v>
          </cell>
          <cell r="AR872">
            <v>0</v>
          </cell>
          <cell r="AS872" t="str">
            <v>Ы</v>
          </cell>
          <cell r="AT872" t="str">
            <v>Ы</v>
          </cell>
          <cell r="AU872">
            <v>0</v>
          </cell>
          <cell r="AV872">
            <v>0</v>
          </cell>
          <cell r="AW872">
            <v>23</v>
          </cell>
          <cell r="AX872">
            <v>1</v>
          </cell>
          <cell r="AY872">
            <v>0</v>
          </cell>
          <cell r="AZ872">
            <v>0</v>
          </cell>
          <cell r="BA872">
            <v>0</v>
          </cell>
          <cell r="BB872">
            <v>0</v>
          </cell>
          <cell r="BC872">
            <v>38916</v>
          </cell>
        </row>
        <row r="873">
          <cell r="A873">
            <v>2006</v>
          </cell>
          <cell r="B873">
            <v>6</v>
          </cell>
          <cell r="C873">
            <v>346</v>
          </cell>
          <cell r="D873">
            <v>17</v>
          </cell>
          <cell r="E873">
            <v>792030</v>
          </cell>
          <cell r="F873">
            <v>0</v>
          </cell>
          <cell r="G873" t="str">
            <v>Затраты по ШПЗ (неосновные)</v>
          </cell>
          <cell r="H873">
            <v>2030</v>
          </cell>
          <cell r="I873">
            <v>7920</v>
          </cell>
          <cell r="J873">
            <v>148.5</v>
          </cell>
          <cell r="K873">
            <v>1</v>
          </cell>
          <cell r="L873">
            <v>0</v>
          </cell>
          <cell r="M873">
            <v>0</v>
          </cell>
          <cell r="N873">
            <v>0</v>
          </cell>
          <cell r="R873">
            <v>0</v>
          </cell>
          <cell r="S873">
            <v>0</v>
          </cell>
          <cell r="T873">
            <v>0</v>
          </cell>
          <cell r="U873">
            <v>35</v>
          </cell>
          <cell r="V873">
            <v>0</v>
          </cell>
          <cell r="W873">
            <v>0</v>
          </cell>
          <cell r="AA873">
            <v>0</v>
          </cell>
          <cell r="AB873">
            <v>0</v>
          </cell>
          <cell r="AC873">
            <v>0</v>
          </cell>
          <cell r="AD873">
            <v>35</v>
          </cell>
          <cell r="AE873">
            <v>501102</v>
          </cell>
          <cell r="AF873">
            <v>0</v>
          </cell>
          <cell r="AI873">
            <v>2373</v>
          </cell>
          <cell r="AK873">
            <v>0</v>
          </cell>
          <cell r="AM873">
            <v>490</v>
          </cell>
          <cell r="AN873">
            <v>1</v>
          </cell>
          <cell r="AO873">
            <v>393216</v>
          </cell>
          <cell r="AQ873">
            <v>0</v>
          </cell>
          <cell r="AR873">
            <v>0</v>
          </cell>
          <cell r="AS873" t="str">
            <v>Ы</v>
          </cell>
          <cell r="AT873" t="str">
            <v>Ы</v>
          </cell>
          <cell r="AU873">
            <v>0</v>
          </cell>
          <cell r="AV873">
            <v>0</v>
          </cell>
          <cell r="AW873">
            <v>23</v>
          </cell>
          <cell r="AX873">
            <v>1</v>
          </cell>
          <cell r="AY873">
            <v>0</v>
          </cell>
          <cell r="AZ873">
            <v>0</v>
          </cell>
          <cell r="BA873">
            <v>0</v>
          </cell>
          <cell r="BB873">
            <v>0</v>
          </cell>
          <cell r="BC873">
            <v>38916</v>
          </cell>
        </row>
        <row r="874">
          <cell r="A874">
            <v>2006</v>
          </cell>
          <cell r="B874">
            <v>6</v>
          </cell>
          <cell r="C874">
            <v>347</v>
          </cell>
          <cell r="D874">
            <v>17</v>
          </cell>
          <cell r="E874">
            <v>792030</v>
          </cell>
          <cell r="F874">
            <v>0</v>
          </cell>
          <cell r="G874" t="str">
            <v>Затраты по ШПЗ (неосновные)</v>
          </cell>
          <cell r="H874">
            <v>2030</v>
          </cell>
          <cell r="I874">
            <v>7920</v>
          </cell>
          <cell r="J874">
            <v>89.21</v>
          </cell>
          <cell r="K874">
            <v>1</v>
          </cell>
          <cell r="L874">
            <v>0</v>
          </cell>
          <cell r="M874">
            <v>0</v>
          </cell>
          <cell r="N874">
            <v>0</v>
          </cell>
          <cell r="R874">
            <v>0</v>
          </cell>
          <cell r="S874">
            <v>0</v>
          </cell>
          <cell r="T874">
            <v>0</v>
          </cell>
          <cell r="U874">
            <v>35</v>
          </cell>
          <cell r="V874">
            <v>0</v>
          </cell>
          <cell r="W874">
            <v>0</v>
          </cell>
          <cell r="AA874">
            <v>0</v>
          </cell>
          <cell r="AB874">
            <v>0</v>
          </cell>
          <cell r="AC874">
            <v>0</v>
          </cell>
          <cell r="AD874">
            <v>35</v>
          </cell>
          <cell r="AE874">
            <v>501103</v>
          </cell>
          <cell r="AF874">
            <v>0</v>
          </cell>
          <cell r="AI874">
            <v>2373</v>
          </cell>
          <cell r="AK874">
            <v>0</v>
          </cell>
          <cell r="AM874">
            <v>491</v>
          </cell>
          <cell r="AN874">
            <v>1</v>
          </cell>
          <cell r="AO874">
            <v>393216</v>
          </cell>
          <cell r="AQ874">
            <v>0</v>
          </cell>
          <cell r="AR874">
            <v>0</v>
          </cell>
          <cell r="AS874" t="str">
            <v>Ы</v>
          </cell>
          <cell r="AT874" t="str">
            <v>Ы</v>
          </cell>
          <cell r="AU874">
            <v>0</v>
          </cell>
          <cell r="AV874">
            <v>0</v>
          </cell>
          <cell r="AW874">
            <v>23</v>
          </cell>
          <cell r="AX874">
            <v>1</v>
          </cell>
          <cell r="AY874">
            <v>0</v>
          </cell>
          <cell r="AZ874">
            <v>0</v>
          </cell>
          <cell r="BA874">
            <v>0</v>
          </cell>
          <cell r="BB874">
            <v>0</v>
          </cell>
          <cell r="BC874">
            <v>38916</v>
          </cell>
        </row>
        <row r="875">
          <cell r="A875">
            <v>2006</v>
          </cell>
          <cell r="B875">
            <v>6</v>
          </cell>
          <cell r="C875">
            <v>348</v>
          </cell>
          <cell r="D875">
            <v>17</v>
          </cell>
          <cell r="E875">
            <v>792030</v>
          </cell>
          <cell r="F875">
            <v>0</v>
          </cell>
          <cell r="G875" t="str">
            <v>Затраты по ШПЗ (неосновные)</v>
          </cell>
          <cell r="H875">
            <v>2030</v>
          </cell>
          <cell r="I875">
            <v>7920</v>
          </cell>
          <cell r="J875">
            <v>170.45</v>
          </cell>
          <cell r="K875">
            <v>1</v>
          </cell>
          <cell r="L875">
            <v>0</v>
          </cell>
          <cell r="M875">
            <v>0</v>
          </cell>
          <cell r="N875">
            <v>0</v>
          </cell>
          <cell r="R875">
            <v>0</v>
          </cell>
          <cell r="S875">
            <v>0</v>
          </cell>
          <cell r="T875">
            <v>0</v>
          </cell>
          <cell r="U875">
            <v>35</v>
          </cell>
          <cell r="V875">
            <v>0</v>
          </cell>
          <cell r="W875">
            <v>0</v>
          </cell>
          <cell r="AA875">
            <v>0</v>
          </cell>
          <cell r="AB875">
            <v>0</v>
          </cell>
          <cell r="AC875">
            <v>0</v>
          </cell>
          <cell r="AD875">
            <v>35</v>
          </cell>
          <cell r="AE875">
            <v>501105</v>
          </cell>
          <cell r="AF875">
            <v>0</v>
          </cell>
          <cell r="AI875">
            <v>2373</v>
          </cell>
          <cell r="AK875">
            <v>0</v>
          </cell>
          <cell r="AM875">
            <v>492</v>
          </cell>
          <cell r="AN875">
            <v>1</v>
          </cell>
          <cell r="AO875">
            <v>393216</v>
          </cell>
          <cell r="AQ875">
            <v>0</v>
          </cell>
          <cell r="AR875">
            <v>0</v>
          </cell>
          <cell r="AS875" t="str">
            <v>Ы</v>
          </cell>
          <cell r="AT875" t="str">
            <v>Ы</v>
          </cell>
          <cell r="AU875">
            <v>0</v>
          </cell>
          <cell r="AV875">
            <v>0</v>
          </cell>
          <cell r="AW875">
            <v>23</v>
          </cell>
          <cell r="AX875">
            <v>1</v>
          </cell>
          <cell r="AY875">
            <v>0</v>
          </cell>
          <cell r="AZ875">
            <v>0</v>
          </cell>
          <cell r="BA875">
            <v>0</v>
          </cell>
          <cell r="BB875">
            <v>0</v>
          </cell>
          <cell r="BC875">
            <v>38916</v>
          </cell>
        </row>
        <row r="876">
          <cell r="A876">
            <v>2006</v>
          </cell>
          <cell r="B876">
            <v>6</v>
          </cell>
          <cell r="C876">
            <v>349</v>
          </cell>
          <cell r="D876">
            <v>17</v>
          </cell>
          <cell r="E876">
            <v>792030</v>
          </cell>
          <cell r="F876">
            <v>0</v>
          </cell>
          <cell r="G876" t="str">
            <v>Затраты по ШПЗ (неосновные)</v>
          </cell>
          <cell r="H876">
            <v>2030</v>
          </cell>
          <cell r="I876">
            <v>7920</v>
          </cell>
          <cell r="J876">
            <v>22.39</v>
          </cell>
          <cell r="K876">
            <v>1</v>
          </cell>
          <cell r="L876">
            <v>0</v>
          </cell>
          <cell r="M876">
            <v>0</v>
          </cell>
          <cell r="N876">
            <v>0</v>
          </cell>
          <cell r="R876">
            <v>0</v>
          </cell>
          <cell r="S876">
            <v>0</v>
          </cell>
          <cell r="T876">
            <v>0</v>
          </cell>
          <cell r="U876">
            <v>35</v>
          </cell>
          <cell r="V876">
            <v>0</v>
          </cell>
          <cell r="W876">
            <v>0</v>
          </cell>
          <cell r="AA876">
            <v>0</v>
          </cell>
          <cell r="AB876">
            <v>0</v>
          </cell>
          <cell r="AC876">
            <v>0</v>
          </cell>
          <cell r="AD876">
            <v>35</v>
          </cell>
          <cell r="AE876">
            <v>501106</v>
          </cell>
          <cell r="AF876">
            <v>0</v>
          </cell>
          <cell r="AI876">
            <v>2373</v>
          </cell>
          <cell r="AK876">
            <v>0</v>
          </cell>
          <cell r="AM876">
            <v>493</v>
          </cell>
          <cell r="AN876">
            <v>1</v>
          </cell>
          <cell r="AO876">
            <v>393216</v>
          </cell>
          <cell r="AQ876">
            <v>0</v>
          </cell>
          <cell r="AR876">
            <v>0</v>
          </cell>
          <cell r="AS876" t="str">
            <v>Ы</v>
          </cell>
          <cell r="AT876" t="str">
            <v>Ы</v>
          </cell>
          <cell r="AU876">
            <v>0</v>
          </cell>
          <cell r="AV876">
            <v>0</v>
          </cell>
          <cell r="AW876">
            <v>23</v>
          </cell>
          <cell r="AX876">
            <v>1</v>
          </cell>
          <cell r="AY876">
            <v>0</v>
          </cell>
          <cell r="AZ876">
            <v>0</v>
          </cell>
          <cell r="BA876">
            <v>0</v>
          </cell>
          <cell r="BB876">
            <v>0</v>
          </cell>
          <cell r="BC876">
            <v>38916</v>
          </cell>
        </row>
        <row r="877">
          <cell r="A877">
            <v>2006</v>
          </cell>
          <cell r="B877">
            <v>6</v>
          </cell>
          <cell r="C877">
            <v>350</v>
          </cell>
          <cell r="D877">
            <v>17</v>
          </cell>
          <cell r="E877">
            <v>792030</v>
          </cell>
          <cell r="F877">
            <v>0</v>
          </cell>
          <cell r="G877" t="str">
            <v>Затраты по ШПЗ (неосновные)</v>
          </cell>
          <cell r="H877">
            <v>2030</v>
          </cell>
          <cell r="I877">
            <v>7920</v>
          </cell>
          <cell r="J877">
            <v>641.29999999999995</v>
          </cell>
          <cell r="K877">
            <v>1</v>
          </cell>
          <cell r="L877">
            <v>0</v>
          </cell>
          <cell r="M877">
            <v>0</v>
          </cell>
          <cell r="N877">
            <v>0</v>
          </cell>
          <cell r="R877">
            <v>0</v>
          </cell>
          <cell r="S877">
            <v>0</v>
          </cell>
          <cell r="T877">
            <v>0</v>
          </cell>
          <cell r="U877">
            <v>35</v>
          </cell>
          <cell r="V877">
            <v>0</v>
          </cell>
          <cell r="W877">
            <v>0</v>
          </cell>
          <cell r="AA877">
            <v>0</v>
          </cell>
          <cell r="AB877">
            <v>0</v>
          </cell>
          <cell r="AC877">
            <v>0</v>
          </cell>
          <cell r="AD877">
            <v>35</v>
          </cell>
          <cell r="AE877">
            <v>501109</v>
          </cell>
          <cell r="AF877">
            <v>0</v>
          </cell>
          <cell r="AI877">
            <v>2373</v>
          </cell>
          <cell r="AK877">
            <v>0</v>
          </cell>
          <cell r="AM877">
            <v>494</v>
          </cell>
          <cell r="AN877">
            <v>1</v>
          </cell>
          <cell r="AO877">
            <v>393216</v>
          </cell>
          <cell r="AQ877">
            <v>0</v>
          </cell>
          <cell r="AR877">
            <v>0</v>
          </cell>
          <cell r="AS877" t="str">
            <v>Ы</v>
          </cell>
          <cell r="AT877" t="str">
            <v>Ы</v>
          </cell>
          <cell r="AU877">
            <v>0</v>
          </cell>
          <cell r="AV877">
            <v>0</v>
          </cell>
          <cell r="AW877">
            <v>23</v>
          </cell>
          <cell r="AX877">
            <v>1</v>
          </cell>
          <cell r="AY877">
            <v>0</v>
          </cell>
          <cell r="AZ877">
            <v>0</v>
          </cell>
          <cell r="BA877">
            <v>0</v>
          </cell>
          <cell r="BB877">
            <v>0</v>
          </cell>
          <cell r="BC877">
            <v>38916</v>
          </cell>
        </row>
        <row r="878">
          <cell r="A878">
            <v>2006</v>
          </cell>
          <cell r="B878">
            <v>6</v>
          </cell>
          <cell r="C878">
            <v>351</v>
          </cell>
          <cell r="D878">
            <v>17</v>
          </cell>
          <cell r="E878">
            <v>792030</v>
          </cell>
          <cell r="F878">
            <v>0</v>
          </cell>
          <cell r="G878" t="str">
            <v>Затраты по ШПЗ (неосновные)</v>
          </cell>
          <cell r="H878">
            <v>2030</v>
          </cell>
          <cell r="I878">
            <v>7920</v>
          </cell>
          <cell r="J878">
            <v>92.74</v>
          </cell>
          <cell r="K878">
            <v>1</v>
          </cell>
          <cell r="L878">
            <v>0</v>
          </cell>
          <cell r="M878">
            <v>0</v>
          </cell>
          <cell r="N878">
            <v>0</v>
          </cell>
          <cell r="R878">
            <v>0</v>
          </cell>
          <cell r="S878">
            <v>0</v>
          </cell>
          <cell r="T878">
            <v>0</v>
          </cell>
          <cell r="U878">
            <v>35</v>
          </cell>
          <cell r="V878">
            <v>0</v>
          </cell>
          <cell r="W878">
            <v>0</v>
          </cell>
          <cell r="AA878">
            <v>0</v>
          </cell>
          <cell r="AB878">
            <v>0</v>
          </cell>
          <cell r="AC878">
            <v>0</v>
          </cell>
          <cell r="AD878">
            <v>35</v>
          </cell>
          <cell r="AE878">
            <v>503000</v>
          </cell>
          <cell r="AF878">
            <v>0</v>
          </cell>
          <cell r="AI878">
            <v>2373</v>
          </cell>
          <cell r="AK878">
            <v>0</v>
          </cell>
          <cell r="AM878">
            <v>495</v>
          </cell>
          <cell r="AN878">
            <v>1</v>
          </cell>
          <cell r="AO878">
            <v>393216</v>
          </cell>
          <cell r="AQ878">
            <v>0</v>
          </cell>
          <cell r="AR878">
            <v>0</v>
          </cell>
          <cell r="AS878" t="str">
            <v>Ы</v>
          </cell>
          <cell r="AT878" t="str">
            <v>Ы</v>
          </cell>
          <cell r="AU878">
            <v>0</v>
          </cell>
          <cell r="AV878">
            <v>0</v>
          </cell>
          <cell r="AW878">
            <v>23</v>
          </cell>
          <cell r="AX878">
            <v>1</v>
          </cell>
          <cell r="AY878">
            <v>0</v>
          </cell>
          <cell r="AZ878">
            <v>0</v>
          </cell>
          <cell r="BA878">
            <v>0</v>
          </cell>
          <cell r="BB878">
            <v>0</v>
          </cell>
          <cell r="BC878">
            <v>38916</v>
          </cell>
        </row>
        <row r="879">
          <cell r="A879">
            <v>2006</v>
          </cell>
          <cell r="B879">
            <v>6</v>
          </cell>
          <cell r="C879">
            <v>352</v>
          </cell>
          <cell r="D879">
            <v>17</v>
          </cell>
          <cell r="E879">
            <v>792030</v>
          </cell>
          <cell r="F879">
            <v>0</v>
          </cell>
          <cell r="G879" t="str">
            <v>Затраты по ШПЗ (неосновные)</v>
          </cell>
          <cell r="H879">
            <v>2030</v>
          </cell>
          <cell r="I879">
            <v>7920</v>
          </cell>
          <cell r="J879">
            <v>1.82</v>
          </cell>
          <cell r="K879">
            <v>1</v>
          </cell>
          <cell r="L879">
            <v>0</v>
          </cell>
          <cell r="M879">
            <v>0</v>
          </cell>
          <cell r="N879">
            <v>0</v>
          </cell>
          <cell r="R879">
            <v>0</v>
          </cell>
          <cell r="S879">
            <v>0</v>
          </cell>
          <cell r="T879">
            <v>0</v>
          </cell>
          <cell r="U879">
            <v>35</v>
          </cell>
          <cell r="V879">
            <v>0</v>
          </cell>
          <cell r="W879">
            <v>0</v>
          </cell>
          <cell r="AA879">
            <v>0</v>
          </cell>
          <cell r="AB879">
            <v>0</v>
          </cell>
          <cell r="AC879">
            <v>0</v>
          </cell>
          <cell r="AD879">
            <v>35</v>
          </cell>
          <cell r="AE879">
            <v>504100</v>
          </cell>
          <cell r="AF879">
            <v>0</v>
          </cell>
          <cell r="AI879">
            <v>2373</v>
          </cell>
          <cell r="AK879">
            <v>0</v>
          </cell>
          <cell r="AM879">
            <v>496</v>
          </cell>
          <cell r="AN879">
            <v>1</v>
          </cell>
          <cell r="AO879">
            <v>393216</v>
          </cell>
          <cell r="AQ879">
            <v>0</v>
          </cell>
          <cell r="AR879">
            <v>0</v>
          </cell>
          <cell r="AS879" t="str">
            <v>Ы</v>
          </cell>
          <cell r="AT879" t="str">
            <v>Ы</v>
          </cell>
          <cell r="AU879">
            <v>0</v>
          </cell>
          <cell r="AV879">
            <v>0</v>
          </cell>
          <cell r="AW879">
            <v>23</v>
          </cell>
          <cell r="AX879">
            <v>1</v>
          </cell>
          <cell r="AY879">
            <v>0</v>
          </cell>
          <cell r="AZ879">
            <v>0</v>
          </cell>
          <cell r="BA879">
            <v>0</v>
          </cell>
          <cell r="BB879">
            <v>0</v>
          </cell>
          <cell r="BC879">
            <v>38916</v>
          </cell>
        </row>
        <row r="880">
          <cell r="A880">
            <v>2006</v>
          </cell>
          <cell r="B880">
            <v>6</v>
          </cell>
          <cell r="C880">
            <v>353</v>
          </cell>
          <cell r="D880">
            <v>17</v>
          </cell>
          <cell r="E880">
            <v>792030</v>
          </cell>
          <cell r="F880">
            <v>0</v>
          </cell>
          <cell r="G880" t="str">
            <v>Затраты по ШПЗ (неосновные)</v>
          </cell>
          <cell r="H880">
            <v>2030</v>
          </cell>
          <cell r="I880">
            <v>7920</v>
          </cell>
          <cell r="J880">
            <v>10.52</v>
          </cell>
          <cell r="K880">
            <v>1</v>
          </cell>
          <cell r="L880">
            <v>0</v>
          </cell>
          <cell r="M880">
            <v>0</v>
          </cell>
          <cell r="N880">
            <v>0</v>
          </cell>
          <cell r="R880">
            <v>0</v>
          </cell>
          <cell r="S880">
            <v>0</v>
          </cell>
          <cell r="T880">
            <v>0</v>
          </cell>
          <cell r="U880">
            <v>35</v>
          </cell>
          <cell r="V880">
            <v>0</v>
          </cell>
          <cell r="W880">
            <v>0</v>
          </cell>
          <cell r="AA880">
            <v>0</v>
          </cell>
          <cell r="AB880">
            <v>0</v>
          </cell>
          <cell r="AC880">
            <v>0</v>
          </cell>
          <cell r="AD880">
            <v>35</v>
          </cell>
          <cell r="AE880">
            <v>504200</v>
          </cell>
          <cell r="AF880">
            <v>0</v>
          </cell>
          <cell r="AI880">
            <v>2373</v>
          </cell>
          <cell r="AK880">
            <v>0</v>
          </cell>
          <cell r="AM880">
            <v>497</v>
          </cell>
          <cell r="AN880">
            <v>1</v>
          </cell>
          <cell r="AO880">
            <v>393216</v>
          </cell>
          <cell r="AQ880">
            <v>0</v>
          </cell>
          <cell r="AR880">
            <v>0</v>
          </cell>
          <cell r="AS880" t="str">
            <v>Ы</v>
          </cell>
          <cell r="AT880" t="str">
            <v>Ы</v>
          </cell>
          <cell r="AU880">
            <v>0</v>
          </cell>
          <cell r="AV880">
            <v>0</v>
          </cell>
          <cell r="AW880">
            <v>23</v>
          </cell>
          <cell r="AX880">
            <v>1</v>
          </cell>
          <cell r="AY880">
            <v>0</v>
          </cell>
          <cell r="AZ880">
            <v>0</v>
          </cell>
          <cell r="BA880">
            <v>0</v>
          </cell>
          <cell r="BB880">
            <v>0</v>
          </cell>
          <cell r="BC880">
            <v>38916</v>
          </cell>
        </row>
        <row r="881">
          <cell r="A881">
            <v>2006</v>
          </cell>
          <cell r="B881">
            <v>6</v>
          </cell>
          <cell r="C881">
            <v>354</v>
          </cell>
          <cell r="D881">
            <v>17</v>
          </cell>
          <cell r="E881">
            <v>792030</v>
          </cell>
          <cell r="F881">
            <v>0</v>
          </cell>
          <cell r="G881" t="str">
            <v>Затраты по ШПЗ (неосновные)</v>
          </cell>
          <cell r="H881">
            <v>2030</v>
          </cell>
          <cell r="I881">
            <v>7920</v>
          </cell>
          <cell r="J881">
            <v>4.0999999999999996</v>
          </cell>
          <cell r="K881">
            <v>1</v>
          </cell>
          <cell r="L881">
            <v>0</v>
          </cell>
          <cell r="M881">
            <v>0</v>
          </cell>
          <cell r="N881">
            <v>0</v>
          </cell>
          <cell r="R881">
            <v>0</v>
          </cell>
          <cell r="S881">
            <v>0</v>
          </cell>
          <cell r="T881">
            <v>0</v>
          </cell>
          <cell r="U881">
            <v>35</v>
          </cell>
          <cell r="V881">
            <v>0</v>
          </cell>
          <cell r="W881">
            <v>0</v>
          </cell>
          <cell r="AA881">
            <v>0</v>
          </cell>
          <cell r="AB881">
            <v>0</v>
          </cell>
          <cell r="AC881">
            <v>0</v>
          </cell>
          <cell r="AD881">
            <v>35</v>
          </cell>
          <cell r="AE881">
            <v>504400</v>
          </cell>
          <cell r="AF881">
            <v>0</v>
          </cell>
          <cell r="AI881">
            <v>2373</v>
          </cell>
          <cell r="AK881">
            <v>0</v>
          </cell>
          <cell r="AM881">
            <v>498</v>
          </cell>
          <cell r="AN881">
            <v>1</v>
          </cell>
          <cell r="AO881">
            <v>393216</v>
          </cell>
          <cell r="AQ881">
            <v>0</v>
          </cell>
          <cell r="AR881">
            <v>0</v>
          </cell>
          <cell r="AS881" t="str">
            <v>Ы</v>
          </cell>
          <cell r="AT881" t="str">
            <v>Ы</v>
          </cell>
          <cell r="AU881">
            <v>0</v>
          </cell>
          <cell r="AV881">
            <v>0</v>
          </cell>
          <cell r="AW881">
            <v>23</v>
          </cell>
          <cell r="AX881">
            <v>1</v>
          </cell>
          <cell r="AY881">
            <v>0</v>
          </cell>
          <cell r="AZ881">
            <v>0</v>
          </cell>
          <cell r="BA881">
            <v>0</v>
          </cell>
          <cell r="BB881">
            <v>0</v>
          </cell>
          <cell r="BC881">
            <v>38916</v>
          </cell>
        </row>
        <row r="882">
          <cell r="A882">
            <v>2006</v>
          </cell>
          <cell r="B882">
            <v>6</v>
          </cell>
          <cell r="C882">
            <v>355</v>
          </cell>
          <cell r="D882">
            <v>17</v>
          </cell>
          <cell r="E882">
            <v>792030</v>
          </cell>
          <cell r="F882">
            <v>0</v>
          </cell>
          <cell r="G882" t="str">
            <v>Затраты по ШПЗ (неосновные)</v>
          </cell>
          <cell r="H882">
            <v>2030</v>
          </cell>
          <cell r="I882">
            <v>7920</v>
          </cell>
          <cell r="J882">
            <v>92.94</v>
          </cell>
          <cell r="K882">
            <v>1</v>
          </cell>
          <cell r="L882">
            <v>0</v>
          </cell>
          <cell r="M882">
            <v>0</v>
          </cell>
          <cell r="N882">
            <v>0</v>
          </cell>
          <cell r="R882">
            <v>0</v>
          </cell>
          <cell r="S882">
            <v>0</v>
          </cell>
          <cell r="T882">
            <v>0</v>
          </cell>
          <cell r="U882">
            <v>35</v>
          </cell>
          <cell r="V882">
            <v>0</v>
          </cell>
          <cell r="W882">
            <v>0</v>
          </cell>
          <cell r="AA882">
            <v>0</v>
          </cell>
          <cell r="AB882">
            <v>0</v>
          </cell>
          <cell r="AC882">
            <v>0</v>
          </cell>
          <cell r="AD882">
            <v>35</v>
          </cell>
          <cell r="AE882">
            <v>505100</v>
          </cell>
          <cell r="AF882">
            <v>0</v>
          </cell>
          <cell r="AI882">
            <v>2373</v>
          </cell>
          <cell r="AK882">
            <v>0</v>
          </cell>
          <cell r="AM882">
            <v>499</v>
          </cell>
          <cell r="AN882">
            <v>1</v>
          </cell>
          <cell r="AO882">
            <v>393216</v>
          </cell>
          <cell r="AQ882">
            <v>0</v>
          </cell>
          <cell r="AR882">
            <v>0</v>
          </cell>
          <cell r="AS882" t="str">
            <v>Ы</v>
          </cell>
          <cell r="AT882" t="str">
            <v>Ы</v>
          </cell>
          <cell r="AU882">
            <v>0</v>
          </cell>
          <cell r="AV882">
            <v>0</v>
          </cell>
          <cell r="AW882">
            <v>23</v>
          </cell>
          <cell r="AX882">
            <v>1</v>
          </cell>
          <cell r="AY882">
            <v>0</v>
          </cell>
          <cell r="AZ882">
            <v>0</v>
          </cell>
          <cell r="BA882">
            <v>0</v>
          </cell>
          <cell r="BB882">
            <v>0</v>
          </cell>
          <cell r="BC882">
            <v>38916</v>
          </cell>
        </row>
        <row r="883">
          <cell r="A883">
            <v>2006</v>
          </cell>
          <cell r="B883">
            <v>6</v>
          </cell>
          <cell r="C883">
            <v>356</v>
          </cell>
          <cell r="D883">
            <v>17</v>
          </cell>
          <cell r="E883">
            <v>792030</v>
          </cell>
          <cell r="F883">
            <v>0</v>
          </cell>
          <cell r="G883" t="str">
            <v>Затраты по ШПЗ (неосновные)</v>
          </cell>
          <cell r="H883">
            <v>2030</v>
          </cell>
          <cell r="I883">
            <v>7920</v>
          </cell>
          <cell r="J883">
            <v>0.56000000000000005</v>
          </cell>
          <cell r="K883">
            <v>1</v>
          </cell>
          <cell r="L883">
            <v>0</v>
          </cell>
          <cell r="M883">
            <v>0</v>
          </cell>
          <cell r="N883">
            <v>0</v>
          </cell>
          <cell r="R883">
            <v>0</v>
          </cell>
          <cell r="S883">
            <v>0</v>
          </cell>
          <cell r="T883">
            <v>0</v>
          </cell>
          <cell r="U883">
            <v>35</v>
          </cell>
          <cell r="V883">
            <v>0</v>
          </cell>
          <cell r="W883">
            <v>0</v>
          </cell>
          <cell r="AA883">
            <v>0</v>
          </cell>
          <cell r="AB883">
            <v>0</v>
          </cell>
          <cell r="AC883">
            <v>0</v>
          </cell>
          <cell r="AD883">
            <v>35</v>
          </cell>
          <cell r="AE883">
            <v>505200</v>
          </cell>
          <cell r="AF883">
            <v>0</v>
          </cell>
          <cell r="AI883">
            <v>2373</v>
          </cell>
          <cell r="AK883">
            <v>0</v>
          </cell>
          <cell r="AM883">
            <v>500</v>
          </cell>
          <cell r="AN883">
            <v>1</v>
          </cell>
          <cell r="AO883">
            <v>393216</v>
          </cell>
          <cell r="AQ883">
            <v>0</v>
          </cell>
          <cell r="AR883">
            <v>0</v>
          </cell>
          <cell r="AS883" t="str">
            <v>Ы</v>
          </cell>
          <cell r="AT883" t="str">
            <v>Ы</v>
          </cell>
          <cell r="AU883">
            <v>0</v>
          </cell>
          <cell r="AV883">
            <v>0</v>
          </cell>
          <cell r="AW883">
            <v>23</v>
          </cell>
          <cell r="AX883">
            <v>1</v>
          </cell>
          <cell r="AY883">
            <v>0</v>
          </cell>
          <cell r="AZ883">
            <v>0</v>
          </cell>
          <cell r="BA883">
            <v>0</v>
          </cell>
          <cell r="BB883">
            <v>0</v>
          </cell>
          <cell r="BC883">
            <v>38916</v>
          </cell>
        </row>
        <row r="884">
          <cell r="A884">
            <v>2006</v>
          </cell>
          <cell r="B884">
            <v>6</v>
          </cell>
          <cell r="C884">
            <v>357</v>
          </cell>
          <cell r="D884">
            <v>17</v>
          </cell>
          <cell r="E884">
            <v>792030</v>
          </cell>
          <cell r="F884">
            <v>0</v>
          </cell>
          <cell r="G884" t="str">
            <v>Затраты по ШПЗ (неосновные)</v>
          </cell>
          <cell r="H884">
            <v>2030</v>
          </cell>
          <cell r="I884">
            <v>7920</v>
          </cell>
          <cell r="J884">
            <v>275.08</v>
          </cell>
          <cell r="K884">
            <v>1</v>
          </cell>
          <cell r="L884">
            <v>0</v>
          </cell>
          <cell r="M884">
            <v>0</v>
          </cell>
          <cell r="N884">
            <v>0</v>
          </cell>
          <cell r="R884">
            <v>0</v>
          </cell>
          <cell r="S884">
            <v>0</v>
          </cell>
          <cell r="T884">
            <v>0</v>
          </cell>
          <cell r="U884">
            <v>35</v>
          </cell>
          <cell r="V884">
            <v>0</v>
          </cell>
          <cell r="W884">
            <v>0</v>
          </cell>
          <cell r="AA884">
            <v>0</v>
          </cell>
          <cell r="AB884">
            <v>0</v>
          </cell>
          <cell r="AC884">
            <v>0</v>
          </cell>
          <cell r="AD884">
            <v>35</v>
          </cell>
          <cell r="AE884">
            <v>506200</v>
          </cell>
          <cell r="AF884">
            <v>0</v>
          </cell>
          <cell r="AI884">
            <v>2373</v>
          </cell>
          <cell r="AK884">
            <v>0</v>
          </cell>
          <cell r="AM884">
            <v>501</v>
          </cell>
          <cell r="AN884">
            <v>1</v>
          </cell>
          <cell r="AO884">
            <v>393216</v>
          </cell>
          <cell r="AQ884">
            <v>0</v>
          </cell>
          <cell r="AR884">
            <v>0</v>
          </cell>
          <cell r="AS884" t="str">
            <v>Ы</v>
          </cell>
          <cell r="AT884" t="str">
            <v>Ы</v>
          </cell>
          <cell r="AU884">
            <v>0</v>
          </cell>
          <cell r="AV884">
            <v>0</v>
          </cell>
          <cell r="AW884">
            <v>23</v>
          </cell>
          <cell r="AX884">
            <v>1</v>
          </cell>
          <cell r="AY884">
            <v>0</v>
          </cell>
          <cell r="AZ884">
            <v>0</v>
          </cell>
          <cell r="BA884">
            <v>0</v>
          </cell>
          <cell r="BB884">
            <v>0</v>
          </cell>
          <cell r="BC884">
            <v>38916</v>
          </cell>
        </row>
        <row r="885">
          <cell r="A885">
            <v>2006</v>
          </cell>
          <cell r="B885">
            <v>6</v>
          </cell>
          <cell r="C885">
            <v>358</v>
          </cell>
          <cell r="D885">
            <v>17</v>
          </cell>
          <cell r="E885">
            <v>792030</v>
          </cell>
          <cell r="F885">
            <v>0</v>
          </cell>
          <cell r="G885" t="str">
            <v>Затраты по ШПЗ (неосновные)</v>
          </cell>
          <cell r="H885">
            <v>2030</v>
          </cell>
          <cell r="I885">
            <v>7920</v>
          </cell>
          <cell r="J885">
            <v>0.32</v>
          </cell>
          <cell r="K885">
            <v>1</v>
          </cell>
          <cell r="L885">
            <v>0</v>
          </cell>
          <cell r="M885">
            <v>0</v>
          </cell>
          <cell r="N885">
            <v>0</v>
          </cell>
          <cell r="R885">
            <v>0</v>
          </cell>
          <cell r="S885">
            <v>0</v>
          </cell>
          <cell r="T885">
            <v>0</v>
          </cell>
          <cell r="U885">
            <v>35</v>
          </cell>
          <cell r="V885">
            <v>0</v>
          </cell>
          <cell r="W885">
            <v>0</v>
          </cell>
          <cell r="AA885">
            <v>0</v>
          </cell>
          <cell r="AB885">
            <v>0</v>
          </cell>
          <cell r="AC885">
            <v>0</v>
          </cell>
          <cell r="AD885">
            <v>35</v>
          </cell>
          <cell r="AE885">
            <v>508700</v>
          </cell>
          <cell r="AF885">
            <v>0</v>
          </cell>
          <cell r="AI885">
            <v>2373</v>
          </cell>
          <cell r="AK885">
            <v>0</v>
          </cell>
          <cell r="AM885">
            <v>502</v>
          </cell>
          <cell r="AN885">
            <v>1</v>
          </cell>
          <cell r="AO885">
            <v>393216</v>
          </cell>
          <cell r="AQ885">
            <v>0</v>
          </cell>
          <cell r="AR885">
            <v>0</v>
          </cell>
          <cell r="AS885" t="str">
            <v>Ы</v>
          </cell>
          <cell r="AT885" t="str">
            <v>Ы</v>
          </cell>
          <cell r="AU885">
            <v>0</v>
          </cell>
          <cell r="AV885">
            <v>0</v>
          </cell>
          <cell r="AW885">
            <v>23</v>
          </cell>
          <cell r="AX885">
            <v>1</v>
          </cell>
          <cell r="AY885">
            <v>0</v>
          </cell>
          <cell r="AZ885">
            <v>0</v>
          </cell>
          <cell r="BA885">
            <v>0</v>
          </cell>
          <cell r="BB885">
            <v>0</v>
          </cell>
          <cell r="BC885">
            <v>38916</v>
          </cell>
        </row>
        <row r="886">
          <cell r="A886">
            <v>2006</v>
          </cell>
          <cell r="B886">
            <v>6</v>
          </cell>
          <cell r="C886">
            <v>359</v>
          </cell>
          <cell r="D886">
            <v>17</v>
          </cell>
          <cell r="E886">
            <v>792030</v>
          </cell>
          <cell r="F886">
            <v>0</v>
          </cell>
          <cell r="G886" t="str">
            <v>Затраты по ШПЗ (неосновные)</v>
          </cell>
          <cell r="H886">
            <v>2030</v>
          </cell>
          <cell r="I886">
            <v>7920</v>
          </cell>
          <cell r="J886">
            <v>347.56</v>
          </cell>
          <cell r="K886">
            <v>1</v>
          </cell>
          <cell r="L886">
            <v>0</v>
          </cell>
          <cell r="M886">
            <v>0</v>
          </cell>
          <cell r="N886">
            <v>0</v>
          </cell>
          <cell r="R886">
            <v>0</v>
          </cell>
          <cell r="S886">
            <v>0</v>
          </cell>
          <cell r="T886">
            <v>0</v>
          </cell>
          <cell r="U886">
            <v>35</v>
          </cell>
          <cell r="V886">
            <v>0</v>
          </cell>
          <cell r="W886">
            <v>0</v>
          </cell>
          <cell r="AA886">
            <v>0</v>
          </cell>
          <cell r="AB886">
            <v>0</v>
          </cell>
          <cell r="AC886">
            <v>0</v>
          </cell>
          <cell r="AD886">
            <v>35</v>
          </cell>
          <cell r="AE886">
            <v>510100</v>
          </cell>
          <cell r="AF886">
            <v>0</v>
          </cell>
          <cell r="AI886">
            <v>2373</v>
          </cell>
          <cell r="AK886">
            <v>0</v>
          </cell>
          <cell r="AM886">
            <v>503</v>
          </cell>
          <cell r="AN886">
            <v>1</v>
          </cell>
          <cell r="AO886">
            <v>393216</v>
          </cell>
          <cell r="AQ886">
            <v>0</v>
          </cell>
          <cell r="AR886">
            <v>0</v>
          </cell>
          <cell r="AS886" t="str">
            <v>Ы</v>
          </cell>
          <cell r="AT886" t="str">
            <v>Ы</v>
          </cell>
          <cell r="AU886">
            <v>0</v>
          </cell>
          <cell r="AV886">
            <v>0</v>
          </cell>
          <cell r="AW886">
            <v>23</v>
          </cell>
          <cell r="AX886">
            <v>1</v>
          </cell>
          <cell r="AY886">
            <v>0</v>
          </cell>
          <cell r="AZ886">
            <v>0</v>
          </cell>
          <cell r="BA886">
            <v>0</v>
          </cell>
          <cell r="BB886">
            <v>0</v>
          </cell>
          <cell r="BC886">
            <v>38916</v>
          </cell>
        </row>
        <row r="887">
          <cell r="A887">
            <v>2006</v>
          </cell>
          <cell r="B887">
            <v>6</v>
          </cell>
          <cell r="C887">
            <v>360</v>
          </cell>
          <cell r="D887">
            <v>17</v>
          </cell>
          <cell r="E887">
            <v>792030</v>
          </cell>
          <cell r="F887">
            <v>0</v>
          </cell>
          <cell r="G887" t="str">
            <v>Затраты по ШПЗ (неосновные)</v>
          </cell>
          <cell r="H887">
            <v>2030</v>
          </cell>
          <cell r="I887">
            <v>7920</v>
          </cell>
          <cell r="J887">
            <v>1.97</v>
          </cell>
          <cell r="K887">
            <v>1</v>
          </cell>
          <cell r="L887">
            <v>0</v>
          </cell>
          <cell r="M887">
            <v>0</v>
          </cell>
          <cell r="N887">
            <v>0</v>
          </cell>
          <cell r="R887">
            <v>0</v>
          </cell>
          <cell r="S887">
            <v>0</v>
          </cell>
          <cell r="T887">
            <v>0</v>
          </cell>
          <cell r="U887">
            <v>35</v>
          </cell>
          <cell r="V887">
            <v>0</v>
          </cell>
          <cell r="W887">
            <v>0</v>
          </cell>
          <cell r="AA887">
            <v>0</v>
          </cell>
          <cell r="AB887">
            <v>0</v>
          </cell>
          <cell r="AC887">
            <v>0</v>
          </cell>
          <cell r="AD887">
            <v>35</v>
          </cell>
          <cell r="AE887">
            <v>510200</v>
          </cell>
          <cell r="AF887">
            <v>0</v>
          </cell>
          <cell r="AI887">
            <v>2373</v>
          </cell>
          <cell r="AK887">
            <v>0</v>
          </cell>
          <cell r="AM887">
            <v>504</v>
          </cell>
          <cell r="AN887">
            <v>1</v>
          </cell>
          <cell r="AO887">
            <v>393216</v>
          </cell>
          <cell r="AQ887">
            <v>0</v>
          </cell>
          <cell r="AR887">
            <v>0</v>
          </cell>
          <cell r="AS887" t="str">
            <v>Ы</v>
          </cell>
          <cell r="AT887" t="str">
            <v>Ы</v>
          </cell>
          <cell r="AU887">
            <v>0</v>
          </cell>
          <cell r="AV887">
            <v>0</v>
          </cell>
          <cell r="AW887">
            <v>23</v>
          </cell>
          <cell r="AX887">
            <v>1</v>
          </cell>
          <cell r="AY887">
            <v>0</v>
          </cell>
          <cell r="AZ887">
            <v>0</v>
          </cell>
          <cell r="BA887">
            <v>0</v>
          </cell>
          <cell r="BB887">
            <v>0</v>
          </cell>
          <cell r="BC887">
            <v>38916</v>
          </cell>
        </row>
        <row r="888">
          <cell r="A888">
            <v>2006</v>
          </cell>
          <cell r="B888">
            <v>6</v>
          </cell>
          <cell r="C888">
            <v>361</v>
          </cell>
          <cell r="D888">
            <v>17</v>
          </cell>
          <cell r="E888">
            <v>792030</v>
          </cell>
          <cell r="F888">
            <v>0</v>
          </cell>
          <cell r="G888" t="str">
            <v>Затраты по ШПЗ (неосновные)</v>
          </cell>
          <cell r="H888">
            <v>2030</v>
          </cell>
          <cell r="I888">
            <v>7920</v>
          </cell>
          <cell r="J888">
            <v>2.39</v>
          </cell>
          <cell r="K888">
            <v>1</v>
          </cell>
          <cell r="L888">
            <v>0</v>
          </cell>
          <cell r="M888">
            <v>0</v>
          </cell>
          <cell r="N888">
            <v>0</v>
          </cell>
          <cell r="R888">
            <v>0</v>
          </cell>
          <cell r="S888">
            <v>0</v>
          </cell>
          <cell r="T888">
            <v>0</v>
          </cell>
          <cell r="U888">
            <v>35</v>
          </cell>
          <cell r="V888">
            <v>0</v>
          </cell>
          <cell r="W888">
            <v>0</v>
          </cell>
          <cell r="AA888">
            <v>0</v>
          </cell>
          <cell r="AB888">
            <v>0</v>
          </cell>
          <cell r="AC888">
            <v>0</v>
          </cell>
          <cell r="AD888">
            <v>35</v>
          </cell>
          <cell r="AE888">
            <v>510300</v>
          </cell>
          <cell r="AF888">
            <v>0</v>
          </cell>
          <cell r="AI888">
            <v>2373</v>
          </cell>
          <cell r="AK888">
            <v>0</v>
          </cell>
          <cell r="AM888">
            <v>505</v>
          </cell>
          <cell r="AN888">
            <v>1</v>
          </cell>
          <cell r="AO888">
            <v>393216</v>
          </cell>
          <cell r="AQ888">
            <v>0</v>
          </cell>
          <cell r="AR888">
            <v>0</v>
          </cell>
          <cell r="AS888" t="str">
            <v>Ы</v>
          </cell>
          <cell r="AT888" t="str">
            <v>Ы</v>
          </cell>
          <cell r="AU888">
            <v>0</v>
          </cell>
          <cell r="AV888">
            <v>0</v>
          </cell>
          <cell r="AW888">
            <v>23</v>
          </cell>
          <cell r="AX888">
            <v>1</v>
          </cell>
          <cell r="AY888">
            <v>0</v>
          </cell>
          <cell r="AZ888">
            <v>0</v>
          </cell>
          <cell r="BA888">
            <v>0</v>
          </cell>
          <cell r="BB888">
            <v>0</v>
          </cell>
          <cell r="BC888">
            <v>38916</v>
          </cell>
        </row>
        <row r="889">
          <cell r="A889">
            <v>2006</v>
          </cell>
          <cell r="B889">
            <v>6</v>
          </cell>
          <cell r="C889">
            <v>362</v>
          </cell>
          <cell r="D889">
            <v>17</v>
          </cell>
          <cell r="E889">
            <v>792030</v>
          </cell>
          <cell r="F889">
            <v>0</v>
          </cell>
          <cell r="G889" t="str">
            <v>Затраты по ШПЗ (неосновные)</v>
          </cell>
          <cell r="H889">
            <v>2030</v>
          </cell>
          <cell r="I889">
            <v>7920</v>
          </cell>
          <cell r="J889">
            <v>15.69</v>
          </cell>
          <cell r="K889">
            <v>1</v>
          </cell>
          <cell r="L889">
            <v>0</v>
          </cell>
          <cell r="M889">
            <v>0</v>
          </cell>
          <cell r="N889">
            <v>0</v>
          </cell>
          <cell r="R889">
            <v>0</v>
          </cell>
          <cell r="S889">
            <v>0</v>
          </cell>
          <cell r="T889">
            <v>0</v>
          </cell>
          <cell r="U889">
            <v>35</v>
          </cell>
          <cell r="V889">
            <v>0</v>
          </cell>
          <cell r="W889">
            <v>0</v>
          </cell>
          <cell r="AA889">
            <v>0</v>
          </cell>
          <cell r="AB889">
            <v>0</v>
          </cell>
          <cell r="AC889">
            <v>0</v>
          </cell>
          <cell r="AD889">
            <v>35</v>
          </cell>
          <cell r="AE889">
            <v>510400</v>
          </cell>
          <cell r="AF889">
            <v>0</v>
          </cell>
          <cell r="AI889">
            <v>2373</v>
          </cell>
          <cell r="AK889">
            <v>0</v>
          </cell>
          <cell r="AM889">
            <v>506</v>
          </cell>
          <cell r="AN889">
            <v>1</v>
          </cell>
          <cell r="AO889">
            <v>393216</v>
          </cell>
          <cell r="AQ889">
            <v>0</v>
          </cell>
          <cell r="AR889">
            <v>0</v>
          </cell>
          <cell r="AS889" t="str">
            <v>Ы</v>
          </cell>
          <cell r="AT889" t="str">
            <v>Ы</v>
          </cell>
          <cell r="AU889">
            <v>0</v>
          </cell>
          <cell r="AV889">
            <v>0</v>
          </cell>
          <cell r="AW889">
            <v>23</v>
          </cell>
          <cell r="AX889">
            <v>1</v>
          </cell>
          <cell r="AY889">
            <v>0</v>
          </cell>
          <cell r="AZ889">
            <v>0</v>
          </cell>
          <cell r="BA889">
            <v>0</v>
          </cell>
          <cell r="BB889">
            <v>0</v>
          </cell>
          <cell r="BC889">
            <v>38916</v>
          </cell>
        </row>
        <row r="890">
          <cell r="A890">
            <v>2006</v>
          </cell>
          <cell r="B890">
            <v>6</v>
          </cell>
          <cell r="C890">
            <v>363</v>
          </cell>
          <cell r="D890">
            <v>17</v>
          </cell>
          <cell r="E890">
            <v>792030</v>
          </cell>
          <cell r="F890">
            <v>0</v>
          </cell>
          <cell r="G890" t="str">
            <v>Затраты по ШПЗ (неосновные)</v>
          </cell>
          <cell r="H890">
            <v>2030</v>
          </cell>
          <cell r="I890">
            <v>7920</v>
          </cell>
          <cell r="J890">
            <v>946.69</v>
          </cell>
          <cell r="K890">
            <v>1</v>
          </cell>
          <cell r="L890">
            <v>0</v>
          </cell>
          <cell r="M890">
            <v>0</v>
          </cell>
          <cell r="N890">
            <v>0</v>
          </cell>
          <cell r="R890">
            <v>0</v>
          </cell>
          <cell r="S890">
            <v>0</v>
          </cell>
          <cell r="T890">
            <v>0</v>
          </cell>
          <cell r="U890">
            <v>35</v>
          </cell>
          <cell r="V890">
            <v>0</v>
          </cell>
          <cell r="W890">
            <v>0</v>
          </cell>
          <cell r="AA890">
            <v>0</v>
          </cell>
          <cell r="AB890">
            <v>0</v>
          </cell>
          <cell r="AC890">
            <v>0</v>
          </cell>
          <cell r="AD890">
            <v>35</v>
          </cell>
          <cell r="AE890">
            <v>510600</v>
          </cell>
          <cell r="AF890">
            <v>0</v>
          </cell>
          <cell r="AI890">
            <v>2373</v>
          </cell>
          <cell r="AK890">
            <v>0</v>
          </cell>
          <cell r="AM890">
            <v>507</v>
          </cell>
          <cell r="AN890">
            <v>1</v>
          </cell>
          <cell r="AO890">
            <v>393216</v>
          </cell>
          <cell r="AQ890">
            <v>0</v>
          </cell>
          <cell r="AR890">
            <v>0</v>
          </cell>
          <cell r="AS890" t="str">
            <v>Ы</v>
          </cell>
          <cell r="AT890" t="str">
            <v>Ы</v>
          </cell>
          <cell r="AU890">
            <v>0</v>
          </cell>
          <cell r="AV890">
            <v>0</v>
          </cell>
          <cell r="AW890">
            <v>23</v>
          </cell>
          <cell r="AX890">
            <v>1</v>
          </cell>
          <cell r="AY890">
            <v>0</v>
          </cell>
          <cell r="AZ890">
            <v>0</v>
          </cell>
          <cell r="BA890">
            <v>0</v>
          </cell>
          <cell r="BB890">
            <v>0</v>
          </cell>
          <cell r="BC890">
            <v>38916</v>
          </cell>
        </row>
        <row r="891">
          <cell r="A891">
            <v>2006</v>
          </cell>
          <cell r="B891">
            <v>6</v>
          </cell>
          <cell r="C891">
            <v>364</v>
          </cell>
          <cell r="D891">
            <v>17</v>
          </cell>
          <cell r="E891">
            <v>792030</v>
          </cell>
          <cell r="F891">
            <v>0</v>
          </cell>
          <cell r="G891" t="str">
            <v>Затраты по ШПЗ (неосновные)</v>
          </cell>
          <cell r="H891">
            <v>2030</v>
          </cell>
          <cell r="I891">
            <v>7920</v>
          </cell>
          <cell r="J891">
            <v>7.0000000000000007E-2</v>
          </cell>
          <cell r="K891">
            <v>1</v>
          </cell>
          <cell r="L891">
            <v>0</v>
          </cell>
          <cell r="M891">
            <v>0</v>
          </cell>
          <cell r="N891">
            <v>0</v>
          </cell>
          <cell r="R891">
            <v>0</v>
          </cell>
          <cell r="S891">
            <v>0</v>
          </cell>
          <cell r="T891">
            <v>0</v>
          </cell>
          <cell r="U891">
            <v>35</v>
          </cell>
          <cell r="V891">
            <v>0</v>
          </cell>
          <cell r="W891">
            <v>0</v>
          </cell>
          <cell r="AA891">
            <v>0</v>
          </cell>
          <cell r="AB891">
            <v>0</v>
          </cell>
          <cell r="AC891">
            <v>0</v>
          </cell>
          <cell r="AD891">
            <v>35</v>
          </cell>
          <cell r="AE891">
            <v>512000</v>
          </cell>
          <cell r="AF891">
            <v>0</v>
          </cell>
          <cell r="AI891">
            <v>2373</v>
          </cell>
          <cell r="AK891">
            <v>0</v>
          </cell>
          <cell r="AM891">
            <v>508</v>
          </cell>
          <cell r="AN891">
            <v>1</v>
          </cell>
          <cell r="AO891">
            <v>393216</v>
          </cell>
          <cell r="AQ891">
            <v>0</v>
          </cell>
          <cell r="AR891">
            <v>0</v>
          </cell>
          <cell r="AS891" t="str">
            <v>Ы</v>
          </cell>
          <cell r="AT891" t="str">
            <v>Ы</v>
          </cell>
          <cell r="AU891">
            <v>0</v>
          </cell>
          <cell r="AV891">
            <v>0</v>
          </cell>
          <cell r="AW891">
            <v>23</v>
          </cell>
          <cell r="AX891">
            <v>1</v>
          </cell>
          <cell r="AY891">
            <v>0</v>
          </cell>
          <cell r="AZ891">
            <v>0</v>
          </cell>
          <cell r="BA891">
            <v>0</v>
          </cell>
          <cell r="BB891">
            <v>0</v>
          </cell>
          <cell r="BC891">
            <v>38916</v>
          </cell>
        </row>
        <row r="892">
          <cell r="A892">
            <v>2006</v>
          </cell>
          <cell r="B892">
            <v>6</v>
          </cell>
          <cell r="C892">
            <v>365</v>
          </cell>
          <cell r="D892">
            <v>17</v>
          </cell>
          <cell r="E892">
            <v>792030</v>
          </cell>
          <cell r="F892">
            <v>0</v>
          </cell>
          <cell r="G892" t="str">
            <v>Затраты по ШПЗ (неосновные)</v>
          </cell>
          <cell r="H892">
            <v>2030</v>
          </cell>
          <cell r="I892">
            <v>7920</v>
          </cell>
          <cell r="J892">
            <v>50.5</v>
          </cell>
          <cell r="K892">
            <v>1</v>
          </cell>
          <cell r="L892">
            <v>0</v>
          </cell>
          <cell r="M892">
            <v>0</v>
          </cell>
          <cell r="N892">
            <v>0</v>
          </cell>
          <cell r="R892">
            <v>0</v>
          </cell>
          <cell r="S892">
            <v>0</v>
          </cell>
          <cell r="T892">
            <v>0</v>
          </cell>
          <cell r="U892">
            <v>35</v>
          </cell>
          <cell r="V892">
            <v>0</v>
          </cell>
          <cell r="W892">
            <v>0</v>
          </cell>
          <cell r="AA892">
            <v>0</v>
          </cell>
          <cell r="AB892">
            <v>0</v>
          </cell>
          <cell r="AC892">
            <v>0</v>
          </cell>
          <cell r="AD892">
            <v>35</v>
          </cell>
          <cell r="AE892">
            <v>530000</v>
          </cell>
          <cell r="AF892">
            <v>0</v>
          </cell>
          <cell r="AI892">
            <v>2373</v>
          </cell>
          <cell r="AK892">
            <v>0</v>
          </cell>
          <cell r="AM892">
            <v>509</v>
          </cell>
          <cell r="AN892">
            <v>1</v>
          </cell>
          <cell r="AO892">
            <v>393216</v>
          </cell>
          <cell r="AQ892">
            <v>0</v>
          </cell>
          <cell r="AR892">
            <v>0</v>
          </cell>
          <cell r="AS892" t="str">
            <v>Ы</v>
          </cell>
          <cell r="AT892" t="str">
            <v>Ы</v>
          </cell>
          <cell r="AU892">
            <v>0</v>
          </cell>
          <cell r="AV892">
            <v>0</v>
          </cell>
          <cell r="AW892">
            <v>23</v>
          </cell>
          <cell r="AX892">
            <v>1</v>
          </cell>
          <cell r="AY892">
            <v>0</v>
          </cell>
          <cell r="AZ892">
            <v>0</v>
          </cell>
          <cell r="BA892">
            <v>0</v>
          </cell>
          <cell r="BB892">
            <v>0</v>
          </cell>
          <cell r="BC892">
            <v>38916</v>
          </cell>
        </row>
        <row r="893">
          <cell r="A893">
            <v>2006</v>
          </cell>
          <cell r="B893">
            <v>6</v>
          </cell>
          <cell r="C893">
            <v>428</v>
          </cell>
          <cell r="D893">
            <v>17</v>
          </cell>
          <cell r="E893">
            <v>792030</v>
          </cell>
          <cell r="F893">
            <v>0</v>
          </cell>
          <cell r="G893" t="str">
            <v>Затраты по ШПЗ (неосновные)</v>
          </cell>
          <cell r="H893">
            <v>2030</v>
          </cell>
          <cell r="I893">
            <v>7920</v>
          </cell>
          <cell r="J893">
            <v>70000</v>
          </cell>
          <cell r="K893">
            <v>1</v>
          </cell>
          <cell r="L893">
            <v>0</v>
          </cell>
          <cell r="M893">
            <v>0</v>
          </cell>
          <cell r="N893">
            <v>0</v>
          </cell>
          <cell r="R893">
            <v>0</v>
          </cell>
          <cell r="S893">
            <v>0</v>
          </cell>
          <cell r="T893">
            <v>0</v>
          </cell>
          <cell r="U893">
            <v>31</v>
          </cell>
          <cell r="V893">
            <v>0</v>
          </cell>
          <cell r="W893">
            <v>0</v>
          </cell>
          <cell r="AA893">
            <v>0</v>
          </cell>
          <cell r="AB893">
            <v>0</v>
          </cell>
          <cell r="AC893">
            <v>0</v>
          </cell>
          <cell r="AD893">
            <v>31</v>
          </cell>
          <cell r="AE893">
            <v>151000</v>
          </cell>
          <cell r="AF893">
            <v>0</v>
          </cell>
          <cell r="AI893">
            <v>2373</v>
          </cell>
          <cell r="AK893">
            <v>0</v>
          </cell>
          <cell r="AM893">
            <v>572</v>
          </cell>
          <cell r="AN893">
            <v>1</v>
          </cell>
          <cell r="AO893">
            <v>393216</v>
          </cell>
          <cell r="AQ893">
            <v>0</v>
          </cell>
          <cell r="AR893">
            <v>0</v>
          </cell>
          <cell r="AS893" t="str">
            <v>Ы</v>
          </cell>
          <cell r="AT893" t="str">
            <v>Ы</v>
          </cell>
          <cell r="AU893">
            <v>0</v>
          </cell>
          <cell r="AV893">
            <v>0</v>
          </cell>
          <cell r="AW893">
            <v>23</v>
          </cell>
          <cell r="AX893">
            <v>1</v>
          </cell>
          <cell r="AY893">
            <v>0</v>
          </cell>
          <cell r="AZ893">
            <v>0</v>
          </cell>
          <cell r="BA893">
            <v>0</v>
          </cell>
          <cell r="BB893">
            <v>0</v>
          </cell>
          <cell r="BC893">
            <v>38916</v>
          </cell>
        </row>
        <row r="894">
          <cell r="A894">
            <v>2006</v>
          </cell>
          <cell r="B894">
            <v>6</v>
          </cell>
          <cell r="C894">
            <v>429</v>
          </cell>
          <cell r="D894">
            <v>17</v>
          </cell>
          <cell r="E894">
            <v>792030</v>
          </cell>
          <cell r="F894">
            <v>0</v>
          </cell>
          <cell r="G894" t="str">
            <v>Затраты по ШПЗ (неосновные)</v>
          </cell>
          <cell r="H894">
            <v>2030</v>
          </cell>
          <cell r="I894">
            <v>7920</v>
          </cell>
          <cell r="J894">
            <v>20000</v>
          </cell>
          <cell r="K894">
            <v>1</v>
          </cell>
          <cell r="L894">
            <v>0</v>
          </cell>
          <cell r="M894">
            <v>0</v>
          </cell>
          <cell r="N894">
            <v>0</v>
          </cell>
          <cell r="R894">
            <v>0</v>
          </cell>
          <cell r="S894">
            <v>0</v>
          </cell>
          <cell r="T894">
            <v>0</v>
          </cell>
          <cell r="U894">
            <v>31</v>
          </cell>
          <cell r="V894">
            <v>0</v>
          </cell>
          <cell r="W894">
            <v>0</v>
          </cell>
          <cell r="AA894">
            <v>0</v>
          </cell>
          <cell r="AB894">
            <v>0</v>
          </cell>
          <cell r="AC894">
            <v>0</v>
          </cell>
          <cell r="AD894">
            <v>31</v>
          </cell>
          <cell r="AE894">
            <v>152000</v>
          </cell>
          <cell r="AF894">
            <v>0</v>
          </cell>
          <cell r="AI894">
            <v>2373</v>
          </cell>
          <cell r="AK894">
            <v>0</v>
          </cell>
          <cell r="AM894">
            <v>573</v>
          </cell>
          <cell r="AN894">
            <v>1</v>
          </cell>
          <cell r="AO894">
            <v>393216</v>
          </cell>
          <cell r="AQ894">
            <v>0</v>
          </cell>
          <cell r="AR894">
            <v>0</v>
          </cell>
          <cell r="AS894" t="str">
            <v>Ы</v>
          </cell>
          <cell r="AT894" t="str">
            <v>Ы</v>
          </cell>
          <cell r="AU894">
            <v>0</v>
          </cell>
          <cell r="AV894">
            <v>0</v>
          </cell>
          <cell r="AW894">
            <v>23</v>
          </cell>
          <cell r="AX894">
            <v>1</v>
          </cell>
          <cell r="AY894">
            <v>0</v>
          </cell>
          <cell r="AZ894">
            <v>0</v>
          </cell>
          <cell r="BA894">
            <v>0</v>
          </cell>
          <cell r="BB894">
            <v>0</v>
          </cell>
          <cell r="BC894">
            <v>38916</v>
          </cell>
        </row>
        <row r="895">
          <cell r="A895">
            <v>2006</v>
          </cell>
          <cell r="B895">
            <v>6</v>
          </cell>
          <cell r="C895">
            <v>430</v>
          </cell>
          <cell r="D895">
            <v>17</v>
          </cell>
          <cell r="E895">
            <v>792030</v>
          </cell>
          <cell r="F895">
            <v>0</v>
          </cell>
          <cell r="G895" t="str">
            <v>Затраты по ШПЗ (неосновные)</v>
          </cell>
          <cell r="H895">
            <v>2030</v>
          </cell>
          <cell r="I895">
            <v>7920</v>
          </cell>
          <cell r="J895">
            <v>8000</v>
          </cell>
          <cell r="K895">
            <v>1</v>
          </cell>
          <cell r="L895">
            <v>0</v>
          </cell>
          <cell r="M895">
            <v>0</v>
          </cell>
          <cell r="N895">
            <v>0</v>
          </cell>
          <cell r="R895">
            <v>0</v>
          </cell>
          <cell r="S895">
            <v>0</v>
          </cell>
          <cell r="T895">
            <v>0</v>
          </cell>
          <cell r="U895">
            <v>31</v>
          </cell>
          <cell r="V895">
            <v>0</v>
          </cell>
          <cell r="W895">
            <v>0</v>
          </cell>
          <cell r="AA895">
            <v>0</v>
          </cell>
          <cell r="AB895">
            <v>0</v>
          </cell>
          <cell r="AC895">
            <v>0</v>
          </cell>
          <cell r="AD895">
            <v>31</v>
          </cell>
          <cell r="AE895">
            <v>501102</v>
          </cell>
          <cell r="AF895">
            <v>0</v>
          </cell>
          <cell r="AI895">
            <v>2373</v>
          </cell>
          <cell r="AK895">
            <v>0</v>
          </cell>
          <cell r="AM895">
            <v>574</v>
          </cell>
          <cell r="AN895">
            <v>1</v>
          </cell>
          <cell r="AO895">
            <v>393216</v>
          </cell>
          <cell r="AQ895">
            <v>0</v>
          </cell>
          <cell r="AR895">
            <v>0</v>
          </cell>
          <cell r="AS895" t="str">
            <v>Ы</v>
          </cell>
          <cell r="AT895" t="str">
            <v>Ы</v>
          </cell>
          <cell r="AU895">
            <v>0</v>
          </cell>
          <cell r="AV895">
            <v>0</v>
          </cell>
          <cell r="AW895">
            <v>23</v>
          </cell>
          <cell r="AX895">
            <v>1</v>
          </cell>
          <cell r="AY895">
            <v>0</v>
          </cell>
          <cell r="AZ895">
            <v>0</v>
          </cell>
          <cell r="BA895">
            <v>0</v>
          </cell>
          <cell r="BB895">
            <v>0</v>
          </cell>
          <cell r="BC895">
            <v>38916</v>
          </cell>
        </row>
        <row r="896">
          <cell r="A896">
            <v>2006</v>
          </cell>
          <cell r="B896">
            <v>6</v>
          </cell>
          <cell r="C896">
            <v>431</v>
          </cell>
          <cell r="D896">
            <v>17</v>
          </cell>
          <cell r="E896">
            <v>792030</v>
          </cell>
          <cell r="F896">
            <v>0</v>
          </cell>
          <cell r="G896" t="str">
            <v>Затраты по ШПЗ (неосновные)</v>
          </cell>
          <cell r="H896">
            <v>2030</v>
          </cell>
          <cell r="I896">
            <v>7920</v>
          </cell>
          <cell r="J896">
            <v>206400</v>
          </cell>
          <cell r="K896">
            <v>1</v>
          </cell>
          <cell r="L896">
            <v>0</v>
          </cell>
          <cell r="M896">
            <v>0</v>
          </cell>
          <cell r="N896">
            <v>0</v>
          </cell>
          <cell r="R896">
            <v>0</v>
          </cell>
          <cell r="S896">
            <v>0</v>
          </cell>
          <cell r="T896">
            <v>0</v>
          </cell>
          <cell r="U896">
            <v>31</v>
          </cell>
          <cell r="V896">
            <v>0</v>
          </cell>
          <cell r="W896">
            <v>0</v>
          </cell>
          <cell r="AA896">
            <v>0</v>
          </cell>
          <cell r="AB896">
            <v>0</v>
          </cell>
          <cell r="AC896">
            <v>0</v>
          </cell>
          <cell r="AD896">
            <v>31</v>
          </cell>
          <cell r="AE896">
            <v>505200</v>
          </cell>
          <cell r="AF896">
            <v>0</v>
          </cell>
          <cell r="AI896">
            <v>2373</v>
          </cell>
          <cell r="AK896">
            <v>0</v>
          </cell>
          <cell r="AM896">
            <v>575</v>
          </cell>
          <cell r="AN896">
            <v>1</v>
          </cell>
          <cell r="AO896">
            <v>393216</v>
          </cell>
          <cell r="AQ896">
            <v>0</v>
          </cell>
          <cell r="AR896">
            <v>0</v>
          </cell>
          <cell r="AS896" t="str">
            <v>Ы</v>
          </cell>
          <cell r="AT896" t="str">
            <v>Ы</v>
          </cell>
          <cell r="AU896">
            <v>0</v>
          </cell>
          <cell r="AV896">
            <v>0</v>
          </cell>
          <cell r="AW896">
            <v>23</v>
          </cell>
          <cell r="AX896">
            <v>1</v>
          </cell>
          <cell r="AY896">
            <v>0</v>
          </cell>
          <cell r="AZ896">
            <v>0</v>
          </cell>
          <cell r="BA896">
            <v>0</v>
          </cell>
          <cell r="BB896">
            <v>0</v>
          </cell>
          <cell r="BC896">
            <v>38916</v>
          </cell>
        </row>
        <row r="897">
          <cell r="A897">
            <v>2006</v>
          </cell>
          <cell r="B897">
            <v>6</v>
          </cell>
          <cell r="C897">
            <v>432</v>
          </cell>
          <cell r="D897">
            <v>17</v>
          </cell>
          <cell r="E897">
            <v>792030</v>
          </cell>
          <cell r="F897">
            <v>0</v>
          </cell>
          <cell r="G897" t="str">
            <v>Затраты по ШПЗ (неосновные)</v>
          </cell>
          <cell r="H897">
            <v>2030</v>
          </cell>
          <cell r="I897">
            <v>7920</v>
          </cell>
          <cell r="J897">
            <v>10000</v>
          </cell>
          <cell r="K897">
            <v>1</v>
          </cell>
          <cell r="L897">
            <v>0</v>
          </cell>
          <cell r="M897">
            <v>0</v>
          </cell>
          <cell r="N897">
            <v>0</v>
          </cell>
          <cell r="R897">
            <v>0</v>
          </cell>
          <cell r="S897">
            <v>0</v>
          </cell>
          <cell r="T897">
            <v>0</v>
          </cell>
          <cell r="U897">
            <v>31</v>
          </cell>
          <cell r="V897">
            <v>0</v>
          </cell>
          <cell r="W897">
            <v>0</v>
          </cell>
          <cell r="AA897">
            <v>0</v>
          </cell>
          <cell r="AB897">
            <v>0</v>
          </cell>
          <cell r="AC897">
            <v>0</v>
          </cell>
          <cell r="AD897">
            <v>31</v>
          </cell>
          <cell r="AE897">
            <v>510100</v>
          </cell>
          <cell r="AF897">
            <v>0</v>
          </cell>
          <cell r="AI897">
            <v>2373</v>
          </cell>
          <cell r="AK897">
            <v>0</v>
          </cell>
          <cell r="AM897">
            <v>576</v>
          </cell>
          <cell r="AN897">
            <v>1</v>
          </cell>
          <cell r="AO897">
            <v>393216</v>
          </cell>
          <cell r="AQ897">
            <v>0</v>
          </cell>
          <cell r="AR897">
            <v>0</v>
          </cell>
          <cell r="AS897" t="str">
            <v>Ы</v>
          </cell>
          <cell r="AT897" t="str">
            <v>Ы</v>
          </cell>
          <cell r="AU897">
            <v>0</v>
          </cell>
          <cell r="AV897">
            <v>0</v>
          </cell>
          <cell r="AW897">
            <v>23</v>
          </cell>
          <cell r="AX897">
            <v>1</v>
          </cell>
          <cell r="AY897">
            <v>0</v>
          </cell>
          <cell r="AZ897">
            <v>0</v>
          </cell>
          <cell r="BA897">
            <v>0</v>
          </cell>
          <cell r="BB897">
            <v>0</v>
          </cell>
          <cell r="BC897">
            <v>38916</v>
          </cell>
        </row>
        <row r="898">
          <cell r="A898">
            <v>2006</v>
          </cell>
          <cell r="B898">
            <v>6</v>
          </cell>
          <cell r="C898">
            <v>513</v>
          </cell>
          <cell r="D898">
            <v>17</v>
          </cell>
          <cell r="E898">
            <v>792030</v>
          </cell>
          <cell r="F898">
            <v>0</v>
          </cell>
          <cell r="G898" t="str">
            <v>Затраты по ШПЗ (неосновные)</v>
          </cell>
          <cell r="H898">
            <v>2030</v>
          </cell>
          <cell r="I898">
            <v>7920</v>
          </cell>
          <cell r="J898">
            <v>1</v>
          </cell>
          <cell r="K898">
            <v>1</v>
          </cell>
          <cell r="L898">
            <v>0</v>
          </cell>
          <cell r="M898">
            <v>0</v>
          </cell>
          <cell r="N898">
            <v>0</v>
          </cell>
          <cell r="R898">
            <v>0</v>
          </cell>
          <cell r="S898">
            <v>0</v>
          </cell>
          <cell r="T898">
            <v>0</v>
          </cell>
          <cell r="U898">
            <v>36</v>
          </cell>
          <cell r="V898">
            <v>0</v>
          </cell>
          <cell r="W898">
            <v>0</v>
          </cell>
          <cell r="AA898">
            <v>0</v>
          </cell>
          <cell r="AB898">
            <v>0</v>
          </cell>
          <cell r="AC898">
            <v>0</v>
          </cell>
          <cell r="AD898">
            <v>36</v>
          </cell>
          <cell r="AE898">
            <v>110000</v>
          </cell>
          <cell r="AF898">
            <v>0</v>
          </cell>
          <cell r="AI898">
            <v>2373</v>
          </cell>
          <cell r="AK898">
            <v>0</v>
          </cell>
          <cell r="AM898">
            <v>657</v>
          </cell>
          <cell r="AN898">
            <v>1</v>
          </cell>
          <cell r="AO898">
            <v>393216</v>
          </cell>
          <cell r="AQ898">
            <v>0</v>
          </cell>
          <cell r="AR898">
            <v>0</v>
          </cell>
          <cell r="AS898" t="str">
            <v>Ы</v>
          </cell>
          <cell r="AT898" t="str">
            <v>Ы</v>
          </cell>
          <cell r="AU898">
            <v>0</v>
          </cell>
          <cell r="AV898">
            <v>0</v>
          </cell>
          <cell r="AW898">
            <v>23</v>
          </cell>
          <cell r="AX898">
            <v>1</v>
          </cell>
          <cell r="AY898">
            <v>0</v>
          </cell>
          <cell r="AZ898">
            <v>0</v>
          </cell>
          <cell r="BA898">
            <v>0</v>
          </cell>
          <cell r="BB898">
            <v>0</v>
          </cell>
          <cell r="BC898">
            <v>38916</v>
          </cell>
        </row>
        <row r="899">
          <cell r="A899">
            <v>2006</v>
          </cell>
          <cell r="B899">
            <v>6</v>
          </cell>
          <cell r="C899">
            <v>514</v>
          </cell>
          <cell r="D899">
            <v>17</v>
          </cell>
          <cell r="E899">
            <v>792030</v>
          </cell>
          <cell r="F899">
            <v>0</v>
          </cell>
          <cell r="G899" t="str">
            <v>Затраты по ШПЗ (неосновные)</v>
          </cell>
          <cell r="H899">
            <v>2030</v>
          </cell>
          <cell r="I899">
            <v>7920</v>
          </cell>
          <cell r="J899">
            <v>-792950</v>
          </cell>
          <cell r="K899">
            <v>1</v>
          </cell>
          <cell r="L899">
            <v>0</v>
          </cell>
          <cell r="M899">
            <v>0</v>
          </cell>
          <cell r="N899">
            <v>0</v>
          </cell>
          <cell r="R899">
            <v>0</v>
          </cell>
          <cell r="S899">
            <v>0</v>
          </cell>
          <cell r="T899">
            <v>0</v>
          </cell>
          <cell r="U899">
            <v>36</v>
          </cell>
          <cell r="V899">
            <v>0</v>
          </cell>
          <cell r="W899">
            <v>0</v>
          </cell>
          <cell r="AA899">
            <v>0</v>
          </cell>
          <cell r="AB899">
            <v>0</v>
          </cell>
          <cell r="AC899">
            <v>0</v>
          </cell>
          <cell r="AD899">
            <v>36</v>
          </cell>
          <cell r="AE899">
            <v>230000</v>
          </cell>
          <cell r="AF899">
            <v>0</v>
          </cell>
          <cell r="AI899">
            <v>2373</v>
          </cell>
          <cell r="AK899">
            <v>0</v>
          </cell>
          <cell r="AM899">
            <v>658</v>
          </cell>
          <cell r="AN899">
            <v>1</v>
          </cell>
          <cell r="AO899">
            <v>393216</v>
          </cell>
          <cell r="AQ899">
            <v>0</v>
          </cell>
          <cell r="AR899">
            <v>0</v>
          </cell>
          <cell r="AS899" t="str">
            <v>Ы</v>
          </cell>
          <cell r="AT899" t="str">
            <v>Ы</v>
          </cell>
          <cell r="AU899">
            <v>0</v>
          </cell>
          <cell r="AV899">
            <v>0</v>
          </cell>
          <cell r="AW899">
            <v>23</v>
          </cell>
          <cell r="AX899">
            <v>1</v>
          </cell>
          <cell r="AY899">
            <v>0</v>
          </cell>
          <cell r="AZ899">
            <v>0</v>
          </cell>
          <cell r="BA899">
            <v>0</v>
          </cell>
          <cell r="BB899">
            <v>0</v>
          </cell>
          <cell r="BC899">
            <v>38916</v>
          </cell>
        </row>
        <row r="900">
          <cell r="A900">
            <v>2006</v>
          </cell>
          <cell r="B900">
            <v>6</v>
          </cell>
          <cell r="C900">
            <v>515</v>
          </cell>
          <cell r="D900">
            <v>17</v>
          </cell>
          <cell r="E900">
            <v>792030</v>
          </cell>
          <cell r="F900">
            <v>0</v>
          </cell>
          <cell r="G900" t="str">
            <v>Затраты по ШПЗ (неосновные)</v>
          </cell>
          <cell r="H900">
            <v>2030</v>
          </cell>
          <cell r="I900">
            <v>7920</v>
          </cell>
          <cell r="J900">
            <v>792950</v>
          </cell>
          <cell r="K900">
            <v>1</v>
          </cell>
          <cell r="L900">
            <v>0</v>
          </cell>
          <cell r="M900">
            <v>0</v>
          </cell>
          <cell r="N900">
            <v>0</v>
          </cell>
          <cell r="R900">
            <v>0</v>
          </cell>
          <cell r="S900">
            <v>0</v>
          </cell>
          <cell r="T900">
            <v>0</v>
          </cell>
          <cell r="U900">
            <v>36</v>
          </cell>
          <cell r="V900">
            <v>0</v>
          </cell>
          <cell r="W900">
            <v>0</v>
          </cell>
          <cell r="AA900">
            <v>0</v>
          </cell>
          <cell r="AB900">
            <v>0</v>
          </cell>
          <cell r="AC900">
            <v>0</v>
          </cell>
          <cell r="AD900">
            <v>36</v>
          </cell>
          <cell r="AE900">
            <v>240000</v>
          </cell>
          <cell r="AF900">
            <v>0</v>
          </cell>
          <cell r="AI900">
            <v>2373</v>
          </cell>
          <cell r="AK900">
            <v>0</v>
          </cell>
          <cell r="AM900">
            <v>659</v>
          </cell>
          <cell r="AN900">
            <v>1</v>
          </cell>
          <cell r="AO900">
            <v>393216</v>
          </cell>
          <cell r="AQ900">
            <v>0</v>
          </cell>
          <cell r="AR900">
            <v>0</v>
          </cell>
          <cell r="AS900" t="str">
            <v>Ы</v>
          </cell>
          <cell r="AT900" t="str">
            <v>Ы</v>
          </cell>
          <cell r="AU900">
            <v>0</v>
          </cell>
          <cell r="AV900">
            <v>0</v>
          </cell>
          <cell r="AW900">
            <v>23</v>
          </cell>
          <cell r="AX900">
            <v>1</v>
          </cell>
          <cell r="AY900">
            <v>0</v>
          </cell>
          <cell r="AZ900">
            <v>0</v>
          </cell>
          <cell r="BA900">
            <v>0</v>
          </cell>
          <cell r="BB900">
            <v>0</v>
          </cell>
          <cell r="BC900">
            <v>38916</v>
          </cell>
        </row>
        <row r="901">
          <cell r="A901">
            <v>2006</v>
          </cell>
          <cell r="B901">
            <v>6</v>
          </cell>
          <cell r="C901">
            <v>584</v>
          </cell>
          <cell r="D901">
            <v>17</v>
          </cell>
          <cell r="E901">
            <v>792030</v>
          </cell>
          <cell r="F901">
            <v>0</v>
          </cell>
          <cell r="G901" t="str">
            <v>Затраты по ШПЗ (неосновные)</v>
          </cell>
          <cell r="H901">
            <v>2030</v>
          </cell>
          <cell r="I901">
            <v>7920</v>
          </cell>
          <cell r="J901">
            <v>255800</v>
          </cell>
          <cell r="K901">
            <v>1</v>
          </cell>
          <cell r="L901">
            <v>0</v>
          </cell>
          <cell r="M901">
            <v>0</v>
          </cell>
          <cell r="N901">
            <v>0</v>
          </cell>
          <cell r="R901">
            <v>0</v>
          </cell>
          <cell r="S901">
            <v>0</v>
          </cell>
          <cell r="T901">
            <v>0</v>
          </cell>
          <cell r="U901">
            <v>37</v>
          </cell>
          <cell r="V901">
            <v>0</v>
          </cell>
          <cell r="W901">
            <v>0</v>
          </cell>
          <cell r="AA901">
            <v>0</v>
          </cell>
          <cell r="AB901">
            <v>0</v>
          </cell>
          <cell r="AC901">
            <v>0</v>
          </cell>
          <cell r="AD901">
            <v>37</v>
          </cell>
          <cell r="AE901">
            <v>240000</v>
          </cell>
          <cell r="AF901">
            <v>0</v>
          </cell>
          <cell r="AI901">
            <v>2373</v>
          </cell>
          <cell r="AK901">
            <v>0</v>
          </cell>
          <cell r="AM901">
            <v>728</v>
          </cell>
          <cell r="AN901">
            <v>1</v>
          </cell>
          <cell r="AO901">
            <v>393216</v>
          </cell>
          <cell r="AQ901">
            <v>0</v>
          </cell>
          <cell r="AR901">
            <v>0</v>
          </cell>
          <cell r="AS901" t="str">
            <v>Ы</v>
          </cell>
          <cell r="AT901" t="str">
            <v>Ы</v>
          </cell>
          <cell r="AU901">
            <v>0</v>
          </cell>
          <cell r="AV901">
            <v>0</v>
          </cell>
          <cell r="AW901">
            <v>23</v>
          </cell>
          <cell r="AX901">
            <v>1</v>
          </cell>
          <cell r="AY901">
            <v>0</v>
          </cell>
          <cell r="AZ901">
            <v>0</v>
          </cell>
          <cell r="BA901">
            <v>0</v>
          </cell>
          <cell r="BB901">
            <v>0</v>
          </cell>
          <cell r="BC901">
            <v>38916</v>
          </cell>
        </row>
        <row r="902">
          <cell r="A902">
            <v>2006</v>
          </cell>
          <cell r="B902">
            <v>6</v>
          </cell>
          <cell r="C902">
            <v>585</v>
          </cell>
          <cell r="D902">
            <v>17</v>
          </cell>
          <cell r="E902">
            <v>792030</v>
          </cell>
          <cell r="F902">
            <v>0</v>
          </cell>
          <cell r="G902" t="str">
            <v>Затраты по ШПЗ (неосновные)</v>
          </cell>
          <cell r="H902">
            <v>2030</v>
          </cell>
          <cell r="I902">
            <v>7920</v>
          </cell>
          <cell r="J902">
            <v>7389.21</v>
          </cell>
          <cell r="K902">
            <v>1</v>
          </cell>
          <cell r="L902">
            <v>0</v>
          </cell>
          <cell r="M902">
            <v>0</v>
          </cell>
          <cell r="N902">
            <v>0</v>
          </cell>
          <cell r="R902">
            <v>0</v>
          </cell>
          <cell r="S902">
            <v>0</v>
          </cell>
          <cell r="T902">
            <v>0</v>
          </cell>
          <cell r="U902">
            <v>37</v>
          </cell>
          <cell r="V902">
            <v>0</v>
          </cell>
          <cell r="W902">
            <v>0</v>
          </cell>
          <cell r="AA902">
            <v>0</v>
          </cell>
          <cell r="AB902">
            <v>0</v>
          </cell>
          <cell r="AC902">
            <v>0</v>
          </cell>
          <cell r="AD902">
            <v>37</v>
          </cell>
          <cell r="AE902">
            <v>311000</v>
          </cell>
          <cell r="AF902">
            <v>0</v>
          </cell>
          <cell r="AI902">
            <v>2373</v>
          </cell>
          <cell r="AK902">
            <v>0</v>
          </cell>
          <cell r="AM902">
            <v>729</v>
          </cell>
          <cell r="AN902">
            <v>1</v>
          </cell>
          <cell r="AO902">
            <v>393216</v>
          </cell>
          <cell r="AQ902">
            <v>0</v>
          </cell>
          <cell r="AR902">
            <v>0</v>
          </cell>
          <cell r="AS902" t="str">
            <v>Ы</v>
          </cell>
          <cell r="AT902" t="str">
            <v>Ы</v>
          </cell>
          <cell r="AU902">
            <v>0</v>
          </cell>
          <cell r="AV902">
            <v>0</v>
          </cell>
          <cell r="AW902">
            <v>23</v>
          </cell>
          <cell r="AX902">
            <v>1</v>
          </cell>
          <cell r="AY902">
            <v>0</v>
          </cell>
          <cell r="AZ902">
            <v>0</v>
          </cell>
          <cell r="BA902">
            <v>0</v>
          </cell>
          <cell r="BB902">
            <v>0</v>
          </cell>
          <cell r="BC902">
            <v>38916</v>
          </cell>
        </row>
        <row r="903">
          <cell r="A903">
            <v>2006</v>
          </cell>
          <cell r="B903">
            <v>6</v>
          </cell>
          <cell r="C903">
            <v>586</v>
          </cell>
          <cell r="D903">
            <v>17</v>
          </cell>
          <cell r="E903">
            <v>792030</v>
          </cell>
          <cell r="F903">
            <v>0</v>
          </cell>
          <cell r="G903" t="str">
            <v>Затраты по ШПЗ (неосновные)</v>
          </cell>
          <cell r="H903">
            <v>2030</v>
          </cell>
          <cell r="I903">
            <v>7920</v>
          </cell>
          <cell r="J903">
            <v>51100</v>
          </cell>
          <cell r="K903">
            <v>1</v>
          </cell>
          <cell r="L903">
            <v>0</v>
          </cell>
          <cell r="M903">
            <v>0</v>
          </cell>
          <cell r="N903">
            <v>0</v>
          </cell>
          <cell r="R903">
            <v>0</v>
          </cell>
          <cell r="S903">
            <v>0</v>
          </cell>
          <cell r="T903">
            <v>0</v>
          </cell>
          <cell r="U903">
            <v>37</v>
          </cell>
          <cell r="V903">
            <v>0</v>
          </cell>
          <cell r="W903">
            <v>0</v>
          </cell>
          <cell r="AA903">
            <v>0</v>
          </cell>
          <cell r="AB903">
            <v>0</v>
          </cell>
          <cell r="AC903">
            <v>0</v>
          </cell>
          <cell r="AD903">
            <v>37</v>
          </cell>
          <cell r="AE903">
            <v>312000</v>
          </cell>
          <cell r="AF903">
            <v>0</v>
          </cell>
          <cell r="AI903">
            <v>2373</v>
          </cell>
          <cell r="AK903">
            <v>0</v>
          </cell>
          <cell r="AM903">
            <v>730</v>
          </cell>
          <cell r="AN903">
            <v>1</v>
          </cell>
          <cell r="AO903">
            <v>393216</v>
          </cell>
          <cell r="AQ903">
            <v>0</v>
          </cell>
          <cell r="AR903">
            <v>0</v>
          </cell>
          <cell r="AS903" t="str">
            <v>Ы</v>
          </cell>
          <cell r="AT903" t="str">
            <v>Ы</v>
          </cell>
          <cell r="AU903">
            <v>0</v>
          </cell>
          <cell r="AV903">
            <v>0</v>
          </cell>
          <cell r="AW903">
            <v>23</v>
          </cell>
          <cell r="AX903">
            <v>1</v>
          </cell>
          <cell r="AY903">
            <v>0</v>
          </cell>
          <cell r="AZ903">
            <v>0</v>
          </cell>
          <cell r="BA903">
            <v>0</v>
          </cell>
          <cell r="BB903">
            <v>0</v>
          </cell>
          <cell r="BC903">
            <v>38916</v>
          </cell>
        </row>
        <row r="904">
          <cell r="A904">
            <v>2006</v>
          </cell>
          <cell r="B904">
            <v>6</v>
          </cell>
          <cell r="C904">
            <v>587</v>
          </cell>
          <cell r="D904">
            <v>17</v>
          </cell>
          <cell r="E904">
            <v>792030</v>
          </cell>
          <cell r="F904">
            <v>0</v>
          </cell>
          <cell r="G904" t="str">
            <v>Затраты по ШПЗ (неосновные)</v>
          </cell>
          <cell r="H904">
            <v>2030</v>
          </cell>
          <cell r="I904">
            <v>7920</v>
          </cell>
          <cell r="J904">
            <v>2802.78</v>
          </cell>
          <cell r="K904">
            <v>1</v>
          </cell>
          <cell r="L904">
            <v>0</v>
          </cell>
          <cell r="M904">
            <v>0</v>
          </cell>
          <cell r="N904">
            <v>0</v>
          </cell>
          <cell r="R904">
            <v>0</v>
          </cell>
          <cell r="S904">
            <v>0</v>
          </cell>
          <cell r="T904">
            <v>0</v>
          </cell>
          <cell r="U904">
            <v>37</v>
          </cell>
          <cell r="V904">
            <v>0</v>
          </cell>
          <cell r="W904">
            <v>0</v>
          </cell>
          <cell r="AA904">
            <v>0</v>
          </cell>
          <cell r="AB904">
            <v>0</v>
          </cell>
          <cell r="AC904">
            <v>0</v>
          </cell>
          <cell r="AD904">
            <v>37</v>
          </cell>
          <cell r="AE904">
            <v>313000</v>
          </cell>
          <cell r="AF904">
            <v>0</v>
          </cell>
          <cell r="AI904">
            <v>2373</v>
          </cell>
          <cell r="AK904">
            <v>0</v>
          </cell>
          <cell r="AM904">
            <v>731</v>
          </cell>
          <cell r="AN904">
            <v>1</v>
          </cell>
          <cell r="AO904">
            <v>393216</v>
          </cell>
          <cell r="AQ904">
            <v>0</v>
          </cell>
          <cell r="AR904">
            <v>0</v>
          </cell>
          <cell r="AS904" t="str">
            <v>Ы</v>
          </cell>
          <cell r="AT904" t="str">
            <v>Ы</v>
          </cell>
          <cell r="AU904">
            <v>0</v>
          </cell>
          <cell r="AV904">
            <v>0</v>
          </cell>
          <cell r="AW904">
            <v>23</v>
          </cell>
          <cell r="AX904">
            <v>1</v>
          </cell>
          <cell r="AY904">
            <v>0</v>
          </cell>
          <cell r="AZ904">
            <v>0</v>
          </cell>
          <cell r="BA904">
            <v>0</v>
          </cell>
          <cell r="BB904">
            <v>0</v>
          </cell>
          <cell r="BC904">
            <v>38916</v>
          </cell>
        </row>
        <row r="905">
          <cell r="A905">
            <v>2006</v>
          </cell>
          <cell r="B905">
            <v>6</v>
          </cell>
          <cell r="C905">
            <v>588</v>
          </cell>
          <cell r="D905">
            <v>17</v>
          </cell>
          <cell r="E905">
            <v>792030</v>
          </cell>
          <cell r="F905">
            <v>0</v>
          </cell>
          <cell r="G905" t="str">
            <v>Затраты по ШПЗ (неосновные)</v>
          </cell>
          <cell r="H905">
            <v>2030</v>
          </cell>
          <cell r="I905">
            <v>7920</v>
          </cell>
          <cell r="J905">
            <v>5096</v>
          </cell>
          <cell r="K905">
            <v>1</v>
          </cell>
          <cell r="L905">
            <v>0</v>
          </cell>
          <cell r="M905">
            <v>0</v>
          </cell>
          <cell r="N905">
            <v>0</v>
          </cell>
          <cell r="R905">
            <v>0</v>
          </cell>
          <cell r="S905">
            <v>0</v>
          </cell>
          <cell r="T905">
            <v>0</v>
          </cell>
          <cell r="U905">
            <v>37</v>
          </cell>
          <cell r="V905">
            <v>0</v>
          </cell>
          <cell r="W905">
            <v>0</v>
          </cell>
          <cell r="AA905">
            <v>0</v>
          </cell>
          <cell r="AB905">
            <v>0</v>
          </cell>
          <cell r="AC905">
            <v>0</v>
          </cell>
          <cell r="AD905">
            <v>37</v>
          </cell>
          <cell r="AE905">
            <v>314000</v>
          </cell>
          <cell r="AF905">
            <v>0</v>
          </cell>
          <cell r="AI905">
            <v>2373</v>
          </cell>
          <cell r="AK905">
            <v>0</v>
          </cell>
          <cell r="AM905">
            <v>732</v>
          </cell>
          <cell r="AN905">
            <v>1</v>
          </cell>
          <cell r="AO905">
            <v>393216</v>
          </cell>
          <cell r="AQ905">
            <v>0</v>
          </cell>
          <cell r="AR905">
            <v>0</v>
          </cell>
          <cell r="AS905" t="str">
            <v>Ы</v>
          </cell>
          <cell r="AT905" t="str">
            <v>Ы</v>
          </cell>
          <cell r="AU905">
            <v>0</v>
          </cell>
          <cell r="AV905">
            <v>0</v>
          </cell>
          <cell r="AW905">
            <v>23</v>
          </cell>
          <cell r="AX905">
            <v>1</v>
          </cell>
          <cell r="AY905">
            <v>0</v>
          </cell>
          <cell r="AZ905">
            <v>0</v>
          </cell>
          <cell r="BA905">
            <v>0</v>
          </cell>
          <cell r="BB905">
            <v>0</v>
          </cell>
          <cell r="BC905">
            <v>38916</v>
          </cell>
        </row>
        <row r="906">
          <cell r="A906">
            <v>2006</v>
          </cell>
          <cell r="B906">
            <v>6</v>
          </cell>
          <cell r="C906">
            <v>589</v>
          </cell>
          <cell r="D906">
            <v>17</v>
          </cell>
          <cell r="E906">
            <v>792030</v>
          </cell>
          <cell r="F906">
            <v>0</v>
          </cell>
          <cell r="G906" t="str">
            <v>Затраты по ШПЗ (неосновные)</v>
          </cell>
          <cell r="H906">
            <v>2030</v>
          </cell>
          <cell r="I906">
            <v>7920</v>
          </cell>
          <cell r="J906">
            <v>1021.6</v>
          </cell>
          <cell r="K906">
            <v>1</v>
          </cell>
          <cell r="L906">
            <v>0</v>
          </cell>
          <cell r="M906">
            <v>0</v>
          </cell>
          <cell r="N906">
            <v>0</v>
          </cell>
          <cell r="R906">
            <v>0</v>
          </cell>
          <cell r="S906">
            <v>0</v>
          </cell>
          <cell r="T906">
            <v>0</v>
          </cell>
          <cell r="U906">
            <v>37</v>
          </cell>
          <cell r="V906">
            <v>0</v>
          </cell>
          <cell r="W906">
            <v>0</v>
          </cell>
          <cell r="AA906">
            <v>0</v>
          </cell>
          <cell r="AB906">
            <v>0</v>
          </cell>
          <cell r="AC906">
            <v>0</v>
          </cell>
          <cell r="AD906">
            <v>37</v>
          </cell>
          <cell r="AE906">
            <v>315000</v>
          </cell>
          <cell r="AF906">
            <v>0</v>
          </cell>
          <cell r="AI906">
            <v>2373</v>
          </cell>
          <cell r="AK906">
            <v>0</v>
          </cell>
          <cell r="AM906">
            <v>733</v>
          </cell>
          <cell r="AN906">
            <v>1</v>
          </cell>
          <cell r="AO906">
            <v>393216</v>
          </cell>
          <cell r="AQ906">
            <v>0</v>
          </cell>
          <cell r="AR906">
            <v>0</v>
          </cell>
          <cell r="AS906" t="str">
            <v>Ы</v>
          </cell>
          <cell r="AT906" t="str">
            <v>Ы</v>
          </cell>
          <cell r="AU906">
            <v>0</v>
          </cell>
          <cell r="AV906">
            <v>0</v>
          </cell>
          <cell r="AW906">
            <v>23</v>
          </cell>
          <cell r="AX906">
            <v>1</v>
          </cell>
          <cell r="AY906">
            <v>0</v>
          </cell>
          <cell r="AZ906">
            <v>0</v>
          </cell>
          <cell r="BA906">
            <v>0</v>
          </cell>
          <cell r="BB906">
            <v>0</v>
          </cell>
          <cell r="BC906">
            <v>38916</v>
          </cell>
        </row>
        <row r="907">
          <cell r="A907">
            <v>2006</v>
          </cell>
          <cell r="B907">
            <v>6</v>
          </cell>
          <cell r="C907">
            <v>662</v>
          </cell>
          <cell r="D907">
            <v>18</v>
          </cell>
          <cell r="E907">
            <v>792030</v>
          </cell>
          <cell r="F907">
            <v>0</v>
          </cell>
          <cell r="G907" t="str">
            <v>Затраты по ШПЗ (неосновные)</v>
          </cell>
          <cell r="H907">
            <v>2030</v>
          </cell>
          <cell r="I907">
            <v>7920</v>
          </cell>
          <cell r="J907">
            <v>10885.75</v>
          </cell>
          <cell r="K907">
            <v>1</v>
          </cell>
          <cell r="L907">
            <v>0</v>
          </cell>
          <cell r="M907">
            <v>0</v>
          </cell>
          <cell r="N907">
            <v>0</v>
          </cell>
          <cell r="R907">
            <v>0</v>
          </cell>
          <cell r="S907">
            <v>0</v>
          </cell>
          <cell r="T907">
            <v>0</v>
          </cell>
          <cell r="U907">
            <v>42</v>
          </cell>
          <cell r="V907">
            <v>0</v>
          </cell>
          <cell r="W907">
            <v>0</v>
          </cell>
          <cell r="AA907">
            <v>0</v>
          </cell>
          <cell r="AB907">
            <v>0</v>
          </cell>
          <cell r="AC907">
            <v>0</v>
          </cell>
          <cell r="AD907">
            <v>42</v>
          </cell>
          <cell r="AE907">
            <v>110000</v>
          </cell>
          <cell r="AF907">
            <v>0</v>
          </cell>
          <cell r="AI907">
            <v>2373</v>
          </cell>
          <cell r="AK907">
            <v>0</v>
          </cell>
          <cell r="AM907">
            <v>806</v>
          </cell>
          <cell r="AN907">
            <v>1</v>
          </cell>
          <cell r="AO907">
            <v>393216</v>
          </cell>
          <cell r="AQ907">
            <v>0</v>
          </cell>
          <cell r="AR907">
            <v>0</v>
          </cell>
          <cell r="AS907" t="str">
            <v>Ы</v>
          </cell>
          <cell r="AT907" t="str">
            <v>Ы</v>
          </cell>
          <cell r="AU907">
            <v>0</v>
          </cell>
          <cell r="AV907">
            <v>0</v>
          </cell>
          <cell r="AW907">
            <v>23</v>
          </cell>
          <cell r="AX907">
            <v>1</v>
          </cell>
          <cell r="AY907">
            <v>0</v>
          </cell>
          <cell r="AZ907">
            <v>0</v>
          </cell>
          <cell r="BA907">
            <v>0</v>
          </cell>
          <cell r="BB907">
            <v>0</v>
          </cell>
          <cell r="BC907">
            <v>38916</v>
          </cell>
        </row>
        <row r="908">
          <cell r="A908">
            <v>2006</v>
          </cell>
          <cell r="B908">
            <v>6</v>
          </cell>
          <cell r="C908">
            <v>663</v>
          </cell>
          <cell r="D908">
            <v>18</v>
          </cell>
          <cell r="E908">
            <v>792030</v>
          </cell>
          <cell r="F908">
            <v>0</v>
          </cell>
          <cell r="G908" t="str">
            <v>Затраты по ШПЗ (неосновные)</v>
          </cell>
          <cell r="H908">
            <v>2030</v>
          </cell>
          <cell r="I908">
            <v>7920</v>
          </cell>
          <cell r="J908">
            <v>5.0999999999999996</v>
          </cell>
          <cell r="K908">
            <v>1</v>
          </cell>
          <cell r="L908">
            <v>0</v>
          </cell>
          <cell r="M908">
            <v>0</v>
          </cell>
          <cell r="N908">
            <v>0</v>
          </cell>
          <cell r="R908">
            <v>0</v>
          </cell>
          <cell r="S908">
            <v>0</v>
          </cell>
          <cell r="T908">
            <v>0</v>
          </cell>
          <cell r="U908">
            <v>42</v>
          </cell>
          <cell r="V908">
            <v>0</v>
          </cell>
          <cell r="W908">
            <v>0</v>
          </cell>
          <cell r="AA908">
            <v>0</v>
          </cell>
          <cell r="AB908">
            <v>0</v>
          </cell>
          <cell r="AC908">
            <v>0</v>
          </cell>
          <cell r="AD908">
            <v>42</v>
          </cell>
          <cell r="AE908">
            <v>114020</v>
          </cell>
          <cell r="AF908">
            <v>0</v>
          </cell>
          <cell r="AI908">
            <v>2373</v>
          </cell>
          <cell r="AK908">
            <v>0</v>
          </cell>
          <cell r="AM908">
            <v>807</v>
          </cell>
          <cell r="AN908">
            <v>1</v>
          </cell>
          <cell r="AO908">
            <v>393216</v>
          </cell>
          <cell r="AQ908">
            <v>0</v>
          </cell>
          <cell r="AR908">
            <v>0</v>
          </cell>
          <cell r="AS908" t="str">
            <v>Ы</v>
          </cell>
          <cell r="AT908" t="str">
            <v>Ы</v>
          </cell>
          <cell r="AU908">
            <v>0</v>
          </cell>
          <cell r="AV908">
            <v>0</v>
          </cell>
          <cell r="AW908">
            <v>23</v>
          </cell>
          <cell r="AX908">
            <v>1</v>
          </cell>
          <cell r="AY908">
            <v>0</v>
          </cell>
          <cell r="AZ908">
            <v>0</v>
          </cell>
          <cell r="BA908">
            <v>0</v>
          </cell>
          <cell r="BB908">
            <v>0</v>
          </cell>
          <cell r="BC908">
            <v>38916</v>
          </cell>
        </row>
        <row r="909">
          <cell r="A909">
            <v>2006</v>
          </cell>
          <cell r="B909">
            <v>6</v>
          </cell>
          <cell r="C909">
            <v>664</v>
          </cell>
          <cell r="D909">
            <v>18</v>
          </cell>
          <cell r="E909">
            <v>792030</v>
          </cell>
          <cell r="F909">
            <v>0</v>
          </cell>
          <cell r="G909" t="str">
            <v>Затраты по ШПЗ (неосновные)</v>
          </cell>
          <cell r="H909">
            <v>2030</v>
          </cell>
          <cell r="I909">
            <v>7920</v>
          </cell>
          <cell r="J909">
            <v>2374.85</v>
          </cell>
          <cell r="K909">
            <v>1</v>
          </cell>
          <cell r="L909">
            <v>0</v>
          </cell>
          <cell r="M909">
            <v>0</v>
          </cell>
          <cell r="N909">
            <v>0</v>
          </cell>
          <cell r="R909">
            <v>0</v>
          </cell>
          <cell r="S909">
            <v>0</v>
          </cell>
          <cell r="T909">
            <v>0</v>
          </cell>
          <cell r="U909">
            <v>42</v>
          </cell>
          <cell r="V909">
            <v>0</v>
          </cell>
          <cell r="W909">
            <v>0</v>
          </cell>
          <cell r="AA909">
            <v>0</v>
          </cell>
          <cell r="AB909">
            <v>0</v>
          </cell>
          <cell r="AC909">
            <v>0</v>
          </cell>
          <cell r="AD909">
            <v>42</v>
          </cell>
          <cell r="AE909">
            <v>117000</v>
          </cell>
          <cell r="AF909">
            <v>0</v>
          </cell>
          <cell r="AI909">
            <v>2373</v>
          </cell>
          <cell r="AK909">
            <v>0</v>
          </cell>
          <cell r="AM909">
            <v>808</v>
          </cell>
          <cell r="AN909">
            <v>1</v>
          </cell>
          <cell r="AO909">
            <v>393216</v>
          </cell>
          <cell r="AQ909">
            <v>0</v>
          </cell>
          <cell r="AR909">
            <v>0</v>
          </cell>
          <cell r="AS909" t="str">
            <v>Ы</v>
          </cell>
          <cell r="AT909" t="str">
            <v>Ы</v>
          </cell>
          <cell r="AU909">
            <v>0</v>
          </cell>
          <cell r="AV909">
            <v>0</v>
          </cell>
          <cell r="AW909">
            <v>23</v>
          </cell>
          <cell r="AX909">
            <v>1</v>
          </cell>
          <cell r="AY909">
            <v>0</v>
          </cell>
          <cell r="AZ909">
            <v>0</v>
          </cell>
          <cell r="BA909">
            <v>0</v>
          </cell>
          <cell r="BB909">
            <v>0</v>
          </cell>
          <cell r="BC909">
            <v>38916</v>
          </cell>
        </row>
        <row r="910">
          <cell r="A910">
            <v>2006</v>
          </cell>
          <cell r="B910">
            <v>6</v>
          </cell>
          <cell r="C910">
            <v>665</v>
          </cell>
          <cell r="D910">
            <v>18</v>
          </cell>
          <cell r="E910">
            <v>792030</v>
          </cell>
          <cell r="F910">
            <v>0</v>
          </cell>
          <cell r="G910" t="str">
            <v>Затраты по ШПЗ (неосновные)</v>
          </cell>
          <cell r="H910">
            <v>2030</v>
          </cell>
          <cell r="I910">
            <v>7920</v>
          </cell>
          <cell r="J910">
            <v>23.26</v>
          </cell>
          <cell r="K910">
            <v>1</v>
          </cell>
          <cell r="L910">
            <v>0</v>
          </cell>
          <cell r="M910">
            <v>0</v>
          </cell>
          <cell r="N910">
            <v>0</v>
          </cell>
          <cell r="R910">
            <v>0</v>
          </cell>
          <cell r="S910">
            <v>0</v>
          </cell>
          <cell r="T910">
            <v>0</v>
          </cell>
          <cell r="U910">
            <v>42</v>
          </cell>
          <cell r="V910">
            <v>0</v>
          </cell>
          <cell r="W910">
            <v>0</v>
          </cell>
          <cell r="AA910">
            <v>0</v>
          </cell>
          <cell r="AB910">
            <v>0</v>
          </cell>
          <cell r="AC910">
            <v>0</v>
          </cell>
          <cell r="AD910">
            <v>42</v>
          </cell>
          <cell r="AE910">
            <v>118000</v>
          </cell>
          <cell r="AF910">
            <v>0</v>
          </cell>
          <cell r="AI910">
            <v>2373</v>
          </cell>
          <cell r="AK910">
            <v>0</v>
          </cell>
          <cell r="AM910">
            <v>809</v>
          </cell>
          <cell r="AN910">
            <v>1</v>
          </cell>
          <cell r="AO910">
            <v>393216</v>
          </cell>
          <cell r="AQ910">
            <v>0</v>
          </cell>
          <cell r="AR910">
            <v>0</v>
          </cell>
          <cell r="AS910" t="str">
            <v>Ы</v>
          </cell>
          <cell r="AT910" t="str">
            <v>Ы</v>
          </cell>
          <cell r="AU910">
            <v>0</v>
          </cell>
          <cell r="AV910">
            <v>0</v>
          </cell>
          <cell r="AW910">
            <v>23</v>
          </cell>
          <cell r="AX910">
            <v>1</v>
          </cell>
          <cell r="AY910">
            <v>0</v>
          </cell>
          <cell r="AZ910">
            <v>0</v>
          </cell>
          <cell r="BA910">
            <v>0</v>
          </cell>
          <cell r="BB910">
            <v>0</v>
          </cell>
          <cell r="BC910">
            <v>38916</v>
          </cell>
        </row>
        <row r="911">
          <cell r="A911">
            <v>2006</v>
          </cell>
          <cell r="B911">
            <v>6</v>
          </cell>
          <cell r="C911">
            <v>666</v>
          </cell>
          <cell r="D911">
            <v>18</v>
          </cell>
          <cell r="E911">
            <v>792030</v>
          </cell>
          <cell r="F911">
            <v>0</v>
          </cell>
          <cell r="G911" t="str">
            <v>Затраты по ШПЗ (неосновные)</v>
          </cell>
          <cell r="H911">
            <v>2030</v>
          </cell>
          <cell r="I911">
            <v>7920</v>
          </cell>
          <cell r="J911">
            <v>107.53</v>
          </cell>
          <cell r="K911">
            <v>1</v>
          </cell>
          <cell r="L911">
            <v>0</v>
          </cell>
          <cell r="M911">
            <v>0</v>
          </cell>
          <cell r="N911">
            <v>0</v>
          </cell>
          <cell r="R911">
            <v>0</v>
          </cell>
          <cell r="S911">
            <v>0</v>
          </cell>
          <cell r="T911">
            <v>0</v>
          </cell>
          <cell r="U911">
            <v>42</v>
          </cell>
          <cell r="V911">
            <v>0</v>
          </cell>
          <cell r="W911">
            <v>0</v>
          </cell>
          <cell r="AA911">
            <v>0</v>
          </cell>
          <cell r="AB911">
            <v>0</v>
          </cell>
          <cell r="AC911">
            <v>0</v>
          </cell>
          <cell r="AD911">
            <v>42</v>
          </cell>
          <cell r="AE911">
            <v>130000</v>
          </cell>
          <cell r="AF911">
            <v>0</v>
          </cell>
          <cell r="AI911">
            <v>2373</v>
          </cell>
          <cell r="AK911">
            <v>0</v>
          </cell>
          <cell r="AM911">
            <v>810</v>
          </cell>
          <cell r="AN911">
            <v>1</v>
          </cell>
          <cell r="AO911">
            <v>393216</v>
          </cell>
          <cell r="AQ911">
            <v>0</v>
          </cell>
          <cell r="AR911">
            <v>0</v>
          </cell>
          <cell r="AS911" t="str">
            <v>Ы</v>
          </cell>
          <cell r="AT911" t="str">
            <v>Ы</v>
          </cell>
          <cell r="AU911">
            <v>0</v>
          </cell>
          <cell r="AV911">
            <v>0</v>
          </cell>
          <cell r="AW911">
            <v>23</v>
          </cell>
          <cell r="AX911">
            <v>1</v>
          </cell>
          <cell r="AY911">
            <v>0</v>
          </cell>
          <cell r="AZ911">
            <v>0</v>
          </cell>
          <cell r="BA911">
            <v>0</v>
          </cell>
          <cell r="BB911">
            <v>0</v>
          </cell>
          <cell r="BC911">
            <v>38916</v>
          </cell>
        </row>
        <row r="912">
          <cell r="A912">
            <v>2006</v>
          </cell>
          <cell r="B912">
            <v>6</v>
          </cell>
          <cell r="C912">
            <v>667</v>
          </cell>
          <cell r="D912">
            <v>18</v>
          </cell>
          <cell r="E912">
            <v>792030</v>
          </cell>
          <cell r="F912">
            <v>0</v>
          </cell>
          <cell r="G912" t="str">
            <v>Затраты по ШПЗ (неосновные)</v>
          </cell>
          <cell r="H912">
            <v>2030</v>
          </cell>
          <cell r="I912">
            <v>7920</v>
          </cell>
          <cell r="J912">
            <v>-94.64</v>
          </cell>
          <cell r="K912">
            <v>1</v>
          </cell>
          <cell r="L912">
            <v>0</v>
          </cell>
          <cell r="M912">
            <v>0</v>
          </cell>
          <cell r="N912">
            <v>0</v>
          </cell>
          <cell r="R912">
            <v>0</v>
          </cell>
          <cell r="S912">
            <v>0</v>
          </cell>
          <cell r="T912">
            <v>0</v>
          </cell>
          <cell r="U912">
            <v>42</v>
          </cell>
          <cell r="V912">
            <v>0</v>
          </cell>
          <cell r="W912">
            <v>0</v>
          </cell>
          <cell r="AA912">
            <v>0</v>
          </cell>
          <cell r="AB912">
            <v>0</v>
          </cell>
          <cell r="AC912">
            <v>0</v>
          </cell>
          <cell r="AD912">
            <v>42</v>
          </cell>
          <cell r="AE912">
            <v>131000</v>
          </cell>
          <cell r="AF912">
            <v>0</v>
          </cell>
          <cell r="AI912">
            <v>2373</v>
          </cell>
          <cell r="AK912">
            <v>0</v>
          </cell>
          <cell r="AM912">
            <v>811</v>
          </cell>
          <cell r="AN912">
            <v>1</v>
          </cell>
          <cell r="AO912">
            <v>393216</v>
          </cell>
          <cell r="AQ912">
            <v>0</v>
          </cell>
          <cell r="AR912">
            <v>0</v>
          </cell>
          <cell r="AS912" t="str">
            <v>Ы</v>
          </cell>
          <cell r="AT912" t="str">
            <v>Ы</v>
          </cell>
          <cell r="AU912">
            <v>0</v>
          </cell>
          <cell r="AV912">
            <v>0</v>
          </cell>
          <cell r="AW912">
            <v>23</v>
          </cell>
          <cell r="AX912">
            <v>1</v>
          </cell>
          <cell r="AY912">
            <v>0</v>
          </cell>
          <cell r="AZ912">
            <v>0</v>
          </cell>
          <cell r="BA912">
            <v>0</v>
          </cell>
          <cell r="BB912">
            <v>0</v>
          </cell>
          <cell r="BC912">
            <v>38916</v>
          </cell>
        </row>
        <row r="913">
          <cell r="A913">
            <v>2006</v>
          </cell>
          <cell r="B913">
            <v>6</v>
          </cell>
          <cell r="C913">
            <v>668</v>
          </cell>
          <cell r="D913">
            <v>18</v>
          </cell>
          <cell r="E913">
            <v>792030</v>
          </cell>
          <cell r="F913">
            <v>0</v>
          </cell>
          <cell r="G913" t="str">
            <v>Затраты по ШПЗ (неосновные)</v>
          </cell>
          <cell r="H913">
            <v>2030</v>
          </cell>
          <cell r="I913">
            <v>7920</v>
          </cell>
          <cell r="J913">
            <v>115.14</v>
          </cell>
          <cell r="K913">
            <v>1</v>
          </cell>
          <cell r="L913">
            <v>0</v>
          </cell>
          <cell r="M913">
            <v>0</v>
          </cell>
          <cell r="N913">
            <v>0</v>
          </cell>
          <cell r="R913">
            <v>0</v>
          </cell>
          <cell r="S913">
            <v>0</v>
          </cell>
          <cell r="T913">
            <v>0</v>
          </cell>
          <cell r="U913">
            <v>42</v>
          </cell>
          <cell r="V913">
            <v>0</v>
          </cell>
          <cell r="W913">
            <v>0</v>
          </cell>
          <cell r="AA913">
            <v>0</v>
          </cell>
          <cell r="AB913">
            <v>0</v>
          </cell>
          <cell r="AC913">
            <v>0</v>
          </cell>
          <cell r="AD913">
            <v>42</v>
          </cell>
          <cell r="AE913">
            <v>132000</v>
          </cell>
          <cell r="AF913">
            <v>0</v>
          </cell>
          <cell r="AI913">
            <v>2373</v>
          </cell>
          <cell r="AK913">
            <v>0</v>
          </cell>
          <cell r="AM913">
            <v>812</v>
          </cell>
          <cell r="AN913">
            <v>1</v>
          </cell>
          <cell r="AO913">
            <v>393216</v>
          </cell>
          <cell r="AQ913">
            <v>0</v>
          </cell>
          <cell r="AR913">
            <v>0</v>
          </cell>
          <cell r="AS913" t="str">
            <v>Ы</v>
          </cell>
          <cell r="AT913" t="str">
            <v>Ы</v>
          </cell>
          <cell r="AU913">
            <v>0</v>
          </cell>
          <cell r="AV913">
            <v>0</v>
          </cell>
          <cell r="AW913">
            <v>23</v>
          </cell>
          <cell r="AX913">
            <v>1</v>
          </cell>
          <cell r="AY913">
            <v>0</v>
          </cell>
          <cell r="AZ913">
            <v>0</v>
          </cell>
          <cell r="BA913">
            <v>0</v>
          </cell>
          <cell r="BB913">
            <v>0</v>
          </cell>
          <cell r="BC913">
            <v>38916</v>
          </cell>
        </row>
        <row r="914">
          <cell r="A914">
            <v>2006</v>
          </cell>
          <cell r="B914">
            <v>6</v>
          </cell>
          <cell r="C914">
            <v>669</v>
          </cell>
          <cell r="D914">
            <v>18</v>
          </cell>
          <cell r="E914">
            <v>792030</v>
          </cell>
          <cell r="F914">
            <v>0</v>
          </cell>
          <cell r="G914" t="str">
            <v>Затраты по ШПЗ (неосновные)</v>
          </cell>
          <cell r="H914">
            <v>2030</v>
          </cell>
          <cell r="I914">
            <v>7920</v>
          </cell>
          <cell r="J914">
            <v>16.190000000000001</v>
          </cell>
          <cell r="K914">
            <v>1</v>
          </cell>
          <cell r="L914">
            <v>0</v>
          </cell>
          <cell r="M914">
            <v>0</v>
          </cell>
          <cell r="N914">
            <v>0</v>
          </cell>
          <cell r="R914">
            <v>0</v>
          </cell>
          <cell r="S914">
            <v>0</v>
          </cell>
          <cell r="T914">
            <v>0</v>
          </cell>
          <cell r="U914">
            <v>42</v>
          </cell>
          <cell r="V914">
            <v>0</v>
          </cell>
          <cell r="W914">
            <v>0</v>
          </cell>
          <cell r="AA914">
            <v>0</v>
          </cell>
          <cell r="AB914">
            <v>0</v>
          </cell>
          <cell r="AC914">
            <v>0</v>
          </cell>
          <cell r="AD914">
            <v>42</v>
          </cell>
          <cell r="AE914">
            <v>135000</v>
          </cell>
          <cell r="AF914">
            <v>0</v>
          </cell>
          <cell r="AI914">
            <v>2373</v>
          </cell>
          <cell r="AK914">
            <v>0</v>
          </cell>
          <cell r="AM914">
            <v>813</v>
          </cell>
          <cell r="AN914">
            <v>1</v>
          </cell>
          <cell r="AO914">
            <v>393216</v>
          </cell>
          <cell r="AQ914">
            <v>0</v>
          </cell>
          <cell r="AR914">
            <v>0</v>
          </cell>
          <cell r="AS914" t="str">
            <v>Ы</v>
          </cell>
          <cell r="AT914" t="str">
            <v>Ы</v>
          </cell>
          <cell r="AU914">
            <v>0</v>
          </cell>
          <cell r="AV914">
            <v>0</v>
          </cell>
          <cell r="AW914">
            <v>23</v>
          </cell>
          <cell r="AX914">
            <v>1</v>
          </cell>
          <cell r="AY914">
            <v>0</v>
          </cell>
          <cell r="AZ914">
            <v>0</v>
          </cell>
          <cell r="BA914">
            <v>0</v>
          </cell>
          <cell r="BB914">
            <v>0</v>
          </cell>
          <cell r="BC914">
            <v>38916</v>
          </cell>
        </row>
        <row r="915">
          <cell r="A915">
            <v>2006</v>
          </cell>
          <cell r="B915">
            <v>6</v>
          </cell>
          <cell r="C915">
            <v>670</v>
          </cell>
          <cell r="D915">
            <v>18</v>
          </cell>
          <cell r="E915">
            <v>792030</v>
          </cell>
          <cell r="F915">
            <v>0</v>
          </cell>
          <cell r="G915" t="str">
            <v>Затраты по ШПЗ (неосновные)</v>
          </cell>
          <cell r="H915">
            <v>2030</v>
          </cell>
          <cell r="I915">
            <v>7920</v>
          </cell>
          <cell r="J915">
            <v>67606.02</v>
          </cell>
          <cell r="K915">
            <v>1</v>
          </cell>
          <cell r="L915">
            <v>0</v>
          </cell>
          <cell r="M915">
            <v>0</v>
          </cell>
          <cell r="N915">
            <v>0</v>
          </cell>
          <cell r="R915">
            <v>0</v>
          </cell>
          <cell r="S915">
            <v>0</v>
          </cell>
          <cell r="T915">
            <v>0</v>
          </cell>
          <cell r="U915">
            <v>42</v>
          </cell>
          <cell r="V915">
            <v>0</v>
          </cell>
          <cell r="W915">
            <v>0</v>
          </cell>
          <cell r="AA915">
            <v>0</v>
          </cell>
          <cell r="AB915">
            <v>0</v>
          </cell>
          <cell r="AC915">
            <v>0</v>
          </cell>
          <cell r="AD915">
            <v>42</v>
          </cell>
          <cell r="AE915">
            <v>143000</v>
          </cell>
          <cell r="AF915">
            <v>0</v>
          </cell>
          <cell r="AI915">
            <v>2373</v>
          </cell>
          <cell r="AK915">
            <v>0</v>
          </cell>
          <cell r="AM915">
            <v>814</v>
          </cell>
          <cell r="AN915">
            <v>1</v>
          </cell>
          <cell r="AO915">
            <v>393216</v>
          </cell>
          <cell r="AQ915">
            <v>0</v>
          </cell>
          <cell r="AR915">
            <v>0</v>
          </cell>
          <cell r="AS915" t="str">
            <v>Ы</v>
          </cell>
          <cell r="AT915" t="str">
            <v>Ы</v>
          </cell>
          <cell r="AU915">
            <v>0</v>
          </cell>
          <cell r="AV915">
            <v>0</v>
          </cell>
          <cell r="AW915">
            <v>23</v>
          </cell>
          <cell r="AX915">
            <v>1</v>
          </cell>
          <cell r="AY915">
            <v>0</v>
          </cell>
          <cell r="AZ915">
            <v>0</v>
          </cell>
          <cell r="BA915">
            <v>0</v>
          </cell>
          <cell r="BB915">
            <v>0</v>
          </cell>
          <cell r="BC915">
            <v>38916</v>
          </cell>
        </row>
        <row r="916">
          <cell r="A916">
            <v>2006</v>
          </cell>
          <cell r="B916">
            <v>6</v>
          </cell>
          <cell r="C916">
            <v>671</v>
          </cell>
          <cell r="D916">
            <v>18</v>
          </cell>
          <cell r="E916">
            <v>792030</v>
          </cell>
          <cell r="F916">
            <v>0</v>
          </cell>
          <cell r="G916" t="str">
            <v>Затраты по ШПЗ (неосновные)</v>
          </cell>
          <cell r="H916">
            <v>2030</v>
          </cell>
          <cell r="I916">
            <v>7920</v>
          </cell>
          <cell r="J916">
            <v>41.97</v>
          </cell>
          <cell r="K916">
            <v>1</v>
          </cell>
          <cell r="L916">
            <v>0</v>
          </cell>
          <cell r="M916">
            <v>0</v>
          </cell>
          <cell r="N916">
            <v>0</v>
          </cell>
          <cell r="R916">
            <v>0</v>
          </cell>
          <cell r="S916">
            <v>0</v>
          </cell>
          <cell r="T916">
            <v>0</v>
          </cell>
          <cell r="U916">
            <v>42</v>
          </cell>
          <cell r="V916">
            <v>0</v>
          </cell>
          <cell r="W916">
            <v>0</v>
          </cell>
          <cell r="AA916">
            <v>0</v>
          </cell>
          <cell r="AB916">
            <v>0</v>
          </cell>
          <cell r="AC916">
            <v>0</v>
          </cell>
          <cell r="AD916">
            <v>42</v>
          </cell>
          <cell r="AE916">
            <v>410000</v>
          </cell>
          <cell r="AF916">
            <v>0</v>
          </cell>
          <cell r="AI916">
            <v>2373</v>
          </cell>
          <cell r="AK916">
            <v>0</v>
          </cell>
          <cell r="AM916">
            <v>815</v>
          </cell>
          <cell r="AN916">
            <v>1</v>
          </cell>
          <cell r="AO916">
            <v>393216</v>
          </cell>
          <cell r="AQ916">
            <v>0</v>
          </cell>
          <cell r="AR916">
            <v>0</v>
          </cell>
          <cell r="AS916" t="str">
            <v>Ы</v>
          </cell>
          <cell r="AT916" t="str">
            <v>Ы</v>
          </cell>
          <cell r="AU916">
            <v>0</v>
          </cell>
          <cell r="AV916">
            <v>0</v>
          </cell>
          <cell r="AW916">
            <v>23</v>
          </cell>
          <cell r="AX916">
            <v>1</v>
          </cell>
          <cell r="AY916">
            <v>0</v>
          </cell>
          <cell r="AZ916">
            <v>0</v>
          </cell>
          <cell r="BA916">
            <v>0</v>
          </cell>
          <cell r="BB916">
            <v>0</v>
          </cell>
          <cell r="BC916">
            <v>38916</v>
          </cell>
        </row>
        <row r="917">
          <cell r="A917">
            <v>2006</v>
          </cell>
          <cell r="B917">
            <v>6</v>
          </cell>
          <cell r="C917">
            <v>672</v>
          </cell>
          <cell r="D917">
            <v>18</v>
          </cell>
          <cell r="E917">
            <v>792030</v>
          </cell>
          <cell r="F917">
            <v>0</v>
          </cell>
          <cell r="G917" t="str">
            <v>Затраты по ШПЗ (неосновные)</v>
          </cell>
          <cell r="H917">
            <v>2030</v>
          </cell>
          <cell r="I917">
            <v>7920</v>
          </cell>
          <cell r="J917">
            <v>572.97</v>
          </cell>
          <cell r="K917">
            <v>1</v>
          </cell>
          <cell r="L917">
            <v>0</v>
          </cell>
          <cell r="M917">
            <v>0</v>
          </cell>
          <cell r="N917">
            <v>0</v>
          </cell>
          <cell r="R917">
            <v>0</v>
          </cell>
          <cell r="S917">
            <v>0</v>
          </cell>
          <cell r="T917">
            <v>0</v>
          </cell>
          <cell r="U917">
            <v>42</v>
          </cell>
          <cell r="V917">
            <v>0</v>
          </cell>
          <cell r="W917">
            <v>0</v>
          </cell>
          <cell r="AA917">
            <v>0</v>
          </cell>
          <cell r="AB917">
            <v>0</v>
          </cell>
          <cell r="AC917">
            <v>0</v>
          </cell>
          <cell r="AD917">
            <v>42</v>
          </cell>
          <cell r="AE917">
            <v>420000</v>
          </cell>
          <cell r="AF917">
            <v>0</v>
          </cell>
          <cell r="AI917">
            <v>2373</v>
          </cell>
          <cell r="AK917">
            <v>0</v>
          </cell>
          <cell r="AM917">
            <v>816</v>
          </cell>
          <cell r="AN917">
            <v>1</v>
          </cell>
          <cell r="AO917">
            <v>393216</v>
          </cell>
          <cell r="AQ917">
            <v>0</v>
          </cell>
          <cell r="AR917">
            <v>0</v>
          </cell>
          <cell r="AS917" t="str">
            <v>Ы</v>
          </cell>
          <cell r="AT917" t="str">
            <v>Ы</v>
          </cell>
          <cell r="AU917">
            <v>0</v>
          </cell>
          <cell r="AV917">
            <v>0</v>
          </cell>
          <cell r="AW917">
            <v>23</v>
          </cell>
          <cell r="AX917">
            <v>1</v>
          </cell>
          <cell r="AY917">
            <v>0</v>
          </cell>
          <cell r="AZ917">
            <v>0</v>
          </cell>
          <cell r="BA917">
            <v>0</v>
          </cell>
          <cell r="BB917">
            <v>0</v>
          </cell>
          <cell r="BC917">
            <v>38916</v>
          </cell>
        </row>
        <row r="918">
          <cell r="A918">
            <v>2006</v>
          </cell>
          <cell r="B918">
            <v>6</v>
          </cell>
          <cell r="C918">
            <v>673</v>
          </cell>
          <cell r="D918">
            <v>18</v>
          </cell>
          <cell r="E918">
            <v>792030</v>
          </cell>
          <cell r="F918">
            <v>0</v>
          </cell>
          <cell r="G918" t="str">
            <v>Затраты по ШПЗ (неосновные)</v>
          </cell>
          <cell r="H918">
            <v>2030</v>
          </cell>
          <cell r="I918">
            <v>7920</v>
          </cell>
          <cell r="J918">
            <v>97.42</v>
          </cell>
          <cell r="K918">
            <v>1</v>
          </cell>
          <cell r="L918">
            <v>0</v>
          </cell>
          <cell r="M918">
            <v>0</v>
          </cell>
          <cell r="N918">
            <v>0</v>
          </cell>
          <cell r="R918">
            <v>0</v>
          </cell>
          <cell r="S918">
            <v>0</v>
          </cell>
          <cell r="T918">
            <v>0</v>
          </cell>
          <cell r="U918">
            <v>42</v>
          </cell>
          <cell r="V918">
            <v>0</v>
          </cell>
          <cell r="W918">
            <v>0</v>
          </cell>
          <cell r="AA918">
            <v>0</v>
          </cell>
          <cell r="AB918">
            <v>0</v>
          </cell>
          <cell r="AC918">
            <v>0</v>
          </cell>
          <cell r="AD918">
            <v>42</v>
          </cell>
          <cell r="AE918">
            <v>430000</v>
          </cell>
          <cell r="AF918">
            <v>0</v>
          </cell>
          <cell r="AI918">
            <v>2373</v>
          </cell>
          <cell r="AK918">
            <v>0</v>
          </cell>
          <cell r="AM918">
            <v>817</v>
          </cell>
          <cell r="AN918">
            <v>1</v>
          </cell>
          <cell r="AO918">
            <v>393216</v>
          </cell>
          <cell r="AQ918">
            <v>0</v>
          </cell>
          <cell r="AR918">
            <v>0</v>
          </cell>
          <cell r="AS918" t="str">
            <v>Ы</v>
          </cell>
          <cell r="AT918" t="str">
            <v>Ы</v>
          </cell>
          <cell r="AU918">
            <v>0</v>
          </cell>
          <cell r="AV918">
            <v>0</v>
          </cell>
          <cell r="AW918">
            <v>23</v>
          </cell>
          <cell r="AX918">
            <v>1</v>
          </cell>
          <cell r="AY918">
            <v>0</v>
          </cell>
          <cell r="AZ918">
            <v>0</v>
          </cell>
          <cell r="BA918">
            <v>0</v>
          </cell>
          <cell r="BB918">
            <v>0</v>
          </cell>
          <cell r="BC918">
            <v>38916</v>
          </cell>
        </row>
        <row r="919">
          <cell r="A919">
            <v>2006</v>
          </cell>
          <cell r="B919">
            <v>6</v>
          </cell>
          <cell r="C919">
            <v>674</v>
          </cell>
          <cell r="D919">
            <v>18</v>
          </cell>
          <cell r="E919">
            <v>792030</v>
          </cell>
          <cell r="F919">
            <v>0</v>
          </cell>
          <cell r="G919" t="str">
            <v>Затраты по ШПЗ (неосновные)</v>
          </cell>
          <cell r="H919">
            <v>2030</v>
          </cell>
          <cell r="I919">
            <v>7920</v>
          </cell>
          <cell r="J919">
            <v>73.63</v>
          </cell>
          <cell r="K919">
            <v>1</v>
          </cell>
          <cell r="L919">
            <v>0</v>
          </cell>
          <cell r="M919">
            <v>0</v>
          </cell>
          <cell r="N919">
            <v>0</v>
          </cell>
          <cell r="R919">
            <v>0</v>
          </cell>
          <cell r="S919">
            <v>0</v>
          </cell>
          <cell r="T919">
            <v>0</v>
          </cell>
          <cell r="U919">
            <v>42</v>
          </cell>
          <cell r="V919">
            <v>0</v>
          </cell>
          <cell r="W919">
            <v>0</v>
          </cell>
          <cell r="AA919">
            <v>0</v>
          </cell>
          <cell r="AB919">
            <v>0</v>
          </cell>
          <cell r="AC919">
            <v>0</v>
          </cell>
          <cell r="AD919">
            <v>42</v>
          </cell>
          <cell r="AE919">
            <v>450000</v>
          </cell>
          <cell r="AF919">
            <v>0</v>
          </cell>
          <cell r="AI919">
            <v>2373</v>
          </cell>
          <cell r="AK919">
            <v>0</v>
          </cell>
          <cell r="AM919">
            <v>818</v>
          </cell>
          <cell r="AN919">
            <v>1</v>
          </cell>
          <cell r="AO919">
            <v>393216</v>
          </cell>
          <cell r="AQ919">
            <v>0</v>
          </cell>
          <cell r="AR919">
            <v>0</v>
          </cell>
          <cell r="AS919" t="str">
            <v>Ы</v>
          </cell>
          <cell r="AT919" t="str">
            <v>Ы</v>
          </cell>
          <cell r="AU919">
            <v>0</v>
          </cell>
          <cell r="AV919">
            <v>0</v>
          </cell>
          <cell r="AW919">
            <v>23</v>
          </cell>
          <cell r="AX919">
            <v>1</v>
          </cell>
          <cell r="AY919">
            <v>0</v>
          </cell>
          <cell r="AZ919">
            <v>0</v>
          </cell>
          <cell r="BA919">
            <v>0</v>
          </cell>
          <cell r="BB919">
            <v>0</v>
          </cell>
          <cell r="BC919">
            <v>38916</v>
          </cell>
        </row>
        <row r="920">
          <cell r="A920">
            <v>2006</v>
          </cell>
          <cell r="B920">
            <v>6</v>
          </cell>
          <cell r="C920">
            <v>675</v>
          </cell>
          <cell r="D920">
            <v>18</v>
          </cell>
          <cell r="E920">
            <v>792030</v>
          </cell>
          <cell r="F920">
            <v>0</v>
          </cell>
          <cell r="G920" t="str">
            <v>Затраты по ШПЗ (неосновные)</v>
          </cell>
          <cell r="H920">
            <v>2030</v>
          </cell>
          <cell r="I920">
            <v>7920</v>
          </cell>
          <cell r="J920">
            <v>16.71</v>
          </cell>
          <cell r="K920">
            <v>1</v>
          </cell>
          <cell r="L920">
            <v>0</v>
          </cell>
          <cell r="M920">
            <v>0</v>
          </cell>
          <cell r="N920">
            <v>0</v>
          </cell>
          <cell r="R920">
            <v>0</v>
          </cell>
          <cell r="S920">
            <v>0</v>
          </cell>
          <cell r="T920">
            <v>0</v>
          </cell>
          <cell r="U920">
            <v>42</v>
          </cell>
          <cell r="V920">
            <v>0</v>
          </cell>
          <cell r="W920">
            <v>0</v>
          </cell>
          <cell r="AA920">
            <v>0</v>
          </cell>
          <cell r="AB920">
            <v>0</v>
          </cell>
          <cell r="AC920">
            <v>0</v>
          </cell>
          <cell r="AD920">
            <v>42</v>
          </cell>
          <cell r="AE920">
            <v>460000</v>
          </cell>
          <cell r="AF920">
            <v>0</v>
          </cell>
          <cell r="AI920">
            <v>2373</v>
          </cell>
          <cell r="AK920">
            <v>0</v>
          </cell>
          <cell r="AM920">
            <v>819</v>
          </cell>
          <cell r="AN920">
            <v>1</v>
          </cell>
          <cell r="AO920">
            <v>393216</v>
          </cell>
          <cell r="AQ920">
            <v>0</v>
          </cell>
          <cell r="AR920">
            <v>0</v>
          </cell>
          <cell r="AS920" t="str">
            <v>Ы</v>
          </cell>
          <cell r="AT920" t="str">
            <v>Ы</v>
          </cell>
          <cell r="AU920">
            <v>0</v>
          </cell>
          <cell r="AV920">
            <v>0</v>
          </cell>
          <cell r="AW920">
            <v>23</v>
          </cell>
          <cell r="AX920">
            <v>1</v>
          </cell>
          <cell r="AY920">
            <v>0</v>
          </cell>
          <cell r="AZ920">
            <v>0</v>
          </cell>
          <cell r="BA920">
            <v>0</v>
          </cell>
          <cell r="BB920">
            <v>0</v>
          </cell>
          <cell r="BC920">
            <v>38916</v>
          </cell>
        </row>
        <row r="921">
          <cell r="A921">
            <v>2006</v>
          </cell>
          <cell r="B921">
            <v>6</v>
          </cell>
          <cell r="C921">
            <v>676</v>
          </cell>
          <cell r="D921">
            <v>18</v>
          </cell>
          <cell r="E921">
            <v>792030</v>
          </cell>
          <cell r="F921">
            <v>0</v>
          </cell>
          <cell r="G921" t="str">
            <v>Затраты по ШПЗ (неосновные)</v>
          </cell>
          <cell r="H921">
            <v>2030</v>
          </cell>
          <cell r="I921">
            <v>7920</v>
          </cell>
          <cell r="J921">
            <v>0.57999999999999996</v>
          </cell>
          <cell r="K921">
            <v>1</v>
          </cell>
          <cell r="L921">
            <v>0</v>
          </cell>
          <cell r="M921">
            <v>0</v>
          </cell>
          <cell r="N921">
            <v>0</v>
          </cell>
          <cell r="R921">
            <v>0</v>
          </cell>
          <cell r="S921">
            <v>0</v>
          </cell>
          <cell r="T921">
            <v>0</v>
          </cell>
          <cell r="U921">
            <v>42</v>
          </cell>
          <cell r="V921">
            <v>0</v>
          </cell>
          <cell r="W921">
            <v>0</v>
          </cell>
          <cell r="AA921">
            <v>0</v>
          </cell>
          <cell r="AB921">
            <v>0</v>
          </cell>
          <cell r="AC921">
            <v>0</v>
          </cell>
          <cell r="AD921">
            <v>42</v>
          </cell>
          <cell r="AE921">
            <v>465000</v>
          </cell>
          <cell r="AF921">
            <v>0</v>
          </cell>
          <cell r="AI921">
            <v>2373</v>
          </cell>
          <cell r="AK921">
            <v>0</v>
          </cell>
          <cell r="AM921">
            <v>820</v>
          </cell>
          <cell r="AN921">
            <v>1</v>
          </cell>
          <cell r="AO921">
            <v>393216</v>
          </cell>
          <cell r="AQ921">
            <v>0</v>
          </cell>
          <cell r="AR921">
            <v>0</v>
          </cell>
          <cell r="AS921" t="str">
            <v>Ы</v>
          </cell>
          <cell r="AT921" t="str">
            <v>Ы</v>
          </cell>
          <cell r="AU921">
            <v>0</v>
          </cell>
          <cell r="AV921">
            <v>0</v>
          </cell>
          <cell r="AW921">
            <v>23</v>
          </cell>
          <cell r="AX921">
            <v>1</v>
          </cell>
          <cell r="AY921">
            <v>0</v>
          </cell>
          <cell r="AZ921">
            <v>0</v>
          </cell>
          <cell r="BA921">
            <v>0</v>
          </cell>
          <cell r="BB921">
            <v>0</v>
          </cell>
          <cell r="BC921">
            <v>38916</v>
          </cell>
        </row>
        <row r="922">
          <cell r="A922">
            <v>2006</v>
          </cell>
          <cell r="B922">
            <v>6</v>
          </cell>
          <cell r="C922">
            <v>677</v>
          </cell>
          <cell r="D922">
            <v>18</v>
          </cell>
          <cell r="E922">
            <v>792030</v>
          </cell>
          <cell r="F922">
            <v>0</v>
          </cell>
          <cell r="G922" t="str">
            <v>Затраты по ШПЗ (неосновные)</v>
          </cell>
          <cell r="H922">
            <v>2030</v>
          </cell>
          <cell r="I922">
            <v>7920</v>
          </cell>
          <cell r="J922">
            <v>7.82</v>
          </cell>
          <cell r="K922">
            <v>1</v>
          </cell>
          <cell r="L922">
            <v>0</v>
          </cell>
          <cell r="M922">
            <v>0</v>
          </cell>
          <cell r="N922">
            <v>0</v>
          </cell>
          <cell r="R922">
            <v>0</v>
          </cell>
          <cell r="S922">
            <v>0</v>
          </cell>
          <cell r="T922">
            <v>0</v>
          </cell>
          <cell r="U922">
            <v>42</v>
          </cell>
          <cell r="V922">
            <v>0</v>
          </cell>
          <cell r="W922">
            <v>0</v>
          </cell>
          <cell r="AA922">
            <v>0</v>
          </cell>
          <cell r="AB922">
            <v>0</v>
          </cell>
          <cell r="AC922">
            <v>0</v>
          </cell>
          <cell r="AD922">
            <v>42</v>
          </cell>
          <cell r="AE922">
            <v>501103</v>
          </cell>
          <cell r="AF922">
            <v>0</v>
          </cell>
          <cell r="AI922">
            <v>2373</v>
          </cell>
          <cell r="AK922">
            <v>0</v>
          </cell>
          <cell r="AM922">
            <v>821</v>
          </cell>
          <cell r="AN922">
            <v>1</v>
          </cell>
          <cell r="AO922">
            <v>393216</v>
          </cell>
          <cell r="AQ922">
            <v>0</v>
          </cell>
          <cell r="AR922">
            <v>0</v>
          </cell>
          <cell r="AS922" t="str">
            <v>Ы</v>
          </cell>
          <cell r="AT922" t="str">
            <v>Ы</v>
          </cell>
          <cell r="AU922">
            <v>0</v>
          </cell>
          <cell r="AV922">
            <v>0</v>
          </cell>
          <cell r="AW922">
            <v>23</v>
          </cell>
          <cell r="AX922">
            <v>1</v>
          </cell>
          <cell r="AY922">
            <v>0</v>
          </cell>
          <cell r="AZ922">
            <v>0</v>
          </cell>
          <cell r="BA922">
            <v>0</v>
          </cell>
          <cell r="BB922">
            <v>0</v>
          </cell>
          <cell r="BC922">
            <v>38916</v>
          </cell>
        </row>
        <row r="923">
          <cell r="A923">
            <v>2006</v>
          </cell>
          <cell r="B923">
            <v>6</v>
          </cell>
          <cell r="C923">
            <v>678</v>
          </cell>
          <cell r="D923">
            <v>18</v>
          </cell>
          <cell r="E923">
            <v>792030</v>
          </cell>
          <cell r="F923">
            <v>0</v>
          </cell>
          <cell r="G923" t="str">
            <v>Затраты по ШПЗ (неосновные)</v>
          </cell>
          <cell r="H923">
            <v>2030</v>
          </cell>
          <cell r="I923">
            <v>7920</v>
          </cell>
          <cell r="J923">
            <v>145.24</v>
          </cell>
          <cell r="K923">
            <v>1</v>
          </cell>
          <cell r="L923">
            <v>0</v>
          </cell>
          <cell r="M923">
            <v>0</v>
          </cell>
          <cell r="N923">
            <v>0</v>
          </cell>
          <cell r="R923">
            <v>0</v>
          </cell>
          <cell r="S923">
            <v>0</v>
          </cell>
          <cell r="T923">
            <v>0</v>
          </cell>
          <cell r="U923">
            <v>42</v>
          </cell>
          <cell r="V923">
            <v>0</v>
          </cell>
          <cell r="W923">
            <v>0</v>
          </cell>
          <cell r="AA923">
            <v>0</v>
          </cell>
          <cell r="AB923">
            <v>0</v>
          </cell>
          <cell r="AC923">
            <v>0</v>
          </cell>
          <cell r="AD923">
            <v>42</v>
          </cell>
          <cell r="AE923">
            <v>501105</v>
          </cell>
          <cell r="AF923">
            <v>0</v>
          </cell>
          <cell r="AI923">
            <v>2373</v>
          </cell>
          <cell r="AK923">
            <v>0</v>
          </cell>
          <cell r="AM923">
            <v>822</v>
          </cell>
          <cell r="AN923">
            <v>1</v>
          </cell>
          <cell r="AO923">
            <v>393216</v>
          </cell>
          <cell r="AQ923">
            <v>0</v>
          </cell>
          <cell r="AR923">
            <v>0</v>
          </cell>
          <cell r="AS923" t="str">
            <v>Ы</v>
          </cell>
          <cell r="AT923" t="str">
            <v>Ы</v>
          </cell>
          <cell r="AU923">
            <v>0</v>
          </cell>
          <cell r="AV923">
            <v>0</v>
          </cell>
          <cell r="AW923">
            <v>23</v>
          </cell>
          <cell r="AX923">
            <v>1</v>
          </cell>
          <cell r="AY923">
            <v>0</v>
          </cell>
          <cell r="AZ923">
            <v>0</v>
          </cell>
          <cell r="BA923">
            <v>0</v>
          </cell>
          <cell r="BB923">
            <v>0</v>
          </cell>
          <cell r="BC923">
            <v>38916</v>
          </cell>
        </row>
        <row r="924">
          <cell r="A924">
            <v>2006</v>
          </cell>
          <cell r="B924">
            <v>6</v>
          </cell>
          <cell r="C924">
            <v>679</v>
          </cell>
          <cell r="D924">
            <v>18</v>
          </cell>
          <cell r="E924">
            <v>792030</v>
          </cell>
          <cell r="F924">
            <v>0</v>
          </cell>
          <cell r="G924" t="str">
            <v>Затраты по ШПЗ (неосновные)</v>
          </cell>
          <cell r="H924">
            <v>2030</v>
          </cell>
          <cell r="I924">
            <v>7920</v>
          </cell>
          <cell r="J924">
            <v>129.91</v>
          </cell>
          <cell r="K924">
            <v>1</v>
          </cell>
          <cell r="L924">
            <v>0</v>
          </cell>
          <cell r="M924">
            <v>0</v>
          </cell>
          <cell r="N924">
            <v>0</v>
          </cell>
          <cell r="R924">
            <v>0</v>
          </cell>
          <cell r="S924">
            <v>0</v>
          </cell>
          <cell r="T924">
            <v>0</v>
          </cell>
          <cell r="U924">
            <v>42</v>
          </cell>
          <cell r="V924">
            <v>0</v>
          </cell>
          <cell r="W924">
            <v>0</v>
          </cell>
          <cell r="AA924">
            <v>0</v>
          </cell>
          <cell r="AB924">
            <v>0</v>
          </cell>
          <cell r="AC924">
            <v>0</v>
          </cell>
          <cell r="AD924">
            <v>42</v>
          </cell>
          <cell r="AE924">
            <v>501106</v>
          </cell>
          <cell r="AF924">
            <v>0</v>
          </cell>
          <cell r="AI924">
            <v>2373</v>
          </cell>
          <cell r="AK924">
            <v>0</v>
          </cell>
          <cell r="AM924">
            <v>823</v>
          </cell>
          <cell r="AN924">
            <v>1</v>
          </cell>
          <cell r="AO924">
            <v>393216</v>
          </cell>
          <cell r="AQ924">
            <v>0</v>
          </cell>
          <cell r="AR924">
            <v>0</v>
          </cell>
          <cell r="AS924" t="str">
            <v>Ы</v>
          </cell>
          <cell r="AT924" t="str">
            <v>Ы</v>
          </cell>
          <cell r="AU924">
            <v>0</v>
          </cell>
          <cell r="AV924">
            <v>0</v>
          </cell>
          <cell r="AW924">
            <v>23</v>
          </cell>
          <cell r="AX924">
            <v>1</v>
          </cell>
          <cell r="AY924">
            <v>0</v>
          </cell>
          <cell r="AZ924">
            <v>0</v>
          </cell>
          <cell r="BA924">
            <v>0</v>
          </cell>
          <cell r="BB924">
            <v>0</v>
          </cell>
          <cell r="BC924">
            <v>38916</v>
          </cell>
        </row>
        <row r="925">
          <cell r="A925">
            <v>2006</v>
          </cell>
          <cell r="B925">
            <v>6</v>
          </cell>
          <cell r="C925">
            <v>680</v>
          </cell>
          <cell r="D925">
            <v>18</v>
          </cell>
          <cell r="E925">
            <v>792030</v>
          </cell>
          <cell r="F925">
            <v>0</v>
          </cell>
          <cell r="G925" t="str">
            <v>Затраты по ШПЗ (неосновные)</v>
          </cell>
          <cell r="H925">
            <v>2030</v>
          </cell>
          <cell r="I925">
            <v>7920</v>
          </cell>
          <cell r="J925">
            <v>1353.45</v>
          </cell>
          <cell r="K925">
            <v>1</v>
          </cell>
          <cell r="L925">
            <v>0</v>
          </cell>
          <cell r="M925">
            <v>0</v>
          </cell>
          <cell r="N925">
            <v>0</v>
          </cell>
          <cell r="R925">
            <v>0</v>
          </cell>
          <cell r="S925">
            <v>0</v>
          </cell>
          <cell r="T925">
            <v>0</v>
          </cell>
          <cell r="U925">
            <v>42</v>
          </cell>
          <cell r="V925">
            <v>0</v>
          </cell>
          <cell r="W925">
            <v>0</v>
          </cell>
          <cell r="AA925">
            <v>0</v>
          </cell>
          <cell r="AB925">
            <v>0</v>
          </cell>
          <cell r="AC925">
            <v>0</v>
          </cell>
          <cell r="AD925">
            <v>42</v>
          </cell>
          <cell r="AE925">
            <v>501109</v>
          </cell>
          <cell r="AF925">
            <v>0</v>
          </cell>
          <cell r="AI925">
            <v>2373</v>
          </cell>
          <cell r="AK925">
            <v>0</v>
          </cell>
          <cell r="AM925">
            <v>824</v>
          </cell>
          <cell r="AN925">
            <v>1</v>
          </cell>
          <cell r="AO925">
            <v>393216</v>
          </cell>
          <cell r="AQ925">
            <v>0</v>
          </cell>
          <cell r="AR925">
            <v>0</v>
          </cell>
          <cell r="AS925" t="str">
            <v>Ы</v>
          </cell>
          <cell r="AT925" t="str">
            <v>Ы</v>
          </cell>
          <cell r="AU925">
            <v>0</v>
          </cell>
          <cell r="AV925">
            <v>0</v>
          </cell>
          <cell r="AW925">
            <v>23</v>
          </cell>
          <cell r="AX925">
            <v>1</v>
          </cell>
          <cell r="AY925">
            <v>0</v>
          </cell>
          <cell r="AZ925">
            <v>0</v>
          </cell>
          <cell r="BA925">
            <v>0</v>
          </cell>
          <cell r="BB925">
            <v>0</v>
          </cell>
          <cell r="BC925">
            <v>38916</v>
          </cell>
        </row>
        <row r="926">
          <cell r="A926">
            <v>2006</v>
          </cell>
          <cell r="B926">
            <v>6</v>
          </cell>
          <cell r="C926">
            <v>681</v>
          </cell>
          <cell r="D926">
            <v>18</v>
          </cell>
          <cell r="E926">
            <v>792030</v>
          </cell>
          <cell r="F926">
            <v>0</v>
          </cell>
          <cell r="G926" t="str">
            <v>Затраты по ШПЗ (неосновные)</v>
          </cell>
          <cell r="H926">
            <v>2030</v>
          </cell>
          <cell r="I926">
            <v>7920</v>
          </cell>
          <cell r="J926">
            <v>4495.8999999999996</v>
          </cell>
          <cell r="K926">
            <v>1</v>
          </cell>
          <cell r="L926">
            <v>0</v>
          </cell>
          <cell r="M926">
            <v>0</v>
          </cell>
          <cell r="N926">
            <v>0</v>
          </cell>
          <cell r="R926">
            <v>0</v>
          </cell>
          <cell r="S926">
            <v>0</v>
          </cell>
          <cell r="T926">
            <v>0</v>
          </cell>
          <cell r="U926">
            <v>42</v>
          </cell>
          <cell r="V926">
            <v>0</v>
          </cell>
          <cell r="W926">
            <v>0</v>
          </cell>
          <cell r="AA926">
            <v>0</v>
          </cell>
          <cell r="AB926">
            <v>0</v>
          </cell>
          <cell r="AC926">
            <v>0</v>
          </cell>
          <cell r="AD926">
            <v>42</v>
          </cell>
          <cell r="AE926">
            <v>502100</v>
          </cell>
          <cell r="AF926">
            <v>0</v>
          </cell>
          <cell r="AI926">
            <v>2373</v>
          </cell>
          <cell r="AK926">
            <v>0</v>
          </cell>
          <cell r="AM926">
            <v>825</v>
          </cell>
          <cell r="AN926">
            <v>1</v>
          </cell>
          <cell r="AO926">
            <v>393216</v>
          </cell>
          <cell r="AQ926">
            <v>0</v>
          </cell>
          <cell r="AR926">
            <v>0</v>
          </cell>
          <cell r="AS926" t="str">
            <v>Ы</v>
          </cell>
          <cell r="AT926" t="str">
            <v>Ы</v>
          </cell>
          <cell r="AU926">
            <v>0</v>
          </cell>
          <cell r="AV926">
            <v>0</v>
          </cell>
          <cell r="AW926">
            <v>23</v>
          </cell>
          <cell r="AX926">
            <v>1</v>
          </cell>
          <cell r="AY926">
            <v>0</v>
          </cell>
          <cell r="AZ926">
            <v>0</v>
          </cell>
          <cell r="BA926">
            <v>0</v>
          </cell>
          <cell r="BB926">
            <v>0</v>
          </cell>
          <cell r="BC926">
            <v>38916</v>
          </cell>
        </row>
        <row r="927">
          <cell r="A927">
            <v>2006</v>
          </cell>
          <cell r="B927">
            <v>6</v>
          </cell>
          <cell r="C927">
            <v>682</v>
          </cell>
          <cell r="D927">
            <v>18</v>
          </cell>
          <cell r="E927">
            <v>792030</v>
          </cell>
          <cell r="F927">
            <v>0</v>
          </cell>
          <cell r="G927" t="str">
            <v>Затраты по ШПЗ (неосновные)</v>
          </cell>
          <cell r="H927">
            <v>2030</v>
          </cell>
          <cell r="I927">
            <v>7920</v>
          </cell>
          <cell r="J927">
            <v>489.78</v>
          </cell>
          <cell r="K927">
            <v>1</v>
          </cell>
          <cell r="L927">
            <v>0</v>
          </cell>
          <cell r="M927">
            <v>0</v>
          </cell>
          <cell r="N927">
            <v>0</v>
          </cell>
          <cell r="R927">
            <v>0</v>
          </cell>
          <cell r="S927">
            <v>0</v>
          </cell>
          <cell r="T927">
            <v>0</v>
          </cell>
          <cell r="U927">
            <v>42</v>
          </cell>
          <cell r="V927">
            <v>0</v>
          </cell>
          <cell r="W927">
            <v>0</v>
          </cell>
          <cell r="AA927">
            <v>0</v>
          </cell>
          <cell r="AB927">
            <v>0</v>
          </cell>
          <cell r="AC927">
            <v>0</v>
          </cell>
          <cell r="AD927">
            <v>42</v>
          </cell>
          <cell r="AE927">
            <v>503000</v>
          </cell>
          <cell r="AF927">
            <v>0</v>
          </cell>
          <cell r="AI927">
            <v>2373</v>
          </cell>
          <cell r="AK927">
            <v>0</v>
          </cell>
          <cell r="AM927">
            <v>826</v>
          </cell>
          <cell r="AN927">
            <v>1</v>
          </cell>
          <cell r="AO927">
            <v>393216</v>
          </cell>
          <cell r="AQ927">
            <v>0</v>
          </cell>
          <cell r="AR927">
            <v>0</v>
          </cell>
          <cell r="AS927" t="str">
            <v>Ы</v>
          </cell>
          <cell r="AT927" t="str">
            <v>Ы</v>
          </cell>
          <cell r="AU927">
            <v>0</v>
          </cell>
          <cell r="AV927">
            <v>0</v>
          </cell>
          <cell r="AW927">
            <v>23</v>
          </cell>
          <cell r="AX927">
            <v>1</v>
          </cell>
          <cell r="AY927">
            <v>0</v>
          </cell>
          <cell r="AZ927">
            <v>0</v>
          </cell>
          <cell r="BA927">
            <v>0</v>
          </cell>
          <cell r="BB927">
            <v>0</v>
          </cell>
          <cell r="BC927">
            <v>38916</v>
          </cell>
        </row>
        <row r="928">
          <cell r="A928">
            <v>2006</v>
          </cell>
          <cell r="B928">
            <v>6</v>
          </cell>
          <cell r="C928">
            <v>683</v>
          </cell>
          <cell r="D928">
            <v>18</v>
          </cell>
          <cell r="E928">
            <v>792030</v>
          </cell>
          <cell r="F928">
            <v>0</v>
          </cell>
          <cell r="G928" t="str">
            <v>Затраты по ШПЗ (неосновные)</v>
          </cell>
          <cell r="H928">
            <v>2030</v>
          </cell>
          <cell r="I928">
            <v>7920</v>
          </cell>
          <cell r="J928">
            <v>0.51</v>
          </cell>
          <cell r="K928">
            <v>1</v>
          </cell>
          <cell r="L928">
            <v>0</v>
          </cell>
          <cell r="M928">
            <v>0</v>
          </cell>
          <cell r="N928">
            <v>0</v>
          </cell>
          <cell r="R928">
            <v>0</v>
          </cell>
          <cell r="S928">
            <v>0</v>
          </cell>
          <cell r="T928">
            <v>0</v>
          </cell>
          <cell r="U928">
            <v>42</v>
          </cell>
          <cell r="V928">
            <v>0</v>
          </cell>
          <cell r="W928">
            <v>0</v>
          </cell>
          <cell r="AA928">
            <v>0</v>
          </cell>
          <cell r="AB928">
            <v>0</v>
          </cell>
          <cell r="AC928">
            <v>0</v>
          </cell>
          <cell r="AD928">
            <v>42</v>
          </cell>
          <cell r="AE928">
            <v>504100</v>
          </cell>
          <cell r="AF928">
            <v>0</v>
          </cell>
          <cell r="AI928">
            <v>2373</v>
          </cell>
          <cell r="AK928">
            <v>0</v>
          </cell>
          <cell r="AM928">
            <v>827</v>
          </cell>
          <cell r="AN928">
            <v>1</v>
          </cell>
          <cell r="AO928">
            <v>393216</v>
          </cell>
          <cell r="AQ928">
            <v>0</v>
          </cell>
          <cell r="AR928">
            <v>0</v>
          </cell>
          <cell r="AS928" t="str">
            <v>Ы</v>
          </cell>
          <cell r="AT928" t="str">
            <v>Ы</v>
          </cell>
          <cell r="AU928">
            <v>0</v>
          </cell>
          <cell r="AV928">
            <v>0</v>
          </cell>
          <cell r="AW928">
            <v>23</v>
          </cell>
          <cell r="AX928">
            <v>1</v>
          </cell>
          <cell r="AY928">
            <v>0</v>
          </cell>
          <cell r="AZ928">
            <v>0</v>
          </cell>
          <cell r="BA928">
            <v>0</v>
          </cell>
          <cell r="BB928">
            <v>0</v>
          </cell>
          <cell r="BC928">
            <v>38916</v>
          </cell>
        </row>
        <row r="929">
          <cell r="A929">
            <v>2006</v>
          </cell>
          <cell r="B929">
            <v>6</v>
          </cell>
          <cell r="C929">
            <v>684</v>
          </cell>
          <cell r="D929">
            <v>18</v>
          </cell>
          <cell r="E929">
            <v>792030</v>
          </cell>
          <cell r="F929">
            <v>0</v>
          </cell>
          <cell r="G929" t="str">
            <v>Затраты по ШПЗ (неосновные)</v>
          </cell>
          <cell r="H929">
            <v>2030</v>
          </cell>
          <cell r="I929">
            <v>7920</v>
          </cell>
          <cell r="J929">
            <v>2.89</v>
          </cell>
          <cell r="K929">
            <v>1</v>
          </cell>
          <cell r="L929">
            <v>0</v>
          </cell>
          <cell r="M929">
            <v>0</v>
          </cell>
          <cell r="N929">
            <v>0</v>
          </cell>
          <cell r="R929">
            <v>0</v>
          </cell>
          <cell r="S929">
            <v>0</v>
          </cell>
          <cell r="T929">
            <v>0</v>
          </cell>
          <cell r="U929">
            <v>42</v>
          </cell>
          <cell r="V929">
            <v>0</v>
          </cell>
          <cell r="W929">
            <v>0</v>
          </cell>
          <cell r="AA929">
            <v>0</v>
          </cell>
          <cell r="AB929">
            <v>0</v>
          </cell>
          <cell r="AC929">
            <v>0</v>
          </cell>
          <cell r="AD929">
            <v>42</v>
          </cell>
          <cell r="AE929">
            <v>504200</v>
          </cell>
          <cell r="AF929">
            <v>0</v>
          </cell>
          <cell r="AI929">
            <v>2373</v>
          </cell>
          <cell r="AK929">
            <v>0</v>
          </cell>
          <cell r="AM929">
            <v>828</v>
          </cell>
          <cell r="AN929">
            <v>1</v>
          </cell>
          <cell r="AO929">
            <v>393216</v>
          </cell>
          <cell r="AQ929">
            <v>0</v>
          </cell>
          <cell r="AR929">
            <v>0</v>
          </cell>
          <cell r="AS929" t="str">
            <v>Ы</v>
          </cell>
          <cell r="AT929" t="str">
            <v>Ы</v>
          </cell>
          <cell r="AU929">
            <v>0</v>
          </cell>
          <cell r="AV929">
            <v>0</v>
          </cell>
          <cell r="AW929">
            <v>23</v>
          </cell>
          <cell r="AX929">
            <v>1</v>
          </cell>
          <cell r="AY929">
            <v>0</v>
          </cell>
          <cell r="AZ929">
            <v>0</v>
          </cell>
          <cell r="BA929">
            <v>0</v>
          </cell>
          <cell r="BB929">
            <v>0</v>
          </cell>
          <cell r="BC929">
            <v>38916</v>
          </cell>
        </row>
        <row r="930">
          <cell r="A930">
            <v>2006</v>
          </cell>
          <cell r="B930">
            <v>6</v>
          </cell>
          <cell r="C930">
            <v>685</v>
          </cell>
          <cell r="D930">
            <v>18</v>
          </cell>
          <cell r="E930">
            <v>792030</v>
          </cell>
          <cell r="F930">
            <v>0</v>
          </cell>
          <cell r="G930" t="str">
            <v>Затраты по ШПЗ (неосновные)</v>
          </cell>
          <cell r="H930">
            <v>2030</v>
          </cell>
          <cell r="I930">
            <v>7920</v>
          </cell>
          <cell r="J930">
            <v>4.78</v>
          </cell>
          <cell r="K930">
            <v>1</v>
          </cell>
          <cell r="L930">
            <v>0</v>
          </cell>
          <cell r="M930">
            <v>0</v>
          </cell>
          <cell r="N930">
            <v>0</v>
          </cell>
          <cell r="R930">
            <v>0</v>
          </cell>
          <cell r="S930">
            <v>0</v>
          </cell>
          <cell r="T930">
            <v>0</v>
          </cell>
          <cell r="U930">
            <v>42</v>
          </cell>
          <cell r="V930">
            <v>0</v>
          </cell>
          <cell r="W930">
            <v>0</v>
          </cell>
          <cell r="AA930">
            <v>0</v>
          </cell>
          <cell r="AB930">
            <v>0</v>
          </cell>
          <cell r="AC930">
            <v>0</v>
          </cell>
          <cell r="AD930">
            <v>42</v>
          </cell>
          <cell r="AE930">
            <v>504400</v>
          </cell>
          <cell r="AF930">
            <v>0</v>
          </cell>
          <cell r="AI930">
            <v>2373</v>
          </cell>
          <cell r="AK930">
            <v>0</v>
          </cell>
          <cell r="AM930">
            <v>829</v>
          </cell>
          <cell r="AN930">
            <v>1</v>
          </cell>
          <cell r="AO930">
            <v>393216</v>
          </cell>
          <cell r="AQ930">
            <v>0</v>
          </cell>
          <cell r="AR930">
            <v>0</v>
          </cell>
          <cell r="AS930" t="str">
            <v>Ы</v>
          </cell>
          <cell r="AT930" t="str">
            <v>Ы</v>
          </cell>
          <cell r="AU930">
            <v>0</v>
          </cell>
          <cell r="AV930">
            <v>0</v>
          </cell>
          <cell r="AW930">
            <v>23</v>
          </cell>
          <cell r="AX930">
            <v>1</v>
          </cell>
          <cell r="AY930">
            <v>0</v>
          </cell>
          <cell r="AZ930">
            <v>0</v>
          </cell>
          <cell r="BA930">
            <v>0</v>
          </cell>
          <cell r="BB930">
            <v>0</v>
          </cell>
          <cell r="BC930">
            <v>38916</v>
          </cell>
        </row>
        <row r="931">
          <cell r="A931">
            <v>2006</v>
          </cell>
          <cell r="B931">
            <v>6</v>
          </cell>
          <cell r="C931">
            <v>686</v>
          </cell>
          <cell r="D931">
            <v>18</v>
          </cell>
          <cell r="E931">
            <v>792030</v>
          </cell>
          <cell r="F931">
            <v>0</v>
          </cell>
          <cell r="G931" t="str">
            <v>Затраты по ШПЗ (неосновные)</v>
          </cell>
          <cell r="H931">
            <v>2030</v>
          </cell>
          <cell r="I931">
            <v>7920</v>
          </cell>
          <cell r="J931">
            <v>21.19</v>
          </cell>
          <cell r="K931">
            <v>1</v>
          </cell>
          <cell r="L931">
            <v>0</v>
          </cell>
          <cell r="M931">
            <v>0</v>
          </cell>
          <cell r="N931">
            <v>0</v>
          </cell>
          <cell r="R931">
            <v>0</v>
          </cell>
          <cell r="S931">
            <v>0</v>
          </cell>
          <cell r="T931">
            <v>0</v>
          </cell>
          <cell r="U931">
            <v>42</v>
          </cell>
          <cell r="V931">
            <v>0</v>
          </cell>
          <cell r="W931">
            <v>0</v>
          </cell>
          <cell r="AA931">
            <v>0</v>
          </cell>
          <cell r="AB931">
            <v>0</v>
          </cell>
          <cell r="AC931">
            <v>0</v>
          </cell>
          <cell r="AD931">
            <v>42</v>
          </cell>
          <cell r="AE931">
            <v>504900</v>
          </cell>
          <cell r="AF931">
            <v>0</v>
          </cell>
          <cell r="AI931">
            <v>2373</v>
          </cell>
          <cell r="AK931">
            <v>0</v>
          </cell>
          <cell r="AM931">
            <v>830</v>
          </cell>
          <cell r="AN931">
            <v>1</v>
          </cell>
          <cell r="AO931">
            <v>393216</v>
          </cell>
          <cell r="AQ931">
            <v>0</v>
          </cell>
          <cell r="AR931">
            <v>0</v>
          </cell>
          <cell r="AS931" t="str">
            <v>Ы</v>
          </cell>
          <cell r="AT931" t="str">
            <v>Ы</v>
          </cell>
          <cell r="AU931">
            <v>0</v>
          </cell>
          <cell r="AV931">
            <v>0</v>
          </cell>
          <cell r="AW931">
            <v>23</v>
          </cell>
          <cell r="AX931">
            <v>1</v>
          </cell>
          <cell r="AY931">
            <v>0</v>
          </cell>
          <cell r="AZ931">
            <v>0</v>
          </cell>
          <cell r="BA931">
            <v>0</v>
          </cell>
          <cell r="BB931">
            <v>0</v>
          </cell>
          <cell r="BC931">
            <v>38916</v>
          </cell>
        </row>
        <row r="932">
          <cell r="A932">
            <v>2006</v>
          </cell>
          <cell r="B932">
            <v>6</v>
          </cell>
          <cell r="C932">
            <v>687</v>
          </cell>
          <cell r="D932">
            <v>18</v>
          </cell>
          <cell r="E932">
            <v>792030</v>
          </cell>
          <cell r="F932">
            <v>0</v>
          </cell>
          <cell r="G932" t="str">
            <v>Затраты по ШПЗ (неосновные)</v>
          </cell>
          <cell r="H932">
            <v>2030</v>
          </cell>
          <cell r="I932">
            <v>7920</v>
          </cell>
          <cell r="J932">
            <v>43.5</v>
          </cell>
          <cell r="K932">
            <v>1</v>
          </cell>
          <cell r="L932">
            <v>0</v>
          </cell>
          <cell r="M932">
            <v>0</v>
          </cell>
          <cell r="N932">
            <v>0</v>
          </cell>
          <cell r="R932">
            <v>0</v>
          </cell>
          <cell r="S932">
            <v>0</v>
          </cell>
          <cell r="T932">
            <v>0</v>
          </cell>
          <cell r="U932">
            <v>42</v>
          </cell>
          <cell r="V932">
            <v>0</v>
          </cell>
          <cell r="W932">
            <v>0</v>
          </cell>
          <cell r="AA932">
            <v>0</v>
          </cell>
          <cell r="AB932">
            <v>0</v>
          </cell>
          <cell r="AC932">
            <v>0</v>
          </cell>
          <cell r="AD932">
            <v>42</v>
          </cell>
          <cell r="AE932">
            <v>505100</v>
          </cell>
          <cell r="AF932">
            <v>0</v>
          </cell>
          <cell r="AI932">
            <v>2373</v>
          </cell>
          <cell r="AK932">
            <v>0</v>
          </cell>
          <cell r="AM932">
            <v>831</v>
          </cell>
          <cell r="AN932">
            <v>1</v>
          </cell>
          <cell r="AO932">
            <v>393216</v>
          </cell>
          <cell r="AQ932">
            <v>0</v>
          </cell>
          <cell r="AR932">
            <v>0</v>
          </cell>
          <cell r="AS932" t="str">
            <v>Ы</v>
          </cell>
          <cell r="AT932" t="str">
            <v>Ы</v>
          </cell>
          <cell r="AU932">
            <v>0</v>
          </cell>
          <cell r="AV932">
            <v>0</v>
          </cell>
          <cell r="AW932">
            <v>23</v>
          </cell>
          <cell r="AX932">
            <v>1</v>
          </cell>
          <cell r="AY932">
            <v>0</v>
          </cell>
          <cell r="AZ932">
            <v>0</v>
          </cell>
          <cell r="BA932">
            <v>0</v>
          </cell>
          <cell r="BB932">
            <v>0</v>
          </cell>
          <cell r="BC932">
            <v>38916</v>
          </cell>
        </row>
        <row r="933">
          <cell r="A933">
            <v>2006</v>
          </cell>
          <cell r="B933">
            <v>6</v>
          </cell>
          <cell r="C933">
            <v>688</v>
          </cell>
          <cell r="D933">
            <v>18</v>
          </cell>
          <cell r="E933">
            <v>792030</v>
          </cell>
          <cell r="F933">
            <v>0</v>
          </cell>
          <cell r="G933" t="str">
            <v>Затраты по ШПЗ (неосновные)</v>
          </cell>
          <cell r="H933">
            <v>2030</v>
          </cell>
          <cell r="I933">
            <v>7920</v>
          </cell>
          <cell r="J933">
            <v>39.67</v>
          </cell>
          <cell r="K933">
            <v>1</v>
          </cell>
          <cell r="L933">
            <v>0</v>
          </cell>
          <cell r="M933">
            <v>0</v>
          </cell>
          <cell r="N933">
            <v>0</v>
          </cell>
          <cell r="R933">
            <v>0</v>
          </cell>
          <cell r="S933">
            <v>0</v>
          </cell>
          <cell r="T933">
            <v>0</v>
          </cell>
          <cell r="U933">
            <v>42</v>
          </cell>
          <cell r="V933">
            <v>0</v>
          </cell>
          <cell r="W933">
            <v>0</v>
          </cell>
          <cell r="AA933">
            <v>0</v>
          </cell>
          <cell r="AB933">
            <v>0</v>
          </cell>
          <cell r="AC933">
            <v>0</v>
          </cell>
          <cell r="AD933">
            <v>42</v>
          </cell>
          <cell r="AE933">
            <v>505200</v>
          </cell>
          <cell r="AF933">
            <v>0</v>
          </cell>
          <cell r="AI933">
            <v>2373</v>
          </cell>
          <cell r="AK933">
            <v>0</v>
          </cell>
          <cell r="AM933">
            <v>832</v>
          </cell>
          <cell r="AN933">
            <v>1</v>
          </cell>
          <cell r="AO933">
            <v>393216</v>
          </cell>
          <cell r="AQ933">
            <v>0</v>
          </cell>
          <cell r="AR933">
            <v>0</v>
          </cell>
          <cell r="AS933" t="str">
            <v>Ы</v>
          </cell>
          <cell r="AT933" t="str">
            <v>Ы</v>
          </cell>
          <cell r="AU933">
            <v>0</v>
          </cell>
          <cell r="AV933">
            <v>0</v>
          </cell>
          <cell r="AW933">
            <v>23</v>
          </cell>
          <cell r="AX933">
            <v>1</v>
          </cell>
          <cell r="AY933">
            <v>0</v>
          </cell>
          <cell r="AZ933">
            <v>0</v>
          </cell>
          <cell r="BA933">
            <v>0</v>
          </cell>
          <cell r="BB933">
            <v>0</v>
          </cell>
          <cell r="BC933">
            <v>38916</v>
          </cell>
        </row>
        <row r="934">
          <cell r="A934">
            <v>2006</v>
          </cell>
          <cell r="B934">
            <v>6</v>
          </cell>
          <cell r="C934">
            <v>689</v>
          </cell>
          <cell r="D934">
            <v>18</v>
          </cell>
          <cell r="E934">
            <v>792030</v>
          </cell>
          <cell r="F934">
            <v>0</v>
          </cell>
          <cell r="G934" t="str">
            <v>Затраты по ШПЗ (неосновные)</v>
          </cell>
          <cell r="H934">
            <v>2030</v>
          </cell>
          <cell r="I934">
            <v>7920</v>
          </cell>
          <cell r="J934">
            <v>508.62</v>
          </cell>
          <cell r="K934">
            <v>1</v>
          </cell>
          <cell r="L934">
            <v>0</v>
          </cell>
          <cell r="M934">
            <v>0</v>
          </cell>
          <cell r="N934">
            <v>0</v>
          </cell>
          <cell r="R934">
            <v>0</v>
          </cell>
          <cell r="S934">
            <v>0</v>
          </cell>
          <cell r="T934">
            <v>0</v>
          </cell>
          <cell r="U934">
            <v>42</v>
          </cell>
          <cell r="V934">
            <v>0</v>
          </cell>
          <cell r="W934">
            <v>0</v>
          </cell>
          <cell r="AA934">
            <v>0</v>
          </cell>
          <cell r="AB934">
            <v>0</v>
          </cell>
          <cell r="AC934">
            <v>0</v>
          </cell>
          <cell r="AD934">
            <v>42</v>
          </cell>
          <cell r="AE934">
            <v>506200</v>
          </cell>
          <cell r="AF934">
            <v>0</v>
          </cell>
          <cell r="AI934">
            <v>2373</v>
          </cell>
          <cell r="AK934">
            <v>0</v>
          </cell>
          <cell r="AM934">
            <v>833</v>
          </cell>
          <cell r="AN934">
            <v>1</v>
          </cell>
          <cell r="AO934">
            <v>393216</v>
          </cell>
          <cell r="AQ934">
            <v>0</v>
          </cell>
          <cell r="AR934">
            <v>0</v>
          </cell>
          <cell r="AS934" t="str">
            <v>Ы</v>
          </cell>
          <cell r="AT934" t="str">
            <v>Ы</v>
          </cell>
          <cell r="AU934">
            <v>0</v>
          </cell>
          <cell r="AV934">
            <v>0</v>
          </cell>
          <cell r="AW934">
            <v>23</v>
          </cell>
          <cell r="AX934">
            <v>1</v>
          </cell>
          <cell r="AY934">
            <v>0</v>
          </cell>
          <cell r="AZ934">
            <v>0</v>
          </cell>
          <cell r="BA934">
            <v>0</v>
          </cell>
          <cell r="BB934">
            <v>0</v>
          </cell>
          <cell r="BC934">
            <v>38916</v>
          </cell>
        </row>
        <row r="935">
          <cell r="A935">
            <v>2006</v>
          </cell>
          <cell r="B935">
            <v>6</v>
          </cell>
          <cell r="C935">
            <v>690</v>
          </cell>
          <cell r="D935">
            <v>18</v>
          </cell>
          <cell r="E935">
            <v>792030</v>
          </cell>
          <cell r="F935">
            <v>0</v>
          </cell>
          <cell r="G935" t="str">
            <v>Затраты по ШПЗ (неосновные)</v>
          </cell>
          <cell r="H935">
            <v>2030</v>
          </cell>
          <cell r="I935">
            <v>7920</v>
          </cell>
          <cell r="J935">
            <v>0.59</v>
          </cell>
          <cell r="K935">
            <v>1</v>
          </cell>
          <cell r="L935">
            <v>0</v>
          </cell>
          <cell r="M935">
            <v>0</v>
          </cell>
          <cell r="N935">
            <v>0</v>
          </cell>
          <cell r="R935">
            <v>0</v>
          </cell>
          <cell r="S935">
            <v>0</v>
          </cell>
          <cell r="T935">
            <v>0</v>
          </cell>
          <cell r="U935">
            <v>42</v>
          </cell>
          <cell r="V935">
            <v>0</v>
          </cell>
          <cell r="W935">
            <v>0</v>
          </cell>
          <cell r="AA935">
            <v>0</v>
          </cell>
          <cell r="AB935">
            <v>0</v>
          </cell>
          <cell r="AC935">
            <v>0</v>
          </cell>
          <cell r="AD935">
            <v>42</v>
          </cell>
          <cell r="AE935">
            <v>507000</v>
          </cell>
          <cell r="AF935">
            <v>0</v>
          </cell>
          <cell r="AI935">
            <v>2373</v>
          </cell>
          <cell r="AK935">
            <v>0</v>
          </cell>
          <cell r="AM935">
            <v>834</v>
          </cell>
          <cell r="AN935">
            <v>1</v>
          </cell>
          <cell r="AO935">
            <v>393216</v>
          </cell>
          <cell r="AQ935">
            <v>0</v>
          </cell>
          <cell r="AR935">
            <v>0</v>
          </cell>
          <cell r="AS935" t="str">
            <v>Ы</v>
          </cell>
          <cell r="AT935" t="str">
            <v>Ы</v>
          </cell>
          <cell r="AU935">
            <v>0</v>
          </cell>
          <cell r="AV935">
            <v>0</v>
          </cell>
          <cell r="AW935">
            <v>23</v>
          </cell>
          <cell r="AX935">
            <v>1</v>
          </cell>
          <cell r="AY935">
            <v>0</v>
          </cell>
          <cell r="AZ935">
            <v>0</v>
          </cell>
          <cell r="BA935">
            <v>0</v>
          </cell>
          <cell r="BB935">
            <v>0</v>
          </cell>
          <cell r="BC935">
            <v>38916</v>
          </cell>
        </row>
        <row r="936">
          <cell r="A936">
            <v>2006</v>
          </cell>
          <cell r="B936">
            <v>6</v>
          </cell>
          <cell r="C936">
            <v>691</v>
          </cell>
          <cell r="D936">
            <v>18</v>
          </cell>
          <cell r="E936">
            <v>792030</v>
          </cell>
          <cell r="F936">
            <v>0</v>
          </cell>
          <cell r="G936" t="str">
            <v>Затраты по ШПЗ (неосновные)</v>
          </cell>
          <cell r="H936">
            <v>2030</v>
          </cell>
          <cell r="I936">
            <v>7920</v>
          </cell>
          <cell r="J936">
            <v>10.86</v>
          </cell>
          <cell r="K936">
            <v>1</v>
          </cell>
          <cell r="L936">
            <v>0</v>
          </cell>
          <cell r="M936">
            <v>0</v>
          </cell>
          <cell r="N936">
            <v>0</v>
          </cell>
          <cell r="R936">
            <v>0</v>
          </cell>
          <cell r="S936">
            <v>0</v>
          </cell>
          <cell r="T936">
            <v>0</v>
          </cell>
          <cell r="U936">
            <v>42</v>
          </cell>
          <cell r="V936">
            <v>0</v>
          </cell>
          <cell r="W936">
            <v>0</v>
          </cell>
          <cell r="AA936">
            <v>0</v>
          </cell>
          <cell r="AB936">
            <v>0</v>
          </cell>
          <cell r="AC936">
            <v>0</v>
          </cell>
          <cell r="AD936">
            <v>42</v>
          </cell>
          <cell r="AE936">
            <v>508310</v>
          </cell>
          <cell r="AF936">
            <v>0</v>
          </cell>
          <cell r="AI936">
            <v>2373</v>
          </cell>
          <cell r="AK936">
            <v>0</v>
          </cell>
          <cell r="AM936">
            <v>835</v>
          </cell>
          <cell r="AN936">
            <v>1</v>
          </cell>
          <cell r="AO936">
            <v>393216</v>
          </cell>
          <cell r="AQ936">
            <v>0</v>
          </cell>
          <cell r="AR936">
            <v>0</v>
          </cell>
          <cell r="AS936" t="str">
            <v>Ы</v>
          </cell>
          <cell r="AT936" t="str">
            <v>Ы</v>
          </cell>
          <cell r="AU936">
            <v>0</v>
          </cell>
          <cell r="AV936">
            <v>0</v>
          </cell>
          <cell r="AW936">
            <v>23</v>
          </cell>
          <cell r="AX936">
            <v>1</v>
          </cell>
          <cell r="AY936">
            <v>0</v>
          </cell>
          <cell r="AZ936">
            <v>0</v>
          </cell>
          <cell r="BA936">
            <v>0</v>
          </cell>
          <cell r="BB936">
            <v>0</v>
          </cell>
          <cell r="BC936">
            <v>38916</v>
          </cell>
        </row>
        <row r="937">
          <cell r="A937">
            <v>2006</v>
          </cell>
          <cell r="B937">
            <v>6</v>
          </cell>
          <cell r="C937">
            <v>692</v>
          </cell>
          <cell r="D937">
            <v>18</v>
          </cell>
          <cell r="E937">
            <v>792030</v>
          </cell>
          <cell r="F937">
            <v>0</v>
          </cell>
          <cell r="G937" t="str">
            <v>Затраты по ШПЗ (неосновные)</v>
          </cell>
          <cell r="H937">
            <v>2030</v>
          </cell>
          <cell r="I937">
            <v>7920</v>
          </cell>
          <cell r="J937">
            <v>195</v>
          </cell>
          <cell r="K937">
            <v>1</v>
          </cell>
          <cell r="L937">
            <v>0</v>
          </cell>
          <cell r="M937">
            <v>0</v>
          </cell>
          <cell r="N937">
            <v>0</v>
          </cell>
          <cell r="R937">
            <v>0</v>
          </cell>
          <cell r="S937">
            <v>0</v>
          </cell>
          <cell r="T937">
            <v>0</v>
          </cell>
          <cell r="U937">
            <v>42</v>
          </cell>
          <cell r="V937">
            <v>0</v>
          </cell>
          <cell r="W937">
            <v>0</v>
          </cell>
          <cell r="AA937">
            <v>0</v>
          </cell>
          <cell r="AB937">
            <v>0</v>
          </cell>
          <cell r="AC937">
            <v>0</v>
          </cell>
          <cell r="AD937">
            <v>42</v>
          </cell>
          <cell r="AE937">
            <v>508400</v>
          </cell>
          <cell r="AF937">
            <v>0</v>
          </cell>
          <cell r="AI937">
            <v>2373</v>
          </cell>
          <cell r="AK937">
            <v>0</v>
          </cell>
          <cell r="AM937">
            <v>836</v>
          </cell>
          <cell r="AN937">
            <v>1</v>
          </cell>
          <cell r="AO937">
            <v>393216</v>
          </cell>
          <cell r="AQ937">
            <v>0</v>
          </cell>
          <cell r="AR937">
            <v>0</v>
          </cell>
          <cell r="AS937" t="str">
            <v>Ы</v>
          </cell>
          <cell r="AT937" t="str">
            <v>Ы</v>
          </cell>
          <cell r="AU937">
            <v>0</v>
          </cell>
          <cell r="AV937">
            <v>0</v>
          </cell>
          <cell r="AW937">
            <v>23</v>
          </cell>
          <cell r="AX937">
            <v>1</v>
          </cell>
          <cell r="AY937">
            <v>0</v>
          </cell>
          <cell r="AZ937">
            <v>0</v>
          </cell>
          <cell r="BA937">
            <v>0</v>
          </cell>
          <cell r="BB937">
            <v>0</v>
          </cell>
          <cell r="BC937">
            <v>38916</v>
          </cell>
        </row>
        <row r="938">
          <cell r="A938">
            <v>2006</v>
          </cell>
          <cell r="B938">
            <v>6</v>
          </cell>
          <cell r="C938">
            <v>693</v>
          </cell>
          <cell r="D938">
            <v>18</v>
          </cell>
          <cell r="E938">
            <v>792030</v>
          </cell>
          <cell r="F938">
            <v>0</v>
          </cell>
          <cell r="G938" t="str">
            <v>Затраты по ШПЗ (неосновные)</v>
          </cell>
          <cell r="H938">
            <v>2030</v>
          </cell>
          <cell r="I938">
            <v>7920</v>
          </cell>
          <cell r="J938">
            <v>146.72999999999999</v>
          </cell>
          <cell r="K938">
            <v>1</v>
          </cell>
          <cell r="L938">
            <v>0</v>
          </cell>
          <cell r="M938">
            <v>0</v>
          </cell>
          <cell r="N938">
            <v>0</v>
          </cell>
          <cell r="R938">
            <v>0</v>
          </cell>
          <cell r="S938">
            <v>0</v>
          </cell>
          <cell r="T938">
            <v>0</v>
          </cell>
          <cell r="U938">
            <v>42</v>
          </cell>
          <cell r="V938">
            <v>0</v>
          </cell>
          <cell r="W938">
            <v>0</v>
          </cell>
          <cell r="AA938">
            <v>0</v>
          </cell>
          <cell r="AB938">
            <v>0</v>
          </cell>
          <cell r="AC938">
            <v>0</v>
          </cell>
          <cell r="AD938">
            <v>42</v>
          </cell>
          <cell r="AE938">
            <v>510100</v>
          </cell>
          <cell r="AF938">
            <v>0</v>
          </cell>
          <cell r="AI938">
            <v>2373</v>
          </cell>
          <cell r="AK938">
            <v>0</v>
          </cell>
          <cell r="AM938">
            <v>837</v>
          </cell>
          <cell r="AN938">
            <v>1</v>
          </cell>
          <cell r="AO938">
            <v>393216</v>
          </cell>
          <cell r="AQ938">
            <v>0</v>
          </cell>
          <cell r="AR938">
            <v>0</v>
          </cell>
          <cell r="AS938" t="str">
            <v>Ы</v>
          </cell>
          <cell r="AT938" t="str">
            <v>Ы</v>
          </cell>
          <cell r="AU938">
            <v>0</v>
          </cell>
          <cell r="AV938">
            <v>0</v>
          </cell>
          <cell r="AW938">
            <v>23</v>
          </cell>
          <cell r="AX938">
            <v>1</v>
          </cell>
          <cell r="AY938">
            <v>0</v>
          </cell>
          <cell r="AZ938">
            <v>0</v>
          </cell>
          <cell r="BA938">
            <v>0</v>
          </cell>
          <cell r="BB938">
            <v>0</v>
          </cell>
          <cell r="BC938">
            <v>38916</v>
          </cell>
        </row>
        <row r="939">
          <cell r="A939">
            <v>2006</v>
          </cell>
          <cell r="B939">
            <v>6</v>
          </cell>
          <cell r="C939">
            <v>694</v>
          </cell>
          <cell r="D939">
            <v>18</v>
          </cell>
          <cell r="E939">
            <v>792030</v>
          </cell>
          <cell r="F939">
            <v>0</v>
          </cell>
          <cell r="G939" t="str">
            <v>Затраты по ШПЗ (неосновные)</v>
          </cell>
          <cell r="H939">
            <v>2030</v>
          </cell>
          <cell r="I939">
            <v>7920</v>
          </cell>
          <cell r="J939">
            <v>0.35</v>
          </cell>
          <cell r="K939">
            <v>1</v>
          </cell>
          <cell r="L939">
            <v>0</v>
          </cell>
          <cell r="M939">
            <v>0</v>
          </cell>
          <cell r="N939">
            <v>0</v>
          </cell>
          <cell r="R939">
            <v>0</v>
          </cell>
          <cell r="S939">
            <v>0</v>
          </cell>
          <cell r="T939">
            <v>0</v>
          </cell>
          <cell r="U939">
            <v>42</v>
          </cell>
          <cell r="V939">
            <v>0</v>
          </cell>
          <cell r="W939">
            <v>0</v>
          </cell>
          <cell r="AA939">
            <v>0</v>
          </cell>
          <cell r="AB939">
            <v>0</v>
          </cell>
          <cell r="AC939">
            <v>0</v>
          </cell>
          <cell r="AD939">
            <v>42</v>
          </cell>
          <cell r="AE939">
            <v>510200</v>
          </cell>
          <cell r="AF939">
            <v>0</v>
          </cell>
          <cell r="AI939">
            <v>2373</v>
          </cell>
          <cell r="AK939">
            <v>0</v>
          </cell>
          <cell r="AM939">
            <v>838</v>
          </cell>
          <cell r="AN939">
            <v>1</v>
          </cell>
          <cell r="AO939">
            <v>393216</v>
          </cell>
          <cell r="AQ939">
            <v>0</v>
          </cell>
          <cell r="AR939">
            <v>0</v>
          </cell>
          <cell r="AS939" t="str">
            <v>Ы</v>
          </cell>
          <cell r="AT939" t="str">
            <v>Ы</v>
          </cell>
          <cell r="AU939">
            <v>0</v>
          </cell>
          <cell r="AV939">
            <v>0</v>
          </cell>
          <cell r="AW939">
            <v>23</v>
          </cell>
          <cell r="AX939">
            <v>1</v>
          </cell>
          <cell r="AY939">
            <v>0</v>
          </cell>
          <cell r="AZ939">
            <v>0</v>
          </cell>
          <cell r="BA939">
            <v>0</v>
          </cell>
          <cell r="BB939">
            <v>0</v>
          </cell>
          <cell r="BC939">
            <v>38916</v>
          </cell>
        </row>
        <row r="940">
          <cell r="A940">
            <v>2006</v>
          </cell>
          <cell r="B940">
            <v>6</v>
          </cell>
          <cell r="C940">
            <v>695</v>
          </cell>
          <cell r="D940">
            <v>18</v>
          </cell>
          <cell r="E940">
            <v>792030</v>
          </cell>
          <cell r="F940">
            <v>0</v>
          </cell>
          <cell r="G940" t="str">
            <v>Затраты по ШПЗ (неосновные)</v>
          </cell>
          <cell r="H940">
            <v>2030</v>
          </cell>
          <cell r="I940">
            <v>7920</v>
          </cell>
          <cell r="J940">
            <v>1.1100000000000001</v>
          </cell>
          <cell r="K940">
            <v>1</v>
          </cell>
          <cell r="L940">
            <v>0</v>
          </cell>
          <cell r="M940">
            <v>0</v>
          </cell>
          <cell r="N940">
            <v>0</v>
          </cell>
          <cell r="R940">
            <v>0</v>
          </cell>
          <cell r="S940">
            <v>0</v>
          </cell>
          <cell r="T940">
            <v>0</v>
          </cell>
          <cell r="U940">
            <v>42</v>
          </cell>
          <cell r="V940">
            <v>0</v>
          </cell>
          <cell r="W940">
            <v>0</v>
          </cell>
          <cell r="AA940">
            <v>0</v>
          </cell>
          <cell r="AB940">
            <v>0</v>
          </cell>
          <cell r="AC940">
            <v>0</v>
          </cell>
          <cell r="AD940">
            <v>42</v>
          </cell>
          <cell r="AE940">
            <v>510300</v>
          </cell>
          <cell r="AF940">
            <v>0</v>
          </cell>
          <cell r="AI940">
            <v>2373</v>
          </cell>
          <cell r="AK940">
            <v>0</v>
          </cell>
          <cell r="AM940">
            <v>839</v>
          </cell>
          <cell r="AN940">
            <v>1</v>
          </cell>
          <cell r="AO940">
            <v>393216</v>
          </cell>
          <cell r="AQ940">
            <v>0</v>
          </cell>
          <cell r="AR940">
            <v>0</v>
          </cell>
          <cell r="AS940" t="str">
            <v>Ы</v>
          </cell>
          <cell r="AT940" t="str">
            <v>Ы</v>
          </cell>
          <cell r="AU940">
            <v>0</v>
          </cell>
          <cell r="AV940">
            <v>0</v>
          </cell>
          <cell r="AW940">
            <v>23</v>
          </cell>
          <cell r="AX940">
            <v>1</v>
          </cell>
          <cell r="AY940">
            <v>0</v>
          </cell>
          <cell r="AZ940">
            <v>0</v>
          </cell>
          <cell r="BA940">
            <v>0</v>
          </cell>
          <cell r="BB940">
            <v>0</v>
          </cell>
          <cell r="BC940">
            <v>38916</v>
          </cell>
        </row>
        <row r="941">
          <cell r="A941">
            <v>2006</v>
          </cell>
          <cell r="B941">
            <v>6</v>
          </cell>
          <cell r="C941">
            <v>696</v>
          </cell>
          <cell r="D941">
            <v>18</v>
          </cell>
          <cell r="E941">
            <v>792030</v>
          </cell>
          <cell r="F941">
            <v>0</v>
          </cell>
          <cell r="G941" t="str">
            <v>Затраты по ШПЗ (неосновные)</v>
          </cell>
          <cell r="H941">
            <v>2030</v>
          </cell>
          <cell r="I941">
            <v>7920</v>
          </cell>
          <cell r="J941">
            <v>7.69</v>
          </cell>
          <cell r="K941">
            <v>1</v>
          </cell>
          <cell r="L941">
            <v>0</v>
          </cell>
          <cell r="M941">
            <v>0</v>
          </cell>
          <cell r="N941">
            <v>0</v>
          </cell>
          <cell r="R941">
            <v>0</v>
          </cell>
          <cell r="S941">
            <v>0</v>
          </cell>
          <cell r="T941">
            <v>0</v>
          </cell>
          <cell r="U941">
            <v>42</v>
          </cell>
          <cell r="V941">
            <v>0</v>
          </cell>
          <cell r="W941">
            <v>0</v>
          </cell>
          <cell r="AA941">
            <v>0</v>
          </cell>
          <cell r="AB941">
            <v>0</v>
          </cell>
          <cell r="AC941">
            <v>0</v>
          </cell>
          <cell r="AD941">
            <v>42</v>
          </cell>
          <cell r="AE941">
            <v>510400</v>
          </cell>
          <cell r="AF941">
            <v>0</v>
          </cell>
          <cell r="AI941">
            <v>2373</v>
          </cell>
          <cell r="AK941">
            <v>0</v>
          </cell>
          <cell r="AM941">
            <v>840</v>
          </cell>
          <cell r="AN941">
            <v>1</v>
          </cell>
          <cell r="AO941">
            <v>393216</v>
          </cell>
          <cell r="AQ941">
            <v>0</v>
          </cell>
          <cell r="AR941">
            <v>0</v>
          </cell>
          <cell r="AS941" t="str">
            <v>Ы</v>
          </cell>
          <cell r="AT941" t="str">
            <v>Ы</v>
          </cell>
          <cell r="AU941">
            <v>0</v>
          </cell>
          <cell r="AV941">
            <v>0</v>
          </cell>
          <cell r="AW941">
            <v>23</v>
          </cell>
          <cell r="AX941">
            <v>1</v>
          </cell>
          <cell r="AY941">
            <v>0</v>
          </cell>
          <cell r="AZ941">
            <v>0</v>
          </cell>
          <cell r="BA941">
            <v>0</v>
          </cell>
          <cell r="BB941">
            <v>0</v>
          </cell>
          <cell r="BC941">
            <v>38916</v>
          </cell>
        </row>
        <row r="942">
          <cell r="A942">
            <v>2006</v>
          </cell>
          <cell r="B942">
            <v>6</v>
          </cell>
          <cell r="C942">
            <v>697</v>
          </cell>
          <cell r="D942">
            <v>18</v>
          </cell>
          <cell r="E942">
            <v>792030</v>
          </cell>
          <cell r="F942">
            <v>0</v>
          </cell>
          <cell r="G942" t="str">
            <v>Затраты по ШПЗ (неосновные)</v>
          </cell>
          <cell r="H942">
            <v>2030</v>
          </cell>
          <cell r="I942">
            <v>7920</v>
          </cell>
          <cell r="J942">
            <v>2.38</v>
          </cell>
          <cell r="K942">
            <v>1</v>
          </cell>
          <cell r="L942">
            <v>0</v>
          </cell>
          <cell r="M942">
            <v>0</v>
          </cell>
          <cell r="N942">
            <v>0</v>
          </cell>
          <cell r="R942">
            <v>0</v>
          </cell>
          <cell r="S942">
            <v>0</v>
          </cell>
          <cell r="T942">
            <v>0</v>
          </cell>
          <cell r="U942">
            <v>42</v>
          </cell>
          <cell r="V942">
            <v>0</v>
          </cell>
          <cell r="W942">
            <v>0</v>
          </cell>
          <cell r="AA942">
            <v>0</v>
          </cell>
          <cell r="AB942">
            <v>0</v>
          </cell>
          <cell r="AC942">
            <v>0</v>
          </cell>
          <cell r="AD942">
            <v>42</v>
          </cell>
          <cell r="AE942">
            <v>510500</v>
          </cell>
          <cell r="AF942">
            <v>0</v>
          </cell>
          <cell r="AI942">
            <v>2373</v>
          </cell>
          <cell r="AK942">
            <v>0</v>
          </cell>
          <cell r="AM942">
            <v>841</v>
          </cell>
          <cell r="AN942">
            <v>1</v>
          </cell>
          <cell r="AO942">
            <v>393216</v>
          </cell>
          <cell r="AQ942">
            <v>0</v>
          </cell>
          <cell r="AR942">
            <v>0</v>
          </cell>
          <cell r="AS942" t="str">
            <v>Ы</v>
          </cell>
          <cell r="AT942" t="str">
            <v>Ы</v>
          </cell>
          <cell r="AU942">
            <v>0</v>
          </cell>
          <cell r="AV942">
            <v>0</v>
          </cell>
          <cell r="AW942">
            <v>23</v>
          </cell>
          <cell r="AX942">
            <v>1</v>
          </cell>
          <cell r="AY942">
            <v>0</v>
          </cell>
          <cell r="AZ942">
            <v>0</v>
          </cell>
          <cell r="BA942">
            <v>0</v>
          </cell>
          <cell r="BB942">
            <v>0</v>
          </cell>
          <cell r="BC942">
            <v>38916</v>
          </cell>
        </row>
        <row r="943">
          <cell r="A943">
            <v>2006</v>
          </cell>
          <cell r="B943">
            <v>6</v>
          </cell>
          <cell r="C943">
            <v>698</v>
          </cell>
          <cell r="D943">
            <v>18</v>
          </cell>
          <cell r="E943">
            <v>792030</v>
          </cell>
          <cell r="F943">
            <v>0</v>
          </cell>
          <cell r="G943" t="str">
            <v>Затраты по ШПЗ (неосновные)</v>
          </cell>
          <cell r="H943">
            <v>2030</v>
          </cell>
          <cell r="I943">
            <v>7920</v>
          </cell>
          <cell r="J943">
            <v>455.74</v>
          </cell>
          <cell r="K943">
            <v>1</v>
          </cell>
          <cell r="L943">
            <v>0</v>
          </cell>
          <cell r="M943">
            <v>0</v>
          </cell>
          <cell r="N943">
            <v>0</v>
          </cell>
          <cell r="R943">
            <v>0</v>
          </cell>
          <cell r="S943">
            <v>0</v>
          </cell>
          <cell r="T943">
            <v>0</v>
          </cell>
          <cell r="U943">
            <v>42</v>
          </cell>
          <cell r="V943">
            <v>0</v>
          </cell>
          <cell r="W943">
            <v>0</v>
          </cell>
          <cell r="AA943">
            <v>0</v>
          </cell>
          <cell r="AB943">
            <v>0</v>
          </cell>
          <cell r="AC943">
            <v>0</v>
          </cell>
          <cell r="AD943">
            <v>42</v>
          </cell>
          <cell r="AE943">
            <v>510600</v>
          </cell>
          <cell r="AF943">
            <v>0</v>
          </cell>
          <cell r="AI943">
            <v>2373</v>
          </cell>
          <cell r="AK943">
            <v>0</v>
          </cell>
          <cell r="AM943">
            <v>842</v>
          </cell>
          <cell r="AN943">
            <v>1</v>
          </cell>
          <cell r="AO943">
            <v>393216</v>
          </cell>
          <cell r="AQ943">
            <v>0</v>
          </cell>
          <cell r="AR943">
            <v>0</v>
          </cell>
          <cell r="AS943" t="str">
            <v>Ы</v>
          </cell>
          <cell r="AT943" t="str">
            <v>Ы</v>
          </cell>
          <cell r="AU943">
            <v>0</v>
          </cell>
          <cell r="AV943">
            <v>0</v>
          </cell>
          <cell r="AW943">
            <v>23</v>
          </cell>
          <cell r="AX943">
            <v>1</v>
          </cell>
          <cell r="AY943">
            <v>0</v>
          </cell>
          <cell r="AZ943">
            <v>0</v>
          </cell>
          <cell r="BA943">
            <v>0</v>
          </cell>
          <cell r="BB943">
            <v>0</v>
          </cell>
          <cell r="BC943">
            <v>38916</v>
          </cell>
        </row>
        <row r="944">
          <cell r="A944">
            <v>2006</v>
          </cell>
          <cell r="B944">
            <v>6</v>
          </cell>
          <cell r="C944">
            <v>699</v>
          </cell>
          <cell r="D944">
            <v>18</v>
          </cell>
          <cell r="E944">
            <v>792030</v>
          </cell>
          <cell r="F944">
            <v>0</v>
          </cell>
          <cell r="G944" t="str">
            <v>Затраты по ШПЗ (неосновные)</v>
          </cell>
          <cell r="H944">
            <v>2030</v>
          </cell>
          <cell r="I944">
            <v>7920</v>
          </cell>
          <cell r="J944">
            <v>1.99</v>
          </cell>
          <cell r="K944">
            <v>1</v>
          </cell>
          <cell r="L944">
            <v>0</v>
          </cell>
          <cell r="M944">
            <v>0</v>
          </cell>
          <cell r="N944">
            <v>0</v>
          </cell>
          <cell r="R944">
            <v>0</v>
          </cell>
          <cell r="S944">
            <v>0</v>
          </cell>
          <cell r="T944">
            <v>0</v>
          </cell>
          <cell r="U944">
            <v>42</v>
          </cell>
          <cell r="V944">
            <v>0</v>
          </cell>
          <cell r="W944">
            <v>0</v>
          </cell>
          <cell r="AA944">
            <v>0</v>
          </cell>
          <cell r="AB944">
            <v>0</v>
          </cell>
          <cell r="AC944">
            <v>0</v>
          </cell>
          <cell r="AD944">
            <v>42</v>
          </cell>
          <cell r="AE944">
            <v>510630</v>
          </cell>
          <cell r="AF944">
            <v>0</v>
          </cell>
          <cell r="AI944">
            <v>2373</v>
          </cell>
          <cell r="AK944">
            <v>0</v>
          </cell>
          <cell r="AM944">
            <v>843</v>
          </cell>
          <cell r="AN944">
            <v>1</v>
          </cell>
          <cell r="AO944">
            <v>393216</v>
          </cell>
          <cell r="AQ944">
            <v>0</v>
          </cell>
          <cell r="AR944">
            <v>0</v>
          </cell>
          <cell r="AS944" t="str">
            <v>Ы</v>
          </cell>
          <cell r="AT944" t="str">
            <v>Ы</v>
          </cell>
          <cell r="AU944">
            <v>0</v>
          </cell>
          <cell r="AV944">
            <v>0</v>
          </cell>
          <cell r="AW944">
            <v>23</v>
          </cell>
          <cell r="AX944">
            <v>1</v>
          </cell>
          <cell r="AY944">
            <v>0</v>
          </cell>
          <cell r="AZ944">
            <v>0</v>
          </cell>
          <cell r="BA944">
            <v>0</v>
          </cell>
          <cell r="BB944">
            <v>0</v>
          </cell>
          <cell r="BC944">
            <v>38916</v>
          </cell>
        </row>
        <row r="945">
          <cell r="A945">
            <v>2006</v>
          </cell>
          <cell r="B945">
            <v>1</v>
          </cell>
          <cell r="C945">
            <v>170</v>
          </cell>
          <cell r="D945">
            <v>20</v>
          </cell>
          <cell r="E945">
            <v>792900</v>
          </cell>
          <cell r="F945">
            <v>0</v>
          </cell>
          <cell r="G945" t="str">
            <v>Затраты по ШПЗ (непроизв)</v>
          </cell>
          <cell r="H945">
            <v>2900</v>
          </cell>
          <cell r="I945">
            <v>7920</v>
          </cell>
          <cell r="J945">
            <v>4810</v>
          </cell>
          <cell r="K945">
            <v>1</v>
          </cell>
          <cell r="L945">
            <v>0</v>
          </cell>
          <cell r="M945">
            <v>0</v>
          </cell>
          <cell r="N945">
            <v>0</v>
          </cell>
          <cell r="R945">
            <v>0</v>
          </cell>
          <cell r="S945">
            <v>0</v>
          </cell>
          <cell r="T945">
            <v>0</v>
          </cell>
          <cell r="U945">
            <v>31</v>
          </cell>
          <cell r="V945">
            <v>0</v>
          </cell>
          <cell r="W945">
            <v>0</v>
          </cell>
          <cell r="AA945">
            <v>0</v>
          </cell>
          <cell r="AB945">
            <v>0</v>
          </cell>
          <cell r="AC945">
            <v>0</v>
          </cell>
          <cell r="AD945">
            <v>31</v>
          </cell>
          <cell r="AE945">
            <v>220000</v>
          </cell>
          <cell r="AF945">
            <v>0</v>
          </cell>
          <cell r="AI945">
            <v>2223</v>
          </cell>
          <cell r="AK945">
            <v>0</v>
          </cell>
          <cell r="AM945">
            <v>297</v>
          </cell>
          <cell r="AN945">
            <v>1</v>
          </cell>
          <cell r="AO945">
            <v>393216</v>
          </cell>
          <cell r="AQ945">
            <v>0</v>
          </cell>
          <cell r="AR945">
            <v>0</v>
          </cell>
          <cell r="AS945" t="str">
            <v>Ы</v>
          </cell>
          <cell r="AT945" t="str">
            <v>Ы</v>
          </cell>
          <cell r="AU945">
            <v>0</v>
          </cell>
          <cell r="AV945">
            <v>0</v>
          </cell>
          <cell r="AW945">
            <v>23</v>
          </cell>
          <cell r="AX945">
            <v>1</v>
          </cell>
          <cell r="AY945">
            <v>0</v>
          </cell>
          <cell r="AZ945">
            <v>0</v>
          </cell>
          <cell r="BA945">
            <v>0</v>
          </cell>
          <cell r="BB945">
            <v>0</v>
          </cell>
          <cell r="BC945">
            <v>38828</v>
          </cell>
        </row>
        <row r="946">
          <cell r="A946">
            <v>2006</v>
          </cell>
          <cell r="B946">
            <v>1</v>
          </cell>
          <cell r="C946">
            <v>171</v>
          </cell>
          <cell r="D946">
            <v>20</v>
          </cell>
          <cell r="E946">
            <v>792900</v>
          </cell>
          <cell r="F946">
            <v>0</v>
          </cell>
          <cell r="G946" t="str">
            <v>Затраты по ШПЗ (непроизв)</v>
          </cell>
          <cell r="H946">
            <v>2900</v>
          </cell>
          <cell r="I946">
            <v>7920</v>
          </cell>
          <cell r="J946">
            <v>2405</v>
          </cell>
          <cell r="K946">
            <v>1</v>
          </cell>
          <cell r="L946">
            <v>0</v>
          </cell>
          <cell r="M946">
            <v>0</v>
          </cell>
          <cell r="N946">
            <v>0</v>
          </cell>
          <cell r="R946">
            <v>0</v>
          </cell>
          <cell r="S946">
            <v>0</v>
          </cell>
          <cell r="T946">
            <v>0</v>
          </cell>
          <cell r="U946">
            <v>31</v>
          </cell>
          <cell r="V946">
            <v>0</v>
          </cell>
          <cell r="W946">
            <v>0</v>
          </cell>
          <cell r="AA946">
            <v>0</v>
          </cell>
          <cell r="AB946">
            <v>0</v>
          </cell>
          <cell r="AC946">
            <v>0</v>
          </cell>
          <cell r="AD946">
            <v>31</v>
          </cell>
          <cell r="AE946">
            <v>230000</v>
          </cell>
          <cell r="AF946">
            <v>0</v>
          </cell>
          <cell r="AI946">
            <v>2223</v>
          </cell>
          <cell r="AK946">
            <v>0</v>
          </cell>
          <cell r="AM946">
            <v>298</v>
          </cell>
          <cell r="AN946">
            <v>1</v>
          </cell>
          <cell r="AO946">
            <v>393216</v>
          </cell>
          <cell r="AQ946">
            <v>0</v>
          </cell>
          <cell r="AR946">
            <v>0</v>
          </cell>
          <cell r="AS946" t="str">
            <v>Ы</v>
          </cell>
          <cell r="AT946" t="str">
            <v>Ы</v>
          </cell>
          <cell r="AU946">
            <v>0</v>
          </cell>
          <cell r="AV946">
            <v>0</v>
          </cell>
          <cell r="AW946">
            <v>23</v>
          </cell>
          <cell r="AX946">
            <v>1</v>
          </cell>
          <cell r="AY946">
            <v>0</v>
          </cell>
          <cell r="AZ946">
            <v>0</v>
          </cell>
          <cell r="BA946">
            <v>0</v>
          </cell>
          <cell r="BB946">
            <v>0</v>
          </cell>
          <cell r="BC946">
            <v>38828</v>
          </cell>
        </row>
        <row r="947">
          <cell r="A947">
            <v>2006</v>
          </cell>
          <cell r="B947">
            <v>1</v>
          </cell>
          <cell r="C947">
            <v>172</v>
          </cell>
          <cell r="D947">
            <v>20</v>
          </cell>
          <cell r="E947">
            <v>792900</v>
          </cell>
          <cell r="F947">
            <v>0</v>
          </cell>
          <cell r="G947" t="str">
            <v>Затраты по ШПЗ (непроизв)</v>
          </cell>
          <cell r="H947">
            <v>2900</v>
          </cell>
          <cell r="I947">
            <v>7920</v>
          </cell>
          <cell r="J947">
            <v>721.5</v>
          </cell>
          <cell r="K947">
            <v>1</v>
          </cell>
          <cell r="L947">
            <v>0</v>
          </cell>
          <cell r="M947">
            <v>0</v>
          </cell>
          <cell r="N947">
            <v>0</v>
          </cell>
          <cell r="R947">
            <v>0</v>
          </cell>
          <cell r="S947">
            <v>0</v>
          </cell>
          <cell r="T947">
            <v>0</v>
          </cell>
          <cell r="U947">
            <v>31</v>
          </cell>
          <cell r="V947">
            <v>0</v>
          </cell>
          <cell r="W947">
            <v>0</v>
          </cell>
          <cell r="AA947">
            <v>0</v>
          </cell>
          <cell r="AB947">
            <v>0</v>
          </cell>
          <cell r="AC947">
            <v>0</v>
          </cell>
          <cell r="AD947">
            <v>31</v>
          </cell>
          <cell r="AE947">
            <v>270000</v>
          </cell>
          <cell r="AF947">
            <v>0</v>
          </cell>
          <cell r="AI947">
            <v>2223</v>
          </cell>
          <cell r="AK947">
            <v>0</v>
          </cell>
          <cell r="AM947">
            <v>299</v>
          </cell>
          <cell r="AN947">
            <v>1</v>
          </cell>
          <cell r="AO947">
            <v>393216</v>
          </cell>
          <cell r="AQ947">
            <v>0</v>
          </cell>
          <cell r="AR947">
            <v>0</v>
          </cell>
          <cell r="AS947" t="str">
            <v>Ы</v>
          </cell>
          <cell r="AT947" t="str">
            <v>Ы</v>
          </cell>
          <cell r="AU947">
            <v>0</v>
          </cell>
          <cell r="AV947">
            <v>0</v>
          </cell>
          <cell r="AW947">
            <v>23</v>
          </cell>
          <cell r="AX947">
            <v>1</v>
          </cell>
          <cell r="AY947">
            <v>0</v>
          </cell>
          <cell r="AZ947">
            <v>0</v>
          </cell>
          <cell r="BA947">
            <v>0</v>
          </cell>
          <cell r="BB947">
            <v>0</v>
          </cell>
          <cell r="BC947">
            <v>38828</v>
          </cell>
        </row>
        <row r="948">
          <cell r="A948">
            <v>2006</v>
          </cell>
          <cell r="B948">
            <v>1</v>
          </cell>
          <cell r="C948">
            <v>173</v>
          </cell>
          <cell r="D948">
            <v>20</v>
          </cell>
          <cell r="E948">
            <v>792900</v>
          </cell>
          <cell r="F948">
            <v>0</v>
          </cell>
          <cell r="G948" t="str">
            <v>Затраты по ШПЗ (непроизв)</v>
          </cell>
          <cell r="H948">
            <v>2900</v>
          </cell>
          <cell r="I948">
            <v>7920</v>
          </cell>
          <cell r="J948">
            <v>143.16</v>
          </cell>
          <cell r="K948">
            <v>1</v>
          </cell>
          <cell r="L948">
            <v>0</v>
          </cell>
          <cell r="M948">
            <v>0</v>
          </cell>
          <cell r="N948">
            <v>0</v>
          </cell>
          <cell r="R948">
            <v>0</v>
          </cell>
          <cell r="S948">
            <v>0</v>
          </cell>
          <cell r="T948">
            <v>0</v>
          </cell>
          <cell r="U948">
            <v>31</v>
          </cell>
          <cell r="V948">
            <v>0</v>
          </cell>
          <cell r="W948">
            <v>0</v>
          </cell>
          <cell r="AA948">
            <v>0</v>
          </cell>
          <cell r="AB948">
            <v>0</v>
          </cell>
          <cell r="AC948">
            <v>0</v>
          </cell>
          <cell r="AD948">
            <v>31</v>
          </cell>
          <cell r="AE948">
            <v>311000</v>
          </cell>
          <cell r="AF948">
            <v>0</v>
          </cell>
          <cell r="AI948">
            <v>2223</v>
          </cell>
          <cell r="AK948">
            <v>0</v>
          </cell>
          <cell r="AM948">
            <v>300</v>
          </cell>
          <cell r="AN948">
            <v>1</v>
          </cell>
          <cell r="AO948">
            <v>393216</v>
          </cell>
          <cell r="AQ948">
            <v>0</v>
          </cell>
          <cell r="AR948">
            <v>0</v>
          </cell>
          <cell r="AS948" t="str">
            <v>Ы</v>
          </cell>
          <cell r="AT948" t="str">
            <v>Ы</v>
          </cell>
          <cell r="AU948">
            <v>0</v>
          </cell>
          <cell r="AV948">
            <v>0</v>
          </cell>
          <cell r="AW948">
            <v>23</v>
          </cell>
          <cell r="AX948">
            <v>1</v>
          </cell>
          <cell r="AY948">
            <v>0</v>
          </cell>
          <cell r="AZ948">
            <v>0</v>
          </cell>
          <cell r="BA948">
            <v>0</v>
          </cell>
          <cell r="BB948">
            <v>0</v>
          </cell>
          <cell r="BC948">
            <v>38828</v>
          </cell>
        </row>
        <row r="949">
          <cell r="A949">
            <v>2006</v>
          </cell>
          <cell r="B949">
            <v>1</v>
          </cell>
          <cell r="C949">
            <v>174</v>
          </cell>
          <cell r="D949">
            <v>20</v>
          </cell>
          <cell r="E949">
            <v>792900</v>
          </cell>
          <cell r="F949">
            <v>0</v>
          </cell>
          <cell r="G949" t="str">
            <v>Затраты по ШПЗ (непроизв)</v>
          </cell>
          <cell r="H949">
            <v>2900</v>
          </cell>
          <cell r="I949">
            <v>7920</v>
          </cell>
          <cell r="J949">
            <v>320.19</v>
          </cell>
          <cell r="K949">
            <v>1</v>
          </cell>
          <cell r="L949">
            <v>0</v>
          </cell>
          <cell r="M949">
            <v>0</v>
          </cell>
          <cell r="N949">
            <v>0</v>
          </cell>
          <cell r="R949">
            <v>0</v>
          </cell>
          <cell r="S949">
            <v>0</v>
          </cell>
          <cell r="T949">
            <v>0</v>
          </cell>
          <cell r="U949">
            <v>31</v>
          </cell>
          <cell r="V949">
            <v>0</v>
          </cell>
          <cell r="W949">
            <v>0</v>
          </cell>
          <cell r="AA949">
            <v>0</v>
          </cell>
          <cell r="AB949">
            <v>0</v>
          </cell>
          <cell r="AC949">
            <v>0</v>
          </cell>
          <cell r="AD949">
            <v>31</v>
          </cell>
          <cell r="AE949">
            <v>312000</v>
          </cell>
          <cell r="AF949">
            <v>0</v>
          </cell>
          <cell r="AI949">
            <v>2223</v>
          </cell>
          <cell r="AK949">
            <v>0</v>
          </cell>
          <cell r="AM949">
            <v>301</v>
          </cell>
          <cell r="AN949">
            <v>1</v>
          </cell>
          <cell r="AO949">
            <v>393216</v>
          </cell>
          <cell r="AQ949">
            <v>0</v>
          </cell>
          <cell r="AR949">
            <v>0</v>
          </cell>
          <cell r="AS949" t="str">
            <v>Ы</v>
          </cell>
          <cell r="AT949" t="str">
            <v>Ы</v>
          </cell>
          <cell r="AU949">
            <v>0</v>
          </cell>
          <cell r="AV949">
            <v>0</v>
          </cell>
          <cell r="AW949">
            <v>23</v>
          </cell>
          <cell r="AX949">
            <v>1</v>
          </cell>
          <cell r="AY949">
            <v>0</v>
          </cell>
          <cell r="AZ949">
            <v>0</v>
          </cell>
          <cell r="BA949">
            <v>0</v>
          </cell>
          <cell r="BB949">
            <v>0</v>
          </cell>
          <cell r="BC949">
            <v>38828</v>
          </cell>
        </row>
        <row r="950">
          <cell r="A950">
            <v>2006</v>
          </cell>
          <cell r="B950">
            <v>1</v>
          </cell>
          <cell r="C950">
            <v>175</v>
          </cell>
          <cell r="D950">
            <v>20</v>
          </cell>
          <cell r="E950">
            <v>792900</v>
          </cell>
          <cell r="F950">
            <v>0</v>
          </cell>
          <cell r="G950" t="str">
            <v>Затраты по ШПЗ (непроизв)</v>
          </cell>
          <cell r="H950">
            <v>2900</v>
          </cell>
          <cell r="I950">
            <v>7920</v>
          </cell>
          <cell r="J950">
            <v>691.11</v>
          </cell>
          <cell r="K950">
            <v>1</v>
          </cell>
          <cell r="L950">
            <v>0</v>
          </cell>
          <cell r="M950">
            <v>0</v>
          </cell>
          <cell r="N950">
            <v>0</v>
          </cell>
          <cell r="R950">
            <v>0</v>
          </cell>
          <cell r="S950">
            <v>0</v>
          </cell>
          <cell r="T950">
            <v>0</v>
          </cell>
          <cell r="U950">
            <v>31</v>
          </cell>
          <cell r="V950">
            <v>0</v>
          </cell>
          <cell r="W950">
            <v>0</v>
          </cell>
          <cell r="AA950">
            <v>0</v>
          </cell>
          <cell r="AB950">
            <v>0</v>
          </cell>
          <cell r="AC950">
            <v>0</v>
          </cell>
          <cell r="AD950">
            <v>31</v>
          </cell>
          <cell r="AE950">
            <v>312200</v>
          </cell>
          <cell r="AF950">
            <v>0</v>
          </cell>
          <cell r="AI950">
            <v>2223</v>
          </cell>
          <cell r="AK950">
            <v>0</v>
          </cell>
          <cell r="AM950">
            <v>302</v>
          </cell>
          <cell r="AN950">
            <v>1</v>
          </cell>
          <cell r="AO950">
            <v>393216</v>
          </cell>
          <cell r="AQ950">
            <v>0</v>
          </cell>
          <cell r="AR950">
            <v>0</v>
          </cell>
          <cell r="AS950" t="str">
            <v>Ы</v>
          </cell>
          <cell r="AT950" t="str">
            <v>Ы</v>
          </cell>
          <cell r="AU950">
            <v>0</v>
          </cell>
          <cell r="AV950">
            <v>0</v>
          </cell>
          <cell r="AW950">
            <v>23</v>
          </cell>
          <cell r="AX950">
            <v>1</v>
          </cell>
          <cell r="AY950">
            <v>0</v>
          </cell>
          <cell r="AZ950">
            <v>0</v>
          </cell>
          <cell r="BA950">
            <v>0</v>
          </cell>
          <cell r="BB950">
            <v>0</v>
          </cell>
          <cell r="BC950">
            <v>38828</v>
          </cell>
        </row>
        <row r="951">
          <cell r="A951">
            <v>2006</v>
          </cell>
          <cell r="B951">
            <v>1</v>
          </cell>
          <cell r="C951">
            <v>176</v>
          </cell>
          <cell r="D951">
            <v>20</v>
          </cell>
          <cell r="E951">
            <v>792900</v>
          </cell>
          <cell r="F951">
            <v>0</v>
          </cell>
          <cell r="G951" t="str">
            <v>Затраты по ШПЗ (непроизв)</v>
          </cell>
          <cell r="H951">
            <v>2900</v>
          </cell>
          <cell r="I951">
            <v>7920</v>
          </cell>
          <cell r="J951">
            <v>54.3</v>
          </cell>
          <cell r="K951">
            <v>1</v>
          </cell>
          <cell r="L951">
            <v>0</v>
          </cell>
          <cell r="M951">
            <v>0</v>
          </cell>
          <cell r="N951">
            <v>0</v>
          </cell>
          <cell r="R951">
            <v>0</v>
          </cell>
          <cell r="S951">
            <v>0</v>
          </cell>
          <cell r="T951">
            <v>0</v>
          </cell>
          <cell r="U951">
            <v>31</v>
          </cell>
          <cell r="V951">
            <v>0</v>
          </cell>
          <cell r="W951">
            <v>0</v>
          </cell>
          <cell r="AA951">
            <v>0</v>
          </cell>
          <cell r="AB951">
            <v>0</v>
          </cell>
          <cell r="AC951">
            <v>0</v>
          </cell>
          <cell r="AD951">
            <v>31</v>
          </cell>
          <cell r="AE951">
            <v>313000</v>
          </cell>
          <cell r="AF951">
            <v>0</v>
          </cell>
          <cell r="AI951">
            <v>2223</v>
          </cell>
          <cell r="AK951">
            <v>0</v>
          </cell>
          <cell r="AM951">
            <v>303</v>
          </cell>
          <cell r="AN951">
            <v>1</v>
          </cell>
          <cell r="AO951">
            <v>393216</v>
          </cell>
          <cell r="AQ951">
            <v>0</v>
          </cell>
          <cell r="AR951">
            <v>0</v>
          </cell>
          <cell r="AS951" t="str">
            <v>Ы</v>
          </cell>
          <cell r="AT951" t="str">
            <v>Ы</v>
          </cell>
          <cell r="AU951">
            <v>0</v>
          </cell>
          <cell r="AV951">
            <v>0</v>
          </cell>
          <cell r="AW951">
            <v>23</v>
          </cell>
          <cell r="AX951">
            <v>1</v>
          </cell>
          <cell r="AY951">
            <v>0</v>
          </cell>
          <cell r="AZ951">
            <v>0</v>
          </cell>
          <cell r="BA951">
            <v>0</v>
          </cell>
          <cell r="BB951">
            <v>0</v>
          </cell>
          <cell r="BC951">
            <v>38828</v>
          </cell>
        </row>
        <row r="952">
          <cell r="A952">
            <v>2006</v>
          </cell>
          <cell r="B952">
            <v>1</v>
          </cell>
          <cell r="C952">
            <v>177</v>
          </cell>
          <cell r="D952">
            <v>20</v>
          </cell>
          <cell r="E952">
            <v>792900</v>
          </cell>
          <cell r="F952">
            <v>0</v>
          </cell>
          <cell r="G952" t="str">
            <v>Затраты по ШПЗ (непроизв)</v>
          </cell>
          <cell r="H952">
            <v>2900</v>
          </cell>
          <cell r="I952">
            <v>7920</v>
          </cell>
          <cell r="J952">
            <v>98.73</v>
          </cell>
          <cell r="K952">
            <v>1</v>
          </cell>
          <cell r="L952">
            <v>0</v>
          </cell>
          <cell r="M952">
            <v>0</v>
          </cell>
          <cell r="N952">
            <v>0</v>
          </cell>
          <cell r="R952">
            <v>0</v>
          </cell>
          <cell r="S952">
            <v>0</v>
          </cell>
          <cell r="T952">
            <v>0</v>
          </cell>
          <cell r="U952">
            <v>31</v>
          </cell>
          <cell r="V952">
            <v>0</v>
          </cell>
          <cell r="W952">
            <v>0</v>
          </cell>
          <cell r="AA952">
            <v>0</v>
          </cell>
          <cell r="AB952">
            <v>0</v>
          </cell>
          <cell r="AC952">
            <v>0</v>
          </cell>
          <cell r="AD952">
            <v>31</v>
          </cell>
          <cell r="AE952">
            <v>314000</v>
          </cell>
          <cell r="AF952">
            <v>0</v>
          </cell>
          <cell r="AI952">
            <v>2223</v>
          </cell>
          <cell r="AK952">
            <v>0</v>
          </cell>
          <cell r="AM952">
            <v>304</v>
          </cell>
          <cell r="AN952">
            <v>1</v>
          </cell>
          <cell r="AO952">
            <v>393216</v>
          </cell>
          <cell r="AQ952">
            <v>0</v>
          </cell>
          <cell r="AR952">
            <v>0</v>
          </cell>
          <cell r="AS952" t="str">
            <v>Ы</v>
          </cell>
          <cell r="AT952" t="str">
            <v>Ы</v>
          </cell>
          <cell r="AU952">
            <v>0</v>
          </cell>
          <cell r="AV952">
            <v>0</v>
          </cell>
          <cell r="AW952">
            <v>23</v>
          </cell>
          <cell r="AX952">
            <v>1</v>
          </cell>
          <cell r="AY952">
            <v>0</v>
          </cell>
          <cell r="AZ952">
            <v>0</v>
          </cell>
          <cell r="BA952">
            <v>0</v>
          </cell>
          <cell r="BB952">
            <v>0</v>
          </cell>
          <cell r="BC952">
            <v>38828</v>
          </cell>
        </row>
        <row r="953">
          <cell r="A953">
            <v>2006</v>
          </cell>
          <cell r="B953">
            <v>1</v>
          </cell>
          <cell r="C953">
            <v>178</v>
          </cell>
          <cell r="D953">
            <v>20</v>
          </cell>
          <cell r="E953">
            <v>792900</v>
          </cell>
          <cell r="F953">
            <v>0</v>
          </cell>
          <cell r="G953" t="str">
            <v>Затраты по ШПЗ (непроизв)</v>
          </cell>
          <cell r="H953">
            <v>2900</v>
          </cell>
          <cell r="I953">
            <v>7920</v>
          </cell>
          <cell r="J953">
            <v>19.75</v>
          </cell>
          <cell r="K953">
            <v>1</v>
          </cell>
          <cell r="L953">
            <v>0</v>
          </cell>
          <cell r="M953">
            <v>0</v>
          </cell>
          <cell r="N953">
            <v>0</v>
          </cell>
          <cell r="R953">
            <v>0</v>
          </cell>
          <cell r="S953">
            <v>0</v>
          </cell>
          <cell r="T953">
            <v>0</v>
          </cell>
          <cell r="U953">
            <v>31</v>
          </cell>
          <cell r="V953">
            <v>0</v>
          </cell>
          <cell r="W953">
            <v>0</v>
          </cell>
          <cell r="AA953">
            <v>0</v>
          </cell>
          <cell r="AB953">
            <v>0</v>
          </cell>
          <cell r="AC953">
            <v>0</v>
          </cell>
          <cell r="AD953">
            <v>31</v>
          </cell>
          <cell r="AE953">
            <v>315000</v>
          </cell>
          <cell r="AF953">
            <v>0</v>
          </cell>
          <cell r="AI953">
            <v>2223</v>
          </cell>
          <cell r="AK953">
            <v>0</v>
          </cell>
          <cell r="AM953">
            <v>305</v>
          </cell>
          <cell r="AN953">
            <v>1</v>
          </cell>
          <cell r="AO953">
            <v>393216</v>
          </cell>
          <cell r="AQ953">
            <v>0</v>
          </cell>
          <cell r="AR953">
            <v>0</v>
          </cell>
          <cell r="AS953" t="str">
            <v>Ы</v>
          </cell>
          <cell r="AT953" t="str">
            <v>Ы</v>
          </cell>
          <cell r="AU953">
            <v>0</v>
          </cell>
          <cell r="AV953">
            <v>0</v>
          </cell>
          <cell r="AW953">
            <v>23</v>
          </cell>
          <cell r="AX953">
            <v>1</v>
          </cell>
          <cell r="AY953">
            <v>0</v>
          </cell>
          <cell r="AZ953">
            <v>0</v>
          </cell>
          <cell r="BA953">
            <v>0</v>
          </cell>
          <cell r="BB953">
            <v>0</v>
          </cell>
          <cell r="BC953">
            <v>38828</v>
          </cell>
        </row>
        <row r="954">
          <cell r="A954">
            <v>2006</v>
          </cell>
          <cell r="B954">
            <v>2</v>
          </cell>
          <cell r="C954">
            <v>8</v>
          </cell>
          <cell r="D954">
            <v>21</v>
          </cell>
          <cell r="E954">
            <v>792900</v>
          </cell>
          <cell r="F954">
            <v>0</v>
          </cell>
          <cell r="G954" t="str">
            <v>Затраты по ШПЗ (непроизв)</v>
          </cell>
          <cell r="H954">
            <v>2900</v>
          </cell>
          <cell r="I954">
            <v>7920</v>
          </cell>
          <cell r="J954">
            <v>4810</v>
          </cell>
          <cell r="K954">
            <v>1</v>
          </cell>
          <cell r="L954">
            <v>0</v>
          </cell>
          <cell r="M954">
            <v>0</v>
          </cell>
          <cell r="N954">
            <v>0</v>
          </cell>
          <cell r="R954">
            <v>0</v>
          </cell>
          <cell r="S954">
            <v>0</v>
          </cell>
          <cell r="T954">
            <v>0</v>
          </cell>
          <cell r="U954">
            <v>31</v>
          </cell>
          <cell r="V954">
            <v>0</v>
          </cell>
          <cell r="W954">
            <v>0</v>
          </cell>
          <cell r="AA954">
            <v>0</v>
          </cell>
          <cell r="AB954">
            <v>0</v>
          </cell>
          <cell r="AC954">
            <v>0</v>
          </cell>
          <cell r="AD954">
            <v>31</v>
          </cell>
          <cell r="AE954">
            <v>220000</v>
          </cell>
          <cell r="AF954">
            <v>0</v>
          </cell>
          <cell r="AI954">
            <v>2251</v>
          </cell>
          <cell r="AK954">
            <v>0</v>
          </cell>
          <cell r="AM954">
            <v>137</v>
          </cell>
          <cell r="AN954">
            <v>1</v>
          </cell>
          <cell r="AO954">
            <v>393216</v>
          </cell>
          <cell r="AQ954">
            <v>0</v>
          </cell>
          <cell r="AR954">
            <v>0</v>
          </cell>
          <cell r="AS954" t="str">
            <v>Ы</v>
          </cell>
          <cell r="AT954" t="str">
            <v>Ы</v>
          </cell>
          <cell r="AU954">
            <v>0</v>
          </cell>
          <cell r="AV954">
            <v>0</v>
          </cell>
          <cell r="AW954">
            <v>23</v>
          </cell>
          <cell r="AX954">
            <v>1</v>
          </cell>
          <cell r="AY954">
            <v>0</v>
          </cell>
          <cell r="AZ954">
            <v>0</v>
          </cell>
          <cell r="BA954">
            <v>0</v>
          </cell>
          <cell r="BB954">
            <v>0</v>
          </cell>
          <cell r="BC954">
            <v>38828</v>
          </cell>
        </row>
        <row r="955">
          <cell r="A955">
            <v>2006</v>
          </cell>
          <cell r="B955">
            <v>2</v>
          </cell>
          <cell r="C955">
            <v>9</v>
          </cell>
          <cell r="D955">
            <v>21</v>
          </cell>
          <cell r="E955">
            <v>792900</v>
          </cell>
          <cell r="F955">
            <v>0</v>
          </cell>
          <cell r="G955" t="str">
            <v>Затраты по ШПЗ (непроизв)</v>
          </cell>
          <cell r="H955">
            <v>2900</v>
          </cell>
          <cell r="I955">
            <v>7920</v>
          </cell>
          <cell r="J955">
            <v>2645.5</v>
          </cell>
          <cell r="K955">
            <v>1</v>
          </cell>
          <cell r="L955">
            <v>0</v>
          </cell>
          <cell r="M955">
            <v>0</v>
          </cell>
          <cell r="N955">
            <v>0</v>
          </cell>
          <cell r="R955">
            <v>0</v>
          </cell>
          <cell r="S955">
            <v>0</v>
          </cell>
          <cell r="T955">
            <v>0</v>
          </cell>
          <cell r="U955">
            <v>31</v>
          </cell>
          <cell r="V955">
            <v>0</v>
          </cell>
          <cell r="W955">
            <v>0</v>
          </cell>
          <cell r="AA955">
            <v>0</v>
          </cell>
          <cell r="AB955">
            <v>0</v>
          </cell>
          <cell r="AC955">
            <v>0</v>
          </cell>
          <cell r="AD955">
            <v>31</v>
          </cell>
          <cell r="AE955">
            <v>230000</v>
          </cell>
          <cell r="AF955">
            <v>0</v>
          </cell>
          <cell r="AI955">
            <v>2251</v>
          </cell>
          <cell r="AK955">
            <v>0</v>
          </cell>
          <cell r="AM955">
            <v>138</v>
          </cell>
          <cell r="AN955">
            <v>1</v>
          </cell>
          <cell r="AO955">
            <v>393216</v>
          </cell>
          <cell r="AQ955">
            <v>0</v>
          </cell>
          <cell r="AR955">
            <v>0</v>
          </cell>
          <cell r="AS955" t="str">
            <v>Ы</v>
          </cell>
          <cell r="AT955" t="str">
            <v>Ы</v>
          </cell>
          <cell r="AU955">
            <v>0</v>
          </cell>
          <cell r="AV955">
            <v>0</v>
          </cell>
          <cell r="AW955">
            <v>23</v>
          </cell>
          <cell r="AX955">
            <v>1</v>
          </cell>
          <cell r="AY955">
            <v>0</v>
          </cell>
          <cell r="AZ955">
            <v>0</v>
          </cell>
          <cell r="BA955">
            <v>0</v>
          </cell>
          <cell r="BB955">
            <v>0</v>
          </cell>
          <cell r="BC955">
            <v>38828</v>
          </cell>
        </row>
        <row r="956">
          <cell r="A956">
            <v>2006</v>
          </cell>
          <cell r="B956">
            <v>2</v>
          </cell>
          <cell r="C956">
            <v>10</v>
          </cell>
          <cell r="D956">
            <v>21</v>
          </cell>
          <cell r="E956">
            <v>792900</v>
          </cell>
          <cell r="F956">
            <v>0</v>
          </cell>
          <cell r="G956" t="str">
            <v>Затраты по ШПЗ (непроизв)</v>
          </cell>
          <cell r="H956">
            <v>2900</v>
          </cell>
          <cell r="I956">
            <v>7920</v>
          </cell>
          <cell r="J956">
            <v>721.5</v>
          </cell>
          <cell r="K956">
            <v>1</v>
          </cell>
          <cell r="L956">
            <v>0</v>
          </cell>
          <cell r="M956">
            <v>0</v>
          </cell>
          <cell r="N956">
            <v>0</v>
          </cell>
          <cell r="R956">
            <v>0</v>
          </cell>
          <cell r="S956">
            <v>0</v>
          </cell>
          <cell r="T956">
            <v>0</v>
          </cell>
          <cell r="U956">
            <v>31</v>
          </cell>
          <cell r="V956">
            <v>0</v>
          </cell>
          <cell r="W956">
            <v>0</v>
          </cell>
          <cell r="AA956">
            <v>0</v>
          </cell>
          <cell r="AB956">
            <v>0</v>
          </cell>
          <cell r="AC956">
            <v>0</v>
          </cell>
          <cell r="AD956">
            <v>31</v>
          </cell>
          <cell r="AE956">
            <v>270000</v>
          </cell>
          <cell r="AF956">
            <v>0</v>
          </cell>
          <cell r="AI956">
            <v>2251</v>
          </cell>
          <cell r="AK956">
            <v>0</v>
          </cell>
          <cell r="AM956">
            <v>139</v>
          </cell>
          <cell r="AN956">
            <v>1</v>
          </cell>
          <cell r="AO956">
            <v>393216</v>
          </cell>
          <cell r="AQ956">
            <v>0</v>
          </cell>
          <cell r="AR956">
            <v>0</v>
          </cell>
          <cell r="AS956" t="str">
            <v>Ы</v>
          </cell>
          <cell r="AT956" t="str">
            <v>Ы</v>
          </cell>
          <cell r="AU956">
            <v>0</v>
          </cell>
          <cell r="AV956">
            <v>0</v>
          </cell>
          <cell r="AW956">
            <v>23</v>
          </cell>
          <cell r="AX956">
            <v>1</v>
          </cell>
          <cell r="AY956">
            <v>0</v>
          </cell>
          <cell r="AZ956">
            <v>0</v>
          </cell>
          <cell r="BA956">
            <v>0</v>
          </cell>
          <cell r="BB956">
            <v>0</v>
          </cell>
          <cell r="BC956">
            <v>38828</v>
          </cell>
        </row>
        <row r="957">
          <cell r="A957">
            <v>2006</v>
          </cell>
          <cell r="B957">
            <v>2</v>
          </cell>
          <cell r="C957">
            <v>11</v>
          </cell>
          <cell r="D957">
            <v>21</v>
          </cell>
          <cell r="E957">
            <v>792900</v>
          </cell>
          <cell r="F957">
            <v>0</v>
          </cell>
          <cell r="G957" t="str">
            <v>Затраты по ШПЗ (непроизв)</v>
          </cell>
          <cell r="H957">
            <v>2900</v>
          </cell>
          <cell r="I957">
            <v>7920</v>
          </cell>
          <cell r="J957">
            <v>481</v>
          </cell>
          <cell r="K957">
            <v>1</v>
          </cell>
          <cell r="L957">
            <v>0</v>
          </cell>
          <cell r="M957">
            <v>0</v>
          </cell>
          <cell r="N957">
            <v>0</v>
          </cell>
          <cell r="R957">
            <v>0</v>
          </cell>
          <cell r="S957">
            <v>0</v>
          </cell>
          <cell r="T957">
            <v>0</v>
          </cell>
          <cell r="U957">
            <v>31</v>
          </cell>
          <cell r="V957">
            <v>0</v>
          </cell>
          <cell r="W957">
            <v>0</v>
          </cell>
          <cell r="AA957">
            <v>0</v>
          </cell>
          <cell r="AB957">
            <v>0</v>
          </cell>
          <cell r="AC957">
            <v>0</v>
          </cell>
          <cell r="AD957">
            <v>31</v>
          </cell>
          <cell r="AE957">
            <v>280400</v>
          </cell>
          <cell r="AF957">
            <v>0</v>
          </cell>
          <cell r="AI957">
            <v>2251</v>
          </cell>
          <cell r="AK957">
            <v>0</v>
          </cell>
          <cell r="AM957">
            <v>140</v>
          </cell>
          <cell r="AN957">
            <v>1</v>
          </cell>
          <cell r="AO957">
            <v>393216</v>
          </cell>
          <cell r="AQ957">
            <v>0</v>
          </cell>
          <cell r="AR957">
            <v>0</v>
          </cell>
          <cell r="AS957" t="str">
            <v>Ы</v>
          </cell>
          <cell r="AT957" t="str">
            <v>Ы</v>
          </cell>
          <cell r="AU957">
            <v>0</v>
          </cell>
          <cell r="AV957">
            <v>0</v>
          </cell>
          <cell r="AW957">
            <v>23</v>
          </cell>
          <cell r="AX957">
            <v>1</v>
          </cell>
          <cell r="AY957">
            <v>0</v>
          </cell>
          <cell r="AZ957">
            <v>0</v>
          </cell>
          <cell r="BA957">
            <v>0</v>
          </cell>
          <cell r="BB957">
            <v>0</v>
          </cell>
          <cell r="BC957">
            <v>38828</v>
          </cell>
        </row>
        <row r="958">
          <cell r="A958">
            <v>2006</v>
          </cell>
          <cell r="B958">
            <v>2</v>
          </cell>
          <cell r="C958">
            <v>12</v>
          </cell>
          <cell r="D958">
            <v>21</v>
          </cell>
          <cell r="E958">
            <v>792900</v>
          </cell>
          <cell r="F958">
            <v>0</v>
          </cell>
          <cell r="G958" t="str">
            <v>Затраты по ШПЗ (непроизв)</v>
          </cell>
          <cell r="H958">
            <v>2900</v>
          </cell>
          <cell r="I958">
            <v>7920</v>
          </cell>
          <cell r="J958">
            <v>251.08</v>
          </cell>
          <cell r="K958">
            <v>1</v>
          </cell>
          <cell r="L958">
            <v>0</v>
          </cell>
          <cell r="M958">
            <v>0</v>
          </cell>
          <cell r="N958">
            <v>0</v>
          </cell>
          <cell r="R958">
            <v>0</v>
          </cell>
          <cell r="S958">
            <v>0</v>
          </cell>
          <cell r="T958">
            <v>0</v>
          </cell>
          <cell r="U958">
            <v>31</v>
          </cell>
          <cell r="V958">
            <v>0</v>
          </cell>
          <cell r="W958">
            <v>0</v>
          </cell>
          <cell r="AA958">
            <v>0</v>
          </cell>
          <cell r="AB958">
            <v>0</v>
          </cell>
          <cell r="AC958">
            <v>0</v>
          </cell>
          <cell r="AD958">
            <v>31</v>
          </cell>
          <cell r="AE958">
            <v>311000</v>
          </cell>
          <cell r="AF958">
            <v>0</v>
          </cell>
          <cell r="AI958">
            <v>2251</v>
          </cell>
          <cell r="AK958">
            <v>0</v>
          </cell>
          <cell r="AM958">
            <v>141</v>
          </cell>
          <cell r="AN958">
            <v>1</v>
          </cell>
          <cell r="AO958">
            <v>393216</v>
          </cell>
          <cell r="AQ958">
            <v>0</v>
          </cell>
          <cell r="AR958">
            <v>0</v>
          </cell>
          <cell r="AS958" t="str">
            <v>Ы</v>
          </cell>
          <cell r="AT958" t="str">
            <v>Ы</v>
          </cell>
          <cell r="AU958">
            <v>0</v>
          </cell>
          <cell r="AV958">
            <v>0</v>
          </cell>
          <cell r="AW958">
            <v>23</v>
          </cell>
          <cell r="AX958">
            <v>1</v>
          </cell>
          <cell r="AY958">
            <v>0</v>
          </cell>
          <cell r="AZ958">
            <v>0</v>
          </cell>
          <cell r="BA958">
            <v>0</v>
          </cell>
          <cell r="BB958">
            <v>0</v>
          </cell>
          <cell r="BC958">
            <v>38828</v>
          </cell>
        </row>
        <row r="959">
          <cell r="A959">
            <v>2006</v>
          </cell>
          <cell r="B959">
            <v>2</v>
          </cell>
          <cell r="C959">
            <v>13</v>
          </cell>
          <cell r="D959">
            <v>21</v>
          </cell>
          <cell r="E959">
            <v>792900</v>
          </cell>
          <cell r="F959">
            <v>0</v>
          </cell>
          <cell r="G959" t="str">
            <v>Затраты по ШПЗ (непроизв)</v>
          </cell>
          <cell r="H959">
            <v>2900</v>
          </cell>
          <cell r="I959">
            <v>7920</v>
          </cell>
          <cell r="J959">
            <v>519.48</v>
          </cell>
          <cell r="K959">
            <v>1</v>
          </cell>
          <cell r="L959">
            <v>0</v>
          </cell>
          <cell r="M959">
            <v>0</v>
          </cell>
          <cell r="N959">
            <v>0</v>
          </cell>
          <cell r="R959">
            <v>0</v>
          </cell>
          <cell r="S959">
            <v>0</v>
          </cell>
          <cell r="T959">
            <v>0</v>
          </cell>
          <cell r="U959">
            <v>31</v>
          </cell>
          <cell r="V959">
            <v>0</v>
          </cell>
          <cell r="W959">
            <v>0</v>
          </cell>
          <cell r="AA959">
            <v>0</v>
          </cell>
          <cell r="AB959">
            <v>0</v>
          </cell>
          <cell r="AC959">
            <v>0</v>
          </cell>
          <cell r="AD959">
            <v>31</v>
          </cell>
          <cell r="AE959">
            <v>312000</v>
          </cell>
          <cell r="AF959">
            <v>0</v>
          </cell>
          <cell r="AI959">
            <v>2251</v>
          </cell>
          <cell r="AK959">
            <v>0</v>
          </cell>
          <cell r="AM959">
            <v>142</v>
          </cell>
          <cell r="AN959">
            <v>1</v>
          </cell>
          <cell r="AO959">
            <v>393216</v>
          </cell>
          <cell r="AQ959">
            <v>0</v>
          </cell>
          <cell r="AR959">
            <v>0</v>
          </cell>
          <cell r="AS959" t="str">
            <v>Ы</v>
          </cell>
          <cell r="AT959" t="str">
            <v>Ы</v>
          </cell>
          <cell r="AU959">
            <v>0</v>
          </cell>
          <cell r="AV959">
            <v>0</v>
          </cell>
          <cell r="AW959">
            <v>23</v>
          </cell>
          <cell r="AX959">
            <v>1</v>
          </cell>
          <cell r="AY959">
            <v>0</v>
          </cell>
          <cell r="AZ959">
            <v>0</v>
          </cell>
          <cell r="BA959">
            <v>0</v>
          </cell>
          <cell r="BB959">
            <v>0</v>
          </cell>
          <cell r="BC959">
            <v>38828</v>
          </cell>
        </row>
        <row r="960">
          <cell r="A960">
            <v>2006</v>
          </cell>
          <cell r="B960">
            <v>2</v>
          </cell>
          <cell r="C960">
            <v>14</v>
          </cell>
          <cell r="D960">
            <v>21</v>
          </cell>
          <cell r="E960">
            <v>792900</v>
          </cell>
          <cell r="F960">
            <v>0</v>
          </cell>
          <cell r="G960" t="str">
            <v>Затраты по ШПЗ (непроизв)</v>
          </cell>
          <cell r="H960">
            <v>2900</v>
          </cell>
          <cell r="I960">
            <v>7920</v>
          </cell>
          <cell r="J960">
            <v>1212.1199999999999</v>
          </cell>
          <cell r="K960">
            <v>1</v>
          </cell>
          <cell r="L960">
            <v>0</v>
          </cell>
          <cell r="M960">
            <v>0</v>
          </cell>
          <cell r="N960">
            <v>0</v>
          </cell>
          <cell r="R960">
            <v>0</v>
          </cell>
          <cell r="S960">
            <v>0</v>
          </cell>
          <cell r="T960">
            <v>0</v>
          </cell>
          <cell r="U960">
            <v>31</v>
          </cell>
          <cell r="V960">
            <v>0</v>
          </cell>
          <cell r="W960">
            <v>0</v>
          </cell>
          <cell r="AA960">
            <v>0</v>
          </cell>
          <cell r="AB960">
            <v>0</v>
          </cell>
          <cell r="AC960">
            <v>0</v>
          </cell>
          <cell r="AD960">
            <v>31</v>
          </cell>
          <cell r="AE960">
            <v>312200</v>
          </cell>
          <cell r="AF960">
            <v>0</v>
          </cell>
          <cell r="AI960">
            <v>2251</v>
          </cell>
          <cell r="AK960">
            <v>0</v>
          </cell>
          <cell r="AM960">
            <v>143</v>
          </cell>
          <cell r="AN960">
            <v>1</v>
          </cell>
          <cell r="AO960">
            <v>393216</v>
          </cell>
          <cell r="AQ960">
            <v>0</v>
          </cell>
          <cell r="AR960">
            <v>0</v>
          </cell>
          <cell r="AS960" t="str">
            <v>Ы</v>
          </cell>
          <cell r="AT960" t="str">
            <v>Ы</v>
          </cell>
          <cell r="AU960">
            <v>0</v>
          </cell>
          <cell r="AV960">
            <v>0</v>
          </cell>
          <cell r="AW960">
            <v>23</v>
          </cell>
          <cell r="AX960">
            <v>1</v>
          </cell>
          <cell r="AY960">
            <v>0</v>
          </cell>
          <cell r="AZ960">
            <v>0</v>
          </cell>
          <cell r="BA960">
            <v>0</v>
          </cell>
          <cell r="BB960">
            <v>0</v>
          </cell>
          <cell r="BC960">
            <v>38828</v>
          </cell>
        </row>
        <row r="961">
          <cell r="A961">
            <v>2006</v>
          </cell>
          <cell r="B961">
            <v>2</v>
          </cell>
          <cell r="C961">
            <v>15</v>
          </cell>
          <cell r="D961">
            <v>21</v>
          </cell>
          <cell r="E961">
            <v>792900</v>
          </cell>
          <cell r="F961">
            <v>0</v>
          </cell>
          <cell r="G961" t="str">
            <v>Затраты по ШПЗ (непроизв)</v>
          </cell>
          <cell r="H961">
            <v>2900</v>
          </cell>
          <cell r="I961">
            <v>7920</v>
          </cell>
          <cell r="J961">
            <v>95.24</v>
          </cell>
          <cell r="K961">
            <v>1</v>
          </cell>
          <cell r="L961">
            <v>0</v>
          </cell>
          <cell r="M961">
            <v>0</v>
          </cell>
          <cell r="N961">
            <v>0</v>
          </cell>
          <cell r="R961">
            <v>0</v>
          </cell>
          <cell r="S961">
            <v>0</v>
          </cell>
          <cell r="T961">
            <v>0</v>
          </cell>
          <cell r="U961">
            <v>31</v>
          </cell>
          <cell r="V961">
            <v>0</v>
          </cell>
          <cell r="W961">
            <v>0</v>
          </cell>
          <cell r="AA961">
            <v>0</v>
          </cell>
          <cell r="AB961">
            <v>0</v>
          </cell>
          <cell r="AC961">
            <v>0</v>
          </cell>
          <cell r="AD961">
            <v>31</v>
          </cell>
          <cell r="AE961">
            <v>313000</v>
          </cell>
          <cell r="AF961">
            <v>0</v>
          </cell>
          <cell r="AI961">
            <v>2251</v>
          </cell>
          <cell r="AK961">
            <v>0</v>
          </cell>
          <cell r="AM961">
            <v>144</v>
          </cell>
          <cell r="AN961">
            <v>1</v>
          </cell>
          <cell r="AO961">
            <v>393216</v>
          </cell>
          <cell r="AQ961">
            <v>0</v>
          </cell>
          <cell r="AR961">
            <v>0</v>
          </cell>
          <cell r="AS961" t="str">
            <v>Ы</v>
          </cell>
          <cell r="AT961" t="str">
            <v>Ы</v>
          </cell>
          <cell r="AU961">
            <v>0</v>
          </cell>
          <cell r="AV961">
            <v>0</v>
          </cell>
          <cell r="AW961">
            <v>23</v>
          </cell>
          <cell r="AX961">
            <v>1</v>
          </cell>
          <cell r="AY961">
            <v>0</v>
          </cell>
          <cell r="AZ961">
            <v>0</v>
          </cell>
          <cell r="BA961">
            <v>0</v>
          </cell>
          <cell r="BB961">
            <v>0</v>
          </cell>
          <cell r="BC961">
            <v>38828</v>
          </cell>
        </row>
        <row r="962">
          <cell r="A962">
            <v>2006</v>
          </cell>
          <cell r="B962">
            <v>2</v>
          </cell>
          <cell r="C962">
            <v>16</v>
          </cell>
          <cell r="D962">
            <v>21</v>
          </cell>
          <cell r="E962">
            <v>792900</v>
          </cell>
          <cell r="F962">
            <v>0</v>
          </cell>
          <cell r="G962" t="str">
            <v>Затраты по ШПЗ (непроизв)</v>
          </cell>
          <cell r="H962">
            <v>2900</v>
          </cell>
          <cell r="I962">
            <v>7920</v>
          </cell>
          <cell r="J962">
            <v>173.16</v>
          </cell>
          <cell r="K962">
            <v>1</v>
          </cell>
          <cell r="L962">
            <v>0</v>
          </cell>
          <cell r="M962">
            <v>0</v>
          </cell>
          <cell r="N962">
            <v>0</v>
          </cell>
          <cell r="R962">
            <v>0</v>
          </cell>
          <cell r="S962">
            <v>0</v>
          </cell>
          <cell r="T962">
            <v>0</v>
          </cell>
          <cell r="U962">
            <v>31</v>
          </cell>
          <cell r="V962">
            <v>0</v>
          </cell>
          <cell r="W962">
            <v>0</v>
          </cell>
          <cell r="AA962">
            <v>0</v>
          </cell>
          <cell r="AB962">
            <v>0</v>
          </cell>
          <cell r="AC962">
            <v>0</v>
          </cell>
          <cell r="AD962">
            <v>31</v>
          </cell>
          <cell r="AE962">
            <v>314000</v>
          </cell>
          <cell r="AF962">
            <v>0</v>
          </cell>
          <cell r="AI962">
            <v>2251</v>
          </cell>
          <cell r="AK962">
            <v>0</v>
          </cell>
          <cell r="AM962">
            <v>145</v>
          </cell>
          <cell r="AN962">
            <v>1</v>
          </cell>
          <cell r="AO962">
            <v>393216</v>
          </cell>
          <cell r="AQ962">
            <v>0</v>
          </cell>
          <cell r="AR962">
            <v>0</v>
          </cell>
          <cell r="AS962" t="str">
            <v>Ы</v>
          </cell>
          <cell r="AT962" t="str">
            <v>Ы</v>
          </cell>
          <cell r="AU962">
            <v>0</v>
          </cell>
          <cell r="AV962">
            <v>0</v>
          </cell>
          <cell r="AW962">
            <v>23</v>
          </cell>
          <cell r="AX962">
            <v>1</v>
          </cell>
          <cell r="AY962">
            <v>0</v>
          </cell>
          <cell r="AZ962">
            <v>0</v>
          </cell>
          <cell r="BA962">
            <v>0</v>
          </cell>
          <cell r="BB962">
            <v>0</v>
          </cell>
          <cell r="BC962">
            <v>38828</v>
          </cell>
        </row>
        <row r="963">
          <cell r="A963">
            <v>2006</v>
          </cell>
          <cell r="B963">
            <v>2</v>
          </cell>
          <cell r="C963">
            <v>17</v>
          </cell>
          <cell r="D963">
            <v>21</v>
          </cell>
          <cell r="E963">
            <v>792900</v>
          </cell>
          <cell r="F963">
            <v>0</v>
          </cell>
          <cell r="G963" t="str">
            <v>Затраты по ШПЗ (непроизв)</v>
          </cell>
          <cell r="H963">
            <v>2900</v>
          </cell>
          <cell r="I963">
            <v>7920</v>
          </cell>
          <cell r="J963">
            <v>34.630000000000003</v>
          </cell>
          <cell r="K963">
            <v>1</v>
          </cell>
          <cell r="L963">
            <v>0</v>
          </cell>
          <cell r="M963">
            <v>0</v>
          </cell>
          <cell r="N963">
            <v>0</v>
          </cell>
          <cell r="R963">
            <v>0</v>
          </cell>
          <cell r="S963">
            <v>0</v>
          </cell>
          <cell r="T963">
            <v>0</v>
          </cell>
          <cell r="U963">
            <v>31</v>
          </cell>
          <cell r="V963">
            <v>0</v>
          </cell>
          <cell r="W963">
            <v>0</v>
          </cell>
          <cell r="AA963">
            <v>0</v>
          </cell>
          <cell r="AB963">
            <v>0</v>
          </cell>
          <cell r="AC963">
            <v>0</v>
          </cell>
          <cell r="AD963">
            <v>31</v>
          </cell>
          <cell r="AE963">
            <v>315000</v>
          </cell>
          <cell r="AF963">
            <v>0</v>
          </cell>
          <cell r="AI963">
            <v>2251</v>
          </cell>
          <cell r="AK963">
            <v>0</v>
          </cell>
          <cell r="AM963">
            <v>146</v>
          </cell>
          <cell r="AN963">
            <v>1</v>
          </cell>
          <cell r="AO963">
            <v>393216</v>
          </cell>
          <cell r="AQ963">
            <v>0</v>
          </cell>
          <cell r="AR963">
            <v>0</v>
          </cell>
          <cell r="AS963" t="str">
            <v>Ы</v>
          </cell>
          <cell r="AT963" t="str">
            <v>Ы</v>
          </cell>
          <cell r="AU963">
            <v>0</v>
          </cell>
          <cell r="AV963">
            <v>0</v>
          </cell>
          <cell r="AW963">
            <v>23</v>
          </cell>
          <cell r="AX963">
            <v>1</v>
          </cell>
          <cell r="AY963">
            <v>0</v>
          </cell>
          <cell r="AZ963">
            <v>0</v>
          </cell>
          <cell r="BA963">
            <v>0</v>
          </cell>
          <cell r="BB963">
            <v>0</v>
          </cell>
          <cell r="BC963">
            <v>38828</v>
          </cell>
        </row>
        <row r="964">
          <cell r="A964">
            <v>2006</v>
          </cell>
          <cell r="B964">
            <v>2</v>
          </cell>
          <cell r="C964">
            <v>18</v>
          </cell>
          <cell r="D964">
            <v>21</v>
          </cell>
          <cell r="E964">
            <v>792900</v>
          </cell>
          <cell r="F964">
            <v>0</v>
          </cell>
          <cell r="G964" t="str">
            <v>Затраты по ШПЗ (непроизв)</v>
          </cell>
          <cell r="H964">
            <v>2900</v>
          </cell>
          <cell r="I964">
            <v>7920</v>
          </cell>
          <cell r="J964">
            <v>230</v>
          </cell>
          <cell r="K964">
            <v>1</v>
          </cell>
          <cell r="L964">
            <v>0</v>
          </cell>
          <cell r="M964">
            <v>0</v>
          </cell>
          <cell r="N964">
            <v>0</v>
          </cell>
          <cell r="R964">
            <v>0</v>
          </cell>
          <cell r="S964">
            <v>0</v>
          </cell>
          <cell r="T964">
            <v>0</v>
          </cell>
          <cell r="U964">
            <v>31</v>
          </cell>
          <cell r="V964">
            <v>0</v>
          </cell>
          <cell r="W964">
            <v>0</v>
          </cell>
          <cell r="AA964">
            <v>0</v>
          </cell>
          <cell r="AB964">
            <v>0</v>
          </cell>
          <cell r="AC964">
            <v>0</v>
          </cell>
          <cell r="AD964">
            <v>31</v>
          </cell>
          <cell r="AE964">
            <v>504900</v>
          </cell>
          <cell r="AF964">
            <v>0</v>
          </cell>
          <cell r="AI964">
            <v>2251</v>
          </cell>
          <cell r="AK964">
            <v>0</v>
          </cell>
          <cell r="AM964">
            <v>147</v>
          </cell>
          <cell r="AN964">
            <v>1</v>
          </cell>
          <cell r="AO964">
            <v>393216</v>
          </cell>
          <cell r="AQ964">
            <v>0</v>
          </cell>
          <cell r="AR964">
            <v>0</v>
          </cell>
          <cell r="AS964" t="str">
            <v>Ы</v>
          </cell>
          <cell r="AT964" t="str">
            <v>Ы</v>
          </cell>
          <cell r="AU964">
            <v>0</v>
          </cell>
          <cell r="AV964">
            <v>0</v>
          </cell>
          <cell r="AW964">
            <v>23</v>
          </cell>
          <cell r="AX964">
            <v>1</v>
          </cell>
          <cell r="AY964">
            <v>0</v>
          </cell>
          <cell r="AZ964">
            <v>0</v>
          </cell>
          <cell r="BA964">
            <v>0</v>
          </cell>
          <cell r="BB964">
            <v>0</v>
          </cell>
          <cell r="BC964">
            <v>38828</v>
          </cell>
        </row>
        <row r="965">
          <cell r="A965">
            <v>2006</v>
          </cell>
          <cell r="B965">
            <v>2</v>
          </cell>
          <cell r="C965">
            <v>19</v>
          </cell>
          <cell r="D965">
            <v>21</v>
          </cell>
          <cell r="E965">
            <v>792900</v>
          </cell>
          <cell r="F965">
            <v>0</v>
          </cell>
          <cell r="G965" t="str">
            <v>Затраты по ШПЗ (непроизв)</v>
          </cell>
          <cell r="H965">
            <v>2900</v>
          </cell>
          <cell r="I965">
            <v>7920</v>
          </cell>
          <cell r="J965">
            <v>1000</v>
          </cell>
          <cell r="K965">
            <v>1</v>
          </cell>
          <cell r="L965">
            <v>0</v>
          </cell>
          <cell r="M965">
            <v>0</v>
          </cell>
          <cell r="N965">
            <v>0</v>
          </cell>
          <cell r="R965">
            <v>0</v>
          </cell>
          <cell r="S965">
            <v>0</v>
          </cell>
          <cell r="T965">
            <v>0</v>
          </cell>
          <cell r="U965">
            <v>31</v>
          </cell>
          <cell r="V965">
            <v>0</v>
          </cell>
          <cell r="W965">
            <v>0</v>
          </cell>
          <cell r="AA965">
            <v>0</v>
          </cell>
          <cell r="AB965">
            <v>0</v>
          </cell>
          <cell r="AC965">
            <v>0</v>
          </cell>
          <cell r="AD965">
            <v>31</v>
          </cell>
          <cell r="AE965">
            <v>530000</v>
          </cell>
          <cell r="AF965">
            <v>0</v>
          </cell>
          <cell r="AI965">
            <v>2251</v>
          </cell>
          <cell r="AK965">
            <v>0</v>
          </cell>
          <cell r="AM965">
            <v>148</v>
          </cell>
          <cell r="AN965">
            <v>1</v>
          </cell>
          <cell r="AO965">
            <v>393216</v>
          </cell>
          <cell r="AQ965">
            <v>0</v>
          </cell>
          <cell r="AR965">
            <v>0</v>
          </cell>
          <cell r="AS965" t="str">
            <v>Ы</v>
          </cell>
          <cell r="AT965" t="str">
            <v>Ы</v>
          </cell>
          <cell r="AU965">
            <v>0</v>
          </cell>
          <cell r="AV965">
            <v>0</v>
          </cell>
          <cell r="AW965">
            <v>23</v>
          </cell>
          <cell r="AX965">
            <v>1</v>
          </cell>
          <cell r="AY965">
            <v>0</v>
          </cell>
          <cell r="AZ965">
            <v>0</v>
          </cell>
          <cell r="BA965">
            <v>0</v>
          </cell>
          <cell r="BB965">
            <v>0</v>
          </cell>
          <cell r="BC965">
            <v>38828</v>
          </cell>
        </row>
        <row r="966">
          <cell r="A966">
            <v>2006</v>
          </cell>
          <cell r="B966">
            <v>3</v>
          </cell>
          <cell r="C966">
            <v>282</v>
          </cell>
          <cell r="D966">
            <v>21</v>
          </cell>
          <cell r="E966">
            <v>792900</v>
          </cell>
          <cell r="F966">
            <v>0</v>
          </cell>
          <cell r="G966" t="str">
            <v>Затраты по ШПЗ (непроизв)</v>
          </cell>
          <cell r="H966">
            <v>2900</v>
          </cell>
          <cell r="I966">
            <v>7920</v>
          </cell>
          <cell r="J966">
            <v>341.63</v>
          </cell>
          <cell r="K966">
            <v>1</v>
          </cell>
          <cell r="L966">
            <v>0</v>
          </cell>
          <cell r="M966">
            <v>0</v>
          </cell>
          <cell r="N966">
            <v>0</v>
          </cell>
          <cell r="R966">
            <v>0</v>
          </cell>
          <cell r="S966">
            <v>0</v>
          </cell>
          <cell r="T966">
            <v>0</v>
          </cell>
          <cell r="U966">
            <v>31</v>
          </cell>
          <cell r="V966">
            <v>0</v>
          </cell>
          <cell r="W966">
            <v>0</v>
          </cell>
          <cell r="AA966">
            <v>0</v>
          </cell>
          <cell r="AB966">
            <v>0</v>
          </cell>
          <cell r="AC966">
            <v>0</v>
          </cell>
          <cell r="AD966">
            <v>31</v>
          </cell>
          <cell r="AE966">
            <v>110000</v>
          </cell>
          <cell r="AF966">
            <v>0</v>
          </cell>
          <cell r="AI966">
            <v>2282</v>
          </cell>
          <cell r="AK966">
            <v>0</v>
          </cell>
          <cell r="AM966">
            <v>439</v>
          </cell>
          <cell r="AN966">
            <v>1</v>
          </cell>
          <cell r="AO966">
            <v>393216</v>
          </cell>
          <cell r="AQ966">
            <v>0</v>
          </cell>
          <cell r="AR966">
            <v>0</v>
          </cell>
          <cell r="AS966" t="str">
            <v>Ы</v>
          </cell>
          <cell r="AT966" t="str">
            <v>Ы</v>
          </cell>
          <cell r="AU966">
            <v>0</v>
          </cell>
          <cell r="AV966">
            <v>0</v>
          </cell>
          <cell r="AW966">
            <v>23</v>
          </cell>
          <cell r="AX966">
            <v>1</v>
          </cell>
          <cell r="AY966">
            <v>0</v>
          </cell>
          <cell r="AZ966">
            <v>0</v>
          </cell>
          <cell r="BA966">
            <v>0</v>
          </cell>
          <cell r="BB966">
            <v>0</v>
          </cell>
          <cell r="BC966">
            <v>38828</v>
          </cell>
        </row>
        <row r="967">
          <cell r="A967">
            <v>2006</v>
          </cell>
          <cell r="B967">
            <v>3</v>
          </cell>
          <cell r="C967">
            <v>283</v>
          </cell>
          <cell r="D967">
            <v>21</v>
          </cell>
          <cell r="E967">
            <v>792900</v>
          </cell>
          <cell r="F967">
            <v>0</v>
          </cell>
          <cell r="G967" t="str">
            <v>Затраты по ШПЗ (непроизв)</v>
          </cell>
          <cell r="H967">
            <v>2900</v>
          </cell>
          <cell r="I967">
            <v>7920</v>
          </cell>
          <cell r="J967">
            <v>4810</v>
          </cell>
          <cell r="K967">
            <v>1</v>
          </cell>
          <cell r="L967">
            <v>0</v>
          </cell>
          <cell r="M967">
            <v>0</v>
          </cell>
          <cell r="N967">
            <v>0</v>
          </cell>
          <cell r="R967">
            <v>0</v>
          </cell>
          <cell r="S967">
            <v>0</v>
          </cell>
          <cell r="T967">
            <v>0</v>
          </cell>
          <cell r="U967">
            <v>31</v>
          </cell>
          <cell r="V967">
            <v>0</v>
          </cell>
          <cell r="W967">
            <v>0</v>
          </cell>
          <cell r="AA967">
            <v>0</v>
          </cell>
          <cell r="AB967">
            <v>0</v>
          </cell>
          <cell r="AC967">
            <v>0</v>
          </cell>
          <cell r="AD967">
            <v>31</v>
          </cell>
          <cell r="AE967">
            <v>220000</v>
          </cell>
          <cell r="AF967">
            <v>0</v>
          </cell>
          <cell r="AI967">
            <v>2282</v>
          </cell>
          <cell r="AK967">
            <v>0</v>
          </cell>
          <cell r="AM967">
            <v>440</v>
          </cell>
          <cell r="AN967">
            <v>1</v>
          </cell>
          <cell r="AO967">
            <v>393216</v>
          </cell>
          <cell r="AQ967">
            <v>0</v>
          </cell>
          <cell r="AR967">
            <v>0</v>
          </cell>
          <cell r="AS967" t="str">
            <v>Ы</v>
          </cell>
          <cell r="AT967" t="str">
            <v>Ы</v>
          </cell>
          <cell r="AU967">
            <v>0</v>
          </cell>
          <cell r="AV967">
            <v>0</v>
          </cell>
          <cell r="AW967">
            <v>23</v>
          </cell>
          <cell r="AX967">
            <v>1</v>
          </cell>
          <cell r="AY967">
            <v>0</v>
          </cell>
          <cell r="AZ967">
            <v>0</v>
          </cell>
          <cell r="BA967">
            <v>0</v>
          </cell>
          <cell r="BB967">
            <v>0</v>
          </cell>
          <cell r="BC967">
            <v>38828</v>
          </cell>
        </row>
        <row r="968">
          <cell r="A968">
            <v>2006</v>
          </cell>
          <cell r="B968">
            <v>3</v>
          </cell>
          <cell r="C968">
            <v>284</v>
          </cell>
          <cell r="D968">
            <v>21</v>
          </cell>
          <cell r="E968">
            <v>792900</v>
          </cell>
          <cell r="F968">
            <v>0</v>
          </cell>
          <cell r="G968" t="str">
            <v>Затраты по ШПЗ (непроизв)</v>
          </cell>
          <cell r="H968">
            <v>2900</v>
          </cell>
          <cell r="I968">
            <v>7920</v>
          </cell>
          <cell r="J968">
            <v>2645.5</v>
          </cell>
          <cell r="K968">
            <v>1</v>
          </cell>
          <cell r="L968">
            <v>0</v>
          </cell>
          <cell r="M968">
            <v>0</v>
          </cell>
          <cell r="N968">
            <v>0</v>
          </cell>
          <cell r="R968">
            <v>0</v>
          </cell>
          <cell r="S968">
            <v>0</v>
          </cell>
          <cell r="T968">
            <v>0</v>
          </cell>
          <cell r="U968">
            <v>31</v>
          </cell>
          <cell r="V968">
            <v>0</v>
          </cell>
          <cell r="W968">
            <v>0</v>
          </cell>
          <cell r="AA968">
            <v>0</v>
          </cell>
          <cell r="AB968">
            <v>0</v>
          </cell>
          <cell r="AC968">
            <v>0</v>
          </cell>
          <cell r="AD968">
            <v>31</v>
          </cell>
          <cell r="AE968">
            <v>230000</v>
          </cell>
          <cell r="AF968">
            <v>0</v>
          </cell>
          <cell r="AI968">
            <v>2282</v>
          </cell>
          <cell r="AK968">
            <v>0</v>
          </cell>
          <cell r="AM968">
            <v>441</v>
          </cell>
          <cell r="AN968">
            <v>1</v>
          </cell>
          <cell r="AO968">
            <v>393216</v>
          </cell>
          <cell r="AQ968">
            <v>0</v>
          </cell>
          <cell r="AR968">
            <v>0</v>
          </cell>
          <cell r="AS968" t="str">
            <v>Ы</v>
          </cell>
          <cell r="AT968" t="str">
            <v>Ы</v>
          </cell>
          <cell r="AU968">
            <v>0</v>
          </cell>
          <cell r="AV968">
            <v>0</v>
          </cell>
          <cell r="AW968">
            <v>23</v>
          </cell>
          <cell r="AX968">
            <v>1</v>
          </cell>
          <cell r="AY968">
            <v>0</v>
          </cell>
          <cell r="AZ968">
            <v>0</v>
          </cell>
          <cell r="BA968">
            <v>0</v>
          </cell>
          <cell r="BB968">
            <v>0</v>
          </cell>
          <cell r="BC968">
            <v>38828</v>
          </cell>
        </row>
        <row r="969">
          <cell r="A969">
            <v>2006</v>
          </cell>
          <cell r="B969">
            <v>3</v>
          </cell>
          <cell r="C969">
            <v>285</v>
          </cell>
          <cell r="D969">
            <v>21</v>
          </cell>
          <cell r="E969">
            <v>792900</v>
          </cell>
          <cell r="F969">
            <v>0</v>
          </cell>
          <cell r="G969" t="str">
            <v>Затраты по ШПЗ (непроизв)</v>
          </cell>
          <cell r="H969">
            <v>2900</v>
          </cell>
          <cell r="I969">
            <v>7920</v>
          </cell>
          <cell r="J969">
            <v>721.5</v>
          </cell>
          <cell r="K969">
            <v>1</v>
          </cell>
          <cell r="L969">
            <v>0</v>
          </cell>
          <cell r="M969">
            <v>0</v>
          </cell>
          <cell r="N969">
            <v>0</v>
          </cell>
          <cell r="R969">
            <v>0</v>
          </cell>
          <cell r="S969">
            <v>0</v>
          </cell>
          <cell r="T969">
            <v>0</v>
          </cell>
          <cell r="U969">
            <v>31</v>
          </cell>
          <cell r="V969">
            <v>0</v>
          </cell>
          <cell r="W969">
            <v>0</v>
          </cell>
          <cell r="AA969">
            <v>0</v>
          </cell>
          <cell r="AB969">
            <v>0</v>
          </cell>
          <cell r="AC969">
            <v>0</v>
          </cell>
          <cell r="AD969">
            <v>31</v>
          </cell>
          <cell r="AE969">
            <v>270000</v>
          </cell>
          <cell r="AF969">
            <v>0</v>
          </cell>
          <cell r="AI969">
            <v>2282</v>
          </cell>
          <cell r="AK969">
            <v>0</v>
          </cell>
          <cell r="AM969">
            <v>442</v>
          </cell>
          <cell r="AN969">
            <v>1</v>
          </cell>
          <cell r="AO969">
            <v>393216</v>
          </cell>
          <cell r="AQ969">
            <v>0</v>
          </cell>
          <cell r="AR969">
            <v>0</v>
          </cell>
          <cell r="AS969" t="str">
            <v>Ы</v>
          </cell>
          <cell r="AT969" t="str">
            <v>Ы</v>
          </cell>
          <cell r="AU969">
            <v>0</v>
          </cell>
          <cell r="AV969">
            <v>0</v>
          </cell>
          <cell r="AW969">
            <v>23</v>
          </cell>
          <cell r="AX969">
            <v>1</v>
          </cell>
          <cell r="AY969">
            <v>0</v>
          </cell>
          <cell r="AZ969">
            <v>0</v>
          </cell>
          <cell r="BA969">
            <v>0</v>
          </cell>
          <cell r="BB969">
            <v>0</v>
          </cell>
          <cell r="BC969">
            <v>38828</v>
          </cell>
        </row>
        <row r="970">
          <cell r="A970">
            <v>2006</v>
          </cell>
          <cell r="B970">
            <v>3</v>
          </cell>
          <cell r="C970">
            <v>286</v>
          </cell>
          <cell r="D970">
            <v>21</v>
          </cell>
          <cell r="E970">
            <v>792900</v>
          </cell>
          <cell r="F970">
            <v>0</v>
          </cell>
          <cell r="G970" t="str">
            <v>Затраты по ШПЗ (непроизв)</v>
          </cell>
          <cell r="H970">
            <v>2900</v>
          </cell>
          <cell r="I970">
            <v>7920</v>
          </cell>
          <cell r="J970">
            <v>481</v>
          </cell>
          <cell r="K970">
            <v>1</v>
          </cell>
          <cell r="L970">
            <v>0</v>
          </cell>
          <cell r="M970">
            <v>0</v>
          </cell>
          <cell r="N970">
            <v>0</v>
          </cell>
          <cell r="R970">
            <v>0</v>
          </cell>
          <cell r="S970">
            <v>0</v>
          </cell>
          <cell r="T970">
            <v>0</v>
          </cell>
          <cell r="U970">
            <v>31</v>
          </cell>
          <cell r="V970">
            <v>0</v>
          </cell>
          <cell r="W970">
            <v>0</v>
          </cell>
          <cell r="AA970">
            <v>0</v>
          </cell>
          <cell r="AB970">
            <v>0</v>
          </cell>
          <cell r="AC970">
            <v>0</v>
          </cell>
          <cell r="AD970">
            <v>31</v>
          </cell>
          <cell r="AE970">
            <v>280400</v>
          </cell>
          <cell r="AF970">
            <v>0</v>
          </cell>
          <cell r="AI970">
            <v>2282</v>
          </cell>
          <cell r="AK970">
            <v>0</v>
          </cell>
          <cell r="AM970">
            <v>443</v>
          </cell>
          <cell r="AN970">
            <v>1</v>
          </cell>
          <cell r="AO970">
            <v>393216</v>
          </cell>
          <cell r="AQ970">
            <v>0</v>
          </cell>
          <cell r="AR970">
            <v>0</v>
          </cell>
          <cell r="AS970" t="str">
            <v>Ы</v>
          </cell>
          <cell r="AT970" t="str">
            <v>Ы</v>
          </cell>
          <cell r="AU970">
            <v>0</v>
          </cell>
          <cell r="AV970">
            <v>0</v>
          </cell>
          <cell r="AW970">
            <v>23</v>
          </cell>
          <cell r="AX970">
            <v>1</v>
          </cell>
          <cell r="AY970">
            <v>0</v>
          </cell>
          <cell r="AZ970">
            <v>0</v>
          </cell>
          <cell r="BA970">
            <v>0</v>
          </cell>
          <cell r="BB970">
            <v>0</v>
          </cell>
          <cell r="BC970">
            <v>38828</v>
          </cell>
        </row>
        <row r="971">
          <cell r="A971">
            <v>2006</v>
          </cell>
          <cell r="B971">
            <v>3</v>
          </cell>
          <cell r="C971">
            <v>287</v>
          </cell>
          <cell r="D971">
            <v>21</v>
          </cell>
          <cell r="E971">
            <v>792900</v>
          </cell>
          <cell r="F971">
            <v>0</v>
          </cell>
          <cell r="G971" t="str">
            <v>Затраты по ШПЗ (непроизв)</v>
          </cell>
          <cell r="H971">
            <v>2900</v>
          </cell>
          <cell r="I971">
            <v>7920</v>
          </cell>
          <cell r="J971">
            <v>251.08</v>
          </cell>
          <cell r="K971">
            <v>1</v>
          </cell>
          <cell r="L971">
            <v>0</v>
          </cell>
          <cell r="M971">
            <v>0</v>
          </cell>
          <cell r="N971">
            <v>0</v>
          </cell>
          <cell r="R971">
            <v>0</v>
          </cell>
          <cell r="S971">
            <v>0</v>
          </cell>
          <cell r="T971">
            <v>0</v>
          </cell>
          <cell r="U971">
            <v>31</v>
          </cell>
          <cell r="V971">
            <v>0</v>
          </cell>
          <cell r="W971">
            <v>0</v>
          </cell>
          <cell r="AA971">
            <v>0</v>
          </cell>
          <cell r="AB971">
            <v>0</v>
          </cell>
          <cell r="AC971">
            <v>0</v>
          </cell>
          <cell r="AD971">
            <v>31</v>
          </cell>
          <cell r="AE971">
            <v>311000</v>
          </cell>
          <cell r="AF971">
            <v>0</v>
          </cell>
          <cell r="AI971">
            <v>2282</v>
          </cell>
          <cell r="AK971">
            <v>0</v>
          </cell>
          <cell r="AM971">
            <v>444</v>
          </cell>
          <cell r="AN971">
            <v>1</v>
          </cell>
          <cell r="AO971">
            <v>393216</v>
          </cell>
          <cell r="AQ971">
            <v>0</v>
          </cell>
          <cell r="AR971">
            <v>0</v>
          </cell>
          <cell r="AS971" t="str">
            <v>Ы</v>
          </cell>
          <cell r="AT971" t="str">
            <v>Ы</v>
          </cell>
          <cell r="AU971">
            <v>0</v>
          </cell>
          <cell r="AV971">
            <v>0</v>
          </cell>
          <cell r="AW971">
            <v>23</v>
          </cell>
          <cell r="AX971">
            <v>1</v>
          </cell>
          <cell r="AY971">
            <v>0</v>
          </cell>
          <cell r="AZ971">
            <v>0</v>
          </cell>
          <cell r="BA971">
            <v>0</v>
          </cell>
          <cell r="BB971">
            <v>0</v>
          </cell>
          <cell r="BC971">
            <v>38828</v>
          </cell>
        </row>
        <row r="972">
          <cell r="A972">
            <v>2006</v>
          </cell>
          <cell r="B972">
            <v>3</v>
          </cell>
          <cell r="C972">
            <v>288</v>
          </cell>
          <cell r="D972">
            <v>21</v>
          </cell>
          <cell r="E972">
            <v>792900</v>
          </cell>
          <cell r="F972">
            <v>0</v>
          </cell>
          <cell r="G972" t="str">
            <v>Затраты по ШПЗ (непроизв)</v>
          </cell>
          <cell r="H972">
            <v>2900</v>
          </cell>
          <cell r="I972">
            <v>7920</v>
          </cell>
          <cell r="J972">
            <v>519.48</v>
          </cell>
          <cell r="K972">
            <v>1</v>
          </cell>
          <cell r="L972">
            <v>0</v>
          </cell>
          <cell r="M972">
            <v>0</v>
          </cell>
          <cell r="N972">
            <v>0</v>
          </cell>
          <cell r="R972">
            <v>0</v>
          </cell>
          <cell r="S972">
            <v>0</v>
          </cell>
          <cell r="T972">
            <v>0</v>
          </cell>
          <cell r="U972">
            <v>31</v>
          </cell>
          <cell r="V972">
            <v>0</v>
          </cell>
          <cell r="W972">
            <v>0</v>
          </cell>
          <cell r="AA972">
            <v>0</v>
          </cell>
          <cell r="AB972">
            <v>0</v>
          </cell>
          <cell r="AC972">
            <v>0</v>
          </cell>
          <cell r="AD972">
            <v>31</v>
          </cell>
          <cell r="AE972">
            <v>312000</v>
          </cell>
          <cell r="AF972">
            <v>0</v>
          </cell>
          <cell r="AI972">
            <v>2282</v>
          </cell>
          <cell r="AK972">
            <v>0</v>
          </cell>
          <cell r="AM972">
            <v>445</v>
          </cell>
          <cell r="AN972">
            <v>1</v>
          </cell>
          <cell r="AO972">
            <v>393216</v>
          </cell>
          <cell r="AQ972">
            <v>0</v>
          </cell>
          <cell r="AR972">
            <v>0</v>
          </cell>
          <cell r="AS972" t="str">
            <v>Ы</v>
          </cell>
          <cell r="AT972" t="str">
            <v>Ы</v>
          </cell>
          <cell r="AU972">
            <v>0</v>
          </cell>
          <cell r="AV972">
            <v>0</v>
          </cell>
          <cell r="AW972">
            <v>23</v>
          </cell>
          <cell r="AX972">
            <v>1</v>
          </cell>
          <cell r="AY972">
            <v>0</v>
          </cell>
          <cell r="AZ972">
            <v>0</v>
          </cell>
          <cell r="BA972">
            <v>0</v>
          </cell>
          <cell r="BB972">
            <v>0</v>
          </cell>
          <cell r="BC972">
            <v>38828</v>
          </cell>
        </row>
        <row r="973">
          <cell r="A973">
            <v>2006</v>
          </cell>
          <cell r="B973">
            <v>3</v>
          </cell>
          <cell r="C973">
            <v>289</v>
          </cell>
          <cell r="D973">
            <v>21</v>
          </cell>
          <cell r="E973">
            <v>792900</v>
          </cell>
          <cell r="F973">
            <v>0</v>
          </cell>
          <cell r="G973" t="str">
            <v>Затраты по ШПЗ (непроизв)</v>
          </cell>
          <cell r="H973">
            <v>2900</v>
          </cell>
          <cell r="I973">
            <v>7920</v>
          </cell>
          <cell r="J973">
            <v>1212.1199999999999</v>
          </cell>
          <cell r="K973">
            <v>1</v>
          </cell>
          <cell r="L973">
            <v>0</v>
          </cell>
          <cell r="M973">
            <v>0</v>
          </cell>
          <cell r="N973">
            <v>0</v>
          </cell>
          <cell r="R973">
            <v>0</v>
          </cell>
          <cell r="S973">
            <v>0</v>
          </cell>
          <cell r="T973">
            <v>0</v>
          </cell>
          <cell r="U973">
            <v>31</v>
          </cell>
          <cell r="V973">
            <v>0</v>
          </cell>
          <cell r="W973">
            <v>0</v>
          </cell>
          <cell r="AA973">
            <v>0</v>
          </cell>
          <cell r="AB973">
            <v>0</v>
          </cell>
          <cell r="AC973">
            <v>0</v>
          </cell>
          <cell r="AD973">
            <v>31</v>
          </cell>
          <cell r="AE973">
            <v>312200</v>
          </cell>
          <cell r="AF973">
            <v>0</v>
          </cell>
          <cell r="AI973">
            <v>2282</v>
          </cell>
          <cell r="AK973">
            <v>0</v>
          </cell>
          <cell r="AM973">
            <v>446</v>
          </cell>
          <cell r="AN973">
            <v>1</v>
          </cell>
          <cell r="AO973">
            <v>393216</v>
          </cell>
          <cell r="AQ973">
            <v>0</v>
          </cell>
          <cell r="AR973">
            <v>0</v>
          </cell>
          <cell r="AS973" t="str">
            <v>Ы</v>
          </cell>
          <cell r="AT973" t="str">
            <v>Ы</v>
          </cell>
          <cell r="AU973">
            <v>0</v>
          </cell>
          <cell r="AV973">
            <v>0</v>
          </cell>
          <cell r="AW973">
            <v>23</v>
          </cell>
          <cell r="AX973">
            <v>1</v>
          </cell>
          <cell r="AY973">
            <v>0</v>
          </cell>
          <cell r="AZ973">
            <v>0</v>
          </cell>
          <cell r="BA973">
            <v>0</v>
          </cell>
          <cell r="BB973">
            <v>0</v>
          </cell>
          <cell r="BC973">
            <v>38828</v>
          </cell>
        </row>
        <row r="974">
          <cell r="A974">
            <v>2006</v>
          </cell>
          <cell r="B974">
            <v>3</v>
          </cell>
          <cell r="C974">
            <v>290</v>
          </cell>
          <cell r="D974">
            <v>21</v>
          </cell>
          <cell r="E974">
            <v>792900</v>
          </cell>
          <cell r="F974">
            <v>0</v>
          </cell>
          <cell r="G974" t="str">
            <v>Затраты по ШПЗ (непроизв)</v>
          </cell>
          <cell r="H974">
            <v>2900</v>
          </cell>
          <cell r="I974">
            <v>7920</v>
          </cell>
          <cell r="J974">
            <v>95.24</v>
          </cell>
          <cell r="K974">
            <v>1</v>
          </cell>
          <cell r="L974">
            <v>0</v>
          </cell>
          <cell r="M974">
            <v>0</v>
          </cell>
          <cell r="N974">
            <v>0</v>
          </cell>
          <cell r="R974">
            <v>0</v>
          </cell>
          <cell r="S974">
            <v>0</v>
          </cell>
          <cell r="T974">
            <v>0</v>
          </cell>
          <cell r="U974">
            <v>31</v>
          </cell>
          <cell r="V974">
            <v>0</v>
          </cell>
          <cell r="W974">
            <v>0</v>
          </cell>
          <cell r="AA974">
            <v>0</v>
          </cell>
          <cell r="AB974">
            <v>0</v>
          </cell>
          <cell r="AC974">
            <v>0</v>
          </cell>
          <cell r="AD974">
            <v>31</v>
          </cell>
          <cell r="AE974">
            <v>313000</v>
          </cell>
          <cell r="AF974">
            <v>0</v>
          </cell>
          <cell r="AI974">
            <v>2282</v>
          </cell>
          <cell r="AK974">
            <v>0</v>
          </cell>
          <cell r="AM974">
            <v>447</v>
          </cell>
          <cell r="AN974">
            <v>1</v>
          </cell>
          <cell r="AO974">
            <v>393216</v>
          </cell>
          <cell r="AQ974">
            <v>0</v>
          </cell>
          <cell r="AR974">
            <v>0</v>
          </cell>
          <cell r="AS974" t="str">
            <v>Ы</v>
          </cell>
          <cell r="AT974" t="str">
            <v>Ы</v>
          </cell>
          <cell r="AU974">
            <v>0</v>
          </cell>
          <cell r="AV974">
            <v>0</v>
          </cell>
          <cell r="AW974">
            <v>23</v>
          </cell>
          <cell r="AX974">
            <v>1</v>
          </cell>
          <cell r="AY974">
            <v>0</v>
          </cell>
          <cell r="AZ974">
            <v>0</v>
          </cell>
          <cell r="BA974">
            <v>0</v>
          </cell>
          <cell r="BB974">
            <v>0</v>
          </cell>
          <cell r="BC974">
            <v>38828</v>
          </cell>
        </row>
        <row r="975">
          <cell r="A975">
            <v>2006</v>
          </cell>
          <cell r="B975">
            <v>3</v>
          </cell>
          <cell r="C975">
            <v>291</v>
          </cell>
          <cell r="D975">
            <v>21</v>
          </cell>
          <cell r="E975">
            <v>792900</v>
          </cell>
          <cell r="F975">
            <v>0</v>
          </cell>
          <cell r="G975" t="str">
            <v>Затраты по ШПЗ (непроизв)</v>
          </cell>
          <cell r="H975">
            <v>2900</v>
          </cell>
          <cell r="I975">
            <v>7920</v>
          </cell>
          <cell r="J975">
            <v>173.16</v>
          </cell>
          <cell r="K975">
            <v>1</v>
          </cell>
          <cell r="L975">
            <v>0</v>
          </cell>
          <cell r="M975">
            <v>0</v>
          </cell>
          <cell r="N975">
            <v>0</v>
          </cell>
          <cell r="R975">
            <v>0</v>
          </cell>
          <cell r="S975">
            <v>0</v>
          </cell>
          <cell r="T975">
            <v>0</v>
          </cell>
          <cell r="U975">
            <v>31</v>
          </cell>
          <cell r="V975">
            <v>0</v>
          </cell>
          <cell r="W975">
            <v>0</v>
          </cell>
          <cell r="AA975">
            <v>0</v>
          </cell>
          <cell r="AB975">
            <v>0</v>
          </cell>
          <cell r="AC975">
            <v>0</v>
          </cell>
          <cell r="AD975">
            <v>31</v>
          </cell>
          <cell r="AE975">
            <v>314000</v>
          </cell>
          <cell r="AF975">
            <v>0</v>
          </cell>
          <cell r="AI975">
            <v>2282</v>
          </cell>
          <cell r="AK975">
            <v>0</v>
          </cell>
          <cell r="AM975">
            <v>448</v>
          </cell>
          <cell r="AN975">
            <v>1</v>
          </cell>
          <cell r="AO975">
            <v>393216</v>
          </cell>
          <cell r="AQ975">
            <v>0</v>
          </cell>
          <cell r="AR975">
            <v>0</v>
          </cell>
          <cell r="AS975" t="str">
            <v>Ы</v>
          </cell>
          <cell r="AT975" t="str">
            <v>Ы</v>
          </cell>
          <cell r="AU975">
            <v>0</v>
          </cell>
          <cell r="AV975">
            <v>0</v>
          </cell>
          <cell r="AW975">
            <v>23</v>
          </cell>
          <cell r="AX975">
            <v>1</v>
          </cell>
          <cell r="AY975">
            <v>0</v>
          </cell>
          <cell r="AZ975">
            <v>0</v>
          </cell>
          <cell r="BA975">
            <v>0</v>
          </cell>
          <cell r="BB975">
            <v>0</v>
          </cell>
          <cell r="BC975">
            <v>38828</v>
          </cell>
        </row>
        <row r="976">
          <cell r="A976">
            <v>2006</v>
          </cell>
          <cell r="B976">
            <v>3</v>
          </cell>
          <cell r="C976">
            <v>292</v>
          </cell>
          <cell r="D976">
            <v>21</v>
          </cell>
          <cell r="E976">
            <v>792900</v>
          </cell>
          <cell r="F976">
            <v>0</v>
          </cell>
          <cell r="G976" t="str">
            <v>Затраты по ШПЗ (непроизв)</v>
          </cell>
          <cell r="H976">
            <v>2900</v>
          </cell>
          <cell r="I976">
            <v>7920</v>
          </cell>
          <cell r="J976">
            <v>34.630000000000003</v>
          </cell>
          <cell r="K976">
            <v>1</v>
          </cell>
          <cell r="L976">
            <v>0</v>
          </cell>
          <cell r="M976">
            <v>0</v>
          </cell>
          <cell r="N976">
            <v>0</v>
          </cell>
          <cell r="R976">
            <v>0</v>
          </cell>
          <cell r="S976">
            <v>0</v>
          </cell>
          <cell r="T976">
            <v>0</v>
          </cell>
          <cell r="U976">
            <v>31</v>
          </cell>
          <cell r="V976">
            <v>0</v>
          </cell>
          <cell r="W976">
            <v>0</v>
          </cell>
          <cell r="AA976">
            <v>0</v>
          </cell>
          <cell r="AB976">
            <v>0</v>
          </cell>
          <cell r="AC976">
            <v>0</v>
          </cell>
          <cell r="AD976">
            <v>31</v>
          </cell>
          <cell r="AE976">
            <v>315000</v>
          </cell>
          <cell r="AF976">
            <v>0</v>
          </cell>
          <cell r="AI976">
            <v>2282</v>
          </cell>
          <cell r="AK976">
            <v>0</v>
          </cell>
          <cell r="AM976">
            <v>449</v>
          </cell>
          <cell r="AN976">
            <v>1</v>
          </cell>
          <cell r="AO976">
            <v>393216</v>
          </cell>
          <cell r="AQ976">
            <v>0</v>
          </cell>
          <cell r="AR976">
            <v>0</v>
          </cell>
          <cell r="AS976" t="str">
            <v>Ы</v>
          </cell>
          <cell r="AT976" t="str">
            <v>Ы</v>
          </cell>
          <cell r="AU976">
            <v>0</v>
          </cell>
          <cell r="AV976">
            <v>0</v>
          </cell>
          <cell r="AW976">
            <v>23</v>
          </cell>
          <cell r="AX976">
            <v>1</v>
          </cell>
          <cell r="AY976">
            <v>0</v>
          </cell>
          <cell r="AZ976">
            <v>0</v>
          </cell>
          <cell r="BA976">
            <v>0</v>
          </cell>
          <cell r="BB976">
            <v>0</v>
          </cell>
          <cell r="BC976">
            <v>38828</v>
          </cell>
        </row>
        <row r="977">
          <cell r="A977">
            <v>2006</v>
          </cell>
          <cell r="B977">
            <v>3</v>
          </cell>
          <cell r="C977">
            <v>293</v>
          </cell>
          <cell r="D977">
            <v>21</v>
          </cell>
          <cell r="E977">
            <v>792900</v>
          </cell>
          <cell r="F977">
            <v>0</v>
          </cell>
          <cell r="G977" t="str">
            <v>Затраты по ШПЗ (непроизв)</v>
          </cell>
          <cell r="H977">
            <v>2900</v>
          </cell>
          <cell r="I977">
            <v>7920</v>
          </cell>
          <cell r="J977">
            <v>500</v>
          </cell>
          <cell r="K977">
            <v>1</v>
          </cell>
          <cell r="L977">
            <v>0</v>
          </cell>
          <cell r="M977">
            <v>0</v>
          </cell>
          <cell r="N977">
            <v>0</v>
          </cell>
          <cell r="R977">
            <v>0</v>
          </cell>
          <cell r="S977">
            <v>0</v>
          </cell>
          <cell r="T977">
            <v>0</v>
          </cell>
          <cell r="U977">
            <v>31</v>
          </cell>
          <cell r="V977">
            <v>0</v>
          </cell>
          <cell r="W977">
            <v>0</v>
          </cell>
          <cell r="AA977">
            <v>0</v>
          </cell>
          <cell r="AB977">
            <v>0</v>
          </cell>
          <cell r="AC977">
            <v>0</v>
          </cell>
          <cell r="AD977">
            <v>31</v>
          </cell>
          <cell r="AE977">
            <v>530000</v>
          </cell>
          <cell r="AF977">
            <v>0</v>
          </cell>
          <cell r="AI977">
            <v>2282</v>
          </cell>
          <cell r="AK977">
            <v>0</v>
          </cell>
          <cell r="AM977">
            <v>450</v>
          </cell>
          <cell r="AN977">
            <v>1</v>
          </cell>
          <cell r="AO977">
            <v>393216</v>
          </cell>
          <cell r="AQ977">
            <v>0</v>
          </cell>
          <cell r="AR977">
            <v>0</v>
          </cell>
          <cell r="AS977" t="str">
            <v>Ы</v>
          </cell>
          <cell r="AT977" t="str">
            <v>Ы</v>
          </cell>
          <cell r="AU977">
            <v>0</v>
          </cell>
          <cell r="AV977">
            <v>0</v>
          </cell>
          <cell r="AW977">
            <v>23</v>
          </cell>
          <cell r="AX977">
            <v>1</v>
          </cell>
          <cell r="AY977">
            <v>0</v>
          </cell>
          <cell r="AZ977">
            <v>0</v>
          </cell>
          <cell r="BA977">
            <v>0</v>
          </cell>
          <cell r="BB977">
            <v>0</v>
          </cell>
          <cell r="BC977">
            <v>38828</v>
          </cell>
        </row>
        <row r="978">
          <cell r="A978">
            <v>2006</v>
          </cell>
          <cell r="B978">
            <v>4</v>
          </cell>
          <cell r="C978">
            <v>434</v>
          </cell>
          <cell r="D978">
            <v>17</v>
          </cell>
          <cell r="E978">
            <v>792900</v>
          </cell>
          <cell r="F978">
            <v>0</v>
          </cell>
          <cell r="G978" t="str">
            <v>Затраты по ШПЗ (непроизв)</v>
          </cell>
          <cell r="H978">
            <v>2900</v>
          </cell>
          <cell r="I978">
            <v>7920</v>
          </cell>
          <cell r="J978">
            <v>5050</v>
          </cell>
          <cell r="K978">
            <v>1</v>
          </cell>
          <cell r="L978">
            <v>0</v>
          </cell>
          <cell r="M978">
            <v>0</v>
          </cell>
          <cell r="N978">
            <v>0</v>
          </cell>
          <cell r="R978">
            <v>0</v>
          </cell>
          <cell r="S978">
            <v>0</v>
          </cell>
          <cell r="T978">
            <v>0</v>
          </cell>
          <cell r="U978">
            <v>31</v>
          </cell>
          <cell r="V978">
            <v>0</v>
          </cell>
          <cell r="W978">
            <v>0</v>
          </cell>
          <cell r="AA978">
            <v>0</v>
          </cell>
          <cell r="AB978">
            <v>0</v>
          </cell>
          <cell r="AC978">
            <v>0</v>
          </cell>
          <cell r="AD978">
            <v>31</v>
          </cell>
          <cell r="AE978">
            <v>220000</v>
          </cell>
          <cell r="AF978">
            <v>0</v>
          </cell>
          <cell r="AI978">
            <v>2312</v>
          </cell>
          <cell r="AK978">
            <v>0</v>
          </cell>
          <cell r="AM978">
            <v>580</v>
          </cell>
          <cell r="AN978">
            <v>1</v>
          </cell>
          <cell r="AO978">
            <v>393216</v>
          </cell>
          <cell r="AQ978">
            <v>0</v>
          </cell>
          <cell r="AR978">
            <v>0</v>
          </cell>
          <cell r="AS978" t="str">
            <v>Ы</v>
          </cell>
          <cell r="AT978" t="str">
            <v>Ы</v>
          </cell>
          <cell r="AU978">
            <v>0</v>
          </cell>
          <cell r="AV978">
            <v>0</v>
          </cell>
          <cell r="AW978">
            <v>23</v>
          </cell>
          <cell r="AX978">
            <v>1</v>
          </cell>
          <cell r="AY978">
            <v>0</v>
          </cell>
          <cell r="AZ978">
            <v>0</v>
          </cell>
          <cell r="BA978">
            <v>0</v>
          </cell>
          <cell r="BB978">
            <v>0</v>
          </cell>
          <cell r="BC978">
            <v>38856</v>
          </cell>
        </row>
        <row r="979">
          <cell r="A979">
            <v>2006</v>
          </cell>
          <cell r="B979">
            <v>4</v>
          </cell>
          <cell r="C979">
            <v>435</v>
          </cell>
          <cell r="D979">
            <v>17</v>
          </cell>
          <cell r="E979">
            <v>792900</v>
          </cell>
          <cell r="F979">
            <v>0</v>
          </cell>
          <cell r="G979" t="str">
            <v>Затраты по ШПЗ (непроизв)</v>
          </cell>
          <cell r="H979">
            <v>2900</v>
          </cell>
          <cell r="I979">
            <v>7920</v>
          </cell>
          <cell r="J979">
            <v>2651.25</v>
          </cell>
          <cell r="K979">
            <v>1</v>
          </cell>
          <cell r="L979">
            <v>0</v>
          </cell>
          <cell r="M979">
            <v>0</v>
          </cell>
          <cell r="N979">
            <v>0</v>
          </cell>
          <cell r="R979">
            <v>0</v>
          </cell>
          <cell r="S979">
            <v>0</v>
          </cell>
          <cell r="T979">
            <v>0</v>
          </cell>
          <cell r="U979">
            <v>31</v>
          </cell>
          <cell r="V979">
            <v>0</v>
          </cell>
          <cell r="W979">
            <v>0</v>
          </cell>
          <cell r="AA979">
            <v>0</v>
          </cell>
          <cell r="AB979">
            <v>0</v>
          </cell>
          <cell r="AC979">
            <v>0</v>
          </cell>
          <cell r="AD979">
            <v>31</v>
          </cell>
          <cell r="AE979">
            <v>230000</v>
          </cell>
          <cell r="AF979">
            <v>0</v>
          </cell>
          <cell r="AI979">
            <v>2312</v>
          </cell>
          <cell r="AK979">
            <v>0</v>
          </cell>
          <cell r="AM979">
            <v>581</v>
          </cell>
          <cell r="AN979">
            <v>1</v>
          </cell>
          <cell r="AO979">
            <v>393216</v>
          </cell>
          <cell r="AQ979">
            <v>0</v>
          </cell>
          <cell r="AR979">
            <v>0</v>
          </cell>
          <cell r="AS979" t="str">
            <v>Ы</v>
          </cell>
          <cell r="AT979" t="str">
            <v>Ы</v>
          </cell>
          <cell r="AU979">
            <v>0</v>
          </cell>
          <cell r="AV979">
            <v>0</v>
          </cell>
          <cell r="AW979">
            <v>23</v>
          </cell>
          <cell r="AX979">
            <v>1</v>
          </cell>
          <cell r="AY979">
            <v>0</v>
          </cell>
          <cell r="AZ979">
            <v>0</v>
          </cell>
          <cell r="BA979">
            <v>0</v>
          </cell>
          <cell r="BB979">
            <v>0</v>
          </cell>
          <cell r="BC979">
            <v>38856</v>
          </cell>
        </row>
        <row r="980">
          <cell r="A980">
            <v>2006</v>
          </cell>
          <cell r="B980">
            <v>4</v>
          </cell>
          <cell r="C980">
            <v>436</v>
          </cell>
          <cell r="D980">
            <v>17</v>
          </cell>
          <cell r="E980">
            <v>792900</v>
          </cell>
          <cell r="F980">
            <v>0</v>
          </cell>
          <cell r="G980" t="str">
            <v>Затраты по ШПЗ (непроизв)</v>
          </cell>
          <cell r="H980">
            <v>2900</v>
          </cell>
          <cell r="I980">
            <v>7920</v>
          </cell>
          <cell r="J980">
            <v>757.5</v>
          </cell>
          <cell r="K980">
            <v>1</v>
          </cell>
          <cell r="L980">
            <v>0</v>
          </cell>
          <cell r="M980">
            <v>0</v>
          </cell>
          <cell r="N980">
            <v>0</v>
          </cell>
          <cell r="R980">
            <v>0</v>
          </cell>
          <cell r="S980">
            <v>0</v>
          </cell>
          <cell r="T980">
            <v>0</v>
          </cell>
          <cell r="U980">
            <v>31</v>
          </cell>
          <cell r="V980">
            <v>0</v>
          </cell>
          <cell r="W980">
            <v>0</v>
          </cell>
          <cell r="AA980">
            <v>0</v>
          </cell>
          <cell r="AB980">
            <v>0</v>
          </cell>
          <cell r="AC980">
            <v>0</v>
          </cell>
          <cell r="AD980">
            <v>31</v>
          </cell>
          <cell r="AE980">
            <v>270000</v>
          </cell>
          <cell r="AF980">
            <v>0</v>
          </cell>
          <cell r="AI980">
            <v>2312</v>
          </cell>
          <cell r="AK980">
            <v>0</v>
          </cell>
          <cell r="AM980">
            <v>582</v>
          </cell>
          <cell r="AN980">
            <v>1</v>
          </cell>
          <cell r="AO980">
            <v>393216</v>
          </cell>
          <cell r="AQ980">
            <v>0</v>
          </cell>
          <cell r="AR980">
            <v>0</v>
          </cell>
          <cell r="AS980" t="str">
            <v>Ы</v>
          </cell>
          <cell r="AT980" t="str">
            <v>Ы</v>
          </cell>
          <cell r="AU980">
            <v>0</v>
          </cell>
          <cell r="AV980">
            <v>0</v>
          </cell>
          <cell r="AW980">
            <v>23</v>
          </cell>
          <cell r="AX980">
            <v>1</v>
          </cell>
          <cell r="AY980">
            <v>0</v>
          </cell>
          <cell r="AZ980">
            <v>0</v>
          </cell>
          <cell r="BA980">
            <v>0</v>
          </cell>
          <cell r="BB980">
            <v>0</v>
          </cell>
          <cell r="BC980">
            <v>38856</v>
          </cell>
        </row>
        <row r="981">
          <cell r="A981">
            <v>2006</v>
          </cell>
          <cell r="B981">
            <v>4</v>
          </cell>
          <cell r="C981">
            <v>437</v>
          </cell>
          <cell r="D981">
            <v>17</v>
          </cell>
          <cell r="E981">
            <v>792900</v>
          </cell>
          <cell r="F981">
            <v>0</v>
          </cell>
          <cell r="G981" t="str">
            <v>Затраты по ШПЗ (непроизв)</v>
          </cell>
          <cell r="H981">
            <v>2900</v>
          </cell>
          <cell r="I981">
            <v>7920</v>
          </cell>
          <cell r="J981">
            <v>252.5</v>
          </cell>
          <cell r="K981">
            <v>1</v>
          </cell>
          <cell r="L981">
            <v>0</v>
          </cell>
          <cell r="M981">
            <v>0</v>
          </cell>
          <cell r="N981">
            <v>0</v>
          </cell>
          <cell r="R981">
            <v>0</v>
          </cell>
          <cell r="S981">
            <v>0</v>
          </cell>
          <cell r="T981">
            <v>0</v>
          </cell>
          <cell r="U981">
            <v>31</v>
          </cell>
          <cell r="V981">
            <v>0</v>
          </cell>
          <cell r="W981">
            <v>0</v>
          </cell>
          <cell r="AA981">
            <v>0</v>
          </cell>
          <cell r="AB981">
            <v>0</v>
          </cell>
          <cell r="AC981">
            <v>0</v>
          </cell>
          <cell r="AD981">
            <v>31</v>
          </cell>
          <cell r="AE981">
            <v>280400</v>
          </cell>
          <cell r="AF981">
            <v>0</v>
          </cell>
          <cell r="AI981">
            <v>2312</v>
          </cell>
          <cell r="AK981">
            <v>0</v>
          </cell>
          <cell r="AM981">
            <v>583</v>
          </cell>
          <cell r="AN981">
            <v>1</v>
          </cell>
          <cell r="AO981">
            <v>393216</v>
          </cell>
          <cell r="AQ981">
            <v>0</v>
          </cell>
          <cell r="AR981">
            <v>0</v>
          </cell>
          <cell r="AS981" t="str">
            <v>Ы</v>
          </cell>
          <cell r="AT981" t="str">
            <v>Ы</v>
          </cell>
          <cell r="AU981">
            <v>0</v>
          </cell>
          <cell r="AV981">
            <v>0</v>
          </cell>
          <cell r="AW981">
            <v>23</v>
          </cell>
          <cell r="AX981">
            <v>1</v>
          </cell>
          <cell r="AY981">
            <v>0</v>
          </cell>
          <cell r="AZ981">
            <v>0</v>
          </cell>
          <cell r="BA981">
            <v>0</v>
          </cell>
          <cell r="BB981">
            <v>0</v>
          </cell>
          <cell r="BC981">
            <v>38856</v>
          </cell>
        </row>
        <row r="982">
          <cell r="A982">
            <v>2006</v>
          </cell>
          <cell r="B982">
            <v>4</v>
          </cell>
          <cell r="C982">
            <v>438</v>
          </cell>
          <cell r="D982">
            <v>17</v>
          </cell>
          <cell r="E982">
            <v>792900</v>
          </cell>
          <cell r="F982">
            <v>0</v>
          </cell>
          <cell r="G982" t="str">
            <v>Затраты по ШПЗ (непроизв)</v>
          </cell>
          <cell r="H982">
            <v>2900</v>
          </cell>
          <cell r="I982">
            <v>7920</v>
          </cell>
          <cell r="J982">
            <v>252.63</v>
          </cell>
          <cell r="K982">
            <v>1</v>
          </cell>
          <cell r="L982">
            <v>0</v>
          </cell>
          <cell r="M982">
            <v>0</v>
          </cell>
          <cell r="N982">
            <v>0</v>
          </cell>
          <cell r="R982">
            <v>0</v>
          </cell>
          <cell r="S982">
            <v>0</v>
          </cell>
          <cell r="T982">
            <v>0</v>
          </cell>
          <cell r="U982">
            <v>31</v>
          </cell>
          <cell r="V982">
            <v>0</v>
          </cell>
          <cell r="W982">
            <v>0</v>
          </cell>
          <cell r="AA982">
            <v>0</v>
          </cell>
          <cell r="AB982">
            <v>0</v>
          </cell>
          <cell r="AC982">
            <v>0</v>
          </cell>
          <cell r="AD982">
            <v>31</v>
          </cell>
          <cell r="AE982">
            <v>311000</v>
          </cell>
          <cell r="AF982">
            <v>0</v>
          </cell>
          <cell r="AI982">
            <v>2312</v>
          </cell>
          <cell r="AK982">
            <v>0</v>
          </cell>
          <cell r="AM982">
            <v>584</v>
          </cell>
          <cell r="AN982">
            <v>1</v>
          </cell>
          <cell r="AO982">
            <v>393216</v>
          </cell>
          <cell r="AQ982">
            <v>0</v>
          </cell>
          <cell r="AR982">
            <v>0</v>
          </cell>
          <cell r="AS982" t="str">
            <v>Ы</v>
          </cell>
          <cell r="AT982" t="str">
            <v>Ы</v>
          </cell>
          <cell r="AU982">
            <v>0</v>
          </cell>
          <cell r="AV982">
            <v>0</v>
          </cell>
          <cell r="AW982">
            <v>23</v>
          </cell>
          <cell r="AX982">
            <v>1</v>
          </cell>
          <cell r="AY982">
            <v>0</v>
          </cell>
          <cell r="AZ982">
            <v>0</v>
          </cell>
          <cell r="BA982">
            <v>0</v>
          </cell>
          <cell r="BB982">
            <v>0</v>
          </cell>
          <cell r="BC982">
            <v>38856</v>
          </cell>
        </row>
        <row r="983">
          <cell r="A983">
            <v>2006</v>
          </cell>
          <cell r="B983">
            <v>4</v>
          </cell>
          <cell r="C983">
            <v>439</v>
          </cell>
          <cell r="D983">
            <v>17</v>
          </cell>
          <cell r="E983">
            <v>792900</v>
          </cell>
          <cell r="F983">
            <v>0</v>
          </cell>
          <cell r="G983" t="str">
            <v>Затраты по ШПЗ (непроизв)</v>
          </cell>
          <cell r="H983">
            <v>2900</v>
          </cell>
          <cell r="I983">
            <v>7920</v>
          </cell>
          <cell r="J983">
            <v>522.66999999999996</v>
          </cell>
          <cell r="K983">
            <v>1</v>
          </cell>
          <cell r="L983">
            <v>0</v>
          </cell>
          <cell r="M983">
            <v>0</v>
          </cell>
          <cell r="N983">
            <v>0</v>
          </cell>
          <cell r="R983">
            <v>0</v>
          </cell>
          <cell r="S983">
            <v>0</v>
          </cell>
          <cell r="T983">
            <v>0</v>
          </cell>
          <cell r="U983">
            <v>31</v>
          </cell>
          <cell r="V983">
            <v>0</v>
          </cell>
          <cell r="W983">
            <v>0</v>
          </cell>
          <cell r="AA983">
            <v>0</v>
          </cell>
          <cell r="AB983">
            <v>0</v>
          </cell>
          <cell r="AC983">
            <v>0</v>
          </cell>
          <cell r="AD983">
            <v>31</v>
          </cell>
          <cell r="AE983">
            <v>312000</v>
          </cell>
          <cell r="AF983">
            <v>0</v>
          </cell>
          <cell r="AI983">
            <v>2312</v>
          </cell>
          <cell r="AK983">
            <v>0</v>
          </cell>
          <cell r="AM983">
            <v>585</v>
          </cell>
          <cell r="AN983">
            <v>1</v>
          </cell>
          <cell r="AO983">
            <v>393216</v>
          </cell>
          <cell r="AQ983">
            <v>0</v>
          </cell>
          <cell r="AR983">
            <v>0</v>
          </cell>
          <cell r="AS983" t="str">
            <v>Ы</v>
          </cell>
          <cell r="AT983" t="str">
            <v>Ы</v>
          </cell>
          <cell r="AU983">
            <v>0</v>
          </cell>
          <cell r="AV983">
            <v>0</v>
          </cell>
          <cell r="AW983">
            <v>23</v>
          </cell>
          <cell r="AX983">
            <v>1</v>
          </cell>
          <cell r="AY983">
            <v>0</v>
          </cell>
          <cell r="AZ983">
            <v>0</v>
          </cell>
          <cell r="BA983">
            <v>0</v>
          </cell>
          <cell r="BB983">
            <v>0</v>
          </cell>
          <cell r="BC983">
            <v>38856</v>
          </cell>
        </row>
        <row r="984">
          <cell r="A984">
            <v>2006</v>
          </cell>
          <cell r="B984">
            <v>4</v>
          </cell>
          <cell r="C984">
            <v>440</v>
          </cell>
          <cell r="D984">
            <v>17</v>
          </cell>
          <cell r="E984">
            <v>792900</v>
          </cell>
          <cell r="F984">
            <v>0</v>
          </cell>
          <cell r="G984" t="str">
            <v>Затраты по ШПЗ (непроизв)</v>
          </cell>
          <cell r="H984">
            <v>2900</v>
          </cell>
          <cell r="I984">
            <v>7920</v>
          </cell>
          <cell r="J984">
            <v>1219.58</v>
          </cell>
          <cell r="K984">
            <v>1</v>
          </cell>
          <cell r="L984">
            <v>0</v>
          </cell>
          <cell r="M984">
            <v>0</v>
          </cell>
          <cell r="N984">
            <v>0</v>
          </cell>
          <cell r="R984">
            <v>0</v>
          </cell>
          <cell r="S984">
            <v>0</v>
          </cell>
          <cell r="T984">
            <v>0</v>
          </cell>
          <cell r="U984">
            <v>31</v>
          </cell>
          <cell r="V984">
            <v>0</v>
          </cell>
          <cell r="W984">
            <v>0</v>
          </cell>
          <cell r="AA984">
            <v>0</v>
          </cell>
          <cell r="AB984">
            <v>0</v>
          </cell>
          <cell r="AC984">
            <v>0</v>
          </cell>
          <cell r="AD984">
            <v>31</v>
          </cell>
          <cell r="AE984">
            <v>312200</v>
          </cell>
          <cell r="AF984">
            <v>0</v>
          </cell>
          <cell r="AI984">
            <v>2312</v>
          </cell>
          <cell r="AK984">
            <v>0</v>
          </cell>
          <cell r="AM984">
            <v>586</v>
          </cell>
          <cell r="AN984">
            <v>1</v>
          </cell>
          <cell r="AO984">
            <v>393216</v>
          </cell>
          <cell r="AQ984">
            <v>0</v>
          </cell>
          <cell r="AR984">
            <v>0</v>
          </cell>
          <cell r="AS984" t="str">
            <v>Ы</v>
          </cell>
          <cell r="AT984" t="str">
            <v>Ы</v>
          </cell>
          <cell r="AU984">
            <v>0</v>
          </cell>
          <cell r="AV984">
            <v>0</v>
          </cell>
          <cell r="AW984">
            <v>23</v>
          </cell>
          <cell r="AX984">
            <v>1</v>
          </cell>
          <cell r="AY984">
            <v>0</v>
          </cell>
          <cell r="AZ984">
            <v>0</v>
          </cell>
          <cell r="BA984">
            <v>0</v>
          </cell>
          <cell r="BB984">
            <v>0</v>
          </cell>
          <cell r="BC984">
            <v>38856</v>
          </cell>
        </row>
        <row r="985">
          <cell r="A985">
            <v>2006</v>
          </cell>
          <cell r="B985">
            <v>4</v>
          </cell>
          <cell r="C985">
            <v>441</v>
          </cell>
          <cell r="D985">
            <v>17</v>
          </cell>
          <cell r="E985">
            <v>792900</v>
          </cell>
          <cell r="F985">
            <v>0</v>
          </cell>
          <cell r="G985" t="str">
            <v>Затраты по ШПЗ (непроизв)</v>
          </cell>
          <cell r="H985">
            <v>2900</v>
          </cell>
          <cell r="I985">
            <v>7920</v>
          </cell>
          <cell r="J985">
            <v>95.82</v>
          </cell>
          <cell r="K985">
            <v>1</v>
          </cell>
          <cell r="L985">
            <v>0</v>
          </cell>
          <cell r="M985">
            <v>0</v>
          </cell>
          <cell r="N985">
            <v>0</v>
          </cell>
          <cell r="R985">
            <v>0</v>
          </cell>
          <cell r="S985">
            <v>0</v>
          </cell>
          <cell r="T985">
            <v>0</v>
          </cell>
          <cell r="U985">
            <v>31</v>
          </cell>
          <cell r="V985">
            <v>0</v>
          </cell>
          <cell r="W985">
            <v>0</v>
          </cell>
          <cell r="AA985">
            <v>0</v>
          </cell>
          <cell r="AB985">
            <v>0</v>
          </cell>
          <cell r="AC985">
            <v>0</v>
          </cell>
          <cell r="AD985">
            <v>31</v>
          </cell>
          <cell r="AE985">
            <v>313000</v>
          </cell>
          <cell r="AF985">
            <v>0</v>
          </cell>
          <cell r="AI985">
            <v>2312</v>
          </cell>
          <cell r="AK985">
            <v>0</v>
          </cell>
          <cell r="AM985">
            <v>587</v>
          </cell>
          <cell r="AN985">
            <v>1</v>
          </cell>
          <cell r="AO985">
            <v>393216</v>
          </cell>
          <cell r="AQ985">
            <v>0</v>
          </cell>
          <cell r="AR985">
            <v>0</v>
          </cell>
          <cell r="AS985" t="str">
            <v>Ы</v>
          </cell>
          <cell r="AT985" t="str">
            <v>Ы</v>
          </cell>
          <cell r="AU985">
            <v>0</v>
          </cell>
          <cell r="AV985">
            <v>0</v>
          </cell>
          <cell r="AW985">
            <v>23</v>
          </cell>
          <cell r="AX985">
            <v>1</v>
          </cell>
          <cell r="AY985">
            <v>0</v>
          </cell>
          <cell r="AZ985">
            <v>0</v>
          </cell>
          <cell r="BA985">
            <v>0</v>
          </cell>
          <cell r="BB985">
            <v>0</v>
          </cell>
          <cell r="BC985">
            <v>38856</v>
          </cell>
        </row>
        <row r="986">
          <cell r="A986">
            <v>2006</v>
          </cell>
          <cell r="B986">
            <v>4</v>
          </cell>
          <cell r="C986">
            <v>442</v>
          </cell>
          <cell r="D986">
            <v>17</v>
          </cell>
          <cell r="E986">
            <v>792900</v>
          </cell>
          <cell r="F986">
            <v>0</v>
          </cell>
          <cell r="G986" t="str">
            <v>Затраты по ШПЗ (непроизв)</v>
          </cell>
          <cell r="H986">
            <v>2900</v>
          </cell>
          <cell r="I986">
            <v>7920</v>
          </cell>
          <cell r="J986">
            <v>174.23</v>
          </cell>
          <cell r="K986">
            <v>1</v>
          </cell>
          <cell r="L986">
            <v>0</v>
          </cell>
          <cell r="M986">
            <v>0</v>
          </cell>
          <cell r="N986">
            <v>0</v>
          </cell>
          <cell r="R986">
            <v>0</v>
          </cell>
          <cell r="S986">
            <v>0</v>
          </cell>
          <cell r="T986">
            <v>0</v>
          </cell>
          <cell r="U986">
            <v>31</v>
          </cell>
          <cell r="V986">
            <v>0</v>
          </cell>
          <cell r="W986">
            <v>0</v>
          </cell>
          <cell r="AA986">
            <v>0</v>
          </cell>
          <cell r="AB986">
            <v>0</v>
          </cell>
          <cell r="AC986">
            <v>0</v>
          </cell>
          <cell r="AD986">
            <v>31</v>
          </cell>
          <cell r="AE986">
            <v>314000</v>
          </cell>
          <cell r="AF986">
            <v>0</v>
          </cell>
          <cell r="AI986">
            <v>2312</v>
          </cell>
          <cell r="AK986">
            <v>0</v>
          </cell>
          <cell r="AM986">
            <v>588</v>
          </cell>
          <cell r="AN986">
            <v>1</v>
          </cell>
          <cell r="AO986">
            <v>393216</v>
          </cell>
          <cell r="AQ986">
            <v>0</v>
          </cell>
          <cell r="AR986">
            <v>0</v>
          </cell>
          <cell r="AS986" t="str">
            <v>Ы</v>
          </cell>
          <cell r="AT986" t="str">
            <v>Ы</v>
          </cell>
          <cell r="AU986">
            <v>0</v>
          </cell>
          <cell r="AV986">
            <v>0</v>
          </cell>
          <cell r="AW986">
            <v>23</v>
          </cell>
          <cell r="AX986">
            <v>1</v>
          </cell>
          <cell r="AY986">
            <v>0</v>
          </cell>
          <cell r="AZ986">
            <v>0</v>
          </cell>
          <cell r="BA986">
            <v>0</v>
          </cell>
          <cell r="BB986">
            <v>0</v>
          </cell>
          <cell r="BC986">
            <v>38856</v>
          </cell>
        </row>
        <row r="987">
          <cell r="A987">
            <v>2006</v>
          </cell>
          <cell r="B987">
            <v>4</v>
          </cell>
          <cell r="C987">
            <v>443</v>
          </cell>
          <cell r="D987">
            <v>17</v>
          </cell>
          <cell r="E987">
            <v>792900</v>
          </cell>
          <cell r="F987">
            <v>0</v>
          </cell>
          <cell r="G987" t="str">
            <v>Затраты по ШПЗ (непроизв)</v>
          </cell>
          <cell r="H987">
            <v>2900</v>
          </cell>
          <cell r="I987">
            <v>7920</v>
          </cell>
          <cell r="J987">
            <v>34.85</v>
          </cell>
          <cell r="K987">
            <v>1</v>
          </cell>
          <cell r="L987">
            <v>0</v>
          </cell>
          <cell r="M987">
            <v>0</v>
          </cell>
          <cell r="N987">
            <v>0</v>
          </cell>
          <cell r="R987">
            <v>0</v>
          </cell>
          <cell r="S987">
            <v>0</v>
          </cell>
          <cell r="T987">
            <v>0</v>
          </cell>
          <cell r="U987">
            <v>31</v>
          </cell>
          <cell r="V987">
            <v>0</v>
          </cell>
          <cell r="W987">
            <v>0</v>
          </cell>
          <cell r="AA987">
            <v>0</v>
          </cell>
          <cell r="AB987">
            <v>0</v>
          </cell>
          <cell r="AC987">
            <v>0</v>
          </cell>
          <cell r="AD987">
            <v>31</v>
          </cell>
          <cell r="AE987">
            <v>315000</v>
          </cell>
          <cell r="AF987">
            <v>0</v>
          </cell>
          <cell r="AI987">
            <v>2312</v>
          </cell>
          <cell r="AK987">
            <v>0</v>
          </cell>
          <cell r="AM987">
            <v>589</v>
          </cell>
          <cell r="AN987">
            <v>1</v>
          </cell>
          <cell r="AO987">
            <v>393216</v>
          </cell>
          <cell r="AQ987">
            <v>0</v>
          </cell>
          <cell r="AR987">
            <v>0</v>
          </cell>
          <cell r="AS987" t="str">
            <v>Ы</v>
          </cell>
          <cell r="AT987" t="str">
            <v>Ы</v>
          </cell>
          <cell r="AU987">
            <v>0</v>
          </cell>
          <cell r="AV987">
            <v>0</v>
          </cell>
          <cell r="AW987">
            <v>23</v>
          </cell>
          <cell r="AX987">
            <v>1</v>
          </cell>
          <cell r="AY987">
            <v>0</v>
          </cell>
          <cell r="AZ987">
            <v>0</v>
          </cell>
          <cell r="BA987">
            <v>0</v>
          </cell>
          <cell r="BB987">
            <v>0</v>
          </cell>
          <cell r="BC987">
            <v>38856</v>
          </cell>
        </row>
        <row r="988">
          <cell r="A988">
            <v>2006</v>
          </cell>
          <cell r="B988">
            <v>4</v>
          </cell>
          <cell r="C988">
            <v>444</v>
          </cell>
          <cell r="D988">
            <v>17</v>
          </cell>
          <cell r="E988">
            <v>792900</v>
          </cell>
          <cell r="F988">
            <v>0</v>
          </cell>
          <cell r="G988" t="str">
            <v>Затраты по ШПЗ (непроизв)</v>
          </cell>
          <cell r="H988">
            <v>2900</v>
          </cell>
          <cell r="I988">
            <v>7920</v>
          </cell>
          <cell r="J988">
            <v>310</v>
          </cell>
          <cell r="K988">
            <v>1</v>
          </cell>
          <cell r="L988">
            <v>0</v>
          </cell>
          <cell r="M988">
            <v>0</v>
          </cell>
          <cell r="N988">
            <v>0</v>
          </cell>
          <cell r="R988">
            <v>0</v>
          </cell>
          <cell r="S988">
            <v>0</v>
          </cell>
          <cell r="T988">
            <v>0</v>
          </cell>
          <cell r="U988">
            <v>31</v>
          </cell>
          <cell r="V988">
            <v>0</v>
          </cell>
          <cell r="W988">
            <v>0</v>
          </cell>
          <cell r="AA988">
            <v>0</v>
          </cell>
          <cell r="AB988">
            <v>0</v>
          </cell>
          <cell r="AC988">
            <v>0</v>
          </cell>
          <cell r="AD988">
            <v>31</v>
          </cell>
          <cell r="AE988">
            <v>504900</v>
          </cell>
          <cell r="AF988">
            <v>0</v>
          </cell>
          <cell r="AI988">
            <v>2312</v>
          </cell>
          <cell r="AK988">
            <v>0</v>
          </cell>
          <cell r="AM988">
            <v>590</v>
          </cell>
          <cell r="AN988">
            <v>1</v>
          </cell>
          <cell r="AO988">
            <v>393216</v>
          </cell>
          <cell r="AQ988">
            <v>0</v>
          </cell>
          <cell r="AR988">
            <v>0</v>
          </cell>
          <cell r="AS988" t="str">
            <v>Ы</v>
          </cell>
          <cell r="AT988" t="str">
            <v>Ы</v>
          </cell>
          <cell r="AU988">
            <v>0</v>
          </cell>
          <cell r="AV988">
            <v>0</v>
          </cell>
          <cell r="AW988">
            <v>23</v>
          </cell>
          <cell r="AX988">
            <v>1</v>
          </cell>
          <cell r="AY988">
            <v>0</v>
          </cell>
          <cell r="AZ988">
            <v>0</v>
          </cell>
          <cell r="BA988">
            <v>0</v>
          </cell>
          <cell r="BB988">
            <v>0</v>
          </cell>
          <cell r="BC988">
            <v>38856</v>
          </cell>
        </row>
        <row r="989">
          <cell r="A989">
            <v>2006</v>
          </cell>
          <cell r="B989">
            <v>4</v>
          </cell>
          <cell r="C989">
            <v>445</v>
          </cell>
          <cell r="D989">
            <v>17</v>
          </cell>
          <cell r="E989">
            <v>792900</v>
          </cell>
          <cell r="F989">
            <v>0</v>
          </cell>
          <cell r="G989" t="str">
            <v>Затраты по ШПЗ (непроизв)</v>
          </cell>
          <cell r="H989">
            <v>2900</v>
          </cell>
          <cell r="I989">
            <v>7920</v>
          </cell>
          <cell r="J989">
            <v>1055</v>
          </cell>
          <cell r="K989">
            <v>1</v>
          </cell>
          <cell r="L989">
            <v>0</v>
          </cell>
          <cell r="M989">
            <v>0</v>
          </cell>
          <cell r="N989">
            <v>0</v>
          </cell>
          <cell r="R989">
            <v>0</v>
          </cell>
          <cell r="S989">
            <v>0</v>
          </cell>
          <cell r="T989">
            <v>0</v>
          </cell>
          <cell r="U989">
            <v>31</v>
          </cell>
          <cell r="V989">
            <v>0</v>
          </cell>
          <cell r="W989">
            <v>0</v>
          </cell>
          <cell r="AA989">
            <v>0</v>
          </cell>
          <cell r="AB989">
            <v>0</v>
          </cell>
          <cell r="AC989">
            <v>0</v>
          </cell>
          <cell r="AD989">
            <v>31</v>
          </cell>
          <cell r="AE989">
            <v>530000</v>
          </cell>
          <cell r="AF989">
            <v>0</v>
          </cell>
          <cell r="AI989">
            <v>2312</v>
          </cell>
          <cell r="AK989">
            <v>0</v>
          </cell>
          <cell r="AM989">
            <v>591</v>
          </cell>
          <cell r="AN989">
            <v>1</v>
          </cell>
          <cell r="AO989">
            <v>393216</v>
          </cell>
          <cell r="AQ989">
            <v>0</v>
          </cell>
          <cell r="AR989">
            <v>0</v>
          </cell>
          <cell r="AS989" t="str">
            <v>Ы</v>
          </cell>
          <cell r="AT989" t="str">
            <v>Ы</v>
          </cell>
          <cell r="AU989">
            <v>0</v>
          </cell>
          <cell r="AV989">
            <v>0</v>
          </cell>
          <cell r="AW989">
            <v>23</v>
          </cell>
          <cell r="AX989">
            <v>1</v>
          </cell>
          <cell r="AY989">
            <v>0</v>
          </cell>
          <cell r="AZ989">
            <v>0</v>
          </cell>
          <cell r="BA989">
            <v>0</v>
          </cell>
          <cell r="BB989">
            <v>0</v>
          </cell>
          <cell r="BC989">
            <v>38856</v>
          </cell>
        </row>
        <row r="990">
          <cell r="A990">
            <v>2006</v>
          </cell>
          <cell r="B990">
            <v>5</v>
          </cell>
          <cell r="C990">
            <v>539</v>
          </cell>
          <cell r="D990">
            <v>16</v>
          </cell>
          <cell r="E990">
            <v>792900</v>
          </cell>
          <cell r="F990">
            <v>0</v>
          </cell>
          <cell r="G990" t="str">
            <v>Затраты по ШПЗ (непроизв)</v>
          </cell>
          <cell r="H990">
            <v>2900</v>
          </cell>
          <cell r="I990">
            <v>7920</v>
          </cell>
          <cell r="J990">
            <v>5050</v>
          </cell>
          <cell r="K990">
            <v>1</v>
          </cell>
          <cell r="L990">
            <v>0</v>
          </cell>
          <cell r="M990">
            <v>0</v>
          </cell>
          <cell r="N990">
            <v>0</v>
          </cell>
          <cell r="R990">
            <v>0</v>
          </cell>
          <cell r="S990">
            <v>0</v>
          </cell>
          <cell r="T990">
            <v>0</v>
          </cell>
          <cell r="U990">
            <v>31</v>
          </cell>
          <cell r="V990">
            <v>0</v>
          </cell>
          <cell r="W990">
            <v>0</v>
          </cell>
          <cell r="AA990">
            <v>0</v>
          </cell>
          <cell r="AB990">
            <v>0</v>
          </cell>
          <cell r="AC990">
            <v>0</v>
          </cell>
          <cell r="AD990">
            <v>31</v>
          </cell>
          <cell r="AE990">
            <v>220000</v>
          </cell>
          <cell r="AF990">
            <v>0</v>
          </cell>
          <cell r="AI990">
            <v>2343</v>
          </cell>
          <cell r="AK990">
            <v>0</v>
          </cell>
          <cell r="AM990">
            <v>691</v>
          </cell>
          <cell r="AN990">
            <v>1</v>
          </cell>
          <cell r="AO990">
            <v>393216</v>
          </cell>
          <cell r="AQ990">
            <v>0</v>
          </cell>
          <cell r="AR990">
            <v>0</v>
          </cell>
          <cell r="AS990" t="str">
            <v>Ы</v>
          </cell>
          <cell r="AT990" t="str">
            <v>Ы</v>
          </cell>
          <cell r="AU990">
            <v>0</v>
          </cell>
          <cell r="AV990">
            <v>0</v>
          </cell>
          <cell r="AW990">
            <v>23</v>
          </cell>
          <cell r="AX990">
            <v>1</v>
          </cell>
          <cell r="AY990">
            <v>0</v>
          </cell>
          <cell r="AZ990">
            <v>0</v>
          </cell>
          <cell r="BA990">
            <v>0</v>
          </cell>
          <cell r="BB990">
            <v>0</v>
          </cell>
          <cell r="BC990">
            <v>38888</v>
          </cell>
        </row>
        <row r="991">
          <cell r="A991">
            <v>2006</v>
          </cell>
          <cell r="B991">
            <v>5</v>
          </cell>
          <cell r="C991">
            <v>540</v>
          </cell>
          <cell r="D991">
            <v>16</v>
          </cell>
          <cell r="E991">
            <v>792900</v>
          </cell>
          <cell r="F991">
            <v>0</v>
          </cell>
          <cell r="G991" t="str">
            <v>Затраты по ШПЗ (непроизв)</v>
          </cell>
          <cell r="H991">
            <v>2900</v>
          </cell>
          <cell r="I991">
            <v>7920</v>
          </cell>
          <cell r="J991">
            <v>2777.5</v>
          </cell>
          <cell r="K991">
            <v>1</v>
          </cell>
          <cell r="L991">
            <v>0</v>
          </cell>
          <cell r="M991">
            <v>0</v>
          </cell>
          <cell r="N991">
            <v>0</v>
          </cell>
          <cell r="R991">
            <v>0</v>
          </cell>
          <cell r="S991">
            <v>0</v>
          </cell>
          <cell r="T991">
            <v>0</v>
          </cell>
          <cell r="U991">
            <v>31</v>
          </cell>
          <cell r="V991">
            <v>0</v>
          </cell>
          <cell r="W991">
            <v>0</v>
          </cell>
          <cell r="AA991">
            <v>0</v>
          </cell>
          <cell r="AB991">
            <v>0</v>
          </cell>
          <cell r="AC991">
            <v>0</v>
          </cell>
          <cell r="AD991">
            <v>31</v>
          </cell>
          <cell r="AE991">
            <v>230000</v>
          </cell>
          <cell r="AF991">
            <v>0</v>
          </cell>
          <cell r="AI991">
            <v>2343</v>
          </cell>
          <cell r="AK991">
            <v>0</v>
          </cell>
          <cell r="AM991">
            <v>692</v>
          </cell>
          <cell r="AN991">
            <v>1</v>
          </cell>
          <cell r="AO991">
            <v>393216</v>
          </cell>
          <cell r="AQ991">
            <v>0</v>
          </cell>
          <cell r="AR991">
            <v>0</v>
          </cell>
          <cell r="AS991" t="str">
            <v>Ы</v>
          </cell>
          <cell r="AT991" t="str">
            <v>Ы</v>
          </cell>
          <cell r="AU991">
            <v>0</v>
          </cell>
          <cell r="AV991">
            <v>0</v>
          </cell>
          <cell r="AW991">
            <v>23</v>
          </cell>
          <cell r="AX991">
            <v>1</v>
          </cell>
          <cell r="AY991">
            <v>0</v>
          </cell>
          <cell r="AZ991">
            <v>0</v>
          </cell>
          <cell r="BA991">
            <v>0</v>
          </cell>
          <cell r="BB991">
            <v>0</v>
          </cell>
          <cell r="BC991">
            <v>38888</v>
          </cell>
        </row>
        <row r="992">
          <cell r="A992">
            <v>2006</v>
          </cell>
          <cell r="B992">
            <v>5</v>
          </cell>
          <cell r="C992">
            <v>541</v>
          </cell>
          <cell r="D992">
            <v>16</v>
          </cell>
          <cell r="E992">
            <v>792900</v>
          </cell>
          <cell r="F992">
            <v>0</v>
          </cell>
          <cell r="G992" t="str">
            <v>Затраты по ШПЗ (непроизв)</v>
          </cell>
          <cell r="H992">
            <v>2900</v>
          </cell>
          <cell r="I992">
            <v>7920</v>
          </cell>
          <cell r="J992">
            <v>757.5</v>
          </cell>
          <cell r="K992">
            <v>1</v>
          </cell>
          <cell r="L992">
            <v>0</v>
          </cell>
          <cell r="M992">
            <v>0</v>
          </cell>
          <cell r="N992">
            <v>0</v>
          </cell>
          <cell r="R992">
            <v>0</v>
          </cell>
          <cell r="S992">
            <v>0</v>
          </cell>
          <cell r="T992">
            <v>0</v>
          </cell>
          <cell r="U992">
            <v>31</v>
          </cell>
          <cell r="V992">
            <v>0</v>
          </cell>
          <cell r="W992">
            <v>0</v>
          </cell>
          <cell r="AA992">
            <v>0</v>
          </cell>
          <cell r="AB992">
            <v>0</v>
          </cell>
          <cell r="AC992">
            <v>0</v>
          </cell>
          <cell r="AD992">
            <v>31</v>
          </cell>
          <cell r="AE992">
            <v>270000</v>
          </cell>
          <cell r="AF992">
            <v>0</v>
          </cell>
          <cell r="AI992">
            <v>2343</v>
          </cell>
          <cell r="AK992">
            <v>0</v>
          </cell>
          <cell r="AM992">
            <v>693</v>
          </cell>
          <cell r="AN992">
            <v>1</v>
          </cell>
          <cell r="AO992">
            <v>393216</v>
          </cell>
          <cell r="AQ992">
            <v>0</v>
          </cell>
          <cell r="AR992">
            <v>0</v>
          </cell>
          <cell r="AS992" t="str">
            <v>Ы</v>
          </cell>
          <cell r="AT992" t="str">
            <v>Ы</v>
          </cell>
          <cell r="AU992">
            <v>0</v>
          </cell>
          <cell r="AV992">
            <v>0</v>
          </cell>
          <cell r="AW992">
            <v>23</v>
          </cell>
          <cell r="AX992">
            <v>1</v>
          </cell>
          <cell r="AY992">
            <v>0</v>
          </cell>
          <cell r="AZ992">
            <v>0</v>
          </cell>
          <cell r="BA992">
            <v>0</v>
          </cell>
          <cell r="BB992">
            <v>0</v>
          </cell>
          <cell r="BC992">
            <v>38888</v>
          </cell>
        </row>
        <row r="993">
          <cell r="A993">
            <v>2006</v>
          </cell>
          <cell r="B993">
            <v>5</v>
          </cell>
          <cell r="C993">
            <v>542</v>
          </cell>
          <cell r="D993">
            <v>16</v>
          </cell>
          <cell r="E993">
            <v>792900</v>
          </cell>
          <cell r="F993">
            <v>0</v>
          </cell>
          <cell r="G993" t="str">
            <v>Затраты по ШПЗ (непроизв)</v>
          </cell>
          <cell r="H993">
            <v>2900</v>
          </cell>
          <cell r="I993">
            <v>7920</v>
          </cell>
          <cell r="J993">
            <v>505</v>
          </cell>
          <cell r="K993">
            <v>1</v>
          </cell>
          <cell r="L993">
            <v>0</v>
          </cell>
          <cell r="M993">
            <v>0</v>
          </cell>
          <cell r="N993">
            <v>0</v>
          </cell>
          <cell r="R993">
            <v>0</v>
          </cell>
          <cell r="S993">
            <v>0</v>
          </cell>
          <cell r="T993">
            <v>0</v>
          </cell>
          <cell r="U993">
            <v>31</v>
          </cell>
          <cell r="V993">
            <v>0</v>
          </cell>
          <cell r="W993">
            <v>0</v>
          </cell>
          <cell r="AA993">
            <v>0</v>
          </cell>
          <cell r="AB993">
            <v>0</v>
          </cell>
          <cell r="AC993">
            <v>0</v>
          </cell>
          <cell r="AD993">
            <v>31</v>
          </cell>
          <cell r="AE993">
            <v>280400</v>
          </cell>
          <cell r="AF993">
            <v>0</v>
          </cell>
          <cell r="AI993">
            <v>2343</v>
          </cell>
          <cell r="AK993">
            <v>0</v>
          </cell>
          <cell r="AM993">
            <v>694</v>
          </cell>
          <cell r="AN993">
            <v>1</v>
          </cell>
          <cell r="AO993">
            <v>393216</v>
          </cell>
          <cell r="AQ993">
            <v>0</v>
          </cell>
          <cell r="AR993">
            <v>0</v>
          </cell>
          <cell r="AS993" t="str">
            <v>Ы</v>
          </cell>
          <cell r="AT993" t="str">
            <v>Ы</v>
          </cell>
          <cell r="AU993">
            <v>0</v>
          </cell>
          <cell r="AV993">
            <v>0</v>
          </cell>
          <cell r="AW993">
            <v>23</v>
          </cell>
          <cell r="AX993">
            <v>1</v>
          </cell>
          <cell r="AY993">
            <v>0</v>
          </cell>
          <cell r="AZ993">
            <v>0</v>
          </cell>
          <cell r="BA993">
            <v>0</v>
          </cell>
          <cell r="BB993">
            <v>0</v>
          </cell>
          <cell r="BC993">
            <v>38888</v>
          </cell>
        </row>
        <row r="994">
          <cell r="A994">
            <v>2006</v>
          </cell>
          <cell r="B994">
            <v>5</v>
          </cell>
          <cell r="C994">
            <v>543</v>
          </cell>
          <cell r="D994">
            <v>16</v>
          </cell>
          <cell r="E994">
            <v>792900</v>
          </cell>
          <cell r="F994">
            <v>0</v>
          </cell>
          <cell r="G994" t="str">
            <v>Затраты по ШПЗ (непроизв)</v>
          </cell>
          <cell r="H994">
            <v>2900</v>
          </cell>
          <cell r="I994">
            <v>7920</v>
          </cell>
          <cell r="J994">
            <v>263.61</v>
          </cell>
          <cell r="K994">
            <v>1</v>
          </cell>
          <cell r="L994">
            <v>0</v>
          </cell>
          <cell r="M994">
            <v>0</v>
          </cell>
          <cell r="N994">
            <v>0</v>
          </cell>
          <cell r="R994">
            <v>0</v>
          </cell>
          <cell r="S994">
            <v>0</v>
          </cell>
          <cell r="T994">
            <v>0</v>
          </cell>
          <cell r="U994">
            <v>31</v>
          </cell>
          <cell r="V994">
            <v>0</v>
          </cell>
          <cell r="W994">
            <v>0</v>
          </cell>
          <cell r="AA994">
            <v>0</v>
          </cell>
          <cell r="AB994">
            <v>0</v>
          </cell>
          <cell r="AC994">
            <v>0</v>
          </cell>
          <cell r="AD994">
            <v>31</v>
          </cell>
          <cell r="AE994">
            <v>311000</v>
          </cell>
          <cell r="AF994">
            <v>0</v>
          </cell>
          <cell r="AI994">
            <v>2343</v>
          </cell>
          <cell r="AK994">
            <v>0</v>
          </cell>
          <cell r="AM994">
            <v>695</v>
          </cell>
          <cell r="AN994">
            <v>1</v>
          </cell>
          <cell r="AO994">
            <v>393216</v>
          </cell>
          <cell r="AQ994">
            <v>0</v>
          </cell>
          <cell r="AR994">
            <v>0</v>
          </cell>
          <cell r="AS994" t="str">
            <v>Ы</v>
          </cell>
          <cell r="AT994" t="str">
            <v>Ы</v>
          </cell>
          <cell r="AU994">
            <v>0</v>
          </cell>
          <cell r="AV994">
            <v>0</v>
          </cell>
          <cell r="AW994">
            <v>23</v>
          </cell>
          <cell r="AX994">
            <v>1</v>
          </cell>
          <cell r="AY994">
            <v>0</v>
          </cell>
          <cell r="AZ994">
            <v>0</v>
          </cell>
          <cell r="BA994">
            <v>0</v>
          </cell>
          <cell r="BB994">
            <v>0</v>
          </cell>
          <cell r="BC994">
            <v>38888</v>
          </cell>
        </row>
        <row r="995">
          <cell r="A995">
            <v>2006</v>
          </cell>
          <cell r="B995">
            <v>5</v>
          </cell>
          <cell r="C995">
            <v>544</v>
          </cell>
          <cell r="D995">
            <v>16</v>
          </cell>
          <cell r="E995">
            <v>792900</v>
          </cell>
          <cell r="F995">
            <v>0</v>
          </cell>
          <cell r="G995" t="str">
            <v>Затраты по ШПЗ (непроизв)</v>
          </cell>
          <cell r="H995">
            <v>2900</v>
          </cell>
          <cell r="I995">
            <v>7920</v>
          </cell>
          <cell r="J995">
            <v>545.4</v>
          </cell>
          <cell r="K995">
            <v>1</v>
          </cell>
          <cell r="L995">
            <v>0</v>
          </cell>
          <cell r="M995">
            <v>0</v>
          </cell>
          <cell r="N995">
            <v>0</v>
          </cell>
          <cell r="R995">
            <v>0</v>
          </cell>
          <cell r="S995">
            <v>0</v>
          </cell>
          <cell r="T995">
            <v>0</v>
          </cell>
          <cell r="U995">
            <v>31</v>
          </cell>
          <cell r="V995">
            <v>0</v>
          </cell>
          <cell r="W995">
            <v>0</v>
          </cell>
          <cell r="AA995">
            <v>0</v>
          </cell>
          <cell r="AB995">
            <v>0</v>
          </cell>
          <cell r="AC995">
            <v>0</v>
          </cell>
          <cell r="AD995">
            <v>31</v>
          </cell>
          <cell r="AE995">
            <v>312000</v>
          </cell>
          <cell r="AF995">
            <v>0</v>
          </cell>
          <cell r="AI995">
            <v>2343</v>
          </cell>
          <cell r="AK995">
            <v>0</v>
          </cell>
          <cell r="AM995">
            <v>696</v>
          </cell>
          <cell r="AN995">
            <v>1</v>
          </cell>
          <cell r="AO995">
            <v>393216</v>
          </cell>
          <cell r="AQ995">
            <v>0</v>
          </cell>
          <cell r="AR995">
            <v>0</v>
          </cell>
          <cell r="AS995" t="str">
            <v>Ы</v>
          </cell>
          <cell r="AT995" t="str">
            <v>Ы</v>
          </cell>
          <cell r="AU995">
            <v>0</v>
          </cell>
          <cell r="AV995">
            <v>0</v>
          </cell>
          <cell r="AW995">
            <v>23</v>
          </cell>
          <cell r="AX995">
            <v>1</v>
          </cell>
          <cell r="AY995">
            <v>0</v>
          </cell>
          <cell r="AZ995">
            <v>0</v>
          </cell>
          <cell r="BA995">
            <v>0</v>
          </cell>
          <cell r="BB995">
            <v>0</v>
          </cell>
          <cell r="BC995">
            <v>38888</v>
          </cell>
        </row>
        <row r="996">
          <cell r="A996">
            <v>2006</v>
          </cell>
          <cell r="B996">
            <v>5</v>
          </cell>
          <cell r="C996">
            <v>545</v>
          </cell>
          <cell r="D996">
            <v>16</v>
          </cell>
          <cell r="E996">
            <v>792900</v>
          </cell>
          <cell r="F996">
            <v>0</v>
          </cell>
          <cell r="G996" t="str">
            <v>Затраты по ШПЗ (непроизв)</v>
          </cell>
          <cell r="H996">
            <v>2900</v>
          </cell>
          <cell r="I996">
            <v>7920</v>
          </cell>
          <cell r="J996">
            <v>1272.5999999999999</v>
          </cell>
          <cell r="K996">
            <v>1</v>
          </cell>
          <cell r="L996">
            <v>0</v>
          </cell>
          <cell r="M996">
            <v>0</v>
          </cell>
          <cell r="N996">
            <v>0</v>
          </cell>
          <cell r="R996">
            <v>0</v>
          </cell>
          <cell r="S996">
            <v>0</v>
          </cell>
          <cell r="T996">
            <v>0</v>
          </cell>
          <cell r="U996">
            <v>31</v>
          </cell>
          <cell r="V996">
            <v>0</v>
          </cell>
          <cell r="W996">
            <v>0</v>
          </cell>
          <cell r="AA996">
            <v>0</v>
          </cell>
          <cell r="AB996">
            <v>0</v>
          </cell>
          <cell r="AC996">
            <v>0</v>
          </cell>
          <cell r="AD996">
            <v>31</v>
          </cell>
          <cell r="AE996">
            <v>312200</v>
          </cell>
          <cell r="AF996">
            <v>0</v>
          </cell>
          <cell r="AI996">
            <v>2343</v>
          </cell>
          <cell r="AK996">
            <v>0</v>
          </cell>
          <cell r="AM996">
            <v>697</v>
          </cell>
          <cell r="AN996">
            <v>1</v>
          </cell>
          <cell r="AO996">
            <v>393216</v>
          </cell>
          <cell r="AQ996">
            <v>0</v>
          </cell>
          <cell r="AR996">
            <v>0</v>
          </cell>
          <cell r="AS996" t="str">
            <v>Ы</v>
          </cell>
          <cell r="AT996" t="str">
            <v>Ы</v>
          </cell>
          <cell r="AU996">
            <v>0</v>
          </cell>
          <cell r="AV996">
            <v>0</v>
          </cell>
          <cell r="AW996">
            <v>23</v>
          </cell>
          <cell r="AX996">
            <v>1</v>
          </cell>
          <cell r="AY996">
            <v>0</v>
          </cell>
          <cell r="AZ996">
            <v>0</v>
          </cell>
          <cell r="BA996">
            <v>0</v>
          </cell>
          <cell r="BB996">
            <v>0</v>
          </cell>
          <cell r="BC996">
            <v>38888</v>
          </cell>
        </row>
        <row r="997">
          <cell r="A997">
            <v>2006</v>
          </cell>
          <cell r="B997">
            <v>5</v>
          </cell>
          <cell r="C997">
            <v>546</v>
          </cell>
          <cell r="D997">
            <v>16</v>
          </cell>
          <cell r="E997">
            <v>792900</v>
          </cell>
          <cell r="F997">
            <v>0</v>
          </cell>
          <cell r="G997" t="str">
            <v>Затраты по ШПЗ (непроизв)</v>
          </cell>
          <cell r="H997">
            <v>2900</v>
          </cell>
          <cell r="I997">
            <v>7920</v>
          </cell>
          <cell r="J997">
            <v>99.99</v>
          </cell>
          <cell r="K997">
            <v>1</v>
          </cell>
          <cell r="L997">
            <v>0</v>
          </cell>
          <cell r="M997">
            <v>0</v>
          </cell>
          <cell r="N997">
            <v>0</v>
          </cell>
          <cell r="R997">
            <v>0</v>
          </cell>
          <cell r="S997">
            <v>0</v>
          </cell>
          <cell r="T997">
            <v>0</v>
          </cell>
          <cell r="U997">
            <v>31</v>
          </cell>
          <cell r="V997">
            <v>0</v>
          </cell>
          <cell r="W997">
            <v>0</v>
          </cell>
          <cell r="AA997">
            <v>0</v>
          </cell>
          <cell r="AB997">
            <v>0</v>
          </cell>
          <cell r="AC997">
            <v>0</v>
          </cell>
          <cell r="AD997">
            <v>31</v>
          </cell>
          <cell r="AE997">
            <v>313000</v>
          </cell>
          <cell r="AF997">
            <v>0</v>
          </cell>
          <cell r="AI997">
            <v>2343</v>
          </cell>
          <cell r="AK997">
            <v>0</v>
          </cell>
          <cell r="AM997">
            <v>698</v>
          </cell>
          <cell r="AN997">
            <v>1</v>
          </cell>
          <cell r="AO997">
            <v>393216</v>
          </cell>
          <cell r="AQ997">
            <v>0</v>
          </cell>
          <cell r="AR997">
            <v>0</v>
          </cell>
          <cell r="AS997" t="str">
            <v>Ы</v>
          </cell>
          <cell r="AT997" t="str">
            <v>Ы</v>
          </cell>
          <cell r="AU997">
            <v>0</v>
          </cell>
          <cell r="AV997">
            <v>0</v>
          </cell>
          <cell r="AW997">
            <v>23</v>
          </cell>
          <cell r="AX997">
            <v>1</v>
          </cell>
          <cell r="AY997">
            <v>0</v>
          </cell>
          <cell r="AZ997">
            <v>0</v>
          </cell>
          <cell r="BA997">
            <v>0</v>
          </cell>
          <cell r="BB997">
            <v>0</v>
          </cell>
          <cell r="BC997">
            <v>38888</v>
          </cell>
        </row>
        <row r="998">
          <cell r="A998">
            <v>2006</v>
          </cell>
          <cell r="B998">
            <v>5</v>
          </cell>
          <cell r="C998">
            <v>547</v>
          </cell>
          <cell r="D998">
            <v>16</v>
          </cell>
          <cell r="E998">
            <v>792900</v>
          </cell>
          <cell r="F998">
            <v>0</v>
          </cell>
          <cell r="G998" t="str">
            <v>Затраты по ШПЗ (непроизв)</v>
          </cell>
          <cell r="H998">
            <v>2900</v>
          </cell>
          <cell r="I998">
            <v>7920</v>
          </cell>
          <cell r="J998">
            <v>181.8</v>
          </cell>
          <cell r="K998">
            <v>1</v>
          </cell>
          <cell r="L998">
            <v>0</v>
          </cell>
          <cell r="M998">
            <v>0</v>
          </cell>
          <cell r="N998">
            <v>0</v>
          </cell>
          <cell r="R998">
            <v>0</v>
          </cell>
          <cell r="S998">
            <v>0</v>
          </cell>
          <cell r="T998">
            <v>0</v>
          </cell>
          <cell r="U998">
            <v>31</v>
          </cell>
          <cell r="V998">
            <v>0</v>
          </cell>
          <cell r="W998">
            <v>0</v>
          </cell>
          <cell r="AA998">
            <v>0</v>
          </cell>
          <cell r="AB998">
            <v>0</v>
          </cell>
          <cell r="AC998">
            <v>0</v>
          </cell>
          <cell r="AD998">
            <v>31</v>
          </cell>
          <cell r="AE998">
            <v>314000</v>
          </cell>
          <cell r="AF998">
            <v>0</v>
          </cell>
          <cell r="AI998">
            <v>2343</v>
          </cell>
          <cell r="AK998">
            <v>0</v>
          </cell>
          <cell r="AM998">
            <v>699</v>
          </cell>
          <cell r="AN998">
            <v>1</v>
          </cell>
          <cell r="AO998">
            <v>393216</v>
          </cell>
          <cell r="AQ998">
            <v>0</v>
          </cell>
          <cell r="AR998">
            <v>0</v>
          </cell>
          <cell r="AS998" t="str">
            <v>Ы</v>
          </cell>
          <cell r="AT998" t="str">
            <v>Ы</v>
          </cell>
          <cell r="AU998">
            <v>0</v>
          </cell>
          <cell r="AV998">
            <v>0</v>
          </cell>
          <cell r="AW998">
            <v>23</v>
          </cell>
          <cell r="AX998">
            <v>1</v>
          </cell>
          <cell r="AY998">
            <v>0</v>
          </cell>
          <cell r="AZ998">
            <v>0</v>
          </cell>
          <cell r="BA998">
            <v>0</v>
          </cell>
          <cell r="BB998">
            <v>0</v>
          </cell>
          <cell r="BC998">
            <v>38888</v>
          </cell>
        </row>
        <row r="999">
          <cell r="A999">
            <v>2006</v>
          </cell>
          <cell r="B999">
            <v>5</v>
          </cell>
          <cell r="C999">
            <v>548</v>
          </cell>
          <cell r="D999">
            <v>16</v>
          </cell>
          <cell r="E999">
            <v>792900</v>
          </cell>
          <cell r="F999">
            <v>0</v>
          </cell>
          <cell r="G999" t="str">
            <v>Затраты по ШПЗ (непроизв)</v>
          </cell>
          <cell r="H999">
            <v>2900</v>
          </cell>
          <cell r="I999">
            <v>7920</v>
          </cell>
          <cell r="J999">
            <v>36.36</v>
          </cell>
          <cell r="K999">
            <v>1</v>
          </cell>
          <cell r="L999">
            <v>0</v>
          </cell>
          <cell r="M999">
            <v>0</v>
          </cell>
          <cell r="N999">
            <v>0</v>
          </cell>
          <cell r="R999">
            <v>0</v>
          </cell>
          <cell r="S999">
            <v>0</v>
          </cell>
          <cell r="T999">
            <v>0</v>
          </cell>
          <cell r="U999">
            <v>31</v>
          </cell>
          <cell r="V999">
            <v>0</v>
          </cell>
          <cell r="W999">
            <v>0</v>
          </cell>
          <cell r="AA999">
            <v>0</v>
          </cell>
          <cell r="AB999">
            <v>0</v>
          </cell>
          <cell r="AC999">
            <v>0</v>
          </cell>
          <cell r="AD999">
            <v>31</v>
          </cell>
          <cell r="AE999">
            <v>315000</v>
          </cell>
          <cell r="AF999">
            <v>0</v>
          </cell>
          <cell r="AI999">
            <v>2343</v>
          </cell>
          <cell r="AK999">
            <v>0</v>
          </cell>
          <cell r="AM999">
            <v>700</v>
          </cell>
          <cell r="AN999">
            <v>1</v>
          </cell>
          <cell r="AO999">
            <v>393216</v>
          </cell>
          <cell r="AQ999">
            <v>0</v>
          </cell>
          <cell r="AR999">
            <v>0</v>
          </cell>
          <cell r="AS999" t="str">
            <v>Ы</v>
          </cell>
          <cell r="AT999" t="str">
            <v>Ы</v>
          </cell>
          <cell r="AU999">
            <v>0</v>
          </cell>
          <cell r="AV999">
            <v>0</v>
          </cell>
          <cell r="AW999">
            <v>23</v>
          </cell>
          <cell r="AX999">
            <v>1</v>
          </cell>
          <cell r="AY999">
            <v>0</v>
          </cell>
          <cell r="AZ999">
            <v>0</v>
          </cell>
          <cell r="BA999">
            <v>0</v>
          </cell>
          <cell r="BB999">
            <v>0</v>
          </cell>
          <cell r="BC999">
            <v>38888</v>
          </cell>
        </row>
        <row r="1000">
          <cell r="A1000">
            <v>2006</v>
          </cell>
          <cell r="B1000">
            <v>5</v>
          </cell>
          <cell r="C1000">
            <v>549</v>
          </cell>
          <cell r="D1000">
            <v>16</v>
          </cell>
          <cell r="E1000">
            <v>792900</v>
          </cell>
          <cell r="F1000">
            <v>0</v>
          </cell>
          <cell r="G1000" t="str">
            <v>Затраты по ШПЗ (непроизв)</v>
          </cell>
          <cell r="H1000">
            <v>2900</v>
          </cell>
          <cell r="I1000">
            <v>7920</v>
          </cell>
          <cell r="J1000">
            <v>500</v>
          </cell>
          <cell r="K1000">
            <v>1</v>
          </cell>
          <cell r="L1000">
            <v>0</v>
          </cell>
          <cell r="M1000">
            <v>0</v>
          </cell>
          <cell r="N1000">
            <v>0</v>
          </cell>
          <cell r="R1000">
            <v>0</v>
          </cell>
          <cell r="S1000">
            <v>0</v>
          </cell>
          <cell r="T1000">
            <v>0</v>
          </cell>
          <cell r="U1000">
            <v>31</v>
          </cell>
          <cell r="V1000">
            <v>0</v>
          </cell>
          <cell r="W1000">
            <v>0</v>
          </cell>
          <cell r="AA1000">
            <v>0</v>
          </cell>
          <cell r="AB1000">
            <v>0</v>
          </cell>
          <cell r="AC1000">
            <v>0</v>
          </cell>
          <cell r="AD1000">
            <v>31</v>
          </cell>
          <cell r="AE1000">
            <v>530000</v>
          </cell>
          <cell r="AF1000">
            <v>0</v>
          </cell>
          <cell r="AI1000">
            <v>2343</v>
          </cell>
          <cell r="AK1000">
            <v>0</v>
          </cell>
          <cell r="AM1000">
            <v>701</v>
          </cell>
          <cell r="AN1000">
            <v>1</v>
          </cell>
          <cell r="AO1000">
            <v>393216</v>
          </cell>
          <cell r="AQ1000">
            <v>0</v>
          </cell>
          <cell r="AR1000">
            <v>0</v>
          </cell>
          <cell r="AS1000" t="str">
            <v>Ы</v>
          </cell>
          <cell r="AT1000" t="str">
            <v>Ы</v>
          </cell>
          <cell r="AU1000">
            <v>0</v>
          </cell>
          <cell r="AV1000">
            <v>0</v>
          </cell>
          <cell r="AW1000">
            <v>23</v>
          </cell>
          <cell r="AX1000">
            <v>1</v>
          </cell>
          <cell r="AY1000">
            <v>0</v>
          </cell>
          <cell r="AZ1000">
            <v>0</v>
          </cell>
          <cell r="BA1000">
            <v>0</v>
          </cell>
          <cell r="BB1000">
            <v>0</v>
          </cell>
          <cell r="BC1000">
            <v>38888</v>
          </cell>
        </row>
        <row r="1001">
          <cell r="A1001">
            <v>2006</v>
          </cell>
          <cell r="B1001">
            <v>6</v>
          </cell>
          <cell r="C1001">
            <v>433</v>
          </cell>
          <cell r="D1001">
            <v>17</v>
          </cell>
          <cell r="E1001">
            <v>792900</v>
          </cell>
          <cell r="F1001">
            <v>0</v>
          </cell>
          <cell r="G1001" t="str">
            <v>Затраты по ШПЗ (непроизв)</v>
          </cell>
          <cell r="H1001">
            <v>2900</v>
          </cell>
          <cell r="I1001">
            <v>7920</v>
          </cell>
          <cell r="J1001">
            <v>5050</v>
          </cell>
          <cell r="K1001">
            <v>1</v>
          </cell>
          <cell r="L1001">
            <v>0</v>
          </cell>
          <cell r="M1001">
            <v>0</v>
          </cell>
          <cell r="N1001">
            <v>0</v>
          </cell>
          <cell r="R1001">
            <v>0</v>
          </cell>
          <cell r="S1001">
            <v>0</v>
          </cell>
          <cell r="T1001">
            <v>0</v>
          </cell>
          <cell r="U1001">
            <v>31</v>
          </cell>
          <cell r="V1001">
            <v>0</v>
          </cell>
          <cell r="W1001">
            <v>0</v>
          </cell>
          <cell r="AA1001">
            <v>0</v>
          </cell>
          <cell r="AB1001">
            <v>0</v>
          </cell>
          <cell r="AC1001">
            <v>0</v>
          </cell>
          <cell r="AD1001">
            <v>31</v>
          </cell>
          <cell r="AE1001">
            <v>220000</v>
          </cell>
          <cell r="AF1001">
            <v>0</v>
          </cell>
          <cell r="AI1001">
            <v>2373</v>
          </cell>
          <cell r="AK1001">
            <v>0</v>
          </cell>
          <cell r="AM1001">
            <v>577</v>
          </cell>
          <cell r="AN1001">
            <v>1</v>
          </cell>
          <cell r="AO1001">
            <v>393216</v>
          </cell>
          <cell r="AQ1001">
            <v>0</v>
          </cell>
          <cell r="AR1001">
            <v>0</v>
          </cell>
          <cell r="AS1001" t="str">
            <v>Ы</v>
          </cell>
          <cell r="AT1001" t="str">
            <v>Ы</v>
          </cell>
          <cell r="AU1001">
            <v>0</v>
          </cell>
          <cell r="AV1001">
            <v>0</v>
          </cell>
          <cell r="AW1001">
            <v>23</v>
          </cell>
          <cell r="AX1001">
            <v>1</v>
          </cell>
          <cell r="AY1001">
            <v>0</v>
          </cell>
          <cell r="AZ1001">
            <v>0</v>
          </cell>
          <cell r="BA1001">
            <v>0</v>
          </cell>
          <cell r="BB1001">
            <v>0</v>
          </cell>
          <cell r="BC1001">
            <v>38916</v>
          </cell>
        </row>
        <row r="1002">
          <cell r="A1002">
            <v>2006</v>
          </cell>
          <cell r="B1002">
            <v>6</v>
          </cell>
          <cell r="C1002">
            <v>434</v>
          </cell>
          <cell r="D1002">
            <v>17</v>
          </cell>
          <cell r="E1002">
            <v>792900</v>
          </cell>
          <cell r="F1002">
            <v>0</v>
          </cell>
          <cell r="G1002" t="str">
            <v>Затраты по ШПЗ (непроизв)</v>
          </cell>
          <cell r="H1002">
            <v>2900</v>
          </cell>
          <cell r="I1002">
            <v>7920</v>
          </cell>
          <cell r="J1002">
            <v>3535</v>
          </cell>
          <cell r="K1002">
            <v>1</v>
          </cell>
          <cell r="L1002">
            <v>0</v>
          </cell>
          <cell r="M1002">
            <v>0</v>
          </cell>
          <cell r="N1002">
            <v>0</v>
          </cell>
          <cell r="R1002">
            <v>0</v>
          </cell>
          <cell r="S1002">
            <v>0</v>
          </cell>
          <cell r="T1002">
            <v>0</v>
          </cell>
          <cell r="U1002">
            <v>31</v>
          </cell>
          <cell r="V1002">
            <v>0</v>
          </cell>
          <cell r="W1002">
            <v>0</v>
          </cell>
          <cell r="AA1002">
            <v>0</v>
          </cell>
          <cell r="AB1002">
            <v>0</v>
          </cell>
          <cell r="AC1002">
            <v>0</v>
          </cell>
          <cell r="AD1002">
            <v>31</v>
          </cell>
          <cell r="AE1002">
            <v>230000</v>
          </cell>
          <cell r="AF1002">
            <v>0</v>
          </cell>
          <cell r="AI1002">
            <v>2373</v>
          </cell>
          <cell r="AK1002">
            <v>0</v>
          </cell>
          <cell r="AM1002">
            <v>578</v>
          </cell>
          <cell r="AN1002">
            <v>1</v>
          </cell>
          <cell r="AO1002">
            <v>393216</v>
          </cell>
          <cell r="AQ1002">
            <v>0</v>
          </cell>
          <cell r="AR1002">
            <v>0</v>
          </cell>
          <cell r="AS1002" t="str">
            <v>Ы</v>
          </cell>
          <cell r="AT1002" t="str">
            <v>Ы</v>
          </cell>
          <cell r="AU1002">
            <v>0</v>
          </cell>
          <cell r="AV1002">
            <v>0</v>
          </cell>
          <cell r="AW1002">
            <v>23</v>
          </cell>
          <cell r="AX1002">
            <v>1</v>
          </cell>
          <cell r="AY1002">
            <v>0</v>
          </cell>
          <cell r="AZ1002">
            <v>0</v>
          </cell>
          <cell r="BA1002">
            <v>0</v>
          </cell>
          <cell r="BB1002">
            <v>0</v>
          </cell>
          <cell r="BC1002">
            <v>38916</v>
          </cell>
        </row>
        <row r="1003">
          <cell r="A1003">
            <v>2006</v>
          </cell>
          <cell r="B1003">
            <v>6</v>
          </cell>
          <cell r="C1003">
            <v>435</v>
          </cell>
          <cell r="D1003">
            <v>17</v>
          </cell>
          <cell r="E1003">
            <v>792900</v>
          </cell>
          <cell r="F1003">
            <v>0</v>
          </cell>
          <cell r="G1003" t="str">
            <v>Затраты по ШПЗ (непроизв)</v>
          </cell>
          <cell r="H1003">
            <v>2900</v>
          </cell>
          <cell r="I1003">
            <v>7920</v>
          </cell>
          <cell r="J1003">
            <v>757.5</v>
          </cell>
          <cell r="K1003">
            <v>1</v>
          </cell>
          <cell r="L1003">
            <v>0</v>
          </cell>
          <cell r="M1003">
            <v>0</v>
          </cell>
          <cell r="N1003">
            <v>0</v>
          </cell>
          <cell r="R1003">
            <v>0</v>
          </cell>
          <cell r="S1003">
            <v>0</v>
          </cell>
          <cell r="T1003">
            <v>0</v>
          </cell>
          <cell r="U1003">
            <v>31</v>
          </cell>
          <cell r="V1003">
            <v>0</v>
          </cell>
          <cell r="W1003">
            <v>0</v>
          </cell>
          <cell r="AA1003">
            <v>0</v>
          </cell>
          <cell r="AB1003">
            <v>0</v>
          </cell>
          <cell r="AC1003">
            <v>0</v>
          </cell>
          <cell r="AD1003">
            <v>31</v>
          </cell>
          <cell r="AE1003">
            <v>270000</v>
          </cell>
          <cell r="AF1003">
            <v>0</v>
          </cell>
          <cell r="AI1003">
            <v>2373</v>
          </cell>
          <cell r="AK1003">
            <v>0</v>
          </cell>
          <cell r="AM1003">
            <v>579</v>
          </cell>
          <cell r="AN1003">
            <v>1</v>
          </cell>
          <cell r="AO1003">
            <v>393216</v>
          </cell>
          <cell r="AQ1003">
            <v>0</v>
          </cell>
          <cell r="AR1003">
            <v>0</v>
          </cell>
          <cell r="AS1003" t="str">
            <v>Ы</v>
          </cell>
          <cell r="AT1003" t="str">
            <v>Ы</v>
          </cell>
          <cell r="AU1003">
            <v>0</v>
          </cell>
          <cell r="AV1003">
            <v>0</v>
          </cell>
          <cell r="AW1003">
            <v>23</v>
          </cell>
          <cell r="AX1003">
            <v>1</v>
          </cell>
          <cell r="AY1003">
            <v>0</v>
          </cell>
          <cell r="AZ1003">
            <v>0</v>
          </cell>
          <cell r="BA1003">
            <v>0</v>
          </cell>
          <cell r="BB1003">
            <v>0</v>
          </cell>
          <cell r="BC1003">
            <v>38916</v>
          </cell>
        </row>
        <row r="1004">
          <cell r="A1004">
            <v>2006</v>
          </cell>
          <cell r="B1004">
            <v>6</v>
          </cell>
          <cell r="C1004">
            <v>436</v>
          </cell>
          <cell r="D1004">
            <v>17</v>
          </cell>
          <cell r="E1004">
            <v>792900</v>
          </cell>
          <cell r="F1004">
            <v>0</v>
          </cell>
          <cell r="G1004" t="str">
            <v>Затраты по ШПЗ (непроизв)</v>
          </cell>
          <cell r="H1004">
            <v>2900</v>
          </cell>
          <cell r="I1004">
            <v>7920</v>
          </cell>
          <cell r="J1004">
            <v>2020</v>
          </cell>
          <cell r="K1004">
            <v>1</v>
          </cell>
          <cell r="L1004">
            <v>0</v>
          </cell>
          <cell r="M1004">
            <v>0</v>
          </cell>
          <cell r="N1004">
            <v>0</v>
          </cell>
          <cell r="R1004">
            <v>0</v>
          </cell>
          <cell r="S1004">
            <v>0</v>
          </cell>
          <cell r="T1004">
            <v>0</v>
          </cell>
          <cell r="U1004">
            <v>31</v>
          </cell>
          <cell r="V1004">
            <v>0</v>
          </cell>
          <cell r="W1004">
            <v>0</v>
          </cell>
          <cell r="AA1004">
            <v>0</v>
          </cell>
          <cell r="AB1004">
            <v>0</v>
          </cell>
          <cell r="AC1004">
            <v>0</v>
          </cell>
          <cell r="AD1004">
            <v>31</v>
          </cell>
          <cell r="AE1004">
            <v>280400</v>
          </cell>
          <cell r="AF1004">
            <v>0</v>
          </cell>
          <cell r="AI1004">
            <v>2373</v>
          </cell>
          <cell r="AK1004">
            <v>0</v>
          </cell>
          <cell r="AM1004">
            <v>580</v>
          </cell>
          <cell r="AN1004">
            <v>1</v>
          </cell>
          <cell r="AO1004">
            <v>393216</v>
          </cell>
          <cell r="AQ1004">
            <v>0</v>
          </cell>
          <cell r="AR1004">
            <v>0</v>
          </cell>
          <cell r="AS1004" t="str">
            <v>Ы</v>
          </cell>
          <cell r="AT1004" t="str">
            <v>Ы</v>
          </cell>
          <cell r="AU1004">
            <v>0</v>
          </cell>
          <cell r="AV1004">
            <v>0</v>
          </cell>
          <cell r="AW1004">
            <v>23</v>
          </cell>
          <cell r="AX1004">
            <v>1</v>
          </cell>
          <cell r="AY1004">
            <v>0</v>
          </cell>
          <cell r="AZ1004">
            <v>0</v>
          </cell>
          <cell r="BA1004">
            <v>0</v>
          </cell>
          <cell r="BB1004">
            <v>0</v>
          </cell>
          <cell r="BC1004">
            <v>38916</v>
          </cell>
        </row>
        <row r="1005">
          <cell r="A1005">
            <v>2006</v>
          </cell>
          <cell r="B1005">
            <v>6</v>
          </cell>
          <cell r="C1005">
            <v>437</v>
          </cell>
          <cell r="D1005">
            <v>17</v>
          </cell>
          <cell r="E1005">
            <v>792900</v>
          </cell>
          <cell r="F1005">
            <v>0</v>
          </cell>
          <cell r="G1005" t="str">
            <v>Затраты по ШПЗ (непроизв)</v>
          </cell>
          <cell r="H1005">
            <v>2900</v>
          </cell>
          <cell r="I1005">
            <v>7920</v>
          </cell>
          <cell r="J1005">
            <v>329.51</v>
          </cell>
          <cell r="K1005">
            <v>1</v>
          </cell>
          <cell r="L1005">
            <v>0</v>
          </cell>
          <cell r="M1005">
            <v>0</v>
          </cell>
          <cell r="N1005">
            <v>0</v>
          </cell>
          <cell r="R1005">
            <v>0</v>
          </cell>
          <cell r="S1005">
            <v>0</v>
          </cell>
          <cell r="T1005">
            <v>0</v>
          </cell>
          <cell r="U1005">
            <v>31</v>
          </cell>
          <cell r="V1005">
            <v>0</v>
          </cell>
          <cell r="W1005">
            <v>0</v>
          </cell>
          <cell r="AA1005">
            <v>0</v>
          </cell>
          <cell r="AB1005">
            <v>0</v>
          </cell>
          <cell r="AC1005">
            <v>0</v>
          </cell>
          <cell r="AD1005">
            <v>31</v>
          </cell>
          <cell r="AE1005">
            <v>311000</v>
          </cell>
          <cell r="AF1005">
            <v>0</v>
          </cell>
          <cell r="AI1005">
            <v>2373</v>
          </cell>
          <cell r="AK1005">
            <v>0</v>
          </cell>
          <cell r="AM1005">
            <v>581</v>
          </cell>
          <cell r="AN1005">
            <v>1</v>
          </cell>
          <cell r="AO1005">
            <v>393216</v>
          </cell>
          <cell r="AQ1005">
            <v>0</v>
          </cell>
          <cell r="AR1005">
            <v>0</v>
          </cell>
          <cell r="AS1005" t="str">
            <v>Ы</v>
          </cell>
          <cell r="AT1005" t="str">
            <v>Ы</v>
          </cell>
          <cell r="AU1005">
            <v>0</v>
          </cell>
          <cell r="AV1005">
            <v>0</v>
          </cell>
          <cell r="AW1005">
            <v>23</v>
          </cell>
          <cell r="AX1005">
            <v>1</v>
          </cell>
          <cell r="AY1005">
            <v>0</v>
          </cell>
          <cell r="AZ1005">
            <v>0</v>
          </cell>
          <cell r="BA1005">
            <v>0</v>
          </cell>
          <cell r="BB1005">
            <v>0</v>
          </cell>
          <cell r="BC1005">
            <v>38916</v>
          </cell>
        </row>
        <row r="1006">
          <cell r="A1006">
            <v>2006</v>
          </cell>
          <cell r="B1006">
            <v>6</v>
          </cell>
          <cell r="C1006">
            <v>438</v>
          </cell>
          <cell r="D1006">
            <v>17</v>
          </cell>
          <cell r="E1006">
            <v>792900</v>
          </cell>
          <cell r="F1006">
            <v>0</v>
          </cell>
          <cell r="G1006" t="str">
            <v>Затраты по ШПЗ (непроизв)</v>
          </cell>
          <cell r="H1006">
            <v>2900</v>
          </cell>
          <cell r="I1006">
            <v>7920</v>
          </cell>
          <cell r="J1006">
            <v>681.75</v>
          </cell>
          <cell r="K1006">
            <v>1</v>
          </cell>
          <cell r="L1006">
            <v>0</v>
          </cell>
          <cell r="M1006">
            <v>0</v>
          </cell>
          <cell r="N1006">
            <v>0</v>
          </cell>
          <cell r="R1006">
            <v>0</v>
          </cell>
          <cell r="S1006">
            <v>0</v>
          </cell>
          <cell r="T1006">
            <v>0</v>
          </cell>
          <cell r="U1006">
            <v>31</v>
          </cell>
          <cell r="V1006">
            <v>0</v>
          </cell>
          <cell r="W1006">
            <v>0</v>
          </cell>
          <cell r="AA1006">
            <v>0</v>
          </cell>
          <cell r="AB1006">
            <v>0</v>
          </cell>
          <cell r="AC1006">
            <v>0</v>
          </cell>
          <cell r="AD1006">
            <v>31</v>
          </cell>
          <cell r="AE1006">
            <v>312000</v>
          </cell>
          <cell r="AF1006">
            <v>0</v>
          </cell>
          <cell r="AI1006">
            <v>2373</v>
          </cell>
          <cell r="AK1006">
            <v>0</v>
          </cell>
          <cell r="AM1006">
            <v>582</v>
          </cell>
          <cell r="AN1006">
            <v>1</v>
          </cell>
          <cell r="AO1006">
            <v>393216</v>
          </cell>
          <cell r="AQ1006">
            <v>0</v>
          </cell>
          <cell r="AR1006">
            <v>0</v>
          </cell>
          <cell r="AS1006" t="str">
            <v>Ы</v>
          </cell>
          <cell r="AT1006" t="str">
            <v>Ы</v>
          </cell>
          <cell r="AU1006">
            <v>0</v>
          </cell>
          <cell r="AV1006">
            <v>0</v>
          </cell>
          <cell r="AW1006">
            <v>23</v>
          </cell>
          <cell r="AX1006">
            <v>1</v>
          </cell>
          <cell r="AY1006">
            <v>0</v>
          </cell>
          <cell r="AZ1006">
            <v>0</v>
          </cell>
          <cell r="BA1006">
            <v>0</v>
          </cell>
          <cell r="BB1006">
            <v>0</v>
          </cell>
          <cell r="BC1006">
            <v>38916</v>
          </cell>
        </row>
        <row r="1007">
          <cell r="A1007">
            <v>2006</v>
          </cell>
          <cell r="B1007">
            <v>6</v>
          </cell>
          <cell r="C1007">
            <v>439</v>
          </cell>
          <cell r="D1007">
            <v>17</v>
          </cell>
          <cell r="E1007">
            <v>792900</v>
          </cell>
          <cell r="F1007">
            <v>0</v>
          </cell>
          <cell r="G1007" t="str">
            <v>Затраты по ШПЗ (непроизв)</v>
          </cell>
          <cell r="H1007">
            <v>2900</v>
          </cell>
          <cell r="I1007">
            <v>7920</v>
          </cell>
          <cell r="J1007">
            <v>1590.75</v>
          </cell>
          <cell r="K1007">
            <v>1</v>
          </cell>
          <cell r="L1007">
            <v>0</v>
          </cell>
          <cell r="M1007">
            <v>0</v>
          </cell>
          <cell r="N1007">
            <v>0</v>
          </cell>
          <cell r="R1007">
            <v>0</v>
          </cell>
          <cell r="S1007">
            <v>0</v>
          </cell>
          <cell r="T1007">
            <v>0</v>
          </cell>
          <cell r="U1007">
            <v>31</v>
          </cell>
          <cell r="V1007">
            <v>0</v>
          </cell>
          <cell r="W1007">
            <v>0</v>
          </cell>
          <cell r="AA1007">
            <v>0</v>
          </cell>
          <cell r="AB1007">
            <v>0</v>
          </cell>
          <cell r="AC1007">
            <v>0</v>
          </cell>
          <cell r="AD1007">
            <v>31</v>
          </cell>
          <cell r="AE1007">
            <v>312200</v>
          </cell>
          <cell r="AF1007">
            <v>0</v>
          </cell>
          <cell r="AI1007">
            <v>2373</v>
          </cell>
          <cell r="AK1007">
            <v>0</v>
          </cell>
          <cell r="AM1007">
            <v>583</v>
          </cell>
          <cell r="AN1007">
            <v>1</v>
          </cell>
          <cell r="AO1007">
            <v>393216</v>
          </cell>
          <cell r="AQ1007">
            <v>0</v>
          </cell>
          <cell r="AR1007">
            <v>0</v>
          </cell>
          <cell r="AS1007" t="str">
            <v>Ы</v>
          </cell>
          <cell r="AT1007" t="str">
            <v>Ы</v>
          </cell>
          <cell r="AU1007">
            <v>0</v>
          </cell>
          <cell r="AV1007">
            <v>0</v>
          </cell>
          <cell r="AW1007">
            <v>23</v>
          </cell>
          <cell r="AX1007">
            <v>1</v>
          </cell>
          <cell r="AY1007">
            <v>0</v>
          </cell>
          <cell r="AZ1007">
            <v>0</v>
          </cell>
          <cell r="BA1007">
            <v>0</v>
          </cell>
          <cell r="BB1007">
            <v>0</v>
          </cell>
          <cell r="BC1007">
            <v>38916</v>
          </cell>
        </row>
        <row r="1008">
          <cell r="A1008">
            <v>2006</v>
          </cell>
          <cell r="B1008">
            <v>6</v>
          </cell>
          <cell r="C1008">
            <v>440</v>
          </cell>
          <cell r="D1008">
            <v>17</v>
          </cell>
          <cell r="E1008">
            <v>792900</v>
          </cell>
          <cell r="F1008">
            <v>0</v>
          </cell>
          <cell r="G1008" t="str">
            <v>Затраты по ШПЗ (непроизв)</v>
          </cell>
          <cell r="H1008">
            <v>2900</v>
          </cell>
          <cell r="I1008">
            <v>7920</v>
          </cell>
          <cell r="J1008">
            <v>124.99</v>
          </cell>
          <cell r="K1008">
            <v>1</v>
          </cell>
          <cell r="L1008">
            <v>0</v>
          </cell>
          <cell r="M1008">
            <v>0</v>
          </cell>
          <cell r="N1008">
            <v>0</v>
          </cell>
          <cell r="R1008">
            <v>0</v>
          </cell>
          <cell r="S1008">
            <v>0</v>
          </cell>
          <cell r="T1008">
            <v>0</v>
          </cell>
          <cell r="U1008">
            <v>31</v>
          </cell>
          <cell r="V1008">
            <v>0</v>
          </cell>
          <cell r="W1008">
            <v>0</v>
          </cell>
          <cell r="AA1008">
            <v>0</v>
          </cell>
          <cell r="AB1008">
            <v>0</v>
          </cell>
          <cell r="AC1008">
            <v>0</v>
          </cell>
          <cell r="AD1008">
            <v>31</v>
          </cell>
          <cell r="AE1008">
            <v>313000</v>
          </cell>
          <cell r="AF1008">
            <v>0</v>
          </cell>
          <cell r="AI1008">
            <v>2373</v>
          </cell>
          <cell r="AK1008">
            <v>0</v>
          </cell>
          <cell r="AM1008">
            <v>584</v>
          </cell>
          <cell r="AN1008">
            <v>1</v>
          </cell>
          <cell r="AO1008">
            <v>393216</v>
          </cell>
          <cell r="AQ1008">
            <v>0</v>
          </cell>
          <cell r="AR1008">
            <v>0</v>
          </cell>
          <cell r="AS1008" t="str">
            <v>Ы</v>
          </cell>
          <cell r="AT1008" t="str">
            <v>Ы</v>
          </cell>
          <cell r="AU1008">
            <v>0</v>
          </cell>
          <cell r="AV1008">
            <v>0</v>
          </cell>
          <cell r="AW1008">
            <v>23</v>
          </cell>
          <cell r="AX1008">
            <v>1</v>
          </cell>
          <cell r="AY1008">
            <v>0</v>
          </cell>
          <cell r="AZ1008">
            <v>0</v>
          </cell>
          <cell r="BA1008">
            <v>0</v>
          </cell>
          <cell r="BB1008">
            <v>0</v>
          </cell>
          <cell r="BC1008">
            <v>38916</v>
          </cell>
        </row>
        <row r="1009">
          <cell r="A1009">
            <v>2006</v>
          </cell>
          <cell r="B1009">
            <v>6</v>
          </cell>
          <cell r="C1009">
            <v>441</v>
          </cell>
          <cell r="D1009">
            <v>17</v>
          </cell>
          <cell r="E1009">
            <v>792900</v>
          </cell>
          <cell r="F1009">
            <v>0</v>
          </cell>
          <cell r="G1009" t="str">
            <v>Затраты по ШПЗ (непроизв)</v>
          </cell>
          <cell r="H1009">
            <v>2900</v>
          </cell>
          <cell r="I1009">
            <v>7920</v>
          </cell>
          <cell r="J1009">
            <v>227.25</v>
          </cell>
          <cell r="K1009">
            <v>1</v>
          </cell>
          <cell r="L1009">
            <v>0</v>
          </cell>
          <cell r="M1009">
            <v>0</v>
          </cell>
          <cell r="N1009">
            <v>0</v>
          </cell>
          <cell r="R1009">
            <v>0</v>
          </cell>
          <cell r="S1009">
            <v>0</v>
          </cell>
          <cell r="T1009">
            <v>0</v>
          </cell>
          <cell r="U1009">
            <v>31</v>
          </cell>
          <cell r="V1009">
            <v>0</v>
          </cell>
          <cell r="W1009">
            <v>0</v>
          </cell>
          <cell r="AA1009">
            <v>0</v>
          </cell>
          <cell r="AB1009">
            <v>0</v>
          </cell>
          <cell r="AC1009">
            <v>0</v>
          </cell>
          <cell r="AD1009">
            <v>31</v>
          </cell>
          <cell r="AE1009">
            <v>314000</v>
          </cell>
          <cell r="AF1009">
            <v>0</v>
          </cell>
          <cell r="AI1009">
            <v>2373</v>
          </cell>
          <cell r="AK1009">
            <v>0</v>
          </cell>
          <cell r="AM1009">
            <v>585</v>
          </cell>
          <cell r="AN1009">
            <v>1</v>
          </cell>
          <cell r="AO1009">
            <v>393216</v>
          </cell>
          <cell r="AQ1009">
            <v>0</v>
          </cell>
          <cell r="AR1009">
            <v>0</v>
          </cell>
          <cell r="AS1009" t="str">
            <v>Ы</v>
          </cell>
          <cell r="AT1009" t="str">
            <v>Ы</v>
          </cell>
          <cell r="AU1009">
            <v>0</v>
          </cell>
          <cell r="AV1009">
            <v>0</v>
          </cell>
          <cell r="AW1009">
            <v>23</v>
          </cell>
          <cell r="AX1009">
            <v>1</v>
          </cell>
          <cell r="AY1009">
            <v>0</v>
          </cell>
          <cell r="AZ1009">
            <v>0</v>
          </cell>
          <cell r="BA1009">
            <v>0</v>
          </cell>
          <cell r="BB1009">
            <v>0</v>
          </cell>
          <cell r="BC1009">
            <v>38916</v>
          </cell>
        </row>
        <row r="1010">
          <cell r="A1010">
            <v>2006</v>
          </cell>
          <cell r="B1010">
            <v>6</v>
          </cell>
          <cell r="C1010">
            <v>442</v>
          </cell>
          <cell r="D1010">
            <v>17</v>
          </cell>
          <cell r="E1010">
            <v>792900</v>
          </cell>
          <cell r="F1010">
            <v>0</v>
          </cell>
          <cell r="G1010" t="str">
            <v>Затраты по ШПЗ (непроизв)</v>
          </cell>
          <cell r="H1010">
            <v>2900</v>
          </cell>
          <cell r="I1010">
            <v>7920</v>
          </cell>
          <cell r="J1010">
            <v>45.45</v>
          </cell>
          <cell r="K1010">
            <v>1</v>
          </cell>
          <cell r="L1010">
            <v>0</v>
          </cell>
          <cell r="M1010">
            <v>0</v>
          </cell>
          <cell r="N1010">
            <v>0</v>
          </cell>
          <cell r="R1010">
            <v>0</v>
          </cell>
          <cell r="S1010">
            <v>0</v>
          </cell>
          <cell r="T1010">
            <v>0</v>
          </cell>
          <cell r="U1010">
            <v>31</v>
          </cell>
          <cell r="V1010">
            <v>0</v>
          </cell>
          <cell r="W1010">
            <v>0</v>
          </cell>
          <cell r="AA1010">
            <v>0</v>
          </cell>
          <cell r="AB1010">
            <v>0</v>
          </cell>
          <cell r="AC1010">
            <v>0</v>
          </cell>
          <cell r="AD1010">
            <v>31</v>
          </cell>
          <cell r="AE1010">
            <v>315000</v>
          </cell>
          <cell r="AF1010">
            <v>0</v>
          </cell>
          <cell r="AI1010">
            <v>2373</v>
          </cell>
          <cell r="AK1010">
            <v>0</v>
          </cell>
          <cell r="AM1010">
            <v>586</v>
          </cell>
          <cell r="AN1010">
            <v>1</v>
          </cell>
          <cell r="AO1010">
            <v>393216</v>
          </cell>
          <cell r="AQ1010">
            <v>0</v>
          </cell>
          <cell r="AR1010">
            <v>0</v>
          </cell>
          <cell r="AS1010" t="str">
            <v>Ы</v>
          </cell>
          <cell r="AT1010" t="str">
            <v>Ы</v>
          </cell>
          <cell r="AU1010">
            <v>0</v>
          </cell>
          <cell r="AV1010">
            <v>0</v>
          </cell>
          <cell r="AW1010">
            <v>23</v>
          </cell>
          <cell r="AX1010">
            <v>1</v>
          </cell>
          <cell r="AY1010">
            <v>0</v>
          </cell>
          <cell r="AZ1010">
            <v>0</v>
          </cell>
          <cell r="BA1010">
            <v>0</v>
          </cell>
          <cell r="BB1010">
            <v>0</v>
          </cell>
          <cell r="BC1010">
            <v>38916</v>
          </cell>
        </row>
        <row r="1011">
          <cell r="A1011">
            <v>2006</v>
          </cell>
          <cell r="B1011">
            <v>6</v>
          </cell>
          <cell r="C1011">
            <v>443</v>
          </cell>
          <cell r="D1011">
            <v>17</v>
          </cell>
          <cell r="E1011">
            <v>792900</v>
          </cell>
          <cell r="F1011">
            <v>0</v>
          </cell>
          <cell r="G1011" t="str">
            <v>Затраты по ШПЗ (непроизв)</v>
          </cell>
          <cell r="H1011">
            <v>2900</v>
          </cell>
          <cell r="I1011">
            <v>7920</v>
          </cell>
          <cell r="J1011">
            <v>500</v>
          </cell>
          <cell r="K1011">
            <v>1</v>
          </cell>
          <cell r="L1011">
            <v>0</v>
          </cell>
          <cell r="M1011">
            <v>0</v>
          </cell>
          <cell r="N1011">
            <v>0</v>
          </cell>
          <cell r="R1011">
            <v>0</v>
          </cell>
          <cell r="S1011">
            <v>0</v>
          </cell>
          <cell r="T1011">
            <v>0</v>
          </cell>
          <cell r="U1011">
            <v>31</v>
          </cell>
          <cell r="V1011">
            <v>0</v>
          </cell>
          <cell r="W1011">
            <v>0</v>
          </cell>
          <cell r="AA1011">
            <v>0</v>
          </cell>
          <cell r="AB1011">
            <v>0</v>
          </cell>
          <cell r="AC1011">
            <v>0</v>
          </cell>
          <cell r="AD1011">
            <v>31</v>
          </cell>
          <cell r="AE1011">
            <v>530000</v>
          </cell>
          <cell r="AF1011">
            <v>0</v>
          </cell>
          <cell r="AI1011">
            <v>2373</v>
          </cell>
          <cell r="AK1011">
            <v>0</v>
          </cell>
          <cell r="AM1011">
            <v>587</v>
          </cell>
          <cell r="AN1011">
            <v>1</v>
          </cell>
          <cell r="AO1011">
            <v>393216</v>
          </cell>
          <cell r="AQ1011">
            <v>0</v>
          </cell>
          <cell r="AR1011">
            <v>0</v>
          </cell>
          <cell r="AS1011" t="str">
            <v>Ы</v>
          </cell>
          <cell r="AT1011" t="str">
            <v>Ы</v>
          </cell>
          <cell r="AU1011">
            <v>0</v>
          </cell>
          <cell r="AV1011">
            <v>0</v>
          </cell>
          <cell r="AW1011">
            <v>23</v>
          </cell>
          <cell r="AX1011">
            <v>1</v>
          </cell>
          <cell r="AY1011">
            <v>0</v>
          </cell>
          <cell r="AZ1011">
            <v>0</v>
          </cell>
          <cell r="BA1011">
            <v>0</v>
          </cell>
          <cell r="BB1011">
            <v>0</v>
          </cell>
          <cell r="BC1011">
            <v>38916</v>
          </cell>
        </row>
        <row r="1012">
          <cell r="A1012">
            <v>2006</v>
          </cell>
          <cell r="B1012">
            <v>1</v>
          </cell>
          <cell r="C1012">
            <v>29</v>
          </cell>
          <cell r="D1012">
            <v>20</v>
          </cell>
          <cell r="E1012">
            <v>792020</v>
          </cell>
          <cell r="F1012">
            <v>0</v>
          </cell>
          <cell r="G1012" t="str">
            <v>Затраты по ШПЗ (основные)</v>
          </cell>
          <cell r="H1012">
            <v>2011</v>
          </cell>
          <cell r="I1012">
            <v>7920</v>
          </cell>
          <cell r="J1012">
            <v>450688.68</v>
          </cell>
          <cell r="K1012">
            <v>1</v>
          </cell>
          <cell r="L1012">
            <v>0</v>
          </cell>
          <cell r="M1012">
            <v>0</v>
          </cell>
          <cell r="N1012">
            <v>0</v>
          </cell>
          <cell r="R1012">
            <v>0</v>
          </cell>
          <cell r="S1012">
            <v>0</v>
          </cell>
          <cell r="T1012">
            <v>0</v>
          </cell>
          <cell r="U1012">
            <v>42</v>
          </cell>
          <cell r="V1012">
            <v>0</v>
          </cell>
          <cell r="W1012">
            <v>0</v>
          </cell>
          <cell r="AA1012">
            <v>0</v>
          </cell>
          <cell r="AB1012">
            <v>0</v>
          </cell>
          <cell r="AC1012">
            <v>0</v>
          </cell>
          <cell r="AD1012">
            <v>42</v>
          </cell>
          <cell r="AE1012">
            <v>110000</v>
          </cell>
          <cell r="AF1012">
            <v>0</v>
          </cell>
          <cell r="AI1012">
            <v>2223</v>
          </cell>
          <cell r="AK1012">
            <v>0</v>
          </cell>
          <cell r="AM1012">
            <v>156</v>
          </cell>
          <cell r="AN1012">
            <v>1</v>
          </cell>
          <cell r="AO1012">
            <v>393216</v>
          </cell>
          <cell r="AQ1012">
            <v>0</v>
          </cell>
          <cell r="AR1012">
            <v>0</v>
          </cell>
          <cell r="AS1012" t="str">
            <v>Ы</v>
          </cell>
          <cell r="AT1012" t="str">
            <v>Ы</v>
          </cell>
          <cell r="AU1012">
            <v>0</v>
          </cell>
          <cell r="AV1012">
            <v>0</v>
          </cell>
          <cell r="AW1012">
            <v>23</v>
          </cell>
          <cell r="AX1012">
            <v>1</v>
          </cell>
          <cell r="AY1012">
            <v>0</v>
          </cell>
          <cell r="AZ1012">
            <v>0</v>
          </cell>
          <cell r="BA1012">
            <v>0</v>
          </cell>
          <cell r="BB1012">
            <v>0</v>
          </cell>
          <cell r="BC1012">
            <v>38828</v>
          </cell>
        </row>
        <row r="1013">
          <cell r="A1013">
            <v>2006</v>
          </cell>
          <cell r="B1013">
            <v>1</v>
          </cell>
          <cell r="C1013">
            <v>30</v>
          </cell>
          <cell r="D1013">
            <v>20</v>
          </cell>
          <cell r="E1013">
            <v>792020</v>
          </cell>
          <cell r="F1013">
            <v>0</v>
          </cell>
          <cell r="G1013" t="str">
            <v>Затраты по ШПЗ (основные)</v>
          </cell>
          <cell r="H1013">
            <v>2011</v>
          </cell>
          <cell r="I1013">
            <v>7920</v>
          </cell>
          <cell r="J1013">
            <v>16037.19</v>
          </cell>
          <cell r="K1013">
            <v>1</v>
          </cell>
          <cell r="L1013">
            <v>0</v>
          </cell>
          <cell r="M1013">
            <v>0</v>
          </cell>
          <cell r="N1013">
            <v>0</v>
          </cell>
          <cell r="R1013">
            <v>0</v>
          </cell>
          <cell r="S1013">
            <v>0</v>
          </cell>
          <cell r="T1013">
            <v>0</v>
          </cell>
          <cell r="U1013">
            <v>42</v>
          </cell>
          <cell r="V1013">
            <v>0</v>
          </cell>
          <cell r="W1013">
            <v>0</v>
          </cell>
          <cell r="AA1013">
            <v>0</v>
          </cell>
          <cell r="AB1013">
            <v>0</v>
          </cell>
          <cell r="AC1013">
            <v>0</v>
          </cell>
          <cell r="AD1013">
            <v>42</v>
          </cell>
          <cell r="AE1013">
            <v>114020</v>
          </cell>
          <cell r="AF1013">
            <v>0</v>
          </cell>
          <cell r="AI1013">
            <v>2223</v>
          </cell>
          <cell r="AK1013">
            <v>0</v>
          </cell>
          <cell r="AM1013">
            <v>157</v>
          </cell>
          <cell r="AN1013">
            <v>1</v>
          </cell>
          <cell r="AO1013">
            <v>393216</v>
          </cell>
          <cell r="AQ1013">
            <v>0</v>
          </cell>
          <cell r="AR1013">
            <v>0</v>
          </cell>
          <cell r="AS1013" t="str">
            <v>Ы</v>
          </cell>
          <cell r="AT1013" t="str">
            <v>Ы</v>
          </cell>
          <cell r="AU1013">
            <v>0</v>
          </cell>
          <cell r="AV1013">
            <v>0</v>
          </cell>
          <cell r="AW1013">
            <v>23</v>
          </cell>
          <cell r="AX1013">
            <v>1</v>
          </cell>
          <cell r="AY1013">
            <v>0</v>
          </cell>
          <cell r="AZ1013">
            <v>0</v>
          </cell>
          <cell r="BA1013">
            <v>0</v>
          </cell>
          <cell r="BB1013">
            <v>0</v>
          </cell>
          <cell r="BC1013">
            <v>38828</v>
          </cell>
        </row>
        <row r="1014">
          <cell r="A1014">
            <v>2006</v>
          </cell>
          <cell r="B1014">
            <v>1</v>
          </cell>
          <cell r="C1014">
            <v>31</v>
          </cell>
          <cell r="D1014">
            <v>20</v>
          </cell>
          <cell r="E1014">
            <v>792020</v>
          </cell>
          <cell r="F1014">
            <v>0</v>
          </cell>
          <cell r="G1014" t="str">
            <v>Затраты по ШПЗ (основные)</v>
          </cell>
          <cell r="H1014">
            <v>2011</v>
          </cell>
          <cell r="I1014">
            <v>7920</v>
          </cell>
          <cell r="J1014">
            <v>1780907.72</v>
          </cell>
          <cell r="K1014">
            <v>1</v>
          </cell>
          <cell r="L1014">
            <v>0</v>
          </cell>
          <cell r="M1014">
            <v>0</v>
          </cell>
          <cell r="N1014">
            <v>0</v>
          </cell>
          <cell r="R1014">
            <v>0</v>
          </cell>
          <cell r="S1014">
            <v>0</v>
          </cell>
          <cell r="T1014">
            <v>0</v>
          </cell>
          <cell r="U1014">
            <v>42</v>
          </cell>
          <cell r="V1014">
            <v>0</v>
          </cell>
          <cell r="W1014">
            <v>0</v>
          </cell>
          <cell r="AA1014">
            <v>0</v>
          </cell>
          <cell r="AB1014">
            <v>0</v>
          </cell>
          <cell r="AC1014">
            <v>0</v>
          </cell>
          <cell r="AD1014">
            <v>42</v>
          </cell>
          <cell r="AE1014">
            <v>116000</v>
          </cell>
          <cell r="AF1014">
            <v>0</v>
          </cell>
          <cell r="AI1014">
            <v>2223</v>
          </cell>
          <cell r="AK1014">
            <v>0</v>
          </cell>
          <cell r="AM1014">
            <v>158</v>
          </cell>
          <cell r="AN1014">
            <v>1</v>
          </cell>
          <cell r="AO1014">
            <v>393216</v>
          </cell>
          <cell r="AQ1014">
            <v>0</v>
          </cell>
          <cell r="AR1014">
            <v>0</v>
          </cell>
          <cell r="AS1014" t="str">
            <v>Ы</v>
          </cell>
          <cell r="AT1014" t="str">
            <v>Ы</v>
          </cell>
          <cell r="AU1014">
            <v>0</v>
          </cell>
          <cell r="AV1014">
            <v>0</v>
          </cell>
          <cell r="AW1014">
            <v>23</v>
          </cell>
          <cell r="AX1014">
            <v>1</v>
          </cell>
          <cell r="AY1014">
            <v>0</v>
          </cell>
          <cell r="AZ1014">
            <v>0</v>
          </cell>
          <cell r="BA1014">
            <v>0</v>
          </cell>
          <cell r="BB1014">
            <v>0</v>
          </cell>
          <cell r="BC1014">
            <v>38828</v>
          </cell>
        </row>
        <row r="1015">
          <cell r="A1015">
            <v>2006</v>
          </cell>
          <cell r="B1015">
            <v>1</v>
          </cell>
          <cell r="C1015">
            <v>32</v>
          </cell>
          <cell r="D1015">
            <v>20</v>
          </cell>
          <cell r="E1015">
            <v>792020</v>
          </cell>
          <cell r="F1015">
            <v>0</v>
          </cell>
          <cell r="G1015" t="str">
            <v>Затраты по ШПЗ (основные)</v>
          </cell>
          <cell r="H1015">
            <v>2011</v>
          </cell>
          <cell r="I1015">
            <v>7920</v>
          </cell>
          <cell r="J1015">
            <v>35535.800000000003</v>
          </cell>
          <cell r="K1015">
            <v>1</v>
          </cell>
          <cell r="L1015">
            <v>0</v>
          </cell>
          <cell r="M1015">
            <v>0</v>
          </cell>
          <cell r="N1015">
            <v>0</v>
          </cell>
          <cell r="R1015">
            <v>0</v>
          </cell>
          <cell r="S1015">
            <v>0</v>
          </cell>
          <cell r="T1015">
            <v>0</v>
          </cell>
          <cell r="U1015">
            <v>42</v>
          </cell>
          <cell r="V1015">
            <v>0</v>
          </cell>
          <cell r="W1015">
            <v>0</v>
          </cell>
          <cell r="AA1015">
            <v>0</v>
          </cell>
          <cell r="AB1015">
            <v>0</v>
          </cell>
          <cell r="AC1015">
            <v>0</v>
          </cell>
          <cell r="AD1015">
            <v>42</v>
          </cell>
          <cell r="AE1015">
            <v>117000</v>
          </cell>
          <cell r="AF1015">
            <v>0</v>
          </cell>
          <cell r="AI1015">
            <v>2223</v>
          </cell>
          <cell r="AK1015">
            <v>0</v>
          </cell>
          <cell r="AM1015">
            <v>159</v>
          </cell>
          <cell r="AN1015">
            <v>1</v>
          </cell>
          <cell r="AO1015">
            <v>393216</v>
          </cell>
          <cell r="AQ1015">
            <v>0</v>
          </cell>
          <cell r="AR1015">
            <v>0</v>
          </cell>
          <cell r="AS1015" t="str">
            <v>Ы</v>
          </cell>
          <cell r="AT1015" t="str">
            <v>Ы</v>
          </cell>
          <cell r="AU1015">
            <v>0</v>
          </cell>
          <cell r="AV1015">
            <v>0</v>
          </cell>
          <cell r="AW1015">
            <v>23</v>
          </cell>
          <cell r="AX1015">
            <v>1</v>
          </cell>
          <cell r="AY1015">
            <v>0</v>
          </cell>
          <cell r="AZ1015">
            <v>0</v>
          </cell>
          <cell r="BA1015">
            <v>0</v>
          </cell>
          <cell r="BB1015">
            <v>0</v>
          </cell>
          <cell r="BC1015">
            <v>38828</v>
          </cell>
        </row>
        <row r="1016">
          <cell r="A1016">
            <v>2006</v>
          </cell>
          <cell r="B1016">
            <v>1</v>
          </cell>
          <cell r="C1016">
            <v>33</v>
          </cell>
          <cell r="D1016">
            <v>20</v>
          </cell>
          <cell r="E1016">
            <v>792020</v>
          </cell>
          <cell r="F1016">
            <v>0</v>
          </cell>
          <cell r="G1016" t="str">
            <v>Затраты по ШПЗ (основные)</v>
          </cell>
          <cell r="H1016">
            <v>2011</v>
          </cell>
          <cell r="I1016">
            <v>7920</v>
          </cell>
          <cell r="J1016">
            <v>227883.82</v>
          </cell>
          <cell r="K1016">
            <v>1</v>
          </cell>
          <cell r="L1016">
            <v>0</v>
          </cell>
          <cell r="M1016">
            <v>0</v>
          </cell>
          <cell r="N1016">
            <v>0</v>
          </cell>
          <cell r="R1016">
            <v>0</v>
          </cell>
          <cell r="S1016">
            <v>0</v>
          </cell>
          <cell r="T1016">
            <v>0</v>
          </cell>
          <cell r="U1016">
            <v>42</v>
          </cell>
          <cell r="V1016">
            <v>0</v>
          </cell>
          <cell r="W1016">
            <v>0</v>
          </cell>
          <cell r="AA1016">
            <v>0</v>
          </cell>
          <cell r="AB1016">
            <v>0</v>
          </cell>
          <cell r="AC1016">
            <v>0</v>
          </cell>
          <cell r="AD1016">
            <v>42</v>
          </cell>
          <cell r="AE1016">
            <v>118000</v>
          </cell>
          <cell r="AF1016">
            <v>0</v>
          </cell>
          <cell r="AI1016">
            <v>2223</v>
          </cell>
          <cell r="AK1016">
            <v>0</v>
          </cell>
          <cell r="AM1016">
            <v>160</v>
          </cell>
          <cell r="AN1016">
            <v>1</v>
          </cell>
          <cell r="AO1016">
            <v>393216</v>
          </cell>
          <cell r="AQ1016">
            <v>0</v>
          </cell>
          <cell r="AR1016">
            <v>0</v>
          </cell>
          <cell r="AS1016" t="str">
            <v>Ы</v>
          </cell>
          <cell r="AT1016" t="str">
            <v>Ы</v>
          </cell>
          <cell r="AU1016">
            <v>0</v>
          </cell>
          <cell r="AV1016">
            <v>0</v>
          </cell>
          <cell r="AW1016">
            <v>23</v>
          </cell>
          <cell r="AX1016">
            <v>1</v>
          </cell>
          <cell r="AY1016">
            <v>0</v>
          </cell>
          <cell r="AZ1016">
            <v>0</v>
          </cell>
          <cell r="BA1016">
            <v>0</v>
          </cell>
          <cell r="BB1016">
            <v>0</v>
          </cell>
          <cell r="BC1016">
            <v>38828</v>
          </cell>
        </row>
        <row r="1017">
          <cell r="A1017">
            <v>2006</v>
          </cell>
          <cell r="B1017">
            <v>1</v>
          </cell>
          <cell r="C1017">
            <v>34</v>
          </cell>
          <cell r="D1017">
            <v>20</v>
          </cell>
          <cell r="E1017">
            <v>792020</v>
          </cell>
          <cell r="F1017">
            <v>0</v>
          </cell>
          <cell r="G1017" t="str">
            <v>Затраты по ШПЗ (основные)</v>
          </cell>
          <cell r="H1017">
            <v>2011</v>
          </cell>
          <cell r="I1017">
            <v>7920</v>
          </cell>
          <cell r="J1017">
            <v>7265.69</v>
          </cell>
          <cell r="K1017">
            <v>1</v>
          </cell>
          <cell r="L1017">
            <v>0</v>
          </cell>
          <cell r="M1017">
            <v>0</v>
          </cell>
          <cell r="N1017">
            <v>0</v>
          </cell>
          <cell r="R1017">
            <v>0</v>
          </cell>
          <cell r="S1017">
            <v>0</v>
          </cell>
          <cell r="T1017">
            <v>0</v>
          </cell>
          <cell r="U1017">
            <v>42</v>
          </cell>
          <cell r="V1017">
            <v>0</v>
          </cell>
          <cell r="W1017">
            <v>0</v>
          </cell>
          <cell r="AA1017">
            <v>0</v>
          </cell>
          <cell r="AB1017">
            <v>0</v>
          </cell>
          <cell r="AC1017">
            <v>0</v>
          </cell>
          <cell r="AD1017">
            <v>42</v>
          </cell>
          <cell r="AE1017">
            <v>130000</v>
          </cell>
          <cell r="AF1017">
            <v>0</v>
          </cell>
          <cell r="AI1017">
            <v>2223</v>
          </cell>
          <cell r="AK1017">
            <v>0</v>
          </cell>
          <cell r="AM1017">
            <v>161</v>
          </cell>
          <cell r="AN1017">
            <v>1</v>
          </cell>
          <cell r="AO1017">
            <v>393216</v>
          </cell>
          <cell r="AQ1017">
            <v>0</v>
          </cell>
          <cell r="AR1017">
            <v>0</v>
          </cell>
          <cell r="AS1017" t="str">
            <v>Ы</v>
          </cell>
          <cell r="AT1017" t="str">
            <v>Ы</v>
          </cell>
          <cell r="AU1017">
            <v>0</v>
          </cell>
          <cell r="AV1017">
            <v>0</v>
          </cell>
          <cell r="AW1017">
            <v>23</v>
          </cell>
          <cell r="AX1017">
            <v>1</v>
          </cell>
          <cell r="AY1017">
            <v>0</v>
          </cell>
          <cell r="AZ1017">
            <v>0</v>
          </cell>
          <cell r="BA1017">
            <v>0</v>
          </cell>
          <cell r="BB1017">
            <v>0</v>
          </cell>
          <cell r="BC1017">
            <v>38828</v>
          </cell>
        </row>
        <row r="1018">
          <cell r="A1018">
            <v>2006</v>
          </cell>
          <cell r="B1018">
            <v>1</v>
          </cell>
          <cell r="C1018">
            <v>35</v>
          </cell>
          <cell r="D1018">
            <v>20</v>
          </cell>
          <cell r="E1018">
            <v>792020</v>
          </cell>
          <cell r="F1018">
            <v>0</v>
          </cell>
          <cell r="G1018" t="str">
            <v>Затраты по ШПЗ (основные)</v>
          </cell>
          <cell r="H1018">
            <v>2011</v>
          </cell>
          <cell r="I1018">
            <v>7920</v>
          </cell>
          <cell r="J1018">
            <v>52079.53</v>
          </cell>
          <cell r="K1018">
            <v>1</v>
          </cell>
          <cell r="L1018">
            <v>0</v>
          </cell>
          <cell r="M1018">
            <v>0</v>
          </cell>
          <cell r="N1018">
            <v>0</v>
          </cell>
          <cell r="R1018">
            <v>0</v>
          </cell>
          <cell r="S1018">
            <v>0</v>
          </cell>
          <cell r="T1018">
            <v>0</v>
          </cell>
          <cell r="U1018">
            <v>42</v>
          </cell>
          <cell r="V1018">
            <v>0</v>
          </cell>
          <cell r="W1018">
            <v>0</v>
          </cell>
          <cell r="AA1018">
            <v>0</v>
          </cell>
          <cell r="AB1018">
            <v>0</v>
          </cell>
          <cell r="AC1018">
            <v>0</v>
          </cell>
          <cell r="AD1018">
            <v>42</v>
          </cell>
          <cell r="AE1018">
            <v>131000</v>
          </cell>
          <cell r="AF1018">
            <v>0</v>
          </cell>
          <cell r="AI1018">
            <v>2223</v>
          </cell>
          <cell r="AK1018">
            <v>0</v>
          </cell>
          <cell r="AM1018">
            <v>162</v>
          </cell>
          <cell r="AN1018">
            <v>1</v>
          </cell>
          <cell r="AO1018">
            <v>393216</v>
          </cell>
          <cell r="AQ1018">
            <v>0</v>
          </cell>
          <cell r="AR1018">
            <v>0</v>
          </cell>
          <cell r="AS1018" t="str">
            <v>Ы</v>
          </cell>
          <cell r="AT1018" t="str">
            <v>Ы</v>
          </cell>
          <cell r="AU1018">
            <v>0</v>
          </cell>
          <cell r="AV1018">
            <v>0</v>
          </cell>
          <cell r="AW1018">
            <v>23</v>
          </cell>
          <cell r="AX1018">
            <v>1</v>
          </cell>
          <cell r="AY1018">
            <v>0</v>
          </cell>
          <cell r="AZ1018">
            <v>0</v>
          </cell>
          <cell r="BA1018">
            <v>0</v>
          </cell>
          <cell r="BB1018">
            <v>0</v>
          </cell>
          <cell r="BC1018">
            <v>38828</v>
          </cell>
        </row>
        <row r="1019">
          <cell r="A1019">
            <v>2006</v>
          </cell>
          <cell r="B1019">
            <v>1</v>
          </cell>
          <cell r="C1019">
            <v>36</v>
          </cell>
          <cell r="D1019">
            <v>20</v>
          </cell>
          <cell r="E1019">
            <v>792020</v>
          </cell>
          <cell r="F1019">
            <v>0</v>
          </cell>
          <cell r="G1019" t="str">
            <v>Затраты по ШПЗ (основные)</v>
          </cell>
          <cell r="H1019">
            <v>2011</v>
          </cell>
          <cell r="I1019">
            <v>7920</v>
          </cell>
          <cell r="J1019">
            <v>723258.14</v>
          </cell>
          <cell r="K1019">
            <v>1</v>
          </cell>
          <cell r="L1019">
            <v>0</v>
          </cell>
          <cell r="M1019">
            <v>0</v>
          </cell>
          <cell r="N1019">
            <v>0</v>
          </cell>
          <cell r="R1019">
            <v>0</v>
          </cell>
          <cell r="S1019">
            <v>0</v>
          </cell>
          <cell r="T1019">
            <v>0</v>
          </cell>
          <cell r="U1019">
            <v>42</v>
          </cell>
          <cell r="V1019">
            <v>0</v>
          </cell>
          <cell r="W1019">
            <v>0</v>
          </cell>
          <cell r="AA1019">
            <v>0</v>
          </cell>
          <cell r="AB1019">
            <v>0</v>
          </cell>
          <cell r="AC1019">
            <v>0</v>
          </cell>
          <cell r="AD1019">
            <v>42</v>
          </cell>
          <cell r="AE1019">
            <v>131100</v>
          </cell>
          <cell r="AF1019">
            <v>0</v>
          </cell>
          <cell r="AI1019">
            <v>2223</v>
          </cell>
          <cell r="AK1019">
            <v>0</v>
          </cell>
          <cell r="AM1019">
            <v>163</v>
          </cell>
          <cell r="AN1019">
            <v>1</v>
          </cell>
          <cell r="AO1019">
            <v>393216</v>
          </cell>
          <cell r="AQ1019">
            <v>0</v>
          </cell>
          <cell r="AR1019">
            <v>0</v>
          </cell>
          <cell r="AS1019" t="str">
            <v>Ы</v>
          </cell>
          <cell r="AT1019" t="str">
            <v>Ы</v>
          </cell>
          <cell r="AU1019">
            <v>0</v>
          </cell>
          <cell r="AV1019">
            <v>0</v>
          </cell>
          <cell r="AW1019">
            <v>23</v>
          </cell>
          <cell r="AX1019">
            <v>1</v>
          </cell>
          <cell r="AY1019">
            <v>0</v>
          </cell>
          <cell r="AZ1019">
            <v>0</v>
          </cell>
          <cell r="BA1019">
            <v>0</v>
          </cell>
          <cell r="BB1019">
            <v>0</v>
          </cell>
          <cell r="BC1019">
            <v>38828</v>
          </cell>
        </row>
        <row r="1020">
          <cell r="A1020">
            <v>2006</v>
          </cell>
          <cell r="B1020">
            <v>1</v>
          </cell>
          <cell r="C1020">
            <v>37</v>
          </cell>
          <cell r="D1020">
            <v>20</v>
          </cell>
          <cell r="E1020">
            <v>792020</v>
          </cell>
          <cell r="F1020">
            <v>0</v>
          </cell>
          <cell r="G1020" t="str">
            <v>Затраты по ШПЗ (основные)</v>
          </cell>
          <cell r="H1020">
            <v>2011</v>
          </cell>
          <cell r="I1020">
            <v>7920</v>
          </cell>
          <cell r="J1020">
            <v>309781.65999999997</v>
          </cell>
          <cell r="K1020">
            <v>1</v>
          </cell>
          <cell r="L1020">
            <v>0</v>
          </cell>
          <cell r="M1020">
            <v>0</v>
          </cell>
          <cell r="N1020">
            <v>0</v>
          </cell>
          <cell r="R1020">
            <v>0</v>
          </cell>
          <cell r="S1020">
            <v>0</v>
          </cell>
          <cell r="T1020">
            <v>0</v>
          </cell>
          <cell r="U1020">
            <v>42</v>
          </cell>
          <cell r="V1020">
            <v>0</v>
          </cell>
          <cell r="W1020">
            <v>0</v>
          </cell>
          <cell r="AA1020">
            <v>0</v>
          </cell>
          <cell r="AB1020">
            <v>0</v>
          </cell>
          <cell r="AC1020">
            <v>0</v>
          </cell>
          <cell r="AD1020">
            <v>42</v>
          </cell>
          <cell r="AE1020">
            <v>132000</v>
          </cell>
          <cell r="AF1020">
            <v>0</v>
          </cell>
          <cell r="AI1020">
            <v>2223</v>
          </cell>
          <cell r="AK1020">
            <v>0</v>
          </cell>
          <cell r="AM1020">
            <v>164</v>
          </cell>
          <cell r="AN1020">
            <v>1</v>
          </cell>
          <cell r="AO1020">
            <v>393216</v>
          </cell>
          <cell r="AQ1020">
            <v>0</v>
          </cell>
          <cell r="AR1020">
            <v>0</v>
          </cell>
          <cell r="AS1020" t="str">
            <v>Ы</v>
          </cell>
          <cell r="AT1020" t="str">
            <v>Ы</v>
          </cell>
          <cell r="AU1020">
            <v>0</v>
          </cell>
          <cell r="AV1020">
            <v>0</v>
          </cell>
          <cell r="AW1020">
            <v>23</v>
          </cell>
          <cell r="AX1020">
            <v>1</v>
          </cell>
          <cell r="AY1020">
            <v>0</v>
          </cell>
          <cell r="AZ1020">
            <v>0</v>
          </cell>
          <cell r="BA1020">
            <v>0</v>
          </cell>
          <cell r="BB1020">
            <v>0</v>
          </cell>
          <cell r="BC1020">
            <v>38828</v>
          </cell>
        </row>
        <row r="1021">
          <cell r="A1021">
            <v>2006</v>
          </cell>
          <cell r="B1021">
            <v>1</v>
          </cell>
          <cell r="C1021">
            <v>38</v>
          </cell>
          <cell r="D1021">
            <v>20</v>
          </cell>
          <cell r="E1021">
            <v>792020</v>
          </cell>
          <cell r="F1021">
            <v>0</v>
          </cell>
          <cell r="G1021" t="str">
            <v>Затраты по ШПЗ (основные)</v>
          </cell>
          <cell r="H1021">
            <v>2011</v>
          </cell>
          <cell r="I1021">
            <v>7920</v>
          </cell>
          <cell r="J1021">
            <v>41081.040000000001</v>
          </cell>
          <cell r="K1021">
            <v>1</v>
          </cell>
          <cell r="L1021">
            <v>0</v>
          </cell>
          <cell r="M1021">
            <v>0</v>
          </cell>
          <cell r="N1021">
            <v>0</v>
          </cell>
          <cell r="R1021">
            <v>0</v>
          </cell>
          <cell r="S1021">
            <v>0</v>
          </cell>
          <cell r="T1021">
            <v>0</v>
          </cell>
          <cell r="U1021">
            <v>42</v>
          </cell>
          <cell r="V1021">
            <v>0</v>
          </cell>
          <cell r="W1021">
            <v>0</v>
          </cell>
          <cell r="AA1021">
            <v>0</v>
          </cell>
          <cell r="AB1021">
            <v>0</v>
          </cell>
          <cell r="AC1021">
            <v>0</v>
          </cell>
          <cell r="AD1021">
            <v>42</v>
          </cell>
          <cell r="AE1021">
            <v>133200</v>
          </cell>
          <cell r="AF1021">
            <v>0</v>
          </cell>
          <cell r="AI1021">
            <v>2223</v>
          </cell>
          <cell r="AK1021">
            <v>0</v>
          </cell>
          <cell r="AM1021">
            <v>165</v>
          </cell>
          <cell r="AN1021">
            <v>1</v>
          </cell>
          <cell r="AO1021">
            <v>393216</v>
          </cell>
          <cell r="AQ1021">
            <v>0</v>
          </cell>
          <cell r="AR1021">
            <v>0</v>
          </cell>
          <cell r="AS1021" t="str">
            <v>Ы</v>
          </cell>
          <cell r="AT1021" t="str">
            <v>Ы</v>
          </cell>
          <cell r="AU1021">
            <v>0</v>
          </cell>
          <cell r="AV1021">
            <v>0</v>
          </cell>
          <cell r="AW1021">
            <v>23</v>
          </cell>
          <cell r="AX1021">
            <v>1</v>
          </cell>
          <cell r="AY1021">
            <v>0</v>
          </cell>
          <cell r="AZ1021">
            <v>0</v>
          </cell>
          <cell r="BA1021">
            <v>0</v>
          </cell>
          <cell r="BB1021">
            <v>0</v>
          </cell>
          <cell r="BC1021">
            <v>38828</v>
          </cell>
        </row>
        <row r="1022">
          <cell r="A1022">
            <v>2006</v>
          </cell>
          <cell r="B1022">
            <v>1</v>
          </cell>
          <cell r="C1022">
            <v>39</v>
          </cell>
          <cell r="D1022">
            <v>20</v>
          </cell>
          <cell r="E1022">
            <v>792020</v>
          </cell>
          <cell r="F1022">
            <v>0</v>
          </cell>
          <cell r="G1022" t="str">
            <v>Затраты по ШПЗ (основные)</v>
          </cell>
          <cell r="H1022">
            <v>2011</v>
          </cell>
          <cell r="I1022">
            <v>7920</v>
          </cell>
          <cell r="J1022">
            <v>36825.879999999997</v>
          </cell>
          <cell r="K1022">
            <v>1</v>
          </cell>
          <cell r="L1022">
            <v>0</v>
          </cell>
          <cell r="M1022">
            <v>0</v>
          </cell>
          <cell r="N1022">
            <v>0</v>
          </cell>
          <cell r="R1022">
            <v>0</v>
          </cell>
          <cell r="S1022">
            <v>0</v>
          </cell>
          <cell r="T1022">
            <v>0</v>
          </cell>
          <cell r="U1022">
            <v>42</v>
          </cell>
          <cell r="V1022">
            <v>0</v>
          </cell>
          <cell r="W1022">
            <v>0</v>
          </cell>
          <cell r="AA1022">
            <v>0</v>
          </cell>
          <cell r="AB1022">
            <v>0</v>
          </cell>
          <cell r="AC1022">
            <v>0</v>
          </cell>
          <cell r="AD1022">
            <v>42</v>
          </cell>
          <cell r="AE1022">
            <v>135000</v>
          </cell>
          <cell r="AF1022">
            <v>0</v>
          </cell>
          <cell r="AI1022">
            <v>2223</v>
          </cell>
          <cell r="AK1022">
            <v>0</v>
          </cell>
          <cell r="AM1022">
            <v>166</v>
          </cell>
          <cell r="AN1022">
            <v>1</v>
          </cell>
          <cell r="AO1022">
            <v>393216</v>
          </cell>
          <cell r="AQ1022">
            <v>0</v>
          </cell>
          <cell r="AR1022">
            <v>0</v>
          </cell>
          <cell r="AS1022" t="str">
            <v>Ы</v>
          </cell>
          <cell r="AT1022" t="str">
            <v>Ы</v>
          </cell>
          <cell r="AU1022">
            <v>0</v>
          </cell>
          <cell r="AV1022">
            <v>0</v>
          </cell>
          <cell r="AW1022">
            <v>23</v>
          </cell>
          <cell r="AX1022">
            <v>1</v>
          </cell>
          <cell r="AY1022">
            <v>0</v>
          </cell>
          <cell r="AZ1022">
            <v>0</v>
          </cell>
          <cell r="BA1022">
            <v>0</v>
          </cell>
          <cell r="BB1022">
            <v>0</v>
          </cell>
          <cell r="BC1022">
            <v>38828</v>
          </cell>
        </row>
        <row r="1023">
          <cell r="A1023">
            <v>2006</v>
          </cell>
          <cell r="B1023">
            <v>1</v>
          </cell>
          <cell r="C1023">
            <v>40</v>
          </cell>
          <cell r="D1023">
            <v>20</v>
          </cell>
          <cell r="E1023">
            <v>792020</v>
          </cell>
          <cell r="F1023">
            <v>0</v>
          </cell>
          <cell r="G1023" t="str">
            <v>Затраты по ШПЗ (основные)</v>
          </cell>
          <cell r="H1023">
            <v>2011</v>
          </cell>
          <cell r="I1023">
            <v>7920</v>
          </cell>
          <cell r="J1023">
            <v>1124189.69</v>
          </cell>
          <cell r="K1023">
            <v>1</v>
          </cell>
          <cell r="L1023">
            <v>0</v>
          </cell>
          <cell r="M1023">
            <v>0</v>
          </cell>
          <cell r="N1023">
            <v>0</v>
          </cell>
          <cell r="R1023">
            <v>0</v>
          </cell>
          <cell r="S1023">
            <v>0</v>
          </cell>
          <cell r="T1023">
            <v>0</v>
          </cell>
          <cell r="U1023">
            <v>42</v>
          </cell>
          <cell r="V1023">
            <v>0</v>
          </cell>
          <cell r="W1023">
            <v>0</v>
          </cell>
          <cell r="AA1023">
            <v>0</v>
          </cell>
          <cell r="AB1023">
            <v>0</v>
          </cell>
          <cell r="AC1023">
            <v>0</v>
          </cell>
          <cell r="AD1023">
            <v>42</v>
          </cell>
          <cell r="AE1023">
            <v>143000</v>
          </cell>
          <cell r="AF1023">
            <v>0</v>
          </cell>
          <cell r="AI1023">
            <v>2223</v>
          </cell>
          <cell r="AK1023">
            <v>0</v>
          </cell>
          <cell r="AM1023">
            <v>167</v>
          </cell>
          <cell r="AN1023">
            <v>1</v>
          </cell>
          <cell r="AO1023">
            <v>393216</v>
          </cell>
          <cell r="AQ1023">
            <v>0</v>
          </cell>
          <cell r="AR1023">
            <v>0</v>
          </cell>
          <cell r="AS1023" t="str">
            <v>Ы</v>
          </cell>
          <cell r="AT1023" t="str">
            <v>Ы</v>
          </cell>
          <cell r="AU1023">
            <v>0</v>
          </cell>
          <cell r="AV1023">
            <v>0</v>
          </cell>
          <cell r="AW1023">
            <v>23</v>
          </cell>
          <cell r="AX1023">
            <v>1</v>
          </cell>
          <cell r="AY1023">
            <v>0</v>
          </cell>
          <cell r="AZ1023">
            <v>0</v>
          </cell>
          <cell r="BA1023">
            <v>0</v>
          </cell>
          <cell r="BB1023">
            <v>0</v>
          </cell>
          <cell r="BC1023">
            <v>38828</v>
          </cell>
        </row>
        <row r="1024">
          <cell r="A1024">
            <v>2006</v>
          </cell>
          <cell r="B1024">
            <v>1</v>
          </cell>
          <cell r="C1024">
            <v>41</v>
          </cell>
          <cell r="D1024">
            <v>20</v>
          </cell>
          <cell r="E1024">
            <v>792020</v>
          </cell>
          <cell r="F1024">
            <v>0</v>
          </cell>
          <cell r="G1024" t="str">
            <v>Затраты по ШПЗ (основные)</v>
          </cell>
          <cell r="H1024">
            <v>2011</v>
          </cell>
          <cell r="I1024">
            <v>7920</v>
          </cell>
          <cell r="J1024">
            <v>9220.76</v>
          </cell>
          <cell r="K1024">
            <v>1</v>
          </cell>
          <cell r="L1024">
            <v>0</v>
          </cell>
          <cell r="M1024">
            <v>0</v>
          </cell>
          <cell r="N1024">
            <v>0</v>
          </cell>
          <cell r="R1024">
            <v>0</v>
          </cell>
          <cell r="S1024">
            <v>0</v>
          </cell>
          <cell r="T1024">
            <v>0</v>
          </cell>
          <cell r="U1024">
            <v>42</v>
          </cell>
          <cell r="V1024">
            <v>0</v>
          </cell>
          <cell r="W1024">
            <v>0</v>
          </cell>
          <cell r="AA1024">
            <v>0</v>
          </cell>
          <cell r="AB1024">
            <v>0</v>
          </cell>
          <cell r="AC1024">
            <v>0</v>
          </cell>
          <cell r="AD1024">
            <v>42</v>
          </cell>
          <cell r="AE1024">
            <v>151000</v>
          </cell>
          <cell r="AF1024">
            <v>0</v>
          </cell>
          <cell r="AI1024">
            <v>2223</v>
          </cell>
          <cell r="AK1024">
            <v>0</v>
          </cell>
          <cell r="AM1024">
            <v>168</v>
          </cell>
          <cell r="AN1024">
            <v>1</v>
          </cell>
          <cell r="AO1024">
            <v>393216</v>
          </cell>
          <cell r="AQ1024">
            <v>0</v>
          </cell>
          <cell r="AR1024">
            <v>0</v>
          </cell>
          <cell r="AS1024" t="str">
            <v>Ы</v>
          </cell>
          <cell r="AT1024" t="str">
            <v>Ы</v>
          </cell>
          <cell r="AU1024">
            <v>0</v>
          </cell>
          <cell r="AV1024">
            <v>0</v>
          </cell>
          <cell r="AW1024">
            <v>23</v>
          </cell>
          <cell r="AX1024">
            <v>1</v>
          </cell>
          <cell r="AY1024">
            <v>0</v>
          </cell>
          <cell r="AZ1024">
            <v>0</v>
          </cell>
          <cell r="BA1024">
            <v>0</v>
          </cell>
          <cell r="BB1024">
            <v>0</v>
          </cell>
          <cell r="BC1024">
            <v>38828</v>
          </cell>
        </row>
        <row r="1025">
          <cell r="A1025">
            <v>2006</v>
          </cell>
          <cell r="B1025">
            <v>1</v>
          </cell>
          <cell r="C1025">
            <v>42</v>
          </cell>
          <cell r="D1025">
            <v>20</v>
          </cell>
          <cell r="E1025">
            <v>792020</v>
          </cell>
          <cell r="F1025">
            <v>0</v>
          </cell>
          <cell r="G1025" t="str">
            <v>Затраты по ШПЗ (основные)</v>
          </cell>
          <cell r="H1025">
            <v>2011</v>
          </cell>
          <cell r="I1025">
            <v>7920</v>
          </cell>
          <cell r="J1025">
            <v>744919.3</v>
          </cell>
          <cell r="K1025">
            <v>1</v>
          </cell>
          <cell r="L1025">
            <v>0</v>
          </cell>
          <cell r="M1025">
            <v>0</v>
          </cell>
          <cell r="N1025">
            <v>0</v>
          </cell>
          <cell r="R1025">
            <v>0</v>
          </cell>
          <cell r="S1025">
            <v>0</v>
          </cell>
          <cell r="T1025">
            <v>0</v>
          </cell>
          <cell r="U1025">
            <v>42</v>
          </cell>
          <cell r="V1025">
            <v>0</v>
          </cell>
          <cell r="W1025">
            <v>0</v>
          </cell>
          <cell r="AA1025">
            <v>0</v>
          </cell>
          <cell r="AB1025">
            <v>0</v>
          </cell>
          <cell r="AC1025">
            <v>0</v>
          </cell>
          <cell r="AD1025">
            <v>42</v>
          </cell>
          <cell r="AE1025">
            <v>152000</v>
          </cell>
          <cell r="AF1025">
            <v>0</v>
          </cell>
          <cell r="AI1025">
            <v>2223</v>
          </cell>
          <cell r="AK1025">
            <v>0</v>
          </cell>
          <cell r="AM1025">
            <v>169</v>
          </cell>
          <cell r="AN1025">
            <v>1</v>
          </cell>
          <cell r="AO1025">
            <v>393216</v>
          </cell>
          <cell r="AQ1025">
            <v>0</v>
          </cell>
          <cell r="AR1025">
            <v>0</v>
          </cell>
          <cell r="AS1025" t="str">
            <v>Ы</v>
          </cell>
          <cell r="AT1025" t="str">
            <v>Ы</v>
          </cell>
          <cell r="AU1025">
            <v>0</v>
          </cell>
          <cell r="AV1025">
            <v>0</v>
          </cell>
          <cell r="AW1025">
            <v>23</v>
          </cell>
          <cell r="AX1025">
            <v>1</v>
          </cell>
          <cell r="AY1025">
            <v>0</v>
          </cell>
          <cell r="AZ1025">
            <v>0</v>
          </cell>
          <cell r="BA1025">
            <v>0</v>
          </cell>
          <cell r="BB1025">
            <v>0</v>
          </cell>
          <cell r="BC1025">
            <v>38828</v>
          </cell>
        </row>
        <row r="1026">
          <cell r="A1026">
            <v>2006</v>
          </cell>
          <cell r="B1026">
            <v>1</v>
          </cell>
          <cell r="C1026">
            <v>43</v>
          </cell>
          <cell r="D1026">
            <v>20</v>
          </cell>
          <cell r="E1026">
            <v>792020</v>
          </cell>
          <cell r="F1026">
            <v>0</v>
          </cell>
          <cell r="G1026" t="str">
            <v>Затраты по ШПЗ (основные)</v>
          </cell>
          <cell r="H1026">
            <v>2011</v>
          </cell>
          <cell r="I1026">
            <v>7920</v>
          </cell>
          <cell r="J1026">
            <v>8572273.5800000001</v>
          </cell>
          <cell r="K1026">
            <v>1</v>
          </cell>
          <cell r="L1026">
            <v>0</v>
          </cell>
          <cell r="M1026">
            <v>0</v>
          </cell>
          <cell r="N1026">
            <v>0</v>
          </cell>
          <cell r="R1026">
            <v>0</v>
          </cell>
          <cell r="S1026">
            <v>0</v>
          </cell>
          <cell r="T1026">
            <v>0</v>
          </cell>
          <cell r="U1026">
            <v>42</v>
          </cell>
          <cell r="V1026">
            <v>0</v>
          </cell>
          <cell r="W1026">
            <v>0</v>
          </cell>
          <cell r="AA1026">
            <v>0</v>
          </cell>
          <cell r="AB1026">
            <v>0</v>
          </cell>
          <cell r="AC1026">
            <v>0</v>
          </cell>
          <cell r="AD1026">
            <v>42</v>
          </cell>
          <cell r="AE1026">
            <v>220000</v>
          </cell>
          <cell r="AF1026">
            <v>0</v>
          </cell>
          <cell r="AI1026">
            <v>2223</v>
          </cell>
          <cell r="AK1026">
            <v>0</v>
          </cell>
          <cell r="AM1026">
            <v>170</v>
          </cell>
          <cell r="AN1026">
            <v>1</v>
          </cell>
          <cell r="AO1026">
            <v>393216</v>
          </cell>
          <cell r="AQ1026">
            <v>0</v>
          </cell>
          <cell r="AR1026">
            <v>0</v>
          </cell>
          <cell r="AS1026" t="str">
            <v>Ы</v>
          </cell>
          <cell r="AT1026" t="str">
            <v>Ы</v>
          </cell>
          <cell r="AU1026">
            <v>0</v>
          </cell>
          <cell r="AV1026">
            <v>0</v>
          </cell>
          <cell r="AW1026">
            <v>23</v>
          </cell>
          <cell r="AX1026">
            <v>1</v>
          </cell>
          <cell r="AY1026">
            <v>0</v>
          </cell>
          <cell r="AZ1026">
            <v>0</v>
          </cell>
          <cell r="BA1026">
            <v>0</v>
          </cell>
          <cell r="BB1026">
            <v>0</v>
          </cell>
          <cell r="BC1026">
            <v>38828</v>
          </cell>
        </row>
        <row r="1027">
          <cell r="A1027">
            <v>2006</v>
          </cell>
          <cell r="B1027">
            <v>1</v>
          </cell>
          <cell r="C1027">
            <v>44</v>
          </cell>
          <cell r="D1027">
            <v>20</v>
          </cell>
          <cell r="E1027">
            <v>792020</v>
          </cell>
          <cell r="F1027">
            <v>0</v>
          </cell>
          <cell r="G1027" t="str">
            <v>Затраты по ШПЗ (основные)</v>
          </cell>
          <cell r="H1027">
            <v>2011</v>
          </cell>
          <cell r="I1027">
            <v>7920</v>
          </cell>
          <cell r="J1027">
            <v>4389247.01</v>
          </cell>
          <cell r="K1027">
            <v>1</v>
          </cell>
          <cell r="L1027">
            <v>0</v>
          </cell>
          <cell r="M1027">
            <v>0</v>
          </cell>
          <cell r="N1027">
            <v>0</v>
          </cell>
          <cell r="R1027">
            <v>0</v>
          </cell>
          <cell r="S1027">
            <v>0</v>
          </cell>
          <cell r="T1027">
            <v>0</v>
          </cell>
          <cell r="U1027">
            <v>42</v>
          </cell>
          <cell r="V1027">
            <v>0</v>
          </cell>
          <cell r="W1027">
            <v>0</v>
          </cell>
          <cell r="AA1027">
            <v>0</v>
          </cell>
          <cell r="AB1027">
            <v>0</v>
          </cell>
          <cell r="AC1027">
            <v>0</v>
          </cell>
          <cell r="AD1027">
            <v>42</v>
          </cell>
          <cell r="AE1027">
            <v>230000</v>
          </cell>
          <cell r="AF1027">
            <v>0</v>
          </cell>
          <cell r="AI1027">
            <v>2223</v>
          </cell>
          <cell r="AK1027">
            <v>0</v>
          </cell>
          <cell r="AM1027">
            <v>171</v>
          </cell>
          <cell r="AN1027">
            <v>1</v>
          </cell>
          <cell r="AO1027">
            <v>393216</v>
          </cell>
          <cell r="AQ1027">
            <v>0</v>
          </cell>
          <cell r="AR1027">
            <v>0</v>
          </cell>
          <cell r="AS1027" t="str">
            <v>Ы</v>
          </cell>
          <cell r="AT1027" t="str">
            <v>Ы</v>
          </cell>
          <cell r="AU1027">
            <v>0</v>
          </cell>
          <cell r="AV1027">
            <v>0</v>
          </cell>
          <cell r="AW1027">
            <v>23</v>
          </cell>
          <cell r="AX1027">
            <v>1</v>
          </cell>
          <cell r="AY1027">
            <v>0</v>
          </cell>
          <cell r="AZ1027">
            <v>0</v>
          </cell>
          <cell r="BA1027">
            <v>0</v>
          </cell>
          <cell r="BB1027">
            <v>0</v>
          </cell>
          <cell r="BC1027">
            <v>38828</v>
          </cell>
        </row>
        <row r="1028">
          <cell r="A1028">
            <v>2006</v>
          </cell>
          <cell r="B1028">
            <v>1</v>
          </cell>
          <cell r="C1028">
            <v>45</v>
          </cell>
          <cell r="D1028">
            <v>20</v>
          </cell>
          <cell r="E1028">
            <v>792020</v>
          </cell>
          <cell r="F1028">
            <v>0</v>
          </cell>
          <cell r="G1028" t="str">
            <v>Затраты по ШПЗ (основные)</v>
          </cell>
          <cell r="H1028">
            <v>2011</v>
          </cell>
          <cell r="I1028">
            <v>7920</v>
          </cell>
          <cell r="J1028">
            <v>5500</v>
          </cell>
          <cell r="K1028">
            <v>1</v>
          </cell>
          <cell r="L1028">
            <v>0</v>
          </cell>
          <cell r="M1028">
            <v>0</v>
          </cell>
          <cell r="N1028">
            <v>0</v>
          </cell>
          <cell r="R1028">
            <v>0</v>
          </cell>
          <cell r="S1028">
            <v>0</v>
          </cell>
          <cell r="T1028">
            <v>0</v>
          </cell>
          <cell r="U1028">
            <v>42</v>
          </cell>
          <cell r="V1028">
            <v>0</v>
          </cell>
          <cell r="W1028">
            <v>0</v>
          </cell>
          <cell r="AA1028">
            <v>0</v>
          </cell>
          <cell r="AB1028">
            <v>0</v>
          </cell>
          <cell r="AC1028">
            <v>0</v>
          </cell>
          <cell r="AD1028">
            <v>42</v>
          </cell>
          <cell r="AE1028">
            <v>240000</v>
          </cell>
          <cell r="AF1028">
            <v>0</v>
          </cell>
          <cell r="AI1028">
            <v>2223</v>
          </cell>
          <cell r="AK1028">
            <v>0</v>
          </cell>
          <cell r="AM1028">
            <v>172</v>
          </cell>
          <cell r="AN1028">
            <v>1</v>
          </cell>
          <cell r="AO1028">
            <v>393216</v>
          </cell>
          <cell r="AQ1028">
            <v>0</v>
          </cell>
          <cell r="AR1028">
            <v>0</v>
          </cell>
          <cell r="AS1028" t="str">
            <v>Ы</v>
          </cell>
          <cell r="AT1028" t="str">
            <v>Ы</v>
          </cell>
          <cell r="AU1028">
            <v>0</v>
          </cell>
          <cell r="AV1028">
            <v>0</v>
          </cell>
          <cell r="AW1028">
            <v>23</v>
          </cell>
          <cell r="AX1028">
            <v>1</v>
          </cell>
          <cell r="AY1028">
            <v>0</v>
          </cell>
          <cell r="AZ1028">
            <v>0</v>
          </cell>
          <cell r="BA1028">
            <v>0</v>
          </cell>
          <cell r="BB1028">
            <v>0</v>
          </cell>
          <cell r="BC1028">
            <v>38828</v>
          </cell>
        </row>
        <row r="1029">
          <cell r="A1029">
            <v>2006</v>
          </cell>
          <cell r="B1029">
            <v>1</v>
          </cell>
          <cell r="C1029">
            <v>46</v>
          </cell>
          <cell r="D1029">
            <v>20</v>
          </cell>
          <cell r="E1029">
            <v>792020</v>
          </cell>
          <cell r="F1029">
            <v>0</v>
          </cell>
          <cell r="G1029" t="str">
            <v>Затраты по ШПЗ (основные)</v>
          </cell>
          <cell r="H1029">
            <v>2011</v>
          </cell>
          <cell r="I1029">
            <v>7920</v>
          </cell>
          <cell r="J1029">
            <v>431507.31</v>
          </cell>
          <cell r="K1029">
            <v>1</v>
          </cell>
          <cell r="L1029">
            <v>0</v>
          </cell>
          <cell r="M1029">
            <v>0</v>
          </cell>
          <cell r="N1029">
            <v>0</v>
          </cell>
          <cell r="R1029">
            <v>0</v>
          </cell>
          <cell r="S1029">
            <v>0</v>
          </cell>
          <cell r="T1029">
            <v>0</v>
          </cell>
          <cell r="U1029">
            <v>42</v>
          </cell>
          <cell r="V1029">
            <v>0</v>
          </cell>
          <cell r="W1029">
            <v>0</v>
          </cell>
          <cell r="AA1029">
            <v>0</v>
          </cell>
          <cell r="AB1029">
            <v>0</v>
          </cell>
          <cell r="AC1029">
            <v>0</v>
          </cell>
          <cell r="AD1029">
            <v>42</v>
          </cell>
          <cell r="AE1029">
            <v>260000</v>
          </cell>
          <cell r="AF1029">
            <v>0</v>
          </cell>
          <cell r="AI1029">
            <v>2223</v>
          </cell>
          <cell r="AK1029">
            <v>0</v>
          </cell>
          <cell r="AM1029">
            <v>173</v>
          </cell>
          <cell r="AN1029">
            <v>1</v>
          </cell>
          <cell r="AO1029">
            <v>393216</v>
          </cell>
          <cell r="AQ1029">
            <v>0</v>
          </cell>
          <cell r="AR1029">
            <v>0</v>
          </cell>
          <cell r="AS1029" t="str">
            <v>Ы</v>
          </cell>
          <cell r="AT1029" t="str">
            <v>Ы</v>
          </cell>
          <cell r="AU1029">
            <v>0</v>
          </cell>
          <cell r="AV1029">
            <v>0</v>
          </cell>
          <cell r="AW1029">
            <v>23</v>
          </cell>
          <cell r="AX1029">
            <v>1</v>
          </cell>
          <cell r="AY1029">
            <v>0</v>
          </cell>
          <cell r="AZ1029">
            <v>0</v>
          </cell>
          <cell r="BA1029">
            <v>0</v>
          </cell>
          <cell r="BB1029">
            <v>0</v>
          </cell>
          <cell r="BC1029">
            <v>38828</v>
          </cell>
        </row>
        <row r="1030">
          <cell r="A1030">
            <v>2006</v>
          </cell>
          <cell r="B1030">
            <v>1</v>
          </cell>
          <cell r="C1030">
            <v>47</v>
          </cell>
          <cell r="D1030">
            <v>20</v>
          </cell>
          <cell r="E1030">
            <v>792020</v>
          </cell>
          <cell r="F1030">
            <v>0</v>
          </cell>
          <cell r="G1030" t="str">
            <v>Затраты по ШПЗ (основные)</v>
          </cell>
          <cell r="H1030">
            <v>2011</v>
          </cell>
          <cell r="I1030">
            <v>7920</v>
          </cell>
          <cell r="J1030">
            <v>923962.54</v>
          </cell>
          <cell r="K1030">
            <v>1</v>
          </cell>
          <cell r="L1030">
            <v>0</v>
          </cell>
          <cell r="M1030">
            <v>0</v>
          </cell>
          <cell r="N1030">
            <v>0</v>
          </cell>
          <cell r="R1030">
            <v>0</v>
          </cell>
          <cell r="S1030">
            <v>0</v>
          </cell>
          <cell r="T1030">
            <v>0</v>
          </cell>
          <cell r="U1030">
            <v>42</v>
          </cell>
          <cell r="V1030">
            <v>0</v>
          </cell>
          <cell r="W1030">
            <v>0</v>
          </cell>
          <cell r="AA1030">
            <v>0</v>
          </cell>
          <cell r="AB1030">
            <v>0</v>
          </cell>
          <cell r="AC1030">
            <v>0</v>
          </cell>
          <cell r="AD1030">
            <v>42</v>
          </cell>
          <cell r="AE1030">
            <v>270000</v>
          </cell>
          <cell r="AF1030">
            <v>0</v>
          </cell>
          <cell r="AI1030">
            <v>2223</v>
          </cell>
          <cell r="AK1030">
            <v>0</v>
          </cell>
          <cell r="AM1030">
            <v>174</v>
          </cell>
          <cell r="AN1030">
            <v>1</v>
          </cell>
          <cell r="AO1030">
            <v>393216</v>
          </cell>
          <cell r="AQ1030">
            <v>0</v>
          </cell>
          <cell r="AR1030">
            <v>0</v>
          </cell>
          <cell r="AS1030" t="str">
            <v>Ы</v>
          </cell>
          <cell r="AT1030" t="str">
            <v>Ы</v>
          </cell>
          <cell r="AU1030">
            <v>0</v>
          </cell>
          <cell r="AV1030">
            <v>0</v>
          </cell>
          <cell r="AW1030">
            <v>23</v>
          </cell>
          <cell r="AX1030">
            <v>1</v>
          </cell>
          <cell r="AY1030">
            <v>0</v>
          </cell>
          <cell r="AZ1030">
            <v>0</v>
          </cell>
          <cell r="BA1030">
            <v>0</v>
          </cell>
          <cell r="BB1030">
            <v>0</v>
          </cell>
          <cell r="BC1030">
            <v>38828</v>
          </cell>
        </row>
        <row r="1031">
          <cell r="A1031">
            <v>2006</v>
          </cell>
          <cell r="B1031">
            <v>1</v>
          </cell>
          <cell r="C1031">
            <v>48</v>
          </cell>
          <cell r="D1031">
            <v>20</v>
          </cell>
          <cell r="E1031">
            <v>792020</v>
          </cell>
          <cell r="F1031">
            <v>0</v>
          </cell>
          <cell r="G1031" t="str">
            <v>Затраты по ШПЗ (основные)</v>
          </cell>
          <cell r="H1031">
            <v>2011</v>
          </cell>
          <cell r="I1031">
            <v>7920</v>
          </cell>
          <cell r="J1031">
            <v>83623.41</v>
          </cell>
          <cell r="K1031">
            <v>1</v>
          </cell>
          <cell r="L1031">
            <v>0</v>
          </cell>
          <cell r="M1031">
            <v>0</v>
          </cell>
          <cell r="N1031">
            <v>0</v>
          </cell>
          <cell r="R1031">
            <v>0</v>
          </cell>
          <cell r="S1031">
            <v>0</v>
          </cell>
          <cell r="T1031">
            <v>0</v>
          </cell>
          <cell r="U1031">
            <v>42</v>
          </cell>
          <cell r="V1031">
            <v>0</v>
          </cell>
          <cell r="W1031">
            <v>0</v>
          </cell>
          <cell r="AA1031">
            <v>0</v>
          </cell>
          <cell r="AB1031">
            <v>0</v>
          </cell>
          <cell r="AC1031">
            <v>0</v>
          </cell>
          <cell r="AD1031">
            <v>42</v>
          </cell>
          <cell r="AE1031">
            <v>280000</v>
          </cell>
          <cell r="AF1031">
            <v>0</v>
          </cell>
          <cell r="AI1031">
            <v>2223</v>
          </cell>
          <cell r="AK1031">
            <v>0</v>
          </cell>
          <cell r="AM1031">
            <v>175</v>
          </cell>
          <cell r="AN1031">
            <v>1</v>
          </cell>
          <cell r="AO1031">
            <v>393216</v>
          </cell>
          <cell r="AQ1031">
            <v>0</v>
          </cell>
          <cell r="AR1031">
            <v>0</v>
          </cell>
          <cell r="AS1031" t="str">
            <v>Ы</v>
          </cell>
          <cell r="AT1031" t="str">
            <v>Ы</v>
          </cell>
          <cell r="AU1031">
            <v>0</v>
          </cell>
          <cell r="AV1031">
            <v>0</v>
          </cell>
          <cell r="AW1031">
            <v>23</v>
          </cell>
          <cell r="AX1031">
            <v>1</v>
          </cell>
          <cell r="AY1031">
            <v>0</v>
          </cell>
          <cell r="AZ1031">
            <v>0</v>
          </cell>
          <cell r="BA1031">
            <v>0</v>
          </cell>
          <cell r="BB1031">
            <v>0</v>
          </cell>
          <cell r="BC1031">
            <v>38828</v>
          </cell>
        </row>
        <row r="1032">
          <cell r="A1032">
            <v>2006</v>
          </cell>
          <cell r="B1032">
            <v>1</v>
          </cell>
          <cell r="C1032">
            <v>49</v>
          </cell>
          <cell r="D1032">
            <v>20</v>
          </cell>
          <cell r="E1032">
            <v>792020</v>
          </cell>
          <cell r="F1032">
            <v>0</v>
          </cell>
          <cell r="G1032" t="str">
            <v>Затраты по ШПЗ (основные)</v>
          </cell>
          <cell r="H1032">
            <v>2011</v>
          </cell>
          <cell r="I1032">
            <v>7920</v>
          </cell>
          <cell r="J1032">
            <v>473140.07</v>
          </cell>
          <cell r="K1032">
            <v>1</v>
          </cell>
          <cell r="L1032">
            <v>0</v>
          </cell>
          <cell r="M1032">
            <v>0</v>
          </cell>
          <cell r="N1032">
            <v>0</v>
          </cell>
          <cell r="R1032">
            <v>0</v>
          </cell>
          <cell r="S1032">
            <v>0</v>
          </cell>
          <cell r="T1032">
            <v>0</v>
          </cell>
          <cell r="U1032">
            <v>42</v>
          </cell>
          <cell r="V1032">
            <v>0</v>
          </cell>
          <cell r="W1032">
            <v>0</v>
          </cell>
          <cell r="AA1032">
            <v>0</v>
          </cell>
          <cell r="AB1032">
            <v>0</v>
          </cell>
          <cell r="AC1032">
            <v>0</v>
          </cell>
          <cell r="AD1032">
            <v>42</v>
          </cell>
          <cell r="AE1032">
            <v>280100</v>
          </cell>
          <cell r="AF1032">
            <v>0</v>
          </cell>
          <cell r="AI1032">
            <v>2223</v>
          </cell>
          <cell r="AK1032">
            <v>0</v>
          </cell>
          <cell r="AM1032">
            <v>176</v>
          </cell>
          <cell r="AN1032">
            <v>1</v>
          </cell>
          <cell r="AO1032">
            <v>393216</v>
          </cell>
          <cell r="AQ1032">
            <v>0</v>
          </cell>
          <cell r="AR1032">
            <v>0</v>
          </cell>
          <cell r="AS1032" t="str">
            <v>Ы</v>
          </cell>
          <cell r="AT1032" t="str">
            <v>Ы</v>
          </cell>
          <cell r="AU1032">
            <v>0</v>
          </cell>
          <cell r="AV1032">
            <v>0</v>
          </cell>
          <cell r="AW1032">
            <v>23</v>
          </cell>
          <cell r="AX1032">
            <v>1</v>
          </cell>
          <cell r="AY1032">
            <v>0</v>
          </cell>
          <cell r="AZ1032">
            <v>0</v>
          </cell>
          <cell r="BA1032">
            <v>0</v>
          </cell>
          <cell r="BB1032">
            <v>0</v>
          </cell>
          <cell r="BC1032">
            <v>38828</v>
          </cell>
        </row>
        <row r="1033">
          <cell r="A1033">
            <v>2006</v>
          </cell>
          <cell r="B1033">
            <v>1</v>
          </cell>
          <cell r="C1033">
            <v>50</v>
          </cell>
          <cell r="D1033">
            <v>20</v>
          </cell>
          <cell r="E1033">
            <v>792020</v>
          </cell>
          <cell r="F1033">
            <v>0</v>
          </cell>
          <cell r="G1033" t="str">
            <v>Затраты по ШПЗ (основные)</v>
          </cell>
          <cell r="H1033">
            <v>2011</v>
          </cell>
          <cell r="I1033">
            <v>7920</v>
          </cell>
          <cell r="J1033">
            <v>40375.9</v>
          </cell>
          <cell r="K1033">
            <v>1</v>
          </cell>
          <cell r="L1033">
            <v>0</v>
          </cell>
          <cell r="M1033">
            <v>0</v>
          </cell>
          <cell r="N1033">
            <v>0</v>
          </cell>
          <cell r="R1033">
            <v>0</v>
          </cell>
          <cell r="S1033">
            <v>0</v>
          </cell>
          <cell r="T1033">
            <v>0</v>
          </cell>
          <cell r="U1033">
            <v>42</v>
          </cell>
          <cell r="V1033">
            <v>0</v>
          </cell>
          <cell r="W1033">
            <v>0</v>
          </cell>
          <cell r="AA1033">
            <v>0</v>
          </cell>
          <cell r="AB1033">
            <v>0</v>
          </cell>
          <cell r="AC1033">
            <v>0</v>
          </cell>
          <cell r="AD1033">
            <v>42</v>
          </cell>
          <cell r="AE1033">
            <v>280200</v>
          </cell>
          <cell r="AF1033">
            <v>0</v>
          </cell>
          <cell r="AI1033">
            <v>2223</v>
          </cell>
          <cell r="AK1033">
            <v>0</v>
          </cell>
          <cell r="AM1033">
            <v>177</v>
          </cell>
          <cell r="AN1033">
            <v>1</v>
          </cell>
          <cell r="AO1033">
            <v>393216</v>
          </cell>
          <cell r="AQ1033">
            <v>0</v>
          </cell>
          <cell r="AR1033">
            <v>0</v>
          </cell>
          <cell r="AS1033" t="str">
            <v>Ы</v>
          </cell>
          <cell r="AT1033" t="str">
            <v>Ы</v>
          </cell>
          <cell r="AU1033">
            <v>0</v>
          </cell>
          <cell r="AV1033">
            <v>0</v>
          </cell>
          <cell r="AW1033">
            <v>23</v>
          </cell>
          <cell r="AX1033">
            <v>1</v>
          </cell>
          <cell r="AY1033">
            <v>0</v>
          </cell>
          <cell r="AZ1033">
            <v>0</v>
          </cell>
          <cell r="BA1033">
            <v>0</v>
          </cell>
          <cell r="BB1033">
            <v>0</v>
          </cell>
          <cell r="BC1033">
            <v>38828</v>
          </cell>
        </row>
        <row r="1034">
          <cell r="A1034">
            <v>2006</v>
          </cell>
          <cell r="B1034">
            <v>1</v>
          </cell>
          <cell r="C1034">
            <v>51</v>
          </cell>
          <cell r="D1034">
            <v>20</v>
          </cell>
          <cell r="E1034">
            <v>792020</v>
          </cell>
          <cell r="F1034">
            <v>0</v>
          </cell>
          <cell r="G1034" t="str">
            <v>Затраты по ШПЗ (основные)</v>
          </cell>
          <cell r="H1034">
            <v>2011</v>
          </cell>
          <cell r="I1034">
            <v>7920</v>
          </cell>
          <cell r="J1034">
            <v>521147.39</v>
          </cell>
          <cell r="K1034">
            <v>1</v>
          </cell>
          <cell r="L1034">
            <v>0</v>
          </cell>
          <cell r="M1034">
            <v>0</v>
          </cell>
          <cell r="N1034">
            <v>0</v>
          </cell>
          <cell r="R1034">
            <v>0</v>
          </cell>
          <cell r="S1034">
            <v>0</v>
          </cell>
          <cell r="T1034">
            <v>0</v>
          </cell>
          <cell r="U1034">
            <v>42</v>
          </cell>
          <cell r="V1034">
            <v>0</v>
          </cell>
          <cell r="W1034">
            <v>0</v>
          </cell>
          <cell r="AA1034">
            <v>0</v>
          </cell>
          <cell r="AB1034">
            <v>0</v>
          </cell>
          <cell r="AC1034">
            <v>0</v>
          </cell>
          <cell r="AD1034">
            <v>42</v>
          </cell>
          <cell r="AE1034">
            <v>280400</v>
          </cell>
          <cell r="AF1034">
            <v>0</v>
          </cell>
          <cell r="AI1034">
            <v>2223</v>
          </cell>
          <cell r="AK1034">
            <v>0</v>
          </cell>
          <cell r="AM1034">
            <v>178</v>
          </cell>
          <cell r="AN1034">
            <v>1</v>
          </cell>
          <cell r="AO1034">
            <v>393216</v>
          </cell>
          <cell r="AQ1034">
            <v>0</v>
          </cell>
          <cell r="AR1034">
            <v>0</v>
          </cell>
          <cell r="AS1034" t="str">
            <v>Ы</v>
          </cell>
          <cell r="AT1034" t="str">
            <v>Ы</v>
          </cell>
          <cell r="AU1034">
            <v>0</v>
          </cell>
          <cell r="AV1034">
            <v>0</v>
          </cell>
          <cell r="AW1034">
            <v>23</v>
          </cell>
          <cell r="AX1034">
            <v>1</v>
          </cell>
          <cell r="AY1034">
            <v>0</v>
          </cell>
          <cell r="AZ1034">
            <v>0</v>
          </cell>
          <cell r="BA1034">
            <v>0</v>
          </cell>
          <cell r="BB1034">
            <v>0</v>
          </cell>
          <cell r="BC1034">
            <v>38828</v>
          </cell>
        </row>
        <row r="1035">
          <cell r="A1035">
            <v>2006</v>
          </cell>
          <cell r="B1035">
            <v>1</v>
          </cell>
          <cell r="C1035">
            <v>52</v>
          </cell>
          <cell r="D1035">
            <v>20</v>
          </cell>
          <cell r="E1035">
            <v>792020</v>
          </cell>
          <cell r="F1035">
            <v>0</v>
          </cell>
          <cell r="G1035" t="str">
            <v>Затраты по ШПЗ (основные)</v>
          </cell>
          <cell r="H1035">
            <v>2011</v>
          </cell>
          <cell r="I1035">
            <v>7920</v>
          </cell>
          <cell r="J1035">
            <v>136032.68</v>
          </cell>
          <cell r="K1035">
            <v>1</v>
          </cell>
          <cell r="L1035">
            <v>0</v>
          </cell>
          <cell r="M1035">
            <v>0</v>
          </cell>
          <cell r="N1035">
            <v>0</v>
          </cell>
          <cell r="R1035">
            <v>0</v>
          </cell>
          <cell r="S1035">
            <v>0</v>
          </cell>
          <cell r="T1035">
            <v>0</v>
          </cell>
          <cell r="U1035">
            <v>42</v>
          </cell>
          <cell r="V1035">
            <v>0</v>
          </cell>
          <cell r="W1035">
            <v>0</v>
          </cell>
          <cell r="AA1035">
            <v>0</v>
          </cell>
          <cell r="AB1035">
            <v>0</v>
          </cell>
          <cell r="AC1035">
            <v>0</v>
          </cell>
          <cell r="AD1035">
            <v>42</v>
          </cell>
          <cell r="AE1035">
            <v>281100</v>
          </cell>
          <cell r="AF1035">
            <v>0</v>
          </cell>
          <cell r="AI1035">
            <v>2223</v>
          </cell>
          <cell r="AK1035">
            <v>0</v>
          </cell>
          <cell r="AM1035">
            <v>179</v>
          </cell>
          <cell r="AN1035">
            <v>1</v>
          </cell>
          <cell r="AO1035">
            <v>393216</v>
          </cell>
          <cell r="AQ1035">
            <v>0</v>
          </cell>
          <cell r="AR1035">
            <v>0</v>
          </cell>
          <cell r="AS1035" t="str">
            <v>Ы</v>
          </cell>
          <cell r="AT1035" t="str">
            <v>Ы</v>
          </cell>
          <cell r="AU1035">
            <v>0</v>
          </cell>
          <cell r="AV1035">
            <v>0</v>
          </cell>
          <cell r="AW1035">
            <v>23</v>
          </cell>
          <cell r="AX1035">
            <v>1</v>
          </cell>
          <cell r="AY1035">
            <v>0</v>
          </cell>
          <cell r="AZ1035">
            <v>0</v>
          </cell>
          <cell r="BA1035">
            <v>0</v>
          </cell>
          <cell r="BB1035">
            <v>0</v>
          </cell>
          <cell r="BC1035">
            <v>38828</v>
          </cell>
        </row>
        <row r="1036">
          <cell r="A1036">
            <v>2006</v>
          </cell>
          <cell r="B1036">
            <v>1</v>
          </cell>
          <cell r="C1036">
            <v>53</v>
          </cell>
          <cell r="D1036">
            <v>20</v>
          </cell>
          <cell r="E1036">
            <v>792020</v>
          </cell>
          <cell r="F1036">
            <v>0</v>
          </cell>
          <cell r="G1036" t="str">
            <v>Затраты по ШПЗ (основные)</v>
          </cell>
          <cell r="H1036">
            <v>2011</v>
          </cell>
          <cell r="I1036">
            <v>7920</v>
          </cell>
          <cell r="J1036">
            <v>789.56</v>
          </cell>
          <cell r="K1036">
            <v>1</v>
          </cell>
          <cell r="L1036">
            <v>0</v>
          </cell>
          <cell r="M1036">
            <v>0</v>
          </cell>
          <cell r="N1036">
            <v>0</v>
          </cell>
          <cell r="R1036">
            <v>0</v>
          </cell>
          <cell r="S1036">
            <v>0</v>
          </cell>
          <cell r="T1036">
            <v>0</v>
          </cell>
          <cell r="U1036">
            <v>42</v>
          </cell>
          <cell r="V1036">
            <v>0</v>
          </cell>
          <cell r="W1036">
            <v>0</v>
          </cell>
          <cell r="AA1036">
            <v>0</v>
          </cell>
          <cell r="AB1036">
            <v>0</v>
          </cell>
          <cell r="AC1036">
            <v>0</v>
          </cell>
          <cell r="AD1036">
            <v>42</v>
          </cell>
          <cell r="AE1036">
            <v>281300</v>
          </cell>
          <cell r="AF1036">
            <v>0</v>
          </cell>
          <cell r="AI1036">
            <v>2223</v>
          </cell>
          <cell r="AK1036">
            <v>0</v>
          </cell>
          <cell r="AM1036">
            <v>180</v>
          </cell>
          <cell r="AN1036">
            <v>1</v>
          </cell>
          <cell r="AO1036">
            <v>393216</v>
          </cell>
          <cell r="AQ1036">
            <v>0</v>
          </cell>
          <cell r="AR1036">
            <v>0</v>
          </cell>
          <cell r="AS1036" t="str">
            <v>Ы</v>
          </cell>
          <cell r="AT1036" t="str">
            <v>Ы</v>
          </cell>
          <cell r="AU1036">
            <v>0</v>
          </cell>
          <cell r="AV1036">
            <v>0</v>
          </cell>
          <cell r="AW1036">
            <v>23</v>
          </cell>
          <cell r="AX1036">
            <v>1</v>
          </cell>
          <cell r="AY1036">
            <v>0</v>
          </cell>
          <cell r="AZ1036">
            <v>0</v>
          </cell>
          <cell r="BA1036">
            <v>0</v>
          </cell>
          <cell r="BB1036">
            <v>0</v>
          </cell>
          <cell r="BC1036">
            <v>38828</v>
          </cell>
        </row>
        <row r="1037">
          <cell r="A1037">
            <v>2006</v>
          </cell>
          <cell r="B1037">
            <v>1</v>
          </cell>
          <cell r="C1037">
            <v>54</v>
          </cell>
          <cell r="D1037">
            <v>20</v>
          </cell>
          <cell r="E1037">
            <v>792020</v>
          </cell>
          <cell r="F1037">
            <v>0</v>
          </cell>
          <cell r="G1037" t="str">
            <v>Затраты по ШПЗ (основные)</v>
          </cell>
          <cell r="H1037">
            <v>2011</v>
          </cell>
          <cell r="I1037">
            <v>7920</v>
          </cell>
          <cell r="J1037">
            <v>8318.48</v>
          </cell>
          <cell r="K1037">
            <v>1</v>
          </cell>
          <cell r="L1037">
            <v>0</v>
          </cell>
          <cell r="M1037">
            <v>0</v>
          </cell>
          <cell r="N1037">
            <v>0</v>
          </cell>
          <cell r="R1037">
            <v>0</v>
          </cell>
          <cell r="S1037">
            <v>0</v>
          </cell>
          <cell r="T1037">
            <v>0</v>
          </cell>
          <cell r="U1037">
            <v>42</v>
          </cell>
          <cell r="V1037">
            <v>0</v>
          </cell>
          <cell r="W1037">
            <v>0</v>
          </cell>
          <cell r="AA1037">
            <v>0</v>
          </cell>
          <cell r="AB1037">
            <v>0</v>
          </cell>
          <cell r="AC1037">
            <v>0</v>
          </cell>
          <cell r="AD1037">
            <v>42</v>
          </cell>
          <cell r="AE1037">
            <v>282000</v>
          </cell>
          <cell r="AF1037">
            <v>0</v>
          </cell>
          <cell r="AI1037">
            <v>2223</v>
          </cell>
          <cell r="AK1037">
            <v>0</v>
          </cell>
          <cell r="AM1037">
            <v>181</v>
          </cell>
          <cell r="AN1037">
            <v>1</v>
          </cell>
          <cell r="AO1037">
            <v>393216</v>
          </cell>
          <cell r="AQ1037">
            <v>0</v>
          </cell>
          <cell r="AR1037">
            <v>0</v>
          </cell>
          <cell r="AS1037" t="str">
            <v>Ы</v>
          </cell>
          <cell r="AT1037" t="str">
            <v>Ы</v>
          </cell>
          <cell r="AU1037">
            <v>0</v>
          </cell>
          <cell r="AV1037">
            <v>0</v>
          </cell>
          <cell r="AW1037">
            <v>23</v>
          </cell>
          <cell r="AX1037">
            <v>1</v>
          </cell>
          <cell r="AY1037">
            <v>0</v>
          </cell>
          <cell r="AZ1037">
            <v>0</v>
          </cell>
          <cell r="BA1037">
            <v>0</v>
          </cell>
          <cell r="BB1037">
            <v>0</v>
          </cell>
          <cell r="BC1037">
            <v>38828</v>
          </cell>
        </row>
        <row r="1038">
          <cell r="A1038">
            <v>2006</v>
          </cell>
          <cell r="B1038">
            <v>1</v>
          </cell>
          <cell r="C1038">
            <v>55</v>
          </cell>
          <cell r="D1038">
            <v>20</v>
          </cell>
          <cell r="E1038">
            <v>792020</v>
          </cell>
          <cell r="F1038">
            <v>0</v>
          </cell>
          <cell r="G1038" t="str">
            <v>Затраты по ШПЗ (основные)</v>
          </cell>
          <cell r="H1038">
            <v>2011</v>
          </cell>
          <cell r="I1038">
            <v>7920</v>
          </cell>
          <cell r="J1038">
            <v>25240.62</v>
          </cell>
          <cell r="K1038">
            <v>1</v>
          </cell>
          <cell r="L1038">
            <v>0</v>
          </cell>
          <cell r="M1038">
            <v>0</v>
          </cell>
          <cell r="N1038">
            <v>0</v>
          </cell>
          <cell r="R1038">
            <v>0</v>
          </cell>
          <cell r="S1038">
            <v>0</v>
          </cell>
          <cell r="T1038">
            <v>0</v>
          </cell>
          <cell r="U1038">
            <v>42</v>
          </cell>
          <cell r="V1038">
            <v>0</v>
          </cell>
          <cell r="W1038">
            <v>0</v>
          </cell>
          <cell r="AA1038">
            <v>0</v>
          </cell>
          <cell r="AB1038">
            <v>0</v>
          </cell>
          <cell r="AC1038">
            <v>0</v>
          </cell>
          <cell r="AD1038">
            <v>42</v>
          </cell>
          <cell r="AE1038">
            <v>282200</v>
          </cell>
          <cell r="AF1038">
            <v>0</v>
          </cell>
          <cell r="AI1038">
            <v>2223</v>
          </cell>
          <cell r="AK1038">
            <v>0</v>
          </cell>
          <cell r="AM1038">
            <v>182</v>
          </cell>
          <cell r="AN1038">
            <v>1</v>
          </cell>
          <cell r="AO1038">
            <v>393216</v>
          </cell>
          <cell r="AQ1038">
            <v>0</v>
          </cell>
          <cell r="AR1038">
            <v>0</v>
          </cell>
          <cell r="AS1038" t="str">
            <v>Ы</v>
          </cell>
          <cell r="AT1038" t="str">
            <v>Ы</v>
          </cell>
          <cell r="AU1038">
            <v>0</v>
          </cell>
          <cell r="AV1038">
            <v>0</v>
          </cell>
          <cell r="AW1038">
            <v>23</v>
          </cell>
          <cell r="AX1038">
            <v>1</v>
          </cell>
          <cell r="AY1038">
            <v>0</v>
          </cell>
          <cell r="AZ1038">
            <v>0</v>
          </cell>
          <cell r="BA1038">
            <v>0</v>
          </cell>
          <cell r="BB1038">
            <v>0</v>
          </cell>
          <cell r="BC1038">
            <v>38828</v>
          </cell>
        </row>
        <row r="1039">
          <cell r="A1039">
            <v>2006</v>
          </cell>
          <cell r="B1039">
            <v>1</v>
          </cell>
          <cell r="C1039">
            <v>56</v>
          </cell>
          <cell r="D1039">
            <v>20</v>
          </cell>
          <cell r="E1039">
            <v>792020</v>
          </cell>
          <cell r="F1039">
            <v>0</v>
          </cell>
          <cell r="G1039" t="str">
            <v>Затраты по ШПЗ (основные)</v>
          </cell>
          <cell r="H1039">
            <v>2011</v>
          </cell>
          <cell r="I1039">
            <v>7920</v>
          </cell>
          <cell r="J1039">
            <v>38632.44</v>
          </cell>
          <cell r="K1039">
            <v>1</v>
          </cell>
          <cell r="L1039">
            <v>0</v>
          </cell>
          <cell r="M1039">
            <v>0</v>
          </cell>
          <cell r="N1039">
            <v>0</v>
          </cell>
          <cell r="R1039">
            <v>0</v>
          </cell>
          <cell r="S1039">
            <v>0</v>
          </cell>
          <cell r="T1039">
            <v>0</v>
          </cell>
          <cell r="U1039">
            <v>42</v>
          </cell>
          <cell r="V1039">
            <v>0</v>
          </cell>
          <cell r="W1039">
            <v>0</v>
          </cell>
          <cell r="AA1039">
            <v>0</v>
          </cell>
          <cell r="AB1039">
            <v>0</v>
          </cell>
          <cell r="AC1039">
            <v>0</v>
          </cell>
          <cell r="AD1039">
            <v>42</v>
          </cell>
          <cell r="AE1039">
            <v>282400</v>
          </cell>
          <cell r="AF1039">
            <v>0</v>
          </cell>
          <cell r="AI1039">
            <v>2223</v>
          </cell>
          <cell r="AK1039">
            <v>0</v>
          </cell>
          <cell r="AM1039">
            <v>183</v>
          </cell>
          <cell r="AN1039">
            <v>1</v>
          </cell>
          <cell r="AO1039">
            <v>393216</v>
          </cell>
          <cell r="AQ1039">
            <v>0</v>
          </cell>
          <cell r="AR1039">
            <v>0</v>
          </cell>
          <cell r="AS1039" t="str">
            <v>Ы</v>
          </cell>
          <cell r="AT1039" t="str">
            <v>Ы</v>
          </cell>
          <cell r="AU1039">
            <v>0</v>
          </cell>
          <cell r="AV1039">
            <v>0</v>
          </cell>
          <cell r="AW1039">
            <v>23</v>
          </cell>
          <cell r="AX1039">
            <v>1</v>
          </cell>
          <cell r="AY1039">
            <v>0</v>
          </cell>
          <cell r="AZ1039">
            <v>0</v>
          </cell>
          <cell r="BA1039">
            <v>0</v>
          </cell>
          <cell r="BB1039">
            <v>0</v>
          </cell>
          <cell r="BC1039">
            <v>38828</v>
          </cell>
        </row>
        <row r="1040">
          <cell r="A1040">
            <v>2006</v>
          </cell>
          <cell r="B1040">
            <v>1</v>
          </cell>
          <cell r="C1040">
            <v>57</v>
          </cell>
          <cell r="D1040">
            <v>20</v>
          </cell>
          <cell r="E1040">
            <v>792020</v>
          </cell>
          <cell r="F1040">
            <v>0</v>
          </cell>
          <cell r="G1040" t="str">
            <v>Затраты по ШПЗ (основные)</v>
          </cell>
          <cell r="H1040">
            <v>2011</v>
          </cell>
          <cell r="I1040">
            <v>7920</v>
          </cell>
          <cell r="J1040">
            <v>202778</v>
          </cell>
          <cell r="K1040">
            <v>1</v>
          </cell>
          <cell r="L1040">
            <v>0</v>
          </cell>
          <cell r="M1040">
            <v>0</v>
          </cell>
          <cell r="N1040">
            <v>0</v>
          </cell>
          <cell r="R1040">
            <v>0</v>
          </cell>
          <cell r="S1040">
            <v>0</v>
          </cell>
          <cell r="T1040">
            <v>0</v>
          </cell>
          <cell r="U1040">
            <v>42</v>
          </cell>
          <cell r="V1040">
            <v>0</v>
          </cell>
          <cell r="W1040">
            <v>0</v>
          </cell>
          <cell r="AA1040">
            <v>0</v>
          </cell>
          <cell r="AB1040">
            <v>0</v>
          </cell>
          <cell r="AC1040">
            <v>0</v>
          </cell>
          <cell r="AD1040">
            <v>42</v>
          </cell>
          <cell r="AE1040">
            <v>283000</v>
          </cell>
          <cell r="AF1040">
            <v>0</v>
          </cell>
          <cell r="AI1040">
            <v>2223</v>
          </cell>
          <cell r="AK1040">
            <v>0</v>
          </cell>
          <cell r="AM1040">
            <v>184</v>
          </cell>
          <cell r="AN1040">
            <v>1</v>
          </cell>
          <cell r="AO1040">
            <v>393216</v>
          </cell>
          <cell r="AQ1040">
            <v>0</v>
          </cell>
          <cell r="AR1040">
            <v>0</v>
          </cell>
          <cell r="AS1040" t="str">
            <v>Ы</v>
          </cell>
          <cell r="AT1040" t="str">
            <v>Ы</v>
          </cell>
          <cell r="AU1040">
            <v>0</v>
          </cell>
          <cell r="AV1040">
            <v>0</v>
          </cell>
          <cell r="AW1040">
            <v>23</v>
          </cell>
          <cell r="AX1040">
            <v>1</v>
          </cell>
          <cell r="AY1040">
            <v>0</v>
          </cell>
          <cell r="AZ1040">
            <v>0</v>
          </cell>
          <cell r="BA1040">
            <v>0</v>
          </cell>
          <cell r="BB1040">
            <v>0</v>
          </cell>
          <cell r="BC1040">
            <v>38828</v>
          </cell>
        </row>
        <row r="1041">
          <cell r="A1041">
            <v>2006</v>
          </cell>
          <cell r="B1041">
            <v>1</v>
          </cell>
          <cell r="C1041">
            <v>58</v>
          </cell>
          <cell r="D1041">
            <v>20</v>
          </cell>
          <cell r="E1041">
            <v>792020</v>
          </cell>
          <cell r="F1041">
            <v>0</v>
          </cell>
          <cell r="G1041" t="str">
            <v>Затраты по ШПЗ (основные)</v>
          </cell>
          <cell r="H1041">
            <v>2011</v>
          </cell>
          <cell r="I1041">
            <v>7920</v>
          </cell>
          <cell r="J1041">
            <v>45434.1</v>
          </cell>
          <cell r="K1041">
            <v>1</v>
          </cell>
          <cell r="L1041">
            <v>0</v>
          </cell>
          <cell r="M1041">
            <v>0</v>
          </cell>
          <cell r="N1041">
            <v>0</v>
          </cell>
          <cell r="R1041">
            <v>0</v>
          </cell>
          <cell r="S1041">
            <v>0</v>
          </cell>
          <cell r="T1041">
            <v>0</v>
          </cell>
          <cell r="U1041">
            <v>42</v>
          </cell>
          <cell r="V1041">
            <v>0</v>
          </cell>
          <cell r="W1041">
            <v>0</v>
          </cell>
          <cell r="AA1041">
            <v>0</v>
          </cell>
          <cell r="AB1041">
            <v>0</v>
          </cell>
          <cell r="AC1041">
            <v>0</v>
          </cell>
          <cell r="AD1041">
            <v>42</v>
          </cell>
          <cell r="AE1041">
            <v>285000</v>
          </cell>
          <cell r="AF1041">
            <v>0</v>
          </cell>
          <cell r="AI1041">
            <v>2223</v>
          </cell>
          <cell r="AK1041">
            <v>0</v>
          </cell>
          <cell r="AM1041">
            <v>185</v>
          </cell>
          <cell r="AN1041">
            <v>1</v>
          </cell>
          <cell r="AO1041">
            <v>393216</v>
          </cell>
          <cell r="AQ1041">
            <v>0</v>
          </cell>
          <cell r="AR1041">
            <v>0</v>
          </cell>
          <cell r="AS1041" t="str">
            <v>Ы</v>
          </cell>
          <cell r="AT1041" t="str">
            <v>Ы</v>
          </cell>
          <cell r="AU1041">
            <v>0</v>
          </cell>
          <cell r="AV1041">
            <v>0</v>
          </cell>
          <cell r="AW1041">
            <v>23</v>
          </cell>
          <cell r="AX1041">
            <v>1</v>
          </cell>
          <cell r="AY1041">
            <v>0</v>
          </cell>
          <cell r="AZ1041">
            <v>0</v>
          </cell>
          <cell r="BA1041">
            <v>0</v>
          </cell>
          <cell r="BB1041">
            <v>0</v>
          </cell>
          <cell r="BC1041">
            <v>38828</v>
          </cell>
        </row>
        <row r="1042">
          <cell r="A1042">
            <v>2006</v>
          </cell>
          <cell r="B1042">
            <v>1</v>
          </cell>
          <cell r="C1042">
            <v>59</v>
          </cell>
          <cell r="D1042">
            <v>20</v>
          </cell>
          <cell r="E1042">
            <v>792020</v>
          </cell>
          <cell r="F1042">
            <v>0</v>
          </cell>
          <cell r="G1042" t="str">
            <v>Затраты по ШПЗ (основные)</v>
          </cell>
          <cell r="H1042">
            <v>2011</v>
          </cell>
          <cell r="I1042">
            <v>7920</v>
          </cell>
          <cell r="J1042">
            <v>457125.96</v>
          </cell>
          <cell r="K1042">
            <v>1</v>
          </cell>
          <cell r="L1042">
            <v>0</v>
          </cell>
          <cell r="M1042">
            <v>0</v>
          </cell>
          <cell r="N1042">
            <v>0</v>
          </cell>
          <cell r="R1042">
            <v>0</v>
          </cell>
          <cell r="S1042">
            <v>0</v>
          </cell>
          <cell r="T1042">
            <v>0</v>
          </cell>
          <cell r="U1042">
            <v>42</v>
          </cell>
          <cell r="V1042">
            <v>0</v>
          </cell>
          <cell r="W1042">
            <v>0</v>
          </cell>
          <cell r="AA1042">
            <v>0</v>
          </cell>
          <cell r="AB1042">
            <v>0</v>
          </cell>
          <cell r="AC1042">
            <v>0</v>
          </cell>
          <cell r="AD1042">
            <v>42</v>
          </cell>
          <cell r="AE1042">
            <v>311000</v>
          </cell>
          <cell r="AF1042">
            <v>0</v>
          </cell>
          <cell r="AI1042">
            <v>2223</v>
          </cell>
          <cell r="AK1042">
            <v>0</v>
          </cell>
          <cell r="AM1042">
            <v>186</v>
          </cell>
          <cell r="AN1042">
            <v>1</v>
          </cell>
          <cell r="AO1042">
            <v>393216</v>
          </cell>
          <cell r="AQ1042">
            <v>0</v>
          </cell>
          <cell r="AR1042">
            <v>0</v>
          </cell>
          <cell r="AS1042" t="str">
            <v>Ы</v>
          </cell>
          <cell r="AT1042" t="str">
            <v>Ы</v>
          </cell>
          <cell r="AU1042">
            <v>0</v>
          </cell>
          <cell r="AV1042">
            <v>0</v>
          </cell>
          <cell r="AW1042">
            <v>23</v>
          </cell>
          <cell r="AX1042">
            <v>1</v>
          </cell>
          <cell r="AY1042">
            <v>0</v>
          </cell>
          <cell r="AZ1042">
            <v>0</v>
          </cell>
          <cell r="BA1042">
            <v>0</v>
          </cell>
          <cell r="BB1042">
            <v>0</v>
          </cell>
          <cell r="BC1042">
            <v>38828</v>
          </cell>
        </row>
        <row r="1043">
          <cell r="A1043">
            <v>2006</v>
          </cell>
          <cell r="B1043">
            <v>1</v>
          </cell>
          <cell r="C1043">
            <v>60</v>
          </cell>
          <cell r="D1043">
            <v>20</v>
          </cell>
          <cell r="E1043">
            <v>792020</v>
          </cell>
          <cell r="F1043">
            <v>0</v>
          </cell>
          <cell r="G1043" t="str">
            <v>Затраты по ШПЗ (основные)</v>
          </cell>
          <cell r="H1043">
            <v>2011</v>
          </cell>
          <cell r="I1043">
            <v>7920</v>
          </cell>
          <cell r="J1043">
            <v>3154579.07</v>
          </cell>
          <cell r="K1043">
            <v>1</v>
          </cell>
          <cell r="L1043">
            <v>0</v>
          </cell>
          <cell r="M1043">
            <v>0</v>
          </cell>
          <cell r="N1043">
            <v>0</v>
          </cell>
          <cell r="R1043">
            <v>0</v>
          </cell>
          <cell r="S1043">
            <v>0</v>
          </cell>
          <cell r="T1043">
            <v>0</v>
          </cell>
          <cell r="U1043">
            <v>42</v>
          </cell>
          <cell r="V1043">
            <v>0</v>
          </cell>
          <cell r="W1043">
            <v>0</v>
          </cell>
          <cell r="AA1043">
            <v>0</v>
          </cell>
          <cell r="AB1043">
            <v>0</v>
          </cell>
          <cell r="AC1043">
            <v>0</v>
          </cell>
          <cell r="AD1043">
            <v>42</v>
          </cell>
          <cell r="AE1043">
            <v>312000</v>
          </cell>
          <cell r="AF1043">
            <v>0</v>
          </cell>
          <cell r="AI1043">
            <v>2223</v>
          </cell>
          <cell r="AK1043">
            <v>0</v>
          </cell>
          <cell r="AM1043">
            <v>187</v>
          </cell>
          <cell r="AN1043">
            <v>1</v>
          </cell>
          <cell r="AO1043">
            <v>393216</v>
          </cell>
          <cell r="AQ1043">
            <v>0</v>
          </cell>
          <cell r="AR1043">
            <v>0</v>
          </cell>
          <cell r="AS1043" t="str">
            <v>Ы</v>
          </cell>
          <cell r="AT1043" t="str">
            <v>Ы</v>
          </cell>
          <cell r="AU1043">
            <v>0</v>
          </cell>
          <cell r="AV1043">
            <v>0</v>
          </cell>
          <cell r="AW1043">
            <v>23</v>
          </cell>
          <cell r="AX1043">
            <v>1</v>
          </cell>
          <cell r="AY1043">
            <v>0</v>
          </cell>
          <cell r="AZ1043">
            <v>0</v>
          </cell>
          <cell r="BA1043">
            <v>0</v>
          </cell>
          <cell r="BB1043">
            <v>0</v>
          </cell>
          <cell r="BC1043">
            <v>38828</v>
          </cell>
        </row>
        <row r="1044">
          <cell r="A1044">
            <v>2006</v>
          </cell>
          <cell r="B1044">
            <v>1</v>
          </cell>
          <cell r="C1044">
            <v>61</v>
          </cell>
          <cell r="D1044">
            <v>20</v>
          </cell>
          <cell r="E1044">
            <v>792020</v>
          </cell>
          <cell r="F1044">
            <v>0</v>
          </cell>
          <cell r="G1044" t="str">
            <v>Затраты по ШПЗ (основные)</v>
          </cell>
          <cell r="H1044">
            <v>2011</v>
          </cell>
          <cell r="I1044">
            <v>7920</v>
          </cell>
          <cell r="J1044">
            <v>173091.58</v>
          </cell>
          <cell r="K1044">
            <v>1</v>
          </cell>
          <cell r="L1044">
            <v>0</v>
          </cell>
          <cell r="M1044">
            <v>0</v>
          </cell>
          <cell r="N1044">
            <v>0</v>
          </cell>
          <cell r="R1044">
            <v>0</v>
          </cell>
          <cell r="S1044">
            <v>0</v>
          </cell>
          <cell r="T1044">
            <v>0</v>
          </cell>
          <cell r="U1044">
            <v>42</v>
          </cell>
          <cell r="V1044">
            <v>0</v>
          </cell>
          <cell r="W1044">
            <v>0</v>
          </cell>
          <cell r="AA1044">
            <v>0</v>
          </cell>
          <cell r="AB1044">
            <v>0</v>
          </cell>
          <cell r="AC1044">
            <v>0</v>
          </cell>
          <cell r="AD1044">
            <v>42</v>
          </cell>
          <cell r="AE1044">
            <v>313000</v>
          </cell>
          <cell r="AF1044">
            <v>0</v>
          </cell>
          <cell r="AI1044">
            <v>2223</v>
          </cell>
          <cell r="AK1044">
            <v>0</v>
          </cell>
          <cell r="AM1044">
            <v>188</v>
          </cell>
          <cell r="AN1044">
            <v>1</v>
          </cell>
          <cell r="AO1044">
            <v>393216</v>
          </cell>
          <cell r="AQ1044">
            <v>0</v>
          </cell>
          <cell r="AR1044">
            <v>0</v>
          </cell>
          <cell r="AS1044" t="str">
            <v>Ы</v>
          </cell>
          <cell r="AT1044" t="str">
            <v>Ы</v>
          </cell>
          <cell r="AU1044">
            <v>0</v>
          </cell>
          <cell r="AV1044">
            <v>0</v>
          </cell>
          <cell r="AW1044">
            <v>23</v>
          </cell>
          <cell r="AX1044">
            <v>1</v>
          </cell>
          <cell r="AY1044">
            <v>0</v>
          </cell>
          <cell r="AZ1044">
            <v>0</v>
          </cell>
          <cell r="BA1044">
            <v>0</v>
          </cell>
          <cell r="BB1044">
            <v>0</v>
          </cell>
          <cell r="BC1044">
            <v>38828</v>
          </cell>
        </row>
        <row r="1045">
          <cell r="A1045">
            <v>2006</v>
          </cell>
          <cell r="B1045">
            <v>1</v>
          </cell>
          <cell r="C1045">
            <v>62</v>
          </cell>
          <cell r="D1045">
            <v>20</v>
          </cell>
          <cell r="E1045">
            <v>792020</v>
          </cell>
          <cell r="F1045">
            <v>0</v>
          </cell>
          <cell r="G1045" t="str">
            <v>Затраты по ШПЗ (основные)</v>
          </cell>
          <cell r="H1045">
            <v>2011</v>
          </cell>
          <cell r="I1045">
            <v>7920</v>
          </cell>
          <cell r="J1045">
            <v>315108.90000000002</v>
          </cell>
          <cell r="K1045">
            <v>1</v>
          </cell>
          <cell r="L1045">
            <v>0</v>
          </cell>
          <cell r="M1045">
            <v>0</v>
          </cell>
          <cell r="N1045">
            <v>0</v>
          </cell>
          <cell r="R1045">
            <v>0</v>
          </cell>
          <cell r="S1045">
            <v>0</v>
          </cell>
          <cell r="T1045">
            <v>0</v>
          </cell>
          <cell r="U1045">
            <v>42</v>
          </cell>
          <cell r="V1045">
            <v>0</v>
          </cell>
          <cell r="W1045">
            <v>0</v>
          </cell>
          <cell r="AA1045">
            <v>0</v>
          </cell>
          <cell r="AB1045">
            <v>0</v>
          </cell>
          <cell r="AC1045">
            <v>0</v>
          </cell>
          <cell r="AD1045">
            <v>42</v>
          </cell>
          <cell r="AE1045">
            <v>314000</v>
          </cell>
          <cell r="AF1045">
            <v>0</v>
          </cell>
          <cell r="AI1045">
            <v>2223</v>
          </cell>
          <cell r="AK1045">
            <v>0</v>
          </cell>
          <cell r="AM1045">
            <v>189</v>
          </cell>
          <cell r="AN1045">
            <v>1</v>
          </cell>
          <cell r="AO1045">
            <v>393216</v>
          </cell>
          <cell r="AQ1045">
            <v>0</v>
          </cell>
          <cell r="AR1045">
            <v>0</v>
          </cell>
          <cell r="AS1045" t="str">
            <v>Ы</v>
          </cell>
          <cell r="AT1045" t="str">
            <v>Ы</v>
          </cell>
          <cell r="AU1045">
            <v>0</v>
          </cell>
          <cell r="AV1045">
            <v>0</v>
          </cell>
          <cell r="AW1045">
            <v>23</v>
          </cell>
          <cell r="AX1045">
            <v>1</v>
          </cell>
          <cell r="AY1045">
            <v>0</v>
          </cell>
          <cell r="AZ1045">
            <v>0</v>
          </cell>
          <cell r="BA1045">
            <v>0</v>
          </cell>
          <cell r="BB1045">
            <v>0</v>
          </cell>
          <cell r="BC1045">
            <v>38828</v>
          </cell>
        </row>
        <row r="1046">
          <cell r="A1046">
            <v>2006</v>
          </cell>
          <cell r="B1046">
            <v>1</v>
          </cell>
          <cell r="C1046">
            <v>63</v>
          </cell>
          <cell r="D1046">
            <v>20</v>
          </cell>
          <cell r="E1046">
            <v>792020</v>
          </cell>
          <cell r="F1046">
            <v>0</v>
          </cell>
          <cell r="G1046" t="str">
            <v>Затраты по ШПЗ (основные)</v>
          </cell>
          <cell r="H1046">
            <v>2011</v>
          </cell>
          <cell r="I1046">
            <v>7920</v>
          </cell>
          <cell r="J1046">
            <v>63082.98</v>
          </cell>
          <cell r="K1046">
            <v>1</v>
          </cell>
          <cell r="L1046">
            <v>0</v>
          </cell>
          <cell r="M1046">
            <v>0</v>
          </cell>
          <cell r="N1046">
            <v>0</v>
          </cell>
          <cell r="R1046">
            <v>0</v>
          </cell>
          <cell r="S1046">
            <v>0</v>
          </cell>
          <cell r="T1046">
            <v>0</v>
          </cell>
          <cell r="U1046">
            <v>42</v>
          </cell>
          <cell r="V1046">
            <v>0</v>
          </cell>
          <cell r="W1046">
            <v>0</v>
          </cell>
          <cell r="AA1046">
            <v>0</v>
          </cell>
          <cell r="AB1046">
            <v>0</v>
          </cell>
          <cell r="AC1046">
            <v>0</v>
          </cell>
          <cell r="AD1046">
            <v>42</v>
          </cell>
          <cell r="AE1046">
            <v>315000</v>
          </cell>
          <cell r="AF1046">
            <v>0</v>
          </cell>
          <cell r="AI1046">
            <v>2223</v>
          </cell>
          <cell r="AK1046">
            <v>0</v>
          </cell>
          <cell r="AM1046">
            <v>190</v>
          </cell>
          <cell r="AN1046">
            <v>1</v>
          </cell>
          <cell r="AO1046">
            <v>393216</v>
          </cell>
          <cell r="AQ1046">
            <v>0</v>
          </cell>
          <cell r="AR1046">
            <v>0</v>
          </cell>
          <cell r="AS1046" t="str">
            <v>Ы</v>
          </cell>
          <cell r="AT1046" t="str">
            <v>Ы</v>
          </cell>
          <cell r="AU1046">
            <v>0</v>
          </cell>
          <cell r="AV1046">
            <v>0</v>
          </cell>
          <cell r="AW1046">
            <v>23</v>
          </cell>
          <cell r="AX1046">
            <v>1</v>
          </cell>
          <cell r="AY1046">
            <v>0</v>
          </cell>
          <cell r="AZ1046">
            <v>0</v>
          </cell>
          <cell r="BA1046">
            <v>0</v>
          </cell>
          <cell r="BB1046">
            <v>0</v>
          </cell>
          <cell r="BC1046">
            <v>38828</v>
          </cell>
        </row>
        <row r="1047">
          <cell r="A1047">
            <v>2006</v>
          </cell>
          <cell r="B1047">
            <v>1</v>
          </cell>
          <cell r="C1047">
            <v>64</v>
          </cell>
          <cell r="D1047">
            <v>20</v>
          </cell>
          <cell r="E1047">
            <v>792020</v>
          </cell>
          <cell r="F1047">
            <v>0</v>
          </cell>
          <cell r="G1047" t="str">
            <v>Затраты по ШПЗ (основные)</v>
          </cell>
          <cell r="H1047">
            <v>2011</v>
          </cell>
          <cell r="I1047">
            <v>7920</v>
          </cell>
          <cell r="J1047">
            <v>7691603.0300000003</v>
          </cell>
          <cell r="K1047">
            <v>1</v>
          </cell>
          <cell r="L1047">
            <v>0</v>
          </cell>
          <cell r="M1047">
            <v>0</v>
          </cell>
          <cell r="N1047">
            <v>0</v>
          </cell>
          <cell r="R1047">
            <v>0</v>
          </cell>
          <cell r="S1047">
            <v>0</v>
          </cell>
          <cell r="T1047">
            <v>0</v>
          </cell>
          <cell r="U1047">
            <v>42</v>
          </cell>
          <cell r="V1047">
            <v>0</v>
          </cell>
          <cell r="W1047">
            <v>0</v>
          </cell>
          <cell r="AA1047">
            <v>0</v>
          </cell>
          <cell r="AB1047">
            <v>0</v>
          </cell>
          <cell r="AC1047">
            <v>0</v>
          </cell>
          <cell r="AD1047">
            <v>42</v>
          </cell>
          <cell r="AE1047">
            <v>410000</v>
          </cell>
          <cell r="AF1047">
            <v>0</v>
          </cell>
          <cell r="AI1047">
            <v>2223</v>
          </cell>
          <cell r="AK1047">
            <v>0</v>
          </cell>
          <cell r="AM1047">
            <v>191</v>
          </cell>
          <cell r="AN1047">
            <v>1</v>
          </cell>
          <cell r="AO1047">
            <v>393216</v>
          </cell>
          <cell r="AQ1047">
            <v>0</v>
          </cell>
          <cell r="AR1047">
            <v>0</v>
          </cell>
          <cell r="AS1047" t="str">
            <v>Ы</v>
          </cell>
          <cell r="AT1047" t="str">
            <v>Ы</v>
          </cell>
          <cell r="AU1047">
            <v>0</v>
          </cell>
          <cell r="AV1047">
            <v>0</v>
          </cell>
          <cell r="AW1047">
            <v>23</v>
          </cell>
          <cell r="AX1047">
            <v>1</v>
          </cell>
          <cell r="AY1047">
            <v>0</v>
          </cell>
          <cell r="AZ1047">
            <v>0</v>
          </cell>
          <cell r="BA1047">
            <v>0</v>
          </cell>
          <cell r="BB1047">
            <v>0</v>
          </cell>
          <cell r="BC1047">
            <v>38828</v>
          </cell>
        </row>
        <row r="1048">
          <cell r="A1048">
            <v>2006</v>
          </cell>
          <cell r="B1048">
            <v>1</v>
          </cell>
          <cell r="C1048">
            <v>65</v>
          </cell>
          <cell r="D1048">
            <v>20</v>
          </cell>
          <cell r="E1048">
            <v>792020</v>
          </cell>
          <cell r="F1048">
            <v>0</v>
          </cell>
          <cell r="G1048" t="str">
            <v>Затраты по ШПЗ (основные)</v>
          </cell>
          <cell r="H1048">
            <v>2011</v>
          </cell>
          <cell r="I1048">
            <v>7920</v>
          </cell>
          <cell r="J1048">
            <v>1384634.82</v>
          </cell>
          <cell r="K1048">
            <v>1</v>
          </cell>
          <cell r="L1048">
            <v>0</v>
          </cell>
          <cell r="M1048">
            <v>0</v>
          </cell>
          <cell r="N1048">
            <v>0</v>
          </cell>
          <cell r="R1048">
            <v>0</v>
          </cell>
          <cell r="S1048">
            <v>0</v>
          </cell>
          <cell r="T1048">
            <v>0</v>
          </cell>
          <cell r="U1048">
            <v>42</v>
          </cell>
          <cell r="V1048">
            <v>0</v>
          </cell>
          <cell r="W1048">
            <v>0</v>
          </cell>
          <cell r="AA1048">
            <v>0</v>
          </cell>
          <cell r="AB1048">
            <v>0</v>
          </cell>
          <cell r="AC1048">
            <v>0</v>
          </cell>
          <cell r="AD1048">
            <v>42</v>
          </cell>
          <cell r="AE1048">
            <v>420000</v>
          </cell>
          <cell r="AF1048">
            <v>0</v>
          </cell>
          <cell r="AI1048">
            <v>2223</v>
          </cell>
          <cell r="AK1048">
            <v>0</v>
          </cell>
          <cell r="AM1048">
            <v>192</v>
          </cell>
          <cell r="AN1048">
            <v>1</v>
          </cell>
          <cell r="AO1048">
            <v>393216</v>
          </cell>
          <cell r="AQ1048">
            <v>0</v>
          </cell>
          <cell r="AR1048">
            <v>0</v>
          </cell>
          <cell r="AS1048" t="str">
            <v>Ы</v>
          </cell>
          <cell r="AT1048" t="str">
            <v>Ы</v>
          </cell>
          <cell r="AU1048">
            <v>0</v>
          </cell>
          <cell r="AV1048">
            <v>0</v>
          </cell>
          <cell r="AW1048">
            <v>23</v>
          </cell>
          <cell r="AX1048">
            <v>1</v>
          </cell>
          <cell r="AY1048">
            <v>0</v>
          </cell>
          <cell r="AZ1048">
            <v>0</v>
          </cell>
          <cell r="BA1048">
            <v>0</v>
          </cell>
          <cell r="BB1048">
            <v>0</v>
          </cell>
          <cell r="BC1048">
            <v>38828</v>
          </cell>
        </row>
        <row r="1049">
          <cell r="A1049">
            <v>2006</v>
          </cell>
          <cell r="B1049">
            <v>1</v>
          </cell>
          <cell r="C1049">
            <v>66</v>
          </cell>
          <cell r="D1049">
            <v>20</v>
          </cell>
          <cell r="E1049">
            <v>792020</v>
          </cell>
          <cell r="F1049">
            <v>0</v>
          </cell>
          <cell r="G1049" t="str">
            <v>Затраты по ШПЗ (основные)</v>
          </cell>
          <cell r="H1049">
            <v>2011</v>
          </cell>
          <cell r="I1049">
            <v>7920</v>
          </cell>
          <cell r="J1049">
            <v>26867635.120000001</v>
          </cell>
          <cell r="K1049">
            <v>1</v>
          </cell>
          <cell r="L1049">
            <v>0</v>
          </cell>
          <cell r="M1049">
            <v>0</v>
          </cell>
          <cell r="N1049">
            <v>0</v>
          </cell>
          <cell r="R1049">
            <v>0</v>
          </cell>
          <cell r="S1049">
            <v>0</v>
          </cell>
          <cell r="T1049">
            <v>0</v>
          </cell>
          <cell r="U1049">
            <v>42</v>
          </cell>
          <cell r="V1049">
            <v>0</v>
          </cell>
          <cell r="W1049">
            <v>0</v>
          </cell>
          <cell r="AA1049">
            <v>0</v>
          </cell>
          <cell r="AB1049">
            <v>0</v>
          </cell>
          <cell r="AC1049">
            <v>0</v>
          </cell>
          <cell r="AD1049">
            <v>42</v>
          </cell>
          <cell r="AE1049">
            <v>430000</v>
          </cell>
          <cell r="AF1049">
            <v>0</v>
          </cell>
          <cell r="AI1049">
            <v>2223</v>
          </cell>
          <cell r="AK1049">
            <v>0</v>
          </cell>
          <cell r="AM1049">
            <v>193</v>
          </cell>
          <cell r="AN1049">
            <v>1</v>
          </cell>
          <cell r="AO1049">
            <v>393216</v>
          </cell>
          <cell r="AQ1049">
            <v>0</v>
          </cell>
          <cell r="AR1049">
            <v>0</v>
          </cell>
          <cell r="AS1049" t="str">
            <v>Ы</v>
          </cell>
          <cell r="AT1049" t="str">
            <v>Ы</v>
          </cell>
          <cell r="AU1049">
            <v>0</v>
          </cell>
          <cell r="AV1049">
            <v>0</v>
          </cell>
          <cell r="AW1049">
            <v>23</v>
          </cell>
          <cell r="AX1049">
            <v>1</v>
          </cell>
          <cell r="AY1049">
            <v>0</v>
          </cell>
          <cell r="AZ1049">
            <v>0</v>
          </cell>
          <cell r="BA1049">
            <v>0</v>
          </cell>
          <cell r="BB1049">
            <v>0</v>
          </cell>
          <cell r="BC1049">
            <v>38828</v>
          </cell>
        </row>
        <row r="1050">
          <cell r="A1050">
            <v>2006</v>
          </cell>
          <cell r="B1050">
            <v>1</v>
          </cell>
          <cell r="C1050">
            <v>67</v>
          </cell>
          <cell r="D1050">
            <v>20</v>
          </cell>
          <cell r="E1050">
            <v>792020</v>
          </cell>
          <cell r="F1050">
            <v>0</v>
          </cell>
          <cell r="G1050" t="str">
            <v>Затраты по ШПЗ (основные)</v>
          </cell>
          <cell r="H1050">
            <v>2011</v>
          </cell>
          <cell r="I1050">
            <v>7920</v>
          </cell>
          <cell r="J1050">
            <v>250303.69</v>
          </cell>
          <cell r="K1050">
            <v>1</v>
          </cell>
          <cell r="L1050">
            <v>0</v>
          </cell>
          <cell r="M1050">
            <v>0</v>
          </cell>
          <cell r="N1050">
            <v>0</v>
          </cell>
          <cell r="R1050">
            <v>0</v>
          </cell>
          <cell r="S1050">
            <v>0</v>
          </cell>
          <cell r="T1050">
            <v>0</v>
          </cell>
          <cell r="U1050">
            <v>42</v>
          </cell>
          <cell r="V1050">
            <v>0</v>
          </cell>
          <cell r="W1050">
            <v>0</v>
          </cell>
          <cell r="AA1050">
            <v>0</v>
          </cell>
          <cell r="AB1050">
            <v>0</v>
          </cell>
          <cell r="AC1050">
            <v>0</v>
          </cell>
          <cell r="AD1050">
            <v>42</v>
          </cell>
          <cell r="AE1050">
            <v>450000</v>
          </cell>
          <cell r="AF1050">
            <v>0</v>
          </cell>
          <cell r="AI1050">
            <v>2223</v>
          </cell>
          <cell r="AK1050">
            <v>0</v>
          </cell>
          <cell r="AM1050">
            <v>194</v>
          </cell>
          <cell r="AN1050">
            <v>1</v>
          </cell>
          <cell r="AO1050">
            <v>393216</v>
          </cell>
          <cell r="AQ1050">
            <v>0</v>
          </cell>
          <cell r="AR1050">
            <v>0</v>
          </cell>
          <cell r="AS1050" t="str">
            <v>Ы</v>
          </cell>
          <cell r="AT1050" t="str">
            <v>Ы</v>
          </cell>
          <cell r="AU1050">
            <v>0</v>
          </cell>
          <cell r="AV1050">
            <v>0</v>
          </cell>
          <cell r="AW1050">
            <v>23</v>
          </cell>
          <cell r="AX1050">
            <v>1</v>
          </cell>
          <cell r="AY1050">
            <v>0</v>
          </cell>
          <cell r="AZ1050">
            <v>0</v>
          </cell>
          <cell r="BA1050">
            <v>0</v>
          </cell>
          <cell r="BB1050">
            <v>0</v>
          </cell>
          <cell r="BC1050">
            <v>38828</v>
          </cell>
        </row>
        <row r="1051">
          <cell r="A1051">
            <v>2006</v>
          </cell>
          <cell r="B1051">
            <v>1</v>
          </cell>
          <cell r="C1051">
            <v>68</v>
          </cell>
          <cell r="D1051">
            <v>20</v>
          </cell>
          <cell r="E1051">
            <v>792020</v>
          </cell>
          <cell r="F1051">
            <v>0</v>
          </cell>
          <cell r="G1051" t="str">
            <v>Затраты по ШПЗ (основные)</v>
          </cell>
          <cell r="H1051">
            <v>2011</v>
          </cell>
          <cell r="I1051">
            <v>7920</v>
          </cell>
          <cell r="J1051">
            <v>24174.44</v>
          </cell>
          <cell r="K1051">
            <v>1</v>
          </cell>
          <cell r="L1051">
            <v>0</v>
          </cell>
          <cell r="M1051">
            <v>0</v>
          </cell>
          <cell r="N1051">
            <v>0</v>
          </cell>
          <cell r="R1051">
            <v>0</v>
          </cell>
          <cell r="S1051">
            <v>0</v>
          </cell>
          <cell r="T1051">
            <v>0</v>
          </cell>
          <cell r="U1051">
            <v>42</v>
          </cell>
          <cell r="V1051">
            <v>0</v>
          </cell>
          <cell r="W1051">
            <v>0</v>
          </cell>
          <cell r="AA1051">
            <v>0</v>
          </cell>
          <cell r="AB1051">
            <v>0</v>
          </cell>
          <cell r="AC1051">
            <v>0</v>
          </cell>
          <cell r="AD1051">
            <v>42</v>
          </cell>
          <cell r="AE1051">
            <v>460000</v>
          </cell>
          <cell r="AF1051">
            <v>0</v>
          </cell>
          <cell r="AI1051">
            <v>2223</v>
          </cell>
          <cell r="AK1051">
            <v>0</v>
          </cell>
          <cell r="AM1051">
            <v>195</v>
          </cell>
          <cell r="AN1051">
            <v>1</v>
          </cell>
          <cell r="AO1051">
            <v>393216</v>
          </cell>
          <cell r="AQ1051">
            <v>0</v>
          </cell>
          <cell r="AR1051">
            <v>0</v>
          </cell>
          <cell r="AS1051" t="str">
            <v>Ы</v>
          </cell>
          <cell r="AT1051" t="str">
            <v>Ы</v>
          </cell>
          <cell r="AU1051">
            <v>0</v>
          </cell>
          <cell r="AV1051">
            <v>0</v>
          </cell>
          <cell r="AW1051">
            <v>23</v>
          </cell>
          <cell r="AX1051">
            <v>1</v>
          </cell>
          <cell r="AY1051">
            <v>0</v>
          </cell>
          <cell r="AZ1051">
            <v>0</v>
          </cell>
          <cell r="BA1051">
            <v>0</v>
          </cell>
          <cell r="BB1051">
            <v>0</v>
          </cell>
          <cell r="BC1051">
            <v>38828</v>
          </cell>
        </row>
        <row r="1052">
          <cell r="A1052">
            <v>2006</v>
          </cell>
          <cell r="B1052">
            <v>1</v>
          </cell>
          <cell r="C1052">
            <v>69</v>
          </cell>
          <cell r="D1052">
            <v>20</v>
          </cell>
          <cell r="E1052">
            <v>792020</v>
          </cell>
          <cell r="F1052">
            <v>0</v>
          </cell>
          <cell r="G1052" t="str">
            <v>Затраты по ШПЗ (основные)</v>
          </cell>
          <cell r="H1052">
            <v>2011</v>
          </cell>
          <cell r="I1052">
            <v>7920</v>
          </cell>
          <cell r="J1052">
            <v>10796.82</v>
          </cell>
          <cell r="K1052">
            <v>1</v>
          </cell>
          <cell r="L1052">
            <v>0</v>
          </cell>
          <cell r="M1052">
            <v>0</v>
          </cell>
          <cell r="N1052">
            <v>0</v>
          </cell>
          <cell r="R1052">
            <v>0</v>
          </cell>
          <cell r="S1052">
            <v>0</v>
          </cell>
          <cell r="T1052">
            <v>0</v>
          </cell>
          <cell r="U1052">
            <v>42</v>
          </cell>
          <cell r="V1052">
            <v>0</v>
          </cell>
          <cell r="W1052">
            <v>0</v>
          </cell>
          <cell r="AA1052">
            <v>0</v>
          </cell>
          <cell r="AB1052">
            <v>0</v>
          </cell>
          <cell r="AC1052">
            <v>0</v>
          </cell>
          <cell r="AD1052">
            <v>42</v>
          </cell>
          <cell r="AE1052">
            <v>465000</v>
          </cell>
          <cell r="AF1052">
            <v>0</v>
          </cell>
          <cell r="AI1052">
            <v>2223</v>
          </cell>
          <cell r="AK1052">
            <v>0</v>
          </cell>
          <cell r="AM1052">
            <v>196</v>
          </cell>
          <cell r="AN1052">
            <v>1</v>
          </cell>
          <cell r="AO1052">
            <v>393216</v>
          </cell>
          <cell r="AQ1052">
            <v>0</v>
          </cell>
          <cell r="AR1052">
            <v>0</v>
          </cell>
          <cell r="AS1052" t="str">
            <v>Ы</v>
          </cell>
          <cell r="AT1052" t="str">
            <v>Ы</v>
          </cell>
          <cell r="AU1052">
            <v>0</v>
          </cell>
          <cell r="AV1052">
            <v>0</v>
          </cell>
          <cell r="AW1052">
            <v>23</v>
          </cell>
          <cell r="AX1052">
            <v>1</v>
          </cell>
          <cell r="AY1052">
            <v>0</v>
          </cell>
          <cell r="AZ1052">
            <v>0</v>
          </cell>
          <cell r="BA1052">
            <v>0</v>
          </cell>
          <cell r="BB1052">
            <v>0</v>
          </cell>
          <cell r="BC1052">
            <v>38828</v>
          </cell>
        </row>
        <row r="1053">
          <cell r="A1053">
            <v>2006</v>
          </cell>
          <cell r="B1053">
            <v>1</v>
          </cell>
          <cell r="C1053">
            <v>70</v>
          </cell>
          <cell r="D1053">
            <v>20</v>
          </cell>
          <cell r="E1053">
            <v>792020</v>
          </cell>
          <cell r="F1053">
            <v>0</v>
          </cell>
          <cell r="G1053" t="str">
            <v>Затраты по ШПЗ (основные)</v>
          </cell>
          <cell r="H1053">
            <v>2011</v>
          </cell>
          <cell r="I1053">
            <v>7920</v>
          </cell>
          <cell r="J1053">
            <v>1335321.32</v>
          </cell>
          <cell r="K1053">
            <v>1</v>
          </cell>
          <cell r="L1053">
            <v>0</v>
          </cell>
          <cell r="M1053">
            <v>0</v>
          </cell>
          <cell r="N1053">
            <v>0</v>
          </cell>
          <cell r="R1053">
            <v>0</v>
          </cell>
          <cell r="S1053">
            <v>0</v>
          </cell>
          <cell r="T1053">
            <v>0</v>
          </cell>
          <cell r="U1053">
            <v>42</v>
          </cell>
          <cell r="V1053">
            <v>0</v>
          </cell>
          <cell r="W1053">
            <v>0</v>
          </cell>
          <cell r="AA1053">
            <v>0</v>
          </cell>
          <cell r="AB1053">
            <v>0</v>
          </cell>
          <cell r="AC1053">
            <v>0</v>
          </cell>
          <cell r="AD1053">
            <v>42</v>
          </cell>
          <cell r="AE1053">
            <v>502100</v>
          </cell>
          <cell r="AF1053">
            <v>0</v>
          </cell>
          <cell r="AI1053">
            <v>2223</v>
          </cell>
          <cell r="AK1053">
            <v>0</v>
          </cell>
          <cell r="AM1053">
            <v>197</v>
          </cell>
          <cell r="AN1053">
            <v>1</v>
          </cell>
          <cell r="AO1053">
            <v>393216</v>
          </cell>
          <cell r="AQ1053">
            <v>0</v>
          </cell>
          <cell r="AR1053">
            <v>0</v>
          </cell>
          <cell r="AS1053" t="str">
            <v>Ы</v>
          </cell>
          <cell r="AT1053" t="str">
            <v>Ы</v>
          </cell>
          <cell r="AU1053">
            <v>0</v>
          </cell>
          <cell r="AV1053">
            <v>0</v>
          </cell>
          <cell r="AW1053">
            <v>23</v>
          </cell>
          <cell r="AX1053">
            <v>1</v>
          </cell>
          <cell r="AY1053">
            <v>0</v>
          </cell>
          <cell r="AZ1053">
            <v>0</v>
          </cell>
          <cell r="BA1053">
            <v>0</v>
          </cell>
          <cell r="BB1053">
            <v>0</v>
          </cell>
          <cell r="BC1053">
            <v>38828</v>
          </cell>
        </row>
        <row r="1054">
          <cell r="A1054">
            <v>2006</v>
          </cell>
          <cell r="B1054">
            <v>1</v>
          </cell>
          <cell r="C1054">
            <v>71</v>
          </cell>
          <cell r="D1054">
            <v>20</v>
          </cell>
          <cell r="E1054">
            <v>792020</v>
          </cell>
          <cell r="F1054">
            <v>0</v>
          </cell>
          <cell r="G1054" t="str">
            <v>Затраты по ШПЗ (основные)</v>
          </cell>
          <cell r="H1054">
            <v>2011</v>
          </cell>
          <cell r="I1054">
            <v>7920</v>
          </cell>
          <cell r="J1054">
            <v>6308.58</v>
          </cell>
          <cell r="K1054">
            <v>1</v>
          </cell>
          <cell r="L1054">
            <v>0</v>
          </cell>
          <cell r="M1054">
            <v>0</v>
          </cell>
          <cell r="N1054">
            <v>0</v>
          </cell>
          <cell r="R1054">
            <v>0</v>
          </cell>
          <cell r="S1054">
            <v>0</v>
          </cell>
          <cell r="T1054">
            <v>0</v>
          </cell>
          <cell r="U1054">
            <v>42</v>
          </cell>
          <cell r="V1054">
            <v>0</v>
          </cell>
          <cell r="W1054">
            <v>0</v>
          </cell>
          <cell r="AA1054">
            <v>0</v>
          </cell>
          <cell r="AB1054">
            <v>0</v>
          </cell>
          <cell r="AC1054">
            <v>0</v>
          </cell>
          <cell r="AD1054">
            <v>42</v>
          </cell>
          <cell r="AE1054">
            <v>502400</v>
          </cell>
          <cell r="AF1054">
            <v>0</v>
          </cell>
          <cell r="AI1054">
            <v>2223</v>
          </cell>
          <cell r="AK1054">
            <v>0</v>
          </cell>
          <cell r="AM1054">
            <v>198</v>
          </cell>
          <cell r="AN1054">
            <v>1</v>
          </cell>
          <cell r="AO1054">
            <v>393216</v>
          </cell>
          <cell r="AQ1054">
            <v>0</v>
          </cell>
          <cell r="AR1054">
            <v>0</v>
          </cell>
          <cell r="AS1054" t="str">
            <v>Ы</v>
          </cell>
          <cell r="AT1054" t="str">
            <v>Ы</v>
          </cell>
          <cell r="AU1054">
            <v>0</v>
          </cell>
          <cell r="AV1054">
            <v>0</v>
          </cell>
          <cell r="AW1054">
            <v>23</v>
          </cell>
          <cell r="AX1054">
            <v>1</v>
          </cell>
          <cell r="AY1054">
            <v>0</v>
          </cell>
          <cell r="AZ1054">
            <v>0</v>
          </cell>
          <cell r="BA1054">
            <v>0</v>
          </cell>
          <cell r="BB1054">
            <v>0</v>
          </cell>
          <cell r="BC1054">
            <v>38828</v>
          </cell>
        </row>
        <row r="1055">
          <cell r="A1055">
            <v>2006</v>
          </cell>
          <cell r="B1055">
            <v>1</v>
          </cell>
          <cell r="C1055">
            <v>72</v>
          </cell>
          <cell r="D1055">
            <v>20</v>
          </cell>
          <cell r="E1055">
            <v>792020</v>
          </cell>
          <cell r="F1055">
            <v>0</v>
          </cell>
          <cell r="G1055" t="str">
            <v>Затраты по ШПЗ (основные)</v>
          </cell>
          <cell r="H1055">
            <v>2011</v>
          </cell>
          <cell r="I1055">
            <v>7920</v>
          </cell>
          <cell r="J1055">
            <v>1455301.59</v>
          </cell>
          <cell r="K1055">
            <v>1</v>
          </cell>
          <cell r="L1055">
            <v>0</v>
          </cell>
          <cell r="M1055">
            <v>0</v>
          </cell>
          <cell r="N1055">
            <v>0</v>
          </cell>
          <cell r="R1055">
            <v>0</v>
          </cell>
          <cell r="S1055">
            <v>0</v>
          </cell>
          <cell r="T1055">
            <v>0</v>
          </cell>
          <cell r="U1055">
            <v>42</v>
          </cell>
          <cell r="V1055">
            <v>0</v>
          </cell>
          <cell r="W1055">
            <v>0</v>
          </cell>
          <cell r="AA1055">
            <v>0</v>
          </cell>
          <cell r="AB1055">
            <v>0</v>
          </cell>
          <cell r="AC1055">
            <v>0</v>
          </cell>
          <cell r="AD1055">
            <v>42</v>
          </cell>
          <cell r="AE1055">
            <v>503000</v>
          </cell>
          <cell r="AF1055">
            <v>0</v>
          </cell>
          <cell r="AI1055">
            <v>2223</v>
          </cell>
          <cell r="AK1055">
            <v>0</v>
          </cell>
          <cell r="AM1055">
            <v>199</v>
          </cell>
          <cell r="AN1055">
            <v>1</v>
          </cell>
          <cell r="AO1055">
            <v>393216</v>
          </cell>
          <cell r="AQ1055">
            <v>0</v>
          </cell>
          <cell r="AR1055">
            <v>0</v>
          </cell>
          <cell r="AS1055" t="str">
            <v>Ы</v>
          </cell>
          <cell r="AT1055" t="str">
            <v>Ы</v>
          </cell>
          <cell r="AU1055">
            <v>0</v>
          </cell>
          <cell r="AV1055">
            <v>0</v>
          </cell>
          <cell r="AW1055">
            <v>23</v>
          </cell>
          <cell r="AX1055">
            <v>1</v>
          </cell>
          <cell r="AY1055">
            <v>0</v>
          </cell>
          <cell r="AZ1055">
            <v>0</v>
          </cell>
          <cell r="BA1055">
            <v>0</v>
          </cell>
          <cell r="BB1055">
            <v>0</v>
          </cell>
          <cell r="BC1055">
            <v>38828</v>
          </cell>
        </row>
        <row r="1056">
          <cell r="A1056">
            <v>2006</v>
          </cell>
          <cell r="B1056">
            <v>1</v>
          </cell>
          <cell r="C1056">
            <v>73</v>
          </cell>
          <cell r="D1056">
            <v>20</v>
          </cell>
          <cell r="E1056">
            <v>792020</v>
          </cell>
          <cell r="F1056">
            <v>0</v>
          </cell>
          <cell r="G1056" t="str">
            <v>Затраты по ШПЗ (основные)</v>
          </cell>
          <cell r="H1056">
            <v>2011</v>
          </cell>
          <cell r="I1056">
            <v>7920</v>
          </cell>
          <cell r="J1056">
            <v>126068.99</v>
          </cell>
          <cell r="K1056">
            <v>1</v>
          </cell>
          <cell r="L1056">
            <v>0</v>
          </cell>
          <cell r="M1056">
            <v>0</v>
          </cell>
          <cell r="N1056">
            <v>0</v>
          </cell>
          <cell r="R1056">
            <v>0</v>
          </cell>
          <cell r="S1056">
            <v>0</v>
          </cell>
          <cell r="T1056">
            <v>0</v>
          </cell>
          <cell r="U1056">
            <v>42</v>
          </cell>
          <cell r="V1056">
            <v>0</v>
          </cell>
          <cell r="W1056">
            <v>0</v>
          </cell>
          <cell r="AA1056">
            <v>0</v>
          </cell>
          <cell r="AB1056">
            <v>0</v>
          </cell>
          <cell r="AC1056">
            <v>0</v>
          </cell>
          <cell r="AD1056">
            <v>42</v>
          </cell>
          <cell r="AE1056">
            <v>504900</v>
          </cell>
          <cell r="AF1056">
            <v>0</v>
          </cell>
          <cell r="AI1056">
            <v>2223</v>
          </cell>
          <cell r="AK1056">
            <v>0</v>
          </cell>
          <cell r="AM1056">
            <v>200</v>
          </cell>
          <cell r="AN1056">
            <v>1</v>
          </cell>
          <cell r="AO1056">
            <v>393216</v>
          </cell>
          <cell r="AQ1056">
            <v>0</v>
          </cell>
          <cell r="AR1056">
            <v>0</v>
          </cell>
          <cell r="AS1056" t="str">
            <v>Ы</v>
          </cell>
          <cell r="AT1056" t="str">
            <v>Ы</v>
          </cell>
          <cell r="AU1056">
            <v>0</v>
          </cell>
          <cell r="AV1056">
            <v>0</v>
          </cell>
          <cell r="AW1056">
            <v>23</v>
          </cell>
          <cell r="AX1056">
            <v>1</v>
          </cell>
          <cell r="AY1056">
            <v>0</v>
          </cell>
          <cell r="AZ1056">
            <v>0</v>
          </cell>
          <cell r="BA1056">
            <v>0</v>
          </cell>
          <cell r="BB1056">
            <v>0</v>
          </cell>
          <cell r="BC1056">
            <v>38828</v>
          </cell>
        </row>
        <row r="1057">
          <cell r="A1057">
            <v>2006</v>
          </cell>
          <cell r="B1057">
            <v>1</v>
          </cell>
          <cell r="C1057">
            <v>74</v>
          </cell>
          <cell r="D1057">
            <v>20</v>
          </cell>
          <cell r="E1057">
            <v>792020</v>
          </cell>
          <cell r="F1057">
            <v>0</v>
          </cell>
          <cell r="G1057" t="str">
            <v>Затраты по ШПЗ (основные)</v>
          </cell>
          <cell r="H1057">
            <v>2011</v>
          </cell>
          <cell r="I1057">
            <v>7920</v>
          </cell>
          <cell r="J1057">
            <v>146708.44</v>
          </cell>
          <cell r="K1057">
            <v>1</v>
          </cell>
          <cell r="L1057">
            <v>0</v>
          </cell>
          <cell r="M1057">
            <v>0</v>
          </cell>
          <cell r="N1057">
            <v>0</v>
          </cell>
          <cell r="R1057">
            <v>0</v>
          </cell>
          <cell r="S1057">
            <v>0</v>
          </cell>
          <cell r="T1057">
            <v>0</v>
          </cell>
          <cell r="U1057">
            <v>42</v>
          </cell>
          <cell r="V1057">
            <v>0</v>
          </cell>
          <cell r="W1057">
            <v>0</v>
          </cell>
          <cell r="AA1057">
            <v>0</v>
          </cell>
          <cell r="AB1057">
            <v>0</v>
          </cell>
          <cell r="AC1057">
            <v>0</v>
          </cell>
          <cell r="AD1057">
            <v>42</v>
          </cell>
          <cell r="AE1057">
            <v>505100</v>
          </cell>
          <cell r="AF1057">
            <v>0</v>
          </cell>
          <cell r="AI1057">
            <v>2223</v>
          </cell>
          <cell r="AK1057">
            <v>0</v>
          </cell>
          <cell r="AM1057">
            <v>201</v>
          </cell>
          <cell r="AN1057">
            <v>1</v>
          </cell>
          <cell r="AO1057">
            <v>393216</v>
          </cell>
          <cell r="AQ1057">
            <v>0</v>
          </cell>
          <cell r="AR1057">
            <v>0</v>
          </cell>
          <cell r="AS1057" t="str">
            <v>Ы</v>
          </cell>
          <cell r="AT1057" t="str">
            <v>Ы</v>
          </cell>
          <cell r="AU1057">
            <v>0</v>
          </cell>
          <cell r="AV1057">
            <v>0</v>
          </cell>
          <cell r="AW1057">
            <v>23</v>
          </cell>
          <cell r="AX1057">
            <v>1</v>
          </cell>
          <cell r="AY1057">
            <v>0</v>
          </cell>
          <cell r="AZ1057">
            <v>0</v>
          </cell>
          <cell r="BA1057">
            <v>0</v>
          </cell>
          <cell r="BB1057">
            <v>0</v>
          </cell>
          <cell r="BC1057">
            <v>38828</v>
          </cell>
        </row>
        <row r="1058">
          <cell r="A1058">
            <v>2006</v>
          </cell>
          <cell r="B1058">
            <v>1</v>
          </cell>
          <cell r="C1058">
            <v>75</v>
          </cell>
          <cell r="D1058">
            <v>20</v>
          </cell>
          <cell r="E1058">
            <v>792020</v>
          </cell>
          <cell r="F1058">
            <v>0</v>
          </cell>
          <cell r="G1058" t="str">
            <v>Затраты по ШПЗ (основные)</v>
          </cell>
          <cell r="H1058">
            <v>2011</v>
          </cell>
          <cell r="I1058">
            <v>7920</v>
          </cell>
          <cell r="J1058">
            <v>265089.07</v>
          </cell>
          <cell r="K1058">
            <v>1</v>
          </cell>
          <cell r="L1058">
            <v>0</v>
          </cell>
          <cell r="M1058">
            <v>0</v>
          </cell>
          <cell r="N1058">
            <v>0</v>
          </cell>
          <cell r="R1058">
            <v>0</v>
          </cell>
          <cell r="S1058">
            <v>0</v>
          </cell>
          <cell r="T1058">
            <v>0</v>
          </cell>
          <cell r="U1058">
            <v>42</v>
          </cell>
          <cell r="V1058">
            <v>0</v>
          </cell>
          <cell r="W1058">
            <v>0</v>
          </cell>
          <cell r="AA1058">
            <v>0</v>
          </cell>
          <cell r="AB1058">
            <v>0</v>
          </cell>
          <cell r="AC1058">
            <v>0</v>
          </cell>
          <cell r="AD1058">
            <v>42</v>
          </cell>
          <cell r="AE1058">
            <v>505200</v>
          </cell>
          <cell r="AF1058">
            <v>0</v>
          </cell>
          <cell r="AI1058">
            <v>2223</v>
          </cell>
          <cell r="AK1058">
            <v>0</v>
          </cell>
          <cell r="AM1058">
            <v>202</v>
          </cell>
          <cell r="AN1058">
            <v>1</v>
          </cell>
          <cell r="AO1058">
            <v>393216</v>
          </cell>
          <cell r="AQ1058">
            <v>0</v>
          </cell>
          <cell r="AR1058">
            <v>0</v>
          </cell>
          <cell r="AS1058" t="str">
            <v>Ы</v>
          </cell>
          <cell r="AT1058" t="str">
            <v>Ы</v>
          </cell>
          <cell r="AU1058">
            <v>0</v>
          </cell>
          <cell r="AV1058">
            <v>0</v>
          </cell>
          <cell r="AW1058">
            <v>23</v>
          </cell>
          <cell r="AX1058">
            <v>1</v>
          </cell>
          <cell r="AY1058">
            <v>0</v>
          </cell>
          <cell r="AZ1058">
            <v>0</v>
          </cell>
          <cell r="BA1058">
            <v>0</v>
          </cell>
          <cell r="BB1058">
            <v>0</v>
          </cell>
          <cell r="BC1058">
            <v>38828</v>
          </cell>
        </row>
        <row r="1059">
          <cell r="A1059">
            <v>2006</v>
          </cell>
          <cell r="B1059">
            <v>1</v>
          </cell>
          <cell r="C1059">
            <v>76</v>
          </cell>
          <cell r="D1059">
            <v>20</v>
          </cell>
          <cell r="E1059">
            <v>792020</v>
          </cell>
          <cell r="F1059">
            <v>0</v>
          </cell>
          <cell r="G1059" t="str">
            <v>Затраты по ШПЗ (основные)</v>
          </cell>
          <cell r="H1059">
            <v>2011</v>
          </cell>
          <cell r="I1059">
            <v>7920</v>
          </cell>
          <cell r="J1059">
            <v>1780.76</v>
          </cell>
          <cell r="K1059">
            <v>1</v>
          </cell>
          <cell r="L1059">
            <v>0</v>
          </cell>
          <cell r="M1059">
            <v>0</v>
          </cell>
          <cell r="N1059">
            <v>0</v>
          </cell>
          <cell r="R1059">
            <v>0</v>
          </cell>
          <cell r="S1059">
            <v>0</v>
          </cell>
          <cell r="T1059">
            <v>0</v>
          </cell>
          <cell r="U1059">
            <v>42</v>
          </cell>
          <cell r="V1059">
            <v>0</v>
          </cell>
          <cell r="W1059">
            <v>0</v>
          </cell>
          <cell r="AA1059">
            <v>0</v>
          </cell>
          <cell r="AB1059">
            <v>0</v>
          </cell>
          <cell r="AC1059">
            <v>0</v>
          </cell>
          <cell r="AD1059">
            <v>42</v>
          </cell>
          <cell r="AE1059">
            <v>505400</v>
          </cell>
          <cell r="AF1059">
            <v>0</v>
          </cell>
          <cell r="AI1059">
            <v>2223</v>
          </cell>
          <cell r="AK1059">
            <v>0</v>
          </cell>
          <cell r="AM1059">
            <v>203</v>
          </cell>
          <cell r="AN1059">
            <v>1</v>
          </cell>
          <cell r="AO1059">
            <v>393216</v>
          </cell>
          <cell r="AQ1059">
            <v>0</v>
          </cell>
          <cell r="AR1059">
            <v>0</v>
          </cell>
          <cell r="AS1059" t="str">
            <v>Ы</v>
          </cell>
          <cell r="AT1059" t="str">
            <v>Ы</v>
          </cell>
          <cell r="AU1059">
            <v>0</v>
          </cell>
          <cell r="AV1059">
            <v>0</v>
          </cell>
          <cell r="AW1059">
            <v>23</v>
          </cell>
          <cell r="AX1059">
            <v>1</v>
          </cell>
          <cell r="AY1059">
            <v>0</v>
          </cell>
          <cell r="AZ1059">
            <v>0</v>
          </cell>
          <cell r="BA1059">
            <v>0</v>
          </cell>
          <cell r="BB1059">
            <v>0</v>
          </cell>
          <cell r="BC1059">
            <v>38828</v>
          </cell>
        </row>
        <row r="1060">
          <cell r="A1060">
            <v>2006</v>
          </cell>
          <cell r="B1060">
            <v>1</v>
          </cell>
          <cell r="C1060">
            <v>77</v>
          </cell>
          <cell r="D1060">
            <v>20</v>
          </cell>
          <cell r="E1060">
            <v>792020</v>
          </cell>
          <cell r="F1060">
            <v>0</v>
          </cell>
          <cell r="G1060" t="str">
            <v>Затраты по ШПЗ (основные)</v>
          </cell>
          <cell r="H1060">
            <v>2011</v>
          </cell>
          <cell r="I1060">
            <v>7920</v>
          </cell>
          <cell r="J1060">
            <v>664075.55000000005</v>
          </cell>
          <cell r="K1060">
            <v>1</v>
          </cell>
          <cell r="L1060">
            <v>0</v>
          </cell>
          <cell r="M1060">
            <v>0</v>
          </cell>
          <cell r="N1060">
            <v>0</v>
          </cell>
          <cell r="R1060">
            <v>0</v>
          </cell>
          <cell r="S1060">
            <v>0</v>
          </cell>
          <cell r="T1060">
            <v>0</v>
          </cell>
          <cell r="U1060">
            <v>42</v>
          </cell>
          <cell r="V1060">
            <v>0</v>
          </cell>
          <cell r="W1060">
            <v>0</v>
          </cell>
          <cell r="AA1060">
            <v>0</v>
          </cell>
          <cell r="AB1060">
            <v>0</v>
          </cell>
          <cell r="AC1060">
            <v>0</v>
          </cell>
          <cell r="AD1060">
            <v>42</v>
          </cell>
          <cell r="AE1060">
            <v>510100</v>
          </cell>
          <cell r="AF1060">
            <v>0</v>
          </cell>
          <cell r="AI1060">
            <v>2223</v>
          </cell>
          <cell r="AK1060">
            <v>0</v>
          </cell>
          <cell r="AM1060">
            <v>204</v>
          </cell>
          <cell r="AN1060">
            <v>1</v>
          </cell>
          <cell r="AO1060">
            <v>393216</v>
          </cell>
          <cell r="AQ1060">
            <v>0</v>
          </cell>
          <cell r="AR1060">
            <v>0</v>
          </cell>
          <cell r="AS1060" t="str">
            <v>Ы</v>
          </cell>
          <cell r="AT1060" t="str">
            <v>Ы</v>
          </cell>
          <cell r="AU1060">
            <v>0</v>
          </cell>
          <cell r="AV1060">
            <v>0</v>
          </cell>
          <cell r="AW1060">
            <v>23</v>
          </cell>
          <cell r="AX1060">
            <v>1</v>
          </cell>
          <cell r="AY1060">
            <v>0</v>
          </cell>
          <cell r="AZ1060">
            <v>0</v>
          </cell>
          <cell r="BA1060">
            <v>0</v>
          </cell>
          <cell r="BB1060">
            <v>0</v>
          </cell>
          <cell r="BC1060">
            <v>38828</v>
          </cell>
        </row>
        <row r="1061">
          <cell r="A1061">
            <v>2006</v>
          </cell>
          <cell r="B1061">
            <v>1</v>
          </cell>
          <cell r="C1061">
            <v>78</v>
          </cell>
          <cell r="D1061">
            <v>20</v>
          </cell>
          <cell r="E1061">
            <v>792020</v>
          </cell>
          <cell r="F1061">
            <v>0</v>
          </cell>
          <cell r="G1061" t="str">
            <v>Затраты по ШПЗ (основные)</v>
          </cell>
          <cell r="H1061">
            <v>2011</v>
          </cell>
          <cell r="I1061">
            <v>7920</v>
          </cell>
          <cell r="J1061">
            <v>599.91999999999996</v>
          </cell>
          <cell r="K1061">
            <v>1</v>
          </cell>
          <cell r="L1061">
            <v>0</v>
          </cell>
          <cell r="M1061">
            <v>0</v>
          </cell>
          <cell r="N1061">
            <v>0</v>
          </cell>
          <cell r="R1061">
            <v>0</v>
          </cell>
          <cell r="S1061">
            <v>0</v>
          </cell>
          <cell r="T1061">
            <v>0</v>
          </cell>
          <cell r="U1061">
            <v>42</v>
          </cell>
          <cell r="V1061">
            <v>0</v>
          </cell>
          <cell r="W1061">
            <v>0</v>
          </cell>
          <cell r="AA1061">
            <v>0</v>
          </cell>
          <cell r="AB1061">
            <v>0</v>
          </cell>
          <cell r="AC1061">
            <v>0</v>
          </cell>
          <cell r="AD1061">
            <v>42</v>
          </cell>
          <cell r="AE1061">
            <v>510200</v>
          </cell>
          <cell r="AF1061">
            <v>0</v>
          </cell>
          <cell r="AI1061">
            <v>2223</v>
          </cell>
          <cell r="AK1061">
            <v>0</v>
          </cell>
          <cell r="AM1061">
            <v>205</v>
          </cell>
          <cell r="AN1061">
            <v>1</v>
          </cell>
          <cell r="AO1061">
            <v>393216</v>
          </cell>
          <cell r="AQ1061">
            <v>0</v>
          </cell>
          <cell r="AR1061">
            <v>0</v>
          </cell>
          <cell r="AS1061" t="str">
            <v>Ы</v>
          </cell>
          <cell r="AT1061" t="str">
            <v>Ы</v>
          </cell>
          <cell r="AU1061">
            <v>0</v>
          </cell>
          <cell r="AV1061">
            <v>0</v>
          </cell>
          <cell r="AW1061">
            <v>23</v>
          </cell>
          <cell r="AX1061">
            <v>1</v>
          </cell>
          <cell r="AY1061">
            <v>0</v>
          </cell>
          <cell r="AZ1061">
            <v>0</v>
          </cell>
          <cell r="BA1061">
            <v>0</v>
          </cell>
          <cell r="BB1061">
            <v>0</v>
          </cell>
          <cell r="BC1061">
            <v>38828</v>
          </cell>
        </row>
        <row r="1062">
          <cell r="A1062">
            <v>2006</v>
          </cell>
          <cell r="B1062">
            <v>1</v>
          </cell>
          <cell r="C1062">
            <v>79</v>
          </cell>
          <cell r="D1062">
            <v>20</v>
          </cell>
          <cell r="E1062">
            <v>792020</v>
          </cell>
          <cell r="F1062">
            <v>0</v>
          </cell>
          <cell r="G1062" t="str">
            <v>Затраты по ШПЗ (основные)</v>
          </cell>
          <cell r="H1062">
            <v>2011</v>
          </cell>
          <cell r="I1062">
            <v>7920</v>
          </cell>
          <cell r="J1062">
            <v>121847.35</v>
          </cell>
          <cell r="K1062">
            <v>1</v>
          </cell>
          <cell r="L1062">
            <v>0</v>
          </cell>
          <cell r="M1062">
            <v>0</v>
          </cell>
          <cell r="N1062">
            <v>0</v>
          </cell>
          <cell r="R1062">
            <v>0</v>
          </cell>
          <cell r="S1062">
            <v>0</v>
          </cell>
          <cell r="T1062">
            <v>0</v>
          </cell>
          <cell r="U1062">
            <v>42</v>
          </cell>
          <cell r="V1062">
            <v>0</v>
          </cell>
          <cell r="W1062">
            <v>0</v>
          </cell>
          <cell r="AA1062">
            <v>0</v>
          </cell>
          <cell r="AB1062">
            <v>0</v>
          </cell>
          <cell r="AC1062">
            <v>0</v>
          </cell>
          <cell r="AD1062">
            <v>42</v>
          </cell>
          <cell r="AE1062">
            <v>510300</v>
          </cell>
          <cell r="AF1062">
            <v>0</v>
          </cell>
          <cell r="AI1062">
            <v>2223</v>
          </cell>
          <cell r="AK1062">
            <v>0</v>
          </cell>
          <cell r="AM1062">
            <v>206</v>
          </cell>
          <cell r="AN1062">
            <v>1</v>
          </cell>
          <cell r="AO1062">
            <v>393216</v>
          </cell>
          <cell r="AQ1062">
            <v>0</v>
          </cell>
          <cell r="AR1062">
            <v>0</v>
          </cell>
          <cell r="AS1062" t="str">
            <v>Ы</v>
          </cell>
          <cell r="AT1062" t="str">
            <v>Ы</v>
          </cell>
          <cell r="AU1062">
            <v>0</v>
          </cell>
          <cell r="AV1062">
            <v>0</v>
          </cell>
          <cell r="AW1062">
            <v>23</v>
          </cell>
          <cell r="AX1062">
            <v>1</v>
          </cell>
          <cell r="AY1062">
            <v>0</v>
          </cell>
          <cell r="AZ1062">
            <v>0</v>
          </cell>
          <cell r="BA1062">
            <v>0</v>
          </cell>
          <cell r="BB1062">
            <v>0</v>
          </cell>
          <cell r="BC1062">
            <v>38828</v>
          </cell>
        </row>
        <row r="1063">
          <cell r="A1063">
            <v>2006</v>
          </cell>
          <cell r="B1063">
            <v>1</v>
          </cell>
          <cell r="C1063">
            <v>80</v>
          </cell>
          <cell r="D1063">
            <v>20</v>
          </cell>
          <cell r="E1063">
            <v>792020</v>
          </cell>
          <cell r="F1063">
            <v>0</v>
          </cell>
          <cell r="G1063" t="str">
            <v>Затраты по ШПЗ (основные)</v>
          </cell>
          <cell r="H1063">
            <v>2011</v>
          </cell>
          <cell r="I1063">
            <v>7920</v>
          </cell>
          <cell r="J1063">
            <v>7391.49</v>
          </cell>
          <cell r="K1063">
            <v>1</v>
          </cell>
          <cell r="L1063">
            <v>0</v>
          </cell>
          <cell r="M1063">
            <v>0</v>
          </cell>
          <cell r="N1063">
            <v>0</v>
          </cell>
          <cell r="R1063">
            <v>0</v>
          </cell>
          <cell r="S1063">
            <v>0</v>
          </cell>
          <cell r="T1063">
            <v>0</v>
          </cell>
          <cell r="U1063">
            <v>42</v>
          </cell>
          <cell r="V1063">
            <v>0</v>
          </cell>
          <cell r="W1063">
            <v>0</v>
          </cell>
          <cell r="AA1063">
            <v>0</v>
          </cell>
          <cell r="AB1063">
            <v>0</v>
          </cell>
          <cell r="AC1063">
            <v>0</v>
          </cell>
          <cell r="AD1063">
            <v>42</v>
          </cell>
          <cell r="AE1063">
            <v>510400</v>
          </cell>
          <cell r="AF1063">
            <v>0</v>
          </cell>
          <cell r="AI1063">
            <v>2223</v>
          </cell>
          <cell r="AK1063">
            <v>0</v>
          </cell>
          <cell r="AM1063">
            <v>207</v>
          </cell>
          <cell r="AN1063">
            <v>1</v>
          </cell>
          <cell r="AO1063">
            <v>393216</v>
          </cell>
          <cell r="AQ1063">
            <v>0</v>
          </cell>
          <cell r="AR1063">
            <v>0</v>
          </cell>
          <cell r="AS1063" t="str">
            <v>Ы</v>
          </cell>
          <cell r="AT1063" t="str">
            <v>Ы</v>
          </cell>
          <cell r="AU1063">
            <v>0</v>
          </cell>
          <cell r="AV1063">
            <v>0</v>
          </cell>
          <cell r="AW1063">
            <v>23</v>
          </cell>
          <cell r="AX1063">
            <v>1</v>
          </cell>
          <cell r="AY1063">
            <v>0</v>
          </cell>
          <cell r="AZ1063">
            <v>0</v>
          </cell>
          <cell r="BA1063">
            <v>0</v>
          </cell>
          <cell r="BB1063">
            <v>0</v>
          </cell>
          <cell r="BC1063">
            <v>38828</v>
          </cell>
        </row>
        <row r="1064">
          <cell r="A1064">
            <v>2006</v>
          </cell>
          <cell r="B1064">
            <v>1</v>
          </cell>
          <cell r="C1064">
            <v>81</v>
          </cell>
          <cell r="D1064">
            <v>20</v>
          </cell>
          <cell r="E1064">
            <v>792020</v>
          </cell>
          <cell r="F1064">
            <v>0</v>
          </cell>
          <cell r="G1064" t="str">
            <v>Затраты по ШПЗ (основные)</v>
          </cell>
          <cell r="H1064">
            <v>2011</v>
          </cell>
          <cell r="I1064">
            <v>7920</v>
          </cell>
          <cell r="J1064">
            <v>3985.63</v>
          </cell>
          <cell r="K1064">
            <v>1</v>
          </cell>
          <cell r="L1064">
            <v>0</v>
          </cell>
          <cell r="M1064">
            <v>0</v>
          </cell>
          <cell r="N1064">
            <v>0</v>
          </cell>
          <cell r="R1064">
            <v>0</v>
          </cell>
          <cell r="S1064">
            <v>0</v>
          </cell>
          <cell r="T1064">
            <v>0</v>
          </cell>
          <cell r="U1064">
            <v>42</v>
          </cell>
          <cell r="V1064">
            <v>0</v>
          </cell>
          <cell r="W1064">
            <v>0</v>
          </cell>
          <cell r="AA1064">
            <v>0</v>
          </cell>
          <cell r="AB1064">
            <v>0</v>
          </cell>
          <cell r="AC1064">
            <v>0</v>
          </cell>
          <cell r="AD1064">
            <v>42</v>
          </cell>
          <cell r="AE1064">
            <v>510500</v>
          </cell>
          <cell r="AF1064">
            <v>0</v>
          </cell>
          <cell r="AI1064">
            <v>2223</v>
          </cell>
          <cell r="AK1064">
            <v>0</v>
          </cell>
          <cell r="AM1064">
            <v>208</v>
          </cell>
          <cell r="AN1064">
            <v>1</v>
          </cell>
          <cell r="AO1064">
            <v>393216</v>
          </cell>
          <cell r="AQ1064">
            <v>0</v>
          </cell>
          <cell r="AR1064">
            <v>0</v>
          </cell>
          <cell r="AS1064" t="str">
            <v>Ы</v>
          </cell>
          <cell r="AT1064" t="str">
            <v>Ы</v>
          </cell>
          <cell r="AU1064">
            <v>0</v>
          </cell>
          <cell r="AV1064">
            <v>0</v>
          </cell>
          <cell r="AW1064">
            <v>23</v>
          </cell>
          <cell r="AX1064">
            <v>1</v>
          </cell>
          <cell r="AY1064">
            <v>0</v>
          </cell>
          <cell r="AZ1064">
            <v>0</v>
          </cell>
          <cell r="BA1064">
            <v>0</v>
          </cell>
          <cell r="BB1064">
            <v>0</v>
          </cell>
          <cell r="BC1064">
            <v>38828</v>
          </cell>
        </row>
        <row r="1065">
          <cell r="A1065">
            <v>2006</v>
          </cell>
          <cell r="B1065">
            <v>1</v>
          </cell>
          <cell r="C1065">
            <v>82</v>
          </cell>
          <cell r="D1065">
            <v>20</v>
          </cell>
          <cell r="E1065">
            <v>792020</v>
          </cell>
          <cell r="F1065">
            <v>0</v>
          </cell>
          <cell r="G1065" t="str">
            <v>Затраты по ШПЗ (основные)</v>
          </cell>
          <cell r="H1065">
            <v>2011</v>
          </cell>
          <cell r="I1065">
            <v>7920</v>
          </cell>
          <cell r="J1065">
            <v>705088.09</v>
          </cell>
          <cell r="K1065">
            <v>1</v>
          </cell>
          <cell r="L1065">
            <v>0</v>
          </cell>
          <cell r="M1065">
            <v>0</v>
          </cell>
          <cell r="N1065">
            <v>0</v>
          </cell>
          <cell r="R1065">
            <v>0</v>
          </cell>
          <cell r="S1065">
            <v>0</v>
          </cell>
          <cell r="T1065">
            <v>0</v>
          </cell>
          <cell r="U1065">
            <v>42</v>
          </cell>
          <cell r="V1065">
            <v>0</v>
          </cell>
          <cell r="W1065">
            <v>0</v>
          </cell>
          <cell r="AA1065">
            <v>0</v>
          </cell>
          <cell r="AB1065">
            <v>0</v>
          </cell>
          <cell r="AC1065">
            <v>0</v>
          </cell>
          <cell r="AD1065">
            <v>42</v>
          </cell>
          <cell r="AE1065">
            <v>510600</v>
          </cell>
          <cell r="AF1065">
            <v>0</v>
          </cell>
          <cell r="AI1065">
            <v>2223</v>
          </cell>
          <cell r="AK1065">
            <v>0</v>
          </cell>
          <cell r="AM1065">
            <v>209</v>
          </cell>
          <cell r="AN1065">
            <v>1</v>
          </cell>
          <cell r="AO1065">
            <v>393216</v>
          </cell>
          <cell r="AQ1065">
            <v>0</v>
          </cell>
          <cell r="AR1065">
            <v>0</v>
          </cell>
          <cell r="AS1065" t="str">
            <v>Ы</v>
          </cell>
          <cell r="AT1065" t="str">
            <v>Ы</v>
          </cell>
          <cell r="AU1065">
            <v>0</v>
          </cell>
          <cell r="AV1065">
            <v>0</v>
          </cell>
          <cell r="AW1065">
            <v>23</v>
          </cell>
          <cell r="AX1065">
            <v>1</v>
          </cell>
          <cell r="AY1065">
            <v>0</v>
          </cell>
          <cell r="AZ1065">
            <v>0</v>
          </cell>
          <cell r="BA1065">
            <v>0</v>
          </cell>
          <cell r="BB1065">
            <v>0</v>
          </cell>
          <cell r="BC1065">
            <v>38828</v>
          </cell>
        </row>
        <row r="1066">
          <cell r="A1066">
            <v>2006</v>
          </cell>
          <cell r="B1066">
            <v>1</v>
          </cell>
          <cell r="C1066">
            <v>83</v>
          </cell>
          <cell r="D1066">
            <v>20</v>
          </cell>
          <cell r="E1066">
            <v>792020</v>
          </cell>
          <cell r="F1066">
            <v>0</v>
          </cell>
          <cell r="G1066" t="str">
            <v>Затраты по ШПЗ (основные)</v>
          </cell>
          <cell r="H1066">
            <v>2011</v>
          </cell>
          <cell r="I1066">
            <v>7920</v>
          </cell>
          <cell r="J1066">
            <v>1911.88</v>
          </cell>
          <cell r="K1066">
            <v>1</v>
          </cell>
          <cell r="L1066">
            <v>0</v>
          </cell>
          <cell r="M1066">
            <v>0</v>
          </cell>
          <cell r="N1066">
            <v>0</v>
          </cell>
          <cell r="R1066">
            <v>0</v>
          </cell>
          <cell r="S1066">
            <v>0</v>
          </cell>
          <cell r="T1066">
            <v>0</v>
          </cell>
          <cell r="U1066">
            <v>42</v>
          </cell>
          <cell r="V1066">
            <v>0</v>
          </cell>
          <cell r="W1066">
            <v>0</v>
          </cell>
          <cell r="AA1066">
            <v>0</v>
          </cell>
          <cell r="AB1066">
            <v>0</v>
          </cell>
          <cell r="AC1066">
            <v>0</v>
          </cell>
          <cell r="AD1066">
            <v>42</v>
          </cell>
          <cell r="AE1066">
            <v>510630</v>
          </cell>
          <cell r="AF1066">
            <v>0</v>
          </cell>
          <cell r="AI1066">
            <v>2223</v>
          </cell>
          <cell r="AK1066">
            <v>0</v>
          </cell>
          <cell r="AM1066">
            <v>210</v>
          </cell>
          <cell r="AN1066">
            <v>1</v>
          </cell>
          <cell r="AO1066">
            <v>393216</v>
          </cell>
          <cell r="AQ1066">
            <v>0</v>
          </cell>
          <cell r="AR1066">
            <v>0</v>
          </cell>
          <cell r="AS1066" t="str">
            <v>Ы</v>
          </cell>
          <cell r="AT1066" t="str">
            <v>Ы</v>
          </cell>
          <cell r="AU1066">
            <v>0</v>
          </cell>
          <cell r="AV1066">
            <v>0</v>
          </cell>
          <cell r="AW1066">
            <v>23</v>
          </cell>
          <cell r="AX1066">
            <v>1</v>
          </cell>
          <cell r="AY1066">
            <v>0</v>
          </cell>
          <cell r="AZ1066">
            <v>0</v>
          </cell>
          <cell r="BA1066">
            <v>0</v>
          </cell>
          <cell r="BB1066">
            <v>0</v>
          </cell>
          <cell r="BC1066">
            <v>38828</v>
          </cell>
        </row>
        <row r="1067">
          <cell r="A1067">
            <v>2006</v>
          </cell>
          <cell r="B1067">
            <v>1</v>
          </cell>
          <cell r="C1067">
            <v>111</v>
          </cell>
          <cell r="D1067">
            <v>20</v>
          </cell>
          <cell r="E1067">
            <v>792020</v>
          </cell>
          <cell r="F1067">
            <v>0</v>
          </cell>
          <cell r="G1067" t="str">
            <v>Затраты по ШПЗ (основные)</v>
          </cell>
          <cell r="H1067">
            <v>2011</v>
          </cell>
          <cell r="I1067">
            <v>7920</v>
          </cell>
          <cell r="J1067">
            <v>153459.95000000001</v>
          </cell>
          <cell r="K1067">
            <v>1</v>
          </cell>
          <cell r="L1067">
            <v>0</v>
          </cell>
          <cell r="M1067">
            <v>0</v>
          </cell>
          <cell r="N1067">
            <v>0</v>
          </cell>
          <cell r="R1067">
            <v>0</v>
          </cell>
          <cell r="S1067">
            <v>0</v>
          </cell>
          <cell r="T1067">
            <v>0</v>
          </cell>
          <cell r="U1067">
            <v>32</v>
          </cell>
          <cell r="V1067">
            <v>0</v>
          </cell>
          <cell r="W1067">
            <v>0</v>
          </cell>
          <cell r="AA1067">
            <v>0</v>
          </cell>
          <cell r="AB1067">
            <v>0</v>
          </cell>
          <cell r="AC1067">
            <v>0</v>
          </cell>
          <cell r="AD1067">
            <v>32</v>
          </cell>
          <cell r="AE1067">
            <v>110000</v>
          </cell>
          <cell r="AF1067">
            <v>0</v>
          </cell>
          <cell r="AI1067">
            <v>2223</v>
          </cell>
          <cell r="AK1067">
            <v>0</v>
          </cell>
          <cell r="AM1067">
            <v>238</v>
          </cell>
          <cell r="AN1067">
            <v>1</v>
          </cell>
          <cell r="AO1067">
            <v>393216</v>
          </cell>
          <cell r="AQ1067">
            <v>0</v>
          </cell>
          <cell r="AR1067">
            <v>0</v>
          </cell>
          <cell r="AS1067" t="str">
            <v>Ы</v>
          </cell>
          <cell r="AT1067" t="str">
            <v>Ы</v>
          </cell>
          <cell r="AU1067">
            <v>0</v>
          </cell>
          <cell r="AV1067">
            <v>0</v>
          </cell>
          <cell r="AW1067">
            <v>23</v>
          </cell>
          <cell r="AX1067">
            <v>1</v>
          </cell>
          <cell r="AY1067">
            <v>0</v>
          </cell>
          <cell r="AZ1067">
            <v>0</v>
          </cell>
          <cell r="BA1067">
            <v>0</v>
          </cell>
          <cell r="BB1067">
            <v>0</v>
          </cell>
          <cell r="BC1067">
            <v>38828</v>
          </cell>
        </row>
        <row r="1068">
          <cell r="A1068">
            <v>2006</v>
          </cell>
          <cell r="B1068">
            <v>1</v>
          </cell>
          <cell r="C1068">
            <v>112</v>
          </cell>
          <cell r="D1068">
            <v>20</v>
          </cell>
          <cell r="E1068">
            <v>792020</v>
          </cell>
          <cell r="F1068">
            <v>0</v>
          </cell>
          <cell r="G1068" t="str">
            <v>Затраты по ШПЗ (основные)</v>
          </cell>
          <cell r="H1068">
            <v>2011</v>
          </cell>
          <cell r="I1068">
            <v>7920</v>
          </cell>
          <cell r="J1068">
            <v>4076.07</v>
          </cell>
          <cell r="K1068">
            <v>1</v>
          </cell>
          <cell r="L1068">
            <v>0</v>
          </cell>
          <cell r="M1068">
            <v>0</v>
          </cell>
          <cell r="N1068">
            <v>0</v>
          </cell>
          <cell r="R1068">
            <v>0</v>
          </cell>
          <cell r="S1068">
            <v>0</v>
          </cell>
          <cell r="T1068">
            <v>0</v>
          </cell>
          <cell r="U1068">
            <v>32</v>
          </cell>
          <cell r="V1068">
            <v>0</v>
          </cell>
          <cell r="W1068">
            <v>0</v>
          </cell>
          <cell r="AA1068">
            <v>0</v>
          </cell>
          <cell r="AB1068">
            <v>0</v>
          </cell>
          <cell r="AC1068">
            <v>0</v>
          </cell>
          <cell r="AD1068">
            <v>32</v>
          </cell>
          <cell r="AE1068">
            <v>114020</v>
          </cell>
          <cell r="AF1068">
            <v>0</v>
          </cell>
          <cell r="AI1068">
            <v>2223</v>
          </cell>
          <cell r="AK1068">
            <v>0</v>
          </cell>
          <cell r="AM1068">
            <v>239</v>
          </cell>
          <cell r="AN1068">
            <v>1</v>
          </cell>
          <cell r="AO1068">
            <v>393216</v>
          </cell>
          <cell r="AQ1068">
            <v>0</v>
          </cell>
          <cell r="AR1068">
            <v>0</v>
          </cell>
          <cell r="AS1068" t="str">
            <v>Ы</v>
          </cell>
          <cell r="AT1068" t="str">
            <v>Ы</v>
          </cell>
          <cell r="AU1068">
            <v>0</v>
          </cell>
          <cell r="AV1068">
            <v>0</v>
          </cell>
          <cell r="AW1068">
            <v>23</v>
          </cell>
          <cell r="AX1068">
            <v>1</v>
          </cell>
          <cell r="AY1068">
            <v>0</v>
          </cell>
          <cell r="AZ1068">
            <v>0</v>
          </cell>
          <cell r="BA1068">
            <v>0</v>
          </cell>
          <cell r="BB1068">
            <v>0</v>
          </cell>
          <cell r="BC1068">
            <v>38828</v>
          </cell>
        </row>
        <row r="1069">
          <cell r="A1069">
            <v>2006</v>
          </cell>
          <cell r="B1069">
            <v>1</v>
          </cell>
          <cell r="C1069">
            <v>113</v>
          </cell>
          <cell r="D1069">
            <v>20</v>
          </cell>
          <cell r="E1069">
            <v>792020</v>
          </cell>
          <cell r="F1069">
            <v>0</v>
          </cell>
          <cell r="G1069" t="str">
            <v>Затраты по ШПЗ (основные)</v>
          </cell>
          <cell r="H1069">
            <v>2011</v>
          </cell>
          <cell r="I1069">
            <v>7920</v>
          </cell>
          <cell r="J1069">
            <v>508509.49</v>
          </cell>
          <cell r="K1069">
            <v>1</v>
          </cell>
          <cell r="L1069">
            <v>0</v>
          </cell>
          <cell r="M1069">
            <v>0</v>
          </cell>
          <cell r="N1069">
            <v>0</v>
          </cell>
          <cell r="R1069">
            <v>0</v>
          </cell>
          <cell r="S1069">
            <v>0</v>
          </cell>
          <cell r="T1069">
            <v>0</v>
          </cell>
          <cell r="U1069">
            <v>32</v>
          </cell>
          <cell r="V1069">
            <v>0</v>
          </cell>
          <cell r="W1069">
            <v>0</v>
          </cell>
          <cell r="AA1069">
            <v>0</v>
          </cell>
          <cell r="AB1069">
            <v>0</v>
          </cell>
          <cell r="AC1069">
            <v>0</v>
          </cell>
          <cell r="AD1069">
            <v>32</v>
          </cell>
          <cell r="AE1069">
            <v>116000</v>
          </cell>
          <cell r="AF1069">
            <v>0</v>
          </cell>
          <cell r="AI1069">
            <v>2223</v>
          </cell>
          <cell r="AK1069">
            <v>0</v>
          </cell>
          <cell r="AM1069">
            <v>240</v>
          </cell>
          <cell r="AN1069">
            <v>1</v>
          </cell>
          <cell r="AO1069">
            <v>393216</v>
          </cell>
          <cell r="AQ1069">
            <v>0</v>
          </cell>
          <cell r="AR1069">
            <v>0</v>
          </cell>
          <cell r="AS1069" t="str">
            <v>Ы</v>
          </cell>
          <cell r="AT1069" t="str">
            <v>Ы</v>
          </cell>
          <cell r="AU1069">
            <v>0</v>
          </cell>
          <cell r="AV1069">
            <v>0</v>
          </cell>
          <cell r="AW1069">
            <v>23</v>
          </cell>
          <cell r="AX1069">
            <v>1</v>
          </cell>
          <cell r="AY1069">
            <v>0</v>
          </cell>
          <cell r="AZ1069">
            <v>0</v>
          </cell>
          <cell r="BA1069">
            <v>0</v>
          </cell>
          <cell r="BB1069">
            <v>0</v>
          </cell>
          <cell r="BC1069">
            <v>38828</v>
          </cell>
        </row>
        <row r="1070">
          <cell r="A1070">
            <v>2006</v>
          </cell>
          <cell r="B1070">
            <v>1</v>
          </cell>
          <cell r="C1070">
            <v>114</v>
          </cell>
          <cell r="D1070">
            <v>20</v>
          </cell>
          <cell r="E1070">
            <v>792020</v>
          </cell>
          <cell r="F1070">
            <v>0</v>
          </cell>
          <cell r="G1070" t="str">
            <v>Затраты по ШПЗ (основные)</v>
          </cell>
          <cell r="H1070">
            <v>2011</v>
          </cell>
          <cell r="I1070">
            <v>7920</v>
          </cell>
          <cell r="J1070">
            <v>19288.09</v>
          </cell>
          <cell r="K1070">
            <v>1</v>
          </cell>
          <cell r="L1070">
            <v>0</v>
          </cell>
          <cell r="M1070">
            <v>0</v>
          </cell>
          <cell r="N1070">
            <v>0</v>
          </cell>
          <cell r="R1070">
            <v>0</v>
          </cell>
          <cell r="S1070">
            <v>0</v>
          </cell>
          <cell r="T1070">
            <v>0</v>
          </cell>
          <cell r="U1070">
            <v>32</v>
          </cell>
          <cell r="V1070">
            <v>0</v>
          </cell>
          <cell r="W1070">
            <v>0</v>
          </cell>
          <cell r="AA1070">
            <v>0</v>
          </cell>
          <cell r="AB1070">
            <v>0</v>
          </cell>
          <cell r="AC1070">
            <v>0</v>
          </cell>
          <cell r="AD1070">
            <v>32</v>
          </cell>
          <cell r="AE1070">
            <v>117000</v>
          </cell>
          <cell r="AF1070">
            <v>0</v>
          </cell>
          <cell r="AI1070">
            <v>2223</v>
          </cell>
          <cell r="AK1070">
            <v>0</v>
          </cell>
          <cell r="AM1070">
            <v>241</v>
          </cell>
          <cell r="AN1070">
            <v>1</v>
          </cell>
          <cell r="AO1070">
            <v>393216</v>
          </cell>
          <cell r="AQ1070">
            <v>0</v>
          </cell>
          <cell r="AR1070">
            <v>0</v>
          </cell>
          <cell r="AS1070" t="str">
            <v>Ы</v>
          </cell>
          <cell r="AT1070" t="str">
            <v>Ы</v>
          </cell>
          <cell r="AU1070">
            <v>0</v>
          </cell>
          <cell r="AV1070">
            <v>0</v>
          </cell>
          <cell r="AW1070">
            <v>23</v>
          </cell>
          <cell r="AX1070">
            <v>1</v>
          </cell>
          <cell r="AY1070">
            <v>0</v>
          </cell>
          <cell r="AZ1070">
            <v>0</v>
          </cell>
          <cell r="BA1070">
            <v>0</v>
          </cell>
          <cell r="BB1070">
            <v>0</v>
          </cell>
          <cell r="BC1070">
            <v>38828</v>
          </cell>
        </row>
        <row r="1071">
          <cell r="A1071">
            <v>2006</v>
          </cell>
          <cell r="B1071">
            <v>1</v>
          </cell>
          <cell r="C1071">
            <v>115</v>
          </cell>
          <cell r="D1071">
            <v>20</v>
          </cell>
          <cell r="E1071">
            <v>792020</v>
          </cell>
          <cell r="F1071">
            <v>0</v>
          </cell>
          <cell r="G1071" t="str">
            <v>Затраты по ШПЗ (основные)</v>
          </cell>
          <cell r="H1071">
            <v>2011</v>
          </cell>
          <cell r="I1071">
            <v>7920</v>
          </cell>
          <cell r="J1071">
            <v>1423.7</v>
          </cell>
          <cell r="K1071">
            <v>1</v>
          </cell>
          <cell r="L1071">
            <v>0</v>
          </cell>
          <cell r="M1071">
            <v>0</v>
          </cell>
          <cell r="N1071">
            <v>0</v>
          </cell>
          <cell r="R1071">
            <v>0</v>
          </cell>
          <cell r="S1071">
            <v>0</v>
          </cell>
          <cell r="T1071">
            <v>0</v>
          </cell>
          <cell r="U1071">
            <v>32</v>
          </cell>
          <cell r="V1071">
            <v>0</v>
          </cell>
          <cell r="W1071">
            <v>0</v>
          </cell>
          <cell r="AA1071">
            <v>0</v>
          </cell>
          <cell r="AB1071">
            <v>0</v>
          </cell>
          <cell r="AC1071">
            <v>0</v>
          </cell>
          <cell r="AD1071">
            <v>32</v>
          </cell>
          <cell r="AE1071">
            <v>130000</v>
          </cell>
          <cell r="AF1071">
            <v>0</v>
          </cell>
          <cell r="AI1071">
            <v>2223</v>
          </cell>
          <cell r="AK1071">
            <v>0</v>
          </cell>
          <cell r="AM1071">
            <v>242</v>
          </cell>
          <cell r="AN1071">
            <v>1</v>
          </cell>
          <cell r="AO1071">
            <v>393216</v>
          </cell>
          <cell r="AQ1071">
            <v>0</v>
          </cell>
          <cell r="AR1071">
            <v>0</v>
          </cell>
          <cell r="AS1071" t="str">
            <v>Ы</v>
          </cell>
          <cell r="AT1071" t="str">
            <v>Ы</v>
          </cell>
          <cell r="AU1071">
            <v>0</v>
          </cell>
          <cell r="AV1071">
            <v>0</v>
          </cell>
          <cell r="AW1071">
            <v>23</v>
          </cell>
          <cell r="AX1071">
            <v>1</v>
          </cell>
          <cell r="AY1071">
            <v>0</v>
          </cell>
          <cell r="AZ1071">
            <v>0</v>
          </cell>
          <cell r="BA1071">
            <v>0</v>
          </cell>
          <cell r="BB1071">
            <v>0</v>
          </cell>
          <cell r="BC1071">
            <v>38828</v>
          </cell>
        </row>
        <row r="1072">
          <cell r="A1072">
            <v>2006</v>
          </cell>
          <cell r="B1072">
            <v>1</v>
          </cell>
          <cell r="C1072">
            <v>116</v>
          </cell>
          <cell r="D1072">
            <v>20</v>
          </cell>
          <cell r="E1072">
            <v>792020</v>
          </cell>
          <cell r="F1072">
            <v>0</v>
          </cell>
          <cell r="G1072" t="str">
            <v>Затраты по ШПЗ (основные)</v>
          </cell>
          <cell r="H1072">
            <v>2011</v>
          </cell>
          <cell r="I1072">
            <v>7920</v>
          </cell>
          <cell r="J1072">
            <v>970</v>
          </cell>
          <cell r="K1072">
            <v>1</v>
          </cell>
          <cell r="L1072">
            <v>0</v>
          </cell>
          <cell r="M1072">
            <v>0</v>
          </cell>
          <cell r="N1072">
            <v>0</v>
          </cell>
          <cell r="R1072">
            <v>0</v>
          </cell>
          <cell r="S1072">
            <v>0</v>
          </cell>
          <cell r="T1072">
            <v>0</v>
          </cell>
          <cell r="U1072">
            <v>32</v>
          </cell>
          <cell r="V1072">
            <v>0</v>
          </cell>
          <cell r="W1072">
            <v>0</v>
          </cell>
          <cell r="AA1072">
            <v>0</v>
          </cell>
          <cell r="AB1072">
            <v>0</v>
          </cell>
          <cell r="AC1072">
            <v>0</v>
          </cell>
          <cell r="AD1072">
            <v>32</v>
          </cell>
          <cell r="AE1072">
            <v>131000</v>
          </cell>
          <cell r="AF1072">
            <v>0</v>
          </cell>
          <cell r="AI1072">
            <v>2223</v>
          </cell>
          <cell r="AK1072">
            <v>0</v>
          </cell>
          <cell r="AM1072">
            <v>243</v>
          </cell>
          <cell r="AN1072">
            <v>1</v>
          </cell>
          <cell r="AO1072">
            <v>393216</v>
          </cell>
          <cell r="AQ1072">
            <v>0</v>
          </cell>
          <cell r="AR1072">
            <v>0</v>
          </cell>
          <cell r="AS1072" t="str">
            <v>Ы</v>
          </cell>
          <cell r="AT1072" t="str">
            <v>Ы</v>
          </cell>
          <cell r="AU1072">
            <v>0</v>
          </cell>
          <cell r="AV1072">
            <v>0</v>
          </cell>
          <cell r="AW1072">
            <v>23</v>
          </cell>
          <cell r="AX1072">
            <v>1</v>
          </cell>
          <cell r="AY1072">
            <v>0</v>
          </cell>
          <cell r="AZ1072">
            <v>0</v>
          </cell>
          <cell r="BA1072">
            <v>0</v>
          </cell>
          <cell r="BB1072">
            <v>0</v>
          </cell>
          <cell r="BC1072">
            <v>38828</v>
          </cell>
        </row>
        <row r="1073">
          <cell r="A1073">
            <v>2006</v>
          </cell>
          <cell r="B1073">
            <v>1</v>
          </cell>
          <cell r="C1073">
            <v>117</v>
          </cell>
          <cell r="D1073">
            <v>20</v>
          </cell>
          <cell r="E1073">
            <v>792020</v>
          </cell>
          <cell r="F1073">
            <v>0</v>
          </cell>
          <cell r="G1073" t="str">
            <v>Затраты по ШПЗ (основные)</v>
          </cell>
          <cell r="H1073">
            <v>2011</v>
          </cell>
          <cell r="I1073">
            <v>7920</v>
          </cell>
          <cell r="J1073">
            <v>1421.7</v>
          </cell>
          <cell r="K1073">
            <v>1</v>
          </cell>
          <cell r="L1073">
            <v>0</v>
          </cell>
          <cell r="M1073">
            <v>0</v>
          </cell>
          <cell r="N1073">
            <v>0</v>
          </cell>
          <cell r="R1073">
            <v>0</v>
          </cell>
          <cell r="S1073">
            <v>0</v>
          </cell>
          <cell r="T1073">
            <v>0</v>
          </cell>
          <cell r="U1073">
            <v>32</v>
          </cell>
          <cell r="V1073">
            <v>0</v>
          </cell>
          <cell r="W1073">
            <v>0</v>
          </cell>
          <cell r="AA1073">
            <v>0</v>
          </cell>
          <cell r="AB1073">
            <v>0</v>
          </cell>
          <cell r="AC1073">
            <v>0</v>
          </cell>
          <cell r="AD1073">
            <v>32</v>
          </cell>
          <cell r="AE1073">
            <v>132000</v>
          </cell>
          <cell r="AF1073">
            <v>0</v>
          </cell>
          <cell r="AI1073">
            <v>2223</v>
          </cell>
          <cell r="AK1073">
            <v>0</v>
          </cell>
          <cell r="AM1073">
            <v>244</v>
          </cell>
          <cell r="AN1073">
            <v>1</v>
          </cell>
          <cell r="AO1073">
            <v>393216</v>
          </cell>
          <cell r="AQ1073">
            <v>0</v>
          </cell>
          <cell r="AR1073">
            <v>0</v>
          </cell>
          <cell r="AS1073" t="str">
            <v>Ы</v>
          </cell>
          <cell r="AT1073" t="str">
            <v>Ы</v>
          </cell>
          <cell r="AU1073">
            <v>0</v>
          </cell>
          <cell r="AV1073">
            <v>0</v>
          </cell>
          <cell r="AW1073">
            <v>23</v>
          </cell>
          <cell r="AX1073">
            <v>1</v>
          </cell>
          <cell r="AY1073">
            <v>0</v>
          </cell>
          <cell r="AZ1073">
            <v>0</v>
          </cell>
          <cell r="BA1073">
            <v>0</v>
          </cell>
          <cell r="BB1073">
            <v>0</v>
          </cell>
          <cell r="BC1073">
            <v>38828</v>
          </cell>
        </row>
        <row r="1074">
          <cell r="A1074">
            <v>2006</v>
          </cell>
          <cell r="B1074">
            <v>1</v>
          </cell>
          <cell r="C1074">
            <v>118</v>
          </cell>
          <cell r="D1074">
            <v>20</v>
          </cell>
          <cell r="E1074">
            <v>792020</v>
          </cell>
          <cell r="F1074">
            <v>0</v>
          </cell>
          <cell r="G1074" t="str">
            <v>Затраты по ШПЗ (основные)</v>
          </cell>
          <cell r="H1074">
            <v>2011</v>
          </cell>
          <cell r="I1074">
            <v>7920</v>
          </cell>
          <cell r="J1074">
            <v>10044.620000000001</v>
          </cell>
          <cell r="K1074">
            <v>1</v>
          </cell>
          <cell r="L1074">
            <v>0</v>
          </cell>
          <cell r="M1074">
            <v>0</v>
          </cell>
          <cell r="N1074">
            <v>0</v>
          </cell>
          <cell r="R1074">
            <v>0</v>
          </cell>
          <cell r="S1074">
            <v>0</v>
          </cell>
          <cell r="T1074">
            <v>0</v>
          </cell>
          <cell r="U1074">
            <v>32</v>
          </cell>
          <cell r="V1074">
            <v>0</v>
          </cell>
          <cell r="W1074">
            <v>0</v>
          </cell>
          <cell r="AA1074">
            <v>0</v>
          </cell>
          <cell r="AB1074">
            <v>0</v>
          </cell>
          <cell r="AC1074">
            <v>0</v>
          </cell>
          <cell r="AD1074">
            <v>32</v>
          </cell>
          <cell r="AE1074">
            <v>135000</v>
          </cell>
          <cell r="AF1074">
            <v>0</v>
          </cell>
          <cell r="AI1074">
            <v>2223</v>
          </cell>
          <cell r="AK1074">
            <v>0</v>
          </cell>
          <cell r="AM1074">
            <v>245</v>
          </cell>
          <cell r="AN1074">
            <v>1</v>
          </cell>
          <cell r="AO1074">
            <v>393216</v>
          </cell>
          <cell r="AQ1074">
            <v>0</v>
          </cell>
          <cell r="AR1074">
            <v>0</v>
          </cell>
          <cell r="AS1074" t="str">
            <v>Ы</v>
          </cell>
          <cell r="AT1074" t="str">
            <v>Ы</v>
          </cell>
          <cell r="AU1074">
            <v>0</v>
          </cell>
          <cell r="AV1074">
            <v>0</v>
          </cell>
          <cell r="AW1074">
            <v>23</v>
          </cell>
          <cell r="AX1074">
            <v>1</v>
          </cell>
          <cell r="AY1074">
            <v>0</v>
          </cell>
          <cell r="AZ1074">
            <v>0</v>
          </cell>
          <cell r="BA1074">
            <v>0</v>
          </cell>
          <cell r="BB1074">
            <v>0</v>
          </cell>
          <cell r="BC1074">
            <v>38828</v>
          </cell>
        </row>
        <row r="1075">
          <cell r="A1075">
            <v>2006</v>
          </cell>
          <cell r="B1075">
            <v>1</v>
          </cell>
          <cell r="C1075">
            <v>119</v>
          </cell>
          <cell r="D1075">
            <v>20</v>
          </cell>
          <cell r="E1075">
            <v>792020</v>
          </cell>
          <cell r="F1075">
            <v>0</v>
          </cell>
          <cell r="G1075" t="str">
            <v>Затраты по ШПЗ (основные)</v>
          </cell>
          <cell r="H1075">
            <v>2011</v>
          </cell>
          <cell r="I1075">
            <v>7920</v>
          </cell>
          <cell r="J1075">
            <v>419124.44</v>
          </cell>
          <cell r="K1075">
            <v>1</v>
          </cell>
          <cell r="L1075">
            <v>0</v>
          </cell>
          <cell r="M1075">
            <v>0</v>
          </cell>
          <cell r="N1075">
            <v>0</v>
          </cell>
          <cell r="R1075">
            <v>0</v>
          </cell>
          <cell r="S1075">
            <v>0</v>
          </cell>
          <cell r="T1075">
            <v>0</v>
          </cell>
          <cell r="U1075">
            <v>32</v>
          </cell>
          <cell r="V1075">
            <v>0</v>
          </cell>
          <cell r="W1075">
            <v>0</v>
          </cell>
          <cell r="AA1075">
            <v>0</v>
          </cell>
          <cell r="AB1075">
            <v>0</v>
          </cell>
          <cell r="AC1075">
            <v>0</v>
          </cell>
          <cell r="AD1075">
            <v>32</v>
          </cell>
          <cell r="AE1075">
            <v>143000</v>
          </cell>
          <cell r="AF1075">
            <v>0</v>
          </cell>
          <cell r="AI1075">
            <v>2223</v>
          </cell>
          <cell r="AK1075">
            <v>0</v>
          </cell>
          <cell r="AM1075">
            <v>246</v>
          </cell>
          <cell r="AN1075">
            <v>1</v>
          </cell>
          <cell r="AO1075">
            <v>393216</v>
          </cell>
          <cell r="AQ1075">
            <v>0</v>
          </cell>
          <cell r="AR1075">
            <v>0</v>
          </cell>
          <cell r="AS1075" t="str">
            <v>Ы</v>
          </cell>
          <cell r="AT1075" t="str">
            <v>Ы</v>
          </cell>
          <cell r="AU1075">
            <v>0</v>
          </cell>
          <cell r="AV1075">
            <v>0</v>
          </cell>
          <cell r="AW1075">
            <v>23</v>
          </cell>
          <cell r="AX1075">
            <v>1</v>
          </cell>
          <cell r="AY1075">
            <v>0</v>
          </cell>
          <cell r="AZ1075">
            <v>0</v>
          </cell>
          <cell r="BA1075">
            <v>0</v>
          </cell>
          <cell r="BB1075">
            <v>0</v>
          </cell>
          <cell r="BC1075">
            <v>38828</v>
          </cell>
        </row>
        <row r="1076">
          <cell r="A1076">
            <v>2006</v>
          </cell>
          <cell r="B1076">
            <v>1</v>
          </cell>
          <cell r="C1076">
            <v>120</v>
          </cell>
          <cell r="D1076">
            <v>20</v>
          </cell>
          <cell r="E1076">
            <v>792020</v>
          </cell>
          <cell r="F1076">
            <v>0</v>
          </cell>
          <cell r="G1076" t="str">
            <v>Затраты по ШПЗ (основные)</v>
          </cell>
          <cell r="H1076">
            <v>2011</v>
          </cell>
          <cell r="I1076">
            <v>7920</v>
          </cell>
          <cell r="J1076">
            <v>697981.22</v>
          </cell>
          <cell r="K1076">
            <v>1</v>
          </cell>
          <cell r="L1076">
            <v>0</v>
          </cell>
          <cell r="M1076">
            <v>0</v>
          </cell>
          <cell r="N1076">
            <v>0</v>
          </cell>
          <cell r="R1076">
            <v>0</v>
          </cell>
          <cell r="S1076">
            <v>0</v>
          </cell>
          <cell r="T1076">
            <v>0</v>
          </cell>
          <cell r="U1076">
            <v>32</v>
          </cell>
          <cell r="V1076">
            <v>0</v>
          </cell>
          <cell r="W1076">
            <v>0</v>
          </cell>
          <cell r="AA1076">
            <v>0</v>
          </cell>
          <cell r="AB1076">
            <v>0</v>
          </cell>
          <cell r="AC1076">
            <v>0</v>
          </cell>
          <cell r="AD1076">
            <v>32</v>
          </cell>
          <cell r="AE1076">
            <v>151000</v>
          </cell>
          <cell r="AF1076">
            <v>0</v>
          </cell>
          <cell r="AI1076">
            <v>2223</v>
          </cell>
          <cell r="AK1076">
            <v>0</v>
          </cell>
          <cell r="AM1076">
            <v>247</v>
          </cell>
          <cell r="AN1076">
            <v>1</v>
          </cell>
          <cell r="AO1076">
            <v>393216</v>
          </cell>
          <cell r="AQ1076">
            <v>0</v>
          </cell>
          <cell r="AR1076">
            <v>0</v>
          </cell>
          <cell r="AS1076" t="str">
            <v>Ы</v>
          </cell>
          <cell r="AT1076" t="str">
            <v>Ы</v>
          </cell>
          <cell r="AU1076">
            <v>0</v>
          </cell>
          <cell r="AV1076">
            <v>0</v>
          </cell>
          <cell r="AW1076">
            <v>23</v>
          </cell>
          <cell r="AX1076">
            <v>1</v>
          </cell>
          <cell r="AY1076">
            <v>0</v>
          </cell>
          <cell r="AZ1076">
            <v>0</v>
          </cell>
          <cell r="BA1076">
            <v>0</v>
          </cell>
          <cell r="BB1076">
            <v>0</v>
          </cell>
          <cell r="BC1076">
            <v>38828</v>
          </cell>
        </row>
        <row r="1077">
          <cell r="A1077">
            <v>2006</v>
          </cell>
          <cell r="B1077">
            <v>1</v>
          </cell>
          <cell r="C1077">
            <v>121</v>
          </cell>
          <cell r="D1077">
            <v>20</v>
          </cell>
          <cell r="E1077">
            <v>792020</v>
          </cell>
          <cell r="F1077">
            <v>0</v>
          </cell>
          <cell r="G1077" t="str">
            <v>Затраты по ШПЗ (основные)</v>
          </cell>
          <cell r="H1077">
            <v>2011</v>
          </cell>
          <cell r="I1077">
            <v>7920</v>
          </cell>
          <cell r="J1077">
            <v>73748.759999999995</v>
          </cell>
          <cell r="K1077">
            <v>1</v>
          </cell>
          <cell r="L1077">
            <v>0</v>
          </cell>
          <cell r="M1077">
            <v>0</v>
          </cell>
          <cell r="N1077">
            <v>0</v>
          </cell>
          <cell r="R1077">
            <v>0</v>
          </cell>
          <cell r="S1077">
            <v>0</v>
          </cell>
          <cell r="T1077">
            <v>0</v>
          </cell>
          <cell r="U1077">
            <v>32</v>
          </cell>
          <cell r="V1077">
            <v>0</v>
          </cell>
          <cell r="W1077">
            <v>0</v>
          </cell>
          <cell r="AA1077">
            <v>0</v>
          </cell>
          <cell r="AB1077">
            <v>0</v>
          </cell>
          <cell r="AC1077">
            <v>0</v>
          </cell>
          <cell r="AD1077">
            <v>32</v>
          </cell>
          <cell r="AE1077">
            <v>152000</v>
          </cell>
          <cell r="AF1077">
            <v>0</v>
          </cell>
          <cell r="AI1077">
            <v>2223</v>
          </cell>
          <cell r="AK1077">
            <v>0</v>
          </cell>
          <cell r="AM1077">
            <v>248</v>
          </cell>
          <cell r="AN1077">
            <v>1</v>
          </cell>
          <cell r="AO1077">
            <v>393216</v>
          </cell>
          <cell r="AQ1077">
            <v>0</v>
          </cell>
          <cell r="AR1077">
            <v>0</v>
          </cell>
          <cell r="AS1077" t="str">
            <v>Ы</v>
          </cell>
          <cell r="AT1077" t="str">
            <v>Ы</v>
          </cell>
          <cell r="AU1077">
            <v>0</v>
          </cell>
          <cell r="AV1077">
            <v>0</v>
          </cell>
          <cell r="AW1077">
            <v>23</v>
          </cell>
          <cell r="AX1077">
            <v>1</v>
          </cell>
          <cell r="AY1077">
            <v>0</v>
          </cell>
          <cell r="AZ1077">
            <v>0</v>
          </cell>
          <cell r="BA1077">
            <v>0</v>
          </cell>
          <cell r="BB1077">
            <v>0</v>
          </cell>
          <cell r="BC1077">
            <v>38828</v>
          </cell>
        </row>
        <row r="1078">
          <cell r="A1078">
            <v>2006</v>
          </cell>
          <cell r="B1078">
            <v>1</v>
          </cell>
          <cell r="C1078">
            <v>122</v>
          </cell>
          <cell r="D1078">
            <v>20</v>
          </cell>
          <cell r="E1078">
            <v>792020</v>
          </cell>
          <cell r="F1078">
            <v>0</v>
          </cell>
          <cell r="G1078" t="str">
            <v>Затраты по ШПЗ (основные)</v>
          </cell>
          <cell r="H1078">
            <v>2011</v>
          </cell>
          <cell r="I1078">
            <v>7920</v>
          </cell>
          <cell r="J1078">
            <v>3744304.74</v>
          </cell>
          <cell r="K1078">
            <v>1</v>
          </cell>
          <cell r="L1078">
            <v>0</v>
          </cell>
          <cell r="M1078">
            <v>0</v>
          </cell>
          <cell r="N1078">
            <v>0</v>
          </cell>
          <cell r="R1078">
            <v>0</v>
          </cell>
          <cell r="S1078">
            <v>0</v>
          </cell>
          <cell r="T1078">
            <v>0</v>
          </cell>
          <cell r="U1078">
            <v>32</v>
          </cell>
          <cell r="V1078">
            <v>0</v>
          </cell>
          <cell r="W1078">
            <v>0</v>
          </cell>
          <cell r="AA1078">
            <v>0</v>
          </cell>
          <cell r="AB1078">
            <v>0</v>
          </cell>
          <cell r="AC1078">
            <v>0</v>
          </cell>
          <cell r="AD1078">
            <v>32</v>
          </cell>
          <cell r="AE1078">
            <v>220000</v>
          </cell>
          <cell r="AF1078">
            <v>0</v>
          </cell>
          <cell r="AI1078">
            <v>2223</v>
          </cell>
          <cell r="AK1078">
            <v>0</v>
          </cell>
          <cell r="AM1078">
            <v>249</v>
          </cell>
          <cell r="AN1078">
            <v>1</v>
          </cell>
          <cell r="AO1078">
            <v>393216</v>
          </cell>
          <cell r="AQ1078">
            <v>0</v>
          </cell>
          <cell r="AR1078">
            <v>0</v>
          </cell>
          <cell r="AS1078" t="str">
            <v>Ы</v>
          </cell>
          <cell r="AT1078" t="str">
            <v>Ы</v>
          </cell>
          <cell r="AU1078">
            <v>0</v>
          </cell>
          <cell r="AV1078">
            <v>0</v>
          </cell>
          <cell r="AW1078">
            <v>23</v>
          </cell>
          <cell r="AX1078">
            <v>1</v>
          </cell>
          <cell r="AY1078">
            <v>0</v>
          </cell>
          <cell r="AZ1078">
            <v>0</v>
          </cell>
          <cell r="BA1078">
            <v>0</v>
          </cell>
          <cell r="BB1078">
            <v>0</v>
          </cell>
          <cell r="BC1078">
            <v>38828</v>
          </cell>
        </row>
        <row r="1079">
          <cell r="A1079">
            <v>2006</v>
          </cell>
          <cell r="B1079">
            <v>1</v>
          </cell>
          <cell r="C1079">
            <v>123</v>
          </cell>
          <cell r="D1079">
            <v>20</v>
          </cell>
          <cell r="E1079">
            <v>792020</v>
          </cell>
          <cell r="F1079">
            <v>0</v>
          </cell>
          <cell r="G1079" t="str">
            <v>Затраты по ШПЗ (основные)</v>
          </cell>
          <cell r="H1079">
            <v>2011</v>
          </cell>
          <cell r="I1079">
            <v>7920</v>
          </cell>
          <cell r="J1079">
            <v>1890729.29</v>
          </cell>
          <cell r="K1079">
            <v>1</v>
          </cell>
          <cell r="L1079">
            <v>0</v>
          </cell>
          <cell r="M1079">
            <v>0</v>
          </cell>
          <cell r="N1079">
            <v>0</v>
          </cell>
          <cell r="R1079">
            <v>0</v>
          </cell>
          <cell r="S1079">
            <v>0</v>
          </cell>
          <cell r="T1079">
            <v>0</v>
          </cell>
          <cell r="U1079">
            <v>32</v>
          </cell>
          <cell r="V1079">
            <v>0</v>
          </cell>
          <cell r="W1079">
            <v>0</v>
          </cell>
          <cell r="AA1079">
            <v>0</v>
          </cell>
          <cell r="AB1079">
            <v>0</v>
          </cell>
          <cell r="AC1079">
            <v>0</v>
          </cell>
          <cell r="AD1079">
            <v>32</v>
          </cell>
          <cell r="AE1079">
            <v>230000</v>
          </cell>
          <cell r="AF1079">
            <v>0</v>
          </cell>
          <cell r="AI1079">
            <v>2223</v>
          </cell>
          <cell r="AK1079">
            <v>0</v>
          </cell>
          <cell r="AM1079">
            <v>250</v>
          </cell>
          <cell r="AN1079">
            <v>1</v>
          </cell>
          <cell r="AO1079">
            <v>393216</v>
          </cell>
          <cell r="AQ1079">
            <v>0</v>
          </cell>
          <cell r="AR1079">
            <v>0</v>
          </cell>
          <cell r="AS1079" t="str">
            <v>Ы</v>
          </cell>
          <cell r="AT1079" t="str">
            <v>Ы</v>
          </cell>
          <cell r="AU1079">
            <v>0</v>
          </cell>
          <cell r="AV1079">
            <v>0</v>
          </cell>
          <cell r="AW1079">
            <v>23</v>
          </cell>
          <cell r="AX1079">
            <v>1</v>
          </cell>
          <cell r="AY1079">
            <v>0</v>
          </cell>
          <cell r="AZ1079">
            <v>0</v>
          </cell>
          <cell r="BA1079">
            <v>0</v>
          </cell>
          <cell r="BB1079">
            <v>0</v>
          </cell>
          <cell r="BC1079">
            <v>38828</v>
          </cell>
        </row>
        <row r="1080">
          <cell r="A1080">
            <v>2006</v>
          </cell>
          <cell r="B1080">
            <v>1</v>
          </cell>
          <cell r="C1080">
            <v>124</v>
          </cell>
          <cell r="D1080">
            <v>20</v>
          </cell>
          <cell r="E1080">
            <v>792020</v>
          </cell>
          <cell r="F1080">
            <v>0</v>
          </cell>
          <cell r="G1080" t="str">
            <v>Затраты по ШПЗ (основные)</v>
          </cell>
          <cell r="H1080">
            <v>2011</v>
          </cell>
          <cell r="I1080">
            <v>7920</v>
          </cell>
          <cell r="J1080">
            <v>109409.22</v>
          </cell>
          <cell r="K1080">
            <v>1</v>
          </cell>
          <cell r="L1080">
            <v>0</v>
          </cell>
          <cell r="M1080">
            <v>0</v>
          </cell>
          <cell r="N1080">
            <v>0</v>
          </cell>
          <cell r="R1080">
            <v>0</v>
          </cell>
          <cell r="S1080">
            <v>0</v>
          </cell>
          <cell r="T1080">
            <v>0</v>
          </cell>
          <cell r="U1080">
            <v>32</v>
          </cell>
          <cell r="V1080">
            <v>0</v>
          </cell>
          <cell r="W1080">
            <v>0</v>
          </cell>
          <cell r="AA1080">
            <v>0</v>
          </cell>
          <cell r="AB1080">
            <v>0</v>
          </cell>
          <cell r="AC1080">
            <v>0</v>
          </cell>
          <cell r="AD1080">
            <v>32</v>
          </cell>
          <cell r="AE1080">
            <v>260000</v>
          </cell>
          <cell r="AF1080">
            <v>0</v>
          </cell>
          <cell r="AI1080">
            <v>2223</v>
          </cell>
          <cell r="AK1080">
            <v>0</v>
          </cell>
          <cell r="AM1080">
            <v>251</v>
          </cell>
          <cell r="AN1080">
            <v>1</v>
          </cell>
          <cell r="AO1080">
            <v>393216</v>
          </cell>
          <cell r="AQ1080">
            <v>0</v>
          </cell>
          <cell r="AR1080">
            <v>0</v>
          </cell>
          <cell r="AS1080" t="str">
            <v>Ы</v>
          </cell>
          <cell r="AT1080" t="str">
            <v>Ы</v>
          </cell>
          <cell r="AU1080">
            <v>0</v>
          </cell>
          <cell r="AV1080">
            <v>0</v>
          </cell>
          <cell r="AW1080">
            <v>23</v>
          </cell>
          <cell r="AX1080">
            <v>1</v>
          </cell>
          <cell r="AY1080">
            <v>0</v>
          </cell>
          <cell r="AZ1080">
            <v>0</v>
          </cell>
          <cell r="BA1080">
            <v>0</v>
          </cell>
          <cell r="BB1080">
            <v>0</v>
          </cell>
          <cell r="BC1080">
            <v>38828</v>
          </cell>
        </row>
        <row r="1081">
          <cell r="A1081">
            <v>2006</v>
          </cell>
          <cell r="B1081">
            <v>1</v>
          </cell>
          <cell r="C1081">
            <v>125</v>
          </cell>
          <cell r="D1081">
            <v>20</v>
          </cell>
          <cell r="E1081">
            <v>792020</v>
          </cell>
          <cell r="F1081">
            <v>0</v>
          </cell>
          <cell r="G1081" t="str">
            <v>Затраты по ШПЗ (основные)</v>
          </cell>
          <cell r="H1081">
            <v>2011</v>
          </cell>
          <cell r="I1081">
            <v>7920</v>
          </cell>
          <cell r="J1081">
            <v>501788.25</v>
          </cell>
          <cell r="K1081">
            <v>1</v>
          </cell>
          <cell r="L1081">
            <v>0</v>
          </cell>
          <cell r="M1081">
            <v>0</v>
          </cell>
          <cell r="N1081">
            <v>0</v>
          </cell>
          <cell r="R1081">
            <v>0</v>
          </cell>
          <cell r="S1081">
            <v>0</v>
          </cell>
          <cell r="T1081">
            <v>0</v>
          </cell>
          <cell r="U1081">
            <v>32</v>
          </cell>
          <cell r="V1081">
            <v>0</v>
          </cell>
          <cell r="W1081">
            <v>0</v>
          </cell>
          <cell r="AA1081">
            <v>0</v>
          </cell>
          <cell r="AB1081">
            <v>0</v>
          </cell>
          <cell r="AC1081">
            <v>0</v>
          </cell>
          <cell r="AD1081">
            <v>32</v>
          </cell>
          <cell r="AE1081">
            <v>270000</v>
          </cell>
          <cell r="AF1081">
            <v>0</v>
          </cell>
          <cell r="AI1081">
            <v>2223</v>
          </cell>
          <cell r="AK1081">
            <v>0</v>
          </cell>
          <cell r="AM1081">
            <v>252</v>
          </cell>
          <cell r="AN1081">
            <v>1</v>
          </cell>
          <cell r="AO1081">
            <v>393216</v>
          </cell>
          <cell r="AQ1081">
            <v>0</v>
          </cell>
          <cell r="AR1081">
            <v>0</v>
          </cell>
          <cell r="AS1081" t="str">
            <v>Ы</v>
          </cell>
          <cell r="AT1081" t="str">
            <v>Ы</v>
          </cell>
          <cell r="AU1081">
            <v>0</v>
          </cell>
          <cell r="AV1081">
            <v>0</v>
          </cell>
          <cell r="AW1081">
            <v>23</v>
          </cell>
          <cell r="AX1081">
            <v>1</v>
          </cell>
          <cell r="AY1081">
            <v>0</v>
          </cell>
          <cell r="AZ1081">
            <v>0</v>
          </cell>
          <cell r="BA1081">
            <v>0</v>
          </cell>
          <cell r="BB1081">
            <v>0</v>
          </cell>
          <cell r="BC1081">
            <v>38828</v>
          </cell>
        </row>
        <row r="1082">
          <cell r="A1082">
            <v>2006</v>
          </cell>
          <cell r="B1082">
            <v>1</v>
          </cell>
          <cell r="C1082">
            <v>126</v>
          </cell>
          <cell r="D1082">
            <v>20</v>
          </cell>
          <cell r="E1082">
            <v>792020</v>
          </cell>
          <cell r="F1082">
            <v>0</v>
          </cell>
          <cell r="G1082" t="str">
            <v>Затраты по ШПЗ (основные)</v>
          </cell>
          <cell r="H1082">
            <v>2011</v>
          </cell>
          <cell r="I1082">
            <v>7920</v>
          </cell>
          <cell r="J1082">
            <v>28960.47</v>
          </cell>
          <cell r="K1082">
            <v>1</v>
          </cell>
          <cell r="L1082">
            <v>0</v>
          </cell>
          <cell r="M1082">
            <v>0</v>
          </cell>
          <cell r="N1082">
            <v>0</v>
          </cell>
          <cell r="R1082">
            <v>0</v>
          </cell>
          <cell r="S1082">
            <v>0</v>
          </cell>
          <cell r="T1082">
            <v>0</v>
          </cell>
          <cell r="U1082">
            <v>32</v>
          </cell>
          <cell r="V1082">
            <v>0</v>
          </cell>
          <cell r="W1082">
            <v>0</v>
          </cell>
          <cell r="AA1082">
            <v>0</v>
          </cell>
          <cell r="AB1082">
            <v>0</v>
          </cell>
          <cell r="AC1082">
            <v>0</v>
          </cell>
          <cell r="AD1082">
            <v>32</v>
          </cell>
          <cell r="AE1082">
            <v>280000</v>
          </cell>
          <cell r="AF1082">
            <v>0</v>
          </cell>
          <cell r="AI1082">
            <v>2223</v>
          </cell>
          <cell r="AK1082">
            <v>0</v>
          </cell>
          <cell r="AM1082">
            <v>253</v>
          </cell>
          <cell r="AN1082">
            <v>1</v>
          </cell>
          <cell r="AO1082">
            <v>393216</v>
          </cell>
          <cell r="AQ1082">
            <v>0</v>
          </cell>
          <cell r="AR1082">
            <v>0</v>
          </cell>
          <cell r="AS1082" t="str">
            <v>Ы</v>
          </cell>
          <cell r="AT1082" t="str">
            <v>Ы</v>
          </cell>
          <cell r="AU1082">
            <v>0</v>
          </cell>
          <cell r="AV1082">
            <v>0</v>
          </cell>
          <cell r="AW1082">
            <v>23</v>
          </cell>
          <cell r="AX1082">
            <v>1</v>
          </cell>
          <cell r="AY1082">
            <v>0</v>
          </cell>
          <cell r="AZ1082">
            <v>0</v>
          </cell>
          <cell r="BA1082">
            <v>0</v>
          </cell>
          <cell r="BB1082">
            <v>0</v>
          </cell>
          <cell r="BC1082">
            <v>38828</v>
          </cell>
        </row>
        <row r="1083">
          <cell r="A1083">
            <v>2006</v>
          </cell>
          <cell r="B1083">
            <v>1</v>
          </cell>
          <cell r="C1083">
            <v>127</v>
          </cell>
          <cell r="D1083">
            <v>20</v>
          </cell>
          <cell r="E1083">
            <v>792020</v>
          </cell>
          <cell r="F1083">
            <v>0</v>
          </cell>
          <cell r="G1083" t="str">
            <v>Затраты по ШПЗ (основные)</v>
          </cell>
          <cell r="H1083">
            <v>2011</v>
          </cell>
          <cell r="I1083">
            <v>7920</v>
          </cell>
          <cell r="J1083">
            <v>210512.68</v>
          </cell>
          <cell r="K1083">
            <v>1</v>
          </cell>
          <cell r="L1083">
            <v>0</v>
          </cell>
          <cell r="M1083">
            <v>0</v>
          </cell>
          <cell r="N1083">
            <v>0</v>
          </cell>
          <cell r="R1083">
            <v>0</v>
          </cell>
          <cell r="S1083">
            <v>0</v>
          </cell>
          <cell r="T1083">
            <v>0</v>
          </cell>
          <cell r="U1083">
            <v>32</v>
          </cell>
          <cell r="V1083">
            <v>0</v>
          </cell>
          <cell r="W1083">
            <v>0</v>
          </cell>
          <cell r="AA1083">
            <v>0</v>
          </cell>
          <cell r="AB1083">
            <v>0</v>
          </cell>
          <cell r="AC1083">
            <v>0</v>
          </cell>
          <cell r="AD1083">
            <v>32</v>
          </cell>
          <cell r="AE1083">
            <v>280100</v>
          </cell>
          <cell r="AF1083">
            <v>0</v>
          </cell>
          <cell r="AI1083">
            <v>2223</v>
          </cell>
          <cell r="AK1083">
            <v>0</v>
          </cell>
          <cell r="AM1083">
            <v>254</v>
          </cell>
          <cell r="AN1083">
            <v>1</v>
          </cell>
          <cell r="AO1083">
            <v>393216</v>
          </cell>
          <cell r="AQ1083">
            <v>0</v>
          </cell>
          <cell r="AR1083">
            <v>0</v>
          </cell>
          <cell r="AS1083" t="str">
            <v>Ы</v>
          </cell>
          <cell r="AT1083" t="str">
            <v>Ы</v>
          </cell>
          <cell r="AU1083">
            <v>0</v>
          </cell>
          <cell r="AV1083">
            <v>0</v>
          </cell>
          <cell r="AW1083">
            <v>23</v>
          </cell>
          <cell r="AX1083">
            <v>1</v>
          </cell>
          <cell r="AY1083">
            <v>0</v>
          </cell>
          <cell r="AZ1083">
            <v>0</v>
          </cell>
          <cell r="BA1083">
            <v>0</v>
          </cell>
          <cell r="BB1083">
            <v>0</v>
          </cell>
          <cell r="BC1083">
            <v>38828</v>
          </cell>
        </row>
        <row r="1084">
          <cell r="A1084">
            <v>2006</v>
          </cell>
          <cell r="B1084">
            <v>1</v>
          </cell>
          <cell r="C1084">
            <v>128</v>
          </cell>
          <cell r="D1084">
            <v>20</v>
          </cell>
          <cell r="E1084">
            <v>792020</v>
          </cell>
          <cell r="F1084">
            <v>0</v>
          </cell>
          <cell r="G1084" t="str">
            <v>Затраты по ШПЗ (основные)</v>
          </cell>
          <cell r="H1084">
            <v>2011</v>
          </cell>
          <cell r="I1084">
            <v>7920</v>
          </cell>
          <cell r="J1084">
            <v>26582.19</v>
          </cell>
          <cell r="K1084">
            <v>1</v>
          </cell>
          <cell r="L1084">
            <v>0</v>
          </cell>
          <cell r="M1084">
            <v>0</v>
          </cell>
          <cell r="N1084">
            <v>0</v>
          </cell>
          <cell r="R1084">
            <v>0</v>
          </cell>
          <cell r="S1084">
            <v>0</v>
          </cell>
          <cell r="T1084">
            <v>0</v>
          </cell>
          <cell r="U1084">
            <v>32</v>
          </cell>
          <cell r="V1084">
            <v>0</v>
          </cell>
          <cell r="W1084">
            <v>0</v>
          </cell>
          <cell r="AA1084">
            <v>0</v>
          </cell>
          <cell r="AB1084">
            <v>0</v>
          </cell>
          <cell r="AC1084">
            <v>0</v>
          </cell>
          <cell r="AD1084">
            <v>32</v>
          </cell>
          <cell r="AE1084">
            <v>280200</v>
          </cell>
          <cell r="AF1084">
            <v>0</v>
          </cell>
          <cell r="AI1084">
            <v>2223</v>
          </cell>
          <cell r="AK1084">
            <v>0</v>
          </cell>
          <cell r="AM1084">
            <v>255</v>
          </cell>
          <cell r="AN1084">
            <v>1</v>
          </cell>
          <cell r="AO1084">
            <v>393216</v>
          </cell>
          <cell r="AQ1084">
            <v>0</v>
          </cell>
          <cell r="AR1084">
            <v>0</v>
          </cell>
          <cell r="AS1084" t="str">
            <v>Ы</v>
          </cell>
          <cell r="AT1084" t="str">
            <v>Ы</v>
          </cell>
          <cell r="AU1084">
            <v>0</v>
          </cell>
          <cell r="AV1084">
            <v>0</v>
          </cell>
          <cell r="AW1084">
            <v>23</v>
          </cell>
          <cell r="AX1084">
            <v>1</v>
          </cell>
          <cell r="AY1084">
            <v>0</v>
          </cell>
          <cell r="AZ1084">
            <v>0</v>
          </cell>
          <cell r="BA1084">
            <v>0</v>
          </cell>
          <cell r="BB1084">
            <v>0</v>
          </cell>
          <cell r="BC1084">
            <v>38828</v>
          </cell>
        </row>
        <row r="1085">
          <cell r="A1085">
            <v>2006</v>
          </cell>
          <cell r="B1085">
            <v>1</v>
          </cell>
          <cell r="C1085">
            <v>129</v>
          </cell>
          <cell r="D1085">
            <v>20</v>
          </cell>
          <cell r="E1085">
            <v>792020</v>
          </cell>
          <cell r="F1085">
            <v>0</v>
          </cell>
          <cell r="G1085" t="str">
            <v>Затраты по ШПЗ (основные)</v>
          </cell>
          <cell r="H1085">
            <v>2011</v>
          </cell>
          <cell r="I1085">
            <v>7920</v>
          </cell>
          <cell r="J1085">
            <v>1135.43</v>
          </cell>
          <cell r="K1085">
            <v>1</v>
          </cell>
          <cell r="L1085">
            <v>0</v>
          </cell>
          <cell r="M1085">
            <v>0</v>
          </cell>
          <cell r="N1085">
            <v>0</v>
          </cell>
          <cell r="R1085">
            <v>0</v>
          </cell>
          <cell r="S1085">
            <v>0</v>
          </cell>
          <cell r="T1085">
            <v>0</v>
          </cell>
          <cell r="U1085">
            <v>32</v>
          </cell>
          <cell r="V1085">
            <v>0</v>
          </cell>
          <cell r="W1085">
            <v>0</v>
          </cell>
          <cell r="AA1085">
            <v>0</v>
          </cell>
          <cell r="AB1085">
            <v>0</v>
          </cell>
          <cell r="AC1085">
            <v>0</v>
          </cell>
          <cell r="AD1085">
            <v>32</v>
          </cell>
          <cell r="AE1085">
            <v>280300</v>
          </cell>
          <cell r="AF1085">
            <v>0</v>
          </cell>
          <cell r="AI1085">
            <v>2223</v>
          </cell>
          <cell r="AK1085">
            <v>0</v>
          </cell>
          <cell r="AM1085">
            <v>256</v>
          </cell>
          <cell r="AN1085">
            <v>1</v>
          </cell>
          <cell r="AO1085">
            <v>393216</v>
          </cell>
          <cell r="AQ1085">
            <v>0</v>
          </cell>
          <cell r="AR1085">
            <v>0</v>
          </cell>
          <cell r="AS1085" t="str">
            <v>Ы</v>
          </cell>
          <cell r="AT1085" t="str">
            <v>Ы</v>
          </cell>
          <cell r="AU1085">
            <v>0</v>
          </cell>
          <cell r="AV1085">
            <v>0</v>
          </cell>
          <cell r="AW1085">
            <v>23</v>
          </cell>
          <cell r="AX1085">
            <v>1</v>
          </cell>
          <cell r="AY1085">
            <v>0</v>
          </cell>
          <cell r="AZ1085">
            <v>0</v>
          </cell>
          <cell r="BA1085">
            <v>0</v>
          </cell>
          <cell r="BB1085">
            <v>0</v>
          </cell>
          <cell r="BC1085">
            <v>38828</v>
          </cell>
        </row>
        <row r="1086">
          <cell r="A1086">
            <v>2006</v>
          </cell>
          <cell r="B1086">
            <v>1</v>
          </cell>
          <cell r="C1086">
            <v>130</v>
          </cell>
          <cell r="D1086">
            <v>20</v>
          </cell>
          <cell r="E1086">
            <v>792020</v>
          </cell>
          <cell r="F1086">
            <v>0</v>
          </cell>
          <cell r="G1086" t="str">
            <v>Затраты по ШПЗ (основные)</v>
          </cell>
          <cell r="H1086">
            <v>2011</v>
          </cell>
          <cell r="I1086">
            <v>7920</v>
          </cell>
          <cell r="J1086">
            <v>292906.94</v>
          </cell>
          <cell r="K1086">
            <v>1</v>
          </cell>
          <cell r="L1086">
            <v>0</v>
          </cell>
          <cell r="M1086">
            <v>0</v>
          </cell>
          <cell r="N1086">
            <v>0</v>
          </cell>
          <cell r="R1086">
            <v>0</v>
          </cell>
          <cell r="S1086">
            <v>0</v>
          </cell>
          <cell r="T1086">
            <v>0</v>
          </cell>
          <cell r="U1086">
            <v>32</v>
          </cell>
          <cell r="V1086">
            <v>0</v>
          </cell>
          <cell r="W1086">
            <v>0</v>
          </cell>
          <cell r="AA1086">
            <v>0</v>
          </cell>
          <cell r="AB1086">
            <v>0</v>
          </cell>
          <cell r="AC1086">
            <v>0</v>
          </cell>
          <cell r="AD1086">
            <v>32</v>
          </cell>
          <cell r="AE1086">
            <v>280400</v>
          </cell>
          <cell r="AF1086">
            <v>0</v>
          </cell>
          <cell r="AI1086">
            <v>2223</v>
          </cell>
          <cell r="AK1086">
            <v>0</v>
          </cell>
          <cell r="AM1086">
            <v>257</v>
          </cell>
          <cell r="AN1086">
            <v>1</v>
          </cell>
          <cell r="AO1086">
            <v>393216</v>
          </cell>
          <cell r="AQ1086">
            <v>0</v>
          </cell>
          <cell r="AR1086">
            <v>0</v>
          </cell>
          <cell r="AS1086" t="str">
            <v>Ы</v>
          </cell>
          <cell r="AT1086" t="str">
            <v>Ы</v>
          </cell>
          <cell r="AU1086">
            <v>0</v>
          </cell>
          <cell r="AV1086">
            <v>0</v>
          </cell>
          <cell r="AW1086">
            <v>23</v>
          </cell>
          <cell r="AX1086">
            <v>1</v>
          </cell>
          <cell r="AY1086">
            <v>0</v>
          </cell>
          <cell r="AZ1086">
            <v>0</v>
          </cell>
          <cell r="BA1086">
            <v>0</v>
          </cell>
          <cell r="BB1086">
            <v>0</v>
          </cell>
          <cell r="BC1086">
            <v>38828</v>
          </cell>
        </row>
        <row r="1087">
          <cell r="A1087">
            <v>2006</v>
          </cell>
          <cell r="B1087">
            <v>1</v>
          </cell>
          <cell r="C1087">
            <v>131</v>
          </cell>
          <cell r="D1087">
            <v>20</v>
          </cell>
          <cell r="E1087">
            <v>792020</v>
          </cell>
          <cell r="F1087">
            <v>0</v>
          </cell>
          <cell r="G1087" t="str">
            <v>Затраты по ШПЗ (основные)</v>
          </cell>
          <cell r="H1087">
            <v>2011</v>
          </cell>
          <cell r="I1087">
            <v>7920</v>
          </cell>
          <cell r="J1087">
            <v>18752.68</v>
          </cell>
          <cell r="K1087">
            <v>1</v>
          </cell>
          <cell r="L1087">
            <v>0</v>
          </cell>
          <cell r="M1087">
            <v>0</v>
          </cell>
          <cell r="N1087">
            <v>0</v>
          </cell>
          <cell r="R1087">
            <v>0</v>
          </cell>
          <cell r="S1087">
            <v>0</v>
          </cell>
          <cell r="T1087">
            <v>0</v>
          </cell>
          <cell r="U1087">
            <v>32</v>
          </cell>
          <cell r="V1087">
            <v>0</v>
          </cell>
          <cell r="W1087">
            <v>0</v>
          </cell>
          <cell r="AA1087">
            <v>0</v>
          </cell>
          <cell r="AB1087">
            <v>0</v>
          </cell>
          <cell r="AC1087">
            <v>0</v>
          </cell>
          <cell r="AD1087">
            <v>32</v>
          </cell>
          <cell r="AE1087">
            <v>281100</v>
          </cell>
          <cell r="AF1087">
            <v>0</v>
          </cell>
          <cell r="AI1087">
            <v>2223</v>
          </cell>
          <cell r="AK1087">
            <v>0</v>
          </cell>
          <cell r="AM1087">
            <v>258</v>
          </cell>
          <cell r="AN1087">
            <v>1</v>
          </cell>
          <cell r="AO1087">
            <v>393216</v>
          </cell>
          <cell r="AQ1087">
            <v>0</v>
          </cell>
          <cell r="AR1087">
            <v>0</v>
          </cell>
          <cell r="AS1087" t="str">
            <v>Ы</v>
          </cell>
          <cell r="AT1087" t="str">
            <v>Ы</v>
          </cell>
          <cell r="AU1087">
            <v>0</v>
          </cell>
          <cell r="AV1087">
            <v>0</v>
          </cell>
          <cell r="AW1087">
            <v>23</v>
          </cell>
          <cell r="AX1087">
            <v>1</v>
          </cell>
          <cell r="AY1087">
            <v>0</v>
          </cell>
          <cell r="AZ1087">
            <v>0</v>
          </cell>
          <cell r="BA1087">
            <v>0</v>
          </cell>
          <cell r="BB1087">
            <v>0</v>
          </cell>
          <cell r="BC1087">
            <v>38828</v>
          </cell>
        </row>
        <row r="1088">
          <cell r="A1088">
            <v>2006</v>
          </cell>
          <cell r="B1088">
            <v>1</v>
          </cell>
          <cell r="C1088">
            <v>132</v>
          </cell>
          <cell r="D1088">
            <v>20</v>
          </cell>
          <cell r="E1088">
            <v>792020</v>
          </cell>
          <cell r="F1088">
            <v>0</v>
          </cell>
          <cell r="G1088" t="str">
            <v>Затраты по ШПЗ (основные)</v>
          </cell>
          <cell r="H1088">
            <v>2011</v>
          </cell>
          <cell r="I1088">
            <v>7920</v>
          </cell>
          <cell r="J1088">
            <v>7518.48</v>
          </cell>
          <cell r="K1088">
            <v>1</v>
          </cell>
          <cell r="L1088">
            <v>0</v>
          </cell>
          <cell r="M1088">
            <v>0</v>
          </cell>
          <cell r="N1088">
            <v>0</v>
          </cell>
          <cell r="R1088">
            <v>0</v>
          </cell>
          <cell r="S1088">
            <v>0</v>
          </cell>
          <cell r="T1088">
            <v>0</v>
          </cell>
          <cell r="U1088">
            <v>32</v>
          </cell>
          <cell r="V1088">
            <v>0</v>
          </cell>
          <cell r="W1088">
            <v>0</v>
          </cell>
          <cell r="AA1088">
            <v>0</v>
          </cell>
          <cell r="AB1088">
            <v>0</v>
          </cell>
          <cell r="AC1088">
            <v>0</v>
          </cell>
          <cell r="AD1088">
            <v>32</v>
          </cell>
          <cell r="AE1088">
            <v>282200</v>
          </cell>
          <cell r="AF1088">
            <v>0</v>
          </cell>
          <cell r="AI1088">
            <v>2223</v>
          </cell>
          <cell r="AK1088">
            <v>0</v>
          </cell>
          <cell r="AM1088">
            <v>259</v>
          </cell>
          <cell r="AN1088">
            <v>1</v>
          </cell>
          <cell r="AO1088">
            <v>393216</v>
          </cell>
          <cell r="AQ1088">
            <v>0</v>
          </cell>
          <cell r="AR1088">
            <v>0</v>
          </cell>
          <cell r="AS1088" t="str">
            <v>Ы</v>
          </cell>
          <cell r="AT1088" t="str">
            <v>Ы</v>
          </cell>
          <cell r="AU1088">
            <v>0</v>
          </cell>
          <cell r="AV1088">
            <v>0</v>
          </cell>
          <cell r="AW1088">
            <v>23</v>
          </cell>
          <cell r="AX1088">
            <v>1</v>
          </cell>
          <cell r="AY1088">
            <v>0</v>
          </cell>
          <cell r="AZ1088">
            <v>0</v>
          </cell>
          <cell r="BA1088">
            <v>0</v>
          </cell>
          <cell r="BB1088">
            <v>0</v>
          </cell>
          <cell r="BC1088">
            <v>38828</v>
          </cell>
        </row>
        <row r="1089">
          <cell r="A1089">
            <v>2006</v>
          </cell>
          <cell r="B1089">
            <v>1</v>
          </cell>
          <cell r="C1089">
            <v>133</v>
          </cell>
          <cell r="D1089">
            <v>20</v>
          </cell>
          <cell r="E1089">
            <v>792020</v>
          </cell>
          <cell r="F1089">
            <v>0</v>
          </cell>
          <cell r="G1089" t="str">
            <v>Затраты по ШПЗ (основные)</v>
          </cell>
          <cell r="H1089">
            <v>2011</v>
          </cell>
          <cell r="I1089">
            <v>7920</v>
          </cell>
          <cell r="J1089">
            <v>45460</v>
          </cell>
          <cell r="K1089">
            <v>1</v>
          </cell>
          <cell r="L1089">
            <v>0</v>
          </cell>
          <cell r="M1089">
            <v>0</v>
          </cell>
          <cell r="N1089">
            <v>0</v>
          </cell>
          <cell r="R1089">
            <v>0</v>
          </cell>
          <cell r="S1089">
            <v>0</v>
          </cell>
          <cell r="T1089">
            <v>0</v>
          </cell>
          <cell r="U1089">
            <v>32</v>
          </cell>
          <cell r="V1089">
            <v>0</v>
          </cell>
          <cell r="W1089">
            <v>0</v>
          </cell>
          <cell r="AA1089">
            <v>0</v>
          </cell>
          <cell r="AB1089">
            <v>0</v>
          </cell>
          <cell r="AC1089">
            <v>0</v>
          </cell>
          <cell r="AD1089">
            <v>32</v>
          </cell>
          <cell r="AE1089">
            <v>283000</v>
          </cell>
          <cell r="AF1089">
            <v>0</v>
          </cell>
          <cell r="AI1089">
            <v>2223</v>
          </cell>
          <cell r="AK1089">
            <v>0</v>
          </cell>
          <cell r="AM1089">
            <v>260</v>
          </cell>
          <cell r="AN1089">
            <v>1</v>
          </cell>
          <cell r="AO1089">
            <v>393216</v>
          </cell>
          <cell r="AQ1089">
            <v>0</v>
          </cell>
          <cell r="AR1089">
            <v>0</v>
          </cell>
          <cell r="AS1089" t="str">
            <v>Ы</v>
          </cell>
          <cell r="AT1089" t="str">
            <v>Ы</v>
          </cell>
          <cell r="AU1089">
            <v>0</v>
          </cell>
          <cell r="AV1089">
            <v>0</v>
          </cell>
          <cell r="AW1089">
            <v>23</v>
          </cell>
          <cell r="AX1089">
            <v>1</v>
          </cell>
          <cell r="AY1089">
            <v>0</v>
          </cell>
          <cell r="AZ1089">
            <v>0</v>
          </cell>
          <cell r="BA1089">
            <v>0</v>
          </cell>
          <cell r="BB1089">
            <v>0</v>
          </cell>
          <cell r="BC1089">
            <v>38828</v>
          </cell>
        </row>
        <row r="1090">
          <cell r="A1090">
            <v>2006</v>
          </cell>
          <cell r="B1090">
            <v>1</v>
          </cell>
          <cell r="C1090">
            <v>134</v>
          </cell>
          <cell r="D1090">
            <v>20</v>
          </cell>
          <cell r="E1090">
            <v>792020</v>
          </cell>
          <cell r="F1090">
            <v>0</v>
          </cell>
          <cell r="G1090" t="str">
            <v>Затраты по ШПЗ (основные)</v>
          </cell>
          <cell r="H1090">
            <v>2011</v>
          </cell>
          <cell r="I1090">
            <v>7920</v>
          </cell>
          <cell r="J1090">
            <v>17503.66</v>
          </cell>
          <cell r="K1090">
            <v>1</v>
          </cell>
          <cell r="L1090">
            <v>0</v>
          </cell>
          <cell r="M1090">
            <v>0</v>
          </cell>
          <cell r="N1090">
            <v>0</v>
          </cell>
          <cell r="R1090">
            <v>0</v>
          </cell>
          <cell r="S1090">
            <v>0</v>
          </cell>
          <cell r="T1090">
            <v>0</v>
          </cell>
          <cell r="U1090">
            <v>32</v>
          </cell>
          <cell r="V1090">
            <v>0</v>
          </cell>
          <cell r="W1090">
            <v>0</v>
          </cell>
          <cell r="AA1090">
            <v>0</v>
          </cell>
          <cell r="AB1090">
            <v>0</v>
          </cell>
          <cell r="AC1090">
            <v>0</v>
          </cell>
          <cell r="AD1090">
            <v>32</v>
          </cell>
          <cell r="AE1090">
            <v>285000</v>
          </cell>
          <cell r="AF1090">
            <v>0</v>
          </cell>
          <cell r="AI1090">
            <v>2223</v>
          </cell>
          <cell r="AK1090">
            <v>0</v>
          </cell>
          <cell r="AM1090">
            <v>261</v>
          </cell>
          <cell r="AN1090">
            <v>1</v>
          </cell>
          <cell r="AO1090">
            <v>393216</v>
          </cell>
          <cell r="AQ1090">
            <v>0</v>
          </cell>
          <cell r="AR1090">
            <v>0</v>
          </cell>
          <cell r="AS1090" t="str">
            <v>Ы</v>
          </cell>
          <cell r="AT1090" t="str">
            <v>Ы</v>
          </cell>
          <cell r="AU1090">
            <v>0</v>
          </cell>
          <cell r="AV1090">
            <v>0</v>
          </cell>
          <cell r="AW1090">
            <v>23</v>
          </cell>
          <cell r="AX1090">
            <v>1</v>
          </cell>
          <cell r="AY1090">
            <v>0</v>
          </cell>
          <cell r="AZ1090">
            <v>0</v>
          </cell>
          <cell r="BA1090">
            <v>0</v>
          </cell>
          <cell r="BB1090">
            <v>0</v>
          </cell>
          <cell r="BC1090">
            <v>38828</v>
          </cell>
        </row>
        <row r="1091">
          <cell r="A1091">
            <v>2006</v>
          </cell>
          <cell r="B1091">
            <v>1</v>
          </cell>
          <cell r="C1091">
            <v>135</v>
          </cell>
          <cell r="D1091">
            <v>20</v>
          </cell>
          <cell r="E1091">
            <v>792020</v>
          </cell>
          <cell r="F1091">
            <v>0</v>
          </cell>
          <cell r="G1091" t="str">
            <v>Затраты по ШПЗ (основные)</v>
          </cell>
          <cell r="H1091">
            <v>2011</v>
          </cell>
          <cell r="I1091">
            <v>7920</v>
          </cell>
          <cell r="J1091">
            <v>197453.69</v>
          </cell>
          <cell r="K1091">
            <v>1</v>
          </cell>
          <cell r="L1091">
            <v>0</v>
          </cell>
          <cell r="M1091">
            <v>0</v>
          </cell>
          <cell r="N1091">
            <v>0</v>
          </cell>
          <cell r="R1091">
            <v>0</v>
          </cell>
          <cell r="S1091">
            <v>0</v>
          </cell>
          <cell r="T1091">
            <v>0</v>
          </cell>
          <cell r="U1091">
            <v>32</v>
          </cell>
          <cell r="V1091">
            <v>0</v>
          </cell>
          <cell r="W1091">
            <v>0</v>
          </cell>
          <cell r="AA1091">
            <v>0</v>
          </cell>
          <cell r="AB1091">
            <v>0</v>
          </cell>
          <cell r="AC1091">
            <v>0</v>
          </cell>
          <cell r="AD1091">
            <v>32</v>
          </cell>
          <cell r="AE1091">
            <v>311000</v>
          </cell>
          <cell r="AF1091">
            <v>0</v>
          </cell>
          <cell r="AI1091">
            <v>2223</v>
          </cell>
          <cell r="AK1091">
            <v>0</v>
          </cell>
          <cell r="AM1091">
            <v>262</v>
          </cell>
          <cell r="AN1091">
            <v>1</v>
          </cell>
          <cell r="AO1091">
            <v>393216</v>
          </cell>
          <cell r="AQ1091">
            <v>0</v>
          </cell>
          <cell r="AR1091">
            <v>0</v>
          </cell>
          <cell r="AS1091" t="str">
            <v>Ы</v>
          </cell>
          <cell r="AT1091" t="str">
            <v>Ы</v>
          </cell>
          <cell r="AU1091">
            <v>0</v>
          </cell>
          <cell r="AV1091">
            <v>0</v>
          </cell>
          <cell r="AW1091">
            <v>23</v>
          </cell>
          <cell r="AX1091">
            <v>1</v>
          </cell>
          <cell r="AY1091">
            <v>0</v>
          </cell>
          <cell r="AZ1091">
            <v>0</v>
          </cell>
          <cell r="BA1091">
            <v>0</v>
          </cell>
          <cell r="BB1091">
            <v>0</v>
          </cell>
          <cell r="BC1091">
            <v>38828</v>
          </cell>
        </row>
        <row r="1092">
          <cell r="A1092">
            <v>2006</v>
          </cell>
          <cell r="B1092">
            <v>1</v>
          </cell>
          <cell r="C1092">
            <v>136</v>
          </cell>
          <cell r="D1092">
            <v>20</v>
          </cell>
          <cell r="E1092">
            <v>792020</v>
          </cell>
          <cell r="F1092">
            <v>0</v>
          </cell>
          <cell r="G1092" t="str">
            <v>Затраты по ШПЗ (основные)</v>
          </cell>
          <cell r="H1092">
            <v>2011</v>
          </cell>
          <cell r="I1092">
            <v>7920</v>
          </cell>
          <cell r="J1092">
            <v>1370140.53</v>
          </cell>
          <cell r="K1092">
            <v>1</v>
          </cell>
          <cell r="L1092">
            <v>0</v>
          </cell>
          <cell r="M1092">
            <v>0</v>
          </cell>
          <cell r="N1092">
            <v>0</v>
          </cell>
          <cell r="R1092">
            <v>0</v>
          </cell>
          <cell r="S1092">
            <v>0</v>
          </cell>
          <cell r="T1092">
            <v>0</v>
          </cell>
          <cell r="U1092">
            <v>32</v>
          </cell>
          <cell r="V1092">
            <v>0</v>
          </cell>
          <cell r="W1092">
            <v>0</v>
          </cell>
          <cell r="AA1092">
            <v>0</v>
          </cell>
          <cell r="AB1092">
            <v>0</v>
          </cell>
          <cell r="AC1092">
            <v>0</v>
          </cell>
          <cell r="AD1092">
            <v>32</v>
          </cell>
          <cell r="AE1092">
            <v>312000</v>
          </cell>
          <cell r="AF1092">
            <v>0</v>
          </cell>
          <cell r="AI1092">
            <v>2223</v>
          </cell>
          <cell r="AK1092">
            <v>0</v>
          </cell>
          <cell r="AM1092">
            <v>263</v>
          </cell>
          <cell r="AN1092">
            <v>1</v>
          </cell>
          <cell r="AO1092">
            <v>393216</v>
          </cell>
          <cell r="AQ1092">
            <v>0</v>
          </cell>
          <cell r="AR1092">
            <v>0</v>
          </cell>
          <cell r="AS1092" t="str">
            <v>Ы</v>
          </cell>
          <cell r="AT1092" t="str">
            <v>Ы</v>
          </cell>
          <cell r="AU1092">
            <v>0</v>
          </cell>
          <cell r="AV1092">
            <v>0</v>
          </cell>
          <cell r="AW1092">
            <v>23</v>
          </cell>
          <cell r="AX1092">
            <v>1</v>
          </cell>
          <cell r="AY1092">
            <v>0</v>
          </cell>
          <cell r="AZ1092">
            <v>0</v>
          </cell>
          <cell r="BA1092">
            <v>0</v>
          </cell>
          <cell r="BB1092">
            <v>0</v>
          </cell>
          <cell r="BC1092">
            <v>38828</v>
          </cell>
        </row>
        <row r="1093">
          <cell r="A1093">
            <v>2006</v>
          </cell>
          <cell r="B1093">
            <v>1</v>
          </cell>
          <cell r="C1093">
            <v>137</v>
          </cell>
          <cell r="D1093">
            <v>20</v>
          </cell>
          <cell r="E1093">
            <v>792020</v>
          </cell>
          <cell r="F1093">
            <v>0</v>
          </cell>
          <cell r="G1093" t="str">
            <v>Затраты по ШПЗ (основные)</v>
          </cell>
          <cell r="H1093">
            <v>2011</v>
          </cell>
          <cell r="I1093">
            <v>7920</v>
          </cell>
          <cell r="J1093">
            <v>74722.759999999995</v>
          </cell>
          <cell r="K1093">
            <v>1</v>
          </cell>
          <cell r="L1093">
            <v>0</v>
          </cell>
          <cell r="M1093">
            <v>0</v>
          </cell>
          <cell r="N1093">
            <v>0</v>
          </cell>
          <cell r="R1093">
            <v>0</v>
          </cell>
          <cell r="S1093">
            <v>0</v>
          </cell>
          <cell r="T1093">
            <v>0</v>
          </cell>
          <cell r="U1093">
            <v>32</v>
          </cell>
          <cell r="V1093">
            <v>0</v>
          </cell>
          <cell r="W1093">
            <v>0</v>
          </cell>
          <cell r="AA1093">
            <v>0</v>
          </cell>
          <cell r="AB1093">
            <v>0</v>
          </cell>
          <cell r="AC1093">
            <v>0</v>
          </cell>
          <cell r="AD1093">
            <v>32</v>
          </cell>
          <cell r="AE1093">
            <v>313000</v>
          </cell>
          <cell r="AF1093">
            <v>0</v>
          </cell>
          <cell r="AI1093">
            <v>2223</v>
          </cell>
          <cell r="AK1093">
            <v>0</v>
          </cell>
          <cell r="AM1093">
            <v>264</v>
          </cell>
          <cell r="AN1093">
            <v>1</v>
          </cell>
          <cell r="AO1093">
            <v>393216</v>
          </cell>
          <cell r="AQ1093">
            <v>0</v>
          </cell>
          <cell r="AR1093">
            <v>0</v>
          </cell>
          <cell r="AS1093" t="str">
            <v>Ы</v>
          </cell>
          <cell r="AT1093" t="str">
            <v>Ы</v>
          </cell>
          <cell r="AU1093">
            <v>0</v>
          </cell>
          <cell r="AV1093">
            <v>0</v>
          </cell>
          <cell r="AW1093">
            <v>23</v>
          </cell>
          <cell r="AX1093">
            <v>1</v>
          </cell>
          <cell r="AY1093">
            <v>0</v>
          </cell>
          <cell r="AZ1093">
            <v>0</v>
          </cell>
          <cell r="BA1093">
            <v>0</v>
          </cell>
          <cell r="BB1093">
            <v>0</v>
          </cell>
          <cell r="BC1093">
            <v>38828</v>
          </cell>
        </row>
        <row r="1094">
          <cell r="A1094">
            <v>2006</v>
          </cell>
          <cell r="B1094">
            <v>1</v>
          </cell>
          <cell r="C1094">
            <v>138</v>
          </cell>
          <cell r="D1094">
            <v>20</v>
          </cell>
          <cell r="E1094">
            <v>792020</v>
          </cell>
          <cell r="F1094">
            <v>0</v>
          </cell>
          <cell r="G1094" t="str">
            <v>Затраты по ШПЗ (основные)</v>
          </cell>
          <cell r="H1094">
            <v>2011</v>
          </cell>
          <cell r="I1094">
            <v>7920</v>
          </cell>
          <cell r="J1094">
            <v>136088.29</v>
          </cell>
          <cell r="K1094">
            <v>1</v>
          </cell>
          <cell r="L1094">
            <v>0</v>
          </cell>
          <cell r="M1094">
            <v>0</v>
          </cell>
          <cell r="N1094">
            <v>0</v>
          </cell>
          <cell r="R1094">
            <v>0</v>
          </cell>
          <cell r="S1094">
            <v>0</v>
          </cell>
          <cell r="T1094">
            <v>0</v>
          </cell>
          <cell r="U1094">
            <v>32</v>
          </cell>
          <cell r="V1094">
            <v>0</v>
          </cell>
          <cell r="W1094">
            <v>0</v>
          </cell>
          <cell r="AA1094">
            <v>0</v>
          </cell>
          <cell r="AB1094">
            <v>0</v>
          </cell>
          <cell r="AC1094">
            <v>0</v>
          </cell>
          <cell r="AD1094">
            <v>32</v>
          </cell>
          <cell r="AE1094">
            <v>314000</v>
          </cell>
          <cell r="AF1094">
            <v>0</v>
          </cell>
          <cell r="AI1094">
            <v>2223</v>
          </cell>
          <cell r="AK1094">
            <v>0</v>
          </cell>
          <cell r="AM1094">
            <v>265</v>
          </cell>
          <cell r="AN1094">
            <v>1</v>
          </cell>
          <cell r="AO1094">
            <v>393216</v>
          </cell>
          <cell r="AQ1094">
            <v>0</v>
          </cell>
          <cell r="AR1094">
            <v>0</v>
          </cell>
          <cell r="AS1094" t="str">
            <v>Ы</v>
          </cell>
          <cell r="AT1094" t="str">
            <v>Ы</v>
          </cell>
          <cell r="AU1094">
            <v>0</v>
          </cell>
          <cell r="AV1094">
            <v>0</v>
          </cell>
          <cell r="AW1094">
            <v>23</v>
          </cell>
          <cell r="AX1094">
            <v>1</v>
          </cell>
          <cell r="AY1094">
            <v>0</v>
          </cell>
          <cell r="AZ1094">
            <v>0</v>
          </cell>
          <cell r="BA1094">
            <v>0</v>
          </cell>
          <cell r="BB1094">
            <v>0</v>
          </cell>
          <cell r="BC1094">
            <v>38828</v>
          </cell>
        </row>
        <row r="1095">
          <cell r="A1095">
            <v>2006</v>
          </cell>
          <cell r="B1095">
            <v>1</v>
          </cell>
          <cell r="C1095">
            <v>139</v>
          </cell>
          <cell r="D1095">
            <v>20</v>
          </cell>
          <cell r="E1095">
            <v>792020</v>
          </cell>
          <cell r="F1095">
            <v>0</v>
          </cell>
          <cell r="G1095" t="str">
            <v>Затраты по ШПЗ (основные)</v>
          </cell>
          <cell r="H1095">
            <v>2011</v>
          </cell>
          <cell r="I1095">
            <v>7920</v>
          </cell>
          <cell r="J1095">
            <v>27376.34</v>
          </cell>
          <cell r="K1095">
            <v>1</v>
          </cell>
          <cell r="L1095">
            <v>0</v>
          </cell>
          <cell r="M1095">
            <v>0</v>
          </cell>
          <cell r="N1095">
            <v>0</v>
          </cell>
          <cell r="R1095">
            <v>0</v>
          </cell>
          <cell r="S1095">
            <v>0</v>
          </cell>
          <cell r="T1095">
            <v>0</v>
          </cell>
          <cell r="U1095">
            <v>32</v>
          </cell>
          <cell r="V1095">
            <v>0</v>
          </cell>
          <cell r="W1095">
            <v>0</v>
          </cell>
          <cell r="AA1095">
            <v>0</v>
          </cell>
          <cell r="AB1095">
            <v>0</v>
          </cell>
          <cell r="AC1095">
            <v>0</v>
          </cell>
          <cell r="AD1095">
            <v>32</v>
          </cell>
          <cell r="AE1095">
            <v>315000</v>
          </cell>
          <cell r="AF1095">
            <v>0</v>
          </cell>
          <cell r="AI1095">
            <v>2223</v>
          </cell>
          <cell r="AK1095">
            <v>0</v>
          </cell>
          <cell r="AM1095">
            <v>266</v>
          </cell>
          <cell r="AN1095">
            <v>1</v>
          </cell>
          <cell r="AO1095">
            <v>393216</v>
          </cell>
          <cell r="AQ1095">
            <v>0</v>
          </cell>
          <cell r="AR1095">
            <v>0</v>
          </cell>
          <cell r="AS1095" t="str">
            <v>Ы</v>
          </cell>
          <cell r="AT1095" t="str">
            <v>Ы</v>
          </cell>
          <cell r="AU1095">
            <v>0</v>
          </cell>
          <cell r="AV1095">
            <v>0</v>
          </cell>
          <cell r="AW1095">
            <v>23</v>
          </cell>
          <cell r="AX1095">
            <v>1</v>
          </cell>
          <cell r="AY1095">
            <v>0</v>
          </cell>
          <cell r="AZ1095">
            <v>0</v>
          </cell>
          <cell r="BA1095">
            <v>0</v>
          </cell>
          <cell r="BB1095">
            <v>0</v>
          </cell>
          <cell r="BC1095">
            <v>38828</v>
          </cell>
        </row>
        <row r="1096">
          <cell r="A1096">
            <v>2006</v>
          </cell>
          <cell r="B1096">
            <v>1</v>
          </cell>
          <cell r="C1096">
            <v>140</v>
          </cell>
          <cell r="D1096">
            <v>20</v>
          </cell>
          <cell r="E1096">
            <v>792020</v>
          </cell>
          <cell r="F1096">
            <v>0</v>
          </cell>
          <cell r="G1096" t="str">
            <v>Затраты по ШПЗ (основные)</v>
          </cell>
          <cell r="H1096">
            <v>2011</v>
          </cell>
          <cell r="I1096">
            <v>7920</v>
          </cell>
          <cell r="J1096">
            <v>1323294.8600000001</v>
          </cell>
          <cell r="K1096">
            <v>1</v>
          </cell>
          <cell r="L1096">
            <v>0</v>
          </cell>
          <cell r="M1096">
            <v>0</v>
          </cell>
          <cell r="N1096">
            <v>0</v>
          </cell>
          <cell r="R1096">
            <v>0</v>
          </cell>
          <cell r="S1096">
            <v>0</v>
          </cell>
          <cell r="T1096">
            <v>0</v>
          </cell>
          <cell r="U1096">
            <v>32</v>
          </cell>
          <cell r="V1096">
            <v>0</v>
          </cell>
          <cell r="W1096">
            <v>0</v>
          </cell>
          <cell r="AA1096">
            <v>0</v>
          </cell>
          <cell r="AB1096">
            <v>0</v>
          </cell>
          <cell r="AC1096">
            <v>0</v>
          </cell>
          <cell r="AD1096">
            <v>32</v>
          </cell>
          <cell r="AE1096">
            <v>410000</v>
          </cell>
          <cell r="AF1096">
            <v>0</v>
          </cell>
          <cell r="AI1096">
            <v>2223</v>
          </cell>
          <cell r="AK1096">
            <v>0</v>
          </cell>
          <cell r="AM1096">
            <v>267</v>
          </cell>
          <cell r="AN1096">
            <v>1</v>
          </cell>
          <cell r="AO1096">
            <v>393216</v>
          </cell>
          <cell r="AQ1096">
            <v>0</v>
          </cell>
          <cell r="AR1096">
            <v>0</v>
          </cell>
          <cell r="AS1096" t="str">
            <v>Ы</v>
          </cell>
          <cell r="AT1096" t="str">
            <v>Ы</v>
          </cell>
          <cell r="AU1096">
            <v>0</v>
          </cell>
          <cell r="AV1096">
            <v>0</v>
          </cell>
          <cell r="AW1096">
            <v>23</v>
          </cell>
          <cell r="AX1096">
            <v>1</v>
          </cell>
          <cell r="AY1096">
            <v>0</v>
          </cell>
          <cell r="AZ1096">
            <v>0</v>
          </cell>
          <cell r="BA1096">
            <v>0</v>
          </cell>
          <cell r="BB1096">
            <v>0</v>
          </cell>
          <cell r="BC1096">
            <v>38828</v>
          </cell>
        </row>
        <row r="1097">
          <cell r="A1097">
            <v>2006</v>
          </cell>
          <cell r="B1097">
            <v>1</v>
          </cell>
          <cell r="C1097">
            <v>141</v>
          </cell>
          <cell r="D1097">
            <v>20</v>
          </cell>
          <cell r="E1097">
            <v>792020</v>
          </cell>
          <cell r="F1097">
            <v>0</v>
          </cell>
          <cell r="G1097" t="str">
            <v>Затраты по ШПЗ (основные)</v>
          </cell>
          <cell r="H1097">
            <v>2011</v>
          </cell>
          <cell r="I1097">
            <v>7920</v>
          </cell>
          <cell r="J1097">
            <v>380222.66</v>
          </cell>
          <cell r="K1097">
            <v>1</v>
          </cell>
          <cell r="L1097">
            <v>0</v>
          </cell>
          <cell r="M1097">
            <v>0</v>
          </cell>
          <cell r="N1097">
            <v>0</v>
          </cell>
          <cell r="R1097">
            <v>0</v>
          </cell>
          <cell r="S1097">
            <v>0</v>
          </cell>
          <cell r="T1097">
            <v>0</v>
          </cell>
          <cell r="U1097">
            <v>32</v>
          </cell>
          <cell r="V1097">
            <v>0</v>
          </cell>
          <cell r="W1097">
            <v>0</v>
          </cell>
          <cell r="AA1097">
            <v>0</v>
          </cell>
          <cell r="AB1097">
            <v>0</v>
          </cell>
          <cell r="AC1097">
            <v>0</v>
          </cell>
          <cell r="AD1097">
            <v>32</v>
          </cell>
          <cell r="AE1097">
            <v>420000</v>
          </cell>
          <cell r="AF1097">
            <v>0</v>
          </cell>
          <cell r="AI1097">
            <v>2223</v>
          </cell>
          <cell r="AK1097">
            <v>0</v>
          </cell>
          <cell r="AM1097">
            <v>268</v>
          </cell>
          <cell r="AN1097">
            <v>1</v>
          </cell>
          <cell r="AO1097">
            <v>393216</v>
          </cell>
          <cell r="AQ1097">
            <v>0</v>
          </cell>
          <cell r="AR1097">
            <v>0</v>
          </cell>
          <cell r="AS1097" t="str">
            <v>Ы</v>
          </cell>
          <cell r="AT1097" t="str">
            <v>Ы</v>
          </cell>
          <cell r="AU1097">
            <v>0</v>
          </cell>
          <cell r="AV1097">
            <v>0</v>
          </cell>
          <cell r="AW1097">
            <v>23</v>
          </cell>
          <cell r="AX1097">
            <v>1</v>
          </cell>
          <cell r="AY1097">
            <v>0</v>
          </cell>
          <cell r="AZ1097">
            <v>0</v>
          </cell>
          <cell r="BA1097">
            <v>0</v>
          </cell>
          <cell r="BB1097">
            <v>0</v>
          </cell>
          <cell r="BC1097">
            <v>38828</v>
          </cell>
        </row>
        <row r="1098">
          <cell r="A1098">
            <v>2006</v>
          </cell>
          <cell r="B1098">
            <v>1</v>
          </cell>
          <cell r="C1098">
            <v>142</v>
          </cell>
          <cell r="D1098">
            <v>20</v>
          </cell>
          <cell r="E1098">
            <v>792020</v>
          </cell>
          <cell r="F1098">
            <v>0</v>
          </cell>
          <cell r="G1098" t="str">
            <v>Затраты по ШПЗ (основные)</v>
          </cell>
          <cell r="H1098">
            <v>2011</v>
          </cell>
          <cell r="I1098">
            <v>7920</v>
          </cell>
          <cell r="J1098">
            <v>155344.88</v>
          </cell>
          <cell r="K1098">
            <v>1</v>
          </cell>
          <cell r="L1098">
            <v>0</v>
          </cell>
          <cell r="M1098">
            <v>0</v>
          </cell>
          <cell r="N1098">
            <v>0</v>
          </cell>
          <cell r="R1098">
            <v>0</v>
          </cell>
          <cell r="S1098">
            <v>0</v>
          </cell>
          <cell r="T1098">
            <v>0</v>
          </cell>
          <cell r="U1098">
            <v>32</v>
          </cell>
          <cell r="V1098">
            <v>0</v>
          </cell>
          <cell r="W1098">
            <v>0</v>
          </cell>
          <cell r="AA1098">
            <v>0</v>
          </cell>
          <cell r="AB1098">
            <v>0</v>
          </cell>
          <cell r="AC1098">
            <v>0</v>
          </cell>
          <cell r="AD1098">
            <v>32</v>
          </cell>
          <cell r="AE1098">
            <v>430000</v>
          </cell>
          <cell r="AF1098">
            <v>0</v>
          </cell>
          <cell r="AI1098">
            <v>2223</v>
          </cell>
          <cell r="AK1098">
            <v>0</v>
          </cell>
          <cell r="AM1098">
            <v>269</v>
          </cell>
          <cell r="AN1098">
            <v>1</v>
          </cell>
          <cell r="AO1098">
            <v>393216</v>
          </cell>
          <cell r="AQ1098">
            <v>0</v>
          </cell>
          <cell r="AR1098">
            <v>0</v>
          </cell>
          <cell r="AS1098" t="str">
            <v>Ы</v>
          </cell>
          <cell r="AT1098" t="str">
            <v>Ы</v>
          </cell>
          <cell r="AU1098">
            <v>0</v>
          </cell>
          <cell r="AV1098">
            <v>0</v>
          </cell>
          <cell r="AW1098">
            <v>23</v>
          </cell>
          <cell r="AX1098">
            <v>1</v>
          </cell>
          <cell r="AY1098">
            <v>0</v>
          </cell>
          <cell r="AZ1098">
            <v>0</v>
          </cell>
          <cell r="BA1098">
            <v>0</v>
          </cell>
          <cell r="BB1098">
            <v>0</v>
          </cell>
          <cell r="BC1098">
            <v>38828</v>
          </cell>
        </row>
        <row r="1099">
          <cell r="A1099">
            <v>2006</v>
          </cell>
          <cell r="B1099">
            <v>1</v>
          </cell>
          <cell r="C1099">
            <v>143</v>
          </cell>
          <cell r="D1099">
            <v>20</v>
          </cell>
          <cell r="E1099">
            <v>792020</v>
          </cell>
          <cell r="F1099">
            <v>0</v>
          </cell>
          <cell r="G1099" t="str">
            <v>Затраты по ШПЗ (основные)</v>
          </cell>
          <cell r="H1099">
            <v>2011</v>
          </cell>
          <cell r="I1099">
            <v>7920</v>
          </cell>
          <cell r="J1099">
            <v>516288</v>
          </cell>
          <cell r="K1099">
            <v>1</v>
          </cell>
          <cell r="L1099">
            <v>0</v>
          </cell>
          <cell r="M1099">
            <v>0</v>
          </cell>
          <cell r="N1099">
            <v>0</v>
          </cell>
          <cell r="R1099">
            <v>0</v>
          </cell>
          <cell r="S1099">
            <v>0</v>
          </cell>
          <cell r="T1099">
            <v>0</v>
          </cell>
          <cell r="U1099">
            <v>32</v>
          </cell>
          <cell r="V1099">
            <v>0</v>
          </cell>
          <cell r="W1099">
            <v>0</v>
          </cell>
          <cell r="AA1099">
            <v>0</v>
          </cell>
          <cell r="AB1099">
            <v>0</v>
          </cell>
          <cell r="AC1099">
            <v>0</v>
          </cell>
          <cell r="AD1099">
            <v>32</v>
          </cell>
          <cell r="AE1099">
            <v>430110</v>
          </cell>
          <cell r="AF1099">
            <v>0</v>
          </cell>
          <cell r="AI1099">
            <v>2223</v>
          </cell>
          <cell r="AK1099">
            <v>0</v>
          </cell>
          <cell r="AM1099">
            <v>270</v>
          </cell>
          <cell r="AN1099">
            <v>1</v>
          </cell>
          <cell r="AO1099">
            <v>393216</v>
          </cell>
          <cell r="AQ1099">
            <v>0</v>
          </cell>
          <cell r="AR1099">
            <v>0</v>
          </cell>
          <cell r="AS1099" t="str">
            <v>Ы</v>
          </cell>
          <cell r="AT1099" t="str">
            <v>Ы</v>
          </cell>
          <cell r="AU1099">
            <v>0</v>
          </cell>
          <cell r="AV1099">
            <v>0</v>
          </cell>
          <cell r="AW1099">
            <v>23</v>
          </cell>
          <cell r="AX1099">
            <v>1</v>
          </cell>
          <cell r="AY1099">
            <v>0</v>
          </cell>
          <cell r="AZ1099">
            <v>0</v>
          </cell>
          <cell r="BA1099">
            <v>0</v>
          </cell>
          <cell r="BB1099">
            <v>0</v>
          </cell>
          <cell r="BC1099">
            <v>38828</v>
          </cell>
        </row>
        <row r="1100">
          <cell r="A1100">
            <v>2006</v>
          </cell>
          <cell r="B1100">
            <v>1</v>
          </cell>
          <cell r="C1100">
            <v>144</v>
          </cell>
          <cell r="D1100">
            <v>20</v>
          </cell>
          <cell r="E1100">
            <v>792020</v>
          </cell>
          <cell r="F1100">
            <v>0</v>
          </cell>
          <cell r="G1100" t="str">
            <v>Затраты по ШПЗ (основные)</v>
          </cell>
          <cell r="H1100">
            <v>2011</v>
          </cell>
          <cell r="I1100">
            <v>7920</v>
          </cell>
          <cell r="J1100">
            <v>255584</v>
          </cell>
          <cell r="K1100">
            <v>1</v>
          </cell>
          <cell r="L1100">
            <v>0</v>
          </cell>
          <cell r="M1100">
            <v>0</v>
          </cell>
          <cell r="N1100">
            <v>0</v>
          </cell>
          <cell r="R1100">
            <v>0</v>
          </cell>
          <cell r="S1100">
            <v>0</v>
          </cell>
          <cell r="T1100">
            <v>0</v>
          </cell>
          <cell r="U1100">
            <v>32</v>
          </cell>
          <cell r="V1100">
            <v>0</v>
          </cell>
          <cell r="W1100">
            <v>0</v>
          </cell>
          <cell r="AA1100">
            <v>0</v>
          </cell>
          <cell r="AB1100">
            <v>0</v>
          </cell>
          <cell r="AC1100">
            <v>0</v>
          </cell>
          <cell r="AD1100">
            <v>32</v>
          </cell>
          <cell r="AE1100">
            <v>430120</v>
          </cell>
          <cell r="AF1100">
            <v>0</v>
          </cell>
          <cell r="AI1100">
            <v>2223</v>
          </cell>
          <cell r="AK1100">
            <v>0</v>
          </cell>
          <cell r="AM1100">
            <v>271</v>
          </cell>
          <cell r="AN1100">
            <v>1</v>
          </cell>
          <cell r="AO1100">
            <v>393216</v>
          </cell>
          <cell r="AQ1100">
            <v>0</v>
          </cell>
          <cell r="AR1100">
            <v>0</v>
          </cell>
          <cell r="AS1100" t="str">
            <v>Ы</v>
          </cell>
          <cell r="AT1100" t="str">
            <v>Ы</v>
          </cell>
          <cell r="AU1100">
            <v>0</v>
          </cell>
          <cell r="AV1100">
            <v>0</v>
          </cell>
          <cell r="AW1100">
            <v>23</v>
          </cell>
          <cell r="AX1100">
            <v>1</v>
          </cell>
          <cell r="AY1100">
            <v>0</v>
          </cell>
          <cell r="AZ1100">
            <v>0</v>
          </cell>
          <cell r="BA1100">
            <v>0</v>
          </cell>
          <cell r="BB1100">
            <v>0</v>
          </cell>
          <cell r="BC1100">
            <v>38828</v>
          </cell>
        </row>
        <row r="1101">
          <cell r="A1101">
            <v>2006</v>
          </cell>
          <cell r="B1101">
            <v>1</v>
          </cell>
          <cell r="C1101">
            <v>145</v>
          </cell>
          <cell r="D1101">
            <v>20</v>
          </cell>
          <cell r="E1101">
            <v>792020</v>
          </cell>
          <cell r="F1101">
            <v>0</v>
          </cell>
          <cell r="G1101" t="str">
            <v>Затраты по ШПЗ (основные)</v>
          </cell>
          <cell r="H1101">
            <v>2011</v>
          </cell>
          <cell r="I1101">
            <v>7920</v>
          </cell>
          <cell r="J1101">
            <v>929408</v>
          </cell>
          <cell r="K1101">
            <v>1</v>
          </cell>
          <cell r="L1101">
            <v>0</v>
          </cell>
          <cell r="M1101">
            <v>0</v>
          </cell>
          <cell r="N1101">
            <v>0</v>
          </cell>
          <cell r="R1101">
            <v>0</v>
          </cell>
          <cell r="S1101">
            <v>0</v>
          </cell>
          <cell r="T1101">
            <v>0</v>
          </cell>
          <cell r="U1101">
            <v>32</v>
          </cell>
          <cell r="V1101">
            <v>0</v>
          </cell>
          <cell r="W1101">
            <v>0</v>
          </cell>
          <cell r="AA1101">
            <v>0</v>
          </cell>
          <cell r="AB1101">
            <v>0</v>
          </cell>
          <cell r="AC1101">
            <v>0</v>
          </cell>
          <cell r="AD1101">
            <v>32</v>
          </cell>
          <cell r="AE1101">
            <v>430130</v>
          </cell>
          <cell r="AF1101">
            <v>0</v>
          </cell>
          <cell r="AI1101">
            <v>2223</v>
          </cell>
          <cell r="AK1101">
            <v>0</v>
          </cell>
          <cell r="AM1101">
            <v>272</v>
          </cell>
          <cell r="AN1101">
            <v>1</v>
          </cell>
          <cell r="AO1101">
            <v>393216</v>
          </cell>
          <cell r="AQ1101">
            <v>0</v>
          </cell>
          <cell r="AR1101">
            <v>0</v>
          </cell>
          <cell r="AS1101" t="str">
            <v>Ы</v>
          </cell>
          <cell r="AT1101" t="str">
            <v>Ы</v>
          </cell>
          <cell r="AU1101">
            <v>0</v>
          </cell>
          <cell r="AV1101">
            <v>0</v>
          </cell>
          <cell r="AW1101">
            <v>23</v>
          </cell>
          <cell r="AX1101">
            <v>1</v>
          </cell>
          <cell r="AY1101">
            <v>0</v>
          </cell>
          <cell r="AZ1101">
            <v>0</v>
          </cell>
          <cell r="BA1101">
            <v>0</v>
          </cell>
          <cell r="BB1101">
            <v>0</v>
          </cell>
          <cell r="BC1101">
            <v>38828</v>
          </cell>
        </row>
        <row r="1102">
          <cell r="A1102">
            <v>2006</v>
          </cell>
          <cell r="B1102">
            <v>1</v>
          </cell>
          <cell r="C1102">
            <v>146</v>
          </cell>
          <cell r="D1102">
            <v>20</v>
          </cell>
          <cell r="E1102">
            <v>792020</v>
          </cell>
          <cell r="F1102">
            <v>0</v>
          </cell>
          <cell r="G1102" t="str">
            <v>Затраты по ШПЗ (основные)</v>
          </cell>
          <cell r="H1102">
            <v>2011</v>
          </cell>
          <cell r="I1102">
            <v>7920</v>
          </cell>
          <cell r="J1102">
            <v>846377</v>
          </cell>
          <cell r="K1102">
            <v>1</v>
          </cell>
          <cell r="L1102">
            <v>0</v>
          </cell>
          <cell r="M1102">
            <v>0</v>
          </cell>
          <cell r="N1102">
            <v>0</v>
          </cell>
          <cell r="R1102">
            <v>0</v>
          </cell>
          <cell r="S1102">
            <v>0</v>
          </cell>
          <cell r="T1102">
            <v>0</v>
          </cell>
          <cell r="U1102">
            <v>32</v>
          </cell>
          <cell r="V1102">
            <v>0</v>
          </cell>
          <cell r="W1102">
            <v>0</v>
          </cell>
          <cell r="AA1102">
            <v>0</v>
          </cell>
          <cell r="AB1102">
            <v>0</v>
          </cell>
          <cell r="AC1102">
            <v>0</v>
          </cell>
          <cell r="AD1102">
            <v>32</v>
          </cell>
          <cell r="AE1102">
            <v>430140</v>
          </cell>
          <cell r="AF1102">
            <v>0</v>
          </cell>
          <cell r="AI1102">
            <v>2223</v>
          </cell>
          <cell r="AK1102">
            <v>0</v>
          </cell>
          <cell r="AM1102">
            <v>273</v>
          </cell>
          <cell r="AN1102">
            <v>1</v>
          </cell>
          <cell r="AO1102">
            <v>393216</v>
          </cell>
          <cell r="AQ1102">
            <v>0</v>
          </cell>
          <cell r="AR1102">
            <v>0</v>
          </cell>
          <cell r="AS1102" t="str">
            <v>Ы</v>
          </cell>
          <cell r="AT1102" t="str">
            <v>Ы</v>
          </cell>
          <cell r="AU1102">
            <v>0</v>
          </cell>
          <cell r="AV1102">
            <v>0</v>
          </cell>
          <cell r="AW1102">
            <v>23</v>
          </cell>
          <cell r="AX1102">
            <v>1</v>
          </cell>
          <cell r="AY1102">
            <v>0</v>
          </cell>
          <cell r="AZ1102">
            <v>0</v>
          </cell>
          <cell r="BA1102">
            <v>0</v>
          </cell>
          <cell r="BB1102">
            <v>0</v>
          </cell>
          <cell r="BC1102">
            <v>38828</v>
          </cell>
        </row>
        <row r="1103">
          <cell r="A1103">
            <v>2006</v>
          </cell>
          <cell r="B1103">
            <v>1</v>
          </cell>
          <cell r="C1103">
            <v>147</v>
          </cell>
          <cell r="D1103">
            <v>20</v>
          </cell>
          <cell r="E1103">
            <v>792020</v>
          </cell>
          <cell r="F1103">
            <v>0</v>
          </cell>
          <cell r="G1103" t="str">
            <v>Затраты по ШПЗ (основные)</v>
          </cell>
          <cell r="H1103">
            <v>2011</v>
          </cell>
          <cell r="I1103">
            <v>7920</v>
          </cell>
          <cell r="J1103">
            <v>214030</v>
          </cell>
          <cell r="K1103">
            <v>1</v>
          </cell>
          <cell r="L1103">
            <v>0</v>
          </cell>
          <cell r="M1103">
            <v>0</v>
          </cell>
          <cell r="N1103">
            <v>0</v>
          </cell>
          <cell r="R1103">
            <v>0</v>
          </cell>
          <cell r="S1103">
            <v>0</v>
          </cell>
          <cell r="T1103">
            <v>0</v>
          </cell>
          <cell r="U1103">
            <v>32</v>
          </cell>
          <cell r="V1103">
            <v>0</v>
          </cell>
          <cell r="W1103">
            <v>0</v>
          </cell>
          <cell r="AA1103">
            <v>0</v>
          </cell>
          <cell r="AB1103">
            <v>0</v>
          </cell>
          <cell r="AC1103">
            <v>0</v>
          </cell>
          <cell r="AD1103">
            <v>32</v>
          </cell>
          <cell r="AE1103">
            <v>430230</v>
          </cell>
          <cell r="AF1103">
            <v>0</v>
          </cell>
          <cell r="AI1103">
            <v>2223</v>
          </cell>
          <cell r="AK1103">
            <v>0</v>
          </cell>
          <cell r="AM1103">
            <v>274</v>
          </cell>
          <cell r="AN1103">
            <v>1</v>
          </cell>
          <cell r="AO1103">
            <v>393216</v>
          </cell>
          <cell r="AQ1103">
            <v>0</v>
          </cell>
          <cell r="AR1103">
            <v>0</v>
          </cell>
          <cell r="AS1103" t="str">
            <v>Ы</v>
          </cell>
          <cell r="AT1103" t="str">
            <v>Ы</v>
          </cell>
          <cell r="AU1103">
            <v>0</v>
          </cell>
          <cell r="AV1103">
            <v>0</v>
          </cell>
          <cell r="AW1103">
            <v>23</v>
          </cell>
          <cell r="AX1103">
            <v>1</v>
          </cell>
          <cell r="AY1103">
            <v>0</v>
          </cell>
          <cell r="AZ1103">
            <v>0</v>
          </cell>
          <cell r="BA1103">
            <v>0</v>
          </cell>
          <cell r="BB1103">
            <v>0</v>
          </cell>
          <cell r="BC1103">
            <v>38828</v>
          </cell>
        </row>
        <row r="1104">
          <cell r="A1104">
            <v>2006</v>
          </cell>
          <cell r="B1104">
            <v>1</v>
          </cell>
          <cell r="C1104">
            <v>148</v>
          </cell>
          <cell r="D1104">
            <v>20</v>
          </cell>
          <cell r="E1104">
            <v>792020</v>
          </cell>
          <cell r="F1104">
            <v>0</v>
          </cell>
          <cell r="G1104" t="str">
            <v>Затраты по ШПЗ (основные)</v>
          </cell>
          <cell r="H1104">
            <v>2011</v>
          </cell>
          <cell r="I1104">
            <v>7920</v>
          </cell>
          <cell r="J1104">
            <v>229653</v>
          </cell>
          <cell r="K1104">
            <v>1</v>
          </cell>
          <cell r="L1104">
            <v>0</v>
          </cell>
          <cell r="M1104">
            <v>0</v>
          </cell>
          <cell r="N1104">
            <v>0</v>
          </cell>
          <cell r="R1104">
            <v>0</v>
          </cell>
          <cell r="S1104">
            <v>0</v>
          </cell>
          <cell r="T1104">
            <v>0</v>
          </cell>
          <cell r="U1104">
            <v>32</v>
          </cell>
          <cell r="V1104">
            <v>0</v>
          </cell>
          <cell r="W1104">
            <v>0</v>
          </cell>
          <cell r="AA1104">
            <v>0</v>
          </cell>
          <cell r="AB1104">
            <v>0</v>
          </cell>
          <cell r="AC1104">
            <v>0</v>
          </cell>
          <cell r="AD1104">
            <v>32</v>
          </cell>
          <cell r="AE1104">
            <v>430240</v>
          </cell>
          <cell r="AF1104">
            <v>0</v>
          </cell>
          <cell r="AI1104">
            <v>2223</v>
          </cell>
          <cell r="AK1104">
            <v>0</v>
          </cell>
          <cell r="AM1104">
            <v>275</v>
          </cell>
          <cell r="AN1104">
            <v>1</v>
          </cell>
          <cell r="AO1104">
            <v>393216</v>
          </cell>
          <cell r="AQ1104">
            <v>0</v>
          </cell>
          <cell r="AR1104">
            <v>0</v>
          </cell>
          <cell r="AS1104" t="str">
            <v>Ы</v>
          </cell>
          <cell r="AT1104" t="str">
            <v>Ы</v>
          </cell>
          <cell r="AU1104">
            <v>0</v>
          </cell>
          <cell r="AV1104">
            <v>0</v>
          </cell>
          <cell r="AW1104">
            <v>23</v>
          </cell>
          <cell r="AX1104">
            <v>1</v>
          </cell>
          <cell r="AY1104">
            <v>0</v>
          </cell>
          <cell r="AZ1104">
            <v>0</v>
          </cell>
          <cell r="BA1104">
            <v>0</v>
          </cell>
          <cell r="BB1104">
            <v>0</v>
          </cell>
          <cell r="BC1104">
            <v>38828</v>
          </cell>
        </row>
        <row r="1105">
          <cell r="A1105">
            <v>2006</v>
          </cell>
          <cell r="B1105">
            <v>1</v>
          </cell>
          <cell r="C1105">
            <v>149</v>
          </cell>
          <cell r="D1105">
            <v>20</v>
          </cell>
          <cell r="E1105">
            <v>792020</v>
          </cell>
          <cell r="F1105">
            <v>0</v>
          </cell>
          <cell r="G1105" t="str">
            <v>Затраты по ШПЗ (основные)</v>
          </cell>
          <cell r="H1105">
            <v>2011</v>
          </cell>
          <cell r="I1105">
            <v>7920</v>
          </cell>
          <cell r="J1105">
            <v>108373.3</v>
          </cell>
          <cell r="K1105">
            <v>1</v>
          </cell>
          <cell r="L1105">
            <v>0</v>
          </cell>
          <cell r="M1105">
            <v>0</v>
          </cell>
          <cell r="N1105">
            <v>0</v>
          </cell>
          <cell r="R1105">
            <v>0</v>
          </cell>
          <cell r="S1105">
            <v>0</v>
          </cell>
          <cell r="T1105">
            <v>0</v>
          </cell>
          <cell r="U1105">
            <v>32</v>
          </cell>
          <cell r="V1105">
            <v>0</v>
          </cell>
          <cell r="W1105">
            <v>0</v>
          </cell>
          <cell r="AA1105">
            <v>0</v>
          </cell>
          <cell r="AB1105">
            <v>0</v>
          </cell>
          <cell r="AC1105">
            <v>0</v>
          </cell>
          <cell r="AD1105">
            <v>32</v>
          </cell>
          <cell r="AE1105">
            <v>450000</v>
          </cell>
          <cell r="AF1105">
            <v>0</v>
          </cell>
          <cell r="AI1105">
            <v>2223</v>
          </cell>
          <cell r="AK1105">
            <v>0</v>
          </cell>
          <cell r="AM1105">
            <v>276</v>
          </cell>
          <cell r="AN1105">
            <v>1</v>
          </cell>
          <cell r="AO1105">
            <v>393216</v>
          </cell>
          <cell r="AQ1105">
            <v>0</v>
          </cell>
          <cell r="AR1105">
            <v>0</v>
          </cell>
          <cell r="AS1105" t="str">
            <v>Ы</v>
          </cell>
          <cell r="AT1105" t="str">
            <v>Ы</v>
          </cell>
          <cell r="AU1105">
            <v>0</v>
          </cell>
          <cell r="AV1105">
            <v>0</v>
          </cell>
          <cell r="AW1105">
            <v>23</v>
          </cell>
          <cell r="AX1105">
            <v>1</v>
          </cell>
          <cell r="AY1105">
            <v>0</v>
          </cell>
          <cell r="AZ1105">
            <v>0</v>
          </cell>
          <cell r="BA1105">
            <v>0</v>
          </cell>
          <cell r="BB1105">
            <v>0</v>
          </cell>
          <cell r="BC1105">
            <v>38828</v>
          </cell>
        </row>
        <row r="1106">
          <cell r="A1106">
            <v>2006</v>
          </cell>
          <cell r="B1106">
            <v>1</v>
          </cell>
          <cell r="C1106">
            <v>150</v>
          </cell>
          <cell r="D1106">
            <v>20</v>
          </cell>
          <cell r="E1106">
            <v>792020</v>
          </cell>
          <cell r="F1106">
            <v>0</v>
          </cell>
          <cell r="G1106" t="str">
            <v>Затраты по ШПЗ (основные)</v>
          </cell>
          <cell r="H1106">
            <v>2011</v>
          </cell>
          <cell r="I1106">
            <v>7920</v>
          </cell>
          <cell r="J1106">
            <v>18785.849999999999</v>
          </cell>
          <cell r="K1106">
            <v>1</v>
          </cell>
          <cell r="L1106">
            <v>0</v>
          </cell>
          <cell r="M1106">
            <v>0</v>
          </cell>
          <cell r="N1106">
            <v>0</v>
          </cell>
          <cell r="R1106">
            <v>0</v>
          </cell>
          <cell r="S1106">
            <v>0</v>
          </cell>
          <cell r="T1106">
            <v>0</v>
          </cell>
          <cell r="U1106">
            <v>32</v>
          </cell>
          <cell r="V1106">
            <v>0</v>
          </cell>
          <cell r="W1106">
            <v>0</v>
          </cell>
          <cell r="AA1106">
            <v>0</v>
          </cell>
          <cell r="AB1106">
            <v>0</v>
          </cell>
          <cell r="AC1106">
            <v>0</v>
          </cell>
          <cell r="AD1106">
            <v>32</v>
          </cell>
          <cell r="AE1106">
            <v>460000</v>
          </cell>
          <cell r="AF1106">
            <v>0</v>
          </cell>
          <cell r="AI1106">
            <v>2223</v>
          </cell>
          <cell r="AK1106">
            <v>0</v>
          </cell>
          <cell r="AM1106">
            <v>277</v>
          </cell>
          <cell r="AN1106">
            <v>1</v>
          </cell>
          <cell r="AO1106">
            <v>393216</v>
          </cell>
          <cell r="AQ1106">
            <v>0</v>
          </cell>
          <cell r="AR1106">
            <v>0</v>
          </cell>
          <cell r="AS1106" t="str">
            <v>Ы</v>
          </cell>
          <cell r="AT1106" t="str">
            <v>Ы</v>
          </cell>
          <cell r="AU1106">
            <v>0</v>
          </cell>
          <cell r="AV1106">
            <v>0</v>
          </cell>
          <cell r="AW1106">
            <v>23</v>
          </cell>
          <cell r="AX1106">
            <v>1</v>
          </cell>
          <cell r="AY1106">
            <v>0</v>
          </cell>
          <cell r="AZ1106">
            <v>0</v>
          </cell>
          <cell r="BA1106">
            <v>0</v>
          </cell>
          <cell r="BB1106">
            <v>0</v>
          </cell>
          <cell r="BC1106">
            <v>38828</v>
          </cell>
        </row>
        <row r="1107">
          <cell r="A1107">
            <v>2006</v>
          </cell>
          <cell r="B1107">
            <v>1</v>
          </cell>
          <cell r="C1107">
            <v>151</v>
          </cell>
          <cell r="D1107">
            <v>20</v>
          </cell>
          <cell r="E1107">
            <v>792020</v>
          </cell>
          <cell r="F1107">
            <v>0</v>
          </cell>
          <cell r="G1107" t="str">
            <v>Затраты по ШПЗ (основные)</v>
          </cell>
          <cell r="H1107">
            <v>2011</v>
          </cell>
          <cell r="I1107">
            <v>7920</v>
          </cell>
          <cell r="J1107">
            <v>25329.47</v>
          </cell>
          <cell r="K1107">
            <v>1</v>
          </cell>
          <cell r="L1107">
            <v>0</v>
          </cell>
          <cell r="M1107">
            <v>0</v>
          </cell>
          <cell r="N1107">
            <v>0</v>
          </cell>
          <cell r="R1107">
            <v>0</v>
          </cell>
          <cell r="S1107">
            <v>0</v>
          </cell>
          <cell r="T1107">
            <v>0</v>
          </cell>
          <cell r="U1107">
            <v>32</v>
          </cell>
          <cell r="V1107">
            <v>0</v>
          </cell>
          <cell r="W1107">
            <v>0</v>
          </cell>
          <cell r="AA1107">
            <v>0</v>
          </cell>
          <cell r="AB1107">
            <v>0</v>
          </cell>
          <cell r="AC1107">
            <v>0</v>
          </cell>
          <cell r="AD1107">
            <v>32</v>
          </cell>
          <cell r="AE1107">
            <v>465000</v>
          </cell>
          <cell r="AF1107">
            <v>0</v>
          </cell>
          <cell r="AI1107">
            <v>2223</v>
          </cell>
          <cell r="AK1107">
            <v>0</v>
          </cell>
          <cell r="AM1107">
            <v>278</v>
          </cell>
          <cell r="AN1107">
            <v>1</v>
          </cell>
          <cell r="AO1107">
            <v>393216</v>
          </cell>
          <cell r="AQ1107">
            <v>0</v>
          </cell>
          <cell r="AR1107">
            <v>0</v>
          </cell>
          <cell r="AS1107" t="str">
            <v>Ы</v>
          </cell>
          <cell r="AT1107" t="str">
            <v>Ы</v>
          </cell>
          <cell r="AU1107">
            <v>0</v>
          </cell>
          <cell r="AV1107">
            <v>0</v>
          </cell>
          <cell r="AW1107">
            <v>23</v>
          </cell>
          <cell r="AX1107">
            <v>1</v>
          </cell>
          <cell r="AY1107">
            <v>0</v>
          </cell>
          <cell r="AZ1107">
            <v>0</v>
          </cell>
          <cell r="BA1107">
            <v>0</v>
          </cell>
          <cell r="BB1107">
            <v>0</v>
          </cell>
          <cell r="BC1107">
            <v>38828</v>
          </cell>
        </row>
        <row r="1108">
          <cell r="A1108">
            <v>2006</v>
          </cell>
          <cell r="B1108">
            <v>1</v>
          </cell>
          <cell r="C1108">
            <v>152</v>
          </cell>
          <cell r="D1108">
            <v>20</v>
          </cell>
          <cell r="E1108">
            <v>792020</v>
          </cell>
          <cell r="F1108">
            <v>0</v>
          </cell>
          <cell r="G1108" t="str">
            <v>Затраты по ШПЗ (основные)</v>
          </cell>
          <cell r="H1108">
            <v>2011</v>
          </cell>
          <cell r="I1108">
            <v>7920</v>
          </cell>
          <cell r="J1108">
            <v>8965.76</v>
          </cell>
          <cell r="K1108">
            <v>1</v>
          </cell>
          <cell r="L1108">
            <v>0</v>
          </cell>
          <cell r="M1108">
            <v>0</v>
          </cell>
          <cell r="N1108">
            <v>0</v>
          </cell>
          <cell r="R1108">
            <v>0</v>
          </cell>
          <cell r="S1108">
            <v>0</v>
          </cell>
          <cell r="T1108">
            <v>0</v>
          </cell>
          <cell r="U1108">
            <v>32</v>
          </cell>
          <cell r="V1108">
            <v>0</v>
          </cell>
          <cell r="W1108">
            <v>0</v>
          </cell>
          <cell r="AA1108">
            <v>0</v>
          </cell>
          <cell r="AB1108">
            <v>0</v>
          </cell>
          <cell r="AC1108">
            <v>0</v>
          </cell>
          <cell r="AD1108">
            <v>32</v>
          </cell>
          <cell r="AE1108">
            <v>502100</v>
          </cell>
          <cell r="AF1108">
            <v>0</v>
          </cell>
          <cell r="AI1108">
            <v>2223</v>
          </cell>
          <cell r="AK1108">
            <v>0</v>
          </cell>
          <cell r="AM1108">
            <v>279</v>
          </cell>
          <cell r="AN1108">
            <v>1</v>
          </cell>
          <cell r="AO1108">
            <v>393216</v>
          </cell>
          <cell r="AQ1108">
            <v>0</v>
          </cell>
          <cell r="AR1108">
            <v>0</v>
          </cell>
          <cell r="AS1108" t="str">
            <v>Ы</v>
          </cell>
          <cell r="AT1108" t="str">
            <v>Ы</v>
          </cell>
          <cell r="AU1108">
            <v>0</v>
          </cell>
          <cell r="AV1108">
            <v>0</v>
          </cell>
          <cell r="AW1108">
            <v>23</v>
          </cell>
          <cell r="AX1108">
            <v>1</v>
          </cell>
          <cell r="AY1108">
            <v>0</v>
          </cell>
          <cell r="AZ1108">
            <v>0</v>
          </cell>
          <cell r="BA1108">
            <v>0</v>
          </cell>
          <cell r="BB1108">
            <v>0</v>
          </cell>
          <cell r="BC1108">
            <v>38828</v>
          </cell>
        </row>
        <row r="1109">
          <cell r="A1109">
            <v>2006</v>
          </cell>
          <cell r="B1109">
            <v>1</v>
          </cell>
          <cell r="C1109">
            <v>153</v>
          </cell>
          <cell r="D1109">
            <v>20</v>
          </cell>
          <cell r="E1109">
            <v>792020</v>
          </cell>
          <cell r="F1109">
            <v>0</v>
          </cell>
          <cell r="G1109" t="str">
            <v>Затраты по ШПЗ (основные)</v>
          </cell>
          <cell r="H1109">
            <v>2011</v>
          </cell>
          <cell r="I1109">
            <v>7920</v>
          </cell>
          <cell r="J1109">
            <v>1436112.51</v>
          </cell>
          <cell r="K1109">
            <v>1</v>
          </cell>
          <cell r="L1109">
            <v>0</v>
          </cell>
          <cell r="M1109">
            <v>0</v>
          </cell>
          <cell r="N1109">
            <v>0</v>
          </cell>
          <cell r="R1109">
            <v>0</v>
          </cell>
          <cell r="S1109">
            <v>0</v>
          </cell>
          <cell r="T1109">
            <v>0</v>
          </cell>
          <cell r="U1109">
            <v>32</v>
          </cell>
          <cell r="V1109">
            <v>0</v>
          </cell>
          <cell r="W1109">
            <v>0</v>
          </cell>
          <cell r="AA1109">
            <v>0</v>
          </cell>
          <cell r="AB1109">
            <v>0</v>
          </cell>
          <cell r="AC1109">
            <v>0</v>
          </cell>
          <cell r="AD1109">
            <v>32</v>
          </cell>
          <cell r="AE1109">
            <v>503000</v>
          </cell>
          <cell r="AF1109">
            <v>0</v>
          </cell>
          <cell r="AI1109">
            <v>2223</v>
          </cell>
          <cell r="AK1109">
            <v>0</v>
          </cell>
          <cell r="AM1109">
            <v>280</v>
          </cell>
          <cell r="AN1109">
            <v>1</v>
          </cell>
          <cell r="AO1109">
            <v>393216</v>
          </cell>
          <cell r="AQ1109">
            <v>0</v>
          </cell>
          <cell r="AR1109">
            <v>0</v>
          </cell>
          <cell r="AS1109" t="str">
            <v>Ы</v>
          </cell>
          <cell r="AT1109" t="str">
            <v>Ы</v>
          </cell>
          <cell r="AU1109">
            <v>0</v>
          </cell>
          <cell r="AV1109">
            <v>0</v>
          </cell>
          <cell r="AW1109">
            <v>23</v>
          </cell>
          <cell r="AX1109">
            <v>1</v>
          </cell>
          <cell r="AY1109">
            <v>0</v>
          </cell>
          <cell r="AZ1109">
            <v>0</v>
          </cell>
          <cell r="BA1109">
            <v>0</v>
          </cell>
          <cell r="BB1109">
            <v>0</v>
          </cell>
          <cell r="BC1109">
            <v>38828</v>
          </cell>
        </row>
        <row r="1110">
          <cell r="A1110">
            <v>2006</v>
          </cell>
          <cell r="B1110">
            <v>1</v>
          </cell>
          <cell r="C1110">
            <v>154</v>
          </cell>
          <cell r="D1110">
            <v>20</v>
          </cell>
          <cell r="E1110">
            <v>792020</v>
          </cell>
          <cell r="F1110">
            <v>0</v>
          </cell>
          <cell r="G1110" t="str">
            <v>Затраты по ШПЗ (основные)</v>
          </cell>
          <cell r="H1110">
            <v>2011</v>
          </cell>
          <cell r="I1110">
            <v>7920</v>
          </cell>
          <cell r="J1110">
            <v>899.73</v>
          </cell>
          <cell r="K1110">
            <v>1</v>
          </cell>
          <cell r="L1110">
            <v>0</v>
          </cell>
          <cell r="M1110">
            <v>0</v>
          </cell>
          <cell r="N1110">
            <v>0</v>
          </cell>
          <cell r="R1110">
            <v>0</v>
          </cell>
          <cell r="S1110">
            <v>0</v>
          </cell>
          <cell r="T1110">
            <v>0</v>
          </cell>
          <cell r="U1110">
            <v>32</v>
          </cell>
          <cell r="V1110">
            <v>0</v>
          </cell>
          <cell r="W1110">
            <v>0</v>
          </cell>
          <cell r="AA1110">
            <v>0</v>
          </cell>
          <cell r="AB1110">
            <v>0</v>
          </cell>
          <cell r="AC1110">
            <v>0</v>
          </cell>
          <cell r="AD1110">
            <v>32</v>
          </cell>
          <cell r="AE1110">
            <v>504100</v>
          </cell>
          <cell r="AF1110">
            <v>0</v>
          </cell>
          <cell r="AI1110">
            <v>2223</v>
          </cell>
          <cell r="AK1110">
            <v>0</v>
          </cell>
          <cell r="AM1110">
            <v>281</v>
          </cell>
          <cell r="AN1110">
            <v>1</v>
          </cell>
          <cell r="AO1110">
            <v>393216</v>
          </cell>
          <cell r="AQ1110">
            <v>0</v>
          </cell>
          <cell r="AR1110">
            <v>0</v>
          </cell>
          <cell r="AS1110" t="str">
            <v>Ы</v>
          </cell>
          <cell r="AT1110" t="str">
            <v>Ы</v>
          </cell>
          <cell r="AU1110">
            <v>0</v>
          </cell>
          <cell r="AV1110">
            <v>0</v>
          </cell>
          <cell r="AW1110">
            <v>23</v>
          </cell>
          <cell r="AX1110">
            <v>1</v>
          </cell>
          <cell r="AY1110">
            <v>0</v>
          </cell>
          <cell r="AZ1110">
            <v>0</v>
          </cell>
          <cell r="BA1110">
            <v>0</v>
          </cell>
          <cell r="BB1110">
            <v>0</v>
          </cell>
          <cell r="BC1110">
            <v>38828</v>
          </cell>
        </row>
        <row r="1111">
          <cell r="A1111">
            <v>2006</v>
          </cell>
          <cell r="B1111">
            <v>1</v>
          </cell>
          <cell r="C1111">
            <v>155</v>
          </cell>
          <cell r="D1111">
            <v>20</v>
          </cell>
          <cell r="E1111">
            <v>792020</v>
          </cell>
          <cell r="F1111">
            <v>0</v>
          </cell>
          <cell r="G1111" t="str">
            <v>Затраты по ШПЗ (основные)</v>
          </cell>
          <cell r="H1111">
            <v>2011</v>
          </cell>
          <cell r="I1111">
            <v>7920</v>
          </cell>
          <cell r="J1111">
            <v>8235.6200000000008</v>
          </cell>
          <cell r="K1111">
            <v>1</v>
          </cell>
          <cell r="L1111">
            <v>0</v>
          </cell>
          <cell r="M1111">
            <v>0</v>
          </cell>
          <cell r="N1111">
            <v>0</v>
          </cell>
          <cell r="R1111">
            <v>0</v>
          </cell>
          <cell r="S1111">
            <v>0</v>
          </cell>
          <cell r="T1111">
            <v>0</v>
          </cell>
          <cell r="U1111">
            <v>32</v>
          </cell>
          <cell r="V1111">
            <v>0</v>
          </cell>
          <cell r="W1111">
            <v>0</v>
          </cell>
          <cell r="AA1111">
            <v>0</v>
          </cell>
          <cell r="AB1111">
            <v>0</v>
          </cell>
          <cell r="AC1111">
            <v>0</v>
          </cell>
          <cell r="AD1111">
            <v>32</v>
          </cell>
          <cell r="AE1111">
            <v>504200</v>
          </cell>
          <cell r="AF1111">
            <v>0</v>
          </cell>
          <cell r="AI1111">
            <v>2223</v>
          </cell>
          <cell r="AK1111">
            <v>0</v>
          </cell>
          <cell r="AM1111">
            <v>282</v>
          </cell>
          <cell r="AN1111">
            <v>1</v>
          </cell>
          <cell r="AO1111">
            <v>393216</v>
          </cell>
          <cell r="AQ1111">
            <v>0</v>
          </cell>
          <cell r="AR1111">
            <v>0</v>
          </cell>
          <cell r="AS1111" t="str">
            <v>Ы</v>
          </cell>
          <cell r="AT1111" t="str">
            <v>Ы</v>
          </cell>
          <cell r="AU1111">
            <v>0</v>
          </cell>
          <cell r="AV1111">
            <v>0</v>
          </cell>
          <cell r="AW1111">
            <v>23</v>
          </cell>
          <cell r="AX1111">
            <v>1</v>
          </cell>
          <cell r="AY1111">
            <v>0</v>
          </cell>
          <cell r="AZ1111">
            <v>0</v>
          </cell>
          <cell r="BA1111">
            <v>0</v>
          </cell>
          <cell r="BB1111">
            <v>0</v>
          </cell>
          <cell r="BC1111">
            <v>38828</v>
          </cell>
        </row>
        <row r="1112">
          <cell r="A1112">
            <v>2006</v>
          </cell>
          <cell r="B1112">
            <v>1</v>
          </cell>
          <cell r="C1112">
            <v>156</v>
          </cell>
          <cell r="D1112">
            <v>20</v>
          </cell>
          <cell r="E1112">
            <v>792020</v>
          </cell>
          <cell r="F1112">
            <v>0</v>
          </cell>
          <cell r="G1112" t="str">
            <v>Затраты по ШПЗ (основные)</v>
          </cell>
          <cell r="H1112">
            <v>2011</v>
          </cell>
          <cell r="I1112">
            <v>7920</v>
          </cell>
          <cell r="J1112">
            <v>1821.48</v>
          </cell>
          <cell r="K1112">
            <v>1</v>
          </cell>
          <cell r="L1112">
            <v>0</v>
          </cell>
          <cell r="M1112">
            <v>0</v>
          </cell>
          <cell r="N1112">
            <v>0</v>
          </cell>
          <cell r="R1112">
            <v>0</v>
          </cell>
          <cell r="S1112">
            <v>0</v>
          </cell>
          <cell r="T1112">
            <v>0</v>
          </cell>
          <cell r="U1112">
            <v>32</v>
          </cell>
          <cell r="V1112">
            <v>0</v>
          </cell>
          <cell r="W1112">
            <v>0</v>
          </cell>
          <cell r="AA1112">
            <v>0</v>
          </cell>
          <cell r="AB1112">
            <v>0</v>
          </cell>
          <cell r="AC1112">
            <v>0</v>
          </cell>
          <cell r="AD1112">
            <v>32</v>
          </cell>
          <cell r="AE1112">
            <v>504900</v>
          </cell>
          <cell r="AF1112">
            <v>0</v>
          </cell>
          <cell r="AI1112">
            <v>2223</v>
          </cell>
          <cell r="AK1112">
            <v>0</v>
          </cell>
          <cell r="AM1112">
            <v>283</v>
          </cell>
          <cell r="AN1112">
            <v>1</v>
          </cell>
          <cell r="AO1112">
            <v>393216</v>
          </cell>
          <cell r="AQ1112">
            <v>0</v>
          </cell>
          <cell r="AR1112">
            <v>0</v>
          </cell>
          <cell r="AS1112" t="str">
            <v>Ы</v>
          </cell>
          <cell r="AT1112" t="str">
            <v>Ы</v>
          </cell>
          <cell r="AU1112">
            <v>0</v>
          </cell>
          <cell r="AV1112">
            <v>0</v>
          </cell>
          <cell r="AW1112">
            <v>23</v>
          </cell>
          <cell r="AX1112">
            <v>1</v>
          </cell>
          <cell r="AY1112">
            <v>0</v>
          </cell>
          <cell r="AZ1112">
            <v>0</v>
          </cell>
          <cell r="BA1112">
            <v>0</v>
          </cell>
          <cell r="BB1112">
            <v>0</v>
          </cell>
          <cell r="BC1112">
            <v>38828</v>
          </cell>
        </row>
        <row r="1113">
          <cell r="A1113">
            <v>2006</v>
          </cell>
          <cell r="B1113">
            <v>1</v>
          </cell>
          <cell r="C1113">
            <v>157</v>
          </cell>
          <cell r="D1113">
            <v>20</v>
          </cell>
          <cell r="E1113">
            <v>792020</v>
          </cell>
          <cell r="F1113">
            <v>0</v>
          </cell>
          <cell r="G1113" t="str">
            <v>Затраты по ШПЗ (основные)</v>
          </cell>
          <cell r="H1113">
            <v>2011</v>
          </cell>
          <cell r="I1113">
            <v>7920</v>
          </cell>
          <cell r="J1113">
            <v>34541.49</v>
          </cell>
          <cell r="K1113">
            <v>1</v>
          </cell>
          <cell r="L1113">
            <v>0</v>
          </cell>
          <cell r="M1113">
            <v>0</v>
          </cell>
          <cell r="N1113">
            <v>0</v>
          </cell>
          <cell r="R1113">
            <v>0</v>
          </cell>
          <cell r="S1113">
            <v>0</v>
          </cell>
          <cell r="T1113">
            <v>0</v>
          </cell>
          <cell r="U1113">
            <v>32</v>
          </cell>
          <cell r="V1113">
            <v>0</v>
          </cell>
          <cell r="W1113">
            <v>0</v>
          </cell>
          <cell r="AA1113">
            <v>0</v>
          </cell>
          <cell r="AB1113">
            <v>0</v>
          </cell>
          <cell r="AC1113">
            <v>0</v>
          </cell>
          <cell r="AD1113">
            <v>32</v>
          </cell>
          <cell r="AE1113">
            <v>505100</v>
          </cell>
          <cell r="AF1113">
            <v>0</v>
          </cell>
          <cell r="AI1113">
            <v>2223</v>
          </cell>
          <cell r="AK1113">
            <v>0</v>
          </cell>
          <cell r="AM1113">
            <v>284</v>
          </cell>
          <cell r="AN1113">
            <v>1</v>
          </cell>
          <cell r="AO1113">
            <v>393216</v>
          </cell>
          <cell r="AQ1113">
            <v>0</v>
          </cell>
          <cell r="AR1113">
            <v>0</v>
          </cell>
          <cell r="AS1113" t="str">
            <v>Ы</v>
          </cell>
          <cell r="AT1113" t="str">
            <v>Ы</v>
          </cell>
          <cell r="AU1113">
            <v>0</v>
          </cell>
          <cell r="AV1113">
            <v>0</v>
          </cell>
          <cell r="AW1113">
            <v>23</v>
          </cell>
          <cell r="AX1113">
            <v>1</v>
          </cell>
          <cell r="AY1113">
            <v>0</v>
          </cell>
          <cell r="AZ1113">
            <v>0</v>
          </cell>
          <cell r="BA1113">
            <v>0</v>
          </cell>
          <cell r="BB1113">
            <v>0</v>
          </cell>
          <cell r="BC1113">
            <v>38828</v>
          </cell>
        </row>
        <row r="1114">
          <cell r="A1114">
            <v>2006</v>
          </cell>
          <cell r="B1114">
            <v>1</v>
          </cell>
          <cell r="C1114">
            <v>158</v>
          </cell>
          <cell r="D1114">
            <v>20</v>
          </cell>
          <cell r="E1114">
            <v>792020</v>
          </cell>
          <cell r="F1114">
            <v>0</v>
          </cell>
          <cell r="G1114" t="str">
            <v>Затраты по ШПЗ (основные)</v>
          </cell>
          <cell r="H1114">
            <v>2011</v>
          </cell>
          <cell r="I1114">
            <v>7920</v>
          </cell>
          <cell r="J1114">
            <v>337697.52</v>
          </cell>
          <cell r="K1114">
            <v>1</v>
          </cell>
          <cell r="L1114">
            <v>0</v>
          </cell>
          <cell r="M1114">
            <v>0</v>
          </cell>
          <cell r="N1114">
            <v>0</v>
          </cell>
          <cell r="R1114">
            <v>0</v>
          </cell>
          <cell r="S1114">
            <v>0</v>
          </cell>
          <cell r="T1114">
            <v>0</v>
          </cell>
          <cell r="U1114">
            <v>32</v>
          </cell>
          <cell r="V1114">
            <v>0</v>
          </cell>
          <cell r="W1114">
            <v>0</v>
          </cell>
          <cell r="AA1114">
            <v>0</v>
          </cell>
          <cell r="AB1114">
            <v>0</v>
          </cell>
          <cell r="AC1114">
            <v>0</v>
          </cell>
          <cell r="AD1114">
            <v>32</v>
          </cell>
          <cell r="AE1114">
            <v>505200</v>
          </cell>
          <cell r="AF1114">
            <v>0</v>
          </cell>
          <cell r="AI1114">
            <v>2223</v>
          </cell>
          <cell r="AK1114">
            <v>0</v>
          </cell>
          <cell r="AM1114">
            <v>285</v>
          </cell>
          <cell r="AN1114">
            <v>1</v>
          </cell>
          <cell r="AO1114">
            <v>393216</v>
          </cell>
          <cell r="AQ1114">
            <v>0</v>
          </cell>
          <cell r="AR1114">
            <v>0</v>
          </cell>
          <cell r="AS1114" t="str">
            <v>Ы</v>
          </cell>
          <cell r="AT1114" t="str">
            <v>Ы</v>
          </cell>
          <cell r="AU1114">
            <v>0</v>
          </cell>
          <cell r="AV1114">
            <v>0</v>
          </cell>
          <cell r="AW1114">
            <v>23</v>
          </cell>
          <cell r="AX1114">
            <v>1</v>
          </cell>
          <cell r="AY1114">
            <v>0</v>
          </cell>
          <cell r="AZ1114">
            <v>0</v>
          </cell>
          <cell r="BA1114">
            <v>0</v>
          </cell>
          <cell r="BB1114">
            <v>0</v>
          </cell>
          <cell r="BC1114">
            <v>38828</v>
          </cell>
        </row>
        <row r="1115">
          <cell r="A1115">
            <v>2006</v>
          </cell>
          <cell r="B1115">
            <v>1</v>
          </cell>
          <cell r="C1115">
            <v>159</v>
          </cell>
          <cell r="D1115">
            <v>20</v>
          </cell>
          <cell r="E1115">
            <v>792020</v>
          </cell>
          <cell r="F1115">
            <v>0</v>
          </cell>
          <cell r="G1115" t="str">
            <v>Затраты по ШПЗ (основные)</v>
          </cell>
          <cell r="H1115">
            <v>2011</v>
          </cell>
          <cell r="I1115">
            <v>7920</v>
          </cell>
          <cell r="J1115">
            <v>3151.51</v>
          </cell>
          <cell r="K1115">
            <v>1</v>
          </cell>
          <cell r="L1115">
            <v>0</v>
          </cell>
          <cell r="M1115">
            <v>0</v>
          </cell>
          <cell r="N1115">
            <v>0</v>
          </cell>
          <cell r="R1115">
            <v>0</v>
          </cell>
          <cell r="S1115">
            <v>0</v>
          </cell>
          <cell r="T1115">
            <v>0</v>
          </cell>
          <cell r="U1115">
            <v>32</v>
          </cell>
          <cell r="V1115">
            <v>0</v>
          </cell>
          <cell r="W1115">
            <v>0</v>
          </cell>
          <cell r="AA1115">
            <v>0</v>
          </cell>
          <cell r="AB1115">
            <v>0</v>
          </cell>
          <cell r="AC1115">
            <v>0</v>
          </cell>
          <cell r="AD1115">
            <v>32</v>
          </cell>
          <cell r="AE1115">
            <v>505300</v>
          </cell>
          <cell r="AF1115">
            <v>0</v>
          </cell>
          <cell r="AI1115">
            <v>2223</v>
          </cell>
          <cell r="AK1115">
            <v>0</v>
          </cell>
          <cell r="AM1115">
            <v>286</v>
          </cell>
          <cell r="AN1115">
            <v>1</v>
          </cell>
          <cell r="AO1115">
            <v>393216</v>
          </cell>
          <cell r="AQ1115">
            <v>0</v>
          </cell>
          <cell r="AR1115">
            <v>0</v>
          </cell>
          <cell r="AS1115" t="str">
            <v>Ы</v>
          </cell>
          <cell r="AT1115" t="str">
            <v>Ы</v>
          </cell>
          <cell r="AU1115">
            <v>0</v>
          </cell>
          <cell r="AV1115">
            <v>0</v>
          </cell>
          <cell r="AW1115">
            <v>23</v>
          </cell>
          <cell r="AX1115">
            <v>1</v>
          </cell>
          <cell r="AY1115">
            <v>0</v>
          </cell>
          <cell r="AZ1115">
            <v>0</v>
          </cell>
          <cell r="BA1115">
            <v>0</v>
          </cell>
          <cell r="BB1115">
            <v>0</v>
          </cell>
          <cell r="BC1115">
            <v>38828</v>
          </cell>
        </row>
        <row r="1116">
          <cell r="A1116">
            <v>2006</v>
          </cell>
          <cell r="B1116">
            <v>1</v>
          </cell>
          <cell r="C1116">
            <v>160</v>
          </cell>
          <cell r="D1116">
            <v>20</v>
          </cell>
          <cell r="E1116">
            <v>792020</v>
          </cell>
          <cell r="F1116">
            <v>0</v>
          </cell>
          <cell r="G1116" t="str">
            <v>Затраты по ШПЗ (основные)</v>
          </cell>
          <cell r="H1116">
            <v>2011</v>
          </cell>
          <cell r="I1116">
            <v>7920</v>
          </cell>
          <cell r="J1116">
            <v>65</v>
          </cell>
          <cell r="K1116">
            <v>1</v>
          </cell>
          <cell r="L1116">
            <v>0</v>
          </cell>
          <cell r="M1116">
            <v>0</v>
          </cell>
          <cell r="N1116">
            <v>0</v>
          </cell>
          <cell r="R1116">
            <v>0</v>
          </cell>
          <cell r="S1116">
            <v>0</v>
          </cell>
          <cell r="T1116">
            <v>0</v>
          </cell>
          <cell r="U1116">
            <v>32</v>
          </cell>
          <cell r="V1116">
            <v>0</v>
          </cell>
          <cell r="W1116">
            <v>0</v>
          </cell>
          <cell r="AA1116">
            <v>0</v>
          </cell>
          <cell r="AB1116">
            <v>0</v>
          </cell>
          <cell r="AC1116">
            <v>0</v>
          </cell>
          <cell r="AD1116">
            <v>32</v>
          </cell>
          <cell r="AE1116">
            <v>505400</v>
          </cell>
          <cell r="AF1116">
            <v>0</v>
          </cell>
          <cell r="AI1116">
            <v>2223</v>
          </cell>
          <cell r="AK1116">
            <v>0</v>
          </cell>
          <cell r="AM1116">
            <v>287</v>
          </cell>
          <cell r="AN1116">
            <v>1</v>
          </cell>
          <cell r="AO1116">
            <v>393216</v>
          </cell>
          <cell r="AQ1116">
            <v>0</v>
          </cell>
          <cell r="AR1116">
            <v>0</v>
          </cell>
          <cell r="AS1116" t="str">
            <v>Ы</v>
          </cell>
          <cell r="AT1116" t="str">
            <v>Ы</v>
          </cell>
          <cell r="AU1116">
            <v>0</v>
          </cell>
          <cell r="AV1116">
            <v>0</v>
          </cell>
          <cell r="AW1116">
            <v>23</v>
          </cell>
          <cell r="AX1116">
            <v>1</v>
          </cell>
          <cell r="AY1116">
            <v>0</v>
          </cell>
          <cell r="AZ1116">
            <v>0</v>
          </cell>
          <cell r="BA1116">
            <v>0</v>
          </cell>
          <cell r="BB1116">
            <v>0</v>
          </cell>
          <cell r="BC1116">
            <v>38828</v>
          </cell>
        </row>
        <row r="1117">
          <cell r="A1117">
            <v>2006</v>
          </cell>
          <cell r="B1117">
            <v>1</v>
          </cell>
          <cell r="C1117">
            <v>161</v>
          </cell>
          <cell r="D1117">
            <v>20</v>
          </cell>
          <cell r="E1117">
            <v>792020</v>
          </cell>
          <cell r="F1117">
            <v>0</v>
          </cell>
          <cell r="G1117" t="str">
            <v>Затраты по ШПЗ (основные)</v>
          </cell>
          <cell r="H1117">
            <v>2011</v>
          </cell>
          <cell r="I1117">
            <v>7920</v>
          </cell>
          <cell r="J1117">
            <v>47.98</v>
          </cell>
          <cell r="K1117">
            <v>1</v>
          </cell>
          <cell r="L1117">
            <v>0</v>
          </cell>
          <cell r="M1117">
            <v>0</v>
          </cell>
          <cell r="N1117">
            <v>0</v>
          </cell>
          <cell r="R1117">
            <v>0</v>
          </cell>
          <cell r="S1117">
            <v>0</v>
          </cell>
          <cell r="T1117">
            <v>0</v>
          </cell>
          <cell r="U1117">
            <v>32</v>
          </cell>
          <cell r="V1117">
            <v>0</v>
          </cell>
          <cell r="W1117">
            <v>0</v>
          </cell>
          <cell r="AA1117">
            <v>0</v>
          </cell>
          <cell r="AB1117">
            <v>0</v>
          </cell>
          <cell r="AC1117">
            <v>0</v>
          </cell>
          <cell r="AD1117">
            <v>32</v>
          </cell>
          <cell r="AE1117">
            <v>507000</v>
          </cell>
          <cell r="AF1117">
            <v>0</v>
          </cell>
          <cell r="AI1117">
            <v>2223</v>
          </cell>
          <cell r="AK1117">
            <v>0</v>
          </cell>
          <cell r="AM1117">
            <v>288</v>
          </cell>
          <cell r="AN1117">
            <v>1</v>
          </cell>
          <cell r="AO1117">
            <v>393216</v>
          </cell>
          <cell r="AQ1117">
            <v>0</v>
          </cell>
          <cell r="AR1117">
            <v>0</v>
          </cell>
          <cell r="AS1117" t="str">
            <v>Ы</v>
          </cell>
          <cell r="AT1117" t="str">
            <v>Ы</v>
          </cell>
          <cell r="AU1117">
            <v>0</v>
          </cell>
          <cell r="AV1117">
            <v>0</v>
          </cell>
          <cell r="AW1117">
            <v>23</v>
          </cell>
          <cell r="AX1117">
            <v>1</v>
          </cell>
          <cell r="AY1117">
            <v>0</v>
          </cell>
          <cell r="AZ1117">
            <v>0</v>
          </cell>
          <cell r="BA1117">
            <v>0</v>
          </cell>
          <cell r="BB1117">
            <v>0</v>
          </cell>
          <cell r="BC1117">
            <v>38828</v>
          </cell>
        </row>
        <row r="1118">
          <cell r="A1118">
            <v>2006</v>
          </cell>
          <cell r="B1118">
            <v>1</v>
          </cell>
          <cell r="C1118">
            <v>162</v>
          </cell>
          <cell r="D1118">
            <v>20</v>
          </cell>
          <cell r="E1118">
            <v>792020</v>
          </cell>
          <cell r="F1118">
            <v>0</v>
          </cell>
          <cell r="G1118" t="str">
            <v>Затраты по ШПЗ (основные)</v>
          </cell>
          <cell r="H1118">
            <v>2011</v>
          </cell>
          <cell r="I1118">
            <v>7920</v>
          </cell>
          <cell r="J1118">
            <v>22989.119999999999</v>
          </cell>
          <cell r="K1118">
            <v>1</v>
          </cell>
          <cell r="L1118">
            <v>0</v>
          </cell>
          <cell r="M1118">
            <v>0</v>
          </cell>
          <cell r="N1118">
            <v>0</v>
          </cell>
          <cell r="R1118">
            <v>0</v>
          </cell>
          <cell r="S1118">
            <v>0</v>
          </cell>
          <cell r="T1118">
            <v>0</v>
          </cell>
          <cell r="U1118">
            <v>32</v>
          </cell>
          <cell r="V1118">
            <v>0</v>
          </cell>
          <cell r="W1118">
            <v>0</v>
          </cell>
          <cell r="AA1118">
            <v>0</v>
          </cell>
          <cell r="AB1118">
            <v>0</v>
          </cell>
          <cell r="AC1118">
            <v>0</v>
          </cell>
          <cell r="AD1118">
            <v>32</v>
          </cell>
          <cell r="AE1118">
            <v>508310</v>
          </cell>
          <cell r="AF1118">
            <v>0</v>
          </cell>
          <cell r="AI1118">
            <v>2223</v>
          </cell>
          <cell r="AK1118">
            <v>0</v>
          </cell>
          <cell r="AM1118">
            <v>289</v>
          </cell>
          <cell r="AN1118">
            <v>1</v>
          </cell>
          <cell r="AO1118">
            <v>393216</v>
          </cell>
          <cell r="AQ1118">
            <v>0</v>
          </cell>
          <cell r="AR1118">
            <v>0</v>
          </cell>
          <cell r="AS1118" t="str">
            <v>Ы</v>
          </cell>
          <cell r="AT1118" t="str">
            <v>Ы</v>
          </cell>
          <cell r="AU1118">
            <v>0</v>
          </cell>
          <cell r="AV1118">
            <v>0</v>
          </cell>
          <cell r="AW1118">
            <v>23</v>
          </cell>
          <cell r="AX1118">
            <v>1</v>
          </cell>
          <cell r="AY1118">
            <v>0</v>
          </cell>
          <cell r="AZ1118">
            <v>0</v>
          </cell>
          <cell r="BA1118">
            <v>0</v>
          </cell>
          <cell r="BB1118">
            <v>0</v>
          </cell>
          <cell r="BC1118">
            <v>38828</v>
          </cell>
        </row>
        <row r="1119">
          <cell r="A1119">
            <v>2006</v>
          </cell>
          <cell r="B1119">
            <v>1</v>
          </cell>
          <cell r="C1119">
            <v>163</v>
          </cell>
          <cell r="D1119">
            <v>20</v>
          </cell>
          <cell r="E1119">
            <v>792020</v>
          </cell>
          <cell r="F1119">
            <v>0</v>
          </cell>
          <cell r="G1119" t="str">
            <v>Затраты по ШПЗ (основные)</v>
          </cell>
          <cell r="H1119">
            <v>2011</v>
          </cell>
          <cell r="I1119">
            <v>7920</v>
          </cell>
          <cell r="J1119">
            <v>512829.1</v>
          </cell>
          <cell r="K1119">
            <v>1</v>
          </cell>
          <cell r="L1119">
            <v>0</v>
          </cell>
          <cell r="M1119">
            <v>0</v>
          </cell>
          <cell r="N1119">
            <v>0</v>
          </cell>
          <cell r="R1119">
            <v>0</v>
          </cell>
          <cell r="S1119">
            <v>0</v>
          </cell>
          <cell r="T1119">
            <v>0</v>
          </cell>
          <cell r="U1119">
            <v>32</v>
          </cell>
          <cell r="V1119">
            <v>0</v>
          </cell>
          <cell r="W1119">
            <v>0</v>
          </cell>
          <cell r="AA1119">
            <v>0</v>
          </cell>
          <cell r="AB1119">
            <v>0</v>
          </cell>
          <cell r="AC1119">
            <v>0</v>
          </cell>
          <cell r="AD1119">
            <v>32</v>
          </cell>
          <cell r="AE1119">
            <v>510100</v>
          </cell>
          <cell r="AF1119">
            <v>0</v>
          </cell>
          <cell r="AI1119">
            <v>2223</v>
          </cell>
          <cell r="AK1119">
            <v>0</v>
          </cell>
          <cell r="AM1119">
            <v>290</v>
          </cell>
          <cell r="AN1119">
            <v>1</v>
          </cell>
          <cell r="AO1119">
            <v>393216</v>
          </cell>
          <cell r="AQ1119">
            <v>0</v>
          </cell>
          <cell r="AR1119">
            <v>0</v>
          </cell>
          <cell r="AS1119" t="str">
            <v>Ы</v>
          </cell>
          <cell r="AT1119" t="str">
            <v>Ы</v>
          </cell>
          <cell r="AU1119">
            <v>0</v>
          </cell>
          <cell r="AV1119">
            <v>0</v>
          </cell>
          <cell r="AW1119">
            <v>23</v>
          </cell>
          <cell r="AX1119">
            <v>1</v>
          </cell>
          <cell r="AY1119">
            <v>0</v>
          </cell>
          <cell r="AZ1119">
            <v>0</v>
          </cell>
          <cell r="BA1119">
            <v>0</v>
          </cell>
          <cell r="BB1119">
            <v>0</v>
          </cell>
          <cell r="BC1119">
            <v>38828</v>
          </cell>
        </row>
        <row r="1120">
          <cell r="A1120">
            <v>2006</v>
          </cell>
          <cell r="B1120">
            <v>1</v>
          </cell>
          <cell r="C1120">
            <v>164</v>
          </cell>
          <cell r="D1120">
            <v>20</v>
          </cell>
          <cell r="E1120">
            <v>792020</v>
          </cell>
          <cell r="F1120">
            <v>0</v>
          </cell>
          <cell r="G1120" t="str">
            <v>Затраты по ШПЗ (основные)</v>
          </cell>
          <cell r="H1120">
            <v>2011</v>
          </cell>
          <cell r="I1120">
            <v>7920</v>
          </cell>
          <cell r="J1120">
            <v>2698.68</v>
          </cell>
          <cell r="K1120">
            <v>1</v>
          </cell>
          <cell r="L1120">
            <v>0</v>
          </cell>
          <cell r="M1120">
            <v>0</v>
          </cell>
          <cell r="N1120">
            <v>0</v>
          </cell>
          <cell r="R1120">
            <v>0</v>
          </cell>
          <cell r="S1120">
            <v>0</v>
          </cell>
          <cell r="T1120">
            <v>0</v>
          </cell>
          <cell r="U1120">
            <v>32</v>
          </cell>
          <cell r="V1120">
            <v>0</v>
          </cell>
          <cell r="W1120">
            <v>0</v>
          </cell>
          <cell r="AA1120">
            <v>0</v>
          </cell>
          <cell r="AB1120">
            <v>0</v>
          </cell>
          <cell r="AC1120">
            <v>0</v>
          </cell>
          <cell r="AD1120">
            <v>32</v>
          </cell>
          <cell r="AE1120">
            <v>510400</v>
          </cell>
          <cell r="AF1120">
            <v>0</v>
          </cell>
          <cell r="AI1120">
            <v>2223</v>
          </cell>
          <cell r="AK1120">
            <v>0</v>
          </cell>
          <cell r="AM1120">
            <v>291</v>
          </cell>
          <cell r="AN1120">
            <v>1</v>
          </cell>
          <cell r="AO1120">
            <v>393216</v>
          </cell>
          <cell r="AQ1120">
            <v>0</v>
          </cell>
          <cell r="AR1120">
            <v>0</v>
          </cell>
          <cell r="AS1120" t="str">
            <v>Ы</v>
          </cell>
          <cell r="AT1120" t="str">
            <v>Ы</v>
          </cell>
          <cell r="AU1120">
            <v>0</v>
          </cell>
          <cell r="AV1120">
            <v>0</v>
          </cell>
          <cell r="AW1120">
            <v>23</v>
          </cell>
          <cell r="AX1120">
            <v>1</v>
          </cell>
          <cell r="AY1120">
            <v>0</v>
          </cell>
          <cell r="AZ1120">
            <v>0</v>
          </cell>
          <cell r="BA1120">
            <v>0</v>
          </cell>
          <cell r="BB1120">
            <v>0</v>
          </cell>
          <cell r="BC1120">
            <v>38828</v>
          </cell>
        </row>
        <row r="1121">
          <cell r="A1121">
            <v>2006</v>
          </cell>
          <cell r="B1121">
            <v>1</v>
          </cell>
          <cell r="C1121">
            <v>165</v>
          </cell>
          <cell r="D1121">
            <v>20</v>
          </cell>
          <cell r="E1121">
            <v>792020</v>
          </cell>
          <cell r="F1121">
            <v>0</v>
          </cell>
          <cell r="G1121" t="str">
            <v>Затраты по ШПЗ (основные)</v>
          </cell>
          <cell r="H1121">
            <v>2011</v>
          </cell>
          <cell r="I1121">
            <v>7920</v>
          </cell>
          <cell r="J1121">
            <v>983.53</v>
          </cell>
          <cell r="K1121">
            <v>1</v>
          </cell>
          <cell r="L1121">
            <v>0</v>
          </cell>
          <cell r="M1121">
            <v>0</v>
          </cell>
          <cell r="N1121">
            <v>0</v>
          </cell>
          <cell r="R1121">
            <v>0</v>
          </cell>
          <cell r="S1121">
            <v>0</v>
          </cell>
          <cell r="T1121">
            <v>0</v>
          </cell>
          <cell r="U1121">
            <v>32</v>
          </cell>
          <cell r="V1121">
            <v>0</v>
          </cell>
          <cell r="W1121">
            <v>0</v>
          </cell>
          <cell r="AA1121">
            <v>0</v>
          </cell>
          <cell r="AB1121">
            <v>0</v>
          </cell>
          <cell r="AC1121">
            <v>0</v>
          </cell>
          <cell r="AD1121">
            <v>32</v>
          </cell>
          <cell r="AE1121">
            <v>510500</v>
          </cell>
          <cell r="AF1121">
            <v>0</v>
          </cell>
          <cell r="AI1121">
            <v>2223</v>
          </cell>
          <cell r="AK1121">
            <v>0</v>
          </cell>
          <cell r="AM1121">
            <v>292</v>
          </cell>
          <cell r="AN1121">
            <v>1</v>
          </cell>
          <cell r="AO1121">
            <v>393216</v>
          </cell>
          <cell r="AQ1121">
            <v>0</v>
          </cell>
          <cell r="AR1121">
            <v>0</v>
          </cell>
          <cell r="AS1121" t="str">
            <v>Ы</v>
          </cell>
          <cell r="AT1121" t="str">
            <v>Ы</v>
          </cell>
          <cell r="AU1121">
            <v>0</v>
          </cell>
          <cell r="AV1121">
            <v>0</v>
          </cell>
          <cell r="AW1121">
            <v>23</v>
          </cell>
          <cell r="AX1121">
            <v>1</v>
          </cell>
          <cell r="AY1121">
            <v>0</v>
          </cell>
          <cell r="AZ1121">
            <v>0</v>
          </cell>
          <cell r="BA1121">
            <v>0</v>
          </cell>
          <cell r="BB1121">
            <v>0</v>
          </cell>
          <cell r="BC1121">
            <v>38828</v>
          </cell>
        </row>
        <row r="1122">
          <cell r="A1122">
            <v>2006</v>
          </cell>
          <cell r="B1122">
            <v>1</v>
          </cell>
          <cell r="C1122">
            <v>166</v>
          </cell>
          <cell r="D1122">
            <v>20</v>
          </cell>
          <cell r="E1122">
            <v>792020</v>
          </cell>
          <cell r="F1122">
            <v>0</v>
          </cell>
          <cell r="G1122" t="str">
            <v>Затраты по ШПЗ (основные)</v>
          </cell>
          <cell r="H1122">
            <v>2011</v>
          </cell>
          <cell r="I1122">
            <v>7920</v>
          </cell>
          <cell r="J1122">
            <v>656631.61</v>
          </cell>
          <cell r="K1122">
            <v>1</v>
          </cell>
          <cell r="L1122">
            <v>0</v>
          </cell>
          <cell r="M1122">
            <v>0</v>
          </cell>
          <cell r="N1122">
            <v>0</v>
          </cell>
          <cell r="R1122">
            <v>0</v>
          </cell>
          <cell r="S1122">
            <v>0</v>
          </cell>
          <cell r="T1122">
            <v>0</v>
          </cell>
          <cell r="U1122">
            <v>32</v>
          </cell>
          <cell r="V1122">
            <v>0</v>
          </cell>
          <cell r="W1122">
            <v>0</v>
          </cell>
          <cell r="AA1122">
            <v>0</v>
          </cell>
          <cell r="AB1122">
            <v>0</v>
          </cell>
          <cell r="AC1122">
            <v>0</v>
          </cell>
          <cell r="AD1122">
            <v>32</v>
          </cell>
          <cell r="AE1122">
            <v>510600</v>
          </cell>
          <cell r="AF1122">
            <v>0</v>
          </cell>
          <cell r="AI1122">
            <v>2223</v>
          </cell>
          <cell r="AK1122">
            <v>0</v>
          </cell>
          <cell r="AM1122">
            <v>293</v>
          </cell>
          <cell r="AN1122">
            <v>1</v>
          </cell>
          <cell r="AO1122">
            <v>393216</v>
          </cell>
          <cell r="AQ1122">
            <v>0</v>
          </cell>
          <cell r="AR1122">
            <v>0</v>
          </cell>
          <cell r="AS1122" t="str">
            <v>Ы</v>
          </cell>
          <cell r="AT1122" t="str">
            <v>Ы</v>
          </cell>
          <cell r="AU1122">
            <v>0</v>
          </cell>
          <cell r="AV1122">
            <v>0</v>
          </cell>
          <cell r="AW1122">
            <v>23</v>
          </cell>
          <cell r="AX1122">
            <v>1</v>
          </cell>
          <cell r="AY1122">
            <v>0</v>
          </cell>
          <cell r="AZ1122">
            <v>0</v>
          </cell>
          <cell r="BA1122">
            <v>0</v>
          </cell>
          <cell r="BB1122">
            <v>0</v>
          </cell>
          <cell r="BC1122">
            <v>38828</v>
          </cell>
        </row>
        <row r="1123">
          <cell r="A1123">
            <v>2006</v>
          </cell>
          <cell r="B1123">
            <v>1</v>
          </cell>
          <cell r="C1123">
            <v>167</v>
          </cell>
          <cell r="D1123">
            <v>20</v>
          </cell>
          <cell r="E1123">
            <v>792020</v>
          </cell>
          <cell r="F1123">
            <v>0</v>
          </cell>
          <cell r="G1123" t="str">
            <v>Затраты по ШПЗ (основные)</v>
          </cell>
          <cell r="H1123">
            <v>2011</v>
          </cell>
          <cell r="I1123">
            <v>7920</v>
          </cell>
          <cell r="J1123">
            <v>1200</v>
          </cell>
          <cell r="K1123">
            <v>1</v>
          </cell>
          <cell r="L1123">
            <v>0</v>
          </cell>
          <cell r="M1123">
            <v>0</v>
          </cell>
          <cell r="N1123">
            <v>0</v>
          </cell>
          <cell r="R1123">
            <v>0</v>
          </cell>
          <cell r="S1123">
            <v>0</v>
          </cell>
          <cell r="T1123">
            <v>0</v>
          </cell>
          <cell r="U1123">
            <v>32</v>
          </cell>
          <cell r="V1123">
            <v>0</v>
          </cell>
          <cell r="W1123">
            <v>0</v>
          </cell>
          <cell r="AA1123">
            <v>0</v>
          </cell>
          <cell r="AB1123">
            <v>0</v>
          </cell>
          <cell r="AC1123">
            <v>0</v>
          </cell>
          <cell r="AD1123">
            <v>32</v>
          </cell>
          <cell r="AE1123">
            <v>522100</v>
          </cell>
          <cell r="AF1123">
            <v>0</v>
          </cell>
          <cell r="AI1123">
            <v>2223</v>
          </cell>
          <cell r="AK1123">
            <v>0</v>
          </cell>
          <cell r="AM1123">
            <v>294</v>
          </cell>
          <cell r="AN1123">
            <v>1</v>
          </cell>
          <cell r="AO1123">
            <v>393216</v>
          </cell>
          <cell r="AQ1123">
            <v>0</v>
          </cell>
          <cell r="AR1123">
            <v>0</v>
          </cell>
          <cell r="AS1123" t="str">
            <v>Ы</v>
          </cell>
          <cell r="AT1123" t="str">
            <v>Ы</v>
          </cell>
          <cell r="AU1123">
            <v>0</v>
          </cell>
          <cell r="AV1123">
            <v>0</v>
          </cell>
          <cell r="AW1123">
            <v>23</v>
          </cell>
          <cell r="AX1123">
            <v>1</v>
          </cell>
          <cell r="AY1123">
            <v>0</v>
          </cell>
          <cell r="AZ1123">
            <v>0</v>
          </cell>
          <cell r="BA1123">
            <v>0</v>
          </cell>
          <cell r="BB1123">
            <v>0</v>
          </cell>
          <cell r="BC1123">
            <v>38828</v>
          </cell>
        </row>
        <row r="1124">
          <cell r="A1124">
            <v>2006</v>
          </cell>
          <cell r="B1124">
            <v>1</v>
          </cell>
          <cell r="C1124">
            <v>179</v>
          </cell>
          <cell r="D1124">
            <v>20</v>
          </cell>
          <cell r="E1124">
            <v>792020</v>
          </cell>
          <cell r="F1124">
            <v>0</v>
          </cell>
          <cell r="G1124" t="str">
            <v>Затраты по ШПЗ (основные)</v>
          </cell>
          <cell r="H1124">
            <v>2011</v>
          </cell>
          <cell r="I1124">
            <v>7920</v>
          </cell>
          <cell r="J1124">
            <v>411142.2</v>
          </cell>
          <cell r="K1124">
            <v>1</v>
          </cell>
          <cell r="L1124">
            <v>0</v>
          </cell>
          <cell r="M1124">
            <v>0</v>
          </cell>
          <cell r="N1124">
            <v>0</v>
          </cell>
          <cell r="R1124">
            <v>0</v>
          </cell>
          <cell r="S1124">
            <v>0</v>
          </cell>
          <cell r="T1124">
            <v>0</v>
          </cell>
          <cell r="U1124">
            <v>31</v>
          </cell>
          <cell r="V1124">
            <v>0</v>
          </cell>
          <cell r="W1124">
            <v>0</v>
          </cell>
          <cell r="AA1124">
            <v>0</v>
          </cell>
          <cell r="AB1124">
            <v>0</v>
          </cell>
          <cell r="AC1124">
            <v>0</v>
          </cell>
          <cell r="AD1124">
            <v>31</v>
          </cell>
          <cell r="AE1124">
            <v>110000</v>
          </cell>
          <cell r="AF1124">
            <v>0</v>
          </cell>
          <cell r="AI1124">
            <v>2223</v>
          </cell>
          <cell r="AK1124">
            <v>0</v>
          </cell>
          <cell r="AM1124">
            <v>306</v>
          </cell>
          <cell r="AN1124">
            <v>1</v>
          </cell>
          <cell r="AO1124">
            <v>393216</v>
          </cell>
          <cell r="AQ1124">
            <v>0</v>
          </cell>
          <cell r="AR1124">
            <v>0</v>
          </cell>
          <cell r="AS1124" t="str">
            <v>Ы</v>
          </cell>
          <cell r="AT1124" t="str">
            <v>Ы</v>
          </cell>
          <cell r="AU1124">
            <v>0</v>
          </cell>
          <cell r="AV1124">
            <v>0</v>
          </cell>
          <cell r="AW1124">
            <v>23</v>
          </cell>
          <cell r="AX1124">
            <v>1</v>
          </cell>
          <cell r="AY1124">
            <v>0</v>
          </cell>
          <cell r="AZ1124">
            <v>0</v>
          </cell>
          <cell r="BA1124">
            <v>0</v>
          </cell>
          <cell r="BB1124">
            <v>0</v>
          </cell>
          <cell r="BC1124">
            <v>38828</v>
          </cell>
        </row>
        <row r="1125">
          <cell r="A1125">
            <v>2006</v>
          </cell>
          <cell r="B1125">
            <v>1</v>
          </cell>
          <cell r="C1125">
            <v>180</v>
          </cell>
          <cell r="D1125">
            <v>20</v>
          </cell>
          <cell r="E1125">
            <v>792020</v>
          </cell>
          <cell r="F1125">
            <v>0</v>
          </cell>
          <cell r="G1125" t="str">
            <v>Затраты по ШПЗ (основные)</v>
          </cell>
          <cell r="H1125">
            <v>2011</v>
          </cell>
          <cell r="I1125">
            <v>7920</v>
          </cell>
          <cell r="J1125">
            <v>294.12</v>
          </cell>
          <cell r="K1125">
            <v>1</v>
          </cell>
          <cell r="L1125">
            <v>0</v>
          </cell>
          <cell r="M1125">
            <v>0</v>
          </cell>
          <cell r="N1125">
            <v>0</v>
          </cell>
          <cell r="R1125">
            <v>0</v>
          </cell>
          <cell r="S1125">
            <v>0</v>
          </cell>
          <cell r="T1125">
            <v>0</v>
          </cell>
          <cell r="U1125">
            <v>31</v>
          </cell>
          <cell r="V1125">
            <v>0</v>
          </cell>
          <cell r="W1125">
            <v>0</v>
          </cell>
          <cell r="AA1125">
            <v>0</v>
          </cell>
          <cell r="AB1125">
            <v>0</v>
          </cell>
          <cell r="AC1125">
            <v>0</v>
          </cell>
          <cell r="AD1125">
            <v>31</v>
          </cell>
          <cell r="AE1125">
            <v>114020</v>
          </cell>
          <cell r="AF1125">
            <v>0</v>
          </cell>
          <cell r="AI1125">
            <v>2223</v>
          </cell>
          <cell r="AK1125">
            <v>0</v>
          </cell>
          <cell r="AM1125">
            <v>307</v>
          </cell>
          <cell r="AN1125">
            <v>1</v>
          </cell>
          <cell r="AO1125">
            <v>393216</v>
          </cell>
          <cell r="AQ1125">
            <v>0</v>
          </cell>
          <cell r="AR1125">
            <v>0</v>
          </cell>
          <cell r="AS1125" t="str">
            <v>Ы</v>
          </cell>
          <cell r="AT1125" t="str">
            <v>Ы</v>
          </cell>
          <cell r="AU1125">
            <v>0</v>
          </cell>
          <cell r="AV1125">
            <v>0</v>
          </cell>
          <cell r="AW1125">
            <v>23</v>
          </cell>
          <cell r="AX1125">
            <v>1</v>
          </cell>
          <cell r="AY1125">
            <v>0</v>
          </cell>
          <cell r="AZ1125">
            <v>0</v>
          </cell>
          <cell r="BA1125">
            <v>0</v>
          </cell>
          <cell r="BB1125">
            <v>0</v>
          </cell>
          <cell r="BC1125">
            <v>38828</v>
          </cell>
        </row>
        <row r="1126">
          <cell r="A1126">
            <v>2006</v>
          </cell>
          <cell r="B1126">
            <v>1</v>
          </cell>
          <cell r="C1126">
            <v>181</v>
          </cell>
          <cell r="D1126">
            <v>20</v>
          </cell>
          <cell r="E1126">
            <v>792020</v>
          </cell>
          <cell r="F1126">
            <v>0</v>
          </cell>
          <cell r="G1126" t="str">
            <v>Затраты по ШПЗ (основные)</v>
          </cell>
          <cell r="H1126">
            <v>2011</v>
          </cell>
          <cell r="I1126">
            <v>7920</v>
          </cell>
          <cell r="J1126">
            <v>12249.25</v>
          </cell>
          <cell r="K1126">
            <v>1</v>
          </cell>
          <cell r="L1126">
            <v>0</v>
          </cell>
          <cell r="M1126">
            <v>0</v>
          </cell>
          <cell r="N1126">
            <v>0</v>
          </cell>
          <cell r="R1126">
            <v>0</v>
          </cell>
          <cell r="S1126">
            <v>0</v>
          </cell>
          <cell r="T1126">
            <v>0</v>
          </cell>
          <cell r="U1126">
            <v>31</v>
          </cell>
          <cell r="V1126">
            <v>0</v>
          </cell>
          <cell r="W1126">
            <v>0</v>
          </cell>
          <cell r="AA1126">
            <v>0</v>
          </cell>
          <cell r="AB1126">
            <v>0</v>
          </cell>
          <cell r="AC1126">
            <v>0</v>
          </cell>
          <cell r="AD1126">
            <v>31</v>
          </cell>
          <cell r="AE1126">
            <v>117000</v>
          </cell>
          <cell r="AF1126">
            <v>0</v>
          </cell>
          <cell r="AI1126">
            <v>2223</v>
          </cell>
          <cell r="AK1126">
            <v>0</v>
          </cell>
          <cell r="AM1126">
            <v>308</v>
          </cell>
          <cell r="AN1126">
            <v>1</v>
          </cell>
          <cell r="AO1126">
            <v>393216</v>
          </cell>
          <cell r="AQ1126">
            <v>0</v>
          </cell>
          <cell r="AR1126">
            <v>0</v>
          </cell>
          <cell r="AS1126" t="str">
            <v>Ы</v>
          </cell>
          <cell r="AT1126" t="str">
            <v>Ы</v>
          </cell>
          <cell r="AU1126">
            <v>0</v>
          </cell>
          <cell r="AV1126">
            <v>0</v>
          </cell>
          <cell r="AW1126">
            <v>23</v>
          </cell>
          <cell r="AX1126">
            <v>1</v>
          </cell>
          <cell r="AY1126">
            <v>0</v>
          </cell>
          <cell r="AZ1126">
            <v>0</v>
          </cell>
          <cell r="BA1126">
            <v>0</v>
          </cell>
          <cell r="BB1126">
            <v>0</v>
          </cell>
          <cell r="BC1126">
            <v>38828</v>
          </cell>
        </row>
        <row r="1127">
          <cell r="A1127">
            <v>2006</v>
          </cell>
          <cell r="B1127">
            <v>1</v>
          </cell>
          <cell r="C1127">
            <v>182</v>
          </cell>
          <cell r="D1127">
            <v>20</v>
          </cell>
          <cell r="E1127">
            <v>792020</v>
          </cell>
          <cell r="F1127">
            <v>0</v>
          </cell>
          <cell r="G1127" t="str">
            <v>Затраты по ШПЗ (основные)</v>
          </cell>
          <cell r="H1127">
            <v>2011</v>
          </cell>
          <cell r="I1127">
            <v>7920</v>
          </cell>
          <cell r="J1127">
            <v>466</v>
          </cell>
          <cell r="K1127">
            <v>1</v>
          </cell>
          <cell r="L1127">
            <v>0</v>
          </cell>
          <cell r="M1127">
            <v>0</v>
          </cell>
          <cell r="N1127">
            <v>0</v>
          </cell>
          <cell r="R1127">
            <v>0</v>
          </cell>
          <cell r="S1127">
            <v>0</v>
          </cell>
          <cell r="T1127">
            <v>0</v>
          </cell>
          <cell r="U1127">
            <v>31</v>
          </cell>
          <cell r="V1127">
            <v>0</v>
          </cell>
          <cell r="W1127">
            <v>0</v>
          </cell>
          <cell r="AA1127">
            <v>0</v>
          </cell>
          <cell r="AB1127">
            <v>0</v>
          </cell>
          <cell r="AC1127">
            <v>0</v>
          </cell>
          <cell r="AD1127">
            <v>31</v>
          </cell>
          <cell r="AE1127">
            <v>118000</v>
          </cell>
          <cell r="AF1127">
            <v>0</v>
          </cell>
          <cell r="AI1127">
            <v>2223</v>
          </cell>
          <cell r="AK1127">
            <v>0</v>
          </cell>
          <cell r="AM1127">
            <v>309</v>
          </cell>
          <cell r="AN1127">
            <v>1</v>
          </cell>
          <cell r="AO1127">
            <v>393216</v>
          </cell>
          <cell r="AQ1127">
            <v>0</v>
          </cell>
          <cell r="AR1127">
            <v>0</v>
          </cell>
          <cell r="AS1127" t="str">
            <v>Ы</v>
          </cell>
          <cell r="AT1127" t="str">
            <v>Ы</v>
          </cell>
          <cell r="AU1127">
            <v>0</v>
          </cell>
          <cell r="AV1127">
            <v>0</v>
          </cell>
          <cell r="AW1127">
            <v>23</v>
          </cell>
          <cell r="AX1127">
            <v>1</v>
          </cell>
          <cell r="AY1127">
            <v>0</v>
          </cell>
          <cell r="AZ1127">
            <v>0</v>
          </cell>
          <cell r="BA1127">
            <v>0</v>
          </cell>
          <cell r="BB1127">
            <v>0</v>
          </cell>
          <cell r="BC1127">
            <v>38828</v>
          </cell>
        </row>
        <row r="1128">
          <cell r="A1128">
            <v>2006</v>
          </cell>
          <cell r="B1128">
            <v>1</v>
          </cell>
          <cell r="C1128">
            <v>183</v>
          </cell>
          <cell r="D1128">
            <v>20</v>
          </cell>
          <cell r="E1128">
            <v>792020</v>
          </cell>
          <cell r="F1128">
            <v>0</v>
          </cell>
          <cell r="G1128" t="str">
            <v>Затраты по ШПЗ (основные)</v>
          </cell>
          <cell r="H1128">
            <v>2011</v>
          </cell>
          <cell r="I1128">
            <v>7920</v>
          </cell>
          <cell r="J1128">
            <v>534</v>
          </cell>
          <cell r="K1128">
            <v>1</v>
          </cell>
          <cell r="L1128">
            <v>0</v>
          </cell>
          <cell r="M1128">
            <v>0</v>
          </cell>
          <cell r="N1128">
            <v>0</v>
          </cell>
          <cell r="R1128">
            <v>0</v>
          </cell>
          <cell r="S1128">
            <v>0</v>
          </cell>
          <cell r="T1128">
            <v>0</v>
          </cell>
          <cell r="U1128">
            <v>31</v>
          </cell>
          <cell r="V1128">
            <v>0</v>
          </cell>
          <cell r="W1128">
            <v>0</v>
          </cell>
          <cell r="AA1128">
            <v>0</v>
          </cell>
          <cell r="AB1128">
            <v>0</v>
          </cell>
          <cell r="AC1128">
            <v>0</v>
          </cell>
          <cell r="AD1128">
            <v>31</v>
          </cell>
          <cell r="AE1128">
            <v>130100</v>
          </cell>
          <cell r="AF1128">
            <v>0</v>
          </cell>
          <cell r="AI1128">
            <v>2223</v>
          </cell>
          <cell r="AK1128">
            <v>0</v>
          </cell>
          <cell r="AM1128">
            <v>310</v>
          </cell>
          <cell r="AN1128">
            <v>1</v>
          </cell>
          <cell r="AO1128">
            <v>393216</v>
          </cell>
          <cell r="AQ1128">
            <v>0</v>
          </cell>
          <cell r="AR1128">
            <v>0</v>
          </cell>
          <cell r="AS1128" t="str">
            <v>Ы</v>
          </cell>
          <cell r="AT1128" t="str">
            <v>Ы</v>
          </cell>
          <cell r="AU1128">
            <v>0</v>
          </cell>
          <cell r="AV1128">
            <v>0</v>
          </cell>
          <cell r="AW1128">
            <v>23</v>
          </cell>
          <cell r="AX1128">
            <v>1</v>
          </cell>
          <cell r="AY1128">
            <v>0</v>
          </cell>
          <cell r="AZ1128">
            <v>0</v>
          </cell>
          <cell r="BA1128">
            <v>0</v>
          </cell>
          <cell r="BB1128">
            <v>0</v>
          </cell>
          <cell r="BC1128">
            <v>38828</v>
          </cell>
        </row>
        <row r="1129">
          <cell r="A1129">
            <v>2006</v>
          </cell>
          <cell r="B1129">
            <v>1</v>
          </cell>
          <cell r="C1129">
            <v>184</v>
          </cell>
          <cell r="D1129">
            <v>20</v>
          </cell>
          <cell r="E1129">
            <v>792020</v>
          </cell>
          <cell r="F1129">
            <v>0</v>
          </cell>
          <cell r="G1129" t="str">
            <v>Затраты по ШПЗ (основные)</v>
          </cell>
          <cell r="H1129">
            <v>2011</v>
          </cell>
          <cell r="I1129">
            <v>7920</v>
          </cell>
          <cell r="J1129">
            <v>10018.39</v>
          </cell>
          <cell r="K1129">
            <v>1</v>
          </cell>
          <cell r="L1129">
            <v>0</v>
          </cell>
          <cell r="M1129">
            <v>0</v>
          </cell>
          <cell r="N1129">
            <v>0</v>
          </cell>
          <cell r="R1129">
            <v>0</v>
          </cell>
          <cell r="S1129">
            <v>0</v>
          </cell>
          <cell r="T1129">
            <v>0</v>
          </cell>
          <cell r="U1129">
            <v>31</v>
          </cell>
          <cell r="V1129">
            <v>0</v>
          </cell>
          <cell r="W1129">
            <v>0</v>
          </cell>
          <cell r="AA1129">
            <v>0</v>
          </cell>
          <cell r="AB1129">
            <v>0</v>
          </cell>
          <cell r="AC1129">
            <v>0</v>
          </cell>
          <cell r="AD1129">
            <v>31</v>
          </cell>
          <cell r="AE1129">
            <v>132000</v>
          </cell>
          <cell r="AF1129">
            <v>0</v>
          </cell>
          <cell r="AI1129">
            <v>2223</v>
          </cell>
          <cell r="AK1129">
            <v>0</v>
          </cell>
          <cell r="AM1129">
            <v>311</v>
          </cell>
          <cell r="AN1129">
            <v>1</v>
          </cell>
          <cell r="AO1129">
            <v>393216</v>
          </cell>
          <cell r="AQ1129">
            <v>0</v>
          </cell>
          <cell r="AR1129">
            <v>0</v>
          </cell>
          <cell r="AS1129" t="str">
            <v>Ы</v>
          </cell>
          <cell r="AT1129" t="str">
            <v>Ы</v>
          </cell>
          <cell r="AU1129">
            <v>0</v>
          </cell>
          <cell r="AV1129">
            <v>0</v>
          </cell>
          <cell r="AW1129">
            <v>23</v>
          </cell>
          <cell r="AX1129">
            <v>1</v>
          </cell>
          <cell r="AY1129">
            <v>0</v>
          </cell>
          <cell r="AZ1129">
            <v>0</v>
          </cell>
          <cell r="BA1129">
            <v>0</v>
          </cell>
          <cell r="BB1129">
            <v>0</v>
          </cell>
          <cell r="BC1129">
            <v>38828</v>
          </cell>
        </row>
        <row r="1130">
          <cell r="A1130">
            <v>2006</v>
          </cell>
          <cell r="B1130">
            <v>1</v>
          </cell>
          <cell r="C1130">
            <v>185</v>
          </cell>
          <cell r="D1130">
            <v>20</v>
          </cell>
          <cell r="E1130">
            <v>792020</v>
          </cell>
          <cell r="F1130">
            <v>0</v>
          </cell>
          <cell r="G1130" t="str">
            <v>Затраты по ШПЗ (основные)</v>
          </cell>
          <cell r="H1130">
            <v>2011</v>
          </cell>
          <cell r="I1130">
            <v>7920</v>
          </cell>
          <cell r="J1130">
            <v>312.83999999999997</v>
          </cell>
          <cell r="K1130">
            <v>1</v>
          </cell>
          <cell r="L1130">
            <v>0</v>
          </cell>
          <cell r="M1130">
            <v>0</v>
          </cell>
          <cell r="N1130">
            <v>0</v>
          </cell>
          <cell r="R1130">
            <v>0</v>
          </cell>
          <cell r="S1130">
            <v>0</v>
          </cell>
          <cell r="T1130">
            <v>0</v>
          </cell>
          <cell r="U1130">
            <v>31</v>
          </cell>
          <cell r="V1130">
            <v>0</v>
          </cell>
          <cell r="W1130">
            <v>0</v>
          </cell>
          <cell r="AA1130">
            <v>0</v>
          </cell>
          <cell r="AB1130">
            <v>0</v>
          </cell>
          <cell r="AC1130">
            <v>0</v>
          </cell>
          <cell r="AD1130">
            <v>31</v>
          </cell>
          <cell r="AE1130">
            <v>135000</v>
          </cell>
          <cell r="AF1130">
            <v>0</v>
          </cell>
          <cell r="AI1130">
            <v>2223</v>
          </cell>
          <cell r="AK1130">
            <v>0</v>
          </cell>
          <cell r="AM1130">
            <v>312</v>
          </cell>
          <cell r="AN1130">
            <v>1</v>
          </cell>
          <cell r="AO1130">
            <v>393216</v>
          </cell>
          <cell r="AQ1130">
            <v>0</v>
          </cell>
          <cell r="AR1130">
            <v>0</v>
          </cell>
          <cell r="AS1130" t="str">
            <v>Ы</v>
          </cell>
          <cell r="AT1130" t="str">
            <v>Ы</v>
          </cell>
          <cell r="AU1130">
            <v>0</v>
          </cell>
          <cell r="AV1130">
            <v>0</v>
          </cell>
          <cell r="AW1130">
            <v>23</v>
          </cell>
          <cell r="AX1130">
            <v>1</v>
          </cell>
          <cell r="AY1130">
            <v>0</v>
          </cell>
          <cell r="AZ1130">
            <v>0</v>
          </cell>
          <cell r="BA1130">
            <v>0</v>
          </cell>
          <cell r="BB1130">
            <v>0</v>
          </cell>
          <cell r="BC1130">
            <v>38828</v>
          </cell>
        </row>
        <row r="1131">
          <cell r="A1131">
            <v>2006</v>
          </cell>
          <cell r="B1131">
            <v>1</v>
          </cell>
          <cell r="C1131">
            <v>186</v>
          </cell>
          <cell r="D1131">
            <v>20</v>
          </cell>
          <cell r="E1131">
            <v>792020</v>
          </cell>
          <cell r="F1131">
            <v>0</v>
          </cell>
          <cell r="G1131" t="str">
            <v>Затраты по ШПЗ (основные)</v>
          </cell>
          <cell r="H1131">
            <v>2011</v>
          </cell>
          <cell r="I1131">
            <v>7920</v>
          </cell>
          <cell r="J1131">
            <v>268472.95</v>
          </cell>
          <cell r="K1131">
            <v>1</v>
          </cell>
          <cell r="L1131">
            <v>0</v>
          </cell>
          <cell r="M1131">
            <v>0</v>
          </cell>
          <cell r="N1131">
            <v>0</v>
          </cell>
          <cell r="R1131">
            <v>0</v>
          </cell>
          <cell r="S1131">
            <v>0</v>
          </cell>
          <cell r="T1131">
            <v>0</v>
          </cell>
          <cell r="U1131">
            <v>31</v>
          </cell>
          <cell r="V1131">
            <v>0</v>
          </cell>
          <cell r="W1131">
            <v>0</v>
          </cell>
          <cell r="AA1131">
            <v>0</v>
          </cell>
          <cell r="AB1131">
            <v>0</v>
          </cell>
          <cell r="AC1131">
            <v>0</v>
          </cell>
          <cell r="AD1131">
            <v>31</v>
          </cell>
          <cell r="AE1131">
            <v>143000</v>
          </cell>
          <cell r="AF1131">
            <v>0</v>
          </cell>
          <cell r="AI1131">
            <v>2223</v>
          </cell>
          <cell r="AK1131">
            <v>0</v>
          </cell>
          <cell r="AM1131">
            <v>313</v>
          </cell>
          <cell r="AN1131">
            <v>1</v>
          </cell>
          <cell r="AO1131">
            <v>393216</v>
          </cell>
          <cell r="AQ1131">
            <v>0</v>
          </cell>
          <cell r="AR1131">
            <v>0</v>
          </cell>
          <cell r="AS1131" t="str">
            <v>Ы</v>
          </cell>
          <cell r="AT1131" t="str">
            <v>Ы</v>
          </cell>
          <cell r="AU1131">
            <v>0</v>
          </cell>
          <cell r="AV1131">
            <v>0</v>
          </cell>
          <cell r="AW1131">
            <v>23</v>
          </cell>
          <cell r="AX1131">
            <v>1</v>
          </cell>
          <cell r="AY1131">
            <v>0</v>
          </cell>
          <cell r="AZ1131">
            <v>0</v>
          </cell>
          <cell r="BA1131">
            <v>0</v>
          </cell>
          <cell r="BB1131">
            <v>0</v>
          </cell>
          <cell r="BC1131">
            <v>38828</v>
          </cell>
        </row>
        <row r="1132">
          <cell r="A1132">
            <v>2006</v>
          </cell>
          <cell r="B1132">
            <v>1</v>
          </cell>
          <cell r="C1132">
            <v>187</v>
          </cell>
          <cell r="D1132">
            <v>20</v>
          </cell>
          <cell r="E1132">
            <v>792020</v>
          </cell>
          <cell r="F1132">
            <v>0</v>
          </cell>
          <cell r="G1132" t="str">
            <v>Затраты по ШПЗ (основные)</v>
          </cell>
          <cell r="H1132">
            <v>2011</v>
          </cell>
          <cell r="I1132">
            <v>7920</v>
          </cell>
          <cell r="J1132">
            <v>3411307.29</v>
          </cell>
          <cell r="K1132">
            <v>1</v>
          </cell>
          <cell r="L1132">
            <v>0</v>
          </cell>
          <cell r="M1132">
            <v>0</v>
          </cell>
          <cell r="N1132">
            <v>0</v>
          </cell>
          <cell r="R1132">
            <v>0</v>
          </cell>
          <cell r="S1132">
            <v>0</v>
          </cell>
          <cell r="T1132">
            <v>0</v>
          </cell>
          <cell r="U1132">
            <v>31</v>
          </cell>
          <cell r="V1132">
            <v>0</v>
          </cell>
          <cell r="W1132">
            <v>0</v>
          </cell>
          <cell r="AA1132">
            <v>0</v>
          </cell>
          <cell r="AB1132">
            <v>0</v>
          </cell>
          <cell r="AC1132">
            <v>0</v>
          </cell>
          <cell r="AD1132">
            <v>31</v>
          </cell>
          <cell r="AE1132">
            <v>220000</v>
          </cell>
          <cell r="AF1132">
            <v>0</v>
          </cell>
          <cell r="AI1132">
            <v>2223</v>
          </cell>
          <cell r="AK1132">
            <v>0</v>
          </cell>
          <cell r="AM1132">
            <v>314</v>
          </cell>
          <cell r="AN1132">
            <v>1</v>
          </cell>
          <cell r="AO1132">
            <v>393216</v>
          </cell>
          <cell r="AQ1132">
            <v>0</v>
          </cell>
          <cell r="AR1132">
            <v>0</v>
          </cell>
          <cell r="AS1132" t="str">
            <v>Ы</v>
          </cell>
          <cell r="AT1132" t="str">
            <v>Ы</v>
          </cell>
          <cell r="AU1132">
            <v>0</v>
          </cell>
          <cell r="AV1132">
            <v>0</v>
          </cell>
          <cell r="AW1132">
            <v>23</v>
          </cell>
          <cell r="AX1132">
            <v>1</v>
          </cell>
          <cell r="AY1132">
            <v>0</v>
          </cell>
          <cell r="AZ1132">
            <v>0</v>
          </cell>
          <cell r="BA1132">
            <v>0</v>
          </cell>
          <cell r="BB1132">
            <v>0</v>
          </cell>
          <cell r="BC1132">
            <v>38828</v>
          </cell>
        </row>
        <row r="1133">
          <cell r="A1133">
            <v>2006</v>
          </cell>
          <cell r="B1133">
            <v>1</v>
          </cell>
          <cell r="C1133">
            <v>188</v>
          </cell>
          <cell r="D1133">
            <v>20</v>
          </cell>
          <cell r="E1133">
            <v>792020</v>
          </cell>
          <cell r="F1133">
            <v>0</v>
          </cell>
          <cell r="G1133" t="str">
            <v>Затраты по ШПЗ (основные)</v>
          </cell>
          <cell r="H1133">
            <v>2011</v>
          </cell>
          <cell r="I1133">
            <v>7920</v>
          </cell>
          <cell r="J1133">
            <v>1640344.71</v>
          </cell>
          <cell r="K1133">
            <v>1</v>
          </cell>
          <cell r="L1133">
            <v>0</v>
          </cell>
          <cell r="M1133">
            <v>0</v>
          </cell>
          <cell r="N1133">
            <v>0</v>
          </cell>
          <cell r="R1133">
            <v>0</v>
          </cell>
          <cell r="S1133">
            <v>0</v>
          </cell>
          <cell r="T1133">
            <v>0</v>
          </cell>
          <cell r="U1133">
            <v>31</v>
          </cell>
          <cell r="V1133">
            <v>0</v>
          </cell>
          <cell r="W1133">
            <v>0</v>
          </cell>
          <cell r="AA1133">
            <v>0</v>
          </cell>
          <cell r="AB1133">
            <v>0</v>
          </cell>
          <cell r="AC1133">
            <v>0</v>
          </cell>
          <cell r="AD1133">
            <v>31</v>
          </cell>
          <cell r="AE1133">
            <v>230000</v>
          </cell>
          <cell r="AF1133">
            <v>0</v>
          </cell>
          <cell r="AI1133">
            <v>2223</v>
          </cell>
          <cell r="AK1133">
            <v>0</v>
          </cell>
          <cell r="AM1133">
            <v>315</v>
          </cell>
          <cell r="AN1133">
            <v>1</v>
          </cell>
          <cell r="AO1133">
            <v>393216</v>
          </cell>
          <cell r="AQ1133">
            <v>0</v>
          </cell>
          <cell r="AR1133">
            <v>0</v>
          </cell>
          <cell r="AS1133" t="str">
            <v>Ы</v>
          </cell>
          <cell r="AT1133" t="str">
            <v>Ы</v>
          </cell>
          <cell r="AU1133">
            <v>0</v>
          </cell>
          <cell r="AV1133">
            <v>0</v>
          </cell>
          <cell r="AW1133">
            <v>23</v>
          </cell>
          <cell r="AX1133">
            <v>1</v>
          </cell>
          <cell r="AY1133">
            <v>0</v>
          </cell>
          <cell r="AZ1133">
            <v>0</v>
          </cell>
          <cell r="BA1133">
            <v>0</v>
          </cell>
          <cell r="BB1133">
            <v>0</v>
          </cell>
          <cell r="BC1133">
            <v>38828</v>
          </cell>
        </row>
        <row r="1134">
          <cell r="A1134">
            <v>2006</v>
          </cell>
          <cell r="B1134">
            <v>1</v>
          </cell>
          <cell r="C1134">
            <v>189</v>
          </cell>
          <cell r="D1134">
            <v>20</v>
          </cell>
          <cell r="E1134">
            <v>792020</v>
          </cell>
          <cell r="F1134">
            <v>0</v>
          </cell>
          <cell r="G1134" t="str">
            <v>Затраты по ШПЗ (основные)</v>
          </cell>
          <cell r="H1134">
            <v>2011</v>
          </cell>
          <cell r="I1134">
            <v>7920</v>
          </cell>
          <cell r="J1134">
            <v>120780.49</v>
          </cell>
          <cell r="K1134">
            <v>1</v>
          </cell>
          <cell r="L1134">
            <v>0</v>
          </cell>
          <cell r="M1134">
            <v>0</v>
          </cell>
          <cell r="N1134">
            <v>0</v>
          </cell>
          <cell r="R1134">
            <v>0</v>
          </cell>
          <cell r="S1134">
            <v>0</v>
          </cell>
          <cell r="T1134">
            <v>0</v>
          </cell>
          <cell r="U1134">
            <v>31</v>
          </cell>
          <cell r="V1134">
            <v>0</v>
          </cell>
          <cell r="W1134">
            <v>0</v>
          </cell>
          <cell r="AA1134">
            <v>0</v>
          </cell>
          <cell r="AB1134">
            <v>0</v>
          </cell>
          <cell r="AC1134">
            <v>0</v>
          </cell>
          <cell r="AD1134">
            <v>31</v>
          </cell>
          <cell r="AE1134">
            <v>260000</v>
          </cell>
          <cell r="AF1134">
            <v>0</v>
          </cell>
          <cell r="AI1134">
            <v>2223</v>
          </cell>
          <cell r="AK1134">
            <v>0</v>
          </cell>
          <cell r="AM1134">
            <v>316</v>
          </cell>
          <cell r="AN1134">
            <v>1</v>
          </cell>
          <cell r="AO1134">
            <v>393216</v>
          </cell>
          <cell r="AQ1134">
            <v>0</v>
          </cell>
          <cell r="AR1134">
            <v>0</v>
          </cell>
          <cell r="AS1134" t="str">
            <v>Ы</v>
          </cell>
          <cell r="AT1134" t="str">
            <v>Ы</v>
          </cell>
          <cell r="AU1134">
            <v>0</v>
          </cell>
          <cell r="AV1134">
            <v>0</v>
          </cell>
          <cell r="AW1134">
            <v>23</v>
          </cell>
          <cell r="AX1134">
            <v>1</v>
          </cell>
          <cell r="AY1134">
            <v>0</v>
          </cell>
          <cell r="AZ1134">
            <v>0</v>
          </cell>
          <cell r="BA1134">
            <v>0</v>
          </cell>
          <cell r="BB1134">
            <v>0</v>
          </cell>
          <cell r="BC1134">
            <v>38828</v>
          </cell>
        </row>
        <row r="1135">
          <cell r="A1135">
            <v>2006</v>
          </cell>
          <cell r="B1135">
            <v>1</v>
          </cell>
          <cell r="C1135">
            <v>190</v>
          </cell>
          <cell r="D1135">
            <v>20</v>
          </cell>
          <cell r="E1135">
            <v>792020</v>
          </cell>
          <cell r="F1135">
            <v>0</v>
          </cell>
          <cell r="G1135" t="str">
            <v>Затраты по ШПЗ (основные)</v>
          </cell>
          <cell r="H1135">
            <v>2011</v>
          </cell>
          <cell r="I1135">
            <v>7920</v>
          </cell>
          <cell r="J1135">
            <v>378480.29</v>
          </cell>
          <cell r="K1135">
            <v>1</v>
          </cell>
          <cell r="L1135">
            <v>0</v>
          </cell>
          <cell r="M1135">
            <v>0</v>
          </cell>
          <cell r="N1135">
            <v>0</v>
          </cell>
          <cell r="R1135">
            <v>0</v>
          </cell>
          <cell r="S1135">
            <v>0</v>
          </cell>
          <cell r="T1135">
            <v>0</v>
          </cell>
          <cell r="U1135">
            <v>31</v>
          </cell>
          <cell r="V1135">
            <v>0</v>
          </cell>
          <cell r="W1135">
            <v>0</v>
          </cell>
          <cell r="AA1135">
            <v>0</v>
          </cell>
          <cell r="AB1135">
            <v>0</v>
          </cell>
          <cell r="AC1135">
            <v>0</v>
          </cell>
          <cell r="AD1135">
            <v>31</v>
          </cell>
          <cell r="AE1135">
            <v>270000</v>
          </cell>
          <cell r="AF1135">
            <v>0</v>
          </cell>
          <cell r="AI1135">
            <v>2223</v>
          </cell>
          <cell r="AK1135">
            <v>0</v>
          </cell>
          <cell r="AM1135">
            <v>317</v>
          </cell>
          <cell r="AN1135">
            <v>1</v>
          </cell>
          <cell r="AO1135">
            <v>393216</v>
          </cell>
          <cell r="AQ1135">
            <v>0</v>
          </cell>
          <cell r="AR1135">
            <v>0</v>
          </cell>
          <cell r="AS1135" t="str">
            <v>Ы</v>
          </cell>
          <cell r="AT1135" t="str">
            <v>Ы</v>
          </cell>
          <cell r="AU1135">
            <v>0</v>
          </cell>
          <cell r="AV1135">
            <v>0</v>
          </cell>
          <cell r="AW1135">
            <v>23</v>
          </cell>
          <cell r="AX1135">
            <v>1</v>
          </cell>
          <cell r="AY1135">
            <v>0</v>
          </cell>
          <cell r="AZ1135">
            <v>0</v>
          </cell>
          <cell r="BA1135">
            <v>0</v>
          </cell>
          <cell r="BB1135">
            <v>0</v>
          </cell>
          <cell r="BC1135">
            <v>38828</v>
          </cell>
        </row>
        <row r="1136">
          <cell r="A1136">
            <v>2006</v>
          </cell>
          <cell r="B1136">
            <v>1</v>
          </cell>
          <cell r="C1136">
            <v>191</v>
          </cell>
          <cell r="D1136">
            <v>20</v>
          </cell>
          <cell r="E1136">
            <v>792020</v>
          </cell>
          <cell r="F1136">
            <v>0</v>
          </cell>
          <cell r="G1136" t="str">
            <v>Затраты по ШПЗ (основные)</v>
          </cell>
          <cell r="H1136">
            <v>2011</v>
          </cell>
          <cell r="I1136">
            <v>7920</v>
          </cell>
          <cell r="J1136">
            <v>195279.64</v>
          </cell>
          <cell r="K1136">
            <v>1</v>
          </cell>
          <cell r="L1136">
            <v>0</v>
          </cell>
          <cell r="M1136">
            <v>0</v>
          </cell>
          <cell r="N1136">
            <v>0</v>
          </cell>
          <cell r="R1136">
            <v>0</v>
          </cell>
          <cell r="S1136">
            <v>0</v>
          </cell>
          <cell r="T1136">
            <v>0</v>
          </cell>
          <cell r="U1136">
            <v>31</v>
          </cell>
          <cell r="V1136">
            <v>0</v>
          </cell>
          <cell r="W1136">
            <v>0</v>
          </cell>
          <cell r="AA1136">
            <v>0</v>
          </cell>
          <cell r="AB1136">
            <v>0</v>
          </cell>
          <cell r="AC1136">
            <v>0</v>
          </cell>
          <cell r="AD1136">
            <v>31</v>
          </cell>
          <cell r="AE1136">
            <v>280100</v>
          </cell>
          <cell r="AF1136">
            <v>0</v>
          </cell>
          <cell r="AI1136">
            <v>2223</v>
          </cell>
          <cell r="AK1136">
            <v>0</v>
          </cell>
          <cell r="AM1136">
            <v>318</v>
          </cell>
          <cell r="AN1136">
            <v>1</v>
          </cell>
          <cell r="AO1136">
            <v>393216</v>
          </cell>
          <cell r="AQ1136">
            <v>0</v>
          </cell>
          <cell r="AR1136">
            <v>0</v>
          </cell>
          <cell r="AS1136" t="str">
            <v>Ы</v>
          </cell>
          <cell r="AT1136" t="str">
            <v>Ы</v>
          </cell>
          <cell r="AU1136">
            <v>0</v>
          </cell>
          <cell r="AV1136">
            <v>0</v>
          </cell>
          <cell r="AW1136">
            <v>23</v>
          </cell>
          <cell r="AX1136">
            <v>1</v>
          </cell>
          <cell r="AY1136">
            <v>0</v>
          </cell>
          <cell r="AZ1136">
            <v>0</v>
          </cell>
          <cell r="BA1136">
            <v>0</v>
          </cell>
          <cell r="BB1136">
            <v>0</v>
          </cell>
          <cell r="BC1136">
            <v>38828</v>
          </cell>
        </row>
        <row r="1137">
          <cell r="A1137">
            <v>2006</v>
          </cell>
          <cell r="B1137">
            <v>1</v>
          </cell>
          <cell r="C1137">
            <v>192</v>
          </cell>
          <cell r="D1137">
            <v>20</v>
          </cell>
          <cell r="E1137">
            <v>792020</v>
          </cell>
          <cell r="F1137">
            <v>0</v>
          </cell>
          <cell r="G1137" t="str">
            <v>Затраты по ШПЗ (основные)</v>
          </cell>
          <cell r="H1137">
            <v>2011</v>
          </cell>
          <cell r="I1137">
            <v>7920</v>
          </cell>
          <cell r="J1137">
            <v>52764.29</v>
          </cell>
          <cell r="K1137">
            <v>1</v>
          </cell>
          <cell r="L1137">
            <v>0</v>
          </cell>
          <cell r="M1137">
            <v>0</v>
          </cell>
          <cell r="N1137">
            <v>0</v>
          </cell>
          <cell r="R1137">
            <v>0</v>
          </cell>
          <cell r="S1137">
            <v>0</v>
          </cell>
          <cell r="T1137">
            <v>0</v>
          </cell>
          <cell r="U1137">
            <v>31</v>
          </cell>
          <cell r="V1137">
            <v>0</v>
          </cell>
          <cell r="W1137">
            <v>0</v>
          </cell>
          <cell r="AA1137">
            <v>0</v>
          </cell>
          <cell r="AB1137">
            <v>0</v>
          </cell>
          <cell r="AC1137">
            <v>0</v>
          </cell>
          <cell r="AD1137">
            <v>31</v>
          </cell>
          <cell r="AE1137">
            <v>280200</v>
          </cell>
          <cell r="AF1137">
            <v>0</v>
          </cell>
          <cell r="AI1137">
            <v>2223</v>
          </cell>
          <cell r="AK1137">
            <v>0</v>
          </cell>
          <cell r="AM1137">
            <v>319</v>
          </cell>
          <cell r="AN1137">
            <v>1</v>
          </cell>
          <cell r="AO1137">
            <v>393216</v>
          </cell>
          <cell r="AQ1137">
            <v>0</v>
          </cell>
          <cell r="AR1137">
            <v>0</v>
          </cell>
          <cell r="AS1137" t="str">
            <v>Ы</v>
          </cell>
          <cell r="AT1137" t="str">
            <v>Ы</v>
          </cell>
          <cell r="AU1137">
            <v>0</v>
          </cell>
          <cell r="AV1137">
            <v>0</v>
          </cell>
          <cell r="AW1137">
            <v>23</v>
          </cell>
          <cell r="AX1137">
            <v>1</v>
          </cell>
          <cell r="AY1137">
            <v>0</v>
          </cell>
          <cell r="AZ1137">
            <v>0</v>
          </cell>
          <cell r="BA1137">
            <v>0</v>
          </cell>
          <cell r="BB1137">
            <v>0</v>
          </cell>
          <cell r="BC1137">
            <v>38828</v>
          </cell>
        </row>
        <row r="1138">
          <cell r="A1138">
            <v>2006</v>
          </cell>
          <cell r="B1138">
            <v>1</v>
          </cell>
          <cell r="C1138">
            <v>193</v>
          </cell>
          <cell r="D1138">
            <v>20</v>
          </cell>
          <cell r="E1138">
            <v>792020</v>
          </cell>
          <cell r="F1138">
            <v>0</v>
          </cell>
          <cell r="G1138" t="str">
            <v>Затраты по ШПЗ (основные)</v>
          </cell>
          <cell r="H1138">
            <v>2011</v>
          </cell>
          <cell r="I1138">
            <v>7920</v>
          </cell>
          <cell r="J1138">
            <v>334795.37</v>
          </cell>
          <cell r="K1138">
            <v>1</v>
          </cell>
          <cell r="L1138">
            <v>0</v>
          </cell>
          <cell r="M1138">
            <v>0</v>
          </cell>
          <cell r="N1138">
            <v>0</v>
          </cell>
          <cell r="R1138">
            <v>0</v>
          </cell>
          <cell r="S1138">
            <v>0</v>
          </cell>
          <cell r="T1138">
            <v>0</v>
          </cell>
          <cell r="U1138">
            <v>31</v>
          </cell>
          <cell r="V1138">
            <v>0</v>
          </cell>
          <cell r="W1138">
            <v>0</v>
          </cell>
          <cell r="AA1138">
            <v>0</v>
          </cell>
          <cell r="AB1138">
            <v>0</v>
          </cell>
          <cell r="AC1138">
            <v>0</v>
          </cell>
          <cell r="AD1138">
            <v>31</v>
          </cell>
          <cell r="AE1138">
            <v>280400</v>
          </cell>
          <cell r="AF1138">
            <v>0</v>
          </cell>
          <cell r="AI1138">
            <v>2223</v>
          </cell>
          <cell r="AK1138">
            <v>0</v>
          </cell>
          <cell r="AM1138">
            <v>320</v>
          </cell>
          <cell r="AN1138">
            <v>1</v>
          </cell>
          <cell r="AO1138">
            <v>393216</v>
          </cell>
          <cell r="AQ1138">
            <v>0</v>
          </cell>
          <cell r="AR1138">
            <v>0</v>
          </cell>
          <cell r="AS1138" t="str">
            <v>Ы</v>
          </cell>
          <cell r="AT1138" t="str">
            <v>Ы</v>
          </cell>
          <cell r="AU1138">
            <v>0</v>
          </cell>
          <cell r="AV1138">
            <v>0</v>
          </cell>
          <cell r="AW1138">
            <v>23</v>
          </cell>
          <cell r="AX1138">
            <v>1</v>
          </cell>
          <cell r="AY1138">
            <v>0</v>
          </cell>
          <cell r="AZ1138">
            <v>0</v>
          </cell>
          <cell r="BA1138">
            <v>0</v>
          </cell>
          <cell r="BB1138">
            <v>0</v>
          </cell>
          <cell r="BC1138">
            <v>38828</v>
          </cell>
        </row>
        <row r="1139">
          <cell r="A1139">
            <v>2006</v>
          </cell>
          <cell r="B1139">
            <v>1</v>
          </cell>
          <cell r="C1139">
            <v>194</v>
          </cell>
          <cell r="D1139">
            <v>20</v>
          </cell>
          <cell r="E1139">
            <v>792020</v>
          </cell>
          <cell r="F1139">
            <v>0</v>
          </cell>
          <cell r="G1139" t="str">
            <v>Затраты по ШПЗ (основные)</v>
          </cell>
          <cell r="H1139">
            <v>2011</v>
          </cell>
          <cell r="I1139">
            <v>7920</v>
          </cell>
          <cell r="J1139">
            <v>30661.89</v>
          </cell>
          <cell r="K1139">
            <v>1</v>
          </cell>
          <cell r="L1139">
            <v>0</v>
          </cell>
          <cell r="M1139">
            <v>0</v>
          </cell>
          <cell r="N1139">
            <v>0</v>
          </cell>
          <cell r="R1139">
            <v>0</v>
          </cell>
          <cell r="S1139">
            <v>0</v>
          </cell>
          <cell r="T1139">
            <v>0</v>
          </cell>
          <cell r="U1139">
            <v>31</v>
          </cell>
          <cell r="V1139">
            <v>0</v>
          </cell>
          <cell r="W1139">
            <v>0</v>
          </cell>
          <cell r="AA1139">
            <v>0</v>
          </cell>
          <cell r="AB1139">
            <v>0</v>
          </cell>
          <cell r="AC1139">
            <v>0</v>
          </cell>
          <cell r="AD1139">
            <v>31</v>
          </cell>
          <cell r="AE1139">
            <v>281100</v>
          </cell>
          <cell r="AF1139">
            <v>0</v>
          </cell>
          <cell r="AI1139">
            <v>2223</v>
          </cell>
          <cell r="AK1139">
            <v>0</v>
          </cell>
          <cell r="AM1139">
            <v>321</v>
          </cell>
          <cell r="AN1139">
            <v>1</v>
          </cell>
          <cell r="AO1139">
            <v>393216</v>
          </cell>
          <cell r="AQ1139">
            <v>0</v>
          </cell>
          <cell r="AR1139">
            <v>0</v>
          </cell>
          <cell r="AS1139" t="str">
            <v>Ы</v>
          </cell>
          <cell r="AT1139" t="str">
            <v>Ы</v>
          </cell>
          <cell r="AU1139">
            <v>0</v>
          </cell>
          <cell r="AV1139">
            <v>0</v>
          </cell>
          <cell r="AW1139">
            <v>23</v>
          </cell>
          <cell r="AX1139">
            <v>1</v>
          </cell>
          <cell r="AY1139">
            <v>0</v>
          </cell>
          <cell r="AZ1139">
            <v>0</v>
          </cell>
          <cell r="BA1139">
            <v>0</v>
          </cell>
          <cell r="BB1139">
            <v>0</v>
          </cell>
          <cell r="BC1139">
            <v>38828</v>
          </cell>
        </row>
        <row r="1140">
          <cell r="A1140">
            <v>2006</v>
          </cell>
          <cell r="B1140">
            <v>1</v>
          </cell>
          <cell r="C1140">
            <v>195</v>
          </cell>
          <cell r="D1140">
            <v>20</v>
          </cell>
          <cell r="E1140">
            <v>792020</v>
          </cell>
          <cell r="F1140">
            <v>0</v>
          </cell>
          <cell r="G1140" t="str">
            <v>Затраты по ШПЗ (основные)</v>
          </cell>
          <cell r="H1140">
            <v>2011</v>
          </cell>
          <cell r="I1140">
            <v>7920</v>
          </cell>
          <cell r="J1140">
            <v>200</v>
          </cell>
          <cell r="K1140">
            <v>1</v>
          </cell>
          <cell r="L1140">
            <v>0</v>
          </cell>
          <cell r="M1140">
            <v>0</v>
          </cell>
          <cell r="N1140">
            <v>0</v>
          </cell>
          <cell r="R1140">
            <v>0</v>
          </cell>
          <cell r="S1140">
            <v>0</v>
          </cell>
          <cell r="T1140">
            <v>0</v>
          </cell>
          <cell r="U1140">
            <v>31</v>
          </cell>
          <cell r="V1140">
            <v>0</v>
          </cell>
          <cell r="W1140">
            <v>0</v>
          </cell>
          <cell r="AA1140">
            <v>0</v>
          </cell>
          <cell r="AB1140">
            <v>0</v>
          </cell>
          <cell r="AC1140">
            <v>0</v>
          </cell>
          <cell r="AD1140">
            <v>31</v>
          </cell>
          <cell r="AE1140">
            <v>282000</v>
          </cell>
          <cell r="AF1140">
            <v>0</v>
          </cell>
          <cell r="AI1140">
            <v>2223</v>
          </cell>
          <cell r="AK1140">
            <v>0</v>
          </cell>
          <cell r="AM1140">
            <v>322</v>
          </cell>
          <cell r="AN1140">
            <v>1</v>
          </cell>
          <cell r="AO1140">
            <v>393216</v>
          </cell>
          <cell r="AQ1140">
            <v>0</v>
          </cell>
          <cell r="AR1140">
            <v>0</v>
          </cell>
          <cell r="AS1140" t="str">
            <v>Ы</v>
          </cell>
          <cell r="AT1140" t="str">
            <v>Ы</v>
          </cell>
          <cell r="AU1140">
            <v>0</v>
          </cell>
          <cell r="AV1140">
            <v>0</v>
          </cell>
          <cell r="AW1140">
            <v>23</v>
          </cell>
          <cell r="AX1140">
            <v>1</v>
          </cell>
          <cell r="AY1140">
            <v>0</v>
          </cell>
          <cell r="AZ1140">
            <v>0</v>
          </cell>
          <cell r="BA1140">
            <v>0</v>
          </cell>
          <cell r="BB1140">
            <v>0</v>
          </cell>
          <cell r="BC1140">
            <v>38828</v>
          </cell>
        </row>
        <row r="1141">
          <cell r="A1141">
            <v>2006</v>
          </cell>
          <cell r="B1141">
            <v>1</v>
          </cell>
          <cell r="C1141">
            <v>196</v>
          </cell>
          <cell r="D1141">
            <v>20</v>
          </cell>
          <cell r="E1141">
            <v>792020</v>
          </cell>
          <cell r="F1141">
            <v>0</v>
          </cell>
          <cell r="G1141" t="str">
            <v>Затраты по ШПЗ (основные)</v>
          </cell>
          <cell r="H1141">
            <v>2011</v>
          </cell>
          <cell r="I1141">
            <v>7920</v>
          </cell>
          <cell r="J1141">
            <v>23375.41</v>
          </cell>
          <cell r="K1141">
            <v>1</v>
          </cell>
          <cell r="L1141">
            <v>0</v>
          </cell>
          <cell r="M1141">
            <v>0</v>
          </cell>
          <cell r="N1141">
            <v>0</v>
          </cell>
          <cell r="R1141">
            <v>0</v>
          </cell>
          <cell r="S1141">
            <v>0</v>
          </cell>
          <cell r="T1141">
            <v>0</v>
          </cell>
          <cell r="U1141">
            <v>31</v>
          </cell>
          <cell r="V1141">
            <v>0</v>
          </cell>
          <cell r="W1141">
            <v>0</v>
          </cell>
          <cell r="AA1141">
            <v>0</v>
          </cell>
          <cell r="AB1141">
            <v>0</v>
          </cell>
          <cell r="AC1141">
            <v>0</v>
          </cell>
          <cell r="AD1141">
            <v>31</v>
          </cell>
          <cell r="AE1141">
            <v>282200</v>
          </cell>
          <cell r="AF1141">
            <v>0</v>
          </cell>
          <cell r="AI1141">
            <v>2223</v>
          </cell>
          <cell r="AK1141">
            <v>0</v>
          </cell>
          <cell r="AM1141">
            <v>323</v>
          </cell>
          <cell r="AN1141">
            <v>1</v>
          </cell>
          <cell r="AO1141">
            <v>393216</v>
          </cell>
          <cell r="AQ1141">
            <v>0</v>
          </cell>
          <cell r="AR1141">
            <v>0</v>
          </cell>
          <cell r="AS1141" t="str">
            <v>Ы</v>
          </cell>
          <cell r="AT1141" t="str">
            <v>Ы</v>
          </cell>
          <cell r="AU1141">
            <v>0</v>
          </cell>
          <cell r="AV1141">
            <v>0</v>
          </cell>
          <cell r="AW1141">
            <v>23</v>
          </cell>
          <cell r="AX1141">
            <v>1</v>
          </cell>
          <cell r="AY1141">
            <v>0</v>
          </cell>
          <cell r="AZ1141">
            <v>0</v>
          </cell>
          <cell r="BA1141">
            <v>0</v>
          </cell>
          <cell r="BB1141">
            <v>0</v>
          </cell>
          <cell r="BC1141">
            <v>38828</v>
          </cell>
        </row>
        <row r="1142">
          <cell r="A1142">
            <v>2006</v>
          </cell>
          <cell r="B1142">
            <v>1</v>
          </cell>
          <cell r="C1142">
            <v>197</v>
          </cell>
          <cell r="D1142">
            <v>20</v>
          </cell>
          <cell r="E1142">
            <v>792020</v>
          </cell>
          <cell r="F1142">
            <v>0</v>
          </cell>
          <cell r="G1142" t="str">
            <v>Затраты по ШПЗ (основные)</v>
          </cell>
          <cell r="H1142">
            <v>2011</v>
          </cell>
          <cell r="I1142">
            <v>7920</v>
          </cell>
          <cell r="J1142">
            <v>47620</v>
          </cell>
          <cell r="K1142">
            <v>1</v>
          </cell>
          <cell r="L1142">
            <v>0</v>
          </cell>
          <cell r="M1142">
            <v>0</v>
          </cell>
          <cell r="N1142">
            <v>0</v>
          </cell>
          <cell r="R1142">
            <v>0</v>
          </cell>
          <cell r="S1142">
            <v>0</v>
          </cell>
          <cell r="T1142">
            <v>0</v>
          </cell>
          <cell r="U1142">
            <v>31</v>
          </cell>
          <cell r="V1142">
            <v>0</v>
          </cell>
          <cell r="W1142">
            <v>0</v>
          </cell>
          <cell r="AA1142">
            <v>0</v>
          </cell>
          <cell r="AB1142">
            <v>0</v>
          </cell>
          <cell r="AC1142">
            <v>0</v>
          </cell>
          <cell r="AD1142">
            <v>31</v>
          </cell>
          <cell r="AE1142">
            <v>283000</v>
          </cell>
          <cell r="AF1142">
            <v>0</v>
          </cell>
          <cell r="AI1142">
            <v>2223</v>
          </cell>
          <cell r="AK1142">
            <v>0</v>
          </cell>
          <cell r="AM1142">
            <v>324</v>
          </cell>
          <cell r="AN1142">
            <v>1</v>
          </cell>
          <cell r="AO1142">
            <v>393216</v>
          </cell>
          <cell r="AQ1142">
            <v>0</v>
          </cell>
          <cell r="AR1142">
            <v>0</v>
          </cell>
          <cell r="AS1142" t="str">
            <v>Ы</v>
          </cell>
          <cell r="AT1142" t="str">
            <v>Ы</v>
          </cell>
          <cell r="AU1142">
            <v>0</v>
          </cell>
          <cell r="AV1142">
            <v>0</v>
          </cell>
          <cell r="AW1142">
            <v>23</v>
          </cell>
          <cell r="AX1142">
            <v>1</v>
          </cell>
          <cell r="AY1142">
            <v>0</v>
          </cell>
          <cell r="AZ1142">
            <v>0</v>
          </cell>
          <cell r="BA1142">
            <v>0</v>
          </cell>
          <cell r="BB1142">
            <v>0</v>
          </cell>
          <cell r="BC1142">
            <v>38828</v>
          </cell>
        </row>
        <row r="1143">
          <cell r="A1143">
            <v>2006</v>
          </cell>
          <cell r="B1143">
            <v>1</v>
          </cell>
          <cell r="C1143">
            <v>198</v>
          </cell>
          <cell r="D1143">
            <v>20</v>
          </cell>
          <cell r="E1143">
            <v>792020</v>
          </cell>
          <cell r="F1143">
            <v>0</v>
          </cell>
          <cell r="G1143" t="str">
            <v>Затраты по ШПЗ (основные)</v>
          </cell>
          <cell r="H1143">
            <v>2011</v>
          </cell>
          <cell r="I1143">
            <v>7920</v>
          </cell>
          <cell r="J1143">
            <v>18460.82</v>
          </cell>
          <cell r="K1143">
            <v>1</v>
          </cell>
          <cell r="L1143">
            <v>0</v>
          </cell>
          <cell r="M1143">
            <v>0</v>
          </cell>
          <cell r="N1143">
            <v>0</v>
          </cell>
          <cell r="R1143">
            <v>0</v>
          </cell>
          <cell r="S1143">
            <v>0</v>
          </cell>
          <cell r="T1143">
            <v>0</v>
          </cell>
          <cell r="U1143">
            <v>31</v>
          </cell>
          <cell r="V1143">
            <v>0</v>
          </cell>
          <cell r="W1143">
            <v>0</v>
          </cell>
          <cell r="AA1143">
            <v>0</v>
          </cell>
          <cell r="AB1143">
            <v>0</v>
          </cell>
          <cell r="AC1143">
            <v>0</v>
          </cell>
          <cell r="AD1143">
            <v>31</v>
          </cell>
          <cell r="AE1143">
            <v>285000</v>
          </cell>
          <cell r="AF1143">
            <v>0</v>
          </cell>
          <cell r="AI1143">
            <v>2223</v>
          </cell>
          <cell r="AK1143">
            <v>0</v>
          </cell>
          <cell r="AM1143">
            <v>325</v>
          </cell>
          <cell r="AN1143">
            <v>1</v>
          </cell>
          <cell r="AO1143">
            <v>393216</v>
          </cell>
          <cell r="AQ1143">
            <v>0</v>
          </cell>
          <cell r="AR1143">
            <v>0</v>
          </cell>
          <cell r="AS1143" t="str">
            <v>Ы</v>
          </cell>
          <cell r="AT1143" t="str">
            <v>Ы</v>
          </cell>
          <cell r="AU1143">
            <v>0</v>
          </cell>
          <cell r="AV1143">
            <v>0</v>
          </cell>
          <cell r="AW1143">
            <v>23</v>
          </cell>
          <cell r="AX1143">
            <v>1</v>
          </cell>
          <cell r="AY1143">
            <v>0</v>
          </cell>
          <cell r="AZ1143">
            <v>0</v>
          </cell>
          <cell r="BA1143">
            <v>0</v>
          </cell>
          <cell r="BB1143">
            <v>0</v>
          </cell>
          <cell r="BC1143">
            <v>38828</v>
          </cell>
        </row>
        <row r="1144">
          <cell r="A1144">
            <v>2006</v>
          </cell>
          <cell r="B1144">
            <v>1</v>
          </cell>
          <cell r="C1144">
            <v>199</v>
          </cell>
          <cell r="D1144">
            <v>20</v>
          </cell>
          <cell r="E1144">
            <v>792020</v>
          </cell>
          <cell r="F1144">
            <v>0</v>
          </cell>
          <cell r="G1144" t="str">
            <v>Затраты по ШПЗ (основные)</v>
          </cell>
          <cell r="H1144">
            <v>2011</v>
          </cell>
          <cell r="I1144">
            <v>7920</v>
          </cell>
          <cell r="J1144">
            <v>143790.04</v>
          </cell>
          <cell r="K1144">
            <v>1</v>
          </cell>
          <cell r="L1144">
            <v>0</v>
          </cell>
          <cell r="M1144">
            <v>0</v>
          </cell>
          <cell r="N1144">
            <v>0</v>
          </cell>
          <cell r="R1144">
            <v>0</v>
          </cell>
          <cell r="S1144">
            <v>0</v>
          </cell>
          <cell r="T1144">
            <v>0</v>
          </cell>
          <cell r="U1144">
            <v>31</v>
          </cell>
          <cell r="V1144">
            <v>0</v>
          </cell>
          <cell r="W1144">
            <v>0</v>
          </cell>
          <cell r="AA1144">
            <v>0</v>
          </cell>
          <cell r="AB1144">
            <v>0</v>
          </cell>
          <cell r="AC1144">
            <v>0</v>
          </cell>
          <cell r="AD1144">
            <v>31</v>
          </cell>
          <cell r="AE1144">
            <v>311000</v>
          </cell>
          <cell r="AF1144">
            <v>0</v>
          </cell>
          <cell r="AI1144">
            <v>2223</v>
          </cell>
          <cell r="AK1144">
            <v>0</v>
          </cell>
          <cell r="AM1144">
            <v>326</v>
          </cell>
          <cell r="AN1144">
            <v>1</v>
          </cell>
          <cell r="AO1144">
            <v>393216</v>
          </cell>
          <cell r="AQ1144">
            <v>0</v>
          </cell>
          <cell r="AR1144">
            <v>0</v>
          </cell>
          <cell r="AS1144" t="str">
            <v>Ы</v>
          </cell>
          <cell r="AT1144" t="str">
            <v>Ы</v>
          </cell>
          <cell r="AU1144">
            <v>0</v>
          </cell>
          <cell r="AV1144">
            <v>0</v>
          </cell>
          <cell r="AW1144">
            <v>23</v>
          </cell>
          <cell r="AX1144">
            <v>1</v>
          </cell>
          <cell r="AY1144">
            <v>0</v>
          </cell>
          <cell r="AZ1144">
            <v>0</v>
          </cell>
          <cell r="BA1144">
            <v>0</v>
          </cell>
          <cell r="BB1144">
            <v>0</v>
          </cell>
          <cell r="BC1144">
            <v>38828</v>
          </cell>
        </row>
        <row r="1145">
          <cell r="A1145">
            <v>2006</v>
          </cell>
          <cell r="B1145">
            <v>1</v>
          </cell>
          <cell r="C1145">
            <v>200</v>
          </cell>
          <cell r="D1145">
            <v>20</v>
          </cell>
          <cell r="E1145">
            <v>792020</v>
          </cell>
          <cell r="F1145">
            <v>0</v>
          </cell>
          <cell r="G1145" t="str">
            <v>Затраты по ШПЗ (основные)</v>
          </cell>
          <cell r="H1145">
            <v>2011</v>
          </cell>
          <cell r="I1145">
            <v>7920</v>
          </cell>
          <cell r="J1145">
            <v>297496.63</v>
          </cell>
          <cell r="K1145">
            <v>1</v>
          </cell>
          <cell r="L1145">
            <v>0</v>
          </cell>
          <cell r="M1145">
            <v>0</v>
          </cell>
          <cell r="N1145">
            <v>0</v>
          </cell>
          <cell r="R1145">
            <v>0</v>
          </cell>
          <cell r="S1145">
            <v>0</v>
          </cell>
          <cell r="T1145">
            <v>0</v>
          </cell>
          <cell r="U1145">
            <v>31</v>
          </cell>
          <cell r="V1145">
            <v>0</v>
          </cell>
          <cell r="W1145">
            <v>0</v>
          </cell>
          <cell r="AA1145">
            <v>0</v>
          </cell>
          <cell r="AB1145">
            <v>0</v>
          </cell>
          <cell r="AC1145">
            <v>0</v>
          </cell>
          <cell r="AD1145">
            <v>31</v>
          </cell>
          <cell r="AE1145">
            <v>312000</v>
          </cell>
          <cell r="AF1145">
            <v>0</v>
          </cell>
          <cell r="AI1145">
            <v>2223</v>
          </cell>
          <cell r="AK1145">
            <v>0</v>
          </cell>
          <cell r="AM1145">
            <v>327</v>
          </cell>
          <cell r="AN1145">
            <v>1</v>
          </cell>
          <cell r="AO1145">
            <v>393216</v>
          </cell>
          <cell r="AQ1145">
            <v>0</v>
          </cell>
          <cell r="AR1145">
            <v>0</v>
          </cell>
          <cell r="AS1145" t="str">
            <v>Ы</v>
          </cell>
          <cell r="AT1145" t="str">
            <v>Ы</v>
          </cell>
          <cell r="AU1145">
            <v>0</v>
          </cell>
          <cell r="AV1145">
            <v>0</v>
          </cell>
          <cell r="AW1145">
            <v>23</v>
          </cell>
          <cell r="AX1145">
            <v>1</v>
          </cell>
          <cell r="AY1145">
            <v>0</v>
          </cell>
          <cell r="AZ1145">
            <v>0</v>
          </cell>
          <cell r="BA1145">
            <v>0</v>
          </cell>
          <cell r="BB1145">
            <v>0</v>
          </cell>
          <cell r="BC1145">
            <v>38828</v>
          </cell>
        </row>
        <row r="1146">
          <cell r="A1146">
            <v>2006</v>
          </cell>
          <cell r="B1146">
            <v>1</v>
          </cell>
          <cell r="C1146">
            <v>201</v>
          </cell>
          <cell r="D1146">
            <v>20</v>
          </cell>
          <cell r="E1146">
            <v>792020</v>
          </cell>
          <cell r="F1146">
            <v>0</v>
          </cell>
          <cell r="G1146" t="str">
            <v>Затраты по ШПЗ (основные)</v>
          </cell>
          <cell r="H1146">
            <v>2011</v>
          </cell>
          <cell r="I1146">
            <v>7920</v>
          </cell>
          <cell r="J1146">
            <v>52151.35</v>
          </cell>
          <cell r="K1146">
            <v>1</v>
          </cell>
          <cell r="L1146">
            <v>0</v>
          </cell>
          <cell r="M1146">
            <v>0</v>
          </cell>
          <cell r="N1146">
            <v>0</v>
          </cell>
          <cell r="R1146">
            <v>0</v>
          </cell>
          <cell r="S1146">
            <v>0</v>
          </cell>
          <cell r="T1146">
            <v>0</v>
          </cell>
          <cell r="U1146">
            <v>31</v>
          </cell>
          <cell r="V1146">
            <v>0</v>
          </cell>
          <cell r="W1146">
            <v>0</v>
          </cell>
          <cell r="AA1146">
            <v>0</v>
          </cell>
          <cell r="AB1146">
            <v>0</v>
          </cell>
          <cell r="AC1146">
            <v>0</v>
          </cell>
          <cell r="AD1146">
            <v>31</v>
          </cell>
          <cell r="AE1146">
            <v>312100</v>
          </cell>
          <cell r="AF1146">
            <v>0</v>
          </cell>
          <cell r="AI1146">
            <v>2223</v>
          </cell>
          <cell r="AK1146">
            <v>0</v>
          </cell>
          <cell r="AM1146">
            <v>328</v>
          </cell>
          <cell r="AN1146">
            <v>1</v>
          </cell>
          <cell r="AO1146">
            <v>393216</v>
          </cell>
          <cell r="AQ1146">
            <v>0</v>
          </cell>
          <cell r="AR1146">
            <v>0</v>
          </cell>
          <cell r="AS1146" t="str">
            <v>Ы</v>
          </cell>
          <cell r="AT1146" t="str">
            <v>Ы</v>
          </cell>
          <cell r="AU1146">
            <v>0</v>
          </cell>
          <cell r="AV1146">
            <v>0</v>
          </cell>
          <cell r="AW1146">
            <v>23</v>
          </cell>
          <cell r="AX1146">
            <v>1</v>
          </cell>
          <cell r="AY1146">
            <v>0</v>
          </cell>
          <cell r="AZ1146">
            <v>0</v>
          </cell>
          <cell r="BA1146">
            <v>0</v>
          </cell>
          <cell r="BB1146">
            <v>0</v>
          </cell>
          <cell r="BC1146">
            <v>38828</v>
          </cell>
        </row>
        <row r="1147">
          <cell r="A1147">
            <v>2006</v>
          </cell>
          <cell r="B1147">
            <v>1</v>
          </cell>
          <cell r="C1147">
            <v>202</v>
          </cell>
          <cell r="D1147">
            <v>20</v>
          </cell>
          <cell r="E1147">
            <v>792020</v>
          </cell>
          <cell r="F1147">
            <v>0</v>
          </cell>
          <cell r="G1147" t="str">
            <v>Затраты по ШПЗ (основные)</v>
          </cell>
          <cell r="H1147">
            <v>2011</v>
          </cell>
          <cell r="I1147">
            <v>7920</v>
          </cell>
          <cell r="J1147">
            <v>641995.93999999994</v>
          </cell>
          <cell r="K1147">
            <v>1</v>
          </cell>
          <cell r="L1147">
            <v>0</v>
          </cell>
          <cell r="M1147">
            <v>0</v>
          </cell>
          <cell r="N1147">
            <v>0</v>
          </cell>
          <cell r="R1147">
            <v>0</v>
          </cell>
          <cell r="S1147">
            <v>0</v>
          </cell>
          <cell r="T1147">
            <v>0</v>
          </cell>
          <cell r="U1147">
            <v>31</v>
          </cell>
          <cell r="V1147">
            <v>0</v>
          </cell>
          <cell r="W1147">
            <v>0</v>
          </cell>
          <cell r="AA1147">
            <v>0</v>
          </cell>
          <cell r="AB1147">
            <v>0</v>
          </cell>
          <cell r="AC1147">
            <v>0</v>
          </cell>
          <cell r="AD1147">
            <v>31</v>
          </cell>
          <cell r="AE1147">
            <v>312200</v>
          </cell>
          <cell r="AF1147">
            <v>0</v>
          </cell>
          <cell r="AI1147">
            <v>2223</v>
          </cell>
          <cell r="AK1147">
            <v>0</v>
          </cell>
          <cell r="AM1147">
            <v>329</v>
          </cell>
          <cell r="AN1147">
            <v>1</v>
          </cell>
          <cell r="AO1147">
            <v>393216</v>
          </cell>
          <cell r="AQ1147">
            <v>0</v>
          </cell>
          <cell r="AR1147">
            <v>0</v>
          </cell>
          <cell r="AS1147" t="str">
            <v>Ы</v>
          </cell>
          <cell r="AT1147" t="str">
            <v>Ы</v>
          </cell>
          <cell r="AU1147">
            <v>0</v>
          </cell>
          <cell r="AV1147">
            <v>0</v>
          </cell>
          <cell r="AW1147">
            <v>23</v>
          </cell>
          <cell r="AX1147">
            <v>1</v>
          </cell>
          <cell r="AY1147">
            <v>0</v>
          </cell>
          <cell r="AZ1147">
            <v>0</v>
          </cell>
          <cell r="BA1147">
            <v>0</v>
          </cell>
          <cell r="BB1147">
            <v>0</v>
          </cell>
          <cell r="BC1147">
            <v>38828</v>
          </cell>
        </row>
        <row r="1148">
          <cell r="A1148">
            <v>2006</v>
          </cell>
          <cell r="B1148">
            <v>1</v>
          </cell>
          <cell r="C1148">
            <v>203</v>
          </cell>
          <cell r="D1148">
            <v>20</v>
          </cell>
          <cell r="E1148">
            <v>792020</v>
          </cell>
          <cell r="F1148">
            <v>0</v>
          </cell>
          <cell r="G1148" t="str">
            <v>Затраты по ШПЗ (основные)</v>
          </cell>
          <cell r="H1148">
            <v>2011</v>
          </cell>
          <cell r="I1148">
            <v>7920</v>
          </cell>
          <cell r="J1148">
            <v>54552.56</v>
          </cell>
          <cell r="K1148">
            <v>1</v>
          </cell>
          <cell r="L1148">
            <v>0</v>
          </cell>
          <cell r="M1148">
            <v>0</v>
          </cell>
          <cell r="N1148">
            <v>0</v>
          </cell>
          <cell r="R1148">
            <v>0</v>
          </cell>
          <cell r="S1148">
            <v>0</v>
          </cell>
          <cell r="T1148">
            <v>0</v>
          </cell>
          <cell r="U1148">
            <v>31</v>
          </cell>
          <cell r="V1148">
            <v>0</v>
          </cell>
          <cell r="W1148">
            <v>0</v>
          </cell>
          <cell r="AA1148">
            <v>0</v>
          </cell>
          <cell r="AB1148">
            <v>0</v>
          </cell>
          <cell r="AC1148">
            <v>0</v>
          </cell>
          <cell r="AD1148">
            <v>31</v>
          </cell>
          <cell r="AE1148">
            <v>313000</v>
          </cell>
          <cell r="AF1148">
            <v>0</v>
          </cell>
          <cell r="AI1148">
            <v>2223</v>
          </cell>
          <cell r="AK1148">
            <v>0</v>
          </cell>
          <cell r="AM1148">
            <v>330</v>
          </cell>
          <cell r="AN1148">
            <v>1</v>
          </cell>
          <cell r="AO1148">
            <v>393216</v>
          </cell>
          <cell r="AQ1148">
            <v>0</v>
          </cell>
          <cell r="AR1148">
            <v>0</v>
          </cell>
          <cell r="AS1148" t="str">
            <v>Ы</v>
          </cell>
          <cell r="AT1148" t="str">
            <v>Ы</v>
          </cell>
          <cell r="AU1148">
            <v>0</v>
          </cell>
          <cell r="AV1148">
            <v>0</v>
          </cell>
          <cell r="AW1148">
            <v>23</v>
          </cell>
          <cell r="AX1148">
            <v>1</v>
          </cell>
          <cell r="AY1148">
            <v>0</v>
          </cell>
          <cell r="AZ1148">
            <v>0</v>
          </cell>
          <cell r="BA1148">
            <v>0</v>
          </cell>
          <cell r="BB1148">
            <v>0</v>
          </cell>
          <cell r="BC1148">
            <v>38828</v>
          </cell>
        </row>
        <row r="1149">
          <cell r="A1149">
            <v>2006</v>
          </cell>
          <cell r="B1149">
            <v>1</v>
          </cell>
          <cell r="C1149">
            <v>204</v>
          </cell>
          <cell r="D1149">
            <v>20</v>
          </cell>
          <cell r="E1149">
            <v>792020</v>
          </cell>
          <cell r="F1149">
            <v>0</v>
          </cell>
          <cell r="G1149" t="str">
            <v>Затраты по ШПЗ (основные)</v>
          </cell>
          <cell r="H1149">
            <v>2011</v>
          </cell>
          <cell r="I1149">
            <v>7920</v>
          </cell>
          <cell r="J1149">
            <v>99165.54</v>
          </cell>
          <cell r="K1149">
            <v>1</v>
          </cell>
          <cell r="L1149">
            <v>0</v>
          </cell>
          <cell r="M1149">
            <v>0</v>
          </cell>
          <cell r="N1149">
            <v>0</v>
          </cell>
          <cell r="R1149">
            <v>0</v>
          </cell>
          <cell r="S1149">
            <v>0</v>
          </cell>
          <cell r="T1149">
            <v>0</v>
          </cell>
          <cell r="U1149">
            <v>31</v>
          </cell>
          <cell r="V1149">
            <v>0</v>
          </cell>
          <cell r="W1149">
            <v>0</v>
          </cell>
          <cell r="AA1149">
            <v>0</v>
          </cell>
          <cell r="AB1149">
            <v>0</v>
          </cell>
          <cell r="AC1149">
            <v>0</v>
          </cell>
          <cell r="AD1149">
            <v>31</v>
          </cell>
          <cell r="AE1149">
            <v>314000</v>
          </cell>
          <cell r="AF1149">
            <v>0</v>
          </cell>
          <cell r="AI1149">
            <v>2223</v>
          </cell>
          <cell r="AK1149">
            <v>0</v>
          </cell>
          <cell r="AM1149">
            <v>331</v>
          </cell>
          <cell r="AN1149">
            <v>1</v>
          </cell>
          <cell r="AO1149">
            <v>393216</v>
          </cell>
          <cell r="AQ1149">
            <v>0</v>
          </cell>
          <cell r="AR1149">
            <v>0</v>
          </cell>
          <cell r="AS1149" t="str">
            <v>Ы</v>
          </cell>
          <cell r="AT1149" t="str">
            <v>Ы</v>
          </cell>
          <cell r="AU1149">
            <v>0</v>
          </cell>
          <cell r="AV1149">
            <v>0</v>
          </cell>
          <cell r="AW1149">
            <v>23</v>
          </cell>
          <cell r="AX1149">
            <v>1</v>
          </cell>
          <cell r="AY1149">
            <v>0</v>
          </cell>
          <cell r="AZ1149">
            <v>0</v>
          </cell>
          <cell r="BA1149">
            <v>0</v>
          </cell>
          <cell r="BB1149">
            <v>0</v>
          </cell>
          <cell r="BC1149">
            <v>38828</v>
          </cell>
        </row>
        <row r="1150">
          <cell r="A1150">
            <v>2006</v>
          </cell>
          <cell r="B1150">
            <v>1</v>
          </cell>
          <cell r="C1150">
            <v>205</v>
          </cell>
          <cell r="D1150">
            <v>20</v>
          </cell>
          <cell r="E1150">
            <v>792020</v>
          </cell>
          <cell r="F1150">
            <v>0</v>
          </cell>
          <cell r="G1150" t="str">
            <v>Затраты по ШПЗ (основные)</v>
          </cell>
          <cell r="H1150">
            <v>2011</v>
          </cell>
          <cell r="I1150">
            <v>7920</v>
          </cell>
          <cell r="J1150">
            <v>19833.11</v>
          </cell>
          <cell r="K1150">
            <v>1</v>
          </cell>
          <cell r="L1150">
            <v>0</v>
          </cell>
          <cell r="M1150">
            <v>0</v>
          </cell>
          <cell r="N1150">
            <v>0</v>
          </cell>
          <cell r="R1150">
            <v>0</v>
          </cell>
          <cell r="S1150">
            <v>0</v>
          </cell>
          <cell r="T1150">
            <v>0</v>
          </cell>
          <cell r="U1150">
            <v>31</v>
          </cell>
          <cell r="V1150">
            <v>0</v>
          </cell>
          <cell r="W1150">
            <v>0</v>
          </cell>
          <cell r="AA1150">
            <v>0</v>
          </cell>
          <cell r="AB1150">
            <v>0</v>
          </cell>
          <cell r="AC1150">
            <v>0</v>
          </cell>
          <cell r="AD1150">
            <v>31</v>
          </cell>
          <cell r="AE1150">
            <v>315000</v>
          </cell>
          <cell r="AF1150">
            <v>0</v>
          </cell>
          <cell r="AI1150">
            <v>2223</v>
          </cell>
          <cell r="AK1150">
            <v>0</v>
          </cell>
          <cell r="AM1150">
            <v>332</v>
          </cell>
          <cell r="AN1150">
            <v>1</v>
          </cell>
          <cell r="AO1150">
            <v>393216</v>
          </cell>
          <cell r="AQ1150">
            <v>0</v>
          </cell>
          <cell r="AR1150">
            <v>0</v>
          </cell>
          <cell r="AS1150" t="str">
            <v>Ы</v>
          </cell>
          <cell r="AT1150" t="str">
            <v>Ы</v>
          </cell>
          <cell r="AU1150">
            <v>0</v>
          </cell>
          <cell r="AV1150">
            <v>0</v>
          </cell>
          <cell r="AW1150">
            <v>23</v>
          </cell>
          <cell r="AX1150">
            <v>1</v>
          </cell>
          <cell r="AY1150">
            <v>0</v>
          </cell>
          <cell r="AZ1150">
            <v>0</v>
          </cell>
          <cell r="BA1150">
            <v>0</v>
          </cell>
          <cell r="BB1150">
            <v>0</v>
          </cell>
          <cell r="BC1150">
            <v>38828</v>
          </cell>
        </row>
        <row r="1151">
          <cell r="A1151">
            <v>2006</v>
          </cell>
          <cell r="B1151">
            <v>1</v>
          </cell>
          <cell r="C1151">
            <v>206</v>
          </cell>
          <cell r="D1151">
            <v>20</v>
          </cell>
          <cell r="E1151">
            <v>792020</v>
          </cell>
          <cell r="F1151">
            <v>0</v>
          </cell>
          <cell r="G1151" t="str">
            <v>Затраты по ШПЗ (основные)</v>
          </cell>
          <cell r="H1151">
            <v>2011</v>
          </cell>
          <cell r="I1151">
            <v>7920</v>
          </cell>
          <cell r="J1151">
            <v>1564929</v>
          </cell>
          <cell r="K1151">
            <v>1</v>
          </cell>
          <cell r="L1151">
            <v>0</v>
          </cell>
          <cell r="M1151">
            <v>0</v>
          </cell>
          <cell r="N1151">
            <v>0</v>
          </cell>
          <cell r="R1151">
            <v>0</v>
          </cell>
          <cell r="S1151">
            <v>0</v>
          </cell>
          <cell r="T1151">
            <v>0</v>
          </cell>
          <cell r="U1151">
            <v>31</v>
          </cell>
          <cell r="V1151">
            <v>0</v>
          </cell>
          <cell r="W1151">
            <v>0</v>
          </cell>
          <cell r="AA1151">
            <v>0</v>
          </cell>
          <cell r="AB1151">
            <v>0</v>
          </cell>
          <cell r="AC1151">
            <v>0</v>
          </cell>
          <cell r="AD1151">
            <v>31</v>
          </cell>
          <cell r="AE1151">
            <v>410000</v>
          </cell>
          <cell r="AF1151">
            <v>0</v>
          </cell>
          <cell r="AI1151">
            <v>2223</v>
          </cell>
          <cell r="AK1151">
            <v>0</v>
          </cell>
          <cell r="AM1151">
            <v>333</v>
          </cell>
          <cell r="AN1151">
            <v>1</v>
          </cell>
          <cell r="AO1151">
            <v>393216</v>
          </cell>
          <cell r="AQ1151">
            <v>0</v>
          </cell>
          <cell r="AR1151">
            <v>0</v>
          </cell>
          <cell r="AS1151" t="str">
            <v>Ы</v>
          </cell>
          <cell r="AT1151" t="str">
            <v>Ы</v>
          </cell>
          <cell r="AU1151">
            <v>0</v>
          </cell>
          <cell r="AV1151">
            <v>0</v>
          </cell>
          <cell r="AW1151">
            <v>23</v>
          </cell>
          <cell r="AX1151">
            <v>1</v>
          </cell>
          <cell r="AY1151">
            <v>0</v>
          </cell>
          <cell r="AZ1151">
            <v>0</v>
          </cell>
          <cell r="BA1151">
            <v>0</v>
          </cell>
          <cell r="BB1151">
            <v>0</v>
          </cell>
          <cell r="BC1151">
            <v>38828</v>
          </cell>
        </row>
        <row r="1152">
          <cell r="A1152">
            <v>2006</v>
          </cell>
          <cell r="B1152">
            <v>1</v>
          </cell>
          <cell r="C1152">
            <v>207</v>
          </cell>
          <cell r="D1152">
            <v>20</v>
          </cell>
          <cell r="E1152">
            <v>792020</v>
          </cell>
          <cell r="F1152">
            <v>0</v>
          </cell>
          <cell r="G1152" t="str">
            <v>Затраты по ШПЗ (основные)</v>
          </cell>
          <cell r="H1152">
            <v>2011</v>
          </cell>
          <cell r="I1152">
            <v>7920</v>
          </cell>
          <cell r="J1152">
            <v>11601</v>
          </cell>
          <cell r="K1152">
            <v>1</v>
          </cell>
          <cell r="L1152">
            <v>0</v>
          </cell>
          <cell r="M1152">
            <v>0</v>
          </cell>
          <cell r="N1152">
            <v>0</v>
          </cell>
          <cell r="R1152">
            <v>0</v>
          </cell>
          <cell r="S1152">
            <v>0</v>
          </cell>
          <cell r="T1152">
            <v>0</v>
          </cell>
          <cell r="U1152">
            <v>31</v>
          </cell>
          <cell r="V1152">
            <v>0</v>
          </cell>
          <cell r="W1152">
            <v>0</v>
          </cell>
          <cell r="AA1152">
            <v>0</v>
          </cell>
          <cell r="AB1152">
            <v>0</v>
          </cell>
          <cell r="AC1152">
            <v>0</v>
          </cell>
          <cell r="AD1152">
            <v>31</v>
          </cell>
          <cell r="AE1152">
            <v>410200</v>
          </cell>
          <cell r="AF1152">
            <v>0</v>
          </cell>
          <cell r="AI1152">
            <v>2223</v>
          </cell>
          <cell r="AK1152">
            <v>0</v>
          </cell>
          <cell r="AM1152">
            <v>334</v>
          </cell>
          <cell r="AN1152">
            <v>1</v>
          </cell>
          <cell r="AO1152">
            <v>393216</v>
          </cell>
          <cell r="AQ1152">
            <v>0</v>
          </cell>
          <cell r="AR1152">
            <v>0</v>
          </cell>
          <cell r="AS1152" t="str">
            <v>Ы</v>
          </cell>
          <cell r="AT1152" t="str">
            <v>Ы</v>
          </cell>
          <cell r="AU1152">
            <v>0</v>
          </cell>
          <cell r="AV1152">
            <v>0</v>
          </cell>
          <cell r="AW1152">
            <v>23</v>
          </cell>
          <cell r="AX1152">
            <v>1</v>
          </cell>
          <cell r="AY1152">
            <v>0</v>
          </cell>
          <cell r="AZ1152">
            <v>0</v>
          </cell>
          <cell r="BA1152">
            <v>0</v>
          </cell>
          <cell r="BB1152">
            <v>0</v>
          </cell>
          <cell r="BC1152">
            <v>38828</v>
          </cell>
        </row>
        <row r="1153">
          <cell r="A1153">
            <v>2006</v>
          </cell>
          <cell r="B1153">
            <v>1</v>
          </cell>
          <cell r="C1153">
            <v>208</v>
          </cell>
          <cell r="D1153">
            <v>20</v>
          </cell>
          <cell r="E1153">
            <v>792020</v>
          </cell>
          <cell r="F1153">
            <v>0</v>
          </cell>
          <cell r="G1153" t="str">
            <v>Затраты по ШПЗ (основные)</v>
          </cell>
          <cell r="H1153">
            <v>2011</v>
          </cell>
          <cell r="I1153">
            <v>7920</v>
          </cell>
          <cell r="J1153">
            <v>200212</v>
          </cell>
          <cell r="K1153">
            <v>1</v>
          </cell>
          <cell r="L1153">
            <v>0</v>
          </cell>
          <cell r="M1153">
            <v>0</v>
          </cell>
          <cell r="N1153">
            <v>0</v>
          </cell>
          <cell r="R1153">
            <v>0</v>
          </cell>
          <cell r="S1153">
            <v>0</v>
          </cell>
          <cell r="T1153">
            <v>0</v>
          </cell>
          <cell r="U1153">
            <v>31</v>
          </cell>
          <cell r="V1153">
            <v>0</v>
          </cell>
          <cell r="W1153">
            <v>0</v>
          </cell>
          <cell r="AA1153">
            <v>0</v>
          </cell>
          <cell r="AB1153">
            <v>0</v>
          </cell>
          <cell r="AC1153">
            <v>0</v>
          </cell>
          <cell r="AD1153">
            <v>31</v>
          </cell>
          <cell r="AE1153">
            <v>420000</v>
          </cell>
          <cell r="AF1153">
            <v>0</v>
          </cell>
          <cell r="AI1153">
            <v>2223</v>
          </cell>
          <cell r="AK1153">
            <v>0</v>
          </cell>
          <cell r="AM1153">
            <v>335</v>
          </cell>
          <cell r="AN1153">
            <v>1</v>
          </cell>
          <cell r="AO1153">
            <v>393216</v>
          </cell>
          <cell r="AQ1153">
            <v>0</v>
          </cell>
          <cell r="AR1153">
            <v>0</v>
          </cell>
          <cell r="AS1153" t="str">
            <v>Ы</v>
          </cell>
          <cell r="AT1153" t="str">
            <v>Ы</v>
          </cell>
          <cell r="AU1153">
            <v>0</v>
          </cell>
          <cell r="AV1153">
            <v>0</v>
          </cell>
          <cell r="AW1153">
            <v>23</v>
          </cell>
          <cell r="AX1153">
            <v>1</v>
          </cell>
          <cell r="AY1153">
            <v>0</v>
          </cell>
          <cell r="AZ1153">
            <v>0</v>
          </cell>
          <cell r="BA1153">
            <v>0</v>
          </cell>
          <cell r="BB1153">
            <v>0</v>
          </cell>
          <cell r="BC1153">
            <v>38828</v>
          </cell>
        </row>
        <row r="1154">
          <cell r="A1154">
            <v>2006</v>
          </cell>
          <cell r="B1154">
            <v>1</v>
          </cell>
          <cell r="C1154">
            <v>209</v>
          </cell>
          <cell r="D1154">
            <v>20</v>
          </cell>
          <cell r="E1154">
            <v>792020</v>
          </cell>
          <cell r="F1154">
            <v>0</v>
          </cell>
          <cell r="G1154" t="str">
            <v>Затраты по ШПЗ (основные)</v>
          </cell>
          <cell r="H1154">
            <v>2011</v>
          </cell>
          <cell r="I1154">
            <v>7920</v>
          </cell>
          <cell r="J1154">
            <v>2276250</v>
          </cell>
          <cell r="K1154">
            <v>1</v>
          </cell>
          <cell r="L1154">
            <v>0</v>
          </cell>
          <cell r="M1154">
            <v>0</v>
          </cell>
          <cell r="N1154">
            <v>0</v>
          </cell>
          <cell r="R1154">
            <v>0</v>
          </cell>
          <cell r="S1154">
            <v>0</v>
          </cell>
          <cell r="T1154">
            <v>0</v>
          </cell>
          <cell r="U1154">
            <v>31</v>
          </cell>
          <cell r="V1154">
            <v>0</v>
          </cell>
          <cell r="W1154">
            <v>0</v>
          </cell>
          <cell r="AA1154">
            <v>0</v>
          </cell>
          <cell r="AB1154">
            <v>0</v>
          </cell>
          <cell r="AC1154">
            <v>0</v>
          </cell>
          <cell r="AD1154">
            <v>31</v>
          </cell>
          <cell r="AE1154">
            <v>430000</v>
          </cell>
          <cell r="AF1154">
            <v>0</v>
          </cell>
          <cell r="AI1154">
            <v>2223</v>
          </cell>
          <cell r="AK1154">
            <v>0</v>
          </cell>
          <cell r="AM1154">
            <v>336</v>
          </cell>
          <cell r="AN1154">
            <v>1</v>
          </cell>
          <cell r="AO1154">
            <v>393216</v>
          </cell>
          <cell r="AQ1154">
            <v>0</v>
          </cell>
          <cell r="AR1154">
            <v>0</v>
          </cell>
          <cell r="AS1154" t="str">
            <v>Ы</v>
          </cell>
          <cell r="AT1154" t="str">
            <v>Ы</v>
          </cell>
          <cell r="AU1154">
            <v>0</v>
          </cell>
          <cell r="AV1154">
            <v>0</v>
          </cell>
          <cell r="AW1154">
            <v>23</v>
          </cell>
          <cell r="AX1154">
            <v>1</v>
          </cell>
          <cell r="AY1154">
            <v>0</v>
          </cell>
          <cell r="AZ1154">
            <v>0</v>
          </cell>
          <cell r="BA1154">
            <v>0</v>
          </cell>
          <cell r="BB1154">
            <v>0</v>
          </cell>
          <cell r="BC1154">
            <v>38828</v>
          </cell>
        </row>
        <row r="1155">
          <cell r="A1155">
            <v>2006</v>
          </cell>
          <cell r="B1155">
            <v>1</v>
          </cell>
          <cell r="C1155">
            <v>210</v>
          </cell>
          <cell r="D1155">
            <v>20</v>
          </cell>
          <cell r="E1155">
            <v>792020</v>
          </cell>
          <cell r="F1155">
            <v>0</v>
          </cell>
          <cell r="G1155" t="str">
            <v>Затраты по ШПЗ (основные)</v>
          </cell>
          <cell r="H1155">
            <v>2011</v>
          </cell>
          <cell r="I1155">
            <v>7920</v>
          </cell>
          <cell r="J1155">
            <v>1470856</v>
          </cell>
          <cell r="K1155">
            <v>1</v>
          </cell>
          <cell r="L1155">
            <v>0</v>
          </cell>
          <cell r="M1155">
            <v>0</v>
          </cell>
          <cell r="N1155">
            <v>0</v>
          </cell>
          <cell r="R1155">
            <v>0</v>
          </cell>
          <cell r="S1155">
            <v>0</v>
          </cell>
          <cell r="T1155">
            <v>0</v>
          </cell>
          <cell r="U1155">
            <v>31</v>
          </cell>
          <cell r="V1155">
            <v>0</v>
          </cell>
          <cell r="W1155">
            <v>0</v>
          </cell>
          <cell r="AA1155">
            <v>0</v>
          </cell>
          <cell r="AB1155">
            <v>0</v>
          </cell>
          <cell r="AC1155">
            <v>0</v>
          </cell>
          <cell r="AD1155">
            <v>31</v>
          </cell>
          <cell r="AE1155">
            <v>430110</v>
          </cell>
          <cell r="AF1155">
            <v>0</v>
          </cell>
          <cell r="AI1155">
            <v>2223</v>
          </cell>
          <cell r="AK1155">
            <v>0</v>
          </cell>
          <cell r="AM1155">
            <v>337</v>
          </cell>
          <cell r="AN1155">
            <v>1</v>
          </cell>
          <cell r="AO1155">
            <v>393216</v>
          </cell>
          <cell r="AQ1155">
            <v>0</v>
          </cell>
          <cell r="AR1155">
            <v>0</v>
          </cell>
          <cell r="AS1155" t="str">
            <v>Ы</v>
          </cell>
          <cell r="AT1155" t="str">
            <v>Ы</v>
          </cell>
          <cell r="AU1155">
            <v>0</v>
          </cell>
          <cell r="AV1155">
            <v>0</v>
          </cell>
          <cell r="AW1155">
            <v>23</v>
          </cell>
          <cell r="AX1155">
            <v>1</v>
          </cell>
          <cell r="AY1155">
            <v>0</v>
          </cell>
          <cell r="AZ1155">
            <v>0</v>
          </cell>
          <cell r="BA1155">
            <v>0</v>
          </cell>
          <cell r="BB1155">
            <v>0</v>
          </cell>
          <cell r="BC1155">
            <v>38828</v>
          </cell>
        </row>
        <row r="1156">
          <cell r="A1156">
            <v>2006</v>
          </cell>
          <cell r="B1156">
            <v>1</v>
          </cell>
          <cell r="C1156">
            <v>211</v>
          </cell>
          <cell r="D1156">
            <v>20</v>
          </cell>
          <cell r="E1156">
            <v>792020</v>
          </cell>
          <cell r="F1156">
            <v>0</v>
          </cell>
          <cell r="G1156" t="str">
            <v>Затраты по ШПЗ (основные)</v>
          </cell>
          <cell r="H1156">
            <v>2011</v>
          </cell>
          <cell r="I1156">
            <v>7920</v>
          </cell>
          <cell r="J1156">
            <v>37224</v>
          </cell>
          <cell r="K1156">
            <v>1</v>
          </cell>
          <cell r="L1156">
            <v>0</v>
          </cell>
          <cell r="M1156">
            <v>0</v>
          </cell>
          <cell r="N1156">
            <v>0</v>
          </cell>
          <cell r="R1156">
            <v>0</v>
          </cell>
          <cell r="S1156">
            <v>0</v>
          </cell>
          <cell r="T1156">
            <v>0</v>
          </cell>
          <cell r="U1156">
            <v>31</v>
          </cell>
          <cell r="V1156">
            <v>0</v>
          </cell>
          <cell r="W1156">
            <v>0</v>
          </cell>
          <cell r="AA1156">
            <v>0</v>
          </cell>
          <cell r="AB1156">
            <v>0</v>
          </cell>
          <cell r="AC1156">
            <v>0</v>
          </cell>
          <cell r="AD1156">
            <v>31</v>
          </cell>
          <cell r="AE1156">
            <v>430120</v>
          </cell>
          <cell r="AF1156">
            <v>0</v>
          </cell>
          <cell r="AI1156">
            <v>2223</v>
          </cell>
          <cell r="AK1156">
            <v>0</v>
          </cell>
          <cell r="AM1156">
            <v>338</v>
          </cell>
          <cell r="AN1156">
            <v>1</v>
          </cell>
          <cell r="AO1156">
            <v>393216</v>
          </cell>
          <cell r="AQ1156">
            <v>0</v>
          </cell>
          <cell r="AR1156">
            <v>0</v>
          </cell>
          <cell r="AS1156" t="str">
            <v>Ы</v>
          </cell>
          <cell r="AT1156" t="str">
            <v>Ы</v>
          </cell>
          <cell r="AU1156">
            <v>0</v>
          </cell>
          <cell r="AV1156">
            <v>0</v>
          </cell>
          <cell r="AW1156">
            <v>23</v>
          </cell>
          <cell r="AX1156">
            <v>1</v>
          </cell>
          <cell r="AY1156">
            <v>0</v>
          </cell>
          <cell r="AZ1156">
            <v>0</v>
          </cell>
          <cell r="BA1156">
            <v>0</v>
          </cell>
          <cell r="BB1156">
            <v>0</v>
          </cell>
          <cell r="BC1156">
            <v>38828</v>
          </cell>
        </row>
        <row r="1157">
          <cell r="A1157">
            <v>2006</v>
          </cell>
          <cell r="B1157">
            <v>1</v>
          </cell>
          <cell r="C1157">
            <v>212</v>
          </cell>
          <cell r="D1157">
            <v>20</v>
          </cell>
          <cell r="E1157">
            <v>792020</v>
          </cell>
          <cell r="F1157">
            <v>0</v>
          </cell>
          <cell r="G1157" t="str">
            <v>Затраты по ШПЗ (основные)</v>
          </cell>
          <cell r="H1157">
            <v>2011</v>
          </cell>
          <cell r="I1157">
            <v>7920</v>
          </cell>
          <cell r="J1157">
            <v>695191</v>
          </cell>
          <cell r="K1157">
            <v>1</v>
          </cell>
          <cell r="L1157">
            <v>0</v>
          </cell>
          <cell r="M1157">
            <v>0</v>
          </cell>
          <cell r="N1157">
            <v>0</v>
          </cell>
          <cell r="R1157">
            <v>0</v>
          </cell>
          <cell r="S1157">
            <v>0</v>
          </cell>
          <cell r="T1157">
            <v>0</v>
          </cell>
          <cell r="U1157">
            <v>31</v>
          </cell>
          <cell r="V1157">
            <v>0</v>
          </cell>
          <cell r="W1157">
            <v>0</v>
          </cell>
          <cell r="AA1157">
            <v>0</v>
          </cell>
          <cell r="AB1157">
            <v>0</v>
          </cell>
          <cell r="AC1157">
            <v>0</v>
          </cell>
          <cell r="AD1157">
            <v>31</v>
          </cell>
          <cell r="AE1157">
            <v>430130</v>
          </cell>
          <cell r="AF1157">
            <v>0</v>
          </cell>
          <cell r="AI1157">
            <v>2223</v>
          </cell>
          <cell r="AK1157">
            <v>0</v>
          </cell>
          <cell r="AM1157">
            <v>339</v>
          </cell>
          <cell r="AN1157">
            <v>1</v>
          </cell>
          <cell r="AO1157">
            <v>393216</v>
          </cell>
          <cell r="AQ1157">
            <v>0</v>
          </cell>
          <cell r="AR1157">
            <v>0</v>
          </cell>
          <cell r="AS1157" t="str">
            <v>Ы</v>
          </cell>
          <cell r="AT1157" t="str">
            <v>Ы</v>
          </cell>
          <cell r="AU1157">
            <v>0</v>
          </cell>
          <cell r="AV1157">
            <v>0</v>
          </cell>
          <cell r="AW1157">
            <v>23</v>
          </cell>
          <cell r="AX1157">
            <v>1</v>
          </cell>
          <cell r="AY1157">
            <v>0</v>
          </cell>
          <cell r="AZ1157">
            <v>0</v>
          </cell>
          <cell r="BA1157">
            <v>0</v>
          </cell>
          <cell r="BB1157">
            <v>0</v>
          </cell>
          <cell r="BC1157">
            <v>38828</v>
          </cell>
        </row>
        <row r="1158">
          <cell r="A1158">
            <v>2006</v>
          </cell>
          <cell r="B1158">
            <v>1</v>
          </cell>
          <cell r="C1158">
            <v>213</v>
          </cell>
          <cell r="D1158">
            <v>20</v>
          </cell>
          <cell r="E1158">
            <v>792020</v>
          </cell>
          <cell r="F1158">
            <v>0</v>
          </cell>
          <cell r="G1158" t="str">
            <v>Затраты по ШПЗ (основные)</v>
          </cell>
          <cell r="H1158">
            <v>2011</v>
          </cell>
          <cell r="I1158">
            <v>7920</v>
          </cell>
          <cell r="J1158">
            <v>66332</v>
          </cell>
          <cell r="K1158">
            <v>1</v>
          </cell>
          <cell r="L1158">
            <v>0</v>
          </cell>
          <cell r="M1158">
            <v>0</v>
          </cell>
          <cell r="N1158">
            <v>0</v>
          </cell>
          <cell r="R1158">
            <v>0</v>
          </cell>
          <cell r="S1158">
            <v>0</v>
          </cell>
          <cell r="T1158">
            <v>0</v>
          </cell>
          <cell r="U1158">
            <v>31</v>
          </cell>
          <cell r="V1158">
            <v>0</v>
          </cell>
          <cell r="W1158">
            <v>0</v>
          </cell>
          <cell r="AA1158">
            <v>0</v>
          </cell>
          <cell r="AB1158">
            <v>0</v>
          </cell>
          <cell r="AC1158">
            <v>0</v>
          </cell>
          <cell r="AD1158">
            <v>31</v>
          </cell>
          <cell r="AE1158">
            <v>430140</v>
          </cell>
          <cell r="AF1158">
            <v>0</v>
          </cell>
          <cell r="AI1158">
            <v>2223</v>
          </cell>
          <cell r="AK1158">
            <v>0</v>
          </cell>
          <cell r="AM1158">
            <v>340</v>
          </cell>
          <cell r="AN1158">
            <v>1</v>
          </cell>
          <cell r="AO1158">
            <v>393216</v>
          </cell>
          <cell r="AQ1158">
            <v>0</v>
          </cell>
          <cell r="AR1158">
            <v>0</v>
          </cell>
          <cell r="AS1158" t="str">
            <v>Ы</v>
          </cell>
          <cell r="AT1158" t="str">
            <v>Ы</v>
          </cell>
          <cell r="AU1158">
            <v>0</v>
          </cell>
          <cell r="AV1158">
            <v>0</v>
          </cell>
          <cell r="AW1158">
            <v>23</v>
          </cell>
          <cell r="AX1158">
            <v>1</v>
          </cell>
          <cell r="AY1158">
            <v>0</v>
          </cell>
          <cell r="AZ1158">
            <v>0</v>
          </cell>
          <cell r="BA1158">
            <v>0</v>
          </cell>
          <cell r="BB1158">
            <v>0</v>
          </cell>
          <cell r="BC1158">
            <v>38828</v>
          </cell>
        </row>
        <row r="1159">
          <cell r="A1159">
            <v>2006</v>
          </cell>
          <cell r="B1159">
            <v>1</v>
          </cell>
          <cell r="C1159">
            <v>214</v>
          </cell>
          <cell r="D1159">
            <v>20</v>
          </cell>
          <cell r="E1159">
            <v>792020</v>
          </cell>
          <cell r="F1159">
            <v>0</v>
          </cell>
          <cell r="G1159" t="str">
            <v>Затраты по ШПЗ (основные)</v>
          </cell>
          <cell r="H1159">
            <v>2011</v>
          </cell>
          <cell r="I1159">
            <v>7920</v>
          </cell>
          <cell r="J1159">
            <v>162308</v>
          </cell>
          <cell r="K1159">
            <v>1</v>
          </cell>
          <cell r="L1159">
            <v>0</v>
          </cell>
          <cell r="M1159">
            <v>0</v>
          </cell>
          <cell r="N1159">
            <v>0</v>
          </cell>
          <cell r="R1159">
            <v>0</v>
          </cell>
          <cell r="S1159">
            <v>0</v>
          </cell>
          <cell r="T1159">
            <v>0</v>
          </cell>
          <cell r="U1159">
            <v>31</v>
          </cell>
          <cell r="V1159">
            <v>0</v>
          </cell>
          <cell r="W1159">
            <v>0</v>
          </cell>
          <cell r="AA1159">
            <v>0</v>
          </cell>
          <cell r="AB1159">
            <v>0</v>
          </cell>
          <cell r="AC1159">
            <v>0</v>
          </cell>
          <cell r="AD1159">
            <v>31</v>
          </cell>
          <cell r="AE1159">
            <v>430220</v>
          </cell>
          <cell r="AF1159">
            <v>0</v>
          </cell>
          <cell r="AI1159">
            <v>2223</v>
          </cell>
          <cell r="AK1159">
            <v>0</v>
          </cell>
          <cell r="AM1159">
            <v>341</v>
          </cell>
          <cell r="AN1159">
            <v>1</v>
          </cell>
          <cell r="AO1159">
            <v>393216</v>
          </cell>
          <cell r="AQ1159">
            <v>0</v>
          </cell>
          <cell r="AR1159">
            <v>0</v>
          </cell>
          <cell r="AS1159" t="str">
            <v>Ы</v>
          </cell>
          <cell r="AT1159" t="str">
            <v>Ы</v>
          </cell>
          <cell r="AU1159">
            <v>0</v>
          </cell>
          <cell r="AV1159">
            <v>0</v>
          </cell>
          <cell r="AW1159">
            <v>23</v>
          </cell>
          <cell r="AX1159">
            <v>1</v>
          </cell>
          <cell r="AY1159">
            <v>0</v>
          </cell>
          <cell r="AZ1159">
            <v>0</v>
          </cell>
          <cell r="BA1159">
            <v>0</v>
          </cell>
          <cell r="BB1159">
            <v>0</v>
          </cell>
          <cell r="BC1159">
            <v>38828</v>
          </cell>
        </row>
        <row r="1160">
          <cell r="A1160">
            <v>2006</v>
          </cell>
          <cell r="B1160">
            <v>1</v>
          </cell>
          <cell r="C1160">
            <v>215</v>
          </cell>
          <cell r="D1160">
            <v>20</v>
          </cell>
          <cell r="E1160">
            <v>792020</v>
          </cell>
          <cell r="F1160">
            <v>0</v>
          </cell>
          <cell r="G1160" t="str">
            <v>Затраты по ШПЗ (основные)</v>
          </cell>
          <cell r="H1160">
            <v>2011</v>
          </cell>
          <cell r="I1160">
            <v>7920</v>
          </cell>
          <cell r="J1160">
            <v>151366</v>
          </cell>
          <cell r="K1160">
            <v>1</v>
          </cell>
          <cell r="L1160">
            <v>0</v>
          </cell>
          <cell r="M1160">
            <v>0</v>
          </cell>
          <cell r="N1160">
            <v>0</v>
          </cell>
          <cell r="R1160">
            <v>0</v>
          </cell>
          <cell r="S1160">
            <v>0</v>
          </cell>
          <cell r="T1160">
            <v>0</v>
          </cell>
          <cell r="U1160">
            <v>31</v>
          </cell>
          <cell r="V1160">
            <v>0</v>
          </cell>
          <cell r="W1160">
            <v>0</v>
          </cell>
          <cell r="AA1160">
            <v>0</v>
          </cell>
          <cell r="AB1160">
            <v>0</v>
          </cell>
          <cell r="AC1160">
            <v>0</v>
          </cell>
          <cell r="AD1160">
            <v>31</v>
          </cell>
          <cell r="AE1160">
            <v>430230</v>
          </cell>
          <cell r="AF1160">
            <v>0</v>
          </cell>
          <cell r="AI1160">
            <v>2223</v>
          </cell>
          <cell r="AK1160">
            <v>0</v>
          </cell>
          <cell r="AM1160">
            <v>342</v>
          </cell>
          <cell r="AN1160">
            <v>1</v>
          </cell>
          <cell r="AO1160">
            <v>393216</v>
          </cell>
          <cell r="AQ1160">
            <v>0</v>
          </cell>
          <cell r="AR1160">
            <v>0</v>
          </cell>
          <cell r="AS1160" t="str">
            <v>Ы</v>
          </cell>
          <cell r="AT1160" t="str">
            <v>Ы</v>
          </cell>
          <cell r="AU1160">
            <v>0</v>
          </cell>
          <cell r="AV1160">
            <v>0</v>
          </cell>
          <cell r="AW1160">
            <v>23</v>
          </cell>
          <cell r="AX1160">
            <v>1</v>
          </cell>
          <cell r="AY1160">
            <v>0</v>
          </cell>
          <cell r="AZ1160">
            <v>0</v>
          </cell>
          <cell r="BA1160">
            <v>0</v>
          </cell>
          <cell r="BB1160">
            <v>0</v>
          </cell>
          <cell r="BC1160">
            <v>38828</v>
          </cell>
        </row>
        <row r="1161">
          <cell r="A1161">
            <v>2006</v>
          </cell>
          <cell r="B1161">
            <v>1</v>
          </cell>
          <cell r="C1161">
            <v>216</v>
          </cell>
          <cell r="D1161">
            <v>20</v>
          </cell>
          <cell r="E1161">
            <v>792020</v>
          </cell>
          <cell r="F1161">
            <v>0</v>
          </cell>
          <cell r="G1161" t="str">
            <v>Затраты по ШПЗ (основные)</v>
          </cell>
          <cell r="H1161">
            <v>2011</v>
          </cell>
          <cell r="I1161">
            <v>7920</v>
          </cell>
          <cell r="J1161">
            <v>61458</v>
          </cell>
          <cell r="K1161">
            <v>1</v>
          </cell>
          <cell r="L1161">
            <v>0</v>
          </cell>
          <cell r="M1161">
            <v>0</v>
          </cell>
          <cell r="N1161">
            <v>0</v>
          </cell>
          <cell r="R1161">
            <v>0</v>
          </cell>
          <cell r="S1161">
            <v>0</v>
          </cell>
          <cell r="T1161">
            <v>0</v>
          </cell>
          <cell r="U1161">
            <v>31</v>
          </cell>
          <cell r="V1161">
            <v>0</v>
          </cell>
          <cell r="W1161">
            <v>0</v>
          </cell>
          <cell r="AA1161">
            <v>0</v>
          </cell>
          <cell r="AB1161">
            <v>0</v>
          </cell>
          <cell r="AC1161">
            <v>0</v>
          </cell>
          <cell r="AD1161">
            <v>31</v>
          </cell>
          <cell r="AE1161">
            <v>430240</v>
          </cell>
          <cell r="AF1161">
            <v>0</v>
          </cell>
          <cell r="AI1161">
            <v>2223</v>
          </cell>
          <cell r="AK1161">
            <v>0</v>
          </cell>
          <cell r="AM1161">
            <v>343</v>
          </cell>
          <cell r="AN1161">
            <v>1</v>
          </cell>
          <cell r="AO1161">
            <v>393216</v>
          </cell>
          <cell r="AQ1161">
            <v>0</v>
          </cell>
          <cell r="AR1161">
            <v>0</v>
          </cell>
          <cell r="AS1161" t="str">
            <v>Ы</v>
          </cell>
          <cell r="AT1161" t="str">
            <v>Ы</v>
          </cell>
          <cell r="AU1161">
            <v>0</v>
          </cell>
          <cell r="AV1161">
            <v>0</v>
          </cell>
          <cell r="AW1161">
            <v>23</v>
          </cell>
          <cell r="AX1161">
            <v>1</v>
          </cell>
          <cell r="AY1161">
            <v>0</v>
          </cell>
          <cell r="AZ1161">
            <v>0</v>
          </cell>
          <cell r="BA1161">
            <v>0</v>
          </cell>
          <cell r="BB1161">
            <v>0</v>
          </cell>
          <cell r="BC1161">
            <v>38828</v>
          </cell>
        </row>
        <row r="1162">
          <cell r="A1162">
            <v>2006</v>
          </cell>
          <cell r="B1162">
            <v>1</v>
          </cell>
          <cell r="C1162">
            <v>217</v>
          </cell>
          <cell r="D1162">
            <v>20</v>
          </cell>
          <cell r="E1162">
            <v>792020</v>
          </cell>
          <cell r="F1162">
            <v>0</v>
          </cell>
          <cell r="G1162" t="str">
            <v>Затраты по ШПЗ (основные)</v>
          </cell>
          <cell r="H1162">
            <v>2011</v>
          </cell>
          <cell r="I1162">
            <v>7920</v>
          </cell>
          <cell r="J1162">
            <v>135477</v>
          </cell>
          <cell r="K1162">
            <v>1</v>
          </cell>
          <cell r="L1162">
            <v>0</v>
          </cell>
          <cell r="M1162">
            <v>0</v>
          </cell>
          <cell r="N1162">
            <v>0</v>
          </cell>
          <cell r="R1162">
            <v>0</v>
          </cell>
          <cell r="S1162">
            <v>0</v>
          </cell>
          <cell r="T1162">
            <v>0</v>
          </cell>
          <cell r="U1162">
            <v>31</v>
          </cell>
          <cell r="V1162">
            <v>0</v>
          </cell>
          <cell r="W1162">
            <v>0</v>
          </cell>
          <cell r="AA1162">
            <v>0</v>
          </cell>
          <cell r="AB1162">
            <v>0</v>
          </cell>
          <cell r="AC1162">
            <v>0</v>
          </cell>
          <cell r="AD1162">
            <v>31</v>
          </cell>
          <cell r="AE1162">
            <v>450000</v>
          </cell>
          <cell r="AF1162">
            <v>0</v>
          </cell>
          <cell r="AI1162">
            <v>2223</v>
          </cell>
          <cell r="AK1162">
            <v>0</v>
          </cell>
          <cell r="AM1162">
            <v>344</v>
          </cell>
          <cell r="AN1162">
            <v>1</v>
          </cell>
          <cell r="AO1162">
            <v>393216</v>
          </cell>
          <cell r="AQ1162">
            <v>0</v>
          </cell>
          <cell r="AR1162">
            <v>0</v>
          </cell>
          <cell r="AS1162" t="str">
            <v>Ы</v>
          </cell>
          <cell r="AT1162" t="str">
            <v>Ы</v>
          </cell>
          <cell r="AU1162">
            <v>0</v>
          </cell>
          <cell r="AV1162">
            <v>0</v>
          </cell>
          <cell r="AW1162">
            <v>23</v>
          </cell>
          <cell r="AX1162">
            <v>1</v>
          </cell>
          <cell r="AY1162">
            <v>0</v>
          </cell>
          <cell r="AZ1162">
            <v>0</v>
          </cell>
          <cell r="BA1162">
            <v>0</v>
          </cell>
          <cell r="BB1162">
            <v>0</v>
          </cell>
          <cell r="BC1162">
            <v>38828</v>
          </cell>
        </row>
        <row r="1163">
          <cell r="A1163">
            <v>2006</v>
          </cell>
          <cell r="B1163">
            <v>1</v>
          </cell>
          <cell r="C1163">
            <v>218</v>
          </cell>
          <cell r="D1163">
            <v>20</v>
          </cell>
          <cell r="E1163">
            <v>792020</v>
          </cell>
          <cell r="F1163">
            <v>0</v>
          </cell>
          <cell r="G1163" t="str">
            <v>Затраты по ШПЗ (основные)</v>
          </cell>
          <cell r="H1163">
            <v>2011</v>
          </cell>
          <cell r="I1163">
            <v>7920</v>
          </cell>
          <cell r="J1163">
            <v>9941</v>
          </cell>
          <cell r="K1163">
            <v>1</v>
          </cell>
          <cell r="L1163">
            <v>0</v>
          </cell>
          <cell r="M1163">
            <v>0</v>
          </cell>
          <cell r="N1163">
            <v>0</v>
          </cell>
          <cell r="R1163">
            <v>0</v>
          </cell>
          <cell r="S1163">
            <v>0</v>
          </cell>
          <cell r="T1163">
            <v>0</v>
          </cell>
          <cell r="U1163">
            <v>31</v>
          </cell>
          <cell r="V1163">
            <v>0</v>
          </cell>
          <cell r="W1163">
            <v>0</v>
          </cell>
          <cell r="AA1163">
            <v>0</v>
          </cell>
          <cell r="AB1163">
            <v>0</v>
          </cell>
          <cell r="AC1163">
            <v>0</v>
          </cell>
          <cell r="AD1163">
            <v>31</v>
          </cell>
          <cell r="AE1163">
            <v>460000</v>
          </cell>
          <cell r="AF1163">
            <v>0</v>
          </cell>
          <cell r="AI1163">
            <v>2223</v>
          </cell>
          <cell r="AK1163">
            <v>0</v>
          </cell>
          <cell r="AM1163">
            <v>345</v>
          </cell>
          <cell r="AN1163">
            <v>1</v>
          </cell>
          <cell r="AO1163">
            <v>393216</v>
          </cell>
          <cell r="AQ1163">
            <v>0</v>
          </cell>
          <cell r="AR1163">
            <v>0</v>
          </cell>
          <cell r="AS1163" t="str">
            <v>Ы</v>
          </cell>
          <cell r="AT1163" t="str">
            <v>Ы</v>
          </cell>
          <cell r="AU1163">
            <v>0</v>
          </cell>
          <cell r="AV1163">
            <v>0</v>
          </cell>
          <cell r="AW1163">
            <v>23</v>
          </cell>
          <cell r="AX1163">
            <v>1</v>
          </cell>
          <cell r="AY1163">
            <v>0</v>
          </cell>
          <cell r="AZ1163">
            <v>0</v>
          </cell>
          <cell r="BA1163">
            <v>0</v>
          </cell>
          <cell r="BB1163">
            <v>0</v>
          </cell>
          <cell r="BC1163">
            <v>38828</v>
          </cell>
        </row>
        <row r="1164">
          <cell r="A1164">
            <v>2006</v>
          </cell>
          <cell r="B1164">
            <v>1</v>
          </cell>
          <cell r="C1164">
            <v>219</v>
          </cell>
          <cell r="D1164">
            <v>20</v>
          </cell>
          <cell r="E1164">
            <v>792020</v>
          </cell>
          <cell r="F1164">
            <v>0</v>
          </cell>
          <cell r="G1164" t="str">
            <v>Затраты по ШПЗ (основные)</v>
          </cell>
          <cell r="H1164">
            <v>2011</v>
          </cell>
          <cell r="I1164">
            <v>7920</v>
          </cell>
          <cell r="J1164">
            <v>991</v>
          </cell>
          <cell r="K1164">
            <v>1</v>
          </cell>
          <cell r="L1164">
            <v>0</v>
          </cell>
          <cell r="M1164">
            <v>0</v>
          </cell>
          <cell r="N1164">
            <v>0</v>
          </cell>
          <cell r="R1164">
            <v>0</v>
          </cell>
          <cell r="S1164">
            <v>0</v>
          </cell>
          <cell r="T1164">
            <v>0</v>
          </cell>
          <cell r="U1164">
            <v>31</v>
          </cell>
          <cell r="V1164">
            <v>0</v>
          </cell>
          <cell r="W1164">
            <v>0</v>
          </cell>
          <cell r="AA1164">
            <v>0</v>
          </cell>
          <cell r="AB1164">
            <v>0</v>
          </cell>
          <cell r="AC1164">
            <v>0</v>
          </cell>
          <cell r="AD1164">
            <v>31</v>
          </cell>
          <cell r="AE1164">
            <v>465000</v>
          </cell>
          <cell r="AF1164">
            <v>0</v>
          </cell>
          <cell r="AI1164">
            <v>2223</v>
          </cell>
          <cell r="AK1164">
            <v>0</v>
          </cell>
          <cell r="AM1164">
            <v>346</v>
          </cell>
          <cell r="AN1164">
            <v>1</v>
          </cell>
          <cell r="AO1164">
            <v>393216</v>
          </cell>
          <cell r="AQ1164">
            <v>0</v>
          </cell>
          <cell r="AR1164">
            <v>0</v>
          </cell>
          <cell r="AS1164" t="str">
            <v>Ы</v>
          </cell>
          <cell r="AT1164" t="str">
            <v>Ы</v>
          </cell>
          <cell r="AU1164">
            <v>0</v>
          </cell>
          <cell r="AV1164">
            <v>0</v>
          </cell>
          <cell r="AW1164">
            <v>23</v>
          </cell>
          <cell r="AX1164">
            <v>1</v>
          </cell>
          <cell r="AY1164">
            <v>0</v>
          </cell>
          <cell r="AZ1164">
            <v>0</v>
          </cell>
          <cell r="BA1164">
            <v>0</v>
          </cell>
          <cell r="BB1164">
            <v>0</v>
          </cell>
          <cell r="BC1164">
            <v>38828</v>
          </cell>
        </row>
        <row r="1165">
          <cell r="A1165">
            <v>2006</v>
          </cell>
          <cell r="B1165">
            <v>1</v>
          </cell>
          <cell r="C1165">
            <v>220</v>
          </cell>
          <cell r="D1165">
            <v>20</v>
          </cell>
          <cell r="E1165">
            <v>792020</v>
          </cell>
          <cell r="F1165">
            <v>0</v>
          </cell>
          <cell r="G1165" t="str">
            <v>Затраты по ШПЗ (основные)</v>
          </cell>
          <cell r="H1165">
            <v>2011</v>
          </cell>
          <cell r="I1165">
            <v>7920</v>
          </cell>
          <cell r="J1165">
            <v>157565</v>
          </cell>
          <cell r="K1165">
            <v>1</v>
          </cell>
          <cell r="L1165">
            <v>0</v>
          </cell>
          <cell r="M1165">
            <v>0</v>
          </cell>
          <cell r="N1165">
            <v>0</v>
          </cell>
          <cell r="R1165">
            <v>0</v>
          </cell>
          <cell r="S1165">
            <v>0</v>
          </cell>
          <cell r="T1165">
            <v>0</v>
          </cell>
          <cell r="U1165">
            <v>31</v>
          </cell>
          <cell r="V1165">
            <v>0</v>
          </cell>
          <cell r="W1165">
            <v>0</v>
          </cell>
          <cell r="AA1165">
            <v>0</v>
          </cell>
          <cell r="AB1165">
            <v>0</v>
          </cell>
          <cell r="AC1165">
            <v>0</v>
          </cell>
          <cell r="AD1165">
            <v>31</v>
          </cell>
          <cell r="AE1165">
            <v>501102</v>
          </cell>
          <cell r="AF1165">
            <v>0</v>
          </cell>
          <cell r="AI1165">
            <v>2223</v>
          </cell>
          <cell r="AK1165">
            <v>0</v>
          </cell>
          <cell r="AM1165">
            <v>347</v>
          </cell>
          <cell r="AN1165">
            <v>1</v>
          </cell>
          <cell r="AO1165">
            <v>393216</v>
          </cell>
          <cell r="AQ1165">
            <v>0</v>
          </cell>
          <cell r="AR1165">
            <v>0</v>
          </cell>
          <cell r="AS1165" t="str">
            <v>Ы</v>
          </cell>
          <cell r="AT1165" t="str">
            <v>Ы</v>
          </cell>
          <cell r="AU1165">
            <v>0</v>
          </cell>
          <cell r="AV1165">
            <v>0</v>
          </cell>
          <cell r="AW1165">
            <v>23</v>
          </cell>
          <cell r="AX1165">
            <v>1</v>
          </cell>
          <cell r="AY1165">
            <v>0</v>
          </cell>
          <cell r="AZ1165">
            <v>0</v>
          </cell>
          <cell r="BA1165">
            <v>0</v>
          </cell>
          <cell r="BB1165">
            <v>0</v>
          </cell>
          <cell r="BC1165">
            <v>38828</v>
          </cell>
        </row>
        <row r="1166">
          <cell r="A1166">
            <v>2006</v>
          </cell>
          <cell r="B1166">
            <v>1</v>
          </cell>
          <cell r="C1166">
            <v>221</v>
          </cell>
          <cell r="D1166">
            <v>20</v>
          </cell>
          <cell r="E1166">
            <v>792020</v>
          </cell>
          <cell r="F1166">
            <v>0</v>
          </cell>
          <cell r="G1166" t="str">
            <v>Затраты по ШПЗ (основные)</v>
          </cell>
          <cell r="H1166">
            <v>2011</v>
          </cell>
          <cell r="I1166">
            <v>7920</v>
          </cell>
          <cell r="J1166">
            <v>10468</v>
          </cell>
          <cell r="K1166">
            <v>1</v>
          </cell>
          <cell r="L1166">
            <v>0</v>
          </cell>
          <cell r="M1166">
            <v>0</v>
          </cell>
          <cell r="N1166">
            <v>0</v>
          </cell>
          <cell r="R1166">
            <v>0</v>
          </cell>
          <cell r="S1166">
            <v>0</v>
          </cell>
          <cell r="T1166">
            <v>0</v>
          </cell>
          <cell r="U1166">
            <v>31</v>
          </cell>
          <cell r="V1166">
            <v>0</v>
          </cell>
          <cell r="W1166">
            <v>0</v>
          </cell>
          <cell r="AA1166">
            <v>0</v>
          </cell>
          <cell r="AB1166">
            <v>0</v>
          </cell>
          <cell r="AC1166">
            <v>0</v>
          </cell>
          <cell r="AD1166">
            <v>31</v>
          </cell>
          <cell r="AE1166">
            <v>502400</v>
          </cell>
          <cell r="AF1166">
            <v>0</v>
          </cell>
          <cell r="AI1166">
            <v>2223</v>
          </cell>
          <cell r="AK1166">
            <v>0</v>
          </cell>
          <cell r="AM1166">
            <v>348</v>
          </cell>
          <cell r="AN1166">
            <v>1</v>
          </cell>
          <cell r="AO1166">
            <v>393216</v>
          </cell>
          <cell r="AQ1166">
            <v>0</v>
          </cell>
          <cell r="AR1166">
            <v>0</v>
          </cell>
          <cell r="AS1166" t="str">
            <v>Ы</v>
          </cell>
          <cell r="AT1166" t="str">
            <v>Ы</v>
          </cell>
          <cell r="AU1166">
            <v>0</v>
          </cell>
          <cell r="AV1166">
            <v>0</v>
          </cell>
          <cell r="AW1166">
            <v>23</v>
          </cell>
          <cell r="AX1166">
            <v>1</v>
          </cell>
          <cell r="AY1166">
            <v>0</v>
          </cell>
          <cell r="AZ1166">
            <v>0</v>
          </cell>
          <cell r="BA1166">
            <v>0</v>
          </cell>
          <cell r="BB1166">
            <v>0</v>
          </cell>
          <cell r="BC1166">
            <v>38828</v>
          </cell>
        </row>
        <row r="1167">
          <cell r="A1167">
            <v>2006</v>
          </cell>
          <cell r="B1167">
            <v>1</v>
          </cell>
          <cell r="C1167">
            <v>222</v>
          </cell>
          <cell r="D1167">
            <v>20</v>
          </cell>
          <cell r="E1167">
            <v>792020</v>
          </cell>
          <cell r="F1167">
            <v>0</v>
          </cell>
          <cell r="G1167" t="str">
            <v>Затраты по ШПЗ (основные)</v>
          </cell>
          <cell r="H1167">
            <v>2011</v>
          </cell>
          <cell r="I1167">
            <v>7920</v>
          </cell>
          <cell r="J1167">
            <v>326472.8</v>
          </cell>
          <cell r="K1167">
            <v>1</v>
          </cell>
          <cell r="L1167">
            <v>0</v>
          </cell>
          <cell r="M1167">
            <v>0</v>
          </cell>
          <cell r="N1167">
            <v>0</v>
          </cell>
          <cell r="R1167">
            <v>0</v>
          </cell>
          <cell r="S1167">
            <v>0</v>
          </cell>
          <cell r="T1167">
            <v>0</v>
          </cell>
          <cell r="U1167">
            <v>31</v>
          </cell>
          <cell r="V1167">
            <v>0</v>
          </cell>
          <cell r="W1167">
            <v>0</v>
          </cell>
          <cell r="AA1167">
            <v>0</v>
          </cell>
          <cell r="AB1167">
            <v>0</v>
          </cell>
          <cell r="AC1167">
            <v>0</v>
          </cell>
          <cell r="AD1167">
            <v>31</v>
          </cell>
          <cell r="AE1167">
            <v>503000</v>
          </cell>
          <cell r="AF1167">
            <v>0</v>
          </cell>
          <cell r="AI1167">
            <v>2223</v>
          </cell>
          <cell r="AK1167">
            <v>0</v>
          </cell>
          <cell r="AM1167">
            <v>349</v>
          </cell>
          <cell r="AN1167">
            <v>1</v>
          </cell>
          <cell r="AO1167">
            <v>393216</v>
          </cell>
          <cell r="AQ1167">
            <v>0</v>
          </cell>
          <cell r="AR1167">
            <v>0</v>
          </cell>
          <cell r="AS1167" t="str">
            <v>Ы</v>
          </cell>
          <cell r="AT1167" t="str">
            <v>Ы</v>
          </cell>
          <cell r="AU1167">
            <v>0</v>
          </cell>
          <cell r="AV1167">
            <v>0</v>
          </cell>
          <cell r="AW1167">
            <v>23</v>
          </cell>
          <cell r="AX1167">
            <v>1</v>
          </cell>
          <cell r="AY1167">
            <v>0</v>
          </cell>
          <cell r="AZ1167">
            <v>0</v>
          </cell>
          <cell r="BA1167">
            <v>0</v>
          </cell>
          <cell r="BB1167">
            <v>0</v>
          </cell>
          <cell r="BC1167">
            <v>38828</v>
          </cell>
        </row>
        <row r="1168">
          <cell r="A1168">
            <v>2006</v>
          </cell>
          <cell r="B1168">
            <v>1</v>
          </cell>
          <cell r="C1168">
            <v>223</v>
          </cell>
          <cell r="D1168">
            <v>20</v>
          </cell>
          <cell r="E1168">
            <v>792020</v>
          </cell>
          <cell r="F1168">
            <v>0</v>
          </cell>
          <cell r="G1168" t="str">
            <v>Затраты по ШПЗ (основные)</v>
          </cell>
          <cell r="H1168">
            <v>2011</v>
          </cell>
          <cell r="I1168">
            <v>7920</v>
          </cell>
          <cell r="J1168">
            <v>3000</v>
          </cell>
          <cell r="K1168">
            <v>1</v>
          </cell>
          <cell r="L1168">
            <v>0</v>
          </cell>
          <cell r="M1168">
            <v>0</v>
          </cell>
          <cell r="N1168">
            <v>0</v>
          </cell>
          <cell r="R1168">
            <v>0</v>
          </cell>
          <cell r="S1168">
            <v>0</v>
          </cell>
          <cell r="T1168">
            <v>0</v>
          </cell>
          <cell r="U1168">
            <v>31</v>
          </cell>
          <cell r="V1168">
            <v>0</v>
          </cell>
          <cell r="W1168">
            <v>0</v>
          </cell>
          <cell r="AA1168">
            <v>0</v>
          </cell>
          <cell r="AB1168">
            <v>0</v>
          </cell>
          <cell r="AC1168">
            <v>0</v>
          </cell>
          <cell r="AD1168">
            <v>31</v>
          </cell>
          <cell r="AE1168">
            <v>504100</v>
          </cell>
          <cell r="AF1168">
            <v>0</v>
          </cell>
          <cell r="AI1168">
            <v>2223</v>
          </cell>
          <cell r="AK1168">
            <v>0</v>
          </cell>
          <cell r="AM1168">
            <v>350</v>
          </cell>
          <cell r="AN1168">
            <v>1</v>
          </cell>
          <cell r="AO1168">
            <v>393216</v>
          </cell>
          <cell r="AQ1168">
            <v>0</v>
          </cell>
          <cell r="AR1168">
            <v>0</v>
          </cell>
          <cell r="AS1168" t="str">
            <v>Ы</v>
          </cell>
          <cell r="AT1168" t="str">
            <v>Ы</v>
          </cell>
          <cell r="AU1168">
            <v>0</v>
          </cell>
          <cell r="AV1168">
            <v>0</v>
          </cell>
          <cell r="AW1168">
            <v>23</v>
          </cell>
          <cell r="AX1168">
            <v>1</v>
          </cell>
          <cell r="AY1168">
            <v>0</v>
          </cell>
          <cell r="AZ1168">
            <v>0</v>
          </cell>
          <cell r="BA1168">
            <v>0</v>
          </cell>
          <cell r="BB1168">
            <v>0</v>
          </cell>
          <cell r="BC1168">
            <v>38828</v>
          </cell>
        </row>
        <row r="1169">
          <cell r="A1169">
            <v>2006</v>
          </cell>
          <cell r="B1169">
            <v>1</v>
          </cell>
          <cell r="C1169">
            <v>224</v>
          </cell>
          <cell r="D1169">
            <v>20</v>
          </cell>
          <cell r="E1169">
            <v>792020</v>
          </cell>
          <cell r="F1169">
            <v>0</v>
          </cell>
          <cell r="G1169" t="str">
            <v>Затраты по ШПЗ (основные)</v>
          </cell>
          <cell r="H1169">
            <v>2011</v>
          </cell>
          <cell r="I1169">
            <v>7920</v>
          </cell>
          <cell r="J1169">
            <v>4702</v>
          </cell>
          <cell r="K1169">
            <v>1</v>
          </cell>
          <cell r="L1169">
            <v>0</v>
          </cell>
          <cell r="M1169">
            <v>0</v>
          </cell>
          <cell r="N1169">
            <v>0</v>
          </cell>
          <cell r="R1169">
            <v>0</v>
          </cell>
          <cell r="S1169">
            <v>0</v>
          </cell>
          <cell r="T1169">
            <v>0</v>
          </cell>
          <cell r="U1169">
            <v>31</v>
          </cell>
          <cell r="V1169">
            <v>0</v>
          </cell>
          <cell r="W1169">
            <v>0</v>
          </cell>
          <cell r="AA1169">
            <v>0</v>
          </cell>
          <cell r="AB1169">
            <v>0</v>
          </cell>
          <cell r="AC1169">
            <v>0</v>
          </cell>
          <cell r="AD1169">
            <v>31</v>
          </cell>
          <cell r="AE1169">
            <v>504900</v>
          </cell>
          <cell r="AF1169">
            <v>0</v>
          </cell>
          <cell r="AI1169">
            <v>2223</v>
          </cell>
          <cell r="AK1169">
            <v>0</v>
          </cell>
          <cell r="AM1169">
            <v>351</v>
          </cell>
          <cell r="AN1169">
            <v>1</v>
          </cell>
          <cell r="AO1169">
            <v>393216</v>
          </cell>
          <cell r="AQ1169">
            <v>0</v>
          </cell>
          <cell r="AR1169">
            <v>0</v>
          </cell>
          <cell r="AS1169" t="str">
            <v>Ы</v>
          </cell>
          <cell r="AT1169" t="str">
            <v>Ы</v>
          </cell>
          <cell r="AU1169">
            <v>0</v>
          </cell>
          <cell r="AV1169">
            <v>0</v>
          </cell>
          <cell r="AW1169">
            <v>23</v>
          </cell>
          <cell r="AX1169">
            <v>1</v>
          </cell>
          <cell r="AY1169">
            <v>0</v>
          </cell>
          <cell r="AZ1169">
            <v>0</v>
          </cell>
          <cell r="BA1169">
            <v>0</v>
          </cell>
          <cell r="BB1169">
            <v>0</v>
          </cell>
          <cell r="BC1169">
            <v>38828</v>
          </cell>
        </row>
        <row r="1170">
          <cell r="A1170">
            <v>2006</v>
          </cell>
          <cell r="B1170">
            <v>1</v>
          </cell>
          <cell r="C1170">
            <v>225</v>
          </cell>
          <cell r="D1170">
            <v>20</v>
          </cell>
          <cell r="E1170">
            <v>792020</v>
          </cell>
          <cell r="F1170">
            <v>0</v>
          </cell>
          <cell r="G1170" t="str">
            <v>Затраты по ШПЗ (основные)</v>
          </cell>
          <cell r="H1170">
            <v>2011</v>
          </cell>
          <cell r="I1170">
            <v>7920</v>
          </cell>
          <cell r="J1170">
            <v>14576.63</v>
          </cell>
          <cell r="K1170">
            <v>1</v>
          </cell>
          <cell r="L1170">
            <v>0</v>
          </cell>
          <cell r="M1170">
            <v>0</v>
          </cell>
          <cell r="N1170">
            <v>0</v>
          </cell>
          <cell r="R1170">
            <v>0</v>
          </cell>
          <cell r="S1170">
            <v>0</v>
          </cell>
          <cell r="T1170">
            <v>0</v>
          </cell>
          <cell r="U1170">
            <v>31</v>
          </cell>
          <cell r="V1170">
            <v>0</v>
          </cell>
          <cell r="W1170">
            <v>0</v>
          </cell>
          <cell r="AA1170">
            <v>0</v>
          </cell>
          <cell r="AB1170">
            <v>0</v>
          </cell>
          <cell r="AC1170">
            <v>0</v>
          </cell>
          <cell r="AD1170">
            <v>31</v>
          </cell>
          <cell r="AE1170">
            <v>505100</v>
          </cell>
          <cell r="AF1170">
            <v>0</v>
          </cell>
          <cell r="AI1170">
            <v>2223</v>
          </cell>
          <cell r="AK1170">
            <v>0</v>
          </cell>
          <cell r="AM1170">
            <v>352</v>
          </cell>
          <cell r="AN1170">
            <v>1</v>
          </cell>
          <cell r="AO1170">
            <v>393216</v>
          </cell>
          <cell r="AQ1170">
            <v>0</v>
          </cell>
          <cell r="AR1170">
            <v>0</v>
          </cell>
          <cell r="AS1170" t="str">
            <v>Ы</v>
          </cell>
          <cell r="AT1170" t="str">
            <v>Ы</v>
          </cell>
          <cell r="AU1170">
            <v>0</v>
          </cell>
          <cell r="AV1170">
            <v>0</v>
          </cell>
          <cell r="AW1170">
            <v>23</v>
          </cell>
          <cell r="AX1170">
            <v>1</v>
          </cell>
          <cell r="AY1170">
            <v>0</v>
          </cell>
          <cell r="AZ1170">
            <v>0</v>
          </cell>
          <cell r="BA1170">
            <v>0</v>
          </cell>
          <cell r="BB1170">
            <v>0</v>
          </cell>
          <cell r="BC1170">
            <v>38828</v>
          </cell>
        </row>
        <row r="1171">
          <cell r="A1171">
            <v>2006</v>
          </cell>
          <cell r="B1171">
            <v>1</v>
          </cell>
          <cell r="C1171">
            <v>226</v>
          </cell>
          <cell r="D1171">
            <v>20</v>
          </cell>
          <cell r="E1171">
            <v>792020</v>
          </cell>
          <cell r="F1171">
            <v>0</v>
          </cell>
          <cell r="G1171" t="str">
            <v>Затраты по ШПЗ (основные)</v>
          </cell>
          <cell r="H1171">
            <v>2011</v>
          </cell>
          <cell r="I1171">
            <v>7920</v>
          </cell>
          <cell r="J1171">
            <v>255401.46</v>
          </cell>
          <cell r="K1171">
            <v>1</v>
          </cell>
          <cell r="L1171">
            <v>0</v>
          </cell>
          <cell r="M1171">
            <v>0</v>
          </cell>
          <cell r="N1171">
            <v>0</v>
          </cell>
          <cell r="R1171">
            <v>0</v>
          </cell>
          <cell r="S1171">
            <v>0</v>
          </cell>
          <cell r="T1171">
            <v>0</v>
          </cell>
          <cell r="U1171">
            <v>31</v>
          </cell>
          <cell r="V1171">
            <v>0</v>
          </cell>
          <cell r="W1171">
            <v>0</v>
          </cell>
          <cell r="AA1171">
            <v>0</v>
          </cell>
          <cell r="AB1171">
            <v>0</v>
          </cell>
          <cell r="AC1171">
            <v>0</v>
          </cell>
          <cell r="AD1171">
            <v>31</v>
          </cell>
          <cell r="AE1171">
            <v>505200</v>
          </cell>
          <cell r="AF1171">
            <v>0</v>
          </cell>
          <cell r="AI1171">
            <v>2223</v>
          </cell>
          <cell r="AK1171">
            <v>0</v>
          </cell>
          <cell r="AM1171">
            <v>353</v>
          </cell>
          <cell r="AN1171">
            <v>1</v>
          </cell>
          <cell r="AO1171">
            <v>393216</v>
          </cell>
          <cell r="AQ1171">
            <v>0</v>
          </cell>
          <cell r="AR1171">
            <v>0</v>
          </cell>
          <cell r="AS1171" t="str">
            <v>Ы</v>
          </cell>
          <cell r="AT1171" t="str">
            <v>Ы</v>
          </cell>
          <cell r="AU1171">
            <v>0</v>
          </cell>
          <cell r="AV1171">
            <v>0</v>
          </cell>
          <cell r="AW1171">
            <v>23</v>
          </cell>
          <cell r="AX1171">
            <v>1</v>
          </cell>
          <cell r="AY1171">
            <v>0</v>
          </cell>
          <cell r="AZ1171">
            <v>0</v>
          </cell>
          <cell r="BA1171">
            <v>0</v>
          </cell>
          <cell r="BB1171">
            <v>0</v>
          </cell>
          <cell r="BC1171">
            <v>38828</v>
          </cell>
        </row>
        <row r="1172">
          <cell r="A1172">
            <v>2006</v>
          </cell>
          <cell r="B1172">
            <v>1</v>
          </cell>
          <cell r="C1172">
            <v>227</v>
          </cell>
          <cell r="D1172">
            <v>20</v>
          </cell>
          <cell r="E1172">
            <v>792020</v>
          </cell>
          <cell r="F1172">
            <v>0</v>
          </cell>
          <cell r="G1172" t="str">
            <v>Затраты по ШПЗ (основные)</v>
          </cell>
          <cell r="H1172">
            <v>2011</v>
          </cell>
          <cell r="I1172">
            <v>7920</v>
          </cell>
          <cell r="J1172">
            <v>2473.36</v>
          </cell>
          <cell r="K1172">
            <v>1</v>
          </cell>
          <cell r="L1172">
            <v>0</v>
          </cell>
          <cell r="M1172">
            <v>0</v>
          </cell>
          <cell r="N1172">
            <v>0</v>
          </cell>
          <cell r="R1172">
            <v>0</v>
          </cell>
          <cell r="S1172">
            <v>0</v>
          </cell>
          <cell r="T1172">
            <v>0</v>
          </cell>
          <cell r="U1172">
            <v>31</v>
          </cell>
          <cell r="V1172">
            <v>0</v>
          </cell>
          <cell r="W1172">
            <v>0</v>
          </cell>
          <cell r="AA1172">
            <v>0</v>
          </cell>
          <cell r="AB1172">
            <v>0</v>
          </cell>
          <cell r="AC1172">
            <v>0</v>
          </cell>
          <cell r="AD1172">
            <v>31</v>
          </cell>
          <cell r="AE1172">
            <v>505300</v>
          </cell>
          <cell r="AF1172">
            <v>0</v>
          </cell>
          <cell r="AI1172">
            <v>2223</v>
          </cell>
          <cell r="AK1172">
            <v>0</v>
          </cell>
          <cell r="AM1172">
            <v>354</v>
          </cell>
          <cell r="AN1172">
            <v>1</v>
          </cell>
          <cell r="AO1172">
            <v>393216</v>
          </cell>
          <cell r="AQ1172">
            <v>0</v>
          </cell>
          <cell r="AR1172">
            <v>0</v>
          </cell>
          <cell r="AS1172" t="str">
            <v>Ы</v>
          </cell>
          <cell r="AT1172" t="str">
            <v>Ы</v>
          </cell>
          <cell r="AU1172">
            <v>0</v>
          </cell>
          <cell r="AV1172">
            <v>0</v>
          </cell>
          <cell r="AW1172">
            <v>23</v>
          </cell>
          <cell r="AX1172">
            <v>1</v>
          </cell>
          <cell r="AY1172">
            <v>0</v>
          </cell>
          <cell r="AZ1172">
            <v>0</v>
          </cell>
          <cell r="BA1172">
            <v>0</v>
          </cell>
          <cell r="BB1172">
            <v>0</v>
          </cell>
          <cell r="BC1172">
            <v>38828</v>
          </cell>
        </row>
        <row r="1173">
          <cell r="A1173">
            <v>2006</v>
          </cell>
          <cell r="B1173">
            <v>1</v>
          </cell>
          <cell r="C1173">
            <v>228</v>
          </cell>
          <cell r="D1173">
            <v>20</v>
          </cell>
          <cell r="E1173">
            <v>792020</v>
          </cell>
          <cell r="F1173">
            <v>0</v>
          </cell>
          <cell r="G1173" t="str">
            <v>Затраты по ШПЗ (основные)</v>
          </cell>
          <cell r="H1173">
            <v>2011</v>
          </cell>
          <cell r="I1173">
            <v>7920</v>
          </cell>
          <cell r="J1173">
            <v>408</v>
          </cell>
          <cell r="K1173">
            <v>1</v>
          </cell>
          <cell r="L1173">
            <v>0</v>
          </cell>
          <cell r="M1173">
            <v>0</v>
          </cell>
          <cell r="N1173">
            <v>0</v>
          </cell>
          <cell r="R1173">
            <v>0</v>
          </cell>
          <cell r="S1173">
            <v>0</v>
          </cell>
          <cell r="T1173">
            <v>0</v>
          </cell>
          <cell r="U1173">
            <v>31</v>
          </cell>
          <cell r="V1173">
            <v>0</v>
          </cell>
          <cell r="W1173">
            <v>0</v>
          </cell>
          <cell r="AA1173">
            <v>0</v>
          </cell>
          <cell r="AB1173">
            <v>0</v>
          </cell>
          <cell r="AC1173">
            <v>0</v>
          </cell>
          <cell r="AD1173">
            <v>31</v>
          </cell>
          <cell r="AE1173">
            <v>505400</v>
          </cell>
          <cell r="AF1173">
            <v>0</v>
          </cell>
          <cell r="AI1173">
            <v>2223</v>
          </cell>
          <cell r="AK1173">
            <v>0</v>
          </cell>
          <cell r="AM1173">
            <v>355</v>
          </cell>
          <cell r="AN1173">
            <v>1</v>
          </cell>
          <cell r="AO1173">
            <v>393216</v>
          </cell>
          <cell r="AQ1173">
            <v>0</v>
          </cell>
          <cell r="AR1173">
            <v>0</v>
          </cell>
          <cell r="AS1173" t="str">
            <v>Ы</v>
          </cell>
          <cell r="AT1173" t="str">
            <v>Ы</v>
          </cell>
          <cell r="AU1173">
            <v>0</v>
          </cell>
          <cell r="AV1173">
            <v>0</v>
          </cell>
          <cell r="AW1173">
            <v>23</v>
          </cell>
          <cell r="AX1173">
            <v>1</v>
          </cell>
          <cell r="AY1173">
            <v>0</v>
          </cell>
          <cell r="AZ1173">
            <v>0</v>
          </cell>
          <cell r="BA1173">
            <v>0</v>
          </cell>
          <cell r="BB1173">
            <v>0</v>
          </cell>
          <cell r="BC1173">
            <v>38828</v>
          </cell>
        </row>
        <row r="1174">
          <cell r="A1174">
            <v>2006</v>
          </cell>
          <cell r="B1174">
            <v>1</v>
          </cell>
          <cell r="C1174">
            <v>229</v>
          </cell>
          <cell r="D1174">
            <v>20</v>
          </cell>
          <cell r="E1174">
            <v>792020</v>
          </cell>
          <cell r="F1174">
            <v>0</v>
          </cell>
          <cell r="G1174" t="str">
            <v>Затраты по ШПЗ (основные)</v>
          </cell>
          <cell r="H1174">
            <v>2011</v>
          </cell>
          <cell r="I1174">
            <v>7920</v>
          </cell>
          <cell r="J1174">
            <v>218</v>
          </cell>
          <cell r="K1174">
            <v>1</v>
          </cell>
          <cell r="L1174">
            <v>0</v>
          </cell>
          <cell r="M1174">
            <v>0</v>
          </cell>
          <cell r="N1174">
            <v>0</v>
          </cell>
          <cell r="R1174">
            <v>0</v>
          </cell>
          <cell r="S1174">
            <v>0</v>
          </cell>
          <cell r="T1174">
            <v>0</v>
          </cell>
          <cell r="U1174">
            <v>31</v>
          </cell>
          <cell r="V1174">
            <v>0</v>
          </cell>
          <cell r="W1174">
            <v>0</v>
          </cell>
          <cell r="AA1174">
            <v>0</v>
          </cell>
          <cell r="AB1174">
            <v>0</v>
          </cell>
          <cell r="AC1174">
            <v>0</v>
          </cell>
          <cell r="AD1174">
            <v>31</v>
          </cell>
          <cell r="AE1174">
            <v>506300</v>
          </cell>
          <cell r="AF1174">
            <v>0</v>
          </cell>
          <cell r="AI1174">
            <v>2223</v>
          </cell>
          <cell r="AK1174">
            <v>0</v>
          </cell>
          <cell r="AM1174">
            <v>356</v>
          </cell>
          <cell r="AN1174">
            <v>1</v>
          </cell>
          <cell r="AO1174">
            <v>393216</v>
          </cell>
          <cell r="AQ1174">
            <v>0</v>
          </cell>
          <cell r="AR1174">
            <v>0</v>
          </cell>
          <cell r="AS1174" t="str">
            <v>Ы</v>
          </cell>
          <cell r="AT1174" t="str">
            <v>Ы</v>
          </cell>
          <cell r="AU1174">
            <v>0</v>
          </cell>
          <cell r="AV1174">
            <v>0</v>
          </cell>
          <cell r="AW1174">
            <v>23</v>
          </cell>
          <cell r="AX1174">
            <v>1</v>
          </cell>
          <cell r="AY1174">
            <v>0</v>
          </cell>
          <cell r="AZ1174">
            <v>0</v>
          </cell>
          <cell r="BA1174">
            <v>0</v>
          </cell>
          <cell r="BB1174">
            <v>0</v>
          </cell>
          <cell r="BC1174">
            <v>38828</v>
          </cell>
        </row>
        <row r="1175">
          <cell r="A1175">
            <v>2006</v>
          </cell>
          <cell r="B1175">
            <v>1</v>
          </cell>
          <cell r="C1175">
            <v>230</v>
          </cell>
          <cell r="D1175">
            <v>20</v>
          </cell>
          <cell r="E1175">
            <v>792020</v>
          </cell>
          <cell r="F1175">
            <v>0</v>
          </cell>
          <cell r="G1175" t="str">
            <v>Затраты по ШПЗ (основные)</v>
          </cell>
          <cell r="H1175">
            <v>2011</v>
          </cell>
          <cell r="I1175">
            <v>7920</v>
          </cell>
          <cell r="J1175">
            <v>1646.98</v>
          </cell>
          <cell r="K1175">
            <v>1</v>
          </cell>
          <cell r="L1175">
            <v>0</v>
          </cell>
          <cell r="M1175">
            <v>0</v>
          </cell>
          <cell r="N1175">
            <v>0</v>
          </cell>
          <cell r="R1175">
            <v>0</v>
          </cell>
          <cell r="S1175">
            <v>0</v>
          </cell>
          <cell r="T1175">
            <v>0</v>
          </cell>
          <cell r="U1175">
            <v>31</v>
          </cell>
          <cell r="V1175">
            <v>0</v>
          </cell>
          <cell r="W1175">
            <v>0</v>
          </cell>
          <cell r="AA1175">
            <v>0</v>
          </cell>
          <cell r="AB1175">
            <v>0</v>
          </cell>
          <cell r="AC1175">
            <v>0</v>
          </cell>
          <cell r="AD1175">
            <v>31</v>
          </cell>
          <cell r="AE1175">
            <v>510200</v>
          </cell>
          <cell r="AF1175">
            <v>0</v>
          </cell>
          <cell r="AI1175">
            <v>2223</v>
          </cell>
          <cell r="AK1175">
            <v>0</v>
          </cell>
          <cell r="AM1175">
            <v>357</v>
          </cell>
          <cell r="AN1175">
            <v>1</v>
          </cell>
          <cell r="AO1175">
            <v>393216</v>
          </cell>
          <cell r="AQ1175">
            <v>0</v>
          </cell>
          <cell r="AR1175">
            <v>0</v>
          </cell>
          <cell r="AS1175" t="str">
            <v>Ы</v>
          </cell>
          <cell r="AT1175" t="str">
            <v>Ы</v>
          </cell>
          <cell r="AU1175">
            <v>0</v>
          </cell>
          <cell r="AV1175">
            <v>0</v>
          </cell>
          <cell r="AW1175">
            <v>23</v>
          </cell>
          <cell r="AX1175">
            <v>1</v>
          </cell>
          <cell r="AY1175">
            <v>0</v>
          </cell>
          <cell r="AZ1175">
            <v>0</v>
          </cell>
          <cell r="BA1175">
            <v>0</v>
          </cell>
          <cell r="BB1175">
            <v>0</v>
          </cell>
          <cell r="BC1175">
            <v>38828</v>
          </cell>
        </row>
        <row r="1176">
          <cell r="A1176">
            <v>2006</v>
          </cell>
          <cell r="B1176">
            <v>1</v>
          </cell>
          <cell r="C1176">
            <v>231</v>
          </cell>
          <cell r="D1176">
            <v>20</v>
          </cell>
          <cell r="E1176">
            <v>792020</v>
          </cell>
          <cell r="F1176">
            <v>0</v>
          </cell>
          <cell r="G1176" t="str">
            <v>Затраты по ШПЗ (основные)</v>
          </cell>
          <cell r="H1176">
            <v>2011</v>
          </cell>
          <cell r="I1176">
            <v>7920</v>
          </cell>
          <cell r="J1176">
            <v>3346.5</v>
          </cell>
          <cell r="K1176">
            <v>1</v>
          </cell>
          <cell r="L1176">
            <v>0</v>
          </cell>
          <cell r="M1176">
            <v>0</v>
          </cell>
          <cell r="N1176">
            <v>0</v>
          </cell>
          <cell r="R1176">
            <v>0</v>
          </cell>
          <cell r="S1176">
            <v>0</v>
          </cell>
          <cell r="T1176">
            <v>0</v>
          </cell>
          <cell r="U1176">
            <v>31</v>
          </cell>
          <cell r="V1176">
            <v>0</v>
          </cell>
          <cell r="W1176">
            <v>0</v>
          </cell>
          <cell r="AA1176">
            <v>0</v>
          </cell>
          <cell r="AB1176">
            <v>0</v>
          </cell>
          <cell r="AC1176">
            <v>0</v>
          </cell>
          <cell r="AD1176">
            <v>31</v>
          </cell>
          <cell r="AE1176">
            <v>510400</v>
          </cell>
          <cell r="AF1176">
            <v>0</v>
          </cell>
          <cell r="AI1176">
            <v>2223</v>
          </cell>
          <cell r="AK1176">
            <v>0</v>
          </cell>
          <cell r="AM1176">
            <v>358</v>
          </cell>
          <cell r="AN1176">
            <v>1</v>
          </cell>
          <cell r="AO1176">
            <v>393216</v>
          </cell>
          <cell r="AQ1176">
            <v>0</v>
          </cell>
          <cell r="AR1176">
            <v>0</v>
          </cell>
          <cell r="AS1176" t="str">
            <v>Ы</v>
          </cell>
          <cell r="AT1176" t="str">
            <v>Ы</v>
          </cell>
          <cell r="AU1176">
            <v>0</v>
          </cell>
          <cell r="AV1176">
            <v>0</v>
          </cell>
          <cell r="AW1176">
            <v>23</v>
          </cell>
          <cell r="AX1176">
            <v>1</v>
          </cell>
          <cell r="AY1176">
            <v>0</v>
          </cell>
          <cell r="AZ1176">
            <v>0</v>
          </cell>
          <cell r="BA1176">
            <v>0</v>
          </cell>
          <cell r="BB1176">
            <v>0</v>
          </cell>
          <cell r="BC1176">
            <v>38828</v>
          </cell>
        </row>
        <row r="1177">
          <cell r="A1177">
            <v>2006</v>
          </cell>
          <cell r="B1177">
            <v>1</v>
          </cell>
          <cell r="C1177">
            <v>232</v>
          </cell>
          <cell r="D1177">
            <v>20</v>
          </cell>
          <cell r="E1177">
            <v>792020</v>
          </cell>
          <cell r="F1177">
            <v>0</v>
          </cell>
          <cell r="G1177" t="str">
            <v>Затраты по ШПЗ (основные)</v>
          </cell>
          <cell r="H1177">
            <v>2011</v>
          </cell>
          <cell r="I1177">
            <v>7920</v>
          </cell>
          <cell r="J1177">
            <v>1528.8</v>
          </cell>
          <cell r="K1177">
            <v>1</v>
          </cell>
          <cell r="L1177">
            <v>0</v>
          </cell>
          <cell r="M1177">
            <v>0</v>
          </cell>
          <cell r="N1177">
            <v>0</v>
          </cell>
          <cell r="R1177">
            <v>0</v>
          </cell>
          <cell r="S1177">
            <v>0</v>
          </cell>
          <cell r="T1177">
            <v>0</v>
          </cell>
          <cell r="U1177">
            <v>31</v>
          </cell>
          <cell r="V1177">
            <v>0</v>
          </cell>
          <cell r="W1177">
            <v>0</v>
          </cell>
          <cell r="AA1177">
            <v>0</v>
          </cell>
          <cell r="AB1177">
            <v>0</v>
          </cell>
          <cell r="AC1177">
            <v>0</v>
          </cell>
          <cell r="AD1177">
            <v>31</v>
          </cell>
          <cell r="AE1177">
            <v>510600</v>
          </cell>
          <cell r="AF1177">
            <v>0</v>
          </cell>
          <cell r="AI1177">
            <v>2223</v>
          </cell>
          <cell r="AK1177">
            <v>0</v>
          </cell>
          <cell r="AM1177">
            <v>359</v>
          </cell>
          <cell r="AN1177">
            <v>1</v>
          </cell>
          <cell r="AO1177">
            <v>393216</v>
          </cell>
          <cell r="AQ1177">
            <v>0</v>
          </cell>
          <cell r="AR1177">
            <v>0</v>
          </cell>
          <cell r="AS1177" t="str">
            <v>Ы</v>
          </cell>
          <cell r="AT1177" t="str">
            <v>Ы</v>
          </cell>
          <cell r="AU1177">
            <v>0</v>
          </cell>
          <cell r="AV1177">
            <v>0</v>
          </cell>
          <cell r="AW1177">
            <v>23</v>
          </cell>
          <cell r="AX1177">
            <v>1</v>
          </cell>
          <cell r="AY1177">
            <v>0</v>
          </cell>
          <cell r="AZ1177">
            <v>0</v>
          </cell>
          <cell r="BA1177">
            <v>0</v>
          </cell>
          <cell r="BB1177">
            <v>0</v>
          </cell>
          <cell r="BC1177">
            <v>38828</v>
          </cell>
        </row>
        <row r="1178">
          <cell r="A1178">
            <v>2006</v>
          </cell>
          <cell r="B1178">
            <v>1</v>
          </cell>
          <cell r="C1178">
            <v>233</v>
          </cell>
          <cell r="D1178">
            <v>20</v>
          </cell>
          <cell r="E1178">
            <v>792020</v>
          </cell>
          <cell r="F1178">
            <v>0</v>
          </cell>
          <cell r="G1178" t="str">
            <v>Затраты по ШПЗ (основные)</v>
          </cell>
          <cell r="H1178">
            <v>2011</v>
          </cell>
          <cell r="I1178">
            <v>7920</v>
          </cell>
          <cell r="J1178">
            <v>16737.490000000002</v>
          </cell>
          <cell r="K1178">
            <v>1</v>
          </cell>
          <cell r="L1178">
            <v>0</v>
          </cell>
          <cell r="M1178">
            <v>0</v>
          </cell>
          <cell r="N1178">
            <v>0</v>
          </cell>
          <cell r="R1178">
            <v>0</v>
          </cell>
          <cell r="S1178">
            <v>0</v>
          </cell>
          <cell r="T1178">
            <v>0</v>
          </cell>
          <cell r="U1178">
            <v>31</v>
          </cell>
          <cell r="V1178">
            <v>0</v>
          </cell>
          <cell r="W1178">
            <v>0</v>
          </cell>
          <cell r="AA1178">
            <v>0</v>
          </cell>
          <cell r="AB1178">
            <v>0</v>
          </cell>
          <cell r="AC1178">
            <v>0</v>
          </cell>
          <cell r="AD1178">
            <v>31</v>
          </cell>
          <cell r="AE1178">
            <v>513600</v>
          </cell>
          <cell r="AF1178">
            <v>0</v>
          </cell>
          <cell r="AI1178">
            <v>2223</v>
          </cell>
          <cell r="AK1178">
            <v>0</v>
          </cell>
          <cell r="AM1178">
            <v>360</v>
          </cell>
          <cell r="AN1178">
            <v>1</v>
          </cell>
          <cell r="AO1178">
            <v>393216</v>
          </cell>
          <cell r="AQ1178">
            <v>0</v>
          </cell>
          <cell r="AR1178">
            <v>0</v>
          </cell>
          <cell r="AS1178" t="str">
            <v>Ы</v>
          </cell>
          <cell r="AT1178" t="str">
            <v>Ы</v>
          </cell>
          <cell r="AU1178">
            <v>0</v>
          </cell>
          <cell r="AV1178">
            <v>0</v>
          </cell>
          <cell r="AW1178">
            <v>23</v>
          </cell>
          <cell r="AX1178">
            <v>1</v>
          </cell>
          <cell r="AY1178">
            <v>0</v>
          </cell>
          <cell r="AZ1178">
            <v>0</v>
          </cell>
          <cell r="BA1178">
            <v>0</v>
          </cell>
          <cell r="BB1178">
            <v>0</v>
          </cell>
          <cell r="BC1178">
            <v>38828</v>
          </cell>
        </row>
        <row r="1179">
          <cell r="A1179">
            <v>2006</v>
          </cell>
          <cell r="B1179">
            <v>1</v>
          </cell>
          <cell r="C1179">
            <v>234</v>
          </cell>
          <cell r="D1179">
            <v>20</v>
          </cell>
          <cell r="E1179">
            <v>792020</v>
          </cell>
          <cell r="F1179">
            <v>0</v>
          </cell>
          <cell r="G1179" t="str">
            <v>Затраты по ШПЗ (основные)</v>
          </cell>
          <cell r="H1179">
            <v>2011</v>
          </cell>
          <cell r="I1179">
            <v>7920</v>
          </cell>
          <cell r="J1179">
            <v>3164.91</v>
          </cell>
          <cell r="K1179">
            <v>1</v>
          </cell>
          <cell r="L1179">
            <v>0</v>
          </cell>
          <cell r="M1179">
            <v>0</v>
          </cell>
          <cell r="N1179">
            <v>0</v>
          </cell>
          <cell r="R1179">
            <v>0</v>
          </cell>
          <cell r="S1179">
            <v>0</v>
          </cell>
          <cell r="T1179">
            <v>0</v>
          </cell>
          <cell r="U1179">
            <v>31</v>
          </cell>
          <cell r="V1179">
            <v>0</v>
          </cell>
          <cell r="W1179">
            <v>0</v>
          </cell>
          <cell r="AA1179">
            <v>0</v>
          </cell>
          <cell r="AB1179">
            <v>0</v>
          </cell>
          <cell r="AC1179">
            <v>0</v>
          </cell>
          <cell r="AD1179">
            <v>31</v>
          </cell>
          <cell r="AE1179">
            <v>530000</v>
          </cell>
          <cell r="AF1179">
            <v>0</v>
          </cell>
          <cell r="AI1179">
            <v>2223</v>
          </cell>
          <cell r="AK1179">
            <v>0</v>
          </cell>
          <cell r="AM1179">
            <v>361</v>
          </cell>
          <cell r="AN1179">
            <v>1</v>
          </cell>
          <cell r="AO1179">
            <v>393216</v>
          </cell>
          <cell r="AQ1179">
            <v>0</v>
          </cell>
          <cell r="AR1179">
            <v>0</v>
          </cell>
          <cell r="AS1179" t="str">
            <v>Ы</v>
          </cell>
          <cell r="AT1179" t="str">
            <v>Ы</v>
          </cell>
          <cell r="AU1179">
            <v>0</v>
          </cell>
          <cell r="AV1179">
            <v>0</v>
          </cell>
          <cell r="AW1179">
            <v>23</v>
          </cell>
          <cell r="AX1179">
            <v>1</v>
          </cell>
          <cell r="AY1179">
            <v>0</v>
          </cell>
          <cell r="AZ1179">
            <v>0</v>
          </cell>
          <cell r="BA1179">
            <v>0</v>
          </cell>
          <cell r="BB1179">
            <v>0</v>
          </cell>
          <cell r="BC1179">
            <v>38828</v>
          </cell>
        </row>
        <row r="1180">
          <cell r="A1180">
            <v>2006</v>
          </cell>
          <cell r="B1180">
            <v>1</v>
          </cell>
          <cell r="C1180">
            <v>238</v>
          </cell>
          <cell r="D1180">
            <v>20</v>
          </cell>
          <cell r="E1180">
            <v>792020</v>
          </cell>
          <cell r="F1180">
            <v>0</v>
          </cell>
          <cell r="G1180" t="str">
            <v>Затраты по ШПЗ (основные)</v>
          </cell>
          <cell r="H1180">
            <v>2011</v>
          </cell>
          <cell r="I1180">
            <v>7920</v>
          </cell>
          <cell r="J1180">
            <v>72194.25</v>
          </cell>
          <cell r="K1180">
            <v>1</v>
          </cell>
          <cell r="L1180">
            <v>0</v>
          </cell>
          <cell r="M1180">
            <v>0</v>
          </cell>
          <cell r="N1180">
            <v>0</v>
          </cell>
          <cell r="R1180">
            <v>0</v>
          </cell>
          <cell r="S1180">
            <v>0</v>
          </cell>
          <cell r="T1180">
            <v>0</v>
          </cell>
          <cell r="U1180">
            <v>33</v>
          </cell>
          <cell r="V1180">
            <v>0</v>
          </cell>
          <cell r="W1180">
            <v>0</v>
          </cell>
          <cell r="AA1180">
            <v>0</v>
          </cell>
          <cell r="AB1180">
            <v>0</v>
          </cell>
          <cell r="AC1180">
            <v>0</v>
          </cell>
          <cell r="AD1180">
            <v>33</v>
          </cell>
          <cell r="AE1180">
            <v>110000</v>
          </cell>
          <cell r="AF1180">
            <v>0</v>
          </cell>
          <cell r="AI1180">
            <v>2223</v>
          </cell>
          <cell r="AK1180">
            <v>0</v>
          </cell>
          <cell r="AM1180">
            <v>365</v>
          </cell>
          <cell r="AN1180">
            <v>1</v>
          </cell>
          <cell r="AO1180">
            <v>393216</v>
          </cell>
          <cell r="AQ1180">
            <v>0</v>
          </cell>
          <cell r="AR1180">
            <v>0</v>
          </cell>
          <cell r="AS1180" t="str">
            <v>Ы</v>
          </cell>
          <cell r="AT1180" t="str">
            <v>Ы</v>
          </cell>
          <cell r="AU1180">
            <v>0</v>
          </cell>
          <cell r="AV1180">
            <v>0</v>
          </cell>
          <cell r="AW1180">
            <v>23</v>
          </cell>
          <cell r="AX1180">
            <v>1</v>
          </cell>
          <cell r="AY1180">
            <v>0</v>
          </cell>
          <cell r="AZ1180">
            <v>0</v>
          </cell>
          <cell r="BA1180">
            <v>0</v>
          </cell>
          <cell r="BB1180">
            <v>0</v>
          </cell>
          <cell r="BC1180">
            <v>38828</v>
          </cell>
        </row>
        <row r="1181">
          <cell r="A1181">
            <v>2006</v>
          </cell>
          <cell r="B1181">
            <v>1</v>
          </cell>
          <cell r="C1181">
            <v>239</v>
          </cell>
          <cell r="D1181">
            <v>20</v>
          </cell>
          <cell r="E1181">
            <v>792020</v>
          </cell>
          <cell r="F1181">
            <v>0</v>
          </cell>
          <cell r="G1181" t="str">
            <v>Затраты по ШПЗ (основные)</v>
          </cell>
          <cell r="H1181">
            <v>2011</v>
          </cell>
          <cell r="I1181">
            <v>7920</v>
          </cell>
          <cell r="J1181">
            <v>4271.6000000000004</v>
          </cell>
          <cell r="K1181">
            <v>1</v>
          </cell>
          <cell r="L1181">
            <v>0</v>
          </cell>
          <cell r="M1181">
            <v>0</v>
          </cell>
          <cell r="N1181">
            <v>0</v>
          </cell>
          <cell r="R1181">
            <v>0</v>
          </cell>
          <cell r="S1181">
            <v>0</v>
          </cell>
          <cell r="T1181">
            <v>0</v>
          </cell>
          <cell r="U1181">
            <v>33</v>
          </cell>
          <cell r="V1181">
            <v>0</v>
          </cell>
          <cell r="W1181">
            <v>0</v>
          </cell>
          <cell r="AA1181">
            <v>0</v>
          </cell>
          <cell r="AB1181">
            <v>0</v>
          </cell>
          <cell r="AC1181">
            <v>0</v>
          </cell>
          <cell r="AD1181">
            <v>33</v>
          </cell>
          <cell r="AE1181">
            <v>114020</v>
          </cell>
          <cell r="AF1181">
            <v>0</v>
          </cell>
          <cell r="AI1181">
            <v>2223</v>
          </cell>
          <cell r="AK1181">
            <v>0</v>
          </cell>
          <cell r="AM1181">
            <v>366</v>
          </cell>
          <cell r="AN1181">
            <v>1</v>
          </cell>
          <cell r="AO1181">
            <v>393216</v>
          </cell>
          <cell r="AQ1181">
            <v>0</v>
          </cell>
          <cell r="AR1181">
            <v>0</v>
          </cell>
          <cell r="AS1181" t="str">
            <v>Ы</v>
          </cell>
          <cell r="AT1181" t="str">
            <v>Ы</v>
          </cell>
          <cell r="AU1181">
            <v>0</v>
          </cell>
          <cell r="AV1181">
            <v>0</v>
          </cell>
          <cell r="AW1181">
            <v>23</v>
          </cell>
          <cell r="AX1181">
            <v>1</v>
          </cell>
          <cell r="AY1181">
            <v>0</v>
          </cell>
          <cell r="AZ1181">
            <v>0</v>
          </cell>
          <cell r="BA1181">
            <v>0</v>
          </cell>
          <cell r="BB1181">
            <v>0</v>
          </cell>
          <cell r="BC1181">
            <v>38828</v>
          </cell>
        </row>
        <row r="1182">
          <cell r="A1182">
            <v>2006</v>
          </cell>
          <cell r="B1182">
            <v>1</v>
          </cell>
          <cell r="C1182">
            <v>240</v>
          </cell>
          <cell r="D1182">
            <v>20</v>
          </cell>
          <cell r="E1182">
            <v>792020</v>
          </cell>
          <cell r="F1182">
            <v>0</v>
          </cell>
          <cell r="G1182" t="str">
            <v>Затраты по ШПЗ (основные)</v>
          </cell>
          <cell r="H1182">
            <v>2011</v>
          </cell>
          <cell r="I1182">
            <v>7920</v>
          </cell>
          <cell r="J1182">
            <v>218951.48</v>
          </cell>
          <cell r="K1182">
            <v>1</v>
          </cell>
          <cell r="L1182">
            <v>0</v>
          </cell>
          <cell r="M1182">
            <v>0</v>
          </cell>
          <cell r="N1182">
            <v>0</v>
          </cell>
          <cell r="R1182">
            <v>0</v>
          </cell>
          <cell r="S1182">
            <v>0</v>
          </cell>
          <cell r="T1182">
            <v>0</v>
          </cell>
          <cell r="U1182">
            <v>33</v>
          </cell>
          <cell r="V1182">
            <v>0</v>
          </cell>
          <cell r="W1182">
            <v>0</v>
          </cell>
          <cell r="AA1182">
            <v>0</v>
          </cell>
          <cell r="AB1182">
            <v>0</v>
          </cell>
          <cell r="AC1182">
            <v>0</v>
          </cell>
          <cell r="AD1182">
            <v>33</v>
          </cell>
          <cell r="AE1182">
            <v>116000</v>
          </cell>
          <cell r="AF1182">
            <v>0</v>
          </cell>
          <cell r="AI1182">
            <v>2223</v>
          </cell>
          <cell r="AK1182">
            <v>0</v>
          </cell>
          <cell r="AM1182">
            <v>367</v>
          </cell>
          <cell r="AN1182">
            <v>1</v>
          </cell>
          <cell r="AO1182">
            <v>393216</v>
          </cell>
          <cell r="AQ1182">
            <v>0</v>
          </cell>
          <cell r="AR1182">
            <v>0</v>
          </cell>
          <cell r="AS1182" t="str">
            <v>Ы</v>
          </cell>
          <cell r="AT1182" t="str">
            <v>Ы</v>
          </cell>
          <cell r="AU1182">
            <v>0</v>
          </cell>
          <cell r="AV1182">
            <v>0</v>
          </cell>
          <cell r="AW1182">
            <v>23</v>
          </cell>
          <cell r="AX1182">
            <v>1</v>
          </cell>
          <cell r="AY1182">
            <v>0</v>
          </cell>
          <cell r="AZ1182">
            <v>0</v>
          </cell>
          <cell r="BA1182">
            <v>0</v>
          </cell>
          <cell r="BB1182">
            <v>0</v>
          </cell>
          <cell r="BC1182">
            <v>38828</v>
          </cell>
        </row>
        <row r="1183">
          <cell r="A1183">
            <v>2006</v>
          </cell>
          <cell r="B1183">
            <v>1</v>
          </cell>
          <cell r="C1183">
            <v>241</v>
          </cell>
          <cell r="D1183">
            <v>20</v>
          </cell>
          <cell r="E1183">
            <v>792020</v>
          </cell>
          <cell r="F1183">
            <v>0</v>
          </cell>
          <cell r="G1183" t="str">
            <v>Затраты по ШПЗ (основные)</v>
          </cell>
          <cell r="H1183">
            <v>2011</v>
          </cell>
          <cell r="I1183">
            <v>7920</v>
          </cell>
          <cell r="J1183">
            <v>3587.68</v>
          </cell>
          <cell r="K1183">
            <v>1</v>
          </cell>
          <cell r="L1183">
            <v>0</v>
          </cell>
          <cell r="M1183">
            <v>0</v>
          </cell>
          <cell r="N1183">
            <v>0</v>
          </cell>
          <cell r="R1183">
            <v>0</v>
          </cell>
          <cell r="S1183">
            <v>0</v>
          </cell>
          <cell r="T1183">
            <v>0</v>
          </cell>
          <cell r="U1183">
            <v>33</v>
          </cell>
          <cell r="V1183">
            <v>0</v>
          </cell>
          <cell r="W1183">
            <v>0</v>
          </cell>
          <cell r="AA1183">
            <v>0</v>
          </cell>
          <cell r="AB1183">
            <v>0</v>
          </cell>
          <cell r="AC1183">
            <v>0</v>
          </cell>
          <cell r="AD1183">
            <v>33</v>
          </cell>
          <cell r="AE1183">
            <v>117000</v>
          </cell>
          <cell r="AF1183">
            <v>0</v>
          </cell>
          <cell r="AI1183">
            <v>2223</v>
          </cell>
          <cell r="AK1183">
            <v>0</v>
          </cell>
          <cell r="AM1183">
            <v>368</v>
          </cell>
          <cell r="AN1183">
            <v>1</v>
          </cell>
          <cell r="AO1183">
            <v>393216</v>
          </cell>
          <cell r="AQ1183">
            <v>0</v>
          </cell>
          <cell r="AR1183">
            <v>0</v>
          </cell>
          <cell r="AS1183" t="str">
            <v>Ы</v>
          </cell>
          <cell r="AT1183" t="str">
            <v>Ы</v>
          </cell>
          <cell r="AU1183">
            <v>0</v>
          </cell>
          <cell r="AV1183">
            <v>0</v>
          </cell>
          <cell r="AW1183">
            <v>23</v>
          </cell>
          <cell r="AX1183">
            <v>1</v>
          </cell>
          <cell r="AY1183">
            <v>0</v>
          </cell>
          <cell r="AZ1183">
            <v>0</v>
          </cell>
          <cell r="BA1183">
            <v>0</v>
          </cell>
          <cell r="BB1183">
            <v>0</v>
          </cell>
          <cell r="BC1183">
            <v>38828</v>
          </cell>
        </row>
        <row r="1184">
          <cell r="A1184">
            <v>2006</v>
          </cell>
          <cell r="B1184">
            <v>1</v>
          </cell>
          <cell r="C1184">
            <v>242</v>
          </cell>
          <cell r="D1184">
            <v>20</v>
          </cell>
          <cell r="E1184">
            <v>792020</v>
          </cell>
          <cell r="F1184">
            <v>0</v>
          </cell>
          <cell r="G1184" t="str">
            <v>Затраты по ШПЗ (основные)</v>
          </cell>
          <cell r="H1184">
            <v>2011</v>
          </cell>
          <cell r="I1184">
            <v>7920</v>
          </cell>
          <cell r="J1184">
            <v>3070</v>
          </cell>
          <cell r="K1184">
            <v>1</v>
          </cell>
          <cell r="L1184">
            <v>0</v>
          </cell>
          <cell r="M1184">
            <v>0</v>
          </cell>
          <cell r="N1184">
            <v>0</v>
          </cell>
          <cell r="R1184">
            <v>0</v>
          </cell>
          <cell r="S1184">
            <v>0</v>
          </cell>
          <cell r="T1184">
            <v>0</v>
          </cell>
          <cell r="U1184">
            <v>33</v>
          </cell>
          <cell r="V1184">
            <v>0</v>
          </cell>
          <cell r="W1184">
            <v>0</v>
          </cell>
          <cell r="AA1184">
            <v>0</v>
          </cell>
          <cell r="AB1184">
            <v>0</v>
          </cell>
          <cell r="AC1184">
            <v>0</v>
          </cell>
          <cell r="AD1184">
            <v>33</v>
          </cell>
          <cell r="AE1184">
            <v>118000</v>
          </cell>
          <cell r="AF1184">
            <v>0</v>
          </cell>
          <cell r="AI1184">
            <v>2223</v>
          </cell>
          <cell r="AK1184">
            <v>0</v>
          </cell>
          <cell r="AM1184">
            <v>369</v>
          </cell>
          <cell r="AN1184">
            <v>1</v>
          </cell>
          <cell r="AO1184">
            <v>393216</v>
          </cell>
          <cell r="AQ1184">
            <v>0</v>
          </cell>
          <cell r="AR1184">
            <v>0</v>
          </cell>
          <cell r="AS1184" t="str">
            <v>Ы</v>
          </cell>
          <cell r="AT1184" t="str">
            <v>Ы</v>
          </cell>
          <cell r="AU1184">
            <v>0</v>
          </cell>
          <cell r="AV1184">
            <v>0</v>
          </cell>
          <cell r="AW1184">
            <v>23</v>
          </cell>
          <cell r="AX1184">
            <v>1</v>
          </cell>
          <cell r="AY1184">
            <v>0</v>
          </cell>
          <cell r="AZ1184">
            <v>0</v>
          </cell>
          <cell r="BA1184">
            <v>0</v>
          </cell>
          <cell r="BB1184">
            <v>0</v>
          </cell>
          <cell r="BC1184">
            <v>38828</v>
          </cell>
        </row>
        <row r="1185">
          <cell r="A1185">
            <v>2006</v>
          </cell>
          <cell r="B1185">
            <v>1</v>
          </cell>
          <cell r="C1185">
            <v>243</v>
          </cell>
          <cell r="D1185">
            <v>20</v>
          </cell>
          <cell r="E1185">
            <v>792020</v>
          </cell>
          <cell r="F1185">
            <v>0</v>
          </cell>
          <cell r="G1185" t="str">
            <v>Затраты по ШПЗ (основные)</v>
          </cell>
          <cell r="H1185">
            <v>2011</v>
          </cell>
          <cell r="I1185">
            <v>7920</v>
          </cell>
          <cell r="J1185">
            <v>7713.5</v>
          </cell>
          <cell r="K1185">
            <v>1</v>
          </cell>
          <cell r="L1185">
            <v>0</v>
          </cell>
          <cell r="M1185">
            <v>0</v>
          </cell>
          <cell r="N1185">
            <v>0</v>
          </cell>
          <cell r="R1185">
            <v>0</v>
          </cell>
          <cell r="S1185">
            <v>0</v>
          </cell>
          <cell r="T1185">
            <v>0</v>
          </cell>
          <cell r="U1185">
            <v>33</v>
          </cell>
          <cell r="V1185">
            <v>0</v>
          </cell>
          <cell r="W1185">
            <v>0</v>
          </cell>
          <cell r="AA1185">
            <v>0</v>
          </cell>
          <cell r="AB1185">
            <v>0</v>
          </cell>
          <cell r="AC1185">
            <v>0</v>
          </cell>
          <cell r="AD1185">
            <v>33</v>
          </cell>
          <cell r="AE1185">
            <v>130100</v>
          </cell>
          <cell r="AF1185">
            <v>0</v>
          </cell>
          <cell r="AI1185">
            <v>2223</v>
          </cell>
          <cell r="AK1185">
            <v>0</v>
          </cell>
          <cell r="AM1185">
            <v>370</v>
          </cell>
          <cell r="AN1185">
            <v>1</v>
          </cell>
          <cell r="AO1185">
            <v>393216</v>
          </cell>
          <cell r="AQ1185">
            <v>0</v>
          </cell>
          <cell r="AR1185">
            <v>0</v>
          </cell>
          <cell r="AS1185" t="str">
            <v>Ы</v>
          </cell>
          <cell r="AT1185" t="str">
            <v>Ы</v>
          </cell>
          <cell r="AU1185">
            <v>0</v>
          </cell>
          <cell r="AV1185">
            <v>0</v>
          </cell>
          <cell r="AW1185">
            <v>23</v>
          </cell>
          <cell r="AX1185">
            <v>1</v>
          </cell>
          <cell r="AY1185">
            <v>0</v>
          </cell>
          <cell r="AZ1185">
            <v>0</v>
          </cell>
          <cell r="BA1185">
            <v>0</v>
          </cell>
          <cell r="BB1185">
            <v>0</v>
          </cell>
          <cell r="BC1185">
            <v>38828</v>
          </cell>
        </row>
        <row r="1186">
          <cell r="A1186">
            <v>2006</v>
          </cell>
          <cell r="B1186">
            <v>1</v>
          </cell>
          <cell r="C1186">
            <v>244</v>
          </cell>
          <cell r="D1186">
            <v>20</v>
          </cell>
          <cell r="E1186">
            <v>792020</v>
          </cell>
          <cell r="F1186">
            <v>0</v>
          </cell>
          <cell r="G1186" t="str">
            <v>Затраты по ШПЗ (основные)</v>
          </cell>
          <cell r="H1186">
            <v>2011</v>
          </cell>
          <cell r="I1186">
            <v>7920</v>
          </cell>
          <cell r="J1186">
            <v>1468.16</v>
          </cell>
          <cell r="K1186">
            <v>1</v>
          </cell>
          <cell r="L1186">
            <v>0</v>
          </cell>
          <cell r="M1186">
            <v>0</v>
          </cell>
          <cell r="N1186">
            <v>0</v>
          </cell>
          <cell r="R1186">
            <v>0</v>
          </cell>
          <cell r="S1186">
            <v>0</v>
          </cell>
          <cell r="T1186">
            <v>0</v>
          </cell>
          <cell r="U1186">
            <v>33</v>
          </cell>
          <cell r="V1186">
            <v>0</v>
          </cell>
          <cell r="W1186">
            <v>0</v>
          </cell>
          <cell r="AA1186">
            <v>0</v>
          </cell>
          <cell r="AB1186">
            <v>0</v>
          </cell>
          <cell r="AC1186">
            <v>0</v>
          </cell>
          <cell r="AD1186">
            <v>33</v>
          </cell>
          <cell r="AE1186">
            <v>135000</v>
          </cell>
          <cell r="AF1186">
            <v>0</v>
          </cell>
          <cell r="AI1186">
            <v>2223</v>
          </cell>
          <cell r="AK1186">
            <v>0</v>
          </cell>
          <cell r="AM1186">
            <v>371</v>
          </cell>
          <cell r="AN1186">
            <v>1</v>
          </cell>
          <cell r="AO1186">
            <v>393216</v>
          </cell>
          <cell r="AQ1186">
            <v>0</v>
          </cell>
          <cell r="AR1186">
            <v>0</v>
          </cell>
          <cell r="AS1186" t="str">
            <v>Ы</v>
          </cell>
          <cell r="AT1186" t="str">
            <v>Ы</v>
          </cell>
          <cell r="AU1186">
            <v>0</v>
          </cell>
          <cell r="AV1186">
            <v>0</v>
          </cell>
          <cell r="AW1186">
            <v>23</v>
          </cell>
          <cell r="AX1186">
            <v>1</v>
          </cell>
          <cell r="AY1186">
            <v>0</v>
          </cell>
          <cell r="AZ1186">
            <v>0</v>
          </cell>
          <cell r="BA1186">
            <v>0</v>
          </cell>
          <cell r="BB1186">
            <v>0</v>
          </cell>
          <cell r="BC1186">
            <v>38828</v>
          </cell>
        </row>
        <row r="1187">
          <cell r="A1187">
            <v>2006</v>
          </cell>
          <cell r="B1187">
            <v>1</v>
          </cell>
          <cell r="C1187">
            <v>245</v>
          </cell>
          <cell r="D1187">
            <v>20</v>
          </cell>
          <cell r="E1187">
            <v>792020</v>
          </cell>
          <cell r="F1187">
            <v>0</v>
          </cell>
          <cell r="G1187" t="str">
            <v>Затраты по ШПЗ (основные)</v>
          </cell>
          <cell r="H1187">
            <v>2011</v>
          </cell>
          <cell r="I1187">
            <v>7920</v>
          </cell>
          <cell r="J1187">
            <v>321574.13</v>
          </cell>
          <cell r="K1187">
            <v>1</v>
          </cell>
          <cell r="L1187">
            <v>0</v>
          </cell>
          <cell r="M1187">
            <v>0</v>
          </cell>
          <cell r="N1187">
            <v>0</v>
          </cell>
          <cell r="R1187">
            <v>0</v>
          </cell>
          <cell r="S1187">
            <v>0</v>
          </cell>
          <cell r="T1187">
            <v>0</v>
          </cell>
          <cell r="U1187">
            <v>33</v>
          </cell>
          <cell r="V1187">
            <v>0</v>
          </cell>
          <cell r="W1187">
            <v>0</v>
          </cell>
          <cell r="AA1187">
            <v>0</v>
          </cell>
          <cell r="AB1187">
            <v>0</v>
          </cell>
          <cell r="AC1187">
            <v>0</v>
          </cell>
          <cell r="AD1187">
            <v>33</v>
          </cell>
          <cell r="AE1187">
            <v>143000</v>
          </cell>
          <cell r="AF1187">
            <v>0</v>
          </cell>
          <cell r="AI1187">
            <v>2223</v>
          </cell>
          <cell r="AK1187">
            <v>0</v>
          </cell>
          <cell r="AM1187">
            <v>372</v>
          </cell>
          <cell r="AN1187">
            <v>1</v>
          </cell>
          <cell r="AO1187">
            <v>393216</v>
          </cell>
          <cell r="AQ1187">
            <v>0</v>
          </cell>
          <cell r="AR1187">
            <v>0</v>
          </cell>
          <cell r="AS1187" t="str">
            <v>Ы</v>
          </cell>
          <cell r="AT1187" t="str">
            <v>Ы</v>
          </cell>
          <cell r="AU1187">
            <v>0</v>
          </cell>
          <cell r="AV1187">
            <v>0</v>
          </cell>
          <cell r="AW1187">
            <v>23</v>
          </cell>
          <cell r="AX1187">
            <v>1</v>
          </cell>
          <cell r="AY1187">
            <v>0</v>
          </cell>
          <cell r="AZ1187">
            <v>0</v>
          </cell>
          <cell r="BA1187">
            <v>0</v>
          </cell>
          <cell r="BB1187">
            <v>0</v>
          </cell>
          <cell r="BC1187">
            <v>38828</v>
          </cell>
        </row>
        <row r="1188">
          <cell r="A1188">
            <v>2006</v>
          </cell>
          <cell r="B1188">
            <v>1</v>
          </cell>
          <cell r="C1188">
            <v>246</v>
          </cell>
          <cell r="D1188">
            <v>20</v>
          </cell>
          <cell r="E1188">
            <v>792020</v>
          </cell>
          <cell r="F1188">
            <v>0</v>
          </cell>
          <cell r="G1188" t="str">
            <v>Затраты по ШПЗ (основные)</v>
          </cell>
          <cell r="H1188">
            <v>2011</v>
          </cell>
          <cell r="I1188">
            <v>7920</v>
          </cell>
          <cell r="J1188">
            <v>531779.30000000005</v>
          </cell>
          <cell r="K1188">
            <v>1</v>
          </cell>
          <cell r="L1188">
            <v>0</v>
          </cell>
          <cell r="M1188">
            <v>0</v>
          </cell>
          <cell r="N1188">
            <v>0</v>
          </cell>
          <cell r="R1188">
            <v>0</v>
          </cell>
          <cell r="S1188">
            <v>0</v>
          </cell>
          <cell r="T1188">
            <v>0</v>
          </cell>
          <cell r="U1188">
            <v>33</v>
          </cell>
          <cell r="V1188">
            <v>0</v>
          </cell>
          <cell r="W1188">
            <v>0</v>
          </cell>
          <cell r="AA1188">
            <v>0</v>
          </cell>
          <cell r="AB1188">
            <v>0</v>
          </cell>
          <cell r="AC1188">
            <v>0</v>
          </cell>
          <cell r="AD1188">
            <v>33</v>
          </cell>
          <cell r="AE1188">
            <v>151000</v>
          </cell>
          <cell r="AF1188">
            <v>0</v>
          </cell>
          <cell r="AI1188">
            <v>2223</v>
          </cell>
          <cell r="AK1188">
            <v>0</v>
          </cell>
          <cell r="AM1188">
            <v>373</v>
          </cell>
          <cell r="AN1188">
            <v>1</v>
          </cell>
          <cell r="AO1188">
            <v>393216</v>
          </cell>
          <cell r="AQ1188">
            <v>0</v>
          </cell>
          <cell r="AR1188">
            <v>0</v>
          </cell>
          <cell r="AS1188" t="str">
            <v>Ы</v>
          </cell>
          <cell r="AT1188" t="str">
            <v>Ы</v>
          </cell>
          <cell r="AU1188">
            <v>0</v>
          </cell>
          <cell r="AV1188">
            <v>0</v>
          </cell>
          <cell r="AW1188">
            <v>23</v>
          </cell>
          <cell r="AX1188">
            <v>1</v>
          </cell>
          <cell r="AY1188">
            <v>0</v>
          </cell>
          <cell r="AZ1188">
            <v>0</v>
          </cell>
          <cell r="BA1188">
            <v>0</v>
          </cell>
          <cell r="BB1188">
            <v>0</v>
          </cell>
          <cell r="BC1188">
            <v>38828</v>
          </cell>
        </row>
        <row r="1189">
          <cell r="A1189">
            <v>2006</v>
          </cell>
          <cell r="B1189">
            <v>1</v>
          </cell>
          <cell r="C1189">
            <v>247</v>
          </cell>
          <cell r="D1189">
            <v>20</v>
          </cell>
          <cell r="E1189">
            <v>792020</v>
          </cell>
          <cell r="F1189">
            <v>0</v>
          </cell>
          <cell r="G1189" t="str">
            <v>Затраты по ШПЗ (основные)</v>
          </cell>
          <cell r="H1189">
            <v>2011</v>
          </cell>
          <cell r="I1189">
            <v>7920</v>
          </cell>
          <cell r="J1189">
            <v>69278.759999999995</v>
          </cell>
          <cell r="K1189">
            <v>1</v>
          </cell>
          <cell r="L1189">
            <v>0</v>
          </cell>
          <cell r="M1189">
            <v>0</v>
          </cell>
          <cell r="N1189">
            <v>0</v>
          </cell>
          <cell r="R1189">
            <v>0</v>
          </cell>
          <cell r="S1189">
            <v>0</v>
          </cell>
          <cell r="T1189">
            <v>0</v>
          </cell>
          <cell r="U1189">
            <v>33</v>
          </cell>
          <cell r="V1189">
            <v>0</v>
          </cell>
          <cell r="W1189">
            <v>0</v>
          </cell>
          <cell r="AA1189">
            <v>0</v>
          </cell>
          <cell r="AB1189">
            <v>0</v>
          </cell>
          <cell r="AC1189">
            <v>0</v>
          </cell>
          <cell r="AD1189">
            <v>33</v>
          </cell>
          <cell r="AE1189">
            <v>152000</v>
          </cell>
          <cell r="AF1189">
            <v>0</v>
          </cell>
          <cell r="AI1189">
            <v>2223</v>
          </cell>
          <cell r="AK1189">
            <v>0</v>
          </cell>
          <cell r="AM1189">
            <v>374</v>
          </cell>
          <cell r="AN1189">
            <v>1</v>
          </cell>
          <cell r="AO1189">
            <v>393216</v>
          </cell>
          <cell r="AQ1189">
            <v>0</v>
          </cell>
          <cell r="AR1189">
            <v>0</v>
          </cell>
          <cell r="AS1189" t="str">
            <v>Ы</v>
          </cell>
          <cell r="AT1189" t="str">
            <v>Ы</v>
          </cell>
          <cell r="AU1189">
            <v>0</v>
          </cell>
          <cell r="AV1189">
            <v>0</v>
          </cell>
          <cell r="AW1189">
            <v>23</v>
          </cell>
          <cell r="AX1189">
            <v>1</v>
          </cell>
          <cell r="AY1189">
            <v>0</v>
          </cell>
          <cell r="AZ1189">
            <v>0</v>
          </cell>
          <cell r="BA1189">
            <v>0</v>
          </cell>
          <cell r="BB1189">
            <v>0</v>
          </cell>
          <cell r="BC1189">
            <v>38828</v>
          </cell>
        </row>
        <row r="1190">
          <cell r="A1190">
            <v>2006</v>
          </cell>
          <cell r="B1190">
            <v>1</v>
          </cell>
          <cell r="C1190">
            <v>248</v>
          </cell>
          <cell r="D1190">
            <v>20</v>
          </cell>
          <cell r="E1190">
            <v>792020</v>
          </cell>
          <cell r="F1190">
            <v>0</v>
          </cell>
          <cell r="G1190" t="str">
            <v>Затраты по ШПЗ (основные)</v>
          </cell>
          <cell r="H1190">
            <v>2011</v>
          </cell>
          <cell r="I1190">
            <v>7920</v>
          </cell>
          <cell r="J1190">
            <v>1981819.99</v>
          </cell>
          <cell r="K1190">
            <v>1</v>
          </cell>
          <cell r="L1190">
            <v>0</v>
          </cell>
          <cell r="M1190">
            <v>0</v>
          </cell>
          <cell r="N1190">
            <v>0</v>
          </cell>
          <cell r="R1190">
            <v>0</v>
          </cell>
          <cell r="S1190">
            <v>0</v>
          </cell>
          <cell r="T1190">
            <v>0</v>
          </cell>
          <cell r="U1190">
            <v>33</v>
          </cell>
          <cell r="V1190">
            <v>0</v>
          </cell>
          <cell r="W1190">
            <v>0</v>
          </cell>
          <cell r="AA1190">
            <v>0</v>
          </cell>
          <cell r="AB1190">
            <v>0</v>
          </cell>
          <cell r="AC1190">
            <v>0</v>
          </cell>
          <cell r="AD1190">
            <v>33</v>
          </cell>
          <cell r="AE1190">
            <v>220000</v>
          </cell>
          <cell r="AF1190">
            <v>0</v>
          </cell>
          <cell r="AI1190">
            <v>2223</v>
          </cell>
          <cell r="AK1190">
            <v>0</v>
          </cell>
          <cell r="AM1190">
            <v>375</v>
          </cell>
          <cell r="AN1190">
            <v>1</v>
          </cell>
          <cell r="AO1190">
            <v>393216</v>
          </cell>
          <cell r="AQ1190">
            <v>0</v>
          </cell>
          <cell r="AR1190">
            <v>0</v>
          </cell>
          <cell r="AS1190" t="str">
            <v>Ы</v>
          </cell>
          <cell r="AT1190" t="str">
            <v>Ы</v>
          </cell>
          <cell r="AU1190">
            <v>0</v>
          </cell>
          <cell r="AV1190">
            <v>0</v>
          </cell>
          <cell r="AW1190">
            <v>23</v>
          </cell>
          <cell r="AX1190">
            <v>1</v>
          </cell>
          <cell r="AY1190">
            <v>0</v>
          </cell>
          <cell r="AZ1190">
            <v>0</v>
          </cell>
          <cell r="BA1190">
            <v>0</v>
          </cell>
          <cell r="BB1190">
            <v>0</v>
          </cell>
          <cell r="BC1190">
            <v>38828</v>
          </cell>
        </row>
        <row r="1191">
          <cell r="A1191">
            <v>2006</v>
          </cell>
          <cell r="B1191">
            <v>1</v>
          </cell>
          <cell r="C1191">
            <v>249</v>
          </cell>
          <cell r="D1191">
            <v>20</v>
          </cell>
          <cell r="E1191">
            <v>792020</v>
          </cell>
          <cell r="F1191">
            <v>0</v>
          </cell>
          <cell r="G1191" t="str">
            <v>Затраты по ШПЗ (основные)</v>
          </cell>
          <cell r="H1191">
            <v>2011</v>
          </cell>
          <cell r="I1191">
            <v>7920</v>
          </cell>
          <cell r="J1191">
            <v>1005013.8</v>
          </cell>
          <cell r="K1191">
            <v>1</v>
          </cell>
          <cell r="L1191">
            <v>0</v>
          </cell>
          <cell r="M1191">
            <v>0</v>
          </cell>
          <cell r="N1191">
            <v>0</v>
          </cell>
          <cell r="R1191">
            <v>0</v>
          </cell>
          <cell r="S1191">
            <v>0</v>
          </cell>
          <cell r="T1191">
            <v>0</v>
          </cell>
          <cell r="U1191">
            <v>33</v>
          </cell>
          <cell r="V1191">
            <v>0</v>
          </cell>
          <cell r="W1191">
            <v>0</v>
          </cell>
          <cell r="AA1191">
            <v>0</v>
          </cell>
          <cell r="AB1191">
            <v>0</v>
          </cell>
          <cell r="AC1191">
            <v>0</v>
          </cell>
          <cell r="AD1191">
            <v>33</v>
          </cell>
          <cell r="AE1191">
            <v>230000</v>
          </cell>
          <cell r="AF1191">
            <v>0</v>
          </cell>
          <cell r="AI1191">
            <v>2223</v>
          </cell>
          <cell r="AK1191">
            <v>0</v>
          </cell>
          <cell r="AM1191">
            <v>376</v>
          </cell>
          <cell r="AN1191">
            <v>1</v>
          </cell>
          <cell r="AO1191">
            <v>393216</v>
          </cell>
          <cell r="AQ1191">
            <v>0</v>
          </cell>
          <cell r="AR1191">
            <v>0</v>
          </cell>
          <cell r="AS1191" t="str">
            <v>Ы</v>
          </cell>
          <cell r="AT1191" t="str">
            <v>Ы</v>
          </cell>
          <cell r="AU1191">
            <v>0</v>
          </cell>
          <cell r="AV1191">
            <v>0</v>
          </cell>
          <cell r="AW1191">
            <v>23</v>
          </cell>
          <cell r="AX1191">
            <v>1</v>
          </cell>
          <cell r="AY1191">
            <v>0</v>
          </cell>
          <cell r="AZ1191">
            <v>0</v>
          </cell>
          <cell r="BA1191">
            <v>0</v>
          </cell>
          <cell r="BB1191">
            <v>0</v>
          </cell>
          <cell r="BC1191">
            <v>38828</v>
          </cell>
        </row>
        <row r="1192">
          <cell r="A1192">
            <v>2006</v>
          </cell>
          <cell r="B1192">
            <v>1</v>
          </cell>
          <cell r="C1192">
            <v>250</v>
          </cell>
          <cell r="D1192">
            <v>20</v>
          </cell>
          <cell r="E1192">
            <v>792020</v>
          </cell>
          <cell r="F1192">
            <v>0</v>
          </cell>
          <cell r="G1192" t="str">
            <v>Затраты по ШПЗ (основные)</v>
          </cell>
          <cell r="H1192">
            <v>2011</v>
          </cell>
          <cell r="I1192">
            <v>7920</v>
          </cell>
          <cell r="J1192">
            <v>90025.13</v>
          </cell>
          <cell r="K1192">
            <v>1</v>
          </cell>
          <cell r="L1192">
            <v>0</v>
          </cell>
          <cell r="M1192">
            <v>0</v>
          </cell>
          <cell r="N1192">
            <v>0</v>
          </cell>
          <cell r="R1192">
            <v>0</v>
          </cell>
          <cell r="S1192">
            <v>0</v>
          </cell>
          <cell r="T1192">
            <v>0</v>
          </cell>
          <cell r="U1192">
            <v>33</v>
          </cell>
          <cell r="V1192">
            <v>0</v>
          </cell>
          <cell r="W1192">
            <v>0</v>
          </cell>
          <cell r="AA1192">
            <v>0</v>
          </cell>
          <cell r="AB1192">
            <v>0</v>
          </cell>
          <cell r="AC1192">
            <v>0</v>
          </cell>
          <cell r="AD1192">
            <v>33</v>
          </cell>
          <cell r="AE1192">
            <v>260000</v>
          </cell>
          <cell r="AF1192">
            <v>0</v>
          </cell>
          <cell r="AI1192">
            <v>2223</v>
          </cell>
          <cell r="AK1192">
            <v>0</v>
          </cell>
          <cell r="AM1192">
            <v>377</v>
          </cell>
          <cell r="AN1192">
            <v>1</v>
          </cell>
          <cell r="AO1192">
            <v>393216</v>
          </cell>
          <cell r="AQ1192">
            <v>0</v>
          </cell>
          <cell r="AR1192">
            <v>0</v>
          </cell>
          <cell r="AS1192" t="str">
            <v>Ы</v>
          </cell>
          <cell r="AT1192" t="str">
            <v>Ы</v>
          </cell>
          <cell r="AU1192">
            <v>0</v>
          </cell>
          <cell r="AV1192">
            <v>0</v>
          </cell>
          <cell r="AW1192">
            <v>23</v>
          </cell>
          <cell r="AX1192">
            <v>1</v>
          </cell>
          <cell r="AY1192">
            <v>0</v>
          </cell>
          <cell r="AZ1192">
            <v>0</v>
          </cell>
          <cell r="BA1192">
            <v>0</v>
          </cell>
          <cell r="BB1192">
            <v>0</v>
          </cell>
          <cell r="BC1192">
            <v>38828</v>
          </cell>
        </row>
        <row r="1193">
          <cell r="A1193">
            <v>2006</v>
          </cell>
          <cell r="B1193">
            <v>1</v>
          </cell>
          <cell r="C1193">
            <v>251</v>
          </cell>
          <cell r="D1193">
            <v>20</v>
          </cell>
          <cell r="E1193">
            <v>792020</v>
          </cell>
          <cell r="F1193">
            <v>0</v>
          </cell>
          <cell r="G1193" t="str">
            <v>Затраты по ШПЗ (основные)</v>
          </cell>
          <cell r="H1193">
            <v>2011</v>
          </cell>
          <cell r="I1193">
            <v>7920</v>
          </cell>
          <cell r="J1193">
            <v>242109.14</v>
          </cell>
          <cell r="K1193">
            <v>1</v>
          </cell>
          <cell r="L1193">
            <v>0</v>
          </cell>
          <cell r="M1193">
            <v>0</v>
          </cell>
          <cell r="N1193">
            <v>0</v>
          </cell>
          <cell r="R1193">
            <v>0</v>
          </cell>
          <cell r="S1193">
            <v>0</v>
          </cell>
          <cell r="T1193">
            <v>0</v>
          </cell>
          <cell r="U1193">
            <v>33</v>
          </cell>
          <cell r="V1193">
            <v>0</v>
          </cell>
          <cell r="W1193">
            <v>0</v>
          </cell>
          <cell r="AA1193">
            <v>0</v>
          </cell>
          <cell r="AB1193">
            <v>0</v>
          </cell>
          <cell r="AC1193">
            <v>0</v>
          </cell>
          <cell r="AD1193">
            <v>33</v>
          </cell>
          <cell r="AE1193">
            <v>270000</v>
          </cell>
          <cell r="AF1193">
            <v>0</v>
          </cell>
          <cell r="AI1193">
            <v>2223</v>
          </cell>
          <cell r="AK1193">
            <v>0</v>
          </cell>
          <cell r="AM1193">
            <v>378</v>
          </cell>
          <cell r="AN1193">
            <v>1</v>
          </cell>
          <cell r="AO1193">
            <v>393216</v>
          </cell>
          <cell r="AQ1193">
            <v>0</v>
          </cell>
          <cell r="AR1193">
            <v>0</v>
          </cell>
          <cell r="AS1193" t="str">
            <v>Ы</v>
          </cell>
          <cell r="AT1193" t="str">
            <v>Ы</v>
          </cell>
          <cell r="AU1193">
            <v>0</v>
          </cell>
          <cell r="AV1193">
            <v>0</v>
          </cell>
          <cell r="AW1193">
            <v>23</v>
          </cell>
          <cell r="AX1193">
            <v>1</v>
          </cell>
          <cell r="AY1193">
            <v>0</v>
          </cell>
          <cell r="AZ1193">
            <v>0</v>
          </cell>
          <cell r="BA1193">
            <v>0</v>
          </cell>
          <cell r="BB1193">
            <v>0</v>
          </cell>
          <cell r="BC1193">
            <v>38828</v>
          </cell>
        </row>
        <row r="1194">
          <cell r="A1194">
            <v>2006</v>
          </cell>
          <cell r="B1194">
            <v>1</v>
          </cell>
          <cell r="C1194">
            <v>252</v>
          </cell>
          <cell r="D1194">
            <v>20</v>
          </cell>
          <cell r="E1194">
            <v>792020</v>
          </cell>
          <cell r="F1194">
            <v>0</v>
          </cell>
          <cell r="G1194" t="str">
            <v>Затраты по ШПЗ (основные)</v>
          </cell>
          <cell r="H1194">
            <v>2011</v>
          </cell>
          <cell r="I1194">
            <v>7920</v>
          </cell>
          <cell r="J1194">
            <v>10766.51</v>
          </cell>
          <cell r="K1194">
            <v>1</v>
          </cell>
          <cell r="L1194">
            <v>0</v>
          </cell>
          <cell r="M1194">
            <v>0</v>
          </cell>
          <cell r="N1194">
            <v>0</v>
          </cell>
          <cell r="R1194">
            <v>0</v>
          </cell>
          <cell r="S1194">
            <v>0</v>
          </cell>
          <cell r="T1194">
            <v>0</v>
          </cell>
          <cell r="U1194">
            <v>33</v>
          </cell>
          <cell r="V1194">
            <v>0</v>
          </cell>
          <cell r="W1194">
            <v>0</v>
          </cell>
          <cell r="AA1194">
            <v>0</v>
          </cell>
          <cell r="AB1194">
            <v>0</v>
          </cell>
          <cell r="AC1194">
            <v>0</v>
          </cell>
          <cell r="AD1194">
            <v>33</v>
          </cell>
          <cell r="AE1194">
            <v>280000</v>
          </cell>
          <cell r="AF1194">
            <v>0</v>
          </cell>
          <cell r="AI1194">
            <v>2223</v>
          </cell>
          <cell r="AK1194">
            <v>0</v>
          </cell>
          <cell r="AM1194">
            <v>379</v>
          </cell>
          <cell r="AN1194">
            <v>1</v>
          </cell>
          <cell r="AO1194">
            <v>393216</v>
          </cell>
          <cell r="AQ1194">
            <v>0</v>
          </cell>
          <cell r="AR1194">
            <v>0</v>
          </cell>
          <cell r="AS1194" t="str">
            <v>Ы</v>
          </cell>
          <cell r="AT1194" t="str">
            <v>Ы</v>
          </cell>
          <cell r="AU1194">
            <v>0</v>
          </cell>
          <cell r="AV1194">
            <v>0</v>
          </cell>
          <cell r="AW1194">
            <v>23</v>
          </cell>
          <cell r="AX1194">
            <v>1</v>
          </cell>
          <cell r="AY1194">
            <v>0</v>
          </cell>
          <cell r="AZ1194">
            <v>0</v>
          </cell>
          <cell r="BA1194">
            <v>0</v>
          </cell>
          <cell r="BB1194">
            <v>0</v>
          </cell>
          <cell r="BC1194">
            <v>38828</v>
          </cell>
        </row>
        <row r="1195">
          <cell r="A1195">
            <v>2006</v>
          </cell>
          <cell r="B1195">
            <v>1</v>
          </cell>
          <cell r="C1195">
            <v>253</v>
          </cell>
          <cell r="D1195">
            <v>20</v>
          </cell>
          <cell r="E1195">
            <v>792020</v>
          </cell>
          <cell r="F1195">
            <v>0</v>
          </cell>
          <cell r="G1195" t="str">
            <v>Затраты по ШПЗ (основные)</v>
          </cell>
          <cell r="H1195">
            <v>2011</v>
          </cell>
          <cell r="I1195">
            <v>7920</v>
          </cell>
          <cell r="J1195">
            <v>83466.44</v>
          </cell>
          <cell r="K1195">
            <v>1</v>
          </cell>
          <cell r="L1195">
            <v>0</v>
          </cell>
          <cell r="M1195">
            <v>0</v>
          </cell>
          <cell r="N1195">
            <v>0</v>
          </cell>
          <cell r="R1195">
            <v>0</v>
          </cell>
          <cell r="S1195">
            <v>0</v>
          </cell>
          <cell r="T1195">
            <v>0</v>
          </cell>
          <cell r="U1195">
            <v>33</v>
          </cell>
          <cell r="V1195">
            <v>0</v>
          </cell>
          <cell r="W1195">
            <v>0</v>
          </cell>
          <cell r="AA1195">
            <v>0</v>
          </cell>
          <cell r="AB1195">
            <v>0</v>
          </cell>
          <cell r="AC1195">
            <v>0</v>
          </cell>
          <cell r="AD1195">
            <v>33</v>
          </cell>
          <cell r="AE1195">
            <v>280100</v>
          </cell>
          <cell r="AF1195">
            <v>0</v>
          </cell>
          <cell r="AI1195">
            <v>2223</v>
          </cell>
          <cell r="AK1195">
            <v>0</v>
          </cell>
          <cell r="AM1195">
            <v>380</v>
          </cell>
          <cell r="AN1195">
            <v>1</v>
          </cell>
          <cell r="AO1195">
            <v>393216</v>
          </cell>
          <cell r="AQ1195">
            <v>0</v>
          </cell>
          <cell r="AR1195">
            <v>0</v>
          </cell>
          <cell r="AS1195" t="str">
            <v>Ы</v>
          </cell>
          <cell r="AT1195" t="str">
            <v>Ы</v>
          </cell>
          <cell r="AU1195">
            <v>0</v>
          </cell>
          <cell r="AV1195">
            <v>0</v>
          </cell>
          <cell r="AW1195">
            <v>23</v>
          </cell>
          <cell r="AX1195">
            <v>1</v>
          </cell>
          <cell r="AY1195">
            <v>0</v>
          </cell>
          <cell r="AZ1195">
            <v>0</v>
          </cell>
          <cell r="BA1195">
            <v>0</v>
          </cell>
          <cell r="BB1195">
            <v>0</v>
          </cell>
          <cell r="BC1195">
            <v>38828</v>
          </cell>
        </row>
        <row r="1196">
          <cell r="A1196">
            <v>2006</v>
          </cell>
          <cell r="B1196">
            <v>1</v>
          </cell>
          <cell r="C1196">
            <v>254</v>
          </cell>
          <cell r="D1196">
            <v>20</v>
          </cell>
          <cell r="E1196">
            <v>792020</v>
          </cell>
          <cell r="F1196">
            <v>0</v>
          </cell>
          <cell r="G1196" t="str">
            <v>Затраты по ШПЗ (основные)</v>
          </cell>
          <cell r="H1196">
            <v>2011</v>
          </cell>
          <cell r="I1196">
            <v>7920</v>
          </cell>
          <cell r="J1196">
            <v>52909.06</v>
          </cell>
          <cell r="K1196">
            <v>1</v>
          </cell>
          <cell r="L1196">
            <v>0</v>
          </cell>
          <cell r="M1196">
            <v>0</v>
          </cell>
          <cell r="N1196">
            <v>0</v>
          </cell>
          <cell r="R1196">
            <v>0</v>
          </cell>
          <cell r="S1196">
            <v>0</v>
          </cell>
          <cell r="T1196">
            <v>0</v>
          </cell>
          <cell r="U1196">
            <v>33</v>
          </cell>
          <cell r="V1196">
            <v>0</v>
          </cell>
          <cell r="W1196">
            <v>0</v>
          </cell>
          <cell r="AA1196">
            <v>0</v>
          </cell>
          <cell r="AB1196">
            <v>0</v>
          </cell>
          <cell r="AC1196">
            <v>0</v>
          </cell>
          <cell r="AD1196">
            <v>33</v>
          </cell>
          <cell r="AE1196">
            <v>280200</v>
          </cell>
          <cell r="AF1196">
            <v>0</v>
          </cell>
          <cell r="AI1196">
            <v>2223</v>
          </cell>
          <cell r="AK1196">
            <v>0</v>
          </cell>
          <cell r="AM1196">
            <v>381</v>
          </cell>
          <cell r="AN1196">
            <v>1</v>
          </cell>
          <cell r="AO1196">
            <v>393216</v>
          </cell>
          <cell r="AQ1196">
            <v>0</v>
          </cell>
          <cell r="AR1196">
            <v>0</v>
          </cell>
          <cell r="AS1196" t="str">
            <v>Ы</v>
          </cell>
          <cell r="AT1196" t="str">
            <v>Ы</v>
          </cell>
          <cell r="AU1196">
            <v>0</v>
          </cell>
          <cell r="AV1196">
            <v>0</v>
          </cell>
          <cell r="AW1196">
            <v>23</v>
          </cell>
          <cell r="AX1196">
            <v>1</v>
          </cell>
          <cell r="AY1196">
            <v>0</v>
          </cell>
          <cell r="AZ1196">
            <v>0</v>
          </cell>
          <cell r="BA1196">
            <v>0</v>
          </cell>
          <cell r="BB1196">
            <v>0</v>
          </cell>
          <cell r="BC1196">
            <v>38828</v>
          </cell>
        </row>
        <row r="1197">
          <cell r="A1197">
            <v>2006</v>
          </cell>
          <cell r="B1197">
            <v>1</v>
          </cell>
          <cell r="C1197">
            <v>255</v>
          </cell>
          <cell r="D1197">
            <v>20</v>
          </cell>
          <cell r="E1197">
            <v>792020</v>
          </cell>
          <cell r="F1197">
            <v>0</v>
          </cell>
          <cell r="G1197" t="str">
            <v>Затраты по ШПЗ (основные)</v>
          </cell>
          <cell r="H1197">
            <v>2011</v>
          </cell>
          <cell r="I1197">
            <v>7920</v>
          </cell>
          <cell r="J1197">
            <v>10586.1</v>
          </cell>
          <cell r="K1197">
            <v>1</v>
          </cell>
          <cell r="L1197">
            <v>0</v>
          </cell>
          <cell r="M1197">
            <v>0</v>
          </cell>
          <cell r="N1197">
            <v>0</v>
          </cell>
          <cell r="R1197">
            <v>0</v>
          </cell>
          <cell r="S1197">
            <v>0</v>
          </cell>
          <cell r="T1197">
            <v>0</v>
          </cell>
          <cell r="U1197">
            <v>33</v>
          </cell>
          <cell r="V1197">
            <v>0</v>
          </cell>
          <cell r="W1197">
            <v>0</v>
          </cell>
          <cell r="AA1197">
            <v>0</v>
          </cell>
          <cell r="AB1197">
            <v>0</v>
          </cell>
          <cell r="AC1197">
            <v>0</v>
          </cell>
          <cell r="AD1197">
            <v>33</v>
          </cell>
          <cell r="AE1197">
            <v>280300</v>
          </cell>
          <cell r="AF1197">
            <v>0</v>
          </cell>
          <cell r="AI1197">
            <v>2223</v>
          </cell>
          <cell r="AK1197">
            <v>0</v>
          </cell>
          <cell r="AM1197">
            <v>382</v>
          </cell>
          <cell r="AN1197">
            <v>1</v>
          </cell>
          <cell r="AO1197">
            <v>393216</v>
          </cell>
          <cell r="AQ1197">
            <v>0</v>
          </cell>
          <cell r="AR1197">
            <v>0</v>
          </cell>
          <cell r="AS1197" t="str">
            <v>Ы</v>
          </cell>
          <cell r="AT1197" t="str">
            <v>Ы</v>
          </cell>
          <cell r="AU1197">
            <v>0</v>
          </cell>
          <cell r="AV1197">
            <v>0</v>
          </cell>
          <cell r="AW1197">
            <v>23</v>
          </cell>
          <cell r="AX1197">
            <v>1</v>
          </cell>
          <cell r="AY1197">
            <v>0</v>
          </cell>
          <cell r="AZ1197">
            <v>0</v>
          </cell>
          <cell r="BA1197">
            <v>0</v>
          </cell>
          <cell r="BB1197">
            <v>0</v>
          </cell>
          <cell r="BC1197">
            <v>38828</v>
          </cell>
        </row>
        <row r="1198">
          <cell r="A1198">
            <v>2006</v>
          </cell>
          <cell r="B1198">
            <v>1</v>
          </cell>
          <cell r="C1198">
            <v>256</v>
          </cell>
          <cell r="D1198">
            <v>20</v>
          </cell>
          <cell r="E1198">
            <v>792020</v>
          </cell>
          <cell r="F1198">
            <v>0</v>
          </cell>
          <cell r="G1198" t="str">
            <v>Затраты по ШПЗ (основные)</v>
          </cell>
          <cell r="H1198">
            <v>2011</v>
          </cell>
          <cell r="I1198">
            <v>7920</v>
          </cell>
          <cell r="J1198">
            <v>168216.55</v>
          </cell>
          <cell r="K1198">
            <v>1</v>
          </cell>
          <cell r="L1198">
            <v>0</v>
          </cell>
          <cell r="M1198">
            <v>0</v>
          </cell>
          <cell r="N1198">
            <v>0</v>
          </cell>
          <cell r="R1198">
            <v>0</v>
          </cell>
          <cell r="S1198">
            <v>0</v>
          </cell>
          <cell r="T1198">
            <v>0</v>
          </cell>
          <cell r="U1198">
            <v>33</v>
          </cell>
          <cell r="V1198">
            <v>0</v>
          </cell>
          <cell r="W1198">
            <v>0</v>
          </cell>
          <cell r="AA1198">
            <v>0</v>
          </cell>
          <cell r="AB1198">
            <v>0</v>
          </cell>
          <cell r="AC1198">
            <v>0</v>
          </cell>
          <cell r="AD1198">
            <v>33</v>
          </cell>
          <cell r="AE1198">
            <v>280400</v>
          </cell>
          <cell r="AF1198">
            <v>0</v>
          </cell>
          <cell r="AI1198">
            <v>2223</v>
          </cell>
          <cell r="AK1198">
            <v>0</v>
          </cell>
          <cell r="AM1198">
            <v>383</v>
          </cell>
          <cell r="AN1198">
            <v>1</v>
          </cell>
          <cell r="AO1198">
            <v>393216</v>
          </cell>
          <cell r="AQ1198">
            <v>0</v>
          </cell>
          <cell r="AR1198">
            <v>0</v>
          </cell>
          <cell r="AS1198" t="str">
            <v>Ы</v>
          </cell>
          <cell r="AT1198" t="str">
            <v>Ы</v>
          </cell>
          <cell r="AU1198">
            <v>0</v>
          </cell>
          <cell r="AV1198">
            <v>0</v>
          </cell>
          <cell r="AW1198">
            <v>23</v>
          </cell>
          <cell r="AX1198">
            <v>1</v>
          </cell>
          <cell r="AY1198">
            <v>0</v>
          </cell>
          <cell r="AZ1198">
            <v>0</v>
          </cell>
          <cell r="BA1198">
            <v>0</v>
          </cell>
          <cell r="BB1198">
            <v>0</v>
          </cell>
          <cell r="BC1198">
            <v>38828</v>
          </cell>
        </row>
        <row r="1199">
          <cell r="A1199">
            <v>2006</v>
          </cell>
          <cell r="B1199">
            <v>1</v>
          </cell>
          <cell r="C1199">
            <v>257</v>
          </cell>
          <cell r="D1199">
            <v>20</v>
          </cell>
          <cell r="E1199">
            <v>792020</v>
          </cell>
          <cell r="F1199">
            <v>0</v>
          </cell>
          <cell r="G1199" t="str">
            <v>Затраты по ШПЗ (основные)</v>
          </cell>
          <cell r="H1199">
            <v>2011</v>
          </cell>
          <cell r="I1199">
            <v>7920</v>
          </cell>
          <cell r="J1199">
            <v>37371</v>
          </cell>
          <cell r="K1199">
            <v>1</v>
          </cell>
          <cell r="L1199">
            <v>0</v>
          </cell>
          <cell r="M1199">
            <v>0</v>
          </cell>
          <cell r="N1199">
            <v>0</v>
          </cell>
          <cell r="R1199">
            <v>0</v>
          </cell>
          <cell r="S1199">
            <v>0</v>
          </cell>
          <cell r="T1199">
            <v>0</v>
          </cell>
          <cell r="U1199">
            <v>33</v>
          </cell>
          <cell r="V1199">
            <v>0</v>
          </cell>
          <cell r="W1199">
            <v>0</v>
          </cell>
          <cell r="AA1199">
            <v>0</v>
          </cell>
          <cell r="AB1199">
            <v>0</v>
          </cell>
          <cell r="AC1199">
            <v>0</v>
          </cell>
          <cell r="AD1199">
            <v>33</v>
          </cell>
          <cell r="AE1199">
            <v>282200</v>
          </cell>
          <cell r="AF1199">
            <v>0</v>
          </cell>
          <cell r="AI1199">
            <v>2223</v>
          </cell>
          <cell r="AK1199">
            <v>0</v>
          </cell>
          <cell r="AM1199">
            <v>384</v>
          </cell>
          <cell r="AN1199">
            <v>1</v>
          </cell>
          <cell r="AO1199">
            <v>393216</v>
          </cell>
          <cell r="AQ1199">
            <v>0</v>
          </cell>
          <cell r="AR1199">
            <v>0</v>
          </cell>
          <cell r="AS1199" t="str">
            <v>Ы</v>
          </cell>
          <cell r="AT1199" t="str">
            <v>Ы</v>
          </cell>
          <cell r="AU1199">
            <v>0</v>
          </cell>
          <cell r="AV1199">
            <v>0</v>
          </cell>
          <cell r="AW1199">
            <v>23</v>
          </cell>
          <cell r="AX1199">
            <v>1</v>
          </cell>
          <cell r="AY1199">
            <v>0</v>
          </cell>
          <cell r="AZ1199">
            <v>0</v>
          </cell>
          <cell r="BA1199">
            <v>0</v>
          </cell>
          <cell r="BB1199">
            <v>0</v>
          </cell>
          <cell r="BC1199">
            <v>38828</v>
          </cell>
        </row>
        <row r="1200">
          <cell r="A1200">
            <v>2006</v>
          </cell>
          <cell r="B1200">
            <v>1</v>
          </cell>
          <cell r="C1200">
            <v>258</v>
          </cell>
          <cell r="D1200">
            <v>20</v>
          </cell>
          <cell r="E1200">
            <v>792020</v>
          </cell>
          <cell r="F1200">
            <v>0</v>
          </cell>
          <cell r="G1200" t="str">
            <v>Затраты по ШПЗ (основные)</v>
          </cell>
          <cell r="H1200">
            <v>2011</v>
          </cell>
          <cell r="I1200">
            <v>7920</v>
          </cell>
          <cell r="J1200">
            <v>79870</v>
          </cell>
          <cell r="K1200">
            <v>1</v>
          </cell>
          <cell r="L1200">
            <v>0</v>
          </cell>
          <cell r="M1200">
            <v>0</v>
          </cell>
          <cell r="N1200">
            <v>0</v>
          </cell>
          <cell r="R1200">
            <v>0</v>
          </cell>
          <cell r="S1200">
            <v>0</v>
          </cell>
          <cell r="T1200">
            <v>0</v>
          </cell>
          <cell r="U1200">
            <v>33</v>
          </cell>
          <cell r="V1200">
            <v>0</v>
          </cell>
          <cell r="W1200">
            <v>0</v>
          </cell>
          <cell r="AA1200">
            <v>0</v>
          </cell>
          <cell r="AB1200">
            <v>0</v>
          </cell>
          <cell r="AC1200">
            <v>0</v>
          </cell>
          <cell r="AD1200">
            <v>33</v>
          </cell>
          <cell r="AE1200">
            <v>283000</v>
          </cell>
          <cell r="AF1200">
            <v>0</v>
          </cell>
          <cell r="AI1200">
            <v>2223</v>
          </cell>
          <cell r="AK1200">
            <v>0</v>
          </cell>
          <cell r="AM1200">
            <v>385</v>
          </cell>
          <cell r="AN1200">
            <v>1</v>
          </cell>
          <cell r="AO1200">
            <v>393216</v>
          </cell>
          <cell r="AQ1200">
            <v>0</v>
          </cell>
          <cell r="AR1200">
            <v>0</v>
          </cell>
          <cell r="AS1200" t="str">
            <v>Ы</v>
          </cell>
          <cell r="AT1200" t="str">
            <v>Ы</v>
          </cell>
          <cell r="AU1200">
            <v>0</v>
          </cell>
          <cell r="AV1200">
            <v>0</v>
          </cell>
          <cell r="AW1200">
            <v>23</v>
          </cell>
          <cell r="AX1200">
            <v>1</v>
          </cell>
          <cell r="AY1200">
            <v>0</v>
          </cell>
          <cell r="AZ1200">
            <v>0</v>
          </cell>
          <cell r="BA1200">
            <v>0</v>
          </cell>
          <cell r="BB1200">
            <v>0</v>
          </cell>
          <cell r="BC1200">
            <v>38828</v>
          </cell>
        </row>
        <row r="1201">
          <cell r="A1201">
            <v>2006</v>
          </cell>
          <cell r="B1201">
            <v>1</v>
          </cell>
          <cell r="C1201">
            <v>259</v>
          </cell>
          <cell r="D1201">
            <v>20</v>
          </cell>
          <cell r="E1201">
            <v>792020</v>
          </cell>
          <cell r="F1201">
            <v>0</v>
          </cell>
          <cell r="G1201" t="str">
            <v>Затраты по ШПЗ (основные)</v>
          </cell>
          <cell r="H1201">
            <v>2011</v>
          </cell>
          <cell r="I1201">
            <v>7920</v>
          </cell>
          <cell r="J1201">
            <v>4966.22</v>
          </cell>
          <cell r="K1201">
            <v>1</v>
          </cell>
          <cell r="L1201">
            <v>0</v>
          </cell>
          <cell r="M1201">
            <v>0</v>
          </cell>
          <cell r="N1201">
            <v>0</v>
          </cell>
          <cell r="R1201">
            <v>0</v>
          </cell>
          <cell r="S1201">
            <v>0</v>
          </cell>
          <cell r="T1201">
            <v>0</v>
          </cell>
          <cell r="U1201">
            <v>33</v>
          </cell>
          <cell r="V1201">
            <v>0</v>
          </cell>
          <cell r="W1201">
            <v>0</v>
          </cell>
          <cell r="AA1201">
            <v>0</v>
          </cell>
          <cell r="AB1201">
            <v>0</v>
          </cell>
          <cell r="AC1201">
            <v>0</v>
          </cell>
          <cell r="AD1201">
            <v>33</v>
          </cell>
          <cell r="AE1201">
            <v>285000</v>
          </cell>
          <cell r="AF1201">
            <v>0</v>
          </cell>
          <cell r="AI1201">
            <v>2223</v>
          </cell>
          <cell r="AK1201">
            <v>0</v>
          </cell>
          <cell r="AM1201">
            <v>386</v>
          </cell>
          <cell r="AN1201">
            <v>1</v>
          </cell>
          <cell r="AO1201">
            <v>393216</v>
          </cell>
          <cell r="AQ1201">
            <v>0</v>
          </cell>
          <cell r="AR1201">
            <v>0</v>
          </cell>
          <cell r="AS1201" t="str">
            <v>Ы</v>
          </cell>
          <cell r="AT1201" t="str">
            <v>Ы</v>
          </cell>
          <cell r="AU1201">
            <v>0</v>
          </cell>
          <cell r="AV1201">
            <v>0</v>
          </cell>
          <cell r="AW1201">
            <v>23</v>
          </cell>
          <cell r="AX1201">
            <v>1</v>
          </cell>
          <cell r="AY1201">
            <v>0</v>
          </cell>
          <cell r="AZ1201">
            <v>0</v>
          </cell>
          <cell r="BA1201">
            <v>0</v>
          </cell>
          <cell r="BB1201">
            <v>0</v>
          </cell>
          <cell r="BC1201">
            <v>38828</v>
          </cell>
        </row>
        <row r="1202">
          <cell r="A1202">
            <v>2006</v>
          </cell>
          <cell r="B1202">
            <v>1</v>
          </cell>
          <cell r="C1202">
            <v>260</v>
          </cell>
          <cell r="D1202">
            <v>20</v>
          </cell>
          <cell r="E1202">
            <v>792020</v>
          </cell>
          <cell r="F1202">
            <v>0</v>
          </cell>
          <cell r="G1202" t="str">
            <v>Затраты по ШПЗ (основные)</v>
          </cell>
          <cell r="H1202">
            <v>2011</v>
          </cell>
          <cell r="I1202">
            <v>7920</v>
          </cell>
          <cell r="J1202">
            <v>107713.91</v>
          </cell>
          <cell r="K1202">
            <v>1</v>
          </cell>
          <cell r="L1202">
            <v>0</v>
          </cell>
          <cell r="M1202">
            <v>0</v>
          </cell>
          <cell r="N1202">
            <v>0</v>
          </cell>
          <cell r="R1202">
            <v>0</v>
          </cell>
          <cell r="S1202">
            <v>0</v>
          </cell>
          <cell r="T1202">
            <v>0</v>
          </cell>
          <cell r="U1202">
            <v>33</v>
          </cell>
          <cell r="V1202">
            <v>0</v>
          </cell>
          <cell r="W1202">
            <v>0</v>
          </cell>
          <cell r="AA1202">
            <v>0</v>
          </cell>
          <cell r="AB1202">
            <v>0</v>
          </cell>
          <cell r="AC1202">
            <v>0</v>
          </cell>
          <cell r="AD1202">
            <v>33</v>
          </cell>
          <cell r="AE1202">
            <v>311000</v>
          </cell>
          <cell r="AF1202">
            <v>0</v>
          </cell>
          <cell r="AI1202">
            <v>2223</v>
          </cell>
          <cell r="AK1202">
            <v>0</v>
          </cell>
          <cell r="AM1202">
            <v>387</v>
          </cell>
          <cell r="AN1202">
            <v>1</v>
          </cell>
          <cell r="AO1202">
            <v>393216</v>
          </cell>
          <cell r="AQ1202">
            <v>0</v>
          </cell>
          <cell r="AR1202">
            <v>0</v>
          </cell>
          <cell r="AS1202" t="str">
            <v>Ы</v>
          </cell>
          <cell r="AT1202" t="str">
            <v>Ы</v>
          </cell>
          <cell r="AU1202">
            <v>0</v>
          </cell>
          <cell r="AV1202">
            <v>0</v>
          </cell>
          <cell r="AW1202">
            <v>23</v>
          </cell>
          <cell r="AX1202">
            <v>1</v>
          </cell>
          <cell r="AY1202">
            <v>0</v>
          </cell>
          <cell r="AZ1202">
            <v>0</v>
          </cell>
          <cell r="BA1202">
            <v>0</v>
          </cell>
          <cell r="BB1202">
            <v>0</v>
          </cell>
          <cell r="BC1202">
            <v>38828</v>
          </cell>
        </row>
        <row r="1203">
          <cell r="A1203">
            <v>2006</v>
          </cell>
          <cell r="B1203">
            <v>1</v>
          </cell>
          <cell r="C1203">
            <v>261</v>
          </cell>
          <cell r="D1203">
            <v>20</v>
          </cell>
          <cell r="E1203">
            <v>792020</v>
          </cell>
          <cell r="F1203">
            <v>0</v>
          </cell>
          <cell r="G1203" t="str">
            <v>Затраты по ШПЗ (основные)</v>
          </cell>
          <cell r="H1203">
            <v>2011</v>
          </cell>
          <cell r="I1203">
            <v>7920</v>
          </cell>
          <cell r="J1203">
            <v>222531.8</v>
          </cell>
          <cell r="K1203">
            <v>1</v>
          </cell>
          <cell r="L1203">
            <v>0</v>
          </cell>
          <cell r="M1203">
            <v>0</v>
          </cell>
          <cell r="N1203">
            <v>0</v>
          </cell>
          <cell r="R1203">
            <v>0</v>
          </cell>
          <cell r="S1203">
            <v>0</v>
          </cell>
          <cell r="T1203">
            <v>0</v>
          </cell>
          <cell r="U1203">
            <v>33</v>
          </cell>
          <cell r="V1203">
            <v>0</v>
          </cell>
          <cell r="W1203">
            <v>0</v>
          </cell>
          <cell r="AA1203">
            <v>0</v>
          </cell>
          <cell r="AB1203">
            <v>0</v>
          </cell>
          <cell r="AC1203">
            <v>0</v>
          </cell>
          <cell r="AD1203">
            <v>33</v>
          </cell>
          <cell r="AE1203">
            <v>312000</v>
          </cell>
          <cell r="AF1203">
            <v>0</v>
          </cell>
          <cell r="AI1203">
            <v>2223</v>
          </cell>
          <cell r="AK1203">
            <v>0</v>
          </cell>
          <cell r="AM1203">
            <v>388</v>
          </cell>
          <cell r="AN1203">
            <v>1</v>
          </cell>
          <cell r="AO1203">
            <v>393216</v>
          </cell>
          <cell r="AQ1203">
            <v>0</v>
          </cell>
          <cell r="AR1203">
            <v>0</v>
          </cell>
          <cell r="AS1203" t="str">
            <v>Ы</v>
          </cell>
          <cell r="AT1203" t="str">
            <v>Ы</v>
          </cell>
          <cell r="AU1203">
            <v>0</v>
          </cell>
          <cell r="AV1203">
            <v>0</v>
          </cell>
          <cell r="AW1203">
            <v>23</v>
          </cell>
          <cell r="AX1203">
            <v>1</v>
          </cell>
          <cell r="AY1203">
            <v>0</v>
          </cell>
          <cell r="AZ1203">
            <v>0</v>
          </cell>
          <cell r="BA1203">
            <v>0</v>
          </cell>
          <cell r="BB1203">
            <v>0</v>
          </cell>
          <cell r="BC1203">
            <v>38828</v>
          </cell>
        </row>
        <row r="1204">
          <cell r="A1204">
            <v>2006</v>
          </cell>
          <cell r="B1204">
            <v>1</v>
          </cell>
          <cell r="C1204">
            <v>262</v>
          </cell>
          <cell r="D1204">
            <v>20</v>
          </cell>
          <cell r="E1204">
            <v>792020</v>
          </cell>
          <cell r="F1204">
            <v>0</v>
          </cell>
          <cell r="G1204" t="str">
            <v>Затраты по ШПЗ (основные)</v>
          </cell>
          <cell r="H1204">
            <v>2011</v>
          </cell>
          <cell r="I1204">
            <v>7920</v>
          </cell>
          <cell r="J1204">
            <v>36395.25</v>
          </cell>
          <cell r="K1204">
            <v>1</v>
          </cell>
          <cell r="L1204">
            <v>0</v>
          </cell>
          <cell r="M1204">
            <v>0</v>
          </cell>
          <cell r="N1204">
            <v>0</v>
          </cell>
          <cell r="R1204">
            <v>0</v>
          </cell>
          <cell r="S1204">
            <v>0</v>
          </cell>
          <cell r="T1204">
            <v>0</v>
          </cell>
          <cell r="U1204">
            <v>33</v>
          </cell>
          <cell r="V1204">
            <v>0</v>
          </cell>
          <cell r="W1204">
            <v>0</v>
          </cell>
          <cell r="AA1204">
            <v>0</v>
          </cell>
          <cell r="AB1204">
            <v>0</v>
          </cell>
          <cell r="AC1204">
            <v>0</v>
          </cell>
          <cell r="AD1204">
            <v>33</v>
          </cell>
          <cell r="AE1204">
            <v>312100</v>
          </cell>
          <cell r="AF1204">
            <v>0</v>
          </cell>
          <cell r="AI1204">
            <v>2223</v>
          </cell>
          <cell r="AK1204">
            <v>0</v>
          </cell>
          <cell r="AM1204">
            <v>389</v>
          </cell>
          <cell r="AN1204">
            <v>1</v>
          </cell>
          <cell r="AO1204">
            <v>393216</v>
          </cell>
          <cell r="AQ1204">
            <v>0</v>
          </cell>
          <cell r="AR1204">
            <v>0</v>
          </cell>
          <cell r="AS1204" t="str">
            <v>Ы</v>
          </cell>
          <cell r="AT1204" t="str">
            <v>Ы</v>
          </cell>
          <cell r="AU1204">
            <v>0</v>
          </cell>
          <cell r="AV1204">
            <v>0</v>
          </cell>
          <cell r="AW1204">
            <v>23</v>
          </cell>
          <cell r="AX1204">
            <v>1</v>
          </cell>
          <cell r="AY1204">
            <v>0</v>
          </cell>
          <cell r="AZ1204">
            <v>0</v>
          </cell>
          <cell r="BA1204">
            <v>0</v>
          </cell>
          <cell r="BB1204">
            <v>0</v>
          </cell>
          <cell r="BC1204">
            <v>38828</v>
          </cell>
        </row>
        <row r="1205">
          <cell r="A1205">
            <v>2006</v>
          </cell>
          <cell r="B1205">
            <v>1</v>
          </cell>
          <cell r="C1205">
            <v>263</v>
          </cell>
          <cell r="D1205">
            <v>20</v>
          </cell>
          <cell r="E1205">
            <v>792020</v>
          </cell>
          <cell r="F1205">
            <v>0</v>
          </cell>
          <cell r="G1205" t="str">
            <v>Затраты по ШПЗ (основные)</v>
          </cell>
          <cell r="H1205">
            <v>2011</v>
          </cell>
          <cell r="I1205">
            <v>7920</v>
          </cell>
          <cell r="J1205">
            <v>485074.37</v>
          </cell>
          <cell r="K1205">
            <v>1</v>
          </cell>
          <cell r="L1205">
            <v>0</v>
          </cell>
          <cell r="M1205">
            <v>0</v>
          </cell>
          <cell r="N1205">
            <v>0</v>
          </cell>
          <cell r="R1205">
            <v>0</v>
          </cell>
          <cell r="S1205">
            <v>0</v>
          </cell>
          <cell r="T1205">
            <v>0</v>
          </cell>
          <cell r="U1205">
            <v>33</v>
          </cell>
          <cell r="V1205">
            <v>0</v>
          </cell>
          <cell r="W1205">
            <v>0</v>
          </cell>
          <cell r="AA1205">
            <v>0</v>
          </cell>
          <cell r="AB1205">
            <v>0</v>
          </cell>
          <cell r="AC1205">
            <v>0</v>
          </cell>
          <cell r="AD1205">
            <v>33</v>
          </cell>
          <cell r="AE1205">
            <v>312200</v>
          </cell>
          <cell r="AF1205">
            <v>0</v>
          </cell>
          <cell r="AI1205">
            <v>2223</v>
          </cell>
          <cell r="AK1205">
            <v>0</v>
          </cell>
          <cell r="AM1205">
            <v>390</v>
          </cell>
          <cell r="AN1205">
            <v>1</v>
          </cell>
          <cell r="AO1205">
            <v>393216</v>
          </cell>
          <cell r="AQ1205">
            <v>0</v>
          </cell>
          <cell r="AR1205">
            <v>0</v>
          </cell>
          <cell r="AS1205" t="str">
            <v>Ы</v>
          </cell>
          <cell r="AT1205" t="str">
            <v>Ы</v>
          </cell>
          <cell r="AU1205">
            <v>0</v>
          </cell>
          <cell r="AV1205">
            <v>0</v>
          </cell>
          <cell r="AW1205">
            <v>23</v>
          </cell>
          <cell r="AX1205">
            <v>1</v>
          </cell>
          <cell r="AY1205">
            <v>0</v>
          </cell>
          <cell r="AZ1205">
            <v>0</v>
          </cell>
          <cell r="BA1205">
            <v>0</v>
          </cell>
          <cell r="BB1205">
            <v>0</v>
          </cell>
          <cell r="BC1205">
            <v>38828</v>
          </cell>
        </row>
        <row r="1206">
          <cell r="A1206">
            <v>2006</v>
          </cell>
          <cell r="B1206">
            <v>1</v>
          </cell>
          <cell r="C1206">
            <v>264</v>
          </cell>
          <cell r="D1206">
            <v>20</v>
          </cell>
          <cell r="E1206">
            <v>792020</v>
          </cell>
          <cell r="F1206">
            <v>0</v>
          </cell>
          <cell r="G1206" t="str">
            <v>Затраты по ШПЗ (основные)</v>
          </cell>
          <cell r="H1206">
            <v>2011</v>
          </cell>
          <cell r="I1206">
            <v>7920</v>
          </cell>
          <cell r="J1206">
            <v>40640.559999999998</v>
          </cell>
          <cell r="K1206">
            <v>1</v>
          </cell>
          <cell r="L1206">
            <v>0</v>
          </cell>
          <cell r="M1206">
            <v>0</v>
          </cell>
          <cell r="N1206">
            <v>0</v>
          </cell>
          <cell r="R1206">
            <v>0</v>
          </cell>
          <cell r="S1206">
            <v>0</v>
          </cell>
          <cell r="T1206">
            <v>0</v>
          </cell>
          <cell r="U1206">
            <v>33</v>
          </cell>
          <cell r="V1206">
            <v>0</v>
          </cell>
          <cell r="W1206">
            <v>0</v>
          </cell>
          <cell r="AA1206">
            <v>0</v>
          </cell>
          <cell r="AB1206">
            <v>0</v>
          </cell>
          <cell r="AC1206">
            <v>0</v>
          </cell>
          <cell r="AD1206">
            <v>33</v>
          </cell>
          <cell r="AE1206">
            <v>313000</v>
          </cell>
          <cell r="AF1206">
            <v>0</v>
          </cell>
          <cell r="AI1206">
            <v>2223</v>
          </cell>
          <cell r="AK1206">
            <v>0</v>
          </cell>
          <cell r="AM1206">
            <v>391</v>
          </cell>
          <cell r="AN1206">
            <v>1</v>
          </cell>
          <cell r="AO1206">
            <v>393216</v>
          </cell>
          <cell r="AQ1206">
            <v>0</v>
          </cell>
          <cell r="AR1206">
            <v>0</v>
          </cell>
          <cell r="AS1206" t="str">
            <v>Ы</v>
          </cell>
          <cell r="AT1206" t="str">
            <v>Ы</v>
          </cell>
          <cell r="AU1206">
            <v>0</v>
          </cell>
          <cell r="AV1206">
            <v>0</v>
          </cell>
          <cell r="AW1206">
            <v>23</v>
          </cell>
          <cell r="AX1206">
            <v>1</v>
          </cell>
          <cell r="AY1206">
            <v>0</v>
          </cell>
          <cell r="AZ1206">
            <v>0</v>
          </cell>
          <cell r="BA1206">
            <v>0</v>
          </cell>
          <cell r="BB1206">
            <v>0</v>
          </cell>
          <cell r="BC1206">
            <v>38828</v>
          </cell>
        </row>
        <row r="1207">
          <cell r="A1207">
            <v>2006</v>
          </cell>
          <cell r="B1207">
            <v>1</v>
          </cell>
          <cell r="C1207">
            <v>265</v>
          </cell>
          <cell r="D1207">
            <v>20</v>
          </cell>
          <cell r="E1207">
            <v>792020</v>
          </cell>
          <cell r="F1207">
            <v>0</v>
          </cell>
          <cell r="G1207" t="str">
            <v>Затраты по ШПЗ (основные)</v>
          </cell>
          <cell r="H1207">
            <v>2011</v>
          </cell>
          <cell r="I1207">
            <v>7920</v>
          </cell>
          <cell r="J1207">
            <v>74177.27</v>
          </cell>
          <cell r="K1207">
            <v>1</v>
          </cell>
          <cell r="L1207">
            <v>0</v>
          </cell>
          <cell r="M1207">
            <v>0</v>
          </cell>
          <cell r="N1207">
            <v>0</v>
          </cell>
          <cell r="R1207">
            <v>0</v>
          </cell>
          <cell r="S1207">
            <v>0</v>
          </cell>
          <cell r="T1207">
            <v>0</v>
          </cell>
          <cell r="U1207">
            <v>33</v>
          </cell>
          <cell r="V1207">
            <v>0</v>
          </cell>
          <cell r="W1207">
            <v>0</v>
          </cell>
          <cell r="AA1207">
            <v>0</v>
          </cell>
          <cell r="AB1207">
            <v>0</v>
          </cell>
          <cell r="AC1207">
            <v>0</v>
          </cell>
          <cell r="AD1207">
            <v>33</v>
          </cell>
          <cell r="AE1207">
            <v>314000</v>
          </cell>
          <cell r="AF1207">
            <v>0</v>
          </cell>
          <cell r="AI1207">
            <v>2223</v>
          </cell>
          <cell r="AK1207">
            <v>0</v>
          </cell>
          <cell r="AM1207">
            <v>392</v>
          </cell>
          <cell r="AN1207">
            <v>1</v>
          </cell>
          <cell r="AO1207">
            <v>393216</v>
          </cell>
          <cell r="AQ1207">
            <v>0</v>
          </cell>
          <cell r="AR1207">
            <v>0</v>
          </cell>
          <cell r="AS1207" t="str">
            <v>Ы</v>
          </cell>
          <cell r="AT1207" t="str">
            <v>Ы</v>
          </cell>
          <cell r="AU1207">
            <v>0</v>
          </cell>
          <cell r="AV1207">
            <v>0</v>
          </cell>
          <cell r="AW1207">
            <v>23</v>
          </cell>
          <cell r="AX1207">
            <v>1</v>
          </cell>
          <cell r="AY1207">
            <v>0</v>
          </cell>
          <cell r="AZ1207">
            <v>0</v>
          </cell>
          <cell r="BA1207">
            <v>0</v>
          </cell>
          <cell r="BB1207">
            <v>0</v>
          </cell>
          <cell r="BC1207">
            <v>38828</v>
          </cell>
        </row>
        <row r="1208">
          <cell r="A1208">
            <v>2006</v>
          </cell>
          <cell r="B1208">
            <v>1</v>
          </cell>
          <cell r="C1208">
            <v>266</v>
          </cell>
          <cell r="D1208">
            <v>20</v>
          </cell>
          <cell r="E1208">
            <v>792020</v>
          </cell>
          <cell r="F1208">
            <v>0</v>
          </cell>
          <cell r="G1208" t="str">
            <v>Затраты по ШПЗ (основные)</v>
          </cell>
          <cell r="H1208">
            <v>2011</v>
          </cell>
          <cell r="I1208">
            <v>7920</v>
          </cell>
          <cell r="J1208">
            <v>14858.98</v>
          </cell>
          <cell r="K1208">
            <v>1</v>
          </cell>
          <cell r="L1208">
            <v>0</v>
          </cell>
          <cell r="M1208">
            <v>0</v>
          </cell>
          <cell r="N1208">
            <v>0</v>
          </cell>
          <cell r="R1208">
            <v>0</v>
          </cell>
          <cell r="S1208">
            <v>0</v>
          </cell>
          <cell r="T1208">
            <v>0</v>
          </cell>
          <cell r="U1208">
            <v>33</v>
          </cell>
          <cell r="V1208">
            <v>0</v>
          </cell>
          <cell r="W1208">
            <v>0</v>
          </cell>
          <cell r="AA1208">
            <v>0</v>
          </cell>
          <cell r="AB1208">
            <v>0</v>
          </cell>
          <cell r="AC1208">
            <v>0</v>
          </cell>
          <cell r="AD1208">
            <v>33</v>
          </cell>
          <cell r="AE1208">
            <v>315000</v>
          </cell>
          <cell r="AF1208">
            <v>0</v>
          </cell>
          <cell r="AI1208">
            <v>2223</v>
          </cell>
          <cell r="AK1208">
            <v>0</v>
          </cell>
          <cell r="AM1208">
            <v>393</v>
          </cell>
          <cell r="AN1208">
            <v>1</v>
          </cell>
          <cell r="AO1208">
            <v>393216</v>
          </cell>
          <cell r="AQ1208">
            <v>0</v>
          </cell>
          <cell r="AR1208">
            <v>0</v>
          </cell>
          <cell r="AS1208" t="str">
            <v>Ы</v>
          </cell>
          <cell r="AT1208" t="str">
            <v>Ы</v>
          </cell>
          <cell r="AU1208">
            <v>0</v>
          </cell>
          <cell r="AV1208">
            <v>0</v>
          </cell>
          <cell r="AW1208">
            <v>23</v>
          </cell>
          <cell r="AX1208">
            <v>1</v>
          </cell>
          <cell r="AY1208">
            <v>0</v>
          </cell>
          <cell r="AZ1208">
            <v>0</v>
          </cell>
          <cell r="BA1208">
            <v>0</v>
          </cell>
          <cell r="BB1208">
            <v>0</v>
          </cell>
          <cell r="BC1208">
            <v>38828</v>
          </cell>
        </row>
        <row r="1209">
          <cell r="A1209">
            <v>2006</v>
          </cell>
          <cell r="B1209">
            <v>1</v>
          </cell>
          <cell r="C1209">
            <v>267</v>
          </cell>
          <cell r="D1209">
            <v>20</v>
          </cell>
          <cell r="E1209">
            <v>792020</v>
          </cell>
          <cell r="F1209">
            <v>0</v>
          </cell>
          <cell r="G1209" t="str">
            <v>Затраты по ШПЗ (основные)</v>
          </cell>
          <cell r="H1209">
            <v>2011</v>
          </cell>
          <cell r="I1209">
            <v>7920</v>
          </cell>
          <cell r="J1209">
            <v>694594</v>
          </cell>
          <cell r="K1209">
            <v>1</v>
          </cell>
          <cell r="L1209">
            <v>0</v>
          </cell>
          <cell r="M1209">
            <v>0</v>
          </cell>
          <cell r="N1209">
            <v>0</v>
          </cell>
          <cell r="R1209">
            <v>0</v>
          </cell>
          <cell r="S1209">
            <v>0</v>
          </cell>
          <cell r="T1209">
            <v>0</v>
          </cell>
          <cell r="U1209">
            <v>33</v>
          </cell>
          <cell r="V1209">
            <v>0</v>
          </cell>
          <cell r="W1209">
            <v>0</v>
          </cell>
          <cell r="AA1209">
            <v>0</v>
          </cell>
          <cell r="AB1209">
            <v>0</v>
          </cell>
          <cell r="AC1209">
            <v>0</v>
          </cell>
          <cell r="AD1209">
            <v>33</v>
          </cell>
          <cell r="AE1209">
            <v>410000</v>
          </cell>
          <cell r="AF1209">
            <v>0</v>
          </cell>
          <cell r="AI1209">
            <v>2223</v>
          </cell>
          <cell r="AK1209">
            <v>0</v>
          </cell>
          <cell r="AM1209">
            <v>394</v>
          </cell>
          <cell r="AN1209">
            <v>1</v>
          </cell>
          <cell r="AO1209">
            <v>393216</v>
          </cell>
          <cell r="AQ1209">
            <v>0</v>
          </cell>
          <cell r="AR1209">
            <v>0</v>
          </cell>
          <cell r="AS1209" t="str">
            <v>Ы</v>
          </cell>
          <cell r="AT1209" t="str">
            <v>Ы</v>
          </cell>
          <cell r="AU1209">
            <v>0</v>
          </cell>
          <cell r="AV1209">
            <v>0</v>
          </cell>
          <cell r="AW1209">
            <v>23</v>
          </cell>
          <cell r="AX1209">
            <v>1</v>
          </cell>
          <cell r="AY1209">
            <v>0</v>
          </cell>
          <cell r="AZ1209">
            <v>0</v>
          </cell>
          <cell r="BA1209">
            <v>0</v>
          </cell>
          <cell r="BB1209">
            <v>0</v>
          </cell>
          <cell r="BC1209">
            <v>38828</v>
          </cell>
        </row>
        <row r="1210">
          <cell r="A1210">
            <v>2006</v>
          </cell>
          <cell r="B1210">
            <v>1</v>
          </cell>
          <cell r="C1210">
            <v>268</v>
          </cell>
          <cell r="D1210">
            <v>20</v>
          </cell>
          <cell r="E1210">
            <v>792020</v>
          </cell>
          <cell r="F1210">
            <v>0</v>
          </cell>
          <cell r="G1210" t="str">
            <v>Затраты по ШПЗ (основные)</v>
          </cell>
          <cell r="H1210">
            <v>2011</v>
          </cell>
          <cell r="I1210">
            <v>7920</v>
          </cell>
          <cell r="J1210">
            <v>164818</v>
          </cell>
          <cell r="K1210">
            <v>1</v>
          </cell>
          <cell r="L1210">
            <v>0</v>
          </cell>
          <cell r="M1210">
            <v>0</v>
          </cell>
          <cell r="N1210">
            <v>0</v>
          </cell>
          <cell r="R1210">
            <v>0</v>
          </cell>
          <cell r="S1210">
            <v>0</v>
          </cell>
          <cell r="T1210">
            <v>0</v>
          </cell>
          <cell r="U1210">
            <v>33</v>
          </cell>
          <cell r="V1210">
            <v>0</v>
          </cell>
          <cell r="W1210">
            <v>0</v>
          </cell>
          <cell r="AA1210">
            <v>0</v>
          </cell>
          <cell r="AB1210">
            <v>0</v>
          </cell>
          <cell r="AC1210">
            <v>0</v>
          </cell>
          <cell r="AD1210">
            <v>33</v>
          </cell>
          <cell r="AE1210">
            <v>410100</v>
          </cell>
          <cell r="AF1210">
            <v>0</v>
          </cell>
          <cell r="AI1210">
            <v>2223</v>
          </cell>
          <cell r="AK1210">
            <v>0</v>
          </cell>
          <cell r="AM1210">
            <v>395</v>
          </cell>
          <cell r="AN1210">
            <v>1</v>
          </cell>
          <cell r="AO1210">
            <v>393216</v>
          </cell>
          <cell r="AQ1210">
            <v>0</v>
          </cell>
          <cell r="AR1210">
            <v>0</v>
          </cell>
          <cell r="AS1210" t="str">
            <v>Ы</v>
          </cell>
          <cell r="AT1210" t="str">
            <v>Ы</v>
          </cell>
          <cell r="AU1210">
            <v>0</v>
          </cell>
          <cell r="AV1210">
            <v>0</v>
          </cell>
          <cell r="AW1210">
            <v>23</v>
          </cell>
          <cell r="AX1210">
            <v>1</v>
          </cell>
          <cell r="AY1210">
            <v>0</v>
          </cell>
          <cell r="AZ1210">
            <v>0</v>
          </cell>
          <cell r="BA1210">
            <v>0</v>
          </cell>
          <cell r="BB1210">
            <v>0</v>
          </cell>
          <cell r="BC1210">
            <v>38828</v>
          </cell>
        </row>
        <row r="1211">
          <cell r="A1211">
            <v>2006</v>
          </cell>
          <cell r="B1211">
            <v>1</v>
          </cell>
          <cell r="C1211">
            <v>269</v>
          </cell>
          <cell r="D1211">
            <v>20</v>
          </cell>
          <cell r="E1211">
            <v>792020</v>
          </cell>
          <cell r="F1211">
            <v>0</v>
          </cell>
          <cell r="G1211" t="str">
            <v>Затраты по ШПЗ (основные)</v>
          </cell>
          <cell r="H1211">
            <v>2011</v>
          </cell>
          <cell r="I1211">
            <v>7920</v>
          </cell>
          <cell r="J1211">
            <v>102</v>
          </cell>
          <cell r="K1211">
            <v>1</v>
          </cell>
          <cell r="L1211">
            <v>0</v>
          </cell>
          <cell r="M1211">
            <v>0</v>
          </cell>
          <cell r="N1211">
            <v>0</v>
          </cell>
          <cell r="R1211">
            <v>0</v>
          </cell>
          <cell r="S1211">
            <v>0</v>
          </cell>
          <cell r="T1211">
            <v>0</v>
          </cell>
          <cell r="U1211">
            <v>33</v>
          </cell>
          <cell r="V1211">
            <v>0</v>
          </cell>
          <cell r="W1211">
            <v>0</v>
          </cell>
          <cell r="AA1211">
            <v>0</v>
          </cell>
          <cell r="AB1211">
            <v>0</v>
          </cell>
          <cell r="AC1211">
            <v>0</v>
          </cell>
          <cell r="AD1211">
            <v>33</v>
          </cell>
          <cell r="AE1211">
            <v>410200</v>
          </cell>
          <cell r="AF1211">
            <v>0</v>
          </cell>
          <cell r="AI1211">
            <v>2223</v>
          </cell>
          <cell r="AK1211">
            <v>0</v>
          </cell>
          <cell r="AM1211">
            <v>396</v>
          </cell>
          <cell r="AN1211">
            <v>1</v>
          </cell>
          <cell r="AO1211">
            <v>393216</v>
          </cell>
          <cell r="AQ1211">
            <v>0</v>
          </cell>
          <cell r="AR1211">
            <v>0</v>
          </cell>
          <cell r="AS1211" t="str">
            <v>Ы</v>
          </cell>
          <cell r="AT1211" t="str">
            <v>Ы</v>
          </cell>
          <cell r="AU1211">
            <v>0</v>
          </cell>
          <cell r="AV1211">
            <v>0</v>
          </cell>
          <cell r="AW1211">
            <v>23</v>
          </cell>
          <cell r="AX1211">
            <v>1</v>
          </cell>
          <cell r="AY1211">
            <v>0</v>
          </cell>
          <cell r="AZ1211">
            <v>0</v>
          </cell>
          <cell r="BA1211">
            <v>0</v>
          </cell>
          <cell r="BB1211">
            <v>0</v>
          </cell>
          <cell r="BC1211">
            <v>38828</v>
          </cell>
        </row>
        <row r="1212">
          <cell r="A1212">
            <v>2006</v>
          </cell>
          <cell r="B1212">
            <v>1</v>
          </cell>
          <cell r="C1212">
            <v>270</v>
          </cell>
          <cell r="D1212">
            <v>20</v>
          </cell>
          <cell r="E1212">
            <v>792020</v>
          </cell>
          <cell r="F1212">
            <v>0</v>
          </cell>
          <cell r="G1212" t="str">
            <v>Затраты по ШПЗ (основные)</v>
          </cell>
          <cell r="H1212">
            <v>2011</v>
          </cell>
          <cell r="I1212">
            <v>7920</v>
          </cell>
          <cell r="J1212">
            <v>198680</v>
          </cell>
          <cell r="K1212">
            <v>1</v>
          </cell>
          <cell r="L1212">
            <v>0</v>
          </cell>
          <cell r="M1212">
            <v>0</v>
          </cell>
          <cell r="N1212">
            <v>0</v>
          </cell>
          <cell r="R1212">
            <v>0</v>
          </cell>
          <cell r="S1212">
            <v>0</v>
          </cell>
          <cell r="T1212">
            <v>0</v>
          </cell>
          <cell r="U1212">
            <v>33</v>
          </cell>
          <cell r="V1212">
            <v>0</v>
          </cell>
          <cell r="W1212">
            <v>0</v>
          </cell>
          <cell r="AA1212">
            <v>0</v>
          </cell>
          <cell r="AB1212">
            <v>0</v>
          </cell>
          <cell r="AC1212">
            <v>0</v>
          </cell>
          <cell r="AD1212">
            <v>33</v>
          </cell>
          <cell r="AE1212">
            <v>420000</v>
          </cell>
          <cell r="AF1212">
            <v>0</v>
          </cell>
          <cell r="AI1212">
            <v>2223</v>
          </cell>
          <cell r="AK1212">
            <v>0</v>
          </cell>
          <cell r="AM1212">
            <v>397</v>
          </cell>
          <cell r="AN1212">
            <v>1</v>
          </cell>
          <cell r="AO1212">
            <v>393216</v>
          </cell>
          <cell r="AQ1212">
            <v>0</v>
          </cell>
          <cell r="AR1212">
            <v>0</v>
          </cell>
          <cell r="AS1212" t="str">
            <v>Ы</v>
          </cell>
          <cell r="AT1212" t="str">
            <v>Ы</v>
          </cell>
          <cell r="AU1212">
            <v>0</v>
          </cell>
          <cell r="AV1212">
            <v>0</v>
          </cell>
          <cell r="AW1212">
            <v>23</v>
          </cell>
          <cell r="AX1212">
            <v>1</v>
          </cell>
          <cell r="AY1212">
            <v>0</v>
          </cell>
          <cell r="AZ1212">
            <v>0</v>
          </cell>
          <cell r="BA1212">
            <v>0</v>
          </cell>
          <cell r="BB1212">
            <v>0</v>
          </cell>
          <cell r="BC1212">
            <v>38828</v>
          </cell>
        </row>
        <row r="1213">
          <cell r="A1213">
            <v>2006</v>
          </cell>
          <cell r="B1213">
            <v>1</v>
          </cell>
          <cell r="C1213">
            <v>271</v>
          </cell>
          <cell r="D1213">
            <v>20</v>
          </cell>
          <cell r="E1213">
            <v>792020</v>
          </cell>
          <cell r="F1213">
            <v>0</v>
          </cell>
          <cell r="G1213" t="str">
            <v>Затраты по ШПЗ (основные)</v>
          </cell>
          <cell r="H1213">
            <v>2011</v>
          </cell>
          <cell r="I1213">
            <v>7920</v>
          </cell>
          <cell r="J1213">
            <v>650412</v>
          </cell>
          <cell r="K1213">
            <v>1</v>
          </cell>
          <cell r="L1213">
            <v>0</v>
          </cell>
          <cell r="M1213">
            <v>0</v>
          </cell>
          <cell r="N1213">
            <v>0</v>
          </cell>
          <cell r="R1213">
            <v>0</v>
          </cell>
          <cell r="S1213">
            <v>0</v>
          </cell>
          <cell r="T1213">
            <v>0</v>
          </cell>
          <cell r="U1213">
            <v>33</v>
          </cell>
          <cell r="V1213">
            <v>0</v>
          </cell>
          <cell r="W1213">
            <v>0</v>
          </cell>
          <cell r="AA1213">
            <v>0</v>
          </cell>
          <cell r="AB1213">
            <v>0</v>
          </cell>
          <cell r="AC1213">
            <v>0</v>
          </cell>
          <cell r="AD1213">
            <v>33</v>
          </cell>
          <cell r="AE1213">
            <v>430000</v>
          </cell>
          <cell r="AF1213">
            <v>0</v>
          </cell>
          <cell r="AI1213">
            <v>2223</v>
          </cell>
          <cell r="AK1213">
            <v>0</v>
          </cell>
          <cell r="AM1213">
            <v>398</v>
          </cell>
          <cell r="AN1213">
            <v>1</v>
          </cell>
          <cell r="AO1213">
            <v>393216</v>
          </cell>
          <cell r="AQ1213">
            <v>0</v>
          </cell>
          <cell r="AR1213">
            <v>0</v>
          </cell>
          <cell r="AS1213" t="str">
            <v>Ы</v>
          </cell>
          <cell r="AT1213" t="str">
            <v>Ы</v>
          </cell>
          <cell r="AU1213">
            <v>0</v>
          </cell>
          <cell r="AV1213">
            <v>0</v>
          </cell>
          <cell r="AW1213">
            <v>23</v>
          </cell>
          <cell r="AX1213">
            <v>1</v>
          </cell>
          <cell r="AY1213">
            <v>0</v>
          </cell>
          <cell r="AZ1213">
            <v>0</v>
          </cell>
          <cell r="BA1213">
            <v>0</v>
          </cell>
          <cell r="BB1213">
            <v>0</v>
          </cell>
          <cell r="BC1213">
            <v>38828</v>
          </cell>
        </row>
        <row r="1214">
          <cell r="A1214">
            <v>2006</v>
          </cell>
          <cell r="B1214">
            <v>1</v>
          </cell>
          <cell r="C1214">
            <v>272</v>
          </cell>
          <cell r="D1214">
            <v>20</v>
          </cell>
          <cell r="E1214">
            <v>792020</v>
          </cell>
          <cell r="F1214">
            <v>0</v>
          </cell>
          <cell r="G1214" t="str">
            <v>Затраты по ШПЗ (основные)</v>
          </cell>
          <cell r="H1214">
            <v>2011</v>
          </cell>
          <cell r="I1214">
            <v>7920</v>
          </cell>
          <cell r="J1214">
            <v>2073896</v>
          </cell>
          <cell r="K1214">
            <v>1</v>
          </cell>
          <cell r="L1214">
            <v>0</v>
          </cell>
          <cell r="M1214">
            <v>0</v>
          </cell>
          <cell r="N1214">
            <v>0</v>
          </cell>
          <cell r="R1214">
            <v>0</v>
          </cell>
          <cell r="S1214">
            <v>0</v>
          </cell>
          <cell r="T1214">
            <v>0</v>
          </cell>
          <cell r="U1214">
            <v>33</v>
          </cell>
          <cell r="V1214">
            <v>0</v>
          </cell>
          <cell r="W1214">
            <v>0</v>
          </cell>
          <cell r="AA1214">
            <v>0</v>
          </cell>
          <cell r="AB1214">
            <v>0</v>
          </cell>
          <cell r="AC1214">
            <v>0</v>
          </cell>
          <cell r="AD1214">
            <v>33</v>
          </cell>
          <cell r="AE1214">
            <v>430110</v>
          </cell>
          <cell r="AF1214">
            <v>0</v>
          </cell>
          <cell r="AI1214">
            <v>2223</v>
          </cell>
          <cell r="AK1214">
            <v>0</v>
          </cell>
          <cell r="AM1214">
            <v>399</v>
          </cell>
          <cell r="AN1214">
            <v>1</v>
          </cell>
          <cell r="AO1214">
            <v>393216</v>
          </cell>
          <cell r="AQ1214">
            <v>0</v>
          </cell>
          <cell r="AR1214">
            <v>0</v>
          </cell>
          <cell r="AS1214" t="str">
            <v>Ы</v>
          </cell>
          <cell r="AT1214" t="str">
            <v>Ы</v>
          </cell>
          <cell r="AU1214">
            <v>0</v>
          </cell>
          <cell r="AV1214">
            <v>0</v>
          </cell>
          <cell r="AW1214">
            <v>23</v>
          </cell>
          <cell r="AX1214">
            <v>1</v>
          </cell>
          <cell r="AY1214">
            <v>0</v>
          </cell>
          <cell r="AZ1214">
            <v>0</v>
          </cell>
          <cell r="BA1214">
            <v>0</v>
          </cell>
          <cell r="BB1214">
            <v>0</v>
          </cell>
          <cell r="BC1214">
            <v>38828</v>
          </cell>
        </row>
        <row r="1215">
          <cell r="A1215">
            <v>2006</v>
          </cell>
          <cell r="B1215">
            <v>1</v>
          </cell>
          <cell r="C1215">
            <v>273</v>
          </cell>
          <cell r="D1215">
            <v>20</v>
          </cell>
          <cell r="E1215">
            <v>792020</v>
          </cell>
          <cell r="F1215">
            <v>0</v>
          </cell>
          <cell r="G1215" t="str">
            <v>Затраты по ШПЗ (основные)</v>
          </cell>
          <cell r="H1215">
            <v>2011</v>
          </cell>
          <cell r="I1215">
            <v>7920</v>
          </cell>
          <cell r="J1215">
            <v>164885</v>
          </cell>
          <cell r="K1215">
            <v>1</v>
          </cell>
          <cell r="L1215">
            <v>0</v>
          </cell>
          <cell r="M1215">
            <v>0</v>
          </cell>
          <cell r="N1215">
            <v>0</v>
          </cell>
          <cell r="R1215">
            <v>0</v>
          </cell>
          <cell r="S1215">
            <v>0</v>
          </cell>
          <cell r="T1215">
            <v>0</v>
          </cell>
          <cell r="U1215">
            <v>33</v>
          </cell>
          <cell r="V1215">
            <v>0</v>
          </cell>
          <cell r="W1215">
            <v>0</v>
          </cell>
          <cell r="AA1215">
            <v>0</v>
          </cell>
          <cell r="AB1215">
            <v>0</v>
          </cell>
          <cell r="AC1215">
            <v>0</v>
          </cell>
          <cell r="AD1215">
            <v>33</v>
          </cell>
          <cell r="AE1215">
            <v>430120</v>
          </cell>
          <cell r="AF1215">
            <v>0</v>
          </cell>
          <cell r="AI1215">
            <v>2223</v>
          </cell>
          <cell r="AK1215">
            <v>0</v>
          </cell>
          <cell r="AM1215">
            <v>400</v>
          </cell>
          <cell r="AN1215">
            <v>1</v>
          </cell>
          <cell r="AO1215">
            <v>393216</v>
          </cell>
          <cell r="AQ1215">
            <v>0</v>
          </cell>
          <cell r="AR1215">
            <v>0</v>
          </cell>
          <cell r="AS1215" t="str">
            <v>Ы</v>
          </cell>
          <cell r="AT1215" t="str">
            <v>Ы</v>
          </cell>
          <cell r="AU1215">
            <v>0</v>
          </cell>
          <cell r="AV1215">
            <v>0</v>
          </cell>
          <cell r="AW1215">
            <v>23</v>
          </cell>
          <cell r="AX1215">
            <v>1</v>
          </cell>
          <cell r="AY1215">
            <v>0</v>
          </cell>
          <cell r="AZ1215">
            <v>0</v>
          </cell>
          <cell r="BA1215">
            <v>0</v>
          </cell>
          <cell r="BB1215">
            <v>0</v>
          </cell>
          <cell r="BC1215">
            <v>38828</v>
          </cell>
        </row>
        <row r="1216">
          <cell r="A1216">
            <v>2006</v>
          </cell>
          <cell r="B1216">
            <v>1</v>
          </cell>
          <cell r="C1216">
            <v>274</v>
          </cell>
          <cell r="D1216">
            <v>20</v>
          </cell>
          <cell r="E1216">
            <v>792020</v>
          </cell>
          <cell r="F1216">
            <v>0</v>
          </cell>
          <cell r="G1216" t="str">
            <v>Затраты по ШПЗ (основные)</v>
          </cell>
          <cell r="H1216">
            <v>2011</v>
          </cell>
          <cell r="I1216">
            <v>7920</v>
          </cell>
          <cell r="J1216">
            <v>996284</v>
          </cell>
          <cell r="K1216">
            <v>1</v>
          </cell>
          <cell r="L1216">
            <v>0</v>
          </cell>
          <cell r="M1216">
            <v>0</v>
          </cell>
          <cell r="N1216">
            <v>0</v>
          </cell>
          <cell r="R1216">
            <v>0</v>
          </cell>
          <cell r="S1216">
            <v>0</v>
          </cell>
          <cell r="T1216">
            <v>0</v>
          </cell>
          <cell r="U1216">
            <v>33</v>
          </cell>
          <cell r="V1216">
            <v>0</v>
          </cell>
          <cell r="W1216">
            <v>0</v>
          </cell>
          <cell r="AA1216">
            <v>0</v>
          </cell>
          <cell r="AB1216">
            <v>0</v>
          </cell>
          <cell r="AC1216">
            <v>0</v>
          </cell>
          <cell r="AD1216">
            <v>33</v>
          </cell>
          <cell r="AE1216">
            <v>430130</v>
          </cell>
          <cell r="AF1216">
            <v>0</v>
          </cell>
          <cell r="AI1216">
            <v>2223</v>
          </cell>
          <cell r="AK1216">
            <v>0</v>
          </cell>
          <cell r="AM1216">
            <v>401</v>
          </cell>
          <cell r="AN1216">
            <v>1</v>
          </cell>
          <cell r="AO1216">
            <v>393216</v>
          </cell>
          <cell r="AQ1216">
            <v>0</v>
          </cell>
          <cell r="AR1216">
            <v>0</v>
          </cell>
          <cell r="AS1216" t="str">
            <v>Ы</v>
          </cell>
          <cell r="AT1216" t="str">
            <v>Ы</v>
          </cell>
          <cell r="AU1216">
            <v>0</v>
          </cell>
          <cell r="AV1216">
            <v>0</v>
          </cell>
          <cell r="AW1216">
            <v>23</v>
          </cell>
          <cell r="AX1216">
            <v>1</v>
          </cell>
          <cell r="AY1216">
            <v>0</v>
          </cell>
          <cell r="AZ1216">
            <v>0</v>
          </cell>
          <cell r="BA1216">
            <v>0</v>
          </cell>
          <cell r="BB1216">
            <v>0</v>
          </cell>
          <cell r="BC1216">
            <v>38828</v>
          </cell>
        </row>
        <row r="1217">
          <cell r="A1217">
            <v>2006</v>
          </cell>
          <cell r="B1217">
            <v>1</v>
          </cell>
          <cell r="C1217">
            <v>275</v>
          </cell>
          <cell r="D1217">
            <v>20</v>
          </cell>
          <cell r="E1217">
            <v>792020</v>
          </cell>
          <cell r="F1217">
            <v>0</v>
          </cell>
          <cell r="G1217" t="str">
            <v>Затраты по ШПЗ (основные)</v>
          </cell>
          <cell r="H1217">
            <v>2011</v>
          </cell>
          <cell r="I1217">
            <v>7920</v>
          </cell>
          <cell r="J1217">
            <v>684133</v>
          </cell>
          <cell r="K1217">
            <v>1</v>
          </cell>
          <cell r="L1217">
            <v>0</v>
          </cell>
          <cell r="M1217">
            <v>0</v>
          </cell>
          <cell r="N1217">
            <v>0</v>
          </cell>
          <cell r="R1217">
            <v>0</v>
          </cell>
          <cell r="S1217">
            <v>0</v>
          </cell>
          <cell r="T1217">
            <v>0</v>
          </cell>
          <cell r="U1217">
            <v>33</v>
          </cell>
          <cell r="V1217">
            <v>0</v>
          </cell>
          <cell r="W1217">
            <v>0</v>
          </cell>
          <cell r="AA1217">
            <v>0</v>
          </cell>
          <cell r="AB1217">
            <v>0</v>
          </cell>
          <cell r="AC1217">
            <v>0</v>
          </cell>
          <cell r="AD1217">
            <v>33</v>
          </cell>
          <cell r="AE1217">
            <v>430140</v>
          </cell>
          <cell r="AF1217">
            <v>0</v>
          </cell>
          <cell r="AI1217">
            <v>2223</v>
          </cell>
          <cell r="AK1217">
            <v>0</v>
          </cell>
          <cell r="AM1217">
            <v>402</v>
          </cell>
          <cell r="AN1217">
            <v>1</v>
          </cell>
          <cell r="AO1217">
            <v>393216</v>
          </cell>
          <cell r="AQ1217">
            <v>0</v>
          </cell>
          <cell r="AR1217">
            <v>0</v>
          </cell>
          <cell r="AS1217" t="str">
            <v>Ы</v>
          </cell>
          <cell r="AT1217" t="str">
            <v>Ы</v>
          </cell>
          <cell r="AU1217">
            <v>0</v>
          </cell>
          <cell r="AV1217">
            <v>0</v>
          </cell>
          <cell r="AW1217">
            <v>23</v>
          </cell>
          <cell r="AX1217">
            <v>1</v>
          </cell>
          <cell r="AY1217">
            <v>0</v>
          </cell>
          <cell r="AZ1217">
            <v>0</v>
          </cell>
          <cell r="BA1217">
            <v>0</v>
          </cell>
          <cell r="BB1217">
            <v>0</v>
          </cell>
          <cell r="BC1217">
            <v>38828</v>
          </cell>
        </row>
        <row r="1218">
          <cell r="A1218">
            <v>2006</v>
          </cell>
          <cell r="B1218">
            <v>1</v>
          </cell>
          <cell r="C1218">
            <v>276</v>
          </cell>
          <cell r="D1218">
            <v>20</v>
          </cell>
          <cell r="E1218">
            <v>792020</v>
          </cell>
          <cell r="F1218">
            <v>0</v>
          </cell>
          <cell r="G1218" t="str">
            <v>Затраты по ШПЗ (основные)</v>
          </cell>
          <cell r="H1218">
            <v>2011</v>
          </cell>
          <cell r="I1218">
            <v>7920</v>
          </cell>
          <cell r="J1218">
            <v>942</v>
          </cell>
          <cell r="K1218">
            <v>1</v>
          </cell>
          <cell r="L1218">
            <v>0</v>
          </cell>
          <cell r="M1218">
            <v>0</v>
          </cell>
          <cell r="N1218">
            <v>0</v>
          </cell>
          <cell r="R1218">
            <v>0</v>
          </cell>
          <cell r="S1218">
            <v>0</v>
          </cell>
          <cell r="T1218">
            <v>0</v>
          </cell>
          <cell r="U1218">
            <v>33</v>
          </cell>
          <cell r="V1218">
            <v>0</v>
          </cell>
          <cell r="W1218">
            <v>0</v>
          </cell>
          <cell r="AA1218">
            <v>0</v>
          </cell>
          <cell r="AB1218">
            <v>0</v>
          </cell>
          <cell r="AC1218">
            <v>0</v>
          </cell>
          <cell r="AD1218">
            <v>33</v>
          </cell>
          <cell r="AE1218">
            <v>430210</v>
          </cell>
          <cell r="AF1218">
            <v>0</v>
          </cell>
          <cell r="AI1218">
            <v>2223</v>
          </cell>
          <cell r="AK1218">
            <v>0</v>
          </cell>
          <cell r="AM1218">
            <v>403</v>
          </cell>
          <cell r="AN1218">
            <v>1</v>
          </cell>
          <cell r="AO1218">
            <v>393216</v>
          </cell>
          <cell r="AQ1218">
            <v>0</v>
          </cell>
          <cell r="AR1218">
            <v>0</v>
          </cell>
          <cell r="AS1218" t="str">
            <v>Ы</v>
          </cell>
          <cell r="AT1218" t="str">
            <v>Ы</v>
          </cell>
          <cell r="AU1218">
            <v>0</v>
          </cell>
          <cell r="AV1218">
            <v>0</v>
          </cell>
          <cell r="AW1218">
            <v>23</v>
          </cell>
          <cell r="AX1218">
            <v>1</v>
          </cell>
          <cell r="AY1218">
            <v>0</v>
          </cell>
          <cell r="AZ1218">
            <v>0</v>
          </cell>
          <cell r="BA1218">
            <v>0</v>
          </cell>
          <cell r="BB1218">
            <v>0</v>
          </cell>
          <cell r="BC1218">
            <v>38828</v>
          </cell>
        </row>
        <row r="1219">
          <cell r="A1219">
            <v>2006</v>
          </cell>
          <cell r="B1219">
            <v>1</v>
          </cell>
          <cell r="C1219">
            <v>277</v>
          </cell>
          <cell r="D1219">
            <v>20</v>
          </cell>
          <cell r="E1219">
            <v>792020</v>
          </cell>
          <cell r="F1219">
            <v>0</v>
          </cell>
          <cell r="G1219" t="str">
            <v>Затраты по ШПЗ (основные)</v>
          </cell>
          <cell r="H1219">
            <v>2011</v>
          </cell>
          <cell r="I1219">
            <v>7920</v>
          </cell>
          <cell r="J1219">
            <v>4010</v>
          </cell>
          <cell r="K1219">
            <v>1</v>
          </cell>
          <cell r="L1219">
            <v>0</v>
          </cell>
          <cell r="M1219">
            <v>0</v>
          </cell>
          <cell r="N1219">
            <v>0</v>
          </cell>
          <cell r="R1219">
            <v>0</v>
          </cell>
          <cell r="S1219">
            <v>0</v>
          </cell>
          <cell r="T1219">
            <v>0</v>
          </cell>
          <cell r="U1219">
            <v>33</v>
          </cell>
          <cell r="V1219">
            <v>0</v>
          </cell>
          <cell r="W1219">
            <v>0</v>
          </cell>
          <cell r="AA1219">
            <v>0</v>
          </cell>
          <cell r="AB1219">
            <v>0</v>
          </cell>
          <cell r="AC1219">
            <v>0</v>
          </cell>
          <cell r="AD1219">
            <v>33</v>
          </cell>
          <cell r="AE1219">
            <v>430230</v>
          </cell>
          <cell r="AF1219">
            <v>0</v>
          </cell>
          <cell r="AI1219">
            <v>2223</v>
          </cell>
          <cell r="AK1219">
            <v>0</v>
          </cell>
          <cell r="AM1219">
            <v>404</v>
          </cell>
          <cell r="AN1219">
            <v>1</v>
          </cell>
          <cell r="AO1219">
            <v>393216</v>
          </cell>
          <cell r="AQ1219">
            <v>0</v>
          </cell>
          <cell r="AR1219">
            <v>0</v>
          </cell>
          <cell r="AS1219" t="str">
            <v>Ы</v>
          </cell>
          <cell r="AT1219" t="str">
            <v>Ы</v>
          </cell>
          <cell r="AU1219">
            <v>0</v>
          </cell>
          <cell r="AV1219">
            <v>0</v>
          </cell>
          <cell r="AW1219">
            <v>23</v>
          </cell>
          <cell r="AX1219">
            <v>1</v>
          </cell>
          <cell r="AY1219">
            <v>0</v>
          </cell>
          <cell r="AZ1219">
            <v>0</v>
          </cell>
          <cell r="BA1219">
            <v>0</v>
          </cell>
          <cell r="BB1219">
            <v>0</v>
          </cell>
          <cell r="BC1219">
            <v>38828</v>
          </cell>
        </row>
        <row r="1220">
          <cell r="A1220">
            <v>2006</v>
          </cell>
          <cell r="B1220">
            <v>1</v>
          </cell>
          <cell r="C1220">
            <v>278</v>
          </cell>
          <cell r="D1220">
            <v>20</v>
          </cell>
          <cell r="E1220">
            <v>792020</v>
          </cell>
          <cell r="F1220">
            <v>0</v>
          </cell>
          <cell r="G1220" t="str">
            <v>Затраты по ШПЗ (основные)</v>
          </cell>
          <cell r="H1220">
            <v>2011</v>
          </cell>
          <cell r="I1220">
            <v>7920</v>
          </cell>
          <cell r="J1220">
            <v>32628</v>
          </cell>
          <cell r="K1220">
            <v>1</v>
          </cell>
          <cell r="L1220">
            <v>0</v>
          </cell>
          <cell r="M1220">
            <v>0</v>
          </cell>
          <cell r="N1220">
            <v>0</v>
          </cell>
          <cell r="R1220">
            <v>0</v>
          </cell>
          <cell r="S1220">
            <v>0</v>
          </cell>
          <cell r="T1220">
            <v>0</v>
          </cell>
          <cell r="U1220">
            <v>33</v>
          </cell>
          <cell r="V1220">
            <v>0</v>
          </cell>
          <cell r="W1220">
            <v>0</v>
          </cell>
          <cell r="AA1220">
            <v>0</v>
          </cell>
          <cell r="AB1220">
            <v>0</v>
          </cell>
          <cell r="AC1220">
            <v>0</v>
          </cell>
          <cell r="AD1220">
            <v>33</v>
          </cell>
          <cell r="AE1220">
            <v>430240</v>
          </cell>
          <cell r="AF1220">
            <v>0</v>
          </cell>
          <cell r="AI1220">
            <v>2223</v>
          </cell>
          <cell r="AK1220">
            <v>0</v>
          </cell>
          <cell r="AM1220">
            <v>405</v>
          </cell>
          <cell r="AN1220">
            <v>1</v>
          </cell>
          <cell r="AO1220">
            <v>393216</v>
          </cell>
          <cell r="AQ1220">
            <v>0</v>
          </cell>
          <cell r="AR1220">
            <v>0</v>
          </cell>
          <cell r="AS1220" t="str">
            <v>Ы</v>
          </cell>
          <cell r="AT1220" t="str">
            <v>Ы</v>
          </cell>
          <cell r="AU1220">
            <v>0</v>
          </cell>
          <cell r="AV1220">
            <v>0</v>
          </cell>
          <cell r="AW1220">
            <v>23</v>
          </cell>
          <cell r="AX1220">
            <v>1</v>
          </cell>
          <cell r="AY1220">
            <v>0</v>
          </cell>
          <cell r="AZ1220">
            <v>0</v>
          </cell>
          <cell r="BA1220">
            <v>0</v>
          </cell>
          <cell r="BB1220">
            <v>0</v>
          </cell>
          <cell r="BC1220">
            <v>38828</v>
          </cell>
        </row>
        <row r="1221">
          <cell r="A1221">
            <v>2006</v>
          </cell>
          <cell r="B1221">
            <v>1</v>
          </cell>
          <cell r="C1221">
            <v>279</v>
          </cell>
          <cell r="D1221">
            <v>20</v>
          </cell>
          <cell r="E1221">
            <v>792020</v>
          </cell>
          <cell r="F1221">
            <v>0</v>
          </cell>
          <cell r="G1221" t="str">
            <v>Затраты по ШПЗ (основные)</v>
          </cell>
          <cell r="H1221">
            <v>2011</v>
          </cell>
          <cell r="I1221">
            <v>7920</v>
          </cell>
          <cell r="J1221">
            <v>77380</v>
          </cell>
          <cell r="K1221">
            <v>1</v>
          </cell>
          <cell r="L1221">
            <v>0</v>
          </cell>
          <cell r="M1221">
            <v>0</v>
          </cell>
          <cell r="N1221">
            <v>0</v>
          </cell>
          <cell r="R1221">
            <v>0</v>
          </cell>
          <cell r="S1221">
            <v>0</v>
          </cell>
          <cell r="T1221">
            <v>0</v>
          </cell>
          <cell r="U1221">
            <v>33</v>
          </cell>
          <cell r="V1221">
            <v>0</v>
          </cell>
          <cell r="W1221">
            <v>0</v>
          </cell>
          <cell r="AA1221">
            <v>0</v>
          </cell>
          <cell r="AB1221">
            <v>0</v>
          </cell>
          <cell r="AC1221">
            <v>0</v>
          </cell>
          <cell r="AD1221">
            <v>33</v>
          </cell>
          <cell r="AE1221">
            <v>450000</v>
          </cell>
          <cell r="AF1221">
            <v>0</v>
          </cell>
          <cell r="AI1221">
            <v>2223</v>
          </cell>
          <cell r="AK1221">
            <v>0</v>
          </cell>
          <cell r="AM1221">
            <v>406</v>
          </cell>
          <cell r="AN1221">
            <v>1</v>
          </cell>
          <cell r="AO1221">
            <v>393216</v>
          </cell>
          <cell r="AQ1221">
            <v>0</v>
          </cell>
          <cell r="AR1221">
            <v>0</v>
          </cell>
          <cell r="AS1221" t="str">
            <v>Ы</v>
          </cell>
          <cell r="AT1221" t="str">
            <v>Ы</v>
          </cell>
          <cell r="AU1221">
            <v>0</v>
          </cell>
          <cell r="AV1221">
            <v>0</v>
          </cell>
          <cell r="AW1221">
            <v>23</v>
          </cell>
          <cell r="AX1221">
            <v>1</v>
          </cell>
          <cell r="AY1221">
            <v>0</v>
          </cell>
          <cell r="AZ1221">
            <v>0</v>
          </cell>
          <cell r="BA1221">
            <v>0</v>
          </cell>
          <cell r="BB1221">
            <v>0</v>
          </cell>
          <cell r="BC1221">
            <v>38828</v>
          </cell>
        </row>
        <row r="1222">
          <cell r="A1222">
            <v>2006</v>
          </cell>
          <cell r="B1222">
            <v>1</v>
          </cell>
          <cell r="C1222">
            <v>280</v>
          </cell>
          <cell r="D1222">
            <v>20</v>
          </cell>
          <cell r="E1222">
            <v>792020</v>
          </cell>
          <cell r="F1222">
            <v>0</v>
          </cell>
          <cell r="G1222" t="str">
            <v>Затраты по ШПЗ (основные)</v>
          </cell>
          <cell r="H1222">
            <v>2011</v>
          </cell>
          <cell r="I1222">
            <v>7920</v>
          </cell>
          <cell r="J1222">
            <v>23623</v>
          </cell>
          <cell r="K1222">
            <v>1</v>
          </cell>
          <cell r="L1222">
            <v>0</v>
          </cell>
          <cell r="M1222">
            <v>0</v>
          </cell>
          <cell r="N1222">
            <v>0</v>
          </cell>
          <cell r="R1222">
            <v>0</v>
          </cell>
          <cell r="S1222">
            <v>0</v>
          </cell>
          <cell r="T1222">
            <v>0</v>
          </cell>
          <cell r="U1222">
            <v>33</v>
          </cell>
          <cell r="V1222">
            <v>0</v>
          </cell>
          <cell r="W1222">
            <v>0</v>
          </cell>
          <cell r="AA1222">
            <v>0</v>
          </cell>
          <cell r="AB1222">
            <v>0</v>
          </cell>
          <cell r="AC1222">
            <v>0</v>
          </cell>
          <cell r="AD1222">
            <v>33</v>
          </cell>
          <cell r="AE1222">
            <v>460000</v>
          </cell>
          <cell r="AF1222">
            <v>0</v>
          </cell>
          <cell r="AI1222">
            <v>2223</v>
          </cell>
          <cell r="AK1222">
            <v>0</v>
          </cell>
          <cell r="AM1222">
            <v>407</v>
          </cell>
          <cell r="AN1222">
            <v>1</v>
          </cell>
          <cell r="AO1222">
            <v>393216</v>
          </cell>
          <cell r="AQ1222">
            <v>0</v>
          </cell>
          <cell r="AR1222">
            <v>0</v>
          </cell>
          <cell r="AS1222" t="str">
            <v>Ы</v>
          </cell>
          <cell r="AT1222" t="str">
            <v>Ы</v>
          </cell>
          <cell r="AU1222">
            <v>0</v>
          </cell>
          <cell r="AV1222">
            <v>0</v>
          </cell>
          <cell r="AW1222">
            <v>23</v>
          </cell>
          <cell r="AX1222">
            <v>1</v>
          </cell>
          <cell r="AY1222">
            <v>0</v>
          </cell>
          <cell r="AZ1222">
            <v>0</v>
          </cell>
          <cell r="BA1222">
            <v>0</v>
          </cell>
          <cell r="BB1222">
            <v>0</v>
          </cell>
          <cell r="BC1222">
            <v>38828</v>
          </cell>
        </row>
        <row r="1223">
          <cell r="A1223">
            <v>2006</v>
          </cell>
          <cell r="B1223">
            <v>1</v>
          </cell>
          <cell r="C1223">
            <v>281</v>
          </cell>
          <cell r="D1223">
            <v>20</v>
          </cell>
          <cell r="E1223">
            <v>792020</v>
          </cell>
          <cell r="F1223">
            <v>0</v>
          </cell>
          <cell r="G1223" t="str">
            <v>Затраты по ШПЗ (основные)</v>
          </cell>
          <cell r="H1223">
            <v>2011</v>
          </cell>
          <cell r="I1223">
            <v>7920</v>
          </cell>
          <cell r="J1223">
            <v>391453.36</v>
          </cell>
          <cell r="K1223">
            <v>1</v>
          </cell>
          <cell r="L1223">
            <v>0</v>
          </cell>
          <cell r="M1223">
            <v>0</v>
          </cell>
          <cell r="N1223">
            <v>0</v>
          </cell>
          <cell r="R1223">
            <v>0</v>
          </cell>
          <cell r="S1223">
            <v>0</v>
          </cell>
          <cell r="T1223">
            <v>0</v>
          </cell>
          <cell r="U1223">
            <v>33</v>
          </cell>
          <cell r="V1223">
            <v>0</v>
          </cell>
          <cell r="W1223">
            <v>0</v>
          </cell>
          <cell r="AA1223">
            <v>0</v>
          </cell>
          <cell r="AB1223">
            <v>0</v>
          </cell>
          <cell r="AC1223">
            <v>0</v>
          </cell>
          <cell r="AD1223">
            <v>33</v>
          </cell>
          <cell r="AE1223">
            <v>503000</v>
          </cell>
          <cell r="AF1223">
            <v>0</v>
          </cell>
          <cell r="AI1223">
            <v>2223</v>
          </cell>
          <cell r="AK1223">
            <v>0</v>
          </cell>
          <cell r="AM1223">
            <v>408</v>
          </cell>
          <cell r="AN1223">
            <v>1</v>
          </cell>
          <cell r="AO1223">
            <v>393216</v>
          </cell>
          <cell r="AQ1223">
            <v>0</v>
          </cell>
          <cell r="AR1223">
            <v>0</v>
          </cell>
          <cell r="AS1223" t="str">
            <v>Ы</v>
          </cell>
          <cell r="AT1223" t="str">
            <v>Ы</v>
          </cell>
          <cell r="AU1223">
            <v>0</v>
          </cell>
          <cell r="AV1223">
            <v>0</v>
          </cell>
          <cell r="AW1223">
            <v>23</v>
          </cell>
          <cell r="AX1223">
            <v>1</v>
          </cell>
          <cell r="AY1223">
            <v>0</v>
          </cell>
          <cell r="AZ1223">
            <v>0</v>
          </cell>
          <cell r="BA1223">
            <v>0</v>
          </cell>
          <cell r="BB1223">
            <v>0</v>
          </cell>
          <cell r="BC1223">
            <v>38828</v>
          </cell>
        </row>
        <row r="1224">
          <cell r="A1224">
            <v>2006</v>
          </cell>
          <cell r="B1224">
            <v>1</v>
          </cell>
          <cell r="C1224">
            <v>282</v>
          </cell>
          <cell r="D1224">
            <v>20</v>
          </cell>
          <cell r="E1224">
            <v>792020</v>
          </cell>
          <cell r="F1224">
            <v>0</v>
          </cell>
          <cell r="G1224" t="str">
            <v>Затраты по ШПЗ (основные)</v>
          </cell>
          <cell r="H1224">
            <v>2011</v>
          </cell>
          <cell r="I1224">
            <v>7920</v>
          </cell>
          <cell r="J1224">
            <v>2500</v>
          </cell>
          <cell r="K1224">
            <v>1</v>
          </cell>
          <cell r="L1224">
            <v>0</v>
          </cell>
          <cell r="M1224">
            <v>0</v>
          </cell>
          <cell r="N1224">
            <v>0</v>
          </cell>
          <cell r="R1224">
            <v>0</v>
          </cell>
          <cell r="S1224">
            <v>0</v>
          </cell>
          <cell r="T1224">
            <v>0</v>
          </cell>
          <cell r="U1224">
            <v>33</v>
          </cell>
          <cell r="V1224">
            <v>0</v>
          </cell>
          <cell r="W1224">
            <v>0</v>
          </cell>
          <cell r="AA1224">
            <v>0</v>
          </cell>
          <cell r="AB1224">
            <v>0</v>
          </cell>
          <cell r="AC1224">
            <v>0</v>
          </cell>
          <cell r="AD1224">
            <v>33</v>
          </cell>
          <cell r="AE1224">
            <v>504100</v>
          </cell>
          <cell r="AF1224">
            <v>0</v>
          </cell>
          <cell r="AI1224">
            <v>2223</v>
          </cell>
          <cell r="AK1224">
            <v>0</v>
          </cell>
          <cell r="AM1224">
            <v>409</v>
          </cell>
          <cell r="AN1224">
            <v>1</v>
          </cell>
          <cell r="AO1224">
            <v>393216</v>
          </cell>
          <cell r="AQ1224">
            <v>0</v>
          </cell>
          <cell r="AR1224">
            <v>0</v>
          </cell>
          <cell r="AS1224" t="str">
            <v>Ы</v>
          </cell>
          <cell r="AT1224" t="str">
            <v>Ы</v>
          </cell>
          <cell r="AU1224">
            <v>0</v>
          </cell>
          <cell r="AV1224">
            <v>0</v>
          </cell>
          <cell r="AW1224">
            <v>23</v>
          </cell>
          <cell r="AX1224">
            <v>1</v>
          </cell>
          <cell r="AY1224">
            <v>0</v>
          </cell>
          <cell r="AZ1224">
            <v>0</v>
          </cell>
          <cell r="BA1224">
            <v>0</v>
          </cell>
          <cell r="BB1224">
            <v>0</v>
          </cell>
          <cell r="BC1224">
            <v>38828</v>
          </cell>
        </row>
        <row r="1225">
          <cell r="A1225">
            <v>2006</v>
          </cell>
          <cell r="B1225">
            <v>1</v>
          </cell>
          <cell r="C1225">
            <v>283</v>
          </cell>
          <cell r="D1225">
            <v>20</v>
          </cell>
          <cell r="E1225">
            <v>792020</v>
          </cell>
          <cell r="F1225">
            <v>0</v>
          </cell>
          <cell r="G1225" t="str">
            <v>Затраты по ШПЗ (основные)</v>
          </cell>
          <cell r="H1225">
            <v>2011</v>
          </cell>
          <cell r="I1225">
            <v>7920</v>
          </cell>
          <cell r="J1225">
            <v>1210</v>
          </cell>
          <cell r="K1225">
            <v>1</v>
          </cell>
          <cell r="L1225">
            <v>0</v>
          </cell>
          <cell r="M1225">
            <v>0</v>
          </cell>
          <cell r="N1225">
            <v>0</v>
          </cell>
          <cell r="R1225">
            <v>0</v>
          </cell>
          <cell r="S1225">
            <v>0</v>
          </cell>
          <cell r="T1225">
            <v>0</v>
          </cell>
          <cell r="U1225">
            <v>33</v>
          </cell>
          <cell r="V1225">
            <v>0</v>
          </cell>
          <cell r="W1225">
            <v>0</v>
          </cell>
          <cell r="AA1225">
            <v>0</v>
          </cell>
          <cell r="AB1225">
            <v>0</v>
          </cell>
          <cell r="AC1225">
            <v>0</v>
          </cell>
          <cell r="AD1225">
            <v>33</v>
          </cell>
          <cell r="AE1225">
            <v>504900</v>
          </cell>
          <cell r="AF1225">
            <v>0</v>
          </cell>
          <cell r="AI1225">
            <v>2223</v>
          </cell>
          <cell r="AK1225">
            <v>0</v>
          </cell>
          <cell r="AM1225">
            <v>410</v>
          </cell>
          <cell r="AN1225">
            <v>1</v>
          </cell>
          <cell r="AO1225">
            <v>393216</v>
          </cell>
          <cell r="AQ1225">
            <v>0</v>
          </cell>
          <cell r="AR1225">
            <v>0</v>
          </cell>
          <cell r="AS1225" t="str">
            <v>Ы</v>
          </cell>
          <cell r="AT1225" t="str">
            <v>Ы</v>
          </cell>
          <cell r="AU1225">
            <v>0</v>
          </cell>
          <cell r="AV1225">
            <v>0</v>
          </cell>
          <cell r="AW1225">
            <v>23</v>
          </cell>
          <cell r="AX1225">
            <v>1</v>
          </cell>
          <cell r="AY1225">
            <v>0</v>
          </cell>
          <cell r="AZ1225">
            <v>0</v>
          </cell>
          <cell r="BA1225">
            <v>0</v>
          </cell>
          <cell r="BB1225">
            <v>0</v>
          </cell>
          <cell r="BC1225">
            <v>38828</v>
          </cell>
        </row>
        <row r="1226">
          <cell r="A1226">
            <v>2006</v>
          </cell>
          <cell r="B1226">
            <v>1</v>
          </cell>
          <cell r="C1226">
            <v>284</v>
          </cell>
          <cell r="D1226">
            <v>20</v>
          </cell>
          <cell r="E1226">
            <v>792020</v>
          </cell>
          <cell r="F1226">
            <v>0</v>
          </cell>
          <cell r="G1226" t="str">
            <v>Затраты по ШПЗ (основные)</v>
          </cell>
          <cell r="H1226">
            <v>2011</v>
          </cell>
          <cell r="I1226">
            <v>7920</v>
          </cell>
          <cell r="J1226">
            <v>3965.87</v>
          </cell>
          <cell r="K1226">
            <v>1</v>
          </cell>
          <cell r="L1226">
            <v>0</v>
          </cell>
          <cell r="M1226">
            <v>0</v>
          </cell>
          <cell r="N1226">
            <v>0</v>
          </cell>
          <cell r="R1226">
            <v>0</v>
          </cell>
          <cell r="S1226">
            <v>0</v>
          </cell>
          <cell r="T1226">
            <v>0</v>
          </cell>
          <cell r="U1226">
            <v>33</v>
          </cell>
          <cell r="V1226">
            <v>0</v>
          </cell>
          <cell r="W1226">
            <v>0</v>
          </cell>
          <cell r="AA1226">
            <v>0</v>
          </cell>
          <cell r="AB1226">
            <v>0</v>
          </cell>
          <cell r="AC1226">
            <v>0</v>
          </cell>
          <cell r="AD1226">
            <v>33</v>
          </cell>
          <cell r="AE1226">
            <v>505100</v>
          </cell>
          <cell r="AF1226">
            <v>0</v>
          </cell>
          <cell r="AI1226">
            <v>2223</v>
          </cell>
          <cell r="AK1226">
            <v>0</v>
          </cell>
          <cell r="AM1226">
            <v>411</v>
          </cell>
          <cell r="AN1226">
            <v>1</v>
          </cell>
          <cell r="AO1226">
            <v>393216</v>
          </cell>
          <cell r="AQ1226">
            <v>0</v>
          </cell>
          <cell r="AR1226">
            <v>0</v>
          </cell>
          <cell r="AS1226" t="str">
            <v>Ы</v>
          </cell>
          <cell r="AT1226" t="str">
            <v>Ы</v>
          </cell>
          <cell r="AU1226">
            <v>0</v>
          </cell>
          <cell r="AV1226">
            <v>0</v>
          </cell>
          <cell r="AW1226">
            <v>23</v>
          </cell>
          <cell r="AX1226">
            <v>1</v>
          </cell>
          <cell r="AY1226">
            <v>0</v>
          </cell>
          <cell r="AZ1226">
            <v>0</v>
          </cell>
          <cell r="BA1226">
            <v>0</v>
          </cell>
          <cell r="BB1226">
            <v>0</v>
          </cell>
          <cell r="BC1226">
            <v>38828</v>
          </cell>
        </row>
        <row r="1227">
          <cell r="A1227">
            <v>2006</v>
          </cell>
          <cell r="B1227">
            <v>1</v>
          </cell>
          <cell r="C1227">
            <v>285</v>
          </cell>
          <cell r="D1227">
            <v>20</v>
          </cell>
          <cell r="E1227">
            <v>792020</v>
          </cell>
          <cell r="F1227">
            <v>0</v>
          </cell>
          <cell r="G1227" t="str">
            <v>Затраты по ШПЗ (основные)</v>
          </cell>
          <cell r="H1227">
            <v>2011</v>
          </cell>
          <cell r="I1227">
            <v>7920</v>
          </cell>
          <cell r="J1227">
            <v>160803.03</v>
          </cell>
          <cell r="K1227">
            <v>1</v>
          </cell>
          <cell r="L1227">
            <v>0</v>
          </cell>
          <cell r="M1227">
            <v>0</v>
          </cell>
          <cell r="N1227">
            <v>0</v>
          </cell>
          <cell r="R1227">
            <v>0</v>
          </cell>
          <cell r="S1227">
            <v>0</v>
          </cell>
          <cell r="T1227">
            <v>0</v>
          </cell>
          <cell r="U1227">
            <v>33</v>
          </cell>
          <cell r="V1227">
            <v>0</v>
          </cell>
          <cell r="W1227">
            <v>0</v>
          </cell>
          <cell r="AA1227">
            <v>0</v>
          </cell>
          <cell r="AB1227">
            <v>0</v>
          </cell>
          <cell r="AC1227">
            <v>0</v>
          </cell>
          <cell r="AD1227">
            <v>33</v>
          </cell>
          <cell r="AE1227">
            <v>505200</v>
          </cell>
          <cell r="AF1227">
            <v>0</v>
          </cell>
          <cell r="AI1227">
            <v>2223</v>
          </cell>
          <cell r="AK1227">
            <v>0</v>
          </cell>
          <cell r="AM1227">
            <v>412</v>
          </cell>
          <cell r="AN1227">
            <v>1</v>
          </cell>
          <cell r="AO1227">
            <v>393216</v>
          </cell>
          <cell r="AQ1227">
            <v>0</v>
          </cell>
          <cell r="AR1227">
            <v>0</v>
          </cell>
          <cell r="AS1227" t="str">
            <v>Ы</v>
          </cell>
          <cell r="AT1227" t="str">
            <v>Ы</v>
          </cell>
          <cell r="AU1227">
            <v>0</v>
          </cell>
          <cell r="AV1227">
            <v>0</v>
          </cell>
          <cell r="AW1227">
            <v>23</v>
          </cell>
          <cell r="AX1227">
            <v>1</v>
          </cell>
          <cell r="AY1227">
            <v>0</v>
          </cell>
          <cell r="AZ1227">
            <v>0</v>
          </cell>
          <cell r="BA1227">
            <v>0</v>
          </cell>
          <cell r="BB1227">
            <v>0</v>
          </cell>
          <cell r="BC1227">
            <v>38828</v>
          </cell>
        </row>
        <row r="1228">
          <cell r="A1228">
            <v>2006</v>
          </cell>
          <cell r="B1228">
            <v>1</v>
          </cell>
          <cell r="C1228">
            <v>286</v>
          </cell>
          <cell r="D1228">
            <v>20</v>
          </cell>
          <cell r="E1228">
            <v>792020</v>
          </cell>
          <cell r="F1228">
            <v>0</v>
          </cell>
          <cell r="G1228" t="str">
            <v>Затраты по ШПЗ (основные)</v>
          </cell>
          <cell r="H1228">
            <v>2011</v>
          </cell>
          <cell r="I1228">
            <v>7920</v>
          </cell>
          <cell r="J1228">
            <v>1364.18</v>
          </cell>
          <cell r="K1228">
            <v>1</v>
          </cell>
          <cell r="L1228">
            <v>0</v>
          </cell>
          <cell r="M1228">
            <v>0</v>
          </cell>
          <cell r="N1228">
            <v>0</v>
          </cell>
          <cell r="R1228">
            <v>0</v>
          </cell>
          <cell r="S1228">
            <v>0</v>
          </cell>
          <cell r="T1228">
            <v>0</v>
          </cell>
          <cell r="U1228">
            <v>33</v>
          </cell>
          <cell r="V1228">
            <v>0</v>
          </cell>
          <cell r="W1228">
            <v>0</v>
          </cell>
          <cell r="AA1228">
            <v>0</v>
          </cell>
          <cell r="AB1228">
            <v>0</v>
          </cell>
          <cell r="AC1228">
            <v>0</v>
          </cell>
          <cell r="AD1228">
            <v>33</v>
          </cell>
          <cell r="AE1228">
            <v>505300</v>
          </cell>
          <cell r="AF1228">
            <v>0</v>
          </cell>
          <cell r="AI1228">
            <v>2223</v>
          </cell>
          <cell r="AK1228">
            <v>0</v>
          </cell>
          <cell r="AM1228">
            <v>413</v>
          </cell>
          <cell r="AN1228">
            <v>1</v>
          </cell>
          <cell r="AO1228">
            <v>393216</v>
          </cell>
          <cell r="AQ1228">
            <v>0</v>
          </cell>
          <cell r="AR1228">
            <v>0</v>
          </cell>
          <cell r="AS1228" t="str">
            <v>Ы</v>
          </cell>
          <cell r="AT1228" t="str">
            <v>Ы</v>
          </cell>
          <cell r="AU1228">
            <v>0</v>
          </cell>
          <cell r="AV1228">
            <v>0</v>
          </cell>
          <cell r="AW1228">
            <v>23</v>
          </cell>
          <cell r="AX1228">
            <v>1</v>
          </cell>
          <cell r="AY1228">
            <v>0</v>
          </cell>
          <cell r="AZ1228">
            <v>0</v>
          </cell>
          <cell r="BA1228">
            <v>0</v>
          </cell>
          <cell r="BB1228">
            <v>0</v>
          </cell>
          <cell r="BC1228">
            <v>38828</v>
          </cell>
        </row>
        <row r="1229">
          <cell r="A1229">
            <v>2006</v>
          </cell>
          <cell r="B1229">
            <v>1</v>
          </cell>
          <cell r="C1229">
            <v>287</v>
          </cell>
          <cell r="D1229">
            <v>20</v>
          </cell>
          <cell r="E1229">
            <v>792020</v>
          </cell>
          <cell r="F1229">
            <v>0</v>
          </cell>
          <cell r="G1229" t="str">
            <v>Затраты по ШПЗ (основные)</v>
          </cell>
          <cell r="H1229">
            <v>2011</v>
          </cell>
          <cell r="I1229">
            <v>7920</v>
          </cell>
          <cell r="J1229">
            <v>1209.5</v>
          </cell>
          <cell r="K1229">
            <v>1</v>
          </cell>
          <cell r="L1229">
            <v>0</v>
          </cell>
          <cell r="M1229">
            <v>0</v>
          </cell>
          <cell r="N1229">
            <v>0</v>
          </cell>
          <cell r="R1229">
            <v>0</v>
          </cell>
          <cell r="S1229">
            <v>0</v>
          </cell>
          <cell r="T1229">
            <v>0</v>
          </cell>
          <cell r="U1229">
            <v>33</v>
          </cell>
          <cell r="V1229">
            <v>0</v>
          </cell>
          <cell r="W1229">
            <v>0</v>
          </cell>
          <cell r="AA1229">
            <v>0</v>
          </cell>
          <cell r="AB1229">
            <v>0</v>
          </cell>
          <cell r="AC1229">
            <v>0</v>
          </cell>
          <cell r="AD1229">
            <v>33</v>
          </cell>
          <cell r="AE1229">
            <v>505400</v>
          </cell>
          <cell r="AF1229">
            <v>0</v>
          </cell>
          <cell r="AI1229">
            <v>2223</v>
          </cell>
          <cell r="AK1229">
            <v>0</v>
          </cell>
          <cell r="AM1229">
            <v>414</v>
          </cell>
          <cell r="AN1229">
            <v>1</v>
          </cell>
          <cell r="AO1229">
            <v>393216</v>
          </cell>
          <cell r="AQ1229">
            <v>0</v>
          </cell>
          <cell r="AR1229">
            <v>0</v>
          </cell>
          <cell r="AS1229" t="str">
            <v>Ы</v>
          </cell>
          <cell r="AT1229" t="str">
            <v>Ы</v>
          </cell>
          <cell r="AU1229">
            <v>0</v>
          </cell>
          <cell r="AV1229">
            <v>0</v>
          </cell>
          <cell r="AW1229">
            <v>23</v>
          </cell>
          <cell r="AX1229">
            <v>1</v>
          </cell>
          <cell r="AY1229">
            <v>0</v>
          </cell>
          <cell r="AZ1229">
            <v>0</v>
          </cell>
          <cell r="BA1229">
            <v>0</v>
          </cell>
          <cell r="BB1229">
            <v>0</v>
          </cell>
          <cell r="BC1229">
            <v>38828</v>
          </cell>
        </row>
        <row r="1230">
          <cell r="A1230">
            <v>2006</v>
          </cell>
          <cell r="B1230">
            <v>1</v>
          </cell>
          <cell r="C1230">
            <v>288</v>
          </cell>
          <cell r="D1230">
            <v>20</v>
          </cell>
          <cell r="E1230">
            <v>792020</v>
          </cell>
          <cell r="F1230">
            <v>0</v>
          </cell>
          <cell r="G1230" t="str">
            <v>Затраты по ШПЗ (основные)</v>
          </cell>
          <cell r="H1230">
            <v>2011</v>
          </cell>
          <cell r="I1230">
            <v>7920</v>
          </cell>
          <cell r="J1230">
            <v>368212.86</v>
          </cell>
          <cell r="K1230">
            <v>1</v>
          </cell>
          <cell r="L1230">
            <v>0</v>
          </cell>
          <cell r="M1230">
            <v>0</v>
          </cell>
          <cell r="N1230">
            <v>0</v>
          </cell>
          <cell r="R1230">
            <v>0</v>
          </cell>
          <cell r="S1230">
            <v>0</v>
          </cell>
          <cell r="T1230">
            <v>0</v>
          </cell>
          <cell r="U1230">
            <v>33</v>
          </cell>
          <cell r="V1230">
            <v>0</v>
          </cell>
          <cell r="W1230">
            <v>0</v>
          </cell>
          <cell r="AA1230">
            <v>0</v>
          </cell>
          <cell r="AB1230">
            <v>0</v>
          </cell>
          <cell r="AC1230">
            <v>0</v>
          </cell>
          <cell r="AD1230">
            <v>33</v>
          </cell>
          <cell r="AE1230">
            <v>510100</v>
          </cell>
          <cell r="AF1230">
            <v>0</v>
          </cell>
          <cell r="AI1230">
            <v>2223</v>
          </cell>
          <cell r="AK1230">
            <v>0</v>
          </cell>
          <cell r="AM1230">
            <v>415</v>
          </cell>
          <cell r="AN1230">
            <v>1</v>
          </cell>
          <cell r="AO1230">
            <v>393216</v>
          </cell>
          <cell r="AQ1230">
            <v>0</v>
          </cell>
          <cell r="AR1230">
            <v>0</v>
          </cell>
          <cell r="AS1230" t="str">
            <v>Ы</v>
          </cell>
          <cell r="AT1230" t="str">
            <v>Ы</v>
          </cell>
          <cell r="AU1230">
            <v>0</v>
          </cell>
          <cell r="AV1230">
            <v>0</v>
          </cell>
          <cell r="AW1230">
            <v>23</v>
          </cell>
          <cell r="AX1230">
            <v>1</v>
          </cell>
          <cell r="AY1230">
            <v>0</v>
          </cell>
          <cell r="AZ1230">
            <v>0</v>
          </cell>
          <cell r="BA1230">
            <v>0</v>
          </cell>
          <cell r="BB1230">
            <v>0</v>
          </cell>
          <cell r="BC1230">
            <v>38828</v>
          </cell>
        </row>
        <row r="1231">
          <cell r="A1231">
            <v>2006</v>
          </cell>
          <cell r="B1231">
            <v>1</v>
          </cell>
          <cell r="C1231">
            <v>289</v>
          </cell>
          <cell r="D1231">
            <v>20</v>
          </cell>
          <cell r="E1231">
            <v>792020</v>
          </cell>
          <cell r="F1231">
            <v>0</v>
          </cell>
          <cell r="G1231" t="str">
            <v>Затраты по ШПЗ (основные)</v>
          </cell>
          <cell r="H1231">
            <v>2011</v>
          </cell>
          <cell r="I1231">
            <v>7920</v>
          </cell>
          <cell r="J1231">
            <v>7160.58</v>
          </cell>
          <cell r="K1231">
            <v>1</v>
          </cell>
          <cell r="L1231">
            <v>0</v>
          </cell>
          <cell r="M1231">
            <v>0</v>
          </cell>
          <cell r="N1231">
            <v>0</v>
          </cell>
          <cell r="R1231">
            <v>0</v>
          </cell>
          <cell r="S1231">
            <v>0</v>
          </cell>
          <cell r="T1231">
            <v>0</v>
          </cell>
          <cell r="U1231">
            <v>33</v>
          </cell>
          <cell r="V1231">
            <v>0</v>
          </cell>
          <cell r="W1231">
            <v>0</v>
          </cell>
          <cell r="AA1231">
            <v>0</v>
          </cell>
          <cell r="AB1231">
            <v>0</v>
          </cell>
          <cell r="AC1231">
            <v>0</v>
          </cell>
          <cell r="AD1231">
            <v>33</v>
          </cell>
          <cell r="AE1231">
            <v>510400</v>
          </cell>
          <cell r="AF1231">
            <v>0</v>
          </cell>
          <cell r="AI1231">
            <v>2223</v>
          </cell>
          <cell r="AK1231">
            <v>0</v>
          </cell>
          <cell r="AM1231">
            <v>416</v>
          </cell>
          <cell r="AN1231">
            <v>1</v>
          </cell>
          <cell r="AO1231">
            <v>393216</v>
          </cell>
          <cell r="AQ1231">
            <v>0</v>
          </cell>
          <cell r="AR1231">
            <v>0</v>
          </cell>
          <cell r="AS1231" t="str">
            <v>Ы</v>
          </cell>
          <cell r="AT1231" t="str">
            <v>Ы</v>
          </cell>
          <cell r="AU1231">
            <v>0</v>
          </cell>
          <cell r="AV1231">
            <v>0</v>
          </cell>
          <cell r="AW1231">
            <v>23</v>
          </cell>
          <cell r="AX1231">
            <v>1</v>
          </cell>
          <cell r="AY1231">
            <v>0</v>
          </cell>
          <cell r="AZ1231">
            <v>0</v>
          </cell>
          <cell r="BA1231">
            <v>0</v>
          </cell>
          <cell r="BB1231">
            <v>0</v>
          </cell>
          <cell r="BC1231">
            <v>38828</v>
          </cell>
        </row>
        <row r="1232">
          <cell r="A1232">
            <v>2006</v>
          </cell>
          <cell r="B1232">
            <v>1</v>
          </cell>
          <cell r="C1232">
            <v>290</v>
          </cell>
          <cell r="D1232">
            <v>20</v>
          </cell>
          <cell r="E1232">
            <v>792020</v>
          </cell>
          <cell r="F1232">
            <v>0</v>
          </cell>
          <cell r="G1232" t="str">
            <v>Затраты по ШПЗ (основные)</v>
          </cell>
          <cell r="H1232">
            <v>2011</v>
          </cell>
          <cell r="I1232">
            <v>7920</v>
          </cell>
          <cell r="J1232">
            <v>330509</v>
          </cell>
          <cell r="K1232">
            <v>1</v>
          </cell>
          <cell r="L1232">
            <v>0</v>
          </cell>
          <cell r="M1232">
            <v>0</v>
          </cell>
          <cell r="N1232">
            <v>0</v>
          </cell>
          <cell r="R1232">
            <v>0</v>
          </cell>
          <cell r="S1232">
            <v>0</v>
          </cell>
          <cell r="T1232">
            <v>0</v>
          </cell>
          <cell r="U1232">
            <v>33</v>
          </cell>
          <cell r="V1232">
            <v>0</v>
          </cell>
          <cell r="W1232">
            <v>0</v>
          </cell>
          <cell r="AA1232">
            <v>0</v>
          </cell>
          <cell r="AB1232">
            <v>0</v>
          </cell>
          <cell r="AC1232">
            <v>0</v>
          </cell>
          <cell r="AD1232">
            <v>33</v>
          </cell>
          <cell r="AE1232">
            <v>510600</v>
          </cell>
          <cell r="AF1232">
            <v>0</v>
          </cell>
          <cell r="AI1232">
            <v>2223</v>
          </cell>
          <cell r="AK1232">
            <v>0</v>
          </cell>
          <cell r="AM1232">
            <v>417</v>
          </cell>
          <cell r="AN1232">
            <v>1</v>
          </cell>
          <cell r="AO1232">
            <v>393216</v>
          </cell>
          <cell r="AQ1232">
            <v>0</v>
          </cell>
          <cell r="AR1232">
            <v>0</v>
          </cell>
          <cell r="AS1232" t="str">
            <v>Ы</v>
          </cell>
          <cell r="AT1232" t="str">
            <v>Ы</v>
          </cell>
          <cell r="AU1232">
            <v>0</v>
          </cell>
          <cell r="AV1232">
            <v>0</v>
          </cell>
          <cell r="AW1232">
            <v>23</v>
          </cell>
          <cell r="AX1232">
            <v>1</v>
          </cell>
          <cell r="AY1232">
            <v>0</v>
          </cell>
          <cell r="AZ1232">
            <v>0</v>
          </cell>
          <cell r="BA1232">
            <v>0</v>
          </cell>
          <cell r="BB1232">
            <v>0</v>
          </cell>
          <cell r="BC1232">
            <v>38828</v>
          </cell>
        </row>
        <row r="1233">
          <cell r="A1233">
            <v>2006</v>
          </cell>
          <cell r="B1233">
            <v>1</v>
          </cell>
          <cell r="C1233">
            <v>291</v>
          </cell>
          <cell r="D1233">
            <v>20</v>
          </cell>
          <cell r="E1233">
            <v>792020</v>
          </cell>
          <cell r="F1233">
            <v>0</v>
          </cell>
          <cell r="G1233" t="str">
            <v>Затраты по ШПЗ (основные)</v>
          </cell>
          <cell r="H1233">
            <v>2011</v>
          </cell>
          <cell r="I1233">
            <v>7920</v>
          </cell>
          <cell r="J1233">
            <v>388.42</v>
          </cell>
          <cell r="K1233">
            <v>1</v>
          </cell>
          <cell r="L1233">
            <v>0</v>
          </cell>
          <cell r="M1233">
            <v>0</v>
          </cell>
          <cell r="N1233">
            <v>0</v>
          </cell>
          <cell r="R1233">
            <v>0</v>
          </cell>
          <cell r="S1233">
            <v>0</v>
          </cell>
          <cell r="T1233">
            <v>0</v>
          </cell>
          <cell r="U1233">
            <v>33</v>
          </cell>
          <cell r="V1233">
            <v>0</v>
          </cell>
          <cell r="W1233">
            <v>0</v>
          </cell>
          <cell r="AA1233">
            <v>0</v>
          </cell>
          <cell r="AB1233">
            <v>0</v>
          </cell>
          <cell r="AC1233">
            <v>0</v>
          </cell>
          <cell r="AD1233">
            <v>33</v>
          </cell>
          <cell r="AE1233">
            <v>512000</v>
          </cell>
          <cell r="AF1233">
            <v>0</v>
          </cell>
          <cell r="AI1233">
            <v>2223</v>
          </cell>
          <cell r="AK1233">
            <v>0</v>
          </cell>
          <cell r="AM1233">
            <v>418</v>
          </cell>
          <cell r="AN1233">
            <v>1</v>
          </cell>
          <cell r="AO1233">
            <v>393216</v>
          </cell>
          <cell r="AQ1233">
            <v>0</v>
          </cell>
          <cell r="AR1233">
            <v>0</v>
          </cell>
          <cell r="AS1233" t="str">
            <v>Ы</v>
          </cell>
          <cell r="AT1233" t="str">
            <v>Ы</v>
          </cell>
          <cell r="AU1233">
            <v>0</v>
          </cell>
          <cell r="AV1233">
            <v>0</v>
          </cell>
          <cell r="AW1233">
            <v>23</v>
          </cell>
          <cell r="AX1233">
            <v>1</v>
          </cell>
          <cell r="AY1233">
            <v>0</v>
          </cell>
          <cell r="AZ1233">
            <v>0</v>
          </cell>
          <cell r="BA1233">
            <v>0</v>
          </cell>
          <cell r="BB1233">
            <v>0</v>
          </cell>
          <cell r="BC1233">
            <v>38828</v>
          </cell>
        </row>
        <row r="1234">
          <cell r="A1234">
            <v>2006</v>
          </cell>
          <cell r="B1234">
            <v>1</v>
          </cell>
          <cell r="C1234">
            <v>292</v>
          </cell>
          <cell r="D1234">
            <v>20</v>
          </cell>
          <cell r="E1234">
            <v>792020</v>
          </cell>
          <cell r="F1234">
            <v>0</v>
          </cell>
          <cell r="G1234" t="str">
            <v>Затраты по ШПЗ (основные)</v>
          </cell>
          <cell r="H1234">
            <v>2011</v>
          </cell>
          <cell r="I1234">
            <v>7920</v>
          </cell>
          <cell r="J1234">
            <v>10498.48</v>
          </cell>
          <cell r="K1234">
            <v>1</v>
          </cell>
          <cell r="L1234">
            <v>0</v>
          </cell>
          <cell r="M1234">
            <v>0</v>
          </cell>
          <cell r="N1234">
            <v>0</v>
          </cell>
          <cell r="R1234">
            <v>0</v>
          </cell>
          <cell r="S1234">
            <v>0</v>
          </cell>
          <cell r="T1234">
            <v>0</v>
          </cell>
          <cell r="U1234">
            <v>33</v>
          </cell>
          <cell r="V1234">
            <v>0</v>
          </cell>
          <cell r="W1234">
            <v>0</v>
          </cell>
          <cell r="AA1234">
            <v>0</v>
          </cell>
          <cell r="AB1234">
            <v>0</v>
          </cell>
          <cell r="AC1234">
            <v>0</v>
          </cell>
          <cell r="AD1234">
            <v>33</v>
          </cell>
          <cell r="AE1234">
            <v>513100</v>
          </cell>
          <cell r="AF1234">
            <v>0</v>
          </cell>
          <cell r="AI1234">
            <v>2223</v>
          </cell>
          <cell r="AK1234">
            <v>0</v>
          </cell>
          <cell r="AM1234">
            <v>419</v>
          </cell>
          <cell r="AN1234">
            <v>1</v>
          </cell>
          <cell r="AO1234">
            <v>393216</v>
          </cell>
          <cell r="AQ1234">
            <v>0</v>
          </cell>
          <cell r="AR1234">
            <v>0</v>
          </cell>
          <cell r="AS1234" t="str">
            <v>Ы</v>
          </cell>
          <cell r="AT1234" t="str">
            <v>Ы</v>
          </cell>
          <cell r="AU1234">
            <v>0</v>
          </cell>
          <cell r="AV1234">
            <v>0</v>
          </cell>
          <cell r="AW1234">
            <v>23</v>
          </cell>
          <cell r="AX1234">
            <v>1</v>
          </cell>
          <cell r="AY1234">
            <v>0</v>
          </cell>
          <cell r="AZ1234">
            <v>0</v>
          </cell>
          <cell r="BA1234">
            <v>0</v>
          </cell>
          <cell r="BB1234">
            <v>0</v>
          </cell>
          <cell r="BC1234">
            <v>38828</v>
          </cell>
        </row>
        <row r="1235">
          <cell r="A1235">
            <v>2006</v>
          </cell>
          <cell r="B1235">
            <v>1</v>
          </cell>
          <cell r="C1235">
            <v>294</v>
          </cell>
          <cell r="D1235">
            <v>20</v>
          </cell>
          <cell r="E1235">
            <v>792020</v>
          </cell>
          <cell r="F1235">
            <v>0</v>
          </cell>
          <cell r="G1235" t="str">
            <v>Затраты по ШПЗ (основные)</v>
          </cell>
          <cell r="H1235">
            <v>2011</v>
          </cell>
          <cell r="I1235">
            <v>7920</v>
          </cell>
          <cell r="J1235">
            <v>120849.82</v>
          </cell>
          <cell r="K1235">
            <v>1</v>
          </cell>
          <cell r="L1235">
            <v>0</v>
          </cell>
          <cell r="M1235">
            <v>0</v>
          </cell>
          <cell r="N1235">
            <v>0</v>
          </cell>
          <cell r="R1235">
            <v>0</v>
          </cell>
          <cell r="S1235">
            <v>0</v>
          </cell>
          <cell r="T1235">
            <v>0</v>
          </cell>
          <cell r="U1235">
            <v>36</v>
          </cell>
          <cell r="V1235">
            <v>0</v>
          </cell>
          <cell r="W1235">
            <v>0</v>
          </cell>
          <cell r="AA1235">
            <v>0</v>
          </cell>
          <cell r="AB1235">
            <v>0</v>
          </cell>
          <cell r="AC1235">
            <v>0</v>
          </cell>
          <cell r="AD1235">
            <v>36</v>
          </cell>
          <cell r="AE1235">
            <v>110000</v>
          </cell>
          <cell r="AF1235">
            <v>0</v>
          </cell>
          <cell r="AI1235">
            <v>2223</v>
          </cell>
          <cell r="AK1235">
            <v>0</v>
          </cell>
          <cell r="AM1235">
            <v>421</v>
          </cell>
          <cell r="AN1235">
            <v>1</v>
          </cell>
          <cell r="AO1235">
            <v>393216</v>
          </cell>
          <cell r="AQ1235">
            <v>0</v>
          </cell>
          <cell r="AR1235">
            <v>0</v>
          </cell>
          <cell r="AS1235" t="str">
            <v>Ы</v>
          </cell>
          <cell r="AT1235" t="str">
            <v>Ы</v>
          </cell>
          <cell r="AU1235">
            <v>0</v>
          </cell>
          <cell r="AV1235">
            <v>0</v>
          </cell>
          <cell r="AW1235">
            <v>23</v>
          </cell>
          <cell r="AX1235">
            <v>1</v>
          </cell>
          <cell r="AY1235">
            <v>0</v>
          </cell>
          <cell r="AZ1235">
            <v>0</v>
          </cell>
          <cell r="BA1235">
            <v>0</v>
          </cell>
          <cell r="BB1235">
            <v>0</v>
          </cell>
          <cell r="BC1235">
            <v>38828</v>
          </cell>
        </row>
        <row r="1236">
          <cell r="A1236">
            <v>2006</v>
          </cell>
          <cell r="B1236">
            <v>1</v>
          </cell>
          <cell r="C1236">
            <v>295</v>
          </cell>
          <cell r="D1236">
            <v>20</v>
          </cell>
          <cell r="E1236">
            <v>792020</v>
          </cell>
          <cell r="F1236">
            <v>0</v>
          </cell>
          <cell r="G1236" t="str">
            <v>Затраты по ШПЗ (основные)</v>
          </cell>
          <cell r="H1236">
            <v>2011</v>
          </cell>
          <cell r="I1236">
            <v>7920</v>
          </cell>
          <cell r="J1236">
            <v>3788.34</v>
          </cell>
          <cell r="K1236">
            <v>1</v>
          </cell>
          <cell r="L1236">
            <v>0</v>
          </cell>
          <cell r="M1236">
            <v>0</v>
          </cell>
          <cell r="N1236">
            <v>0</v>
          </cell>
          <cell r="R1236">
            <v>0</v>
          </cell>
          <cell r="S1236">
            <v>0</v>
          </cell>
          <cell r="T1236">
            <v>0</v>
          </cell>
          <cell r="U1236">
            <v>36</v>
          </cell>
          <cell r="V1236">
            <v>0</v>
          </cell>
          <cell r="W1236">
            <v>0</v>
          </cell>
          <cell r="AA1236">
            <v>0</v>
          </cell>
          <cell r="AB1236">
            <v>0</v>
          </cell>
          <cell r="AC1236">
            <v>0</v>
          </cell>
          <cell r="AD1236">
            <v>36</v>
          </cell>
          <cell r="AE1236">
            <v>114020</v>
          </cell>
          <cell r="AF1236">
            <v>0</v>
          </cell>
          <cell r="AI1236">
            <v>2223</v>
          </cell>
          <cell r="AK1236">
            <v>0</v>
          </cell>
          <cell r="AM1236">
            <v>422</v>
          </cell>
          <cell r="AN1236">
            <v>1</v>
          </cell>
          <cell r="AO1236">
            <v>393216</v>
          </cell>
          <cell r="AQ1236">
            <v>0</v>
          </cell>
          <cell r="AR1236">
            <v>0</v>
          </cell>
          <cell r="AS1236" t="str">
            <v>Ы</v>
          </cell>
          <cell r="AT1236" t="str">
            <v>Ы</v>
          </cell>
          <cell r="AU1236">
            <v>0</v>
          </cell>
          <cell r="AV1236">
            <v>0</v>
          </cell>
          <cell r="AW1236">
            <v>23</v>
          </cell>
          <cell r="AX1236">
            <v>1</v>
          </cell>
          <cell r="AY1236">
            <v>0</v>
          </cell>
          <cell r="AZ1236">
            <v>0</v>
          </cell>
          <cell r="BA1236">
            <v>0</v>
          </cell>
          <cell r="BB1236">
            <v>0</v>
          </cell>
          <cell r="BC1236">
            <v>38828</v>
          </cell>
        </row>
        <row r="1237">
          <cell r="A1237">
            <v>2006</v>
          </cell>
          <cell r="B1237">
            <v>1</v>
          </cell>
          <cell r="C1237">
            <v>296</v>
          </cell>
          <cell r="D1237">
            <v>20</v>
          </cell>
          <cell r="E1237">
            <v>792020</v>
          </cell>
          <cell r="F1237">
            <v>0</v>
          </cell>
          <cell r="G1237" t="str">
            <v>Затраты по ШПЗ (основные)</v>
          </cell>
          <cell r="H1237">
            <v>2011</v>
          </cell>
          <cell r="I1237">
            <v>7920</v>
          </cell>
          <cell r="J1237">
            <v>32522.87</v>
          </cell>
          <cell r="K1237">
            <v>1</v>
          </cell>
          <cell r="L1237">
            <v>0</v>
          </cell>
          <cell r="M1237">
            <v>0</v>
          </cell>
          <cell r="N1237">
            <v>0</v>
          </cell>
          <cell r="R1237">
            <v>0</v>
          </cell>
          <cell r="S1237">
            <v>0</v>
          </cell>
          <cell r="T1237">
            <v>0</v>
          </cell>
          <cell r="U1237">
            <v>36</v>
          </cell>
          <cell r="V1237">
            <v>0</v>
          </cell>
          <cell r="W1237">
            <v>0</v>
          </cell>
          <cell r="AA1237">
            <v>0</v>
          </cell>
          <cell r="AB1237">
            <v>0</v>
          </cell>
          <cell r="AC1237">
            <v>0</v>
          </cell>
          <cell r="AD1237">
            <v>36</v>
          </cell>
          <cell r="AE1237">
            <v>116000</v>
          </cell>
          <cell r="AF1237">
            <v>0</v>
          </cell>
          <cell r="AI1237">
            <v>2223</v>
          </cell>
          <cell r="AK1237">
            <v>0</v>
          </cell>
          <cell r="AM1237">
            <v>423</v>
          </cell>
          <cell r="AN1237">
            <v>1</v>
          </cell>
          <cell r="AO1237">
            <v>393216</v>
          </cell>
          <cell r="AQ1237">
            <v>0</v>
          </cell>
          <cell r="AR1237">
            <v>0</v>
          </cell>
          <cell r="AS1237" t="str">
            <v>Ы</v>
          </cell>
          <cell r="AT1237" t="str">
            <v>Ы</v>
          </cell>
          <cell r="AU1237">
            <v>0</v>
          </cell>
          <cell r="AV1237">
            <v>0</v>
          </cell>
          <cell r="AW1237">
            <v>23</v>
          </cell>
          <cell r="AX1237">
            <v>1</v>
          </cell>
          <cell r="AY1237">
            <v>0</v>
          </cell>
          <cell r="AZ1237">
            <v>0</v>
          </cell>
          <cell r="BA1237">
            <v>0</v>
          </cell>
          <cell r="BB1237">
            <v>0</v>
          </cell>
          <cell r="BC1237">
            <v>38828</v>
          </cell>
        </row>
        <row r="1238">
          <cell r="A1238">
            <v>2006</v>
          </cell>
          <cell r="B1238">
            <v>1</v>
          </cell>
          <cell r="C1238">
            <v>297</v>
          </cell>
          <cell r="D1238">
            <v>20</v>
          </cell>
          <cell r="E1238">
            <v>792020</v>
          </cell>
          <cell r="F1238">
            <v>0</v>
          </cell>
          <cell r="G1238" t="str">
            <v>Затраты по ШПЗ (основные)</v>
          </cell>
          <cell r="H1238">
            <v>2011</v>
          </cell>
          <cell r="I1238">
            <v>7920</v>
          </cell>
          <cell r="J1238">
            <v>15213.77</v>
          </cell>
          <cell r="K1238">
            <v>1</v>
          </cell>
          <cell r="L1238">
            <v>0</v>
          </cell>
          <cell r="M1238">
            <v>0</v>
          </cell>
          <cell r="N1238">
            <v>0</v>
          </cell>
          <cell r="R1238">
            <v>0</v>
          </cell>
          <cell r="S1238">
            <v>0</v>
          </cell>
          <cell r="T1238">
            <v>0</v>
          </cell>
          <cell r="U1238">
            <v>36</v>
          </cell>
          <cell r="V1238">
            <v>0</v>
          </cell>
          <cell r="W1238">
            <v>0</v>
          </cell>
          <cell r="AA1238">
            <v>0</v>
          </cell>
          <cell r="AB1238">
            <v>0</v>
          </cell>
          <cell r="AC1238">
            <v>0</v>
          </cell>
          <cell r="AD1238">
            <v>36</v>
          </cell>
          <cell r="AE1238">
            <v>117000</v>
          </cell>
          <cell r="AF1238">
            <v>0</v>
          </cell>
          <cell r="AI1238">
            <v>2223</v>
          </cell>
          <cell r="AK1238">
            <v>0</v>
          </cell>
          <cell r="AM1238">
            <v>424</v>
          </cell>
          <cell r="AN1238">
            <v>1</v>
          </cell>
          <cell r="AO1238">
            <v>393216</v>
          </cell>
          <cell r="AQ1238">
            <v>0</v>
          </cell>
          <cell r="AR1238">
            <v>0</v>
          </cell>
          <cell r="AS1238" t="str">
            <v>Ы</v>
          </cell>
          <cell r="AT1238" t="str">
            <v>Ы</v>
          </cell>
          <cell r="AU1238">
            <v>0</v>
          </cell>
          <cell r="AV1238">
            <v>0</v>
          </cell>
          <cell r="AW1238">
            <v>23</v>
          </cell>
          <cell r="AX1238">
            <v>1</v>
          </cell>
          <cell r="AY1238">
            <v>0</v>
          </cell>
          <cell r="AZ1238">
            <v>0</v>
          </cell>
          <cell r="BA1238">
            <v>0</v>
          </cell>
          <cell r="BB1238">
            <v>0</v>
          </cell>
          <cell r="BC1238">
            <v>38828</v>
          </cell>
        </row>
        <row r="1239">
          <cell r="A1239">
            <v>2006</v>
          </cell>
          <cell r="B1239">
            <v>1</v>
          </cell>
          <cell r="C1239">
            <v>298</v>
          </cell>
          <cell r="D1239">
            <v>20</v>
          </cell>
          <cell r="E1239">
            <v>792020</v>
          </cell>
          <cell r="F1239">
            <v>0</v>
          </cell>
          <cell r="G1239" t="str">
            <v>Затраты по ШПЗ (основные)</v>
          </cell>
          <cell r="H1239">
            <v>2011</v>
          </cell>
          <cell r="I1239">
            <v>7920</v>
          </cell>
          <cell r="J1239">
            <v>1424</v>
          </cell>
          <cell r="K1239">
            <v>1</v>
          </cell>
          <cell r="L1239">
            <v>0</v>
          </cell>
          <cell r="M1239">
            <v>0</v>
          </cell>
          <cell r="N1239">
            <v>0</v>
          </cell>
          <cell r="R1239">
            <v>0</v>
          </cell>
          <cell r="S1239">
            <v>0</v>
          </cell>
          <cell r="T1239">
            <v>0</v>
          </cell>
          <cell r="U1239">
            <v>36</v>
          </cell>
          <cell r="V1239">
            <v>0</v>
          </cell>
          <cell r="W1239">
            <v>0</v>
          </cell>
          <cell r="AA1239">
            <v>0</v>
          </cell>
          <cell r="AB1239">
            <v>0</v>
          </cell>
          <cell r="AC1239">
            <v>0</v>
          </cell>
          <cell r="AD1239">
            <v>36</v>
          </cell>
          <cell r="AE1239">
            <v>118000</v>
          </cell>
          <cell r="AF1239">
            <v>0</v>
          </cell>
          <cell r="AI1239">
            <v>2223</v>
          </cell>
          <cell r="AK1239">
            <v>0</v>
          </cell>
          <cell r="AM1239">
            <v>425</v>
          </cell>
          <cell r="AN1239">
            <v>1</v>
          </cell>
          <cell r="AO1239">
            <v>393216</v>
          </cell>
          <cell r="AQ1239">
            <v>0</v>
          </cell>
          <cell r="AR1239">
            <v>0</v>
          </cell>
          <cell r="AS1239" t="str">
            <v>Ы</v>
          </cell>
          <cell r="AT1239" t="str">
            <v>Ы</v>
          </cell>
          <cell r="AU1239">
            <v>0</v>
          </cell>
          <cell r="AV1239">
            <v>0</v>
          </cell>
          <cell r="AW1239">
            <v>23</v>
          </cell>
          <cell r="AX1239">
            <v>1</v>
          </cell>
          <cell r="AY1239">
            <v>0</v>
          </cell>
          <cell r="AZ1239">
            <v>0</v>
          </cell>
          <cell r="BA1239">
            <v>0</v>
          </cell>
          <cell r="BB1239">
            <v>0</v>
          </cell>
          <cell r="BC1239">
            <v>38828</v>
          </cell>
        </row>
        <row r="1240">
          <cell r="A1240">
            <v>2006</v>
          </cell>
          <cell r="B1240">
            <v>1</v>
          </cell>
          <cell r="C1240">
            <v>299</v>
          </cell>
          <cell r="D1240">
            <v>20</v>
          </cell>
          <cell r="E1240">
            <v>792020</v>
          </cell>
          <cell r="F1240">
            <v>0</v>
          </cell>
          <cell r="G1240" t="str">
            <v>Затраты по ШПЗ (основные)</v>
          </cell>
          <cell r="H1240">
            <v>2011</v>
          </cell>
          <cell r="I1240">
            <v>7920</v>
          </cell>
          <cell r="J1240">
            <v>1845</v>
          </cell>
          <cell r="K1240">
            <v>1</v>
          </cell>
          <cell r="L1240">
            <v>0</v>
          </cell>
          <cell r="M1240">
            <v>0</v>
          </cell>
          <cell r="N1240">
            <v>0</v>
          </cell>
          <cell r="R1240">
            <v>0</v>
          </cell>
          <cell r="S1240">
            <v>0</v>
          </cell>
          <cell r="T1240">
            <v>0</v>
          </cell>
          <cell r="U1240">
            <v>36</v>
          </cell>
          <cell r="V1240">
            <v>0</v>
          </cell>
          <cell r="W1240">
            <v>0</v>
          </cell>
          <cell r="AA1240">
            <v>0</v>
          </cell>
          <cell r="AB1240">
            <v>0</v>
          </cell>
          <cell r="AC1240">
            <v>0</v>
          </cell>
          <cell r="AD1240">
            <v>36</v>
          </cell>
          <cell r="AE1240">
            <v>132000</v>
          </cell>
          <cell r="AF1240">
            <v>0</v>
          </cell>
          <cell r="AI1240">
            <v>2223</v>
          </cell>
          <cell r="AK1240">
            <v>0</v>
          </cell>
          <cell r="AM1240">
            <v>426</v>
          </cell>
          <cell r="AN1240">
            <v>1</v>
          </cell>
          <cell r="AO1240">
            <v>393216</v>
          </cell>
          <cell r="AQ1240">
            <v>0</v>
          </cell>
          <cell r="AR1240">
            <v>0</v>
          </cell>
          <cell r="AS1240" t="str">
            <v>Ы</v>
          </cell>
          <cell r="AT1240" t="str">
            <v>Ы</v>
          </cell>
          <cell r="AU1240">
            <v>0</v>
          </cell>
          <cell r="AV1240">
            <v>0</v>
          </cell>
          <cell r="AW1240">
            <v>23</v>
          </cell>
          <cell r="AX1240">
            <v>1</v>
          </cell>
          <cell r="AY1240">
            <v>0</v>
          </cell>
          <cell r="AZ1240">
            <v>0</v>
          </cell>
          <cell r="BA1240">
            <v>0</v>
          </cell>
          <cell r="BB1240">
            <v>0</v>
          </cell>
          <cell r="BC1240">
            <v>38828</v>
          </cell>
        </row>
        <row r="1241">
          <cell r="A1241">
            <v>2006</v>
          </cell>
          <cell r="B1241">
            <v>1</v>
          </cell>
          <cell r="C1241">
            <v>300</v>
          </cell>
          <cell r="D1241">
            <v>20</v>
          </cell>
          <cell r="E1241">
            <v>792020</v>
          </cell>
          <cell r="F1241">
            <v>0</v>
          </cell>
          <cell r="G1241" t="str">
            <v>Затраты по ШПЗ (основные)</v>
          </cell>
          <cell r="H1241">
            <v>2011</v>
          </cell>
          <cell r="I1241">
            <v>7920</v>
          </cell>
          <cell r="J1241">
            <v>2828.48</v>
          </cell>
          <cell r="K1241">
            <v>1</v>
          </cell>
          <cell r="L1241">
            <v>0</v>
          </cell>
          <cell r="M1241">
            <v>0</v>
          </cell>
          <cell r="N1241">
            <v>0</v>
          </cell>
          <cell r="R1241">
            <v>0</v>
          </cell>
          <cell r="S1241">
            <v>0</v>
          </cell>
          <cell r="T1241">
            <v>0</v>
          </cell>
          <cell r="U1241">
            <v>36</v>
          </cell>
          <cell r="V1241">
            <v>0</v>
          </cell>
          <cell r="W1241">
            <v>0</v>
          </cell>
          <cell r="AA1241">
            <v>0</v>
          </cell>
          <cell r="AB1241">
            <v>0</v>
          </cell>
          <cell r="AC1241">
            <v>0</v>
          </cell>
          <cell r="AD1241">
            <v>36</v>
          </cell>
          <cell r="AE1241">
            <v>135000</v>
          </cell>
          <cell r="AF1241">
            <v>0</v>
          </cell>
          <cell r="AI1241">
            <v>2223</v>
          </cell>
          <cell r="AK1241">
            <v>0</v>
          </cell>
          <cell r="AM1241">
            <v>427</v>
          </cell>
          <cell r="AN1241">
            <v>1</v>
          </cell>
          <cell r="AO1241">
            <v>393216</v>
          </cell>
          <cell r="AQ1241">
            <v>0</v>
          </cell>
          <cell r="AR1241">
            <v>0</v>
          </cell>
          <cell r="AS1241" t="str">
            <v>Ы</v>
          </cell>
          <cell r="AT1241" t="str">
            <v>Ы</v>
          </cell>
          <cell r="AU1241">
            <v>0</v>
          </cell>
          <cell r="AV1241">
            <v>0</v>
          </cell>
          <cell r="AW1241">
            <v>23</v>
          </cell>
          <cell r="AX1241">
            <v>1</v>
          </cell>
          <cell r="AY1241">
            <v>0</v>
          </cell>
          <cell r="AZ1241">
            <v>0</v>
          </cell>
          <cell r="BA1241">
            <v>0</v>
          </cell>
          <cell r="BB1241">
            <v>0</v>
          </cell>
          <cell r="BC1241">
            <v>38828</v>
          </cell>
        </row>
        <row r="1242">
          <cell r="A1242">
            <v>2006</v>
          </cell>
          <cell r="B1242">
            <v>1</v>
          </cell>
          <cell r="C1242">
            <v>301</v>
          </cell>
          <cell r="D1242">
            <v>20</v>
          </cell>
          <cell r="E1242">
            <v>792020</v>
          </cell>
          <cell r="F1242">
            <v>0</v>
          </cell>
          <cell r="G1242" t="str">
            <v>Затраты по ШПЗ (основные)</v>
          </cell>
          <cell r="H1242">
            <v>2011</v>
          </cell>
          <cell r="I1242">
            <v>7920</v>
          </cell>
          <cell r="J1242">
            <v>199160.54</v>
          </cell>
          <cell r="K1242">
            <v>1</v>
          </cell>
          <cell r="L1242">
            <v>0</v>
          </cell>
          <cell r="M1242">
            <v>0</v>
          </cell>
          <cell r="N1242">
            <v>0</v>
          </cell>
          <cell r="R1242">
            <v>0</v>
          </cell>
          <cell r="S1242">
            <v>0</v>
          </cell>
          <cell r="T1242">
            <v>0</v>
          </cell>
          <cell r="U1242">
            <v>36</v>
          </cell>
          <cell r="V1242">
            <v>0</v>
          </cell>
          <cell r="W1242">
            <v>0</v>
          </cell>
          <cell r="AA1242">
            <v>0</v>
          </cell>
          <cell r="AB1242">
            <v>0</v>
          </cell>
          <cell r="AC1242">
            <v>0</v>
          </cell>
          <cell r="AD1242">
            <v>36</v>
          </cell>
          <cell r="AE1242">
            <v>143000</v>
          </cell>
          <cell r="AF1242">
            <v>0</v>
          </cell>
          <cell r="AI1242">
            <v>2223</v>
          </cell>
          <cell r="AK1242">
            <v>0</v>
          </cell>
          <cell r="AM1242">
            <v>428</v>
          </cell>
          <cell r="AN1242">
            <v>1</v>
          </cell>
          <cell r="AO1242">
            <v>393216</v>
          </cell>
          <cell r="AQ1242">
            <v>0</v>
          </cell>
          <cell r="AR1242">
            <v>0</v>
          </cell>
          <cell r="AS1242" t="str">
            <v>Ы</v>
          </cell>
          <cell r="AT1242" t="str">
            <v>Ы</v>
          </cell>
          <cell r="AU1242">
            <v>0</v>
          </cell>
          <cell r="AV1242">
            <v>0</v>
          </cell>
          <cell r="AW1242">
            <v>23</v>
          </cell>
          <cell r="AX1242">
            <v>1</v>
          </cell>
          <cell r="AY1242">
            <v>0</v>
          </cell>
          <cell r="AZ1242">
            <v>0</v>
          </cell>
          <cell r="BA1242">
            <v>0</v>
          </cell>
          <cell r="BB1242">
            <v>0</v>
          </cell>
          <cell r="BC1242">
            <v>38828</v>
          </cell>
        </row>
        <row r="1243">
          <cell r="A1243">
            <v>2006</v>
          </cell>
          <cell r="B1243">
            <v>1</v>
          </cell>
          <cell r="C1243">
            <v>302</v>
          </cell>
          <cell r="D1243">
            <v>20</v>
          </cell>
          <cell r="E1243">
            <v>792020</v>
          </cell>
          <cell r="F1243">
            <v>0</v>
          </cell>
          <cell r="G1243" t="str">
            <v>Затраты по ШПЗ (основные)</v>
          </cell>
          <cell r="H1243">
            <v>2011</v>
          </cell>
          <cell r="I1243">
            <v>7920</v>
          </cell>
          <cell r="J1243">
            <v>201889.62</v>
          </cell>
          <cell r="K1243">
            <v>1</v>
          </cell>
          <cell r="L1243">
            <v>0</v>
          </cell>
          <cell r="M1243">
            <v>0</v>
          </cell>
          <cell r="N1243">
            <v>0</v>
          </cell>
          <cell r="R1243">
            <v>0</v>
          </cell>
          <cell r="S1243">
            <v>0</v>
          </cell>
          <cell r="T1243">
            <v>0</v>
          </cell>
          <cell r="U1243">
            <v>36</v>
          </cell>
          <cell r="V1243">
            <v>0</v>
          </cell>
          <cell r="W1243">
            <v>0</v>
          </cell>
          <cell r="AA1243">
            <v>0</v>
          </cell>
          <cell r="AB1243">
            <v>0</v>
          </cell>
          <cell r="AC1243">
            <v>0</v>
          </cell>
          <cell r="AD1243">
            <v>36</v>
          </cell>
          <cell r="AE1243">
            <v>151000</v>
          </cell>
          <cell r="AF1243">
            <v>0</v>
          </cell>
          <cell r="AI1243">
            <v>2223</v>
          </cell>
          <cell r="AK1243">
            <v>0</v>
          </cell>
          <cell r="AM1243">
            <v>429</v>
          </cell>
          <cell r="AN1243">
            <v>1</v>
          </cell>
          <cell r="AO1243">
            <v>393216</v>
          </cell>
          <cell r="AQ1243">
            <v>0</v>
          </cell>
          <cell r="AR1243">
            <v>0</v>
          </cell>
          <cell r="AS1243" t="str">
            <v>Ы</v>
          </cell>
          <cell r="AT1243" t="str">
            <v>Ы</v>
          </cell>
          <cell r="AU1243">
            <v>0</v>
          </cell>
          <cell r="AV1243">
            <v>0</v>
          </cell>
          <cell r="AW1243">
            <v>23</v>
          </cell>
          <cell r="AX1243">
            <v>1</v>
          </cell>
          <cell r="AY1243">
            <v>0</v>
          </cell>
          <cell r="AZ1243">
            <v>0</v>
          </cell>
          <cell r="BA1243">
            <v>0</v>
          </cell>
          <cell r="BB1243">
            <v>0</v>
          </cell>
          <cell r="BC1243">
            <v>38828</v>
          </cell>
        </row>
        <row r="1244">
          <cell r="A1244">
            <v>2006</v>
          </cell>
          <cell r="B1244">
            <v>1</v>
          </cell>
          <cell r="C1244">
            <v>303</v>
          </cell>
          <cell r="D1244">
            <v>20</v>
          </cell>
          <cell r="E1244">
            <v>792020</v>
          </cell>
          <cell r="F1244">
            <v>0</v>
          </cell>
          <cell r="G1244" t="str">
            <v>Затраты по ШПЗ (основные)</v>
          </cell>
          <cell r="H1244">
            <v>2011</v>
          </cell>
          <cell r="I1244">
            <v>7920</v>
          </cell>
          <cell r="J1244">
            <v>88125.59</v>
          </cell>
          <cell r="K1244">
            <v>1</v>
          </cell>
          <cell r="L1244">
            <v>0</v>
          </cell>
          <cell r="M1244">
            <v>0</v>
          </cell>
          <cell r="N1244">
            <v>0</v>
          </cell>
          <cell r="R1244">
            <v>0</v>
          </cell>
          <cell r="S1244">
            <v>0</v>
          </cell>
          <cell r="T1244">
            <v>0</v>
          </cell>
          <cell r="U1244">
            <v>36</v>
          </cell>
          <cell r="V1244">
            <v>0</v>
          </cell>
          <cell r="W1244">
            <v>0</v>
          </cell>
          <cell r="AA1244">
            <v>0</v>
          </cell>
          <cell r="AB1244">
            <v>0</v>
          </cell>
          <cell r="AC1244">
            <v>0</v>
          </cell>
          <cell r="AD1244">
            <v>36</v>
          </cell>
          <cell r="AE1244">
            <v>152000</v>
          </cell>
          <cell r="AF1244">
            <v>0</v>
          </cell>
          <cell r="AI1244">
            <v>2223</v>
          </cell>
          <cell r="AK1244">
            <v>0</v>
          </cell>
          <cell r="AM1244">
            <v>430</v>
          </cell>
          <cell r="AN1244">
            <v>1</v>
          </cell>
          <cell r="AO1244">
            <v>393216</v>
          </cell>
          <cell r="AQ1244">
            <v>0</v>
          </cell>
          <cell r="AR1244">
            <v>0</v>
          </cell>
          <cell r="AS1244" t="str">
            <v>Ы</v>
          </cell>
          <cell r="AT1244" t="str">
            <v>Ы</v>
          </cell>
          <cell r="AU1244">
            <v>0</v>
          </cell>
          <cell r="AV1244">
            <v>0</v>
          </cell>
          <cell r="AW1244">
            <v>23</v>
          </cell>
          <cell r="AX1244">
            <v>1</v>
          </cell>
          <cell r="AY1244">
            <v>0</v>
          </cell>
          <cell r="AZ1244">
            <v>0</v>
          </cell>
          <cell r="BA1244">
            <v>0</v>
          </cell>
          <cell r="BB1244">
            <v>0</v>
          </cell>
          <cell r="BC1244">
            <v>38828</v>
          </cell>
        </row>
        <row r="1245">
          <cell r="A1245">
            <v>2006</v>
          </cell>
          <cell r="B1245">
            <v>1</v>
          </cell>
          <cell r="C1245">
            <v>304</v>
          </cell>
          <cell r="D1245">
            <v>20</v>
          </cell>
          <cell r="E1245">
            <v>792020</v>
          </cell>
          <cell r="F1245">
            <v>0</v>
          </cell>
          <cell r="G1245" t="str">
            <v>Затраты по ШПЗ (основные)</v>
          </cell>
          <cell r="H1245">
            <v>2011</v>
          </cell>
          <cell r="I1245">
            <v>7920</v>
          </cell>
          <cell r="J1245">
            <v>1622631.95</v>
          </cell>
          <cell r="K1245">
            <v>1</v>
          </cell>
          <cell r="L1245">
            <v>0</v>
          </cell>
          <cell r="M1245">
            <v>0</v>
          </cell>
          <cell r="N1245">
            <v>0</v>
          </cell>
          <cell r="R1245">
            <v>0</v>
          </cell>
          <cell r="S1245">
            <v>0</v>
          </cell>
          <cell r="T1245">
            <v>0</v>
          </cell>
          <cell r="U1245">
            <v>36</v>
          </cell>
          <cell r="V1245">
            <v>0</v>
          </cell>
          <cell r="W1245">
            <v>0</v>
          </cell>
          <cell r="AA1245">
            <v>0</v>
          </cell>
          <cell r="AB1245">
            <v>0</v>
          </cell>
          <cell r="AC1245">
            <v>0</v>
          </cell>
          <cell r="AD1245">
            <v>36</v>
          </cell>
          <cell r="AE1245">
            <v>220000</v>
          </cell>
          <cell r="AF1245">
            <v>0</v>
          </cell>
          <cell r="AI1245">
            <v>2223</v>
          </cell>
          <cell r="AK1245">
            <v>0</v>
          </cell>
          <cell r="AM1245">
            <v>431</v>
          </cell>
          <cell r="AN1245">
            <v>1</v>
          </cell>
          <cell r="AO1245">
            <v>393216</v>
          </cell>
          <cell r="AQ1245">
            <v>0</v>
          </cell>
          <cell r="AR1245">
            <v>0</v>
          </cell>
          <cell r="AS1245" t="str">
            <v>Ы</v>
          </cell>
          <cell r="AT1245" t="str">
            <v>Ы</v>
          </cell>
          <cell r="AU1245">
            <v>0</v>
          </cell>
          <cell r="AV1245">
            <v>0</v>
          </cell>
          <cell r="AW1245">
            <v>23</v>
          </cell>
          <cell r="AX1245">
            <v>1</v>
          </cell>
          <cell r="AY1245">
            <v>0</v>
          </cell>
          <cell r="AZ1245">
            <v>0</v>
          </cell>
          <cell r="BA1245">
            <v>0</v>
          </cell>
          <cell r="BB1245">
            <v>0</v>
          </cell>
          <cell r="BC1245">
            <v>38828</v>
          </cell>
        </row>
        <row r="1246">
          <cell r="A1246">
            <v>2006</v>
          </cell>
          <cell r="B1246">
            <v>1</v>
          </cell>
          <cell r="C1246">
            <v>305</v>
          </cell>
          <cell r="D1246">
            <v>20</v>
          </cell>
          <cell r="E1246">
            <v>792020</v>
          </cell>
          <cell r="F1246">
            <v>0</v>
          </cell>
          <cell r="G1246" t="str">
            <v>Затраты по ШПЗ (основные)</v>
          </cell>
          <cell r="H1246">
            <v>2011</v>
          </cell>
          <cell r="I1246">
            <v>7920</v>
          </cell>
          <cell r="J1246">
            <v>851297.99</v>
          </cell>
          <cell r="K1246">
            <v>1</v>
          </cell>
          <cell r="L1246">
            <v>0</v>
          </cell>
          <cell r="M1246">
            <v>0</v>
          </cell>
          <cell r="N1246">
            <v>0</v>
          </cell>
          <cell r="R1246">
            <v>0</v>
          </cell>
          <cell r="S1246">
            <v>0</v>
          </cell>
          <cell r="T1246">
            <v>0</v>
          </cell>
          <cell r="U1246">
            <v>36</v>
          </cell>
          <cell r="V1246">
            <v>0</v>
          </cell>
          <cell r="W1246">
            <v>0</v>
          </cell>
          <cell r="AA1246">
            <v>0</v>
          </cell>
          <cell r="AB1246">
            <v>0</v>
          </cell>
          <cell r="AC1246">
            <v>0</v>
          </cell>
          <cell r="AD1246">
            <v>36</v>
          </cell>
          <cell r="AE1246">
            <v>230000</v>
          </cell>
          <cell r="AF1246">
            <v>0</v>
          </cell>
          <cell r="AI1246">
            <v>2223</v>
          </cell>
          <cell r="AK1246">
            <v>0</v>
          </cell>
          <cell r="AM1246">
            <v>432</v>
          </cell>
          <cell r="AN1246">
            <v>1</v>
          </cell>
          <cell r="AO1246">
            <v>393216</v>
          </cell>
          <cell r="AQ1246">
            <v>0</v>
          </cell>
          <cell r="AR1246">
            <v>0</v>
          </cell>
          <cell r="AS1246" t="str">
            <v>Ы</v>
          </cell>
          <cell r="AT1246" t="str">
            <v>Ы</v>
          </cell>
          <cell r="AU1246">
            <v>0</v>
          </cell>
          <cell r="AV1246">
            <v>0</v>
          </cell>
          <cell r="AW1246">
            <v>23</v>
          </cell>
          <cell r="AX1246">
            <v>1</v>
          </cell>
          <cell r="AY1246">
            <v>0</v>
          </cell>
          <cell r="AZ1246">
            <v>0</v>
          </cell>
          <cell r="BA1246">
            <v>0</v>
          </cell>
          <cell r="BB1246">
            <v>0</v>
          </cell>
          <cell r="BC1246">
            <v>38828</v>
          </cell>
        </row>
        <row r="1247">
          <cell r="A1247">
            <v>2006</v>
          </cell>
          <cell r="B1247">
            <v>1</v>
          </cell>
          <cell r="C1247">
            <v>306</v>
          </cell>
          <cell r="D1247">
            <v>20</v>
          </cell>
          <cell r="E1247">
            <v>792020</v>
          </cell>
          <cell r="F1247">
            <v>0</v>
          </cell>
          <cell r="G1247" t="str">
            <v>Затраты по ШПЗ (основные)</v>
          </cell>
          <cell r="H1247">
            <v>2011</v>
          </cell>
          <cell r="I1247">
            <v>7920</v>
          </cell>
          <cell r="J1247">
            <v>45798.78</v>
          </cell>
          <cell r="K1247">
            <v>1</v>
          </cell>
          <cell r="L1247">
            <v>0</v>
          </cell>
          <cell r="M1247">
            <v>0</v>
          </cell>
          <cell r="N1247">
            <v>0</v>
          </cell>
          <cell r="R1247">
            <v>0</v>
          </cell>
          <cell r="S1247">
            <v>0</v>
          </cell>
          <cell r="T1247">
            <v>0</v>
          </cell>
          <cell r="U1247">
            <v>36</v>
          </cell>
          <cell r="V1247">
            <v>0</v>
          </cell>
          <cell r="W1247">
            <v>0</v>
          </cell>
          <cell r="AA1247">
            <v>0</v>
          </cell>
          <cell r="AB1247">
            <v>0</v>
          </cell>
          <cell r="AC1247">
            <v>0</v>
          </cell>
          <cell r="AD1247">
            <v>36</v>
          </cell>
          <cell r="AE1247">
            <v>260000</v>
          </cell>
          <cell r="AF1247">
            <v>0</v>
          </cell>
          <cell r="AI1247">
            <v>2223</v>
          </cell>
          <cell r="AK1247">
            <v>0</v>
          </cell>
          <cell r="AM1247">
            <v>433</v>
          </cell>
          <cell r="AN1247">
            <v>1</v>
          </cell>
          <cell r="AO1247">
            <v>393216</v>
          </cell>
          <cell r="AQ1247">
            <v>0</v>
          </cell>
          <cell r="AR1247">
            <v>0</v>
          </cell>
          <cell r="AS1247" t="str">
            <v>Ы</v>
          </cell>
          <cell r="AT1247" t="str">
            <v>Ы</v>
          </cell>
          <cell r="AU1247">
            <v>0</v>
          </cell>
          <cell r="AV1247">
            <v>0</v>
          </cell>
          <cell r="AW1247">
            <v>23</v>
          </cell>
          <cell r="AX1247">
            <v>1</v>
          </cell>
          <cell r="AY1247">
            <v>0</v>
          </cell>
          <cell r="AZ1247">
            <v>0</v>
          </cell>
          <cell r="BA1247">
            <v>0</v>
          </cell>
          <cell r="BB1247">
            <v>0</v>
          </cell>
          <cell r="BC1247">
            <v>38828</v>
          </cell>
        </row>
        <row r="1248">
          <cell r="A1248">
            <v>2006</v>
          </cell>
          <cell r="B1248">
            <v>1</v>
          </cell>
          <cell r="C1248">
            <v>307</v>
          </cell>
          <cell r="D1248">
            <v>20</v>
          </cell>
          <cell r="E1248">
            <v>792020</v>
          </cell>
          <cell r="F1248">
            <v>0</v>
          </cell>
          <cell r="G1248" t="str">
            <v>Затраты по ШПЗ (основные)</v>
          </cell>
          <cell r="H1248">
            <v>2011</v>
          </cell>
          <cell r="I1248">
            <v>7920</v>
          </cell>
          <cell r="J1248">
            <v>196689.33</v>
          </cell>
          <cell r="K1248">
            <v>1</v>
          </cell>
          <cell r="L1248">
            <v>0</v>
          </cell>
          <cell r="M1248">
            <v>0</v>
          </cell>
          <cell r="N1248">
            <v>0</v>
          </cell>
          <cell r="R1248">
            <v>0</v>
          </cell>
          <cell r="S1248">
            <v>0</v>
          </cell>
          <cell r="T1248">
            <v>0</v>
          </cell>
          <cell r="U1248">
            <v>36</v>
          </cell>
          <cell r="V1248">
            <v>0</v>
          </cell>
          <cell r="W1248">
            <v>0</v>
          </cell>
          <cell r="AA1248">
            <v>0</v>
          </cell>
          <cell r="AB1248">
            <v>0</v>
          </cell>
          <cell r="AC1248">
            <v>0</v>
          </cell>
          <cell r="AD1248">
            <v>36</v>
          </cell>
          <cell r="AE1248">
            <v>270000</v>
          </cell>
          <cell r="AF1248">
            <v>0</v>
          </cell>
          <cell r="AI1248">
            <v>2223</v>
          </cell>
          <cell r="AK1248">
            <v>0</v>
          </cell>
          <cell r="AM1248">
            <v>434</v>
          </cell>
          <cell r="AN1248">
            <v>1</v>
          </cell>
          <cell r="AO1248">
            <v>393216</v>
          </cell>
          <cell r="AQ1248">
            <v>0</v>
          </cell>
          <cell r="AR1248">
            <v>0</v>
          </cell>
          <cell r="AS1248" t="str">
            <v>Ы</v>
          </cell>
          <cell r="AT1248" t="str">
            <v>Ы</v>
          </cell>
          <cell r="AU1248">
            <v>0</v>
          </cell>
          <cell r="AV1248">
            <v>0</v>
          </cell>
          <cell r="AW1248">
            <v>23</v>
          </cell>
          <cell r="AX1248">
            <v>1</v>
          </cell>
          <cell r="AY1248">
            <v>0</v>
          </cell>
          <cell r="AZ1248">
            <v>0</v>
          </cell>
          <cell r="BA1248">
            <v>0</v>
          </cell>
          <cell r="BB1248">
            <v>0</v>
          </cell>
          <cell r="BC1248">
            <v>38828</v>
          </cell>
        </row>
        <row r="1249">
          <cell r="A1249">
            <v>2006</v>
          </cell>
          <cell r="B1249">
            <v>1</v>
          </cell>
          <cell r="C1249">
            <v>308</v>
          </cell>
          <cell r="D1249">
            <v>20</v>
          </cell>
          <cell r="E1249">
            <v>792020</v>
          </cell>
          <cell r="F1249">
            <v>0</v>
          </cell>
          <cell r="G1249" t="str">
            <v>Затраты по ШПЗ (основные)</v>
          </cell>
          <cell r="H1249">
            <v>2011</v>
          </cell>
          <cell r="I1249">
            <v>7920</v>
          </cell>
          <cell r="J1249">
            <v>5269.09</v>
          </cell>
          <cell r="K1249">
            <v>1</v>
          </cell>
          <cell r="L1249">
            <v>0</v>
          </cell>
          <cell r="M1249">
            <v>0</v>
          </cell>
          <cell r="N1249">
            <v>0</v>
          </cell>
          <cell r="R1249">
            <v>0</v>
          </cell>
          <cell r="S1249">
            <v>0</v>
          </cell>
          <cell r="T1249">
            <v>0</v>
          </cell>
          <cell r="U1249">
            <v>36</v>
          </cell>
          <cell r="V1249">
            <v>0</v>
          </cell>
          <cell r="W1249">
            <v>0</v>
          </cell>
          <cell r="AA1249">
            <v>0</v>
          </cell>
          <cell r="AB1249">
            <v>0</v>
          </cell>
          <cell r="AC1249">
            <v>0</v>
          </cell>
          <cell r="AD1249">
            <v>36</v>
          </cell>
          <cell r="AE1249">
            <v>280000</v>
          </cell>
          <cell r="AF1249">
            <v>0</v>
          </cell>
          <cell r="AI1249">
            <v>2223</v>
          </cell>
          <cell r="AK1249">
            <v>0</v>
          </cell>
          <cell r="AM1249">
            <v>435</v>
          </cell>
          <cell r="AN1249">
            <v>1</v>
          </cell>
          <cell r="AO1249">
            <v>393216</v>
          </cell>
          <cell r="AQ1249">
            <v>0</v>
          </cell>
          <cell r="AR1249">
            <v>0</v>
          </cell>
          <cell r="AS1249" t="str">
            <v>Ы</v>
          </cell>
          <cell r="AT1249" t="str">
            <v>Ы</v>
          </cell>
          <cell r="AU1249">
            <v>0</v>
          </cell>
          <cell r="AV1249">
            <v>0</v>
          </cell>
          <cell r="AW1249">
            <v>23</v>
          </cell>
          <cell r="AX1249">
            <v>1</v>
          </cell>
          <cell r="AY1249">
            <v>0</v>
          </cell>
          <cell r="AZ1249">
            <v>0</v>
          </cell>
          <cell r="BA1249">
            <v>0</v>
          </cell>
          <cell r="BB1249">
            <v>0</v>
          </cell>
          <cell r="BC1249">
            <v>38828</v>
          </cell>
        </row>
        <row r="1250">
          <cell r="A1250">
            <v>2006</v>
          </cell>
          <cell r="B1250">
            <v>1</v>
          </cell>
          <cell r="C1250">
            <v>309</v>
          </cell>
          <cell r="D1250">
            <v>20</v>
          </cell>
          <cell r="E1250">
            <v>792020</v>
          </cell>
          <cell r="F1250">
            <v>0</v>
          </cell>
          <cell r="G1250" t="str">
            <v>Затраты по ШПЗ (основные)</v>
          </cell>
          <cell r="H1250">
            <v>2011</v>
          </cell>
          <cell r="I1250">
            <v>7920</v>
          </cell>
          <cell r="J1250">
            <v>97226.35</v>
          </cell>
          <cell r="K1250">
            <v>1</v>
          </cell>
          <cell r="L1250">
            <v>0</v>
          </cell>
          <cell r="M1250">
            <v>0</v>
          </cell>
          <cell r="N1250">
            <v>0</v>
          </cell>
          <cell r="R1250">
            <v>0</v>
          </cell>
          <cell r="S1250">
            <v>0</v>
          </cell>
          <cell r="T1250">
            <v>0</v>
          </cell>
          <cell r="U1250">
            <v>36</v>
          </cell>
          <cell r="V1250">
            <v>0</v>
          </cell>
          <cell r="W1250">
            <v>0</v>
          </cell>
          <cell r="AA1250">
            <v>0</v>
          </cell>
          <cell r="AB1250">
            <v>0</v>
          </cell>
          <cell r="AC1250">
            <v>0</v>
          </cell>
          <cell r="AD1250">
            <v>36</v>
          </cell>
          <cell r="AE1250">
            <v>280100</v>
          </cell>
          <cell r="AF1250">
            <v>0</v>
          </cell>
          <cell r="AI1250">
            <v>2223</v>
          </cell>
          <cell r="AK1250">
            <v>0</v>
          </cell>
          <cell r="AM1250">
            <v>436</v>
          </cell>
          <cell r="AN1250">
            <v>1</v>
          </cell>
          <cell r="AO1250">
            <v>393216</v>
          </cell>
          <cell r="AQ1250">
            <v>0</v>
          </cell>
          <cell r="AR1250">
            <v>0</v>
          </cell>
          <cell r="AS1250" t="str">
            <v>Ы</v>
          </cell>
          <cell r="AT1250" t="str">
            <v>Ы</v>
          </cell>
          <cell r="AU1250">
            <v>0</v>
          </cell>
          <cell r="AV1250">
            <v>0</v>
          </cell>
          <cell r="AW1250">
            <v>23</v>
          </cell>
          <cell r="AX1250">
            <v>1</v>
          </cell>
          <cell r="AY1250">
            <v>0</v>
          </cell>
          <cell r="AZ1250">
            <v>0</v>
          </cell>
          <cell r="BA1250">
            <v>0</v>
          </cell>
          <cell r="BB1250">
            <v>0</v>
          </cell>
          <cell r="BC1250">
            <v>38828</v>
          </cell>
        </row>
        <row r="1251">
          <cell r="A1251">
            <v>2006</v>
          </cell>
          <cell r="B1251">
            <v>1</v>
          </cell>
          <cell r="C1251">
            <v>310</v>
          </cell>
          <cell r="D1251">
            <v>20</v>
          </cell>
          <cell r="E1251">
            <v>792020</v>
          </cell>
          <cell r="F1251">
            <v>0</v>
          </cell>
          <cell r="G1251" t="str">
            <v>Затраты по ШПЗ (основные)</v>
          </cell>
          <cell r="H1251">
            <v>2011</v>
          </cell>
          <cell r="I1251">
            <v>7920</v>
          </cell>
          <cell r="J1251">
            <v>2327.44</v>
          </cell>
          <cell r="K1251">
            <v>1</v>
          </cell>
          <cell r="L1251">
            <v>0</v>
          </cell>
          <cell r="M1251">
            <v>0</v>
          </cell>
          <cell r="N1251">
            <v>0</v>
          </cell>
          <cell r="R1251">
            <v>0</v>
          </cell>
          <cell r="S1251">
            <v>0</v>
          </cell>
          <cell r="T1251">
            <v>0</v>
          </cell>
          <cell r="U1251">
            <v>36</v>
          </cell>
          <cell r="V1251">
            <v>0</v>
          </cell>
          <cell r="W1251">
            <v>0</v>
          </cell>
          <cell r="AA1251">
            <v>0</v>
          </cell>
          <cell r="AB1251">
            <v>0</v>
          </cell>
          <cell r="AC1251">
            <v>0</v>
          </cell>
          <cell r="AD1251">
            <v>36</v>
          </cell>
          <cell r="AE1251">
            <v>280200</v>
          </cell>
          <cell r="AF1251">
            <v>0</v>
          </cell>
          <cell r="AI1251">
            <v>2223</v>
          </cell>
          <cell r="AK1251">
            <v>0</v>
          </cell>
          <cell r="AM1251">
            <v>437</v>
          </cell>
          <cell r="AN1251">
            <v>1</v>
          </cell>
          <cell r="AO1251">
            <v>393216</v>
          </cell>
          <cell r="AQ1251">
            <v>0</v>
          </cell>
          <cell r="AR1251">
            <v>0</v>
          </cell>
          <cell r="AS1251" t="str">
            <v>Ы</v>
          </cell>
          <cell r="AT1251" t="str">
            <v>Ы</v>
          </cell>
          <cell r="AU1251">
            <v>0</v>
          </cell>
          <cell r="AV1251">
            <v>0</v>
          </cell>
          <cell r="AW1251">
            <v>23</v>
          </cell>
          <cell r="AX1251">
            <v>1</v>
          </cell>
          <cell r="AY1251">
            <v>0</v>
          </cell>
          <cell r="AZ1251">
            <v>0</v>
          </cell>
          <cell r="BA1251">
            <v>0</v>
          </cell>
          <cell r="BB1251">
            <v>0</v>
          </cell>
          <cell r="BC1251">
            <v>38828</v>
          </cell>
        </row>
        <row r="1252">
          <cell r="A1252">
            <v>2006</v>
          </cell>
          <cell r="B1252">
            <v>1</v>
          </cell>
          <cell r="C1252">
            <v>311</v>
          </cell>
          <cell r="D1252">
            <v>20</v>
          </cell>
          <cell r="E1252">
            <v>792020</v>
          </cell>
          <cell r="F1252">
            <v>0</v>
          </cell>
          <cell r="G1252" t="str">
            <v>Затраты по ШПЗ (основные)</v>
          </cell>
          <cell r="H1252">
            <v>2011</v>
          </cell>
          <cell r="I1252">
            <v>7920</v>
          </cell>
          <cell r="J1252">
            <v>14016.04</v>
          </cell>
          <cell r="K1252">
            <v>1</v>
          </cell>
          <cell r="L1252">
            <v>0</v>
          </cell>
          <cell r="M1252">
            <v>0</v>
          </cell>
          <cell r="N1252">
            <v>0</v>
          </cell>
          <cell r="R1252">
            <v>0</v>
          </cell>
          <cell r="S1252">
            <v>0</v>
          </cell>
          <cell r="T1252">
            <v>0</v>
          </cell>
          <cell r="U1252">
            <v>36</v>
          </cell>
          <cell r="V1252">
            <v>0</v>
          </cell>
          <cell r="W1252">
            <v>0</v>
          </cell>
          <cell r="AA1252">
            <v>0</v>
          </cell>
          <cell r="AB1252">
            <v>0</v>
          </cell>
          <cell r="AC1252">
            <v>0</v>
          </cell>
          <cell r="AD1252">
            <v>36</v>
          </cell>
          <cell r="AE1252">
            <v>280300</v>
          </cell>
          <cell r="AF1252">
            <v>0</v>
          </cell>
          <cell r="AI1252">
            <v>2223</v>
          </cell>
          <cell r="AK1252">
            <v>0</v>
          </cell>
          <cell r="AM1252">
            <v>438</v>
          </cell>
          <cell r="AN1252">
            <v>1</v>
          </cell>
          <cell r="AO1252">
            <v>393216</v>
          </cell>
          <cell r="AQ1252">
            <v>0</v>
          </cell>
          <cell r="AR1252">
            <v>0</v>
          </cell>
          <cell r="AS1252" t="str">
            <v>Ы</v>
          </cell>
          <cell r="AT1252" t="str">
            <v>Ы</v>
          </cell>
          <cell r="AU1252">
            <v>0</v>
          </cell>
          <cell r="AV1252">
            <v>0</v>
          </cell>
          <cell r="AW1252">
            <v>23</v>
          </cell>
          <cell r="AX1252">
            <v>1</v>
          </cell>
          <cell r="AY1252">
            <v>0</v>
          </cell>
          <cell r="AZ1252">
            <v>0</v>
          </cell>
          <cell r="BA1252">
            <v>0</v>
          </cell>
          <cell r="BB1252">
            <v>0</v>
          </cell>
          <cell r="BC1252">
            <v>38828</v>
          </cell>
        </row>
        <row r="1253">
          <cell r="A1253">
            <v>2006</v>
          </cell>
          <cell r="B1253">
            <v>1</v>
          </cell>
          <cell r="C1253">
            <v>312</v>
          </cell>
          <cell r="D1253">
            <v>20</v>
          </cell>
          <cell r="E1253">
            <v>792020</v>
          </cell>
          <cell r="F1253">
            <v>0</v>
          </cell>
          <cell r="G1253" t="str">
            <v>Затраты по ШПЗ (основные)</v>
          </cell>
          <cell r="H1253">
            <v>2011</v>
          </cell>
          <cell r="I1253">
            <v>7920</v>
          </cell>
          <cell r="J1253">
            <v>131313.48000000001</v>
          </cell>
          <cell r="K1253">
            <v>1</v>
          </cell>
          <cell r="L1253">
            <v>0</v>
          </cell>
          <cell r="M1253">
            <v>0</v>
          </cell>
          <cell r="N1253">
            <v>0</v>
          </cell>
          <cell r="R1253">
            <v>0</v>
          </cell>
          <cell r="S1253">
            <v>0</v>
          </cell>
          <cell r="T1253">
            <v>0</v>
          </cell>
          <cell r="U1253">
            <v>36</v>
          </cell>
          <cell r="V1253">
            <v>0</v>
          </cell>
          <cell r="W1253">
            <v>0</v>
          </cell>
          <cell r="AA1253">
            <v>0</v>
          </cell>
          <cell r="AB1253">
            <v>0</v>
          </cell>
          <cell r="AC1253">
            <v>0</v>
          </cell>
          <cell r="AD1253">
            <v>36</v>
          </cell>
          <cell r="AE1253">
            <v>280400</v>
          </cell>
          <cell r="AF1253">
            <v>0</v>
          </cell>
          <cell r="AI1253">
            <v>2223</v>
          </cell>
          <cell r="AK1253">
            <v>0</v>
          </cell>
          <cell r="AM1253">
            <v>439</v>
          </cell>
          <cell r="AN1253">
            <v>1</v>
          </cell>
          <cell r="AO1253">
            <v>393216</v>
          </cell>
          <cell r="AQ1253">
            <v>0</v>
          </cell>
          <cell r="AR1253">
            <v>0</v>
          </cell>
          <cell r="AS1253" t="str">
            <v>Ы</v>
          </cell>
          <cell r="AT1253" t="str">
            <v>Ы</v>
          </cell>
          <cell r="AU1253">
            <v>0</v>
          </cell>
          <cell r="AV1253">
            <v>0</v>
          </cell>
          <cell r="AW1253">
            <v>23</v>
          </cell>
          <cell r="AX1253">
            <v>1</v>
          </cell>
          <cell r="AY1253">
            <v>0</v>
          </cell>
          <cell r="AZ1253">
            <v>0</v>
          </cell>
          <cell r="BA1253">
            <v>0</v>
          </cell>
          <cell r="BB1253">
            <v>0</v>
          </cell>
          <cell r="BC1253">
            <v>38828</v>
          </cell>
        </row>
        <row r="1254">
          <cell r="A1254">
            <v>2006</v>
          </cell>
          <cell r="B1254">
            <v>1</v>
          </cell>
          <cell r="C1254">
            <v>313</v>
          </cell>
          <cell r="D1254">
            <v>20</v>
          </cell>
          <cell r="E1254">
            <v>792020</v>
          </cell>
          <cell r="F1254">
            <v>0</v>
          </cell>
          <cell r="G1254" t="str">
            <v>Затраты по ШПЗ (основные)</v>
          </cell>
          <cell r="H1254">
            <v>2011</v>
          </cell>
          <cell r="I1254">
            <v>7920</v>
          </cell>
          <cell r="J1254">
            <v>27405.14</v>
          </cell>
          <cell r="K1254">
            <v>1</v>
          </cell>
          <cell r="L1254">
            <v>0</v>
          </cell>
          <cell r="M1254">
            <v>0</v>
          </cell>
          <cell r="N1254">
            <v>0</v>
          </cell>
          <cell r="R1254">
            <v>0</v>
          </cell>
          <cell r="S1254">
            <v>0</v>
          </cell>
          <cell r="T1254">
            <v>0</v>
          </cell>
          <cell r="U1254">
            <v>36</v>
          </cell>
          <cell r="V1254">
            <v>0</v>
          </cell>
          <cell r="W1254">
            <v>0</v>
          </cell>
          <cell r="AA1254">
            <v>0</v>
          </cell>
          <cell r="AB1254">
            <v>0</v>
          </cell>
          <cell r="AC1254">
            <v>0</v>
          </cell>
          <cell r="AD1254">
            <v>36</v>
          </cell>
          <cell r="AE1254">
            <v>281100</v>
          </cell>
          <cell r="AF1254">
            <v>0</v>
          </cell>
          <cell r="AI1254">
            <v>2223</v>
          </cell>
          <cell r="AK1254">
            <v>0</v>
          </cell>
          <cell r="AM1254">
            <v>440</v>
          </cell>
          <cell r="AN1254">
            <v>1</v>
          </cell>
          <cell r="AO1254">
            <v>393216</v>
          </cell>
          <cell r="AQ1254">
            <v>0</v>
          </cell>
          <cell r="AR1254">
            <v>0</v>
          </cell>
          <cell r="AS1254" t="str">
            <v>Ы</v>
          </cell>
          <cell r="AT1254" t="str">
            <v>Ы</v>
          </cell>
          <cell r="AU1254">
            <v>0</v>
          </cell>
          <cell r="AV1254">
            <v>0</v>
          </cell>
          <cell r="AW1254">
            <v>23</v>
          </cell>
          <cell r="AX1254">
            <v>1</v>
          </cell>
          <cell r="AY1254">
            <v>0</v>
          </cell>
          <cell r="AZ1254">
            <v>0</v>
          </cell>
          <cell r="BA1254">
            <v>0</v>
          </cell>
          <cell r="BB1254">
            <v>0</v>
          </cell>
          <cell r="BC1254">
            <v>38828</v>
          </cell>
        </row>
        <row r="1255">
          <cell r="A1255">
            <v>2006</v>
          </cell>
          <cell r="B1255">
            <v>1</v>
          </cell>
          <cell r="C1255">
            <v>314</v>
          </cell>
          <cell r="D1255">
            <v>20</v>
          </cell>
          <cell r="E1255">
            <v>792020</v>
          </cell>
          <cell r="F1255">
            <v>0</v>
          </cell>
          <cell r="G1255" t="str">
            <v>Затраты по ШПЗ (основные)</v>
          </cell>
          <cell r="H1255">
            <v>2011</v>
          </cell>
          <cell r="I1255">
            <v>7920</v>
          </cell>
          <cell r="J1255">
            <v>8021.23</v>
          </cell>
          <cell r="K1255">
            <v>1</v>
          </cell>
          <cell r="L1255">
            <v>0</v>
          </cell>
          <cell r="M1255">
            <v>0</v>
          </cell>
          <cell r="N1255">
            <v>0</v>
          </cell>
          <cell r="R1255">
            <v>0</v>
          </cell>
          <cell r="S1255">
            <v>0</v>
          </cell>
          <cell r="T1255">
            <v>0</v>
          </cell>
          <cell r="U1255">
            <v>36</v>
          </cell>
          <cell r="V1255">
            <v>0</v>
          </cell>
          <cell r="W1255">
            <v>0</v>
          </cell>
          <cell r="AA1255">
            <v>0</v>
          </cell>
          <cell r="AB1255">
            <v>0</v>
          </cell>
          <cell r="AC1255">
            <v>0</v>
          </cell>
          <cell r="AD1255">
            <v>36</v>
          </cell>
          <cell r="AE1255">
            <v>281200</v>
          </cell>
          <cell r="AF1255">
            <v>0</v>
          </cell>
          <cell r="AI1255">
            <v>2223</v>
          </cell>
          <cell r="AK1255">
            <v>0</v>
          </cell>
          <cell r="AM1255">
            <v>441</v>
          </cell>
          <cell r="AN1255">
            <v>1</v>
          </cell>
          <cell r="AO1255">
            <v>393216</v>
          </cell>
          <cell r="AQ1255">
            <v>0</v>
          </cell>
          <cell r="AR1255">
            <v>0</v>
          </cell>
          <cell r="AS1255" t="str">
            <v>Ы</v>
          </cell>
          <cell r="AT1255" t="str">
            <v>Ы</v>
          </cell>
          <cell r="AU1255">
            <v>0</v>
          </cell>
          <cell r="AV1255">
            <v>0</v>
          </cell>
          <cell r="AW1255">
            <v>23</v>
          </cell>
          <cell r="AX1255">
            <v>1</v>
          </cell>
          <cell r="AY1255">
            <v>0</v>
          </cell>
          <cell r="AZ1255">
            <v>0</v>
          </cell>
          <cell r="BA1255">
            <v>0</v>
          </cell>
          <cell r="BB1255">
            <v>0</v>
          </cell>
          <cell r="BC1255">
            <v>38828</v>
          </cell>
        </row>
        <row r="1256">
          <cell r="A1256">
            <v>2006</v>
          </cell>
          <cell r="B1256">
            <v>1</v>
          </cell>
          <cell r="C1256">
            <v>315</v>
          </cell>
          <cell r="D1256">
            <v>20</v>
          </cell>
          <cell r="E1256">
            <v>792020</v>
          </cell>
          <cell r="F1256">
            <v>0</v>
          </cell>
          <cell r="G1256" t="str">
            <v>Затраты по ШПЗ (основные)</v>
          </cell>
          <cell r="H1256">
            <v>2011</v>
          </cell>
          <cell r="I1256">
            <v>7920</v>
          </cell>
          <cell r="J1256">
            <v>100</v>
          </cell>
          <cell r="K1256">
            <v>1</v>
          </cell>
          <cell r="L1256">
            <v>0</v>
          </cell>
          <cell r="M1256">
            <v>0</v>
          </cell>
          <cell r="N1256">
            <v>0</v>
          </cell>
          <cell r="R1256">
            <v>0</v>
          </cell>
          <cell r="S1256">
            <v>0</v>
          </cell>
          <cell r="T1256">
            <v>0</v>
          </cell>
          <cell r="U1256">
            <v>36</v>
          </cell>
          <cell r="V1256">
            <v>0</v>
          </cell>
          <cell r="W1256">
            <v>0</v>
          </cell>
          <cell r="AA1256">
            <v>0</v>
          </cell>
          <cell r="AB1256">
            <v>0</v>
          </cell>
          <cell r="AC1256">
            <v>0</v>
          </cell>
          <cell r="AD1256">
            <v>36</v>
          </cell>
          <cell r="AE1256">
            <v>282000</v>
          </cell>
          <cell r="AF1256">
            <v>0</v>
          </cell>
          <cell r="AI1256">
            <v>2223</v>
          </cell>
          <cell r="AK1256">
            <v>0</v>
          </cell>
          <cell r="AM1256">
            <v>442</v>
          </cell>
          <cell r="AN1256">
            <v>1</v>
          </cell>
          <cell r="AO1256">
            <v>393216</v>
          </cell>
          <cell r="AQ1256">
            <v>0</v>
          </cell>
          <cell r="AR1256">
            <v>0</v>
          </cell>
          <cell r="AS1256" t="str">
            <v>Ы</v>
          </cell>
          <cell r="AT1256" t="str">
            <v>Ы</v>
          </cell>
          <cell r="AU1256">
            <v>0</v>
          </cell>
          <cell r="AV1256">
            <v>0</v>
          </cell>
          <cell r="AW1256">
            <v>23</v>
          </cell>
          <cell r="AX1256">
            <v>1</v>
          </cell>
          <cell r="AY1256">
            <v>0</v>
          </cell>
          <cell r="AZ1256">
            <v>0</v>
          </cell>
          <cell r="BA1256">
            <v>0</v>
          </cell>
          <cell r="BB1256">
            <v>0</v>
          </cell>
          <cell r="BC1256">
            <v>38828</v>
          </cell>
        </row>
        <row r="1257">
          <cell r="A1257">
            <v>2006</v>
          </cell>
          <cell r="B1257">
            <v>1</v>
          </cell>
          <cell r="C1257">
            <v>316</v>
          </cell>
          <cell r="D1257">
            <v>20</v>
          </cell>
          <cell r="E1257">
            <v>792020</v>
          </cell>
          <cell r="F1257">
            <v>0</v>
          </cell>
          <cell r="G1257" t="str">
            <v>Затраты по ШПЗ (основные)</v>
          </cell>
          <cell r="H1257">
            <v>2011</v>
          </cell>
          <cell r="I1257">
            <v>7920</v>
          </cell>
          <cell r="J1257">
            <v>19630.89</v>
          </cell>
          <cell r="K1257">
            <v>1</v>
          </cell>
          <cell r="L1257">
            <v>0</v>
          </cell>
          <cell r="M1257">
            <v>0</v>
          </cell>
          <cell r="N1257">
            <v>0</v>
          </cell>
          <cell r="R1257">
            <v>0</v>
          </cell>
          <cell r="S1257">
            <v>0</v>
          </cell>
          <cell r="T1257">
            <v>0</v>
          </cell>
          <cell r="U1257">
            <v>36</v>
          </cell>
          <cell r="V1257">
            <v>0</v>
          </cell>
          <cell r="W1257">
            <v>0</v>
          </cell>
          <cell r="AA1257">
            <v>0</v>
          </cell>
          <cell r="AB1257">
            <v>0</v>
          </cell>
          <cell r="AC1257">
            <v>0</v>
          </cell>
          <cell r="AD1257">
            <v>36</v>
          </cell>
          <cell r="AE1257">
            <v>282200</v>
          </cell>
          <cell r="AF1257">
            <v>0</v>
          </cell>
          <cell r="AI1257">
            <v>2223</v>
          </cell>
          <cell r="AK1257">
            <v>0</v>
          </cell>
          <cell r="AM1257">
            <v>443</v>
          </cell>
          <cell r="AN1257">
            <v>1</v>
          </cell>
          <cell r="AO1257">
            <v>393216</v>
          </cell>
          <cell r="AQ1257">
            <v>0</v>
          </cell>
          <cell r="AR1257">
            <v>0</v>
          </cell>
          <cell r="AS1257" t="str">
            <v>Ы</v>
          </cell>
          <cell r="AT1257" t="str">
            <v>Ы</v>
          </cell>
          <cell r="AU1257">
            <v>0</v>
          </cell>
          <cell r="AV1257">
            <v>0</v>
          </cell>
          <cell r="AW1257">
            <v>23</v>
          </cell>
          <cell r="AX1257">
            <v>1</v>
          </cell>
          <cell r="AY1257">
            <v>0</v>
          </cell>
          <cell r="AZ1257">
            <v>0</v>
          </cell>
          <cell r="BA1257">
            <v>0</v>
          </cell>
          <cell r="BB1257">
            <v>0</v>
          </cell>
          <cell r="BC1257">
            <v>38828</v>
          </cell>
        </row>
        <row r="1258">
          <cell r="A1258">
            <v>2006</v>
          </cell>
          <cell r="B1258">
            <v>1</v>
          </cell>
          <cell r="C1258">
            <v>317</v>
          </cell>
          <cell r="D1258">
            <v>20</v>
          </cell>
          <cell r="E1258">
            <v>792020</v>
          </cell>
          <cell r="F1258">
            <v>0</v>
          </cell>
          <cell r="G1258" t="str">
            <v>Затраты по ШПЗ (основные)</v>
          </cell>
          <cell r="H1258">
            <v>2011</v>
          </cell>
          <cell r="I1258">
            <v>7920</v>
          </cell>
          <cell r="J1258">
            <v>19225</v>
          </cell>
          <cell r="K1258">
            <v>1</v>
          </cell>
          <cell r="L1258">
            <v>0</v>
          </cell>
          <cell r="M1258">
            <v>0</v>
          </cell>
          <cell r="N1258">
            <v>0</v>
          </cell>
          <cell r="R1258">
            <v>0</v>
          </cell>
          <cell r="S1258">
            <v>0</v>
          </cell>
          <cell r="T1258">
            <v>0</v>
          </cell>
          <cell r="U1258">
            <v>36</v>
          </cell>
          <cell r="V1258">
            <v>0</v>
          </cell>
          <cell r="W1258">
            <v>0</v>
          </cell>
          <cell r="AA1258">
            <v>0</v>
          </cell>
          <cell r="AB1258">
            <v>0</v>
          </cell>
          <cell r="AC1258">
            <v>0</v>
          </cell>
          <cell r="AD1258">
            <v>36</v>
          </cell>
          <cell r="AE1258">
            <v>283000</v>
          </cell>
          <cell r="AF1258">
            <v>0</v>
          </cell>
          <cell r="AI1258">
            <v>2223</v>
          </cell>
          <cell r="AK1258">
            <v>0</v>
          </cell>
          <cell r="AM1258">
            <v>444</v>
          </cell>
          <cell r="AN1258">
            <v>1</v>
          </cell>
          <cell r="AO1258">
            <v>393216</v>
          </cell>
          <cell r="AQ1258">
            <v>0</v>
          </cell>
          <cell r="AR1258">
            <v>0</v>
          </cell>
          <cell r="AS1258" t="str">
            <v>Ы</v>
          </cell>
          <cell r="AT1258" t="str">
            <v>Ы</v>
          </cell>
          <cell r="AU1258">
            <v>0</v>
          </cell>
          <cell r="AV1258">
            <v>0</v>
          </cell>
          <cell r="AW1258">
            <v>23</v>
          </cell>
          <cell r="AX1258">
            <v>1</v>
          </cell>
          <cell r="AY1258">
            <v>0</v>
          </cell>
          <cell r="AZ1258">
            <v>0</v>
          </cell>
          <cell r="BA1258">
            <v>0</v>
          </cell>
          <cell r="BB1258">
            <v>0</v>
          </cell>
          <cell r="BC1258">
            <v>38828</v>
          </cell>
        </row>
        <row r="1259">
          <cell r="A1259">
            <v>2006</v>
          </cell>
          <cell r="B1259">
            <v>1</v>
          </cell>
          <cell r="C1259">
            <v>318</v>
          </cell>
          <cell r="D1259">
            <v>20</v>
          </cell>
          <cell r="E1259">
            <v>792020</v>
          </cell>
          <cell r="F1259">
            <v>0</v>
          </cell>
          <cell r="G1259" t="str">
            <v>Затраты по ШПЗ (основные)</v>
          </cell>
          <cell r="H1259">
            <v>2011</v>
          </cell>
          <cell r="I1259">
            <v>7920</v>
          </cell>
          <cell r="J1259">
            <v>7822.37</v>
          </cell>
          <cell r="K1259">
            <v>1</v>
          </cell>
          <cell r="L1259">
            <v>0</v>
          </cell>
          <cell r="M1259">
            <v>0</v>
          </cell>
          <cell r="N1259">
            <v>0</v>
          </cell>
          <cell r="R1259">
            <v>0</v>
          </cell>
          <cell r="S1259">
            <v>0</v>
          </cell>
          <cell r="T1259">
            <v>0</v>
          </cell>
          <cell r="U1259">
            <v>36</v>
          </cell>
          <cell r="V1259">
            <v>0</v>
          </cell>
          <cell r="W1259">
            <v>0</v>
          </cell>
          <cell r="AA1259">
            <v>0</v>
          </cell>
          <cell r="AB1259">
            <v>0</v>
          </cell>
          <cell r="AC1259">
            <v>0</v>
          </cell>
          <cell r="AD1259">
            <v>36</v>
          </cell>
          <cell r="AE1259">
            <v>285000</v>
          </cell>
          <cell r="AF1259">
            <v>0</v>
          </cell>
          <cell r="AI1259">
            <v>2223</v>
          </cell>
          <cell r="AK1259">
            <v>0</v>
          </cell>
          <cell r="AM1259">
            <v>445</v>
          </cell>
          <cell r="AN1259">
            <v>1</v>
          </cell>
          <cell r="AO1259">
            <v>393216</v>
          </cell>
          <cell r="AQ1259">
            <v>0</v>
          </cell>
          <cell r="AR1259">
            <v>0</v>
          </cell>
          <cell r="AS1259" t="str">
            <v>Ы</v>
          </cell>
          <cell r="AT1259" t="str">
            <v>Ы</v>
          </cell>
          <cell r="AU1259">
            <v>0</v>
          </cell>
          <cell r="AV1259">
            <v>0</v>
          </cell>
          <cell r="AW1259">
            <v>23</v>
          </cell>
          <cell r="AX1259">
            <v>1</v>
          </cell>
          <cell r="AY1259">
            <v>0</v>
          </cell>
          <cell r="AZ1259">
            <v>0</v>
          </cell>
          <cell r="BA1259">
            <v>0</v>
          </cell>
          <cell r="BB1259">
            <v>0</v>
          </cell>
          <cell r="BC1259">
            <v>38828</v>
          </cell>
        </row>
        <row r="1260">
          <cell r="A1260">
            <v>2006</v>
          </cell>
          <cell r="B1260">
            <v>1</v>
          </cell>
          <cell r="C1260">
            <v>319</v>
          </cell>
          <cell r="D1260">
            <v>20</v>
          </cell>
          <cell r="E1260">
            <v>792020</v>
          </cell>
          <cell r="F1260">
            <v>0</v>
          </cell>
          <cell r="G1260" t="str">
            <v>Затраты по ШПЗ (основные)</v>
          </cell>
          <cell r="H1260">
            <v>2011</v>
          </cell>
          <cell r="I1260">
            <v>7920</v>
          </cell>
          <cell r="J1260">
            <v>87416.3</v>
          </cell>
          <cell r="K1260">
            <v>1</v>
          </cell>
          <cell r="L1260">
            <v>0</v>
          </cell>
          <cell r="M1260">
            <v>0</v>
          </cell>
          <cell r="N1260">
            <v>0</v>
          </cell>
          <cell r="R1260">
            <v>0</v>
          </cell>
          <cell r="S1260">
            <v>0</v>
          </cell>
          <cell r="T1260">
            <v>0</v>
          </cell>
          <cell r="U1260">
            <v>36</v>
          </cell>
          <cell r="V1260">
            <v>0</v>
          </cell>
          <cell r="W1260">
            <v>0</v>
          </cell>
          <cell r="AA1260">
            <v>0</v>
          </cell>
          <cell r="AB1260">
            <v>0</v>
          </cell>
          <cell r="AC1260">
            <v>0</v>
          </cell>
          <cell r="AD1260">
            <v>36</v>
          </cell>
          <cell r="AE1260">
            <v>311000</v>
          </cell>
          <cell r="AF1260">
            <v>0</v>
          </cell>
          <cell r="AI1260">
            <v>2223</v>
          </cell>
          <cell r="AK1260">
            <v>0</v>
          </cell>
          <cell r="AM1260">
            <v>446</v>
          </cell>
          <cell r="AN1260">
            <v>1</v>
          </cell>
          <cell r="AO1260">
            <v>393216</v>
          </cell>
          <cell r="AQ1260">
            <v>0</v>
          </cell>
          <cell r="AR1260">
            <v>0</v>
          </cell>
          <cell r="AS1260" t="str">
            <v>Ы</v>
          </cell>
          <cell r="AT1260" t="str">
            <v>Ы</v>
          </cell>
          <cell r="AU1260">
            <v>0</v>
          </cell>
          <cell r="AV1260">
            <v>0</v>
          </cell>
          <cell r="AW1260">
            <v>23</v>
          </cell>
          <cell r="AX1260">
            <v>1</v>
          </cell>
          <cell r="AY1260">
            <v>0</v>
          </cell>
          <cell r="AZ1260">
            <v>0</v>
          </cell>
          <cell r="BA1260">
            <v>0</v>
          </cell>
          <cell r="BB1260">
            <v>0</v>
          </cell>
          <cell r="BC1260">
            <v>38828</v>
          </cell>
        </row>
        <row r="1261">
          <cell r="A1261">
            <v>2006</v>
          </cell>
          <cell r="B1261">
            <v>1</v>
          </cell>
          <cell r="C1261">
            <v>320</v>
          </cell>
          <cell r="D1261">
            <v>20</v>
          </cell>
          <cell r="E1261">
            <v>792020</v>
          </cell>
          <cell r="F1261">
            <v>0</v>
          </cell>
          <cell r="G1261" t="str">
            <v>Затраты по ШПЗ (основные)</v>
          </cell>
          <cell r="H1261">
            <v>2011</v>
          </cell>
          <cell r="I1261">
            <v>7920</v>
          </cell>
          <cell r="J1261">
            <v>301435.52000000002</v>
          </cell>
          <cell r="K1261">
            <v>1</v>
          </cell>
          <cell r="L1261">
            <v>0</v>
          </cell>
          <cell r="M1261">
            <v>0</v>
          </cell>
          <cell r="N1261">
            <v>0</v>
          </cell>
          <cell r="R1261">
            <v>0</v>
          </cell>
          <cell r="S1261">
            <v>0</v>
          </cell>
          <cell r="T1261">
            <v>0</v>
          </cell>
          <cell r="U1261">
            <v>36</v>
          </cell>
          <cell r="V1261">
            <v>0</v>
          </cell>
          <cell r="W1261">
            <v>0</v>
          </cell>
          <cell r="AA1261">
            <v>0</v>
          </cell>
          <cell r="AB1261">
            <v>0</v>
          </cell>
          <cell r="AC1261">
            <v>0</v>
          </cell>
          <cell r="AD1261">
            <v>36</v>
          </cell>
          <cell r="AE1261">
            <v>312000</v>
          </cell>
          <cell r="AF1261">
            <v>0</v>
          </cell>
          <cell r="AI1261">
            <v>2223</v>
          </cell>
          <cell r="AK1261">
            <v>0</v>
          </cell>
          <cell r="AM1261">
            <v>447</v>
          </cell>
          <cell r="AN1261">
            <v>1</v>
          </cell>
          <cell r="AO1261">
            <v>393216</v>
          </cell>
          <cell r="AQ1261">
            <v>0</v>
          </cell>
          <cell r="AR1261">
            <v>0</v>
          </cell>
          <cell r="AS1261" t="str">
            <v>Ы</v>
          </cell>
          <cell r="AT1261" t="str">
            <v>Ы</v>
          </cell>
          <cell r="AU1261">
            <v>0</v>
          </cell>
          <cell r="AV1261">
            <v>0</v>
          </cell>
          <cell r="AW1261">
            <v>23</v>
          </cell>
          <cell r="AX1261">
            <v>1</v>
          </cell>
          <cell r="AY1261">
            <v>0</v>
          </cell>
          <cell r="AZ1261">
            <v>0</v>
          </cell>
          <cell r="BA1261">
            <v>0</v>
          </cell>
          <cell r="BB1261">
            <v>0</v>
          </cell>
          <cell r="BC1261">
            <v>38828</v>
          </cell>
        </row>
        <row r="1262">
          <cell r="A1262">
            <v>2006</v>
          </cell>
          <cell r="B1262">
            <v>1</v>
          </cell>
          <cell r="C1262">
            <v>321</v>
          </cell>
          <cell r="D1262">
            <v>20</v>
          </cell>
          <cell r="E1262">
            <v>792020</v>
          </cell>
          <cell r="F1262">
            <v>0</v>
          </cell>
          <cell r="G1262" t="str">
            <v>Затраты по ШПЗ (основные)</v>
          </cell>
          <cell r="H1262">
            <v>2011</v>
          </cell>
          <cell r="I1262">
            <v>7920</v>
          </cell>
          <cell r="J1262">
            <v>33750.57</v>
          </cell>
          <cell r="K1262">
            <v>1</v>
          </cell>
          <cell r="L1262">
            <v>0</v>
          </cell>
          <cell r="M1262">
            <v>0</v>
          </cell>
          <cell r="N1262">
            <v>0</v>
          </cell>
          <cell r="R1262">
            <v>0</v>
          </cell>
          <cell r="S1262">
            <v>0</v>
          </cell>
          <cell r="T1262">
            <v>0</v>
          </cell>
          <cell r="U1262">
            <v>36</v>
          </cell>
          <cell r="V1262">
            <v>0</v>
          </cell>
          <cell r="W1262">
            <v>0</v>
          </cell>
          <cell r="AA1262">
            <v>0</v>
          </cell>
          <cell r="AB1262">
            <v>0</v>
          </cell>
          <cell r="AC1262">
            <v>0</v>
          </cell>
          <cell r="AD1262">
            <v>36</v>
          </cell>
          <cell r="AE1262">
            <v>312100</v>
          </cell>
          <cell r="AF1262">
            <v>0</v>
          </cell>
          <cell r="AI1262">
            <v>2223</v>
          </cell>
          <cell r="AK1262">
            <v>0</v>
          </cell>
          <cell r="AM1262">
            <v>448</v>
          </cell>
          <cell r="AN1262">
            <v>1</v>
          </cell>
          <cell r="AO1262">
            <v>393216</v>
          </cell>
          <cell r="AQ1262">
            <v>0</v>
          </cell>
          <cell r="AR1262">
            <v>0</v>
          </cell>
          <cell r="AS1262" t="str">
            <v>Ы</v>
          </cell>
          <cell r="AT1262" t="str">
            <v>Ы</v>
          </cell>
          <cell r="AU1262">
            <v>0</v>
          </cell>
          <cell r="AV1262">
            <v>0</v>
          </cell>
          <cell r="AW1262">
            <v>23</v>
          </cell>
          <cell r="AX1262">
            <v>1</v>
          </cell>
          <cell r="AY1262">
            <v>0</v>
          </cell>
          <cell r="AZ1262">
            <v>0</v>
          </cell>
          <cell r="BA1262">
            <v>0</v>
          </cell>
          <cell r="BB1262">
            <v>0</v>
          </cell>
          <cell r="BC1262">
            <v>38828</v>
          </cell>
        </row>
        <row r="1263">
          <cell r="A1263">
            <v>2006</v>
          </cell>
          <cell r="B1263">
            <v>1</v>
          </cell>
          <cell r="C1263">
            <v>322</v>
          </cell>
          <cell r="D1263">
            <v>20</v>
          </cell>
          <cell r="E1263">
            <v>792020</v>
          </cell>
          <cell r="F1263">
            <v>0</v>
          </cell>
          <cell r="G1263" t="str">
            <v>Затраты по ШПЗ (основные)</v>
          </cell>
          <cell r="H1263">
            <v>2011</v>
          </cell>
          <cell r="I1263">
            <v>7920</v>
          </cell>
          <cell r="J1263">
            <v>267684.94</v>
          </cell>
          <cell r="K1263">
            <v>1</v>
          </cell>
          <cell r="L1263">
            <v>0</v>
          </cell>
          <cell r="M1263">
            <v>0</v>
          </cell>
          <cell r="N1263">
            <v>0</v>
          </cell>
          <cell r="R1263">
            <v>0</v>
          </cell>
          <cell r="S1263">
            <v>0</v>
          </cell>
          <cell r="T1263">
            <v>0</v>
          </cell>
          <cell r="U1263">
            <v>36</v>
          </cell>
          <cell r="V1263">
            <v>0</v>
          </cell>
          <cell r="W1263">
            <v>0</v>
          </cell>
          <cell r="AA1263">
            <v>0</v>
          </cell>
          <cell r="AB1263">
            <v>0</v>
          </cell>
          <cell r="AC1263">
            <v>0</v>
          </cell>
          <cell r="AD1263">
            <v>36</v>
          </cell>
          <cell r="AE1263">
            <v>312200</v>
          </cell>
          <cell r="AF1263">
            <v>0</v>
          </cell>
          <cell r="AI1263">
            <v>2223</v>
          </cell>
          <cell r="AK1263">
            <v>0</v>
          </cell>
          <cell r="AM1263">
            <v>449</v>
          </cell>
          <cell r="AN1263">
            <v>1</v>
          </cell>
          <cell r="AO1263">
            <v>393216</v>
          </cell>
          <cell r="AQ1263">
            <v>0</v>
          </cell>
          <cell r="AR1263">
            <v>0</v>
          </cell>
          <cell r="AS1263" t="str">
            <v>Ы</v>
          </cell>
          <cell r="AT1263" t="str">
            <v>Ы</v>
          </cell>
          <cell r="AU1263">
            <v>0</v>
          </cell>
          <cell r="AV1263">
            <v>0</v>
          </cell>
          <cell r="AW1263">
            <v>23</v>
          </cell>
          <cell r="AX1263">
            <v>1</v>
          </cell>
          <cell r="AY1263">
            <v>0</v>
          </cell>
          <cell r="AZ1263">
            <v>0</v>
          </cell>
          <cell r="BA1263">
            <v>0</v>
          </cell>
          <cell r="BB1263">
            <v>0</v>
          </cell>
          <cell r="BC1263">
            <v>38828</v>
          </cell>
        </row>
        <row r="1264">
          <cell r="A1264">
            <v>2006</v>
          </cell>
          <cell r="B1264">
            <v>1</v>
          </cell>
          <cell r="C1264">
            <v>323</v>
          </cell>
          <cell r="D1264">
            <v>20</v>
          </cell>
          <cell r="E1264">
            <v>792020</v>
          </cell>
          <cell r="F1264">
            <v>0</v>
          </cell>
          <cell r="G1264" t="str">
            <v>Затраты по ШПЗ (основные)</v>
          </cell>
          <cell r="H1264">
            <v>2011</v>
          </cell>
          <cell r="I1264">
            <v>7920</v>
          </cell>
          <cell r="J1264">
            <v>33157.910000000003</v>
          </cell>
          <cell r="K1264">
            <v>1</v>
          </cell>
          <cell r="L1264">
            <v>0</v>
          </cell>
          <cell r="M1264">
            <v>0</v>
          </cell>
          <cell r="N1264">
            <v>0</v>
          </cell>
          <cell r="R1264">
            <v>0</v>
          </cell>
          <cell r="S1264">
            <v>0</v>
          </cell>
          <cell r="T1264">
            <v>0</v>
          </cell>
          <cell r="U1264">
            <v>36</v>
          </cell>
          <cell r="V1264">
            <v>0</v>
          </cell>
          <cell r="W1264">
            <v>0</v>
          </cell>
          <cell r="AA1264">
            <v>0</v>
          </cell>
          <cell r="AB1264">
            <v>0</v>
          </cell>
          <cell r="AC1264">
            <v>0</v>
          </cell>
          <cell r="AD1264">
            <v>36</v>
          </cell>
          <cell r="AE1264">
            <v>313000</v>
          </cell>
          <cell r="AF1264">
            <v>0</v>
          </cell>
          <cell r="AI1264">
            <v>2223</v>
          </cell>
          <cell r="AK1264">
            <v>0</v>
          </cell>
          <cell r="AM1264">
            <v>450</v>
          </cell>
          <cell r="AN1264">
            <v>1</v>
          </cell>
          <cell r="AO1264">
            <v>393216</v>
          </cell>
          <cell r="AQ1264">
            <v>0</v>
          </cell>
          <cell r="AR1264">
            <v>0</v>
          </cell>
          <cell r="AS1264" t="str">
            <v>Ы</v>
          </cell>
          <cell r="AT1264" t="str">
            <v>Ы</v>
          </cell>
          <cell r="AU1264">
            <v>0</v>
          </cell>
          <cell r="AV1264">
            <v>0</v>
          </cell>
          <cell r="AW1264">
            <v>23</v>
          </cell>
          <cell r="AX1264">
            <v>1</v>
          </cell>
          <cell r="AY1264">
            <v>0</v>
          </cell>
          <cell r="AZ1264">
            <v>0</v>
          </cell>
          <cell r="BA1264">
            <v>0</v>
          </cell>
          <cell r="BB1264">
            <v>0</v>
          </cell>
          <cell r="BC1264">
            <v>38828</v>
          </cell>
        </row>
        <row r="1265">
          <cell r="A1265">
            <v>2006</v>
          </cell>
          <cell r="B1265">
            <v>1</v>
          </cell>
          <cell r="C1265">
            <v>324</v>
          </cell>
          <cell r="D1265">
            <v>20</v>
          </cell>
          <cell r="E1265">
            <v>792020</v>
          </cell>
          <cell r="F1265">
            <v>0</v>
          </cell>
          <cell r="G1265" t="str">
            <v>Затраты по ШПЗ (основные)</v>
          </cell>
          <cell r="H1265">
            <v>2011</v>
          </cell>
          <cell r="I1265">
            <v>7920</v>
          </cell>
          <cell r="J1265">
            <v>60287.11</v>
          </cell>
          <cell r="K1265">
            <v>1</v>
          </cell>
          <cell r="L1265">
            <v>0</v>
          </cell>
          <cell r="M1265">
            <v>0</v>
          </cell>
          <cell r="N1265">
            <v>0</v>
          </cell>
          <cell r="R1265">
            <v>0</v>
          </cell>
          <cell r="S1265">
            <v>0</v>
          </cell>
          <cell r="T1265">
            <v>0</v>
          </cell>
          <cell r="U1265">
            <v>36</v>
          </cell>
          <cell r="V1265">
            <v>0</v>
          </cell>
          <cell r="W1265">
            <v>0</v>
          </cell>
          <cell r="AA1265">
            <v>0</v>
          </cell>
          <cell r="AB1265">
            <v>0</v>
          </cell>
          <cell r="AC1265">
            <v>0</v>
          </cell>
          <cell r="AD1265">
            <v>36</v>
          </cell>
          <cell r="AE1265">
            <v>314000</v>
          </cell>
          <cell r="AF1265">
            <v>0</v>
          </cell>
          <cell r="AI1265">
            <v>2223</v>
          </cell>
          <cell r="AK1265">
            <v>0</v>
          </cell>
          <cell r="AM1265">
            <v>451</v>
          </cell>
          <cell r="AN1265">
            <v>1</v>
          </cell>
          <cell r="AO1265">
            <v>393216</v>
          </cell>
          <cell r="AQ1265">
            <v>0</v>
          </cell>
          <cell r="AR1265">
            <v>0</v>
          </cell>
          <cell r="AS1265" t="str">
            <v>Ы</v>
          </cell>
          <cell r="AT1265" t="str">
            <v>Ы</v>
          </cell>
          <cell r="AU1265">
            <v>0</v>
          </cell>
          <cell r="AV1265">
            <v>0</v>
          </cell>
          <cell r="AW1265">
            <v>23</v>
          </cell>
          <cell r="AX1265">
            <v>1</v>
          </cell>
          <cell r="AY1265">
            <v>0</v>
          </cell>
          <cell r="AZ1265">
            <v>0</v>
          </cell>
          <cell r="BA1265">
            <v>0</v>
          </cell>
          <cell r="BB1265">
            <v>0</v>
          </cell>
          <cell r="BC1265">
            <v>38828</v>
          </cell>
        </row>
        <row r="1266">
          <cell r="A1266">
            <v>2006</v>
          </cell>
          <cell r="B1266">
            <v>1</v>
          </cell>
          <cell r="C1266">
            <v>325</v>
          </cell>
          <cell r="D1266">
            <v>20</v>
          </cell>
          <cell r="E1266">
            <v>792020</v>
          </cell>
          <cell r="F1266">
            <v>0</v>
          </cell>
          <cell r="G1266" t="str">
            <v>Затраты по ШПЗ (основные)</v>
          </cell>
          <cell r="H1266">
            <v>2011</v>
          </cell>
          <cell r="I1266">
            <v>7920</v>
          </cell>
          <cell r="J1266">
            <v>12057.41</v>
          </cell>
          <cell r="K1266">
            <v>1</v>
          </cell>
          <cell r="L1266">
            <v>0</v>
          </cell>
          <cell r="M1266">
            <v>0</v>
          </cell>
          <cell r="N1266">
            <v>0</v>
          </cell>
          <cell r="R1266">
            <v>0</v>
          </cell>
          <cell r="S1266">
            <v>0</v>
          </cell>
          <cell r="T1266">
            <v>0</v>
          </cell>
          <cell r="U1266">
            <v>36</v>
          </cell>
          <cell r="V1266">
            <v>0</v>
          </cell>
          <cell r="W1266">
            <v>0</v>
          </cell>
          <cell r="AA1266">
            <v>0</v>
          </cell>
          <cell r="AB1266">
            <v>0</v>
          </cell>
          <cell r="AC1266">
            <v>0</v>
          </cell>
          <cell r="AD1266">
            <v>36</v>
          </cell>
          <cell r="AE1266">
            <v>315000</v>
          </cell>
          <cell r="AF1266">
            <v>0</v>
          </cell>
          <cell r="AI1266">
            <v>2223</v>
          </cell>
          <cell r="AK1266">
            <v>0</v>
          </cell>
          <cell r="AM1266">
            <v>452</v>
          </cell>
          <cell r="AN1266">
            <v>1</v>
          </cell>
          <cell r="AO1266">
            <v>393216</v>
          </cell>
          <cell r="AQ1266">
            <v>0</v>
          </cell>
          <cell r="AR1266">
            <v>0</v>
          </cell>
          <cell r="AS1266" t="str">
            <v>Ы</v>
          </cell>
          <cell r="AT1266" t="str">
            <v>Ы</v>
          </cell>
          <cell r="AU1266">
            <v>0</v>
          </cell>
          <cell r="AV1266">
            <v>0</v>
          </cell>
          <cell r="AW1266">
            <v>23</v>
          </cell>
          <cell r="AX1266">
            <v>1</v>
          </cell>
          <cell r="AY1266">
            <v>0</v>
          </cell>
          <cell r="AZ1266">
            <v>0</v>
          </cell>
          <cell r="BA1266">
            <v>0</v>
          </cell>
          <cell r="BB1266">
            <v>0</v>
          </cell>
          <cell r="BC1266">
            <v>38828</v>
          </cell>
        </row>
        <row r="1267">
          <cell r="A1267">
            <v>2006</v>
          </cell>
          <cell r="B1267">
            <v>1</v>
          </cell>
          <cell r="C1267">
            <v>326</v>
          </cell>
          <cell r="D1267">
            <v>20</v>
          </cell>
          <cell r="E1267">
            <v>792020</v>
          </cell>
          <cell r="F1267">
            <v>0</v>
          </cell>
          <cell r="G1267" t="str">
            <v>Затраты по ШПЗ (основные)</v>
          </cell>
          <cell r="H1267">
            <v>2011</v>
          </cell>
          <cell r="I1267">
            <v>7920</v>
          </cell>
          <cell r="J1267">
            <v>510392</v>
          </cell>
          <cell r="K1267">
            <v>1</v>
          </cell>
          <cell r="L1267">
            <v>0</v>
          </cell>
          <cell r="M1267">
            <v>0</v>
          </cell>
          <cell r="N1267">
            <v>0</v>
          </cell>
          <cell r="R1267">
            <v>0</v>
          </cell>
          <cell r="S1267">
            <v>0</v>
          </cell>
          <cell r="T1267">
            <v>0</v>
          </cell>
          <cell r="U1267">
            <v>36</v>
          </cell>
          <cell r="V1267">
            <v>0</v>
          </cell>
          <cell r="W1267">
            <v>0</v>
          </cell>
          <cell r="AA1267">
            <v>0</v>
          </cell>
          <cell r="AB1267">
            <v>0</v>
          </cell>
          <cell r="AC1267">
            <v>0</v>
          </cell>
          <cell r="AD1267">
            <v>36</v>
          </cell>
          <cell r="AE1267">
            <v>410000</v>
          </cell>
          <cell r="AF1267">
            <v>0</v>
          </cell>
          <cell r="AI1267">
            <v>2223</v>
          </cell>
          <cell r="AK1267">
            <v>0</v>
          </cell>
          <cell r="AM1267">
            <v>453</v>
          </cell>
          <cell r="AN1267">
            <v>1</v>
          </cell>
          <cell r="AO1267">
            <v>393216</v>
          </cell>
          <cell r="AQ1267">
            <v>0</v>
          </cell>
          <cell r="AR1267">
            <v>0</v>
          </cell>
          <cell r="AS1267" t="str">
            <v>Ы</v>
          </cell>
          <cell r="AT1267" t="str">
            <v>Ы</v>
          </cell>
          <cell r="AU1267">
            <v>0</v>
          </cell>
          <cell r="AV1267">
            <v>0</v>
          </cell>
          <cell r="AW1267">
            <v>23</v>
          </cell>
          <cell r="AX1267">
            <v>1</v>
          </cell>
          <cell r="AY1267">
            <v>0</v>
          </cell>
          <cell r="AZ1267">
            <v>0</v>
          </cell>
          <cell r="BA1267">
            <v>0</v>
          </cell>
          <cell r="BB1267">
            <v>0</v>
          </cell>
          <cell r="BC1267">
            <v>38828</v>
          </cell>
        </row>
        <row r="1268">
          <cell r="A1268">
            <v>2006</v>
          </cell>
          <cell r="B1268">
            <v>1</v>
          </cell>
          <cell r="C1268">
            <v>327</v>
          </cell>
          <cell r="D1268">
            <v>20</v>
          </cell>
          <cell r="E1268">
            <v>792020</v>
          </cell>
          <cell r="F1268">
            <v>0</v>
          </cell>
          <cell r="G1268" t="str">
            <v>Затраты по ШПЗ (основные)</v>
          </cell>
          <cell r="H1268">
            <v>2011</v>
          </cell>
          <cell r="I1268">
            <v>7920</v>
          </cell>
          <cell r="J1268">
            <v>12462</v>
          </cell>
          <cell r="K1268">
            <v>1</v>
          </cell>
          <cell r="L1268">
            <v>0</v>
          </cell>
          <cell r="M1268">
            <v>0</v>
          </cell>
          <cell r="N1268">
            <v>0</v>
          </cell>
          <cell r="R1268">
            <v>0</v>
          </cell>
          <cell r="S1268">
            <v>0</v>
          </cell>
          <cell r="T1268">
            <v>0</v>
          </cell>
          <cell r="U1268">
            <v>36</v>
          </cell>
          <cell r="V1268">
            <v>0</v>
          </cell>
          <cell r="W1268">
            <v>0</v>
          </cell>
          <cell r="AA1268">
            <v>0</v>
          </cell>
          <cell r="AB1268">
            <v>0</v>
          </cell>
          <cell r="AC1268">
            <v>0</v>
          </cell>
          <cell r="AD1268">
            <v>36</v>
          </cell>
          <cell r="AE1268">
            <v>410200</v>
          </cell>
          <cell r="AF1268">
            <v>0</v>
          </cell>
          <cell r="AI1268">
            <v>2223</v>
          </cell>
          <cell r="AK1268">
            <v>0</v>
          </cell>
          <cell r="AM1268">
            <v>454</v>
          </cell>
          <cell r="AN1268">
            <v>1</v>
          </cell>
          <cell r="AO1268">
            <v>393216</v>
          </cell>
          <cell r="AQ1268">
            <v>0</v>
          </cell>
          <cell r="AR1268">
            <v>0</v>
          </cell>
          <cell r="AS1268" t="str">
            <v>Ы</v>
          </cell>
          <cell r="AT1268" t="str">
            <v>Ы</v>
          </cell>
          <cell r="AU1268">
            <v>0</v>
          </cell>
          <cell r="AV1268">
            <v>0</v>
          </cell>
          <cell r="AW1268">
            <v>23</v>
          </cell>
          <cell r="AX1268">
            <v>1</v>
          </cell>
          <cell r="AY1268">
            <v>0</v>
          </cell>
          <cell r="AZ1268">
            <v>0</v>
          </cell>
          <cell r="BA1268">
            <v>0</v>
          </cell>
          <cell r="BB1268">
            <v>0</v>
          </cell>
          <cell r="BC1268">
            <v>38828</v>
          </cell>
        </row>
        <row r="1269">
          <cell r="A1269">
            <v>2006</v>
          </cell>
          <cell r="B1269">
            <v>1</v>
          </cell>
          <cell r="C1269">
            <v>328</v>
          </cell>
          <cell r="D1269">
            <v>20</v>
          </cell>
          <cell r="E1269">
            <v>792020</v>
          </cell>
          <cell r="F1269">
            <v>0</v>
          </cell>
          <cell r="G1269" t="str">
            <v>Затраты по ШПЗ (основные)</v>
          </cell>
          <cell r="H1269">
            <v>2011</v>
          </cell>
          <cell r="I1269">
            <v>7920</v>
          </cell>
          <cell r="J1269">
            <v>82321</v>
          </cell>
          <cell r="K1269">
            <v>1</v>
          </cell>
          <cell r="L1269">
            <v>0</v>
          </cell>
          <cell r="M1269">
            <v>0</v>
          </cell>
          <cell r="N1269">
            <v>0</v>
          </cell>
          <cell r="R1269">
            <v>0</v>
          </cell>
          <cell r="S1269">
            <v>0</v>
          </cell>
          <cell r="T1269">
            <v>0</v>
          </cell>
          <cell r="U1269">
            <v>36</v>
          </cell>
          <cell r="V1269">
            <v>0</v>
          </cell>
          <cell r="W1269">
            <v>0</v>
          </cell>
          <cell r="AA1269">
            <v>0</v>
          </cell>
          <cell r="AB1269">
            <v>0</v>
          </cell>
          <cell r="AC1269">
            <v>0</v>
          </cell>
          <cell r="AD1269">
            <v>36</v>
          </cell>
          <cell r="AE1269">
            <v>420000</v>
          </cell>
          <cell r="AF1269">
            <v>0</v>
          </cell>
          <cell r="AI1269">
            <v>2223</v>
          </cell>
          <cell r="AK1269">
            <v>0</v>
          </cell>
          <cell r="AM1269">
            <v>455</v>
          </cell>
          <cell r="AN1269">
            <v>1</v>
          </cell>
          <cell r="AO1269">
            <v>393216</v>
          </cell>
          <cell r="AQ1269">
            <v>0</v>
          </cell>
          <cell r="AR1269">
            <v>0</v>
          </cell>
          <cell r="AS1269" t="str">
            <v>Ы</v>
          </cell>
          <cell r="AT1269" t="str">
            <v>Ы</v>
          </cell>
          <cell r="AU1269">
            <v>0</v>
          </cell>
          <cell r="AV1269">
            <v>0</v>
          </cell>
          <cell r="AW1269">
            <v>23</v>
          </cell>
          <cell r="AX1269">
            <v>1</v>
          </cell>
          <cell r="AY1269">
            <v>0</v>
          </cell>
          <cell r="AZ1269">
            <v>0</v>
          </cell>
          <cell r="BA1269">
            <v>0</v>
          </cell>
          <cell r="BB1269">
            <v>0</v>
          </cell>
          <cell r="BC1269">
            <v>38828</v>
          </cell>
        </row>
        <row r="1270">
          <cell r="A1270">
            <v>2006</v>
          </cell>
          <cell r="B1270">
            <v>1</v>
          </cell>
          <cell r="C1270">
            <v>329</v>
          </cell>
          <cell r="D1270">
            <v>20</v>
          </cell>
          <cell r="E1270">
            <v>792020</v>
          </cell>
          <cell r="F1270">
            <v>0</v>
          </cell>
          <cell r="G1270" t="str">
            <v>Затраты по ШПЗ (основные)</v>
          </cell>
          <cell r="H1270">
            <v>2011</v>
          </cell>
          <cell r="I1270">
            <v>7920</v>
          </cell>
          <cell r="J1270">
            <v>81216</v>
          </cell>
          <cell r="K1270">
            <v>1</v>
          </cell>
          <cell r="L1270">
            <v>0</v>
          </cell>
          <cell r="M1270">
            <v>0</v>
          </cell>
          <cell r="N1270">
            <v>0</v>
          </cell>
          <cell r="R1270">
            <v>0</v>
          </cell>
          <cell r="S1270">
            <v>0</v>
          </cell>
          <cell r="T1270">
            <v>0</v>
          </cell>
          <cell r="U1270">
            <v>36</v>
          </cell>
          <cell r="V1270">
            <v>0</v>
          </cell>
          <cell r="W1270">
            <v>0</v>
          </cell>
          <cell r="AA1270">
            <v>0</v>
          </cell>
          <cell r="AB1270">
            <v>0</v>
          </cell>
          <cell r="AC1270">
            <v>0</v>
          </cell>
          <cell r="AD1270">
            <v>36</v>
          </cell>
          <cell r="AE1270">
            <v>430000</v>
          </cell>
          <cell r="AF1270">
            <v>0</v>
          </cell>
          <cell r="AI1270">
            <v>2223</v>
          </cell>
          <cell r="AK1270">
            <v>0</v>
          </cell>
          <cell r="AM1270">
            <v>456</v>
          </cell>
          <cell r="AN1270">
            <v>1</v>
          </cell>
          <cell r="AO1270">
            <v>393216</v>
          </cell>
          <cell r="AQ1270">
            <v>0</v>
          </cell>
          <cell r="AR1270">
            <v>0</v>
          </cell>
          <cell r="AS1270" t="str">
            <v>Ы</v>
          </cell>
          <cell r="AT1270" t="str">
            <v>Ы</v>
          </cell>
          <cell r="AU1270">
            <v>0</v>
          </cell>
          <cell r="AV1270">
            <v>0</v>
          </cell>
          <cell r="AW1270">
            <v>23</v>
          </cell>
          <cell r="AX1270">
            <v>1</v>
          </cell>
          <cell r="AY1270">
            <v>0</v>
          </cell>
          <cell r="AZ1270">
            <v>0</v>
          </cell>
          <cell r="BA1270">
            <v>0</v>
          </cell>
          <cell r="BB1270">
            <v>0</v>
          </cell>
          <cell r="BC1270">
            <v>38828</v>
          </cell>
        </row>
        <row r="1271">
          <cell r="A1271">
            <v>2006</v>
          </cell>
          <cell r="B1271">
            <v>1</v>
          </cell>
          <cell r="C1271">
            <v>330</v>
          </cell>
          <cell r="D1271">
            <v>20</v>
          </cell>
          <cell r="E1271">
            <v>792020</v>
          </cell>
          <cell r="F1271">
            <v>0</v>
          </cell>
          <cell r="G1271" t="str">
            <v>Затраты по ШПЗ (основные)</v>
          </cell>
          <cell r="H1271">
            <v>2011</v>
          </cell>
          <cell r="I1271">
            <v>7920</v>
          </cell>
          <cell r="J1271">
            <v>568568</v>
          </cell>
          <cell r="K1271">
            <v>1</v>
          </cell>
          <cell r="L1271">
            <v>0</v>
          </cell>
          <cell r="M1271">
            <v>0</v>
          </cell>
          <cell r="N1271">
            <v>0</v>
          </cell>
          <cell r="R1271">
            <v>0</v>
          </cell>
          <cell r="S1271">
            <v>0</v>
          </cell>
          <cell r="T1271">
            <v>0</v>
          </cell>
          <cell r="U1271">
            <v>36</v>
          </cell>
          <cell r="V1271">
            <v>0</v>
          </cell>
          <cell r="W1271">
            <v>0</v>
          </cell>
          <cell r="AA1271">
            <v>0</v>
          </cell>
          <cell r="AB1271">
            <v>0</v>
          </cell>
          <cell r="AC1271">
            <v>0</v>
          </cell>
          <cell r="AD1271">
            <v>36</v>
          </cell>
          <cell r="AE1271">
            <v>430110</v>
          </cell>
          <cell r="AF1271">
            <v>0</v>
          </cell>
          <cell r="AI1271">
            <v>2223</v>
          </cell>
          <cell r="AK1271">
            <v>0</v>
          </cell>
          <cell r="AM1271">
            <v>457</v>
          </cell>
          <cell r="AN1271">
            <v>1</v>
          </cell>
          <cell r="AO1271">
            <v>393216</v>
          </cell>
          <cell r="AQ1271">
            <v>0</v>
          </cell>
          <cell r="AR1271">
            <v>0</v>
          </cell>
          <cell r="AS1271" t="str">
            <v>Ы</v>
          </cell>
          <cell r="AT1271" t="str">
            <v>Ы</v>
          </cell>
          <cell r="AU1271">
            <v>0</v>
          </cell>
          <cell r="AV1271">
            <v>0</v>
          </cell>
          <cell r="AW1271">
            <v>23</v>
          </cell>
          <cell r="AX1271">
            <v>1</v>
          </cell>
          <cell r="AY1271">
            <v>0</v>
          </cell>
          <cell r="AZ1271">
            <v>0</v>
          </cell>
          <cell r="BA1271">
            <v>0</v>
          </cell>
          <cell r="BB1271">
            <v>0</v>
          </cell>
          <cell r="BC1271">
            <v>38828</v>
          </cell>
        </row>
        <row r="1272">
          <cell r="A1272">
            <v>2006</v>
          </cell>
          <cell r="B1272">
            <v>1</v>
          </cell>
          <cell r="C1272">
            <v>331</v>
          </cell>
          <cell r="D1272">
            <v>20</v>
          </cell>
          <cell r="E1272">
            <v>792020</v>
          </cell>
          <cell r="F1272">
            <v>0</v>
          </cell>
          <cell r="G1272" t="str">
            <v>Затраты по ШПЗ (основные)</v>
          </cell>
          <cell r="H1272">
            <v>2011</v>
          </cell>
          <cell r="I1272">
            <v>7920</v>
          </cell>
          <cell r="J1272">
            <v>207795</v>
          </cell>
          <cell r="K1272">
            <v>1</v>
          </cell>
          <cell r="L1272">
            <v>0</v>
          </cell>
          <cell r="M1272">
            <v>0</v>
          </cell>
          <cell r="N1272">
            <v>0</v>
          </cell>
          <cell r="R1272">
            <v>0</v>
          </cell>
          <cell r="S1272">
            <v>0</v>
          </cell>
          <cell r="T1272">
            <v>0</v>
          </cell>
          <cell r="U1272">
            <v>36</v>
          </cell>
          <cell r="V1272">
            <v>0</v>
          </cell>
          <cell r="W1272">
            <v>0</v>
          </cell>
          <cell r="AA1272">
            <v>0</v>
          </cell>
          <cell r="AB1272">
            <v>0</v>
          </cell>
          <cell r="AC1272">
            <v>0</v>
          </cell>
          <cell r="AD1272">
            <v>36</v>
          </cell>
          <cell r="AE1272">
            <v>430120</v>
          </cell>
          <cell r="AF1272">
            <v>0</v>
          </cell>
          <cell r="AI1272">
            <v>2223</v>
          </cell>
          <cell r="AK1272">
            <v>0</v>
          </cell>
          <cell r="AM1272">
            <v>458</v>
          </cell>
          <cell r="AN1272">
            <v>1</v>
          </cell>
          <cell r="AO1272">
            <v>393216</v>
          </cell>
          <cell r="AQ1272">
            <v>0</v>
          </cell>
          <cell r="AR1272">
            <v>0</v>
          </cell>
          <cell r="AS1272" t="str">
            <v>Ы</v>
          </cell>
          <cell r="AT1272" t="str">
            <v>Ы</v>
          </cell>
          <cell r="AU1272">
            <v>0</v>
          </cell>
          <cell r="AV1272">
            <v>0</v>
          </cell>
          <cell r="AW1272">
            <v>23</v>
          </cell>
          <cell r="AX1272">
            <v>1</v>
          </cell>
          <cell r="AY1272">
            <v>0</v>
          </cell>
          <cell r="AZ1272">
            <v>0</v>
          </cell>
          <cell r="BA1272">
            <v>0</v>
          </cell>
          <cell r="BB1272">
            <v>0</v>
          </cell>
          <cell r="BC1272">
            <v>38828</v>
          </cell>
        </row>
        <row r="1273">
          <cell r="A1273">
            <v>2006</v>
          </cell>
          <cell r="B1273">
            <v>1</v>
          </cell>
          <cell r="C1273">
            <v>332</v>
          </cell>
          <cell r="D1273">
            <v>20</v>
          </cell>
          <cell r="E1273">
            <v>792020</v>
          </cell>
          <cell r="F1273">
            <v>0</v>
          </cell>
          <cell r="G1273" t="str">
            <v>Затраты по ШПЗ (основные)</v>
          </cell>
          <cell r="H1273">
            <v>2011</v>
          </cell>
          <cell r="I1273">
            <v>7920</v>
          </cell>
          <cell r="J1273">
            <v>652194</v>
          </cell>
          <cell r="K1273">
            <v>1</v>
          </cell>
          <cell r="L1273">
            <v>0</v>
          </cell>
          <cell r="M1273">
            <v>0</v>
          </cell>
          <cell r="N1273">
            <v>0</v>
          </cell>
          <cell r="R1273">
            <v>0</v>
          </cell>
          <cell r="S1273">
            <v>0</v>
          </cell>
          <cell r="T1273">
            <v>0</v>
          </cell>
          <cell r="U1273">
            <v>36</v>
          </cell>
          <cell r="V1273">
            <v>0</v>
          </cell>
          <cell r="W1273">
            <v>0</v>
          </cell>
          <cell r="AA1273">
            <v>0</v>
          </cell>
          <cell r="AB1273">
            <v>0</v>
          </cell>
          <cell r="AC1273">
            <v>0</v>
          </cell>
          <cell r="AD1273">
            <v>36</v>
          </cell>
          <cell r="AE1273">
            <v>430130</v>
          </cell>
          <cell r="AF1273">
            <v>0</v>
          </cell>
          <cell r="AI1273">
            <v>2223</v>
          </cell>
          <cell r="AK1273">
            <v>0</v>
          </cell>
          <cell r="AM1273">
            <v>459</v>
          </cell>
          <cell r="AN1273">
            <v>1</v>
          </cell>
          <cell r="AO1273">
            <v>393216</v>
          </cell>
          <cell r="AQ1273">
            <v>0</v>
          </cell>
          <cell r="AR1273">
            <v>0</v>
          </cell>
          <cell r="AS1273" t="str">
            <v>Ы</v>
          </cell>
          <cell r="AT1273" t="str">
            <v>Ы</v>
          </cell>
          <cell r="AU1273">
            <v>0</v>
          </cell>
          <cell r="AV1273">
            <v>0</v>
          </cell>
          <cell r="AW1273">
            <v>23</v>
          </cell>
          <cell r="AX1273">
            <v>1</v>
          </cell>
          <cell r="AY1273">
            <v>0</v>
          </cell>
          <cell r="AZ1273">
            <v>0</v>
          </cell>
          <cell r="BA1273">
            <v>0</v>
          </cell>
          <cell r="BB1273">
            <v>0</v>
          </cell>
          <cell r="BC1273">
            <v>38828</v>
          </cell>
        </row>
        <row r="1274">
          <cell r="A1274">
            <v>2006</v>
          </cell>
          <cell r="B1274">
            <v>1</v>
          </cell>
          <cell r="C1274">
            <v>333</v>
          </cell>
          <cell r="D1274">
            <v>20</v>
          </cell>
          <cell r="E1274">
            <v>792020</v>
          </cell>
          <cell r="F1274">
            <v>0</v>
          </cell>
          <cell r="G1274" t="str">
            <v>Затраты по ШПЗ (основные)</v>
          </cell>
          <cell r="H1274">
            <v>2011</v>
          </cell>
          <cell r="I1274">
            <v>7920</v>
          </cell>
          <cell r="J1274">
            <v>560718</v>
          </cell>
          <cell r="K1274">
            <v>1</v>
          </cell>
          <cell r="L1274">
            <v>0</v>
          </cell>
          <cell r="M1274">
            <v>0</v>
          </cell>
          <cell r="N1274">
            <v>0</v>
          </cell>
          <cell r="R1274">
            <v>0</v>
          </cell>
          <cell r="S1274">
            <v>0</v>
          </cell>
          <cell r="T1274">
            <v>0</v>
          </cell>
          <cell r="U1274">
            <v>36</v>
          </cell>
          <cell r="V1274">
            <v>0</v>
          </cell>
          <cell r="W1274">
            <v>0</v>
          </cell>
          <cell r="AA1274">
            <v>0</v>
          </cell>
          <cell r="AB1274">
            <v>0</v>
          </cell>
          <cell r="AC1274">
            <v>0</v>
          </cell>
          <cell r="AD1274">
            <v>36</v>
          </cell>
          <cell r="AE1274">
            <v>430140</v>
          </cell>
          <cell r="AF1274">
            <v>0</v>
          </cell>
          <cell r="AI1274">
            <v>2223</v>
          </cell>
          <cell r="AK1274">
            <v>0</v>
          </cell>
          <cell r="AM1274">
            <v>460</v>
          </cell>
          <cell r="AN1274">
            <v>1</v>
          </cell>
          <cell r="AO1274">
            <v>393216</v>
          </cell>
          <cell r="AQ1274">
            <v>0</v>
          </cell>
          <cell r="AR1274">
            <v>0</v>
          </cell>
          <cell r="AS1274" t="str">
            <v>Ы</v>
          </cell>
          <cell r="AT1274" t="str">
            <v>Ы</v>
          </cell>
          <cell r="AU1274">
            <v>0</v>
          </cell>
          <cell r="AV1274">
            <v>0</v>
          </cell>
          <cell r="AW1274">
            <v>23</v>
          </cell>
          <cell r="AX1274">
            <v>1</v>
          </cell>
          <cell r="AY1274">
            <v>0</v>
          </cell>
          <cell r="AZ1274">
            <v>0</v>
          </cell>
          <cell r="BA1274">
            <v>0</v>
          </cell>
          <cell r="BB1274">
            <v>0</v>
          </cell>
          <cell r="BC1274">
            <v>38828</v>
          </cell>
        </row>
        <row r="1275">
          <cell r="A1275">
            <v>2006</v>
          </cell>
          <cell r="B1275">
            <v>1</v>
          </cell>
          <cell r="C1275">
            <v>334</v>
          </cell>
          <cell r="D1275">
            <v>20</v>
          </cell>
          <cell r="E1275">
            <v>792020</v>
          </cell>
          <cell r="F1275">
            <v>0</v>
          </cell>
          <cell r="G1275" t="str">
            <v>Затраты по ШПЗ (основные)</v>
          </cell>
          <cell r="H1275">
            <v>2011</v>
          </cell>
          <cell r="I1275">
            <v>7920</v>
          </cell>
          <cell r="J1275">
            <v>90420</v>
          </cell>
          <cell r="K1275">
            <v>1</v>
          </cell>
          <cell r="L1275">
            <v>0</v>
          </cell>
          <cell r="M1275">
            <v>0</v>
          </cell>
          <cell r="N1275">
            <v>0</v>
          </cell>
          <cell r="R1275">
            <v>0</v>
          </cell>
          <cell r="S1275">
            <v>0</v>
          </cell>
          <cell r="T1275">
            <v>0</v>
          </cell>
          <cell r="U1275">
            <v>36</v>
          </cell>
          <cell r="V1275">
            <v>0</v>
          </cell>
          <cell r="W1275">
            <v>0</v>
          </cell>
          <cell r="AA1275">
            <v>0</v>
          </cell>
          <cell r="AB1275">
            <v>0</v>
          </cell>
          <cell r="AC1275">
            <v>0</v>
          </cell>
          <cell r="AD1275">
            <v>36</v>
          </cell>
          <cell r="AE1275">
            <v>430230</v>
          </cell>
          <cell r="AF1275">
            <v>0</v>
          </cell>
          <cell r="AI1275">
            <v>2223</v>
          </cell>
          <cell r="AK1275">
            <v>0</v>
          </cell>
          <cell r="AM1275">
            <v>461</v>
          </cell>
          <cell r="AN1275">
            <v>1</v>
          </cell>
          <cell r="AO1275">
            <v>393216</v>
          </cell>
          <cell r="AQ1275">
            <v>0</v>
          </cell>
          <cell r="AR1275">
            <v>0</v>
          </cell>
          <cell r="AS1275" t="str">
            <v>Ы</v>
          </cell>
          <cell r="AT1275" t="str">
            <v>Ы</v>
          </cell>
          <cell r="AU1275">
            <v>0</v>
          </cell>
          <cell r="AV1275">
            <v>0</v>
          </cell>
          <cell r="AW1275">
            <v>23</v>
          </cell>
          <cell r="AX1275">
            <v>1</v>
          </cell>
          <cell r="AY1275">
            <v>0</v>
          </cell>
          <cell r="AZ1275">
            <v>0</v>
          </cell>
          <cell r="BA1275">
            <v>0</v>
          </cell>
          <cell r="BB1275">
            <v>0</v>
          </cell>
          <cell r="BC1275">
            <v>38828</v>
          </cell>
        </row>
        <row r="1276">
          <cell r="A1276">
            <v>2006</v>
          </cell>
          <cell r="B1276">
            <v>1</v>
          </cell>
          <cell r="C1276">
            <v>335</v>
          </cell>
          <cell r="D1276">
            <v>20</v>
          </cell>
          <cell r="E1276">
            <v>792020</v>
          </cell>
          <cell r="F1276">
            <v>0</v>
          </cell>
          <cell r="G1276" t="str">
            <v>Затраты по ШПЗ (основные)</v>
          </cell>
          <cell r="H1276">
            <v>2011</v>
          </cell>
          <cell r="I1276">
            <v>7920</v>
          </cell>
          <cell r="J1276">
            <v>18543</v>
          </cell>
          <cell r="K1276">
            <v>1</v>
          </cell>
          <cell r="L1276">
            <v>0</v>
          </cell>
          <cell r="M1276">
            <v>0</v>
          </cell>
          <cell r="N1276">
            <v>0</v>
          </cell>
          <cell r="R1276">
            <v>0</v>
          </cell>
          <cell r="S1276">
            <v>0</v>
          </cell>
          <cell r="T1276">
            <v>0</v>
          </cell>
          <cell r="U1276">
            <v>36</v>
          </cell>
          <cell r="V1276">
            <v>0</v>
          </cell>
          <cell r="W1276">
            <v>0</v>
          </cell>
          <cell r="AA1276">
            <v>0</v>
          </cell>
          <cell r="AB1276">
            <v>0</v>
          </cell>
          <cell r="AC1276">
            <v>0</v>
          </cell>
          <cell r="AD1276">
            <v>36</v>
          </cell>
          <cell r="AE1276">
            <v>430240</v>
          </cell>
          <cell r="AF1276">
            <v>0</v>
          </cell>
          <cell r="AI1276">
            <v>2223</v>
          </cell>
          <cell r="AK1276">
            <v>0</v>
          </cell>
          <cell r="AM1276">
            <v>462</v>
          </cell>
          <cell r="AN1276">
            <v>1</v>
          </cell>
          <cell r="AO1276">
            <v>393216</v>
          </cell>
          <cell r="AQ1276">
            <v>0</v>
          </cell>
          <cell r="AR1276">
            <v>0</v>
          </cell>
          <cell r="AS1276" t="str">
            <v>Ы</v>
          </cell>
          <cell r="AT1276" t="str">
            <v>Ы</v>
          </cell>
          <cell r="AU1276">
            <v>0</v>
          </cell>
          <cell r="AV1276">
            <v>0</v>
          </cell>
          <cell r="AW1276">
            <v>23</v>
          </cell>
          <cell r="AX1276">
            <v>1</v>
          </cell>
          <cell r="AY1276">
            <v>0</v>
          </cell>
          <cell r="AZ1276">
            <v>0</v>
          </cell>
          <cell r="BA1276">
            <v>0</v>
          </cell>
          <cell r="BB1276">
            <v>0</v>
          </cell>
          <cell r="BC1276">
            <v>38828</v>
          </cell>
        </row>
        <row r="1277">
          <cell r="A1277">
            <v>2006</v>
          </cell>
          <cell r="B1277">
            <v>1</v>
          </cell>
          <cell r="C1277">
            <v>336</v>
          </cell>
          <cell r="D1277">
            <v>20</v>
          </cell>
          <cell r="E1277">
            <v>792020</v>
          </cell>
          <cell r="F1277">
            <v>0</v>
          </cell>
          <cell r="G1277" t="str">
            <v>Затраты по ШПЗ (основные)</v>
          </cell>
          <cell r="H1277">
            <v>2011</v>
          </cell>
          <cell r="I1277">
            <v>7920</v>
          </cell>
          <cell r="J1277">
            <v>44623</v>
          </cell>
          <cell r="K1277">
            <v>1</v>
          </cell>
          <cell r="L1277">
            <v>0</v>
          </cell>
          <cell r="M1277">
            <v>0</v>
          </cell>
          <cell r="N1277">
            <v>0</v>
          </cell>
          <cell r="R1277">
            <v>0</v>
          </cell>
          <cell r="S1277">
            <v>0</v>
          </cell>
          <cell r="T1277">
            <v>0</v>
          </cell>
          <cell r="U1277">
            <v>36</v>
          </cell>
          <cell r="V1277">
            <v>0</v>
          </cell>
          <cell r="W1277">
            <v>0</v>
          </cell>
          <cell r="AA1277">
            <v>0</v>
          </cell>
          <cell r="AB1277">
            <v>0</v>
          </cell>
          <cell r="AC1277">
            <v>0</v>
          </cell>
          <cell r="AD1277">
            <v>36</v>
          </cell>
          <cell r="AE1277">
            <v>450000</v>
          </cell>
          <cell r="AF1277">
            <v>0</v>
          </cell>
          <cell r="AI1277">
            <v>2223</v>
          </cell>
          <cell r="AK1277">
            <v>0</v>
          </cell>
          <cell r="AM1277">
            <v>463</v>
          </cell>
          <cell r="AN1277">
            <v>1</v>
          </cell>
          <cell r="AO1277">
            <v>393216</v>
          </cell>
          <cell r="AQ1277">
            <v>0</v>
          </cell>
          <cell r="AR1277">
            <v>0</v>
          </cell>
          <cell r="AS1277" t="str">
            <v>Ы</v>
          </cell>
          <cell r="AT1277" t="str">
            <v>Ы</v>
          </cell>
          <cell r="AU1277">
            <v>0</v>
          </cell>
          <cell r="AV1277">
            <v>0</v>
          </cell>
          <cell r="AW1277">
            <v>23</v>
          </cell>
          <cell r="AX1277">
            <v>1</v>
          </cell>
          <cell r="AY1277">
            <v>0</v>
          </cell>
          <cell r="AZ1277">
            <v>0</v>
          </cell>
          <cell r="BA1277">
            <v>0</v>
          </cell>
          <cell r="BB1277">
            <v>0</v>
          </cell>
          <cell r="BC1277">
            <v>38828</v>
          </cell>
        </row>
        <row r="1278">
          <cell r="A1278">
            <v>2006</v>
          </cell>
          <cell r="B1278">
            <v>1</v>
          </cell>
          <cell r="C1278">
            <v>337</v>
          </cell>
          <cell r="D1278">
            <v>20</v>
          </cell>
          <cell r="E1278">
            <v>792020</v>
          </cell>
          <cell r="F1278">
            <v>0</v>
          </cell>
          <cell r="G1278" t="str">
            <v>Затраты по ШПЗ (основные)</v>
          </cell>
          <cell r="H1278">
            <v>2011</v>
          </cell>
          <cell r="I1278">
            <v>7920</v>
          </cell>
          <cell r="J1278">
            <v>19402</v>
          </cell>
          <cell r="K1278">
            <v>1</v>
          </cell>
          <cell r="L1278">
            <v>0</v>
          </cell>
          <cell r="M1278">
            <v>0</v>
          </cell>
          <cell r="N1278">
            <v>0</v>
          </cell>
          <cell r="R1278">
            <v>0</v>
          </cell>
          <cell r="S1278">
            <v>0</v>
          </cell>
          <cell r="T1278">
            <v>0</v>
          </cell>
          <cell r="U1278">
            <v>36</v>
          </cell>
          <cell r="V1278">
            <v>0</v>
          </cell>
          <cell r="W1278">
            <v>0</v>
          </cell>
          <cell r="AA1278">
            <v>0</v>
          </cell>
          <cell r="AB1278">
            <v>0</v>
          </cell>
          <cell r="AC1278">
            <v>0</v>
          </cell>
          <cell r="AD1278">
            <v>36</v>
          </cell>
          <cell r="AE1278">
            <v>460000</v>
          </cell>
          <cell r="AF1278">
            <v>0</v>
          </cell>
          <cell r="AI1278">
            <v>2223</v>
          </cell>
          <cell r="AK1278">
            <v>0</v>
          </cell>
          <cell r="AM1278">
            <v>464</v>
          </cell>
          <cell r="AN1278">
            <v>1</v>
          </cell>
          <cell r="AO1278">
            <v>393216</v>
          </cell>
          <cell r="AQ1278">
            <v>0</v>
          </cell>
          <cell r="AR1278">
            <v>0</v>
          </cell>
          <cell r="AS1278" t="str">
            <v>Ы</v>
          </cell>
          <cell r="AT1278" t="str">
            <v>Ы</v>
          </cell>
          <cell r="AU1278">
            <v>0</v>
          </cell>
          <cell r="AV1278">
            <v>0</v>
          </cell>
          <cell r="AW1278">
            <v>23</v>
          </cell>
          <cell r="AX1278">
            <v>1</v>
          </cell>
          <cell r="AY1278">
            <v>0</v>
          </cell>
          <cell r="AZ1278">
            <v>0</v>
          </cell>
          <cell r="BA1278">
            <v>0</v>
          </cell>
          <cell r="BB1278">
            <v>0</v>
          </cell>
          <cell r="BC1278">
            <v>38828</v>
          </cell>
        </row>
        <row r="1279">
          <cell r="A1279">
            <v>2006</v>
          </cell>
          <cell r="B1279">
            <v>1</v>
          </cell>
          <cell r="C1279">
            <v>338</v>
          </cell>
          <cell r="D1279">
            <v>20</v>
          </cell>
          <cell r="E1279">
            <v>792020</v>
          </cell>
          <cell r="F1279">
            <v>0</v>
          </cell>
          <cell r="G1279" t="str">
            <v>Затраты по ШПЗ (основные)</v>
          </cell>
          <cell r="H1279">
            <v>2011</v>
          </cell>
          <cell r="I1279">
            <v>7920</v>
          </cell>
          <cell r="J1279">
            <v>2701</v>
          </cell>
          <cell r="K1279">
            <v>1</v>
          </cell>
          <cell r="L1279">
            <v>0</v>
          </cell>
          <cell r="M1279">
            <v>0</v>
          </cell>
          <cell r="N1279">
            <v>0</v>
          </cell>
          <cell r="R1279">
            <v>0</v>
          </cell>
          <cell r="S1279">
            <v>0</v>
          </cell>
          <cell r="T1279">
            <v>0</v>
          </cell>
          <cell r="U1279">
            <v>36</v>
          </cell>
          <cell r="V1279">
            <v>0</v>
          </cell>
          <cell r="W1279">
            <v>0</v>
          </cell>
          <cell r="AA1279">
            <v>0</v>
          </cell>
          <cell r="AB1279">
            <v>0</v>
          </cell>
          <cell r="AC1279">
            <v>0</v>
          </cell>
          <cell r="AD1279">
            <v>36</v>
          </cell>
          <cell r="AE1279">
            <v>465000</v>
          </cell>
          <cell r="AF1279">
            <v>0</v>
          </cell>
          <cell r="AI1279">
            <v>2223</v>
          </cell>
          <cell r="AK1279">
            <v>0</v>
          </cell>
          <cell r="AM1279">
            <v>465</v>
          </cell>
          <cell r="AN1279">
            <v>1</v>
          </cell>
          <cell r="AO1279">
            <v>393216</v>
          </cell>
          <cell r="AQ1279">
            <v>0</v>
          </cell>
          <cell r="AR1279">
            <v>0</v>
          </cell>
          <cell r="AS1279" t="str">
            <v>Ы</v>
          </cell>
          <cell r="AT1279" t="str">
            <v>Ы</v>
          </cell>
          <cell r="AU1279">
            <v>0</v>
          </cell>
          <cell r="AV1279">
            <v>0</v>
          </cell>
          <cell r="AW1279">
            <v>23</v>
          </cell>
          <cell r="AX1279">
            <v>1</v>
          </cell>
          <cell r="AY1279">
            <v>0</v>
          </cell>
          <cell r="AZ1279">
            <v>0</v>
          </cell>
          <cell r="BA1279">
            <v>0</v>
          </cell>
          <cell r="BB1279">
            <v>0</v>
          </cell>
          <cell r="BC1279">
            <v>38828</v>
          </cell>
        </row>
        <row r="1280">
          <cell r="A1280">
            <v>2006</v>
          </cell>
          <cell r="B1280">
            <v>1</v>
          </cell>
          <cell r="C1280">
            <v>339</v>
          </cell>
          <cell r="D1280">
            <v>20</v>
          </cell>
          <cell r="E1280">
            <v>792020</v>
          </cell>
          <cell r="F1280">
            <v>0</v>
          </cell>
          <cell r="G1280" t="str">
            <v>Затраты по ШПЗ (основные)</v>
          </cell>
          <cell r="H1280">
            <v>2011</v>
          </cell>
          <cell r="I1280">
            <v>7920</v>
          </cell>
          <cell r="J1280">
            <v>2000</v>
          </cell>
          <cell r="K1280">
            <v>1</v>
          </cell>
          <cell r="L1280">
            <v>0</v>
          </cell>
          <cell r="M1280">
            <v>0</v>
          </cell>
          <cell r="N1280">
            <v>0</v>
          </cell>
          <cell r="R1280">
            <v>0</v>
          </cell>
          <cell r="S1280">
            <v>0</v>
          </cell>
          <cell r="T1280">
            <v>0</v>
          </cell>
          <cell r="U1280">
            <v>36</v>
          </cell>
          <cell r="V1280">
            <v>0</v>
          </cell>
          <cell r="W1280">
            <v>0</v>
          </cell>
          <cell r="AA1280">
            <v>0</v>
          </cell>
          <cell r="AB1280">
            <v>0</v>
          </cell>
          <cell r="AC1280">
            <v>0</v>
          </cell>
          <cell r="AD1280">
            <v>36</v>
          </cell>
          <cell r="AE1280">
            <v>504100</v>
          </cell>
          <cell r="AF1280">
            <v>0</v>
          </cell>
          <cell r="AI1280">
            <v>2223</v>
          </cell>
          <cell r="AK1280">
            <v>0</v>
          </cell>
          <cell r="AM1280">
            <v>466</v>
          </cell>
          <cell r="AN1280">
            <v>1</v>
          </cell>
          <cell r="AO1280">
            <v>393216</v>
          </cell>
          <cell r="AQ1280">
            <v>0</v>
          </cell>
          <cell r="AR1280">
            <v>0</v>
          </cell>
          <cell r="AS1280" t="str">
            <v>Ы</v>
          </cell>
          <cell r="AT1280" t="str">
            <v>Ы</v>
          </cell>
          <cell r="AU1280">
            <v>0</v>
          </cell>
          <cell r="AV1280">
            <v>0</v>
          </cell>
          <cell r="AW1280">
            <v>23</v>
          </cell>
          <cell r="AX1280">
            <v>1</v>
          </cell>
          <cell r="AY1280">
            <v>0</v>
          </cell>
          <cell r="AZ1280">
            <v>0</v>
          </cell>
          <cell r="BA1280">
            <v>0</v>
          </cell>
          <cell r="BB1280">
            <v>0</v>
          </cell>
          <cell r="BC1280">
            <v>38828</v>
          </cell>
        </row>
        <row r="1281">
          <cell r="A1281">
            <v>2006</v>
          </cell>
          <cell r="B1281">
            <v>1</v>
          </cell>
          <cell r="C1281">
            <v>340</v>
          </cell>
          <cell r="D1281">
            <v>20</v>
          </cell>
          <cell r="E1281">
            <v>792020</v>
          </cell>
          <cell r="F1281">
            <v>0</v>
          </cell>
          <cell r="G1281" t="str">
            <v>Затраты по ШПЗ (основные)</v>
          </cell>
          <cell r="H1281">
            <v>2011</v>
          </cell>
          <cell r="I1281">
            <v>7920</v>
          </cell>
          <cell r="J1281">
            <v>538</v>
          </cell>
          <cell r="K1281">
            <v>1</v>
          </cell>
          <cell r="L1281">
            <v>0</v>
          </cell>
          <cell r="M1281">
            <v>0</v>
          </cell>
          <cell r="N1281">
            <v>0</v>
          </cell>
          <cell r="R1281">
            <v>0</v>
          </cell>
          <cell r="S1281">
            <v>0</v>
          </cell>
          <cell r="T1281">
            <v>0</v>
          </cell>
          <cell r="U1281">
            <v>36</v>
          </cell>
          <cell r="V1281">
            <v>0</v>
          </cell>
          <cell r="W1281">
            <v>0</v>
          </cell>
          <cell r="AA1281">
            <v>0</v>
          </cell>
          <cell r="AB1281">
            <v>0</v>
          </cell>
          <cell r="AC1281">
            <v>0</v>
          </cell>
          <cell r="AD1281">
            <v>36</v>
          </cell>
          <cell r="AE1281">
            <v>504900</v>
          </cell>
          <cell r="AF1281">
            <v>0</v>
          </cell>
          <cell r="AI1281">
            <v>2223</v>
          </cell>
          <cell r="AK1281">
            <v>0</v>
          </cell>
          <cell r="AM1281">
            <v>467</v>
          </cell>
          <cell r="AN1281">
            <v>1</v>
          </cell>
          <cell r="AO1281">
            <v>393216</v>
          </cell>
          <cell r="AQ1281">
            <v>0</v>
          </cell>
          <cell r="AR1281">
            <v>0</v>
          </cell>
          <cell r="AS1281" t="str">
            <v>Ы</v>
          </cell>
          <cell r="AT1281" t="str">
            <v>Ы</v>
          </cell>
          <cell r="AU1281">
            <v>0</v>
          </cell>
          <cell r="AV1281">
            <v>0</v>
          </cell>
          <cell r="AW1281">
            <v>23</v>
          </cell>
          <cell r="AX1281">
            <v>1</v>
          </cell>
          <cell r="AY1281">
            <v>0</v>
          </cell>
          <cell r="AZ1281">
            <v>0</v>
          </cell>
          <cell r="BA1281">
            <v>0</v>
          </cell>
          <cell r="BB1281">
            <v>0</v>
          </cell>
          <cell r="BC1281">
            <v>38828</v>
          </cell>
        </row>
        <row r="1282">
          <cell r="A1282">
            <v>2006</v>
          </cell>
          <cell r="B1282">
            <v>1</v>
          </cell>
          <cell r="C1282">
            <v>341</v>
          </cell>
          <cell r="D1282">
            <v>20</v>
          </cell>
          <cell r="E1282">
            <v>792020</v>
          </cell>
          <cell r="F1282">
            <v>0</v>
          </cell>
          <cell r="G1282" t="str">
            <v>Затраты по ШПЗ (основные)</v>
          </cell>
          <cell r="H1282">
            <v>2011</v>
          </cell>
          <cell r="I1282">
            <v>7920</v>
          </cell>
          <cell r="J1282">
            <v>9621.4699999999993</v>
          </cell>
          <cell r="K1282">
            <v>1</v>
          </cell>
          <cell r="L1282">
            <v>0</v>
          </cell>
          <cell r="M1282">
            <v>0</v>
          </cell>
          <cell r="N1282">
            <v>0</v>
          </cell>
          <cell r="R1282">
            <v>0</v>
          </cell>
          <cell r="S1282">
            <v>0</v>
          </cell>
          <cell r="T1282">
            <v>0</v>
          </cell>
          <cell r="U1282">
            <v>36</v>
          </cell>
          <cell r="V1282">
            <v>0</v>
          </cell>
          <cell r="W1282">
            <v>0</v>
          </cell>
          <cell r="AA1282">
            <v>0</v>
          </cell>
          <cell r="AB1282">
            <v>0</v>
          </cell>
          <cell r="AC1282">
            <v>0</v>
          </cell>
          <cell r="AD1282">
            <v>36</v>
          </cell>
          <cell r="AE1282">
            <v>505100</v>
          </cell>
          <cell r="AF1282">
            <v>0</v>
          </cell>
          <cell r="AI1282">
            <v>2223</v>
          </cell>
          <cell r="AK1282">
            <v>0</v>
          </cell>
          <cell r="AM1282">
            <v>468</v>
          </cell>
          <cell r="AN1282">
            <v>1</v>
          </cell>
          <cell r="AO1282">
            <v>393216</v>
          </cell>
          <cell r="AQ1282">
            <v>0</v>
          </cell>
          <cell r="AR1282">
            <v>0</v>
          </cell>
          <cell r="AS1282" t="str">
            <v>Ы</v>
          </cell>
          <cell r="AT1282" t="str">
            <v>Ы</v>
          </cell>
          <cell r="AU1282">
            <v>0</v>
          </cell>
          <cell r="AV1282">
            <v>0</v>
          </cell>
          <cell r="AW1282">
            <v>23</v>
          </cell>
          <cell r="AX1282">
            <v>1</v>
          </cell>
          <cell r="AY1282">
            <v>0</v>
          </cell>
          <cell r="AZ1282">
            <v>0</v>
          </cell>
          <cell r="BA1282">
            <v>0</v>
          </cell>
          <cell r="BB1282">
            <v>0</v>
          </cell>
          <cell r="BC1282">
            <v>38828</v>
          </cell>
        </row>
        <row r="1283">
          <cell r="A1283">
            <v>2006</v>
          </cell>
          <cell r="B1283">
            <v>1</v>
          </cell>
          <cell r="C1283">
            <v>342</v>
          </cell>
          <cell r="D1283">
            <v>20</v>
          </cell>
          <cell r="E1283">
            <v>792020</v>
          </cell>
          <cell r="F1283">
            <v>0</v>
          </cell>
          <cell r="G1283" t="str">
            <v>Затраты по ШПЗ (основные)</v>
          </cell>
          <cell r="H1283">
            <v>2011</v>
          </cell>
          <cell r="I1283">
            <v>7920</v>
          </cell>
          <cell r="J1283">
            <v>130125.46</v>
          </cell>
          <cell r="K1283">
            <v>1</v>
          </cell>
          <cell r="L1283">
            <v>0</v>
          </cell>
          <cell r="M1283">
            <v>0</v>
          </cell>
          <cell r="N1283">
            <v>0</v>
          </cell>
          <cell r="R1283">
            <v>0</v>
          </cell>
          <cell r="S1283">
            <v>0</v>
          </cell>
          <cell r="T1283">
            <v>0</v>
          </cell>
          <cell r="U1283">
            <v>36</v>
          </cell>
          <cell r="V1283">
            <v>0</v>
          </cell>
          <cell r="W1283">
            <v>0</v>
          </cell>
          <cell r="AA1283">
            <v>0</v>
          </cell>
          <cell r="AB1283">
            <v>0</v>
          </cell>
          <cell r="AC1283">
            <v>0</v>
          </cell>
          <cell r="AD1283">
            <v>36</v>
          </cell>
          <cell r="AE1283">
            <v>505200</v>
          </cell>
          <cell r="AF1283">
            <v>0</v>
          </cell>
          <cell r="AI1283">
            <v>2223</v>
          </cell>
          <cell r="AK1283">
            <v>0</v>
          </cell>
          <cell r="AM1283">
            <v>469</v>
          </cell>
          <cell r="AN1283">
            <v>1</v>
          </cell>
          <cell r="AO1283">
            <v>393216</v>
          </cell>
          <cell r="AQ1283">
            <v>0</v>
          </cell>
          <cell r="AR1283">
            <v>0</v>
          </cell>
          <cell r="AS1283" t="str">
            <v>Ы</v>
          </cell>
          <cell r="AT1283" t="str">
            <v>Ы</v>
          </cell>
          <cell r="AU1283">
            <v>0</v>
          </cell>
          <cell r="AV1283">
            <v>0</v>
          </cell>
          <cell r="AW1283">
            <v>23</v>
          </cell>
          <cell r="AX1283">
            <v>1</v>
          </cell>
          <cell r="AY1283">
            <v>0</v>
          </cell>
          <cell r="AZ1283">
            <v>0</v>
          </cell>
          <cell r="BA1283">
            <v>0</v>
          </cell>
          <cell r="BB1283">
            <v>0</v>
          </cell>
          <cell r="BC1283">
            <v>38828</v>
          </cell>
        </row>
        <row r="1284">
          <cell r="A1284">
            <v>2006</v>
          </cell>
          <cell r="B1284">
            <v>1</v>
          </cell>
          <cell r="C1284">
            <v>343</v>
          </cell>
          <cell r="D1284">
            <v>20</v>
          </cell>
          <cell r="E1284">
            <v>792020</v>
          </cell>
          <cell r="F1284">
            <v>0</v>
          </cell>
          <cell r="G1284" t="str">
            <v>Затраты по ШПЗ (основные)</v>
          </cell>
          <cell r="H1284">
            <v>2011</v>
          </cell>
          <cell r="I1284">
            <v>7920</v>
          </cell>
          <cell r="J1284">
            <v>524.79999999999995</v>
          </cell>
          <cell r="K1284">
            <v>1</v>
          </cell>
          <cell r="L1284">
            <v>0</v>
          </cell>
          <cell r="M1284">
            <v>0</v>
          </cell>
          <cell r="N1284">
            <v>0</v>
          </cell>
          <cell r="R1284">
            <v>0</v>
          </cell>
          <cell r="S1284">
            <v>0</v>
          </cell>
          <cell r="T1284">
            <v>0</v>
          </cell>
          <cell r="U1284">
            <v>36</v>
          </cell>
          <cell r="V1284">
            <v>0</v>
          </cell>
          <cell r="W1284">
            <v>0</v>
          </cell>
          <cell r="AA1284">
            <v>0</v>
          </cell>
          <cell r="AB1284">
            <v>0</v>
          </cell>
          <cell r="AC1284">
            <v>0</v>
          </cell>
          <cell r="AD1284">
            <v>36</v>
          </cell>
          <cell r="AE1284">
            <v>505300</v>
          </cell>
          <cell r="AF1284">
            <v>0</v>
          </cell>
          <cell r="AI1284">
            <v>2223</v>
          </cell>
          <cell r="AK1284">
            <v>0</v>
          </cell>
          <cell r="AM1284">
            <v>470</v>
          </cell>
          <cell r="AN1284">
            <v>1</v>
          </cell>
          <cell r="AO1284">
            <v>393216</v>
          </cell>
          <cell r="AQ1284">
            <v>0</v>
          </cell>
          <cell r="AR1284">
            <v>0</v>
          </cell>
          <cell r="AS1284" t="str">
            <v>Ы</v>
          </cell>
          <cell r="AT1284" t="str">
            <v>Ы</v>
          </cell>
          <cell r="AU1284">
            <v>0</v>
          </cell>
          <cell r="AV1284">
            <v>0</v>
          </cell>
          <cell r="AW1284">
            <v>23</v>
          </cell>
          <cell r="AX1284">
            <v>1</v>
          </cell>
          <cell r="AY1284">
            <v>0</v>
          </cell>
          <cell r="AZ1284">
            <v>0</v>
          </cell>
          <cell r="BA1284">
            <v>0</v>
          </cell>
          <cell r="BB1284">
            <v>0</v>
          </cell>
          <cell r="BC1284">
            <v>38828</v>
          </cell>
        </row>
        <row r="1285">
          <cell r="A1285">
            <v>2006</v>
          </cell>
          <cell r="B1285">
            <v>1</v>
          </cell>
          <cell r="C1285">
            <v>344</v>
          </cell>
          <cell r="D1285">
            <v>20</v>
          </cell>
          <cell r="E1285">
            <v>792020</v>
          </cell>
          <cell r="F1285">
            <v>0</v>
          </cell>
          <cell r="G1285" t="str">
            <v>Затраты по ШПЗ (основные)</v>
          </cell>
          <cell r="H1285">
            <v>2011</v>
          </cell>
          <cell r="I1285">
            <v>7920</v>
          </cell>
          <cell r="J1285">
            <v>204</v>
          </cell>
          <cell r="K1285">
            <v>1</v>
          </cell>
          <cell r="L1285">
            <v>0</v>
          </cell>
          <cell r="M1285">
            <v>0</v>
          </cell>
          <cell r="N1285">
            <v>0</v>
          </cell>
          <cell r="R1285">
            <v>0</v>
          </cell>
          <cell r="S1285">
            <v>0</v>
          </cell>
          <cell r="T1285">
            <v>0</v>
          </cell>
          <cell r="U1285">
            <v>36</v>
          </cell>
          <cell r="V1285">
            <v>0</v>
          </cell>
          <cell r="W1285">
            <v>0</v>
          </cell>
          <cell r="AA1285">
            <v>0</v>
          </cell>
          <cell r="AB1285">
            <v>0</v>
          </cell>
          <cell r="AC1285">
            <v>0</v>
          </cell>
          <cell r="AD1285">
            <v>36</v>
          </cell>
          <cell r="AE1285">
            <v>505400</v>
          </cell>
          <cell r="AF1285">
            <v>0</v>
          </cell>
          <cell r="AI1285">
            <v>2223</v>
          </cell>
          <cell r="AK1285">
            <v>0</v>
          </cell>
          <cell r="AM1285">
            <v>471</v>
          </cell>
          <cell r="AN1285">
            <v>1</v>
          </cell>
          <cell r="AO1285">
            <v>393216</v>
          </cell>
          <cell r="AQ1285">
            <v>0</v>
          </cell>
          <cell r="AR1285">
            <v>0</v>
          </cell>
          <cell r="AS1285" t="str">
            <v>Ы</v>
          </cell>
          <cell r="AT1285" t="str">
            <v>Ы</v>
          </cell>
          <cell r="AU1285">
            <v>0</v>
          </cell>
          <cell r="AV1285">
            <v>0</v>
          </cell>
          <cell r="AW1285">
            <v>23</v>
          </cell>
          <cell r="AX1285">
            <v>1</v>
          </cell>
          <cell r="AY1285">
            <v>0</v>
          </cell>
          <cell r="AZ1285">
            <v>0</v>
          </cell>
          <cell r="BA1285">
            <v>0</v>
          </cell>
          <cell r="BB1285">
            <v>0</v>
          </cell>
          <cell r="BC1285">
            <v>38828</v>
          </cell>
        </row>
        <row r="1286">
          <cell r="A1286">
            <v>2006</v>
          </cell>
          <cell r="B1286">
            <v>1</v>
          </cell>
          <cell r="C1286">
            <v>345</v>
          </cell>
          <cell r="D1286">
            <v>20</v>
          </cell>
          <cell r="E1286">
            <v>792020</v>
          </cell>
          <cell r="F1286">
            <v>0</v>
          </cell>
          <cell r="G1286" t="str">
            <v>Затраты по ШПЗ (основные)</v>
          </cell>
          <cell r="H1286">
            <v>2011</v>
          </cell>
          <cell r="I1286">
            <v>7920</v>
          </cell>
          <cell r="J1286">
            <v>470.82</v>
          </cell>
          <cell r="K1286">
            <v>1</v>
          </cell>
          <cell r="L1286">
            <v>0</v>
          </cell>
          <cell r="M1286">
            <v>0</v>
          </cell>
          <cell r="N1286">
            <v>0</v>
          </cell>
          <cell r="R1286">
            <v>0</v>
          </cell>
          <cell r="S1286">
            <v>0</v>
          </cell>
          <cell r="T1286">
            <v>0</v>
          </cell>
          <cell r="U1286">
            <v>36</v>
          </cell>
          <cell r="V1286">
            <v>0</v>
          </cell>
          <cell r="W1286">
            <v>0</v>
          </cell>
          <cell r="AA1286">
            <v>0</v>
          </cell>
          <cell r="AB1286">
            <v>0</v>
          </cell>
          <cell r="AC1286">
            <v>0</v>
          </cell>
          <cell r="AD1286">
            <v>36</v>
          </cell>
          <cell r="AE1286">
            <v>510200</v>
          </cell>
          <cell r="AF1286">
            <v>0</v>
          </cell>
          <cell r="AI1286">
            <v>2223</v>
          </cell>
          <cell r="AK1286">
            <v>0</v>
          </cell>
          <cell r="AM1286">
            <v>472</v>
          </cell>
          <cell r="AN1286">
            <v>1</v>
          </cell>
          <cell r="AO1286">
            <v>393216</v>
          </cell>
          <cell r="AQ1286">
            <v>0</v>
          </cell>
          <cell r="AR1286">
            <v>0</v>
          </cell>
          <cell r="AS1286" t="str">
            <v>Ы</v>
          </cell>
          <cell r="AT1286" t="str">
            <v>Ы</v>
          </cell>
          <cell r="AU1286">
            <v>0</v>
          </cell>
          <cell r="AV1286">
            <v>0</v>
          </cell>
          <cell r="AW1286">
            <v>23</v>
          </cell>
          <cell r="AX1286">
            <v>1</v>
          </cell>
          <cell r="AY1286">
            <v>0</v>
          </cell>
          <cell r="AZ1286">
            <v>0</v>
          </cell>
          <cell r="BA1286">
            <v>0</v>
          </cell>
          <cell r="BB1286">
            <v>0</v>
          </cell>
          <cell r="BC1286">
            <v>38828</v>
          </cell>
        </row>
        <row r="1287">
          <cell r="A1287">
            <v>2006</v>
          </cell>
          <cell r="B1287">
            <v>1</v>
          </cell>
          <cell r="C1287">
            <v>346</v>
          </cell>
          <cell r="D1287">
            <v>20</v>
          </cell>
          <cell r="E1287">
            <v>792020</v>
          </cell>
          <cell r="F1287">
            <v>0</v>
          </cell>
          <cell r="G1287" t="str">
            <v>Затраты по ШПЗ (основные)</v>
          </cell>
          <cell r="H1287">
            <v>2011</v>
          </cell>
          <cell r="I1287">
            <v>7920</v>
          </cell>
          <cell r="J1287">
            <v>4873</v>
          </cell>
          <cell r="K1287">
            <v>1</v>
          </cell>
          <cell r="L1287">
            <v>0</v>
          </cell>
          <cell r="M1287">
            <v>0</v>
          </cell>
          <cell r="N1287">
            <v>0</v>
          </cell>
          <cell r="R1287">
            <v>0</v>
          </cell>
          <cell r="S1287">
            <v>0</v>
          </cell>
          <cell r="T1287">
            <v>0</v>
          </cell>
          <cell r="U1287">
            <v>36</v>
          </cell>
          <cell r="V1287">
            <v>0</v>
          </cell>
          <cell r="W1287">
            <v>0</v>
          </cell>
          <cell r="AA1287">
            <v>0</v>
          </cell>
          <cell r="AB1287">
            <v>0</v>
          </cell>
          <cell r="AC1287">
            <v>0</v>
          </cell>
          <cell r="AD1287">
            <v>36</v>
          </cell>
          <cell r="AE1287">
            <v>510400</v>
          </cell>
          <cell r="AF1287">
            <v>0</v>
          </cell>
          <cell r="AI1287">
            <v>2223</v>
          </cell>
          <cell r="AK1287">
            <v>0</v>
          </cell>
          <cell r="AM1287">
            <v>473</v>
          </cell>
          <cell r="AN1287">
            <v>1</v>
          </cell>
          <cell r="AO1287">
            <v>393216</v>
          </cell>
          <cell r="AQ1287">
            <v>0</v>
          </cell>
          <cell r="AR1287">
            <v>0</v>
          </cell>
          <cell r="AS1287" t="str">
            <v>Ы</v>
          </cell>
          <cell r="AT1287" t="str">
            <v>Ы</v>
          </cell>
          <cell r="AU1287">
            <v>0</v>
          </cell>
          <cell r="AV1287">
            <v>0</v>
          </cell>
          <cell r="AW1287">
            <v>23</v>
          </cell>
          <cell r="AX1287">
            <v>1</v>
          </cell>
          <cell r="AY1287">
            <v>0</v>
          </cell>
          <cell r="AZ1287">
            <v>0</v>
          </cell>
          <cell r="BA1287">
            <v>0</v>
          </cell>
          <cell r="BB1287">
            <v>0</v>
          </cell>
          <cell r="BC1287">
            <v>38828</v>
          </cell>
        </row>
        <row r="1288">
          <cell r="A1288">
            <v>2006</v>
          </cell>
          <cell r="B1288">
            <v>1</v>
          </cell>
          <cell r="C1288">
            <v>347</v>
          </cell>
          <cell r="D1288">
            <v>20</v>
          </cell>
          <cell r="E1288">
            <v>792020</v>
          </cell>
          <cell r="F1288">
            <v>0</v>
          </cell>
          <cell r="G1288" t="str">
            <v>Затраты по ШПЗ (основные)</v>
          </cell>
          <cell r="H1288">
            <v>2011</v>
          </cell>
          <cell r="I1288">
            <v>7920</v>
          </cell>
          <cell r="J1288">
            <v>3613</v>
          </cell>
          <cell r="K1288">
            <v>1</v>
          </cell>
          <cell r="L1288">
            <v>0</v>
          </cell>
          <cell r="M1288">
            <v>0</v>
          </cell>
          <cell r="N1288">
            <v>0</v>
          </cell>
          <cell r="R1288">
            <v>0</v>
          </cell>
          <cell r="S1288">
            <v>0</v>
          </cell>
          <cell r="T1288">
            <v>0</v>
          </cell>
          <cell r="U1288">
            <v>36</v>
          </cell>
          <cell r="V1288">
            <v>0</v>
          </cell>
          <cell r="W1288">
            <v>0</v>
          </cell>
          <cell r="AA1288">
            <v>0</v>
          </cell>
          <cell r="AB1288">
            <v>0</v>
          </cell>
          <cell r="AC1288">
            <v>0</v>
          </cell>
          <cell r="AD1288">
            <v>36</v>
          </cell>
          <cell r="AE1288">
            <v>510630</v>
          </cell>
          <cell r="AF1288">
            <v>0</v>
          </cell>
          <cell r="AI1288">
            <v>2223</v>
          </cell>
          <cell r="AK1288">
            <v>0</v>
          </cell>
          <cell r="AM1288">
            <v>474</v>
          </cell>
          <cell r="AN1288">
            <v>1</v>
          </cell>
          <cell r="AO1288">
            <v>393216</v>
          </cell>
          <cell r="AQ1288">
            <v>0</v>
          </cell>
          <cell r="AR1288">
            <v>0</v>
          </cell>
          <cell r="AS1288" t="str">
            <v>Ы</v>
          </cell>
          <cell r="AT1288" t="str">
            <v>Ы</v>
          </cell>
          <cell r="AU1288">
            <v>0</v>
          </cell>
          <cell r="AV1288">
            <v>0</v>
          </cell>
          <cell r="AW1288">
            <v>23</v>
          </cell>
          <cell r="AX1288">
            <v>1</v>
          </cell>
          <cell r="AY1288">
            <v>0</v>
          </cell>
          <cell r="AZ1288">
            <v>0</v>
          </cell>
          <cell r="BA1288">
            <v>0</v>
          </cell>
          <cell r="BB1288">
            <v>0</v>
          </cell>
          <cell r="BC1288">
            <v>38828</v>
          </cell>
        </row>
        <row r="1289">
          <cell r="A1289">
            <v>2006</v>
          </cell>
          <cell r="B1289">
            <v>1</v>
          </cell>
          <cell r="C1289">
            <v>348</v>
          </cell>
          <cell r="D1289">
            <v>20</v>
          </cell>
          <cell r="E1289">
            <v>792020</v>
          </cell>
          <cell r="F1289">
            <v>0</v>
          </cell>
          <cell r="G1289" t="str">
            <v>Затраты по ШПЗ (основные)</v>
          </cell>
          <cell r="H1289">
            <v>2011</v>
          </cell>
          <cell r="I1289">
            <v>7920</v>
          </cell>
          <cell r="J1289">
            <v>15225</v>
          </cell>
          <cell r="K1289">
            <v>1</v>
          </cell>
          <cell r="L1289">
            <v>0</v>
          </cell>
          <cell r="M1289">
            <v>0</v>
          </cell>
          <cell r="N1289">
            <v>0</v>
          </cell>
          <cell r="R1289">
            <v>0</v>
          </cell>
          <cell r="S1289">
            <v>0</v>
          </cell>
          <cell r="T1289">
            <v>0</v>
          </cell>
          <cell r="U1289">
            <v>36</v>
          </cell>
          <cell r="V1289">
            <v>0</v>
          </cell>
          <cell r="W1289">
            <v>0</v>
          </cell>
          <cell r="AA1289">
            <v>0</v>
          </cell>
          <cell r="AB1289">
            <v>0</v>
          </cell>
          <cell r="AC1289">
            <v>0</v>
          </cell>
          <cell r="AD1289">
            <v>36</v>
          </cell>
          <cell r="AE1289">
            <v>513600</v>
          </cell>
          <cell r="AF1289">
            <v>0</v>
          </cell>
          <cell r="AI1289">
            <v>2223</v>
          </cell>
          <cell r="AK1289">
            <v>0</v>
          </cell>
          <cell r="AM1289">
            <v>475</v>
          </cell>
          <cell r="AN1289">
            <v>1</v>
          </cell>
          <cell r="AO1289">
            <v>393216</v>
          </cell>
          <cell r="AQ1289">
            <v>0</v>
          </cell>
          <cell r="AR1289">
            <v>0</v>
          </cell>
          <cell r="AS1289" t="str">
            <v>Ы</v>
          </cell>
          <cell r="AT1289" t="str">
            <v>Ы</v>
          </cell>
          <cell r="AU1289">
            <v>0</v>
          </cell>
          <cell r="AV1289">
            <v>0</v>
          </cell>
          <cell r="AW1289">
            <v>23</v>
          </cell>
          <cell r="AX1289">
            <v>1</v>
          </cell>
          <cell r="AY1289">
            <v>0</v>
          </cell>
          <cell r="AZ1289">
            <v>0</v>
          </cell>
          <cell r="BA1289">
            <v>0</v>
          </cell>
          <cell r="BB1289">
            <v>0</v>
          </cell>
          <cell r="BC1289">
            <v>38828</v>
          </cell>
        </row>
        <row r="1290">
          <cell r="A1290">
            <v>2006</v>
          </cell>
          <cell r="B1290">
            <v>1</v>
          </cell>
          <cell r="C1290">
            <v>349</v>
          </cell>
          <cell r="D1290">
            <v>20</v>
          </cell>
          <cell r="E1290">
            <v>792020</v>
          </cell>
          <cell r="F1290">
            <v>0</v>
          </cell>
          <cell r="G1290" t="str">
            <v>Затраты по ШПЗ (основные)</v>
          </cell>
          <cell r="H1290">
            <v>2011</v>
          </cell>
          <cell r="I1290">
            <v>7920</v>
          </cell>
          <cell r="J1290">
            <v>9921.39</v>
          </cell>
          <cell r="K1290">
            <v>1</v>
          </cell>
          <cell r="L1290">
            <v>0</v>
          </cell>
          <cell r="M1290">
            <v>0</v>
          </cell>
          <cell r="N1290">
            <v>0</v>
          </cell>
          <cell r="R1290">
            <v>0</v>
          </cell>
          <cell r="S1290">
            <v>0</v>
          </cell>
          <cell r="T1290">
            <v>0</v>
          </cell>
          <cell r="U1290">
            <v>36</v>
          </cell>
          <cell r="V1290">
            <v>0</v>
          </cell>
          <cell r="W1290">
            <v>0</v>
          </cell>
          <cell r="AA1290">
            <v>0</v>
          </cell>
          <cell r="AB1290">
            <v>0</v>
          </cell>
          <cell r="AC1290">
            <v>0</v>
          </cell>
          <cell r="AD1290">
            <v>36</v>
          </cell>
          <cell r="AE1290">
            <v>530000</v>
          </cell>
          <cell r="AF1290">
            <v>0</v>
          </cell>
          <cell r="AI1290">
            <v>2223</v>
          </cell>
          <cell r="AK1290">
            <v>0</v>
          </cell>
          <cell r="AM1290">
            <v>476</v>
          </cell>
          <cell r="AN1290">
            <v>1</v>
          </cell>
          <cell r="AO1290">
            <v>393216</v>
          </cell>
          <cell r="AQ1290">
            <v>0</v>
          </cell>
          <cell r="AR1290">
            <v>0</v>
          </cell>
          <cell r="AS1290" t="str">
            <v>Ы</v>
          </cell>
          <cell r="AT1290" t="str">
            <v>Ы</v>
          </cell>
          <cell r="AU1290">
            <v>0</v>
          </cell>
          <cell r="AV1290">
            <v>0</v>
          </cell>
          <cell r="AW1290">
            <v>23</v>
          </cell>
          <cell r="AX1290">
            <v>1</v>
          </cell>
          <cell r="AY1290">
            <v>0</v>
          </cell>
          <cell r="AZ1290">
            <v>0</v>
          </cell>
          <cell r="BA1290">
            <v>0</v>
          </cell>
          <cell r="BB1290">
            <v>0</v>
          </cell>
          <cell r="BC1290">
            <v>38828</v>
          </cell>
        </row>
        <row r="1291">
          <cell r="A1291">
            <v>2006</v>
          </cell>
          <cell r="B1291">
            <v>1</v>
          </cell>
          <cell r="C1291">
            <v>351</v>
          </cell>
          <cell r="D1291">
            <v>20</v>
          </cell>
          <cell r="E1291">
            <v>792020</v>
          </cell>
          <cell r="F1291">
            <v>0</v>
          </cell>
          <cell r="G1291" t="str">
            <v>Затраты по ШПЗ (основные)</v>
          </cell>
          <cell r="H1291">
            <v>2011</v>
          </cell>
          <cell r="I1291">
            <v>7920</v>
          </cell>
          <cell r="J1291">
            <v>204066.42</v>
          </cell>
          <cell r="K1291">
            <v>1</v>
          </cell>
          <cell r="L1291">
            <v>0</v>
          </cell>
          <cell r="M1291">
            <v>0</v>
          </cell>
          <cell r="N1291">
            <v>0</v>
          </cell>
          <cell r="R1291">
            <v>0</v>
          </cell>
          <cell r="S1291">
            <v>0</v>
          </cell>
          <cell r="T1291">
            <v>0</v>
          </cell>
          <cell r="U1291">
            <v>34</v>
          </cell>
          <cell r="V1291">
            <v>0</v>
          </cell>
          <cell r="W1291">
            <v>0</v>
          </cell>
          <cell r="AA1291">
            <v>0</v>
          </cell>
          <cell r="AB1291">
            <v>0</v>
          </cell>
          <cell r="AC1291">
            <v>0</v>
          </cell>
          <cell r="AD1291">
            <v>34</v>
          </cell>
          <cell r="AE1291">
            <v>110000</v>
          </cell>
          <cell r="AF1291">
            <v>0</v>
          </cell>
          <cell r="AI1291">
            <v>2223</v>
          </cell>
          <cell r="AK1291">
            <v>0</v>
          </cell>
          <cell r="AM1291">
            <v>478</v>
          </cell>
          <cell r="AN1291">
            <v>1</v>
          </cell>
          <cell r="AO1291">
            <v>393216</v>
          </cell>
          <cell r="AQ1291">
            <v>0</v>
          </cell>
          <cell r="AR1291">
            <v>0</v>
          </cell>
          <cell r="AS1291" t="str">
            <v>Ы</v>
          </cell>
          <cell r="AT1291" t="str">
            <v>Ы</v>
          </cell>
          <cell r="AU1291">
            <v>0</v>
          </cell>
          <cell r="AV1291">
            <v>0</v>
          </cell>
          <cell r="AW1291">
            <v>23</v>
          </cell>
          <cell r="AX1291">
            <v>1</v>
          </cell>
          <cell r="AY1291">
            <v>0</v>
          </cell>
          <cell r="AZ1291">
            <v>0</v>
          </cell>
          <cell r="BA1291">
            <v>0</v>
          </cell>
          <cell r="BB1291">
            <v>0</v>
          </cell>
          <cell r="BC1291">
            <v>38828</v>
          </cell>
        </row>
        <row r="1292">
          <cell r="A1292">
            <v>2006</v>
          </cell>
          <cell r="B1292">
            <v>1</v>
          </cell>
          <cell r="C1292">
            <v>352</v>
          </cell>
          <cell r="D1292">
            <v>20</v>
          </cell>
          <cell r="E1292">
            <v>792020</v>
          </cell>
          <cell r="F1292">
            <v>0</v>
          </cell>
          <cell r="G1292" t="str">
            <v>Затраты по ШПЗ (основные)</v>
          </cell>
          <cell r="H1292">
            <v>2011</v>
          </cell>
          <cell r="I1292">
            <v>7920</v>
          </cell>
          <cell r="J1292">
            <v>4604.8999999999996</v>
          </cell>
          <cell r="K1292">
            <v>1</v>
          </cell>
          <cell r="L1292">
            <v>0</v>
          </cell>
          <cell r="M1292">
            <v>0</v>
          </cell>
          <cell r="N1292">
            <v>0</v>
          </cell>
          <cell r="R1292">
            <v>0</v>
          </cell>
          <cell r="S1292">
            <v>0</v>
          </cell>
          <cell r="T1292">
            <v>0</v>
          </cell>
          <cell r="U1292">
            <v>34</v>
          </cell>
          <cell r="V1292">
            <v>0</v>
          </cell>
          <cell r="W1292">
            <v>0</v>
          </cell>
          <cell r="AA1292">
            <v>0</v>
          </cell>
          <cell r="AB1292">
            <v>0</v>
          </cell>
          <cell r="AC1292">
            <v>0</v>
          </cell>
          <cell r="AD1292">
            <v>34</v>
          </cell>
          <cell r="AE1292">
            <v>114020</v>
          </cell>
          <cell r="AF1292">
            <v>0</v>
          </cell>
          <cell r="AI1292">
            <v>2223</v>
          </cell>
          <cell r="AK1292">
            <v>0</v>
          </cell>
          <cell r="AM1292">
            <v>479</v>
          </cell>
          <cell r="AN1292">
            <v>1</v>
          </cell>
          <cell r="AO1292">
            <v>393216</v>
          </cell>
          <cell r="AQ1292">
            <v>0</v>
          </cell>
          <cell r="AR1292">
            <v>0</v>
          </cell>
          <cell r="AS1292" t="str">
            <v>Ы</v>
          </cell>
          <cell r="AT1292" t="str">
            <v>Ы</v>
          </cell>
          <cell r="AU1292">
            <v>0</v>
          </cell>
          <cell r="AV1292">
            <v>0</v>
          </cell>
          <cell r="AW1292">
            <v>23</v>
          </cell>
          <cell r="AX1292">
            <v>1</v>
          </cell>
          <cell r="AY1292">
            <v>0</v>
          </cell>
          <cell r="AZ1292">
            <v>0</v>
          </cell>
          <cell r="BA1292">
            <v>0</v>
          </cell>
          <cell r="BB1292">
            <v>0</v>
          </cell>
          <cell r="BC1292">
            <v>38828</v>
          </cell>
        </row>
        <row r="1293">
          <cell r="A1293">
            <v>2006</v>
          </cell>
          <cell r="B1293">
            <v>1</v>
          </cell>
          <cell r="C1293">
            <v>353</v>
          </cell>
          <cell r="D1293">
            <v>20</v>
          </cell>
          <cell r="E1293">
            <v>792020</v>
          </cell>
          <cell r="F1293">
            <v>0</v>
          </cell>
          <cell r="G1293" t="str">
            <v>Затраты по ШПЗ (основные)</v>
          </cell>
          <cell r="H1293">
            <v>2011</v>
          </cell>
          <cell r="I1293">
            <v>7920</v>
          </cell>
          <cell r="J1293">
            <v>61762.67</v>
          </cell>
          <cell r="K1293">
            <v>1</v>
          </cell>
          <cell r="L1293">
            <v>0</v>
          </cell>
          <cell r="M1293">
            <v>0</v>
          </cell>
          <cell r="N1293">
            <v>0</v>
          </cell>
          <cell r="R1293">
            <v>0</v>
          </cell>
          <cell r="S1293">
            <v>0</v>
          </cell>
          <cell r="T1293">
            <v>0</v>
          </cell>
          <cell r="U1293">
            <v>34</v>
          </cell>
          <cell r="V1293">
            <v>0</v>
          </cell>
          <cell r="W1293">
            <v>0</v>
          </cell>
          <cell r="AA1293">
            <v>0</v>
          </cell>
          <cell r="AB1293">
            <v>0</v>
          </cell>
          <cell r="AC1293">
            <v>0</v>
          </cell>
          <cell r="AD1293">
            <v>34</v>
          </cell>
          <cell r="AE1293">
            <v>116000</v>
          </cell>
          <cell r="AF1293">
            <v>0</v>
          </cell>
          <cell r="AI1293">
            <v>2223</v>
          </cell>
          <cell r="AK1293">
            <v>0</v>
          </cell>
          <cell r="AM1293">
            <v>480</v>
          </cell>
          <cell r="AN1293">
            <v>1</v>
          </cell>
          <cell r="AO1293">
            <v>393216</v>
          </cell>
          <cell r="AQ1293">
            <v>0</v>
          </cell>
          <cell r="AR1293">
            <v>0</v>
          </cell>
          <cell r="AS1293" t="str">
            <v>Ы</v>
          </cell>
          <cell r="AT1293" t="str">
            <v>Ы</v>
          </cell>
          <cell r="AU1293">
            <v>0</v>
          </cell>
          <cell r="AV1293">
            <v>0</v>
          </cell>
          <cell r="AW1293">
            <v>23</v>
          </cell>
          <cell r="AX1293">
            <v>1</v>
          </cell>
          <cell r="AY1293">
            <v>0</v>
          </cell>
          <cell r="AZ1293">
            <v>0</v>
          </cell>
          <cell r="BA1293">
            <v>0</v>
          </cell>
          <cell r="BB1293">
            <v>0</v>
          </cell>
          <cell r="BC1293">
            <v>38828</v>
          </cell>
        </row>
        <row r="1294">
          <cell r="A1294">
            <v>2006</v>
          </cell>
          <cell r="B1294">
            <v>1</v>
          </cell>
          <cell r="C1294">
            <v>354</v>
          </cell>
          <cell r="D1294">
            <v>20</v>
          </cell>
          <cell r="E1294">
            <v>792020</v>
          </cell>
          <cell r="F1294">
            <v>0</v>
          </cell>
          <cell r="G1294" t="str">
            <v>Затраты по ШПЗ (основные)</v>
          </cell>
          <cell r="H1294">
            <v>2011</v>
          </cell>
          <cell r="I1294">
            <v>7920</v>
          </cell>
          <cell r="J1294">
            <v>4419.7</v>
          </cell>
          <cell r="K1294">
            <v>1</v>
          </cell>
          <cell r="L1294">
            <v>0</v>
          </cell>
          <cell r="M1294">
            <v>0</v>
          </cell>
          <cell r="N1294">
            <v>0</v>
          </cell>
          <cell r="R1294">
            <v>0</v>
          </cell>
          <cell r="S1294">
            <v>0</v>
          </cell>
          <cell r="T1294">
            <v>0</v>
          </cell>
          <cell r="U1294">
            <v>34</v>
          </cell>
          <cell r="V1294">
            <v>0</v>
          </cell>
          <cell r="W1294">
            <v>0</v>
          </cell>
          <cell r="AA1294">
            <v>0</v>
          </cell>
          <cell r="AB1294">
            <v>0</v>
          </cell>
          <cell r="AC1294">
            <v>0</v>
          </cell>
          <cell r="AD1294">
            <v>34</v>
          </cell>
          <cell r="AE1294">
            <v>117000</v>
          </cell>
          <cell r="AF1294">
            <v>0</v>
          </cell>
          <cell r="AI1294">
            <v>2223</v>
          </cell>
          <cell r="AK1294">
            <v>0</v>
          </cell>
          <cell r="AM1294">
            <v>481</v>
          </cell>
          <cell r="AN1294">
            <v>1</v>
          </cell>
          <cell r="AO1294">
            <v>393216</v>
          </cell>
          <cell r="AQ1294">
            <v>0</v>
          </cell>
          <cell r="AR1294">
            <v>0</v>
          </cell>
          <cell r="AS1294" t="str">
            <v>Ы</v>
          </cell>
          <cell r="AT1294" t="str">
            <v>Ы</v>
          </cell>
          <cell r="AU1294">
            <v>0</v>
          </cell>
          <cell r="AV1294">
            <v>0</v>
          </cell>
          <cell r="AW1294">
            <v>23</v>
          </cell>
          <cell r="AX1294">
            <v>1</v>
          </cell>
          <cell r="AY1294">
            <v>0</v>
          </cell>
          <cell r="AZ1294">
            <v>0</v>
          </cell>
          <cell r="BA1294">
            <v>0</v>
          </cell>
          <cell r="BB1294">
            <v>0</v>
          </cell>
          <cell r="BC1294">
            <v>38828</v>
          </cell>
        </row>
        <row r="1295">
          <cell r="A1295">
            <v>2006</v>
          </cell>
          <cell r="B1295">
            <v>1</v>
          </cell>
          <cell r="C1295">
            <v>355</v>
          </cell>
          <cell r="D1295">
            <v>20</v>
          </cell>
          <cell r="E1295">
            <v>792020</v>
          </cell>
          <cell r="F1295">
            <v>0</v>
          </cell>
          <cell r="G1295" t="str">
            <v>Затраты по ШПЗ (основные)</v>
          </cell>
          <cell r="H1295">
            <v>2011</v>
          </cell>
          <cell r="I1295">
            <v>7920</v>
          </cell>
          <cell r="J1295">
            <v>11548.95</v>
          </cell>
          <cell r="K1295">
            <v>1</v>
          </cell>
          <cell r="L1295">
            <v>0</v>
          </cell>
          <cell r="M1295">
            <v>0</v>
          </cell>
          <cell r="N1295">
            <v>0</v>
          </cell>
          <cell r="R1295">
            <v>0</v>
          </cell>
          <cell r="S1295">
            <v>0</v>
          </cell>
          <cell r="T1295">
            <v>0</v>
          </cell>
          <cell r="U1295">
            <v>34</v>
          </cell>
          <cell r="V1295">
            <v>0</v>
          </cell>
          <cell r="W1295">
            <v>0</v>
          </cell>
          <cell r="AA1295">
            <v>0</v>
          </cell>
          <cell r="AB1295">
            <v>0</v>
          </cell>
          <cell r="AC1295">
            <v>0</v>
          </cell>
          <cell r="AD1295">
            <v>34</v>
          </cell>
          <cell r="AE1295">
            <v>130100</v>
          </cell>
          <cell r="AF1295">
            <v>0</v>
          </cell>
          <cell r="AI1295">
            <v>2223</v>
          </cell>
          <cell r="AK1295">
            <v>0</v>
          </cell>
          <cell r="AM1295">
            <v>482</v>
          </cell>
          <cell r="AN1295">
            <v>1</v>
          </cell>
          <cell r="AO1295">
            <v>393216</v>
          </cell>
          <cell r="AQ1295">
            <v>0</v>
          </cell>
          <cell r="AR1295">
            <v>0</v>
          </cell>
          <cell r="AS1295" t="str">
            <v>Ы</v>
          </cell>
          <cell r="AT1295" t="str">
            <v>Ы</v>
          </cell>
          <cell r="AU1295">
            <v>0</v>
          </cell>
          <cell r="AV1295">
            <v>0</v>
          </cell>
          <cell r="AW1295">
            <v>23</v>
          </cell>
          <cell r="AX1295">
            <v>1</v>
          </cell>
          <cell r="AY1295">
            <v>0</v>
          </cell>
          <cell r="AZ1295">
            <v>0</v>
          </cell>
          <cell r="BA1295">
            <v>0</v>
          </cell>
          <cell r="BB1295">
            <v>0</v>
          </cell>
          <cell r="BC1295">
            <v>38828</v>
          </cell>
        </row>
        <row r="1296">
          <cell r="A1296">
            <v>2006</v>
          </cell>
          <cell r="B1296">
            <v>1</v>
          </cell>
          <cell r="C1296">
            <v>356</v>
          </cell>
          <cell r="D1296">
            <v>20</v>
          </cell>
          <cell r="E1296">
            <v>792020</v>
          </cell>
          <cell r="F1296">
            <v>0</v>
          </cell>
          <cell r="G1296" t="str">
            <v>Затраты по ШПЗ (основные)</v>
          </cell>
          <cell r="H1296">
            <v>2011</v>
          </cell>
          <cell r="I1296">
            <v>7920</v>
          </cell>
          <cell r="J1296">
            <v>482160.07</v>
          </cell>
          <cell r="K1296">
            <v>1</v>
          </cell>
          <cell r="L1296">
            <v>0</v>
          </cell>
          <cell r="M1296">
            <v>0</v>
          </cell>
          <cell r="N1296">
            <v>0</v>
          </cell>
          <cell r="R1296">
            <v>0</v>
          </cell>
          <cell r="S1296">
            <v>0</v>
          </cell>
          <cell r="T1296">
            <v>0</v>
          </cell>
          <cell r="U1296">
            <v>34</v>
          </cell>
          <cell r="V1296">
            <v>0</v>
          </cell>
          <cell r="W1296">
            <v>0</v>
          </cell>
          <cell r="AA1296">
            <v>0</v>
          </cell>
          <cell r="AB1296">
            <v>0</v>
          </cell>
          <cell r="AC1296">
            <v>0</v>
          </cell>
          <cell r="AD1296">
            <v>34</v>
          </cell>
          <cell r="AE1296">
            <v>151000</v>
          </cell>
          <cell r="AF1296">
            <v>0</v>
          </cell>
          <cell r="AI1296">
            <v>2223</v>
          </cell>
          <cell r="AK1296">
            <v>0</v>
          </cell>
          <cell r="AM1296">
            <v>483</v>
          </cell>
          <cell r="AN1296">
            <v>1</v>
          </cell>
          <cell r="AO1296">
            <v>393216</v>
          </cell>
          <cell r="AQ1296">
            <v>0</v>
          </cell>
          <cell r="AR1296">
            <v>0</v>
          </cell>
          <cell r="AS1296" t="str">
            <v>Ы</v>
          </cell>
          <cell r="AT1296" t="str">
            <v>Ы</v>
          </cell>
          <cell r="AU1296">
            <v>0</v>
          </cell>
          <cell r="AV1296">
            <v>0</v>
          </cell>
          <cell r="AW1296">
            <v>23</v>
          </cell>
          <cell r="AX1296">
            <v>1</v>
          </cell>
          <cell r="AY1296">
            <v>0</v>
          </cell>
          <cell r="AZ1296">
            <v>0</v>
          </cell>
          <cell r="BA1296">
            <v>0</v>
          </cell>
          <cell r="BB1296">
            <v>0</v>
          </cell>
          <cell r="BC1296">
            <v>38828</v>
          </cell>
        </row>
        <row r="1297">
          <cell r="A1297">
            <v>2006</v>
          </cell>
          <cell r="B1297">
            <v>1</v>
          </cell>
          <cell r="C1297">
            <v>357</v>
          </cell>
          <cell r="D1297">
            <v>20</v>
          </cell>
          <cell r="E1297">
            <v>792020</v>
          </cell>
          <cell r="F1297">
            <v>0</v>
          </cell>
          <cell r="G1297" t="str">
            <v>Затраты по ШПЗ (основные)</v>
          </cell>
          <cell r="H1297">
            <v>2011</v>
          </cell>
          <cell r="I1297">
            <v>7920</v>
          </cell>
          <cell r="J1297">
            <v>945111.63</v>
          </cell>
          <cell r="K1297">
            <v>1</v>
          </cell>
          <cell r="L1297">
            <v>0</v>
          </cell>
          <cell r="M1297">
            <v>0</v>
          </cell>
          <cell r="N1297">
            <v>0</v>
          </cell>
          <cell r="R1297">
            <v>0</v>
          </cell>
          <cell r="S1297">
            <v>0</v>
          </cell>
          <cell r="T1297">
            <v>0</v>
          </cell>
          <cell r="U1297">
            <v>34</v>
          </cell>
          <cell r="V1297">
            <v>0</v>
          </cell>
          <cell r="W1297">
            <v>0</v>
          </cell>
          <cell r="AA1297">
            <v>0</v>
          </cell>
          <cell r="AB1297">
            <v>0</v>
          </cell>
          <cell r="AC1297">
            <v>0</v>
          </cell>
          <cell r="AD1297">
            <v>34</v>
          </cell>
          <cell r="AE1297">
            <v>220000</v>
          </cell>
          <cell r="AF1297">
            <v>0</v>
          </cell>
          <cell r="AI1297">
            <v>2223</v>
          </cell>
          <cell r="AK1297">
            <v>0</v>
          </cell>
          <cell r="AM1297">
            <v>484</v>
          </cell>
          <cell r="AN1297">
            <v>1</v>
          </cell>
          <cell r="AO1297">
            <v>393216</v>
          </cell>
          <cell r="AQ1297">
            <v>0</v>
          </cell>
          <cell r="AR1297">
            <v>0</v>
          </cell>
          <cell r="AS1297" t="str">
            <v>Ы</v>
          </cell>
          <cell r="AT1297" t="str">
            <v>Ы</v>
          </cell>
          <cell r="AU1297">
            <v>0</v>
          </cell>
          <cell r="AV1297">
            <v>0</v>
          </cell>
          <cell r="AW1297">
            <v>23</v>
          </cell>
          <cell r="AX1297">
            <v>1</v>
          </cell>
          <cell r="AY1297">
            <v>0</v>
          </cell>
          <cell r="AZ1297">
            <v>0</v>
          </cell>
          <cell r="BA1297">
            <v>0</v>
          </cell>
          <cell r="BB1297">
            <v>0</v>
          </cell>
          <cell r="BC1297">
            <v>38828</v>
          </cell>
        </row>
        <row r="1298">
          <cell r="A1298">
            <v>2006</v>
          </cell>
          <cell r="B1298">
            <v>1</v>
          </cell>
          <cell r="C1298">
            <v>358</v>
          </cell>
          <cell r="D1298">
            <v>20</v>
          </cell>
          <cell r="E1298">
            <v>792020</v>
          </cell>
          <cell r="F1298">
            <v>0</v>
          </cell>
          <cell r="G1298" t="str">
            <v>Затраты по ШПЗ (основные)</v>
          </cell>
          <cell r="H1298">
            <v>2011</v>
          </cell>
          <cell r="I1298">
            <v>7920</v>
          </cell>
          <cell r="J1298">
            <v>516155.57</v>
          </cell>
          <cell r="K1298">
            <v>1</v>
          </cell>
          <cell r="L1298">
            <v>0</v>
          </cell>
          <cell r="M1298">
            <v>0</v>
          </cell>
          <cell r="N1298">
            <v>0</v>
          </cell>
          <cell r="R1298">
            <v>0</v>
          </cell>
          <cell r="S1298">
            <v>0</v>
          </cell>
          <cell r="T1298">
            <v>0</v>
          </cell>
          <cell r="U1298">
            <v>34</v>
          </cell>
          <cell r="V1298">
            <v>0</v>
          </cell>
          <cell r="W1298">
            <v>0</v>
          </cell>
          <cell r="AA1298">
            <v>0</v>
          </cell>
          <cell r="AB1298">
            <v>0</v>
          </cell>
          <cell r="AC1298">
            <v>0</v>
          </cell>
          <cell r="AD1298">
            <v>34</v>
          </cell>
          <cell r="AE1298">
            <v>230000</v>
          </cell>
          <cell r="AF1298">
            <v>0</v>
          </cell>
          <cell r="AI1298">
            <v>2223</v>
          </cell>
          <cell r="AK1298">
            <v>0</v>
          </cell>
          <cell r="AM1298">
            <v>485</v>
          </cell>
          <cell r="AN1298">
            <v>1</v>
          </cell>
          <cell r="AO1298">
            <v>393216</v>
          </cell>
          <cell r="AQ1298">
            <v>0</v>
          </cell>
          <cell r="AR1298">
            <v>0</v>
          </cell>
          <cell r="AS1298" t="str">
            <v>Ы</v>
          </cell>
          <cell r="AT1298" t="str">
            <v>Ы</v>
          </cell>
          <cell r="AU1298">
            <v>0</v>
          </cell>
          <cell r="AV1298">
            <v>0</v>
          </cell>
          <cell r="AW1298">
            <v>23</v>
          </cell>
          <cell r="AX1298">
            <v>1</v>
          </cell>
          <cell r="AY1298">
            <v>0</v>
          </cell>
          <cell r="AZ1298">
            <v>0</v>
          </cell>
          <cell r="BA1298">
            <v>0</v>
          </cell>
          <cell r="BB1298">
            <v>0</v>
          </cell>
          <cell r="BC1298">
            <v>38828</v>
          </cell>
        </row>
        <row r="1299">
          <cell r="A1299">
            <v>2006</v>
          </cell>
          <cell r="B1299">
            <v>1</v>
          </cell>
          <cell r="C1299">
            <v>359</v>
          </cell>
          <cell r="D1299">
            <v>20</v>
          </cell>
          <cell r="E1299">
            <v>792020</v>
          </cell>
          <cell r="F1299">
            <v>0</v>
          </cell>
          <cell r="G1299" t="str">
            <v>Затраты по ШПЗ (основные)</v>
          </cell>
          <cell r="H1299">
            <v>2011</v>
          </cell>
          <cell r="I1299">
            <v>7920</v>
          </cell>
          <cell r="J1299">
            <v>16478</v>
          </cell>
          <cell r="K1299">
            <v>1</v>
          </cell>
          <cell r="L1299">
            <v>0</v>
          </cell>
          <cell r="M1299">
            <v>0</v>
          </cell>
          <cell r="N1299">
            <v>0</v>
          </cell>
          <cell r="R1299">
            <v>0</v>
          </cell>
          <cell r="S1299">
            <v>0</v>
          </cell>
          <cell r="T1299">
            <v>0</v>
          </cell>
          <cell r="U1299">
            <v>34</v>
          </cell>
          <cell r="V1299">
            <v>0</v>
          </cell>
          <cell r="W1299">
            <v>0</v>
          </cell>
          <cell r="AA1299">
            <v>0</v>
          </cell>
          <cell r="AB1299">
            <v>0</v>
          </cell>
          <cell r="AC1299">
            <v>0</v>
          </cell>
          <cell r="AD1299">
            <v>34</v>
          </cell>
          <cell r="AE1299">
            <v>240000</v>
          </cell>
          <cell r="AF1299">
            <v>0</v>
          </cell>
          <cell r="AI1299">
            <v>2223</v>
          </cell>
          <cell r="AK1299">
            <v>0</v>
          </cell>
          <cell r="AM1299">
            <v>486</v>
          </cell>
          <cell r="AN1299">
            <v>1</v>
          </cell>
          <cell r="AO1299">
            <v>393216</v>
          </cell>
          <cell r="AQ1299">
            <v>0</v>
          </cell>
          <cell r="AR1299">
            <v>0</v>
          </cell>
          <cell r="AS1299" t="str">
            <v>Ы</v>
          </cell>
          <cell r="AT1299" t="str">
            <v>Ы</v>
          </cell>
          <cell r="AU1299">
            <v>0</v>
          </cell>
          <cell r="AV1299">
            <v>0</v>
          </cell>
          <cell r="AW1299">
            <v>23</v>
          </cell>
          <cell r="AX1299">
            <v>1</v>
          </cell>
          <cell r="AY1299">
            <v>0</v>
          </cell>
          <cell r="AZ1299">
            <v>0</v>
          </cell>
          <cell r="BA1299">
            <v>0</v>
          </cell>
          <cell r="BB1299">
            <v>0</v>
          </cell>
          <cell r="BC1299">
            <v>38828</v>
          </cell>
        </row>
        <row r="1300">
          <cell r="A1300">
            <v>2006</v>
          </cell>
          <cell r="B1300">
            <v>1</v>
          </cell>
          <cell r="C1300">
            <v>360</v>
          </cell>
          <cell r="D1300">
            <v>20</v>
          </cell>
          <cell r="E1300">
            <v>792020</v>
          </cell>
          <cell r="F1300">
            <v>0</v>
          </cell>
          <cell r="G1300" t="str">
            <v>Затраты по ШПЗ (основные)</v>
          </cell>
          <cell r="H1300">
            <v>2011</v>
          </cell>
          <cell r="I1300">
            <v>7920</v>
          </cell>
          <cell r="J1300">
            <v>2075</v>
          </cell>
          <cell r="K1300">
            <v>1</v>
          </cell>
          <cell r="L1300">
            <v>0</v>
          </cell>
          <cell r="M1300">
            <v>0</v>
          </cell>
          <cell r="N1300">
            <v>0</v>
          </cell>
          <cell r="R1300">
            <v>0</v>
          </cell>
          <cell r="S1300">
            <v>0</v>
          </cell>
          <cell r="T1300">
            <v>0</v>
          </cell>
          <cell r="U1300">
            <v>34</v>
          </cell>
          <cell r="V1300">
            <v>0</v>
          </cell>
          <cell r="W1300">
            <v>0</v>
          </cell>
          <cell r="AA1300">
            <v>0</v>
          </cell>
          <cell r="AB1300">
            <v>0</v>
          </cell>
          <cell r="AC1300">
            <v>0</v>
          </cell>
          <cell r="AD1300">
            <v>34</v>
          </cell>
          <cell r="AE1300">
            <v>250000</v>
          </cell>
          <cell r="AF1300">
            <v>0</v>
          </cell>
          <cell r="AI1300">
            <v>2223</v>
          </cell>
          <cell r="AK1300">
            <v>0</v>
          </cell>
          <cell r="AM1300">
            <v>487</v>
          </cell>
          <cell r="AN1300">
            <v>1</v>
          </cell>
          <cell r="AO1300">
            <v>393216</v>
          </cell>
          <cell r="AQ1300">
            <v>0</v>
          </cell>
          <cell r="AR1300">
            <v>0</v>
          </cell>
          <cell r="AS1300" t="str">
            <v>Ы</v>
          </cell>
          <cell r="AT1300" t="str">
            <v>Ы</v>
          </cell>
          <cell r="AU1300">
            <v>0</v>
          </cell>
          <cell r="AV1300">
            <v>0</v>
          </cell>
          <cell r="AW1300">
            <v>23</v>
          </cell>
          <cell r="AX1300">
            <v>1</v>
          </cell>
          <cell r="AY1300">
            <v>0</v>
          </cell>
          <cell r="AZ1300">
            <v>0</v>
          </cell>
          <cell r="BA1300">
            <v>0</v>
          </cell>
          <cell r="BB1300">
            <v>0</v>
          </cell>
          <cell r="BC1300">
            <v>38828</v>
          </cell>
        </row>
        <row r="1301">
          <cell r="A1301">
            <v>2006</v>
          </cell>
          <cell r="B1301">
            <v>1</v>
          </cell>
          <cell r="C1301">
            <v>361</v>
          </cell>
          <cell r="D1301">
            <v>20</v>
          </cell>
          <cell r="E1301">
            <v>792020</v>
          </cell>
          <cell r="F1301">
            <v>0</v>
          </cell>
          <cell r="G1301" t="str">
            <v>Затраты по ШПЗ (основные)</v>
          </cell>
          <cell r="H1301">
            <v>2011</v>
          </cell>
          <cell r="I1301">
            <v>7920</v>
          </cell>
          <cell r="J1301">
            <v>31541</v>
          </cell>
          <cell r="K1301">
            <v>1</v>
          </cell>
          <cell r="L1301">
            <v>0</v>
          </cell>
          <cell r="M1301">
            <v>0</v>
          </cell>
          <cell r="N1301">
            <v>0</v>
          </cell>
          <cell r="R1301">
            <v>0</v>
          </cell>
          <cell r="S1301">
            <v>0</v>
          </cell>
          <cell r="T1301">
            <v>0</v>
          </cell>
          <cell r="U1301">
            <v>34</v>
          </cell>
          <cell r="V1301">
            <v>0</v>
          </cell>
          <cell r="W1301">
            <v>0</v>
          </cell>
          <cell r="AA1301">
            <v>0</v>
          </cell>
          <cell r="AB1301">
            <v>0</v>
          </cell>
          <cell r="AC1301">
            <v>0</v>
          </cell>
          <cell r="AD1301">
            <v>34</v>
          </cell>
          <cell r="AE1301">
            <v>260000</v>
          </cell>
          <cell r="AF1301">
            <v>0</v>
          </cell>
          <cell r="AI1301">
            <v>2223</v>
          </cell>
          <cell r="AK1301">
            <v>0</v>
          </cell>
          <cell r="AM1301">
            <v>488</v>
          </cell>
          <cell r="AN1301">
            <v>1</v>
          </cell>
          <cell r="AO1301">
            <v>393216</v>
          </cell>
          <cell r="AQ1301">
            <v>0</v>
          </cell>
          <cell r="AR1301">
            <v>0</v>
          </cell>
          <cell r="AS1301" t="str">
            <v>Ы</v>
          </cell>
          <cell r="AT1301" t="str">
            <v>Ы</v>
          </cell>
          <cell r="AU1301">
            <v>0</v>
          </cell>
          <cell r="AV1301">
            <v>0</v>
          </cell>
          <cell r="AW1301">
            <v>23</v>
          </cell>
          <cell r="AX1301">
            <v>1</v>
          </cell>
          <cell r="AY1301">
            <v>0</v>
          </cell>
          <cell r="AZ1301">
            <v>0</v>
          </cell>
          <cell r="BA1301">
            <v>0</v>
          </cell>
          <cell r="BB1301">
            <v>0</v>
          </cell>
          <cell r="BC1301">
            <v>38828</v>
          </cell>
        </row>
        <row r="1302">
          <cell r="A1302">
            <v>2006</v>
          </cell>
          <cell r="B1302">
            <v>1</v>
          </cell>
          <cell r="C1302">
            <v>362</v>
          </cell>
          <cell r="D1302">
            <v>20</v>
          </cell>
          <cell r="E1302">
            <v>792020</v>
          </cell>
          <cell r="F1302">
            <v>0</v>
          </cell>
          <cell r="G1302" t="str">
            <v>Затраты по ШПЗ (основные)</v>
          </cell>
          <cell r="H1302">
            <v>2011</v>
          </cell>
          <cell r="I1302">
            <v>7920</v>
          </cell>
          <cell r="J1302">
            <v>152267.48000000001</v>
          </cell>
          <cell r="K1302">
            <v>1</v>
          </cell>
          <cell r="L1302">
            <v>0</v>
          </cell>
          <cell r="M1302">
            <v>0</v>
          </cell>
          <cell r="N1302">
            <v>0</v>
          </cell>
          <cell r="R1302">
            <v>0</v>
          </cell>
          <cell r="S1302">
            <v>0</v>
          </cell>
          <cell r="T1302">
            <v>0</v>
          </cell>
          <cell r="U1302">
            <v>34</v>
          </cell>
          <cell r="V1302">
            <v>0</v>
          </cell>
          <cell r="W1302">
            <v>0</v>
          </cell>
          <cell r="AA1302">
            <v>0</v>
          </cell>
          <cell r="AB1302">
            <v>0</v>
          </cell>
          <cell r="AC1302">
            <v>0</v>
          </cell>
          <cell r="AD1302">
            <v>34</v>
          </cell>
          <cell r="AE1302">
            <v>270000</v>
          </cell>
          <cell r="AF1302">
            <v>0</v>
          </cell>
          <cell r="AI1302">
            <v>2223</v>
          </cell>
          <cell r="AK1302">
            <v>0</v>
          </cell>
          <cell r="AM1302">
            <v>489</v>
          </cell>
          <cell r="AN1302">
            <v>1</v>
          </cell>
          <cell r="AO1302">
            <v>393216</v>
          </cell>
          <cell r="AQ1302">
            <v>0</v>
          </cell>
          <cell r="AR1302">
            <v>0</v>
          </cell>
          <cell r="AS1302" t="str">
            <v>Ы</v>
          </cell>
          <cell r="AT1302" t="str">
            <v>Ы</v>
          </cell>
          <cell r="AU1302">
            <v>0</v>
          </cell>
          <cell r="AV1302">
            <v>0</v>
          </cell>
          <cell r="AW1302">
            <v>23</v>
          </cell>
          <cell r="AX1302">
            <v>1</v>
          </cell>
          <cell r="AY1302">
            <v>0</v>
          </cell>
          <cell r="AZ1302">
            <v>0</v>
          </cell>
          <cell r="BA1302">
            <v>0</v>
          </cell>
          <cell r="BB1302">
            <v>0</v>
          </cell>
          <cell r="BC1302">
            <v>38828</v>
          </cell>
        </row>
        <row r="1303">
          <cell r="A1303">
            <v>2006</v>
          </cell>
          <cell r="B1303">
            <v>1</v>
          </cell>
          <cell r="C1303">
            <v>363</v>
          </cell>
          <cell r="D1303">
            <v>20</v>
          </cell>
          <cell r="E1303">
            <v>792020</v>
          </cell>
          <cell r="F1303">
            <v>0</v>
          </cell>
          <cell r="G1303" t="str">
            <v>Затраты по ШПЗ (основные)</v>
          </cell>
          <cell r="H1303">
            <v>2011</v>
          </cell>
          <cell r="I1303">
            <v>7920</v>
          </cell>
          <cell r="J1303">
            <v>53484.94</v>
          </cell>
          <cell r="K1303">
            <v>1</v>
          </cell>
          <cell r="L1303">
            <v>0</v>
          </cell>
          <cell r="M1303">
            <v>0</v>
          </cell>
          <cell r="N1303">
            <v>0</v>
          </cell>
          <cell r="R1303">
            <v>0</v>
          </cell>
          <cell r="S1303">
            <v>0</v>
          </cell>
          <cell r="T1303">
            <v>0</v>
          </cell>
          <cell r="U1303">
            <v>34</v>
          </cell>
          <cell r="V1303">
            <v>0</v>
          </cell>
          <cell r="W1303">
            <v>0</v>
          </cell>
          <cell r="AA1303">
            <v>0</v>
          </cell>
          <cell r="AB1303">
            <v>0</v>
          </cell>
          <cell r="AC1303">
            <v>0</v>
          </cell>
          <cell r="AD1303">
            <v>34</v>
          </cell>
          <cell r="AE1303">
            <v>280100</v>
          </cell>
          <cell r="AF1303">
            <v>0</v>
          </cell>
          <cell r="AI1303">
            <v>2223</v>
          </cell>
          <cell r="AK1303">
            <v>0</v>
          </cell>
          <cell r="AM1303">
            <v>490</v>
          </cell>
          <cell r="AN1303">
            <v>1</v>
          </cell>
          <cell r="AO1303">
            <v>393216</v>
          </cell>
          <cell r="AQ1303">
            <v>0</v>
          </cell>
          <cell r="AR1303">
            <v>0</v>
          </cell>
          <cell r="AS1303" t="str">
            <v>Ы</v>
          </cell>
          <cell r="AT1303" t="str">
            <v>Ы</v>
          </cell>
          <cell r="AU1303">
            <v>0</v>
          </cell>
          <cell r="AV1303">
            <v>0</v>
          </cell>
          <cell r="AW1303">
            <v>23</v>
          </cell>
          <cell r="AX1303">
            <v>1</v>
          </cell>
          <cell r="AY1303">
            <v>0</v>
          </cell>
          <cell r="AZ1303">
            <v>0</v>
          </cell>
          <cell r="BA1303">
            <v>0</v>
          </cell>
          <cell r="BB1303">
            <v>0</v>
          </cell>
          <cell r="BC1303">
            <v>38828</v>
          </cell>
        </row>
        <row r="1304">
          <cell r="A1304">
            <v>2006</v>
          </cell>
          <cell r="B1304">
            <v>1</v>
          </cell>
          <cell r="C1304">
            <v>364</v>
          </cell>
          <cell r="D1304">
            <v>20</v>
          </cell>
          <cell r="E1304">
            <v>792020</v>
          </cell>
          <cell r="F1304">
            <v>0</v>
          </cell>
          <cell r="G1304" t="str">
            <v>Затраты по ШПЗ (основные)</v>
          </cell>
          <cell r="H1304">
            <v>2011</v>
          </cell>
          <cell r="I1304">
            <v>7920</v>
          </cell>
          <cell r="J1304">
            <v>7115.68</v>
          </cell>
          <cell r="K1304">
            <v>1</v>
          </cell>
          <cell r="L1304">
            <v>0</v>
          </cell>
          <cell r="M1304">
            <v>0</v>
          </cell>
          <cell r="N1304">
            <v>0</v>
          </cell>
          <cell r="R1304">
            <v>0</v>
          </cell>
          <cell r="S1304">
            <v>0</v>
          </cell>
          <cell r="T1304">
            <v>0</v>
          </cell>
          <cell r="U1304">
            <v>34</v>
          </cell>
          <cell r="V1304">
            <v>0</v>
          </cell>
          <cell r="W1304">
            <v>0</v>
          </cell>
          <cell r="AA1304">
            <v>0</v>
          </cell>
          <cell r="AB1304">
            <v>0</v>
          </cell>
          <cell r="AC1304">
            <v>0</v>
          </cell>
          <cell r="AD1304">
            <v>34</v>
          </cell>
          <cell r="AE1304">
            <v>280200</v>
          </cell>
          <cell r="AF1304">
            <v>0</v>
          </cell>
          <cell r="AI1304">
            <v>2223</v>
          </cell>
          <cell r="AK1304">
            <v>0</v>
          </cell>
          <cell r="AM1304">
            <v>491</v>
          </cell>
          <cell r="AN1304">
            <v>1</v>
          </cell>
          <cell r="AO1304">
            <v>393216</v>
          </cell>
          <cell r="AQ1304">
            <v>0</v>
          </cell>
          <cell r="AR1304">
            <v>0</v>
          </cell>
          <cell r="AS1304" t="str">
            <v>Ы</v>
          </cell>
          <cell r="AT1304" t="str">
            <v>Ы</v>
          </cell>
          <cell r="AU1304">
            <v>0</v>
          </cell>
          <cell r="AV1304">
            <v>0</v>
          </cell>
          <cell r="AW1304">
            <v>23</v>
          </cell>
          <cell r="AX1304">
            <v>1</v>
          </cell>
          <cell r="AY1304">
            <v>0</v>
          </cell>
          <cell r="AZ1304">
            <v>0</v>
          </cell>
          <cell r="BA1304">
            <v>0</v>
          </cell>
          <cell r="BB1304">
            <v>0</v>
          </cell>
          <cell r="BC1304">
            <v>38828</v>
          </cell>
        </row>
        <row r="1305">
          <cell r="A1305">
            <v>2006</v>
          </cell>
          <cell r="B1305">
            <v>1</v>
          </cell>
          <cell r="C1305">
            <v>365</v>
          </cell>
          <cell r="D1305">
            <v>20</v>
          </cell>
          <cell r="E1305">
            <v>792020</v>
          </cell>
          <cell r="F1305">
            <v>0</v>
          </cell>
          <cell r="G1305" t="str">
            <v>Затраты по ШПЗ (основные)</v>
          </cell>
          <cell r="H1305">
            <v>2011</v>
          </cell>
          <cell r="I1305">
            <v>7920</v>
          </cell>
          <cell r="J1305">
            <v>7666.68</v>
          </cell>
          <cell r="K1305">
            <v>1</v>
          </cell>
          <cell r="L1305">
            <v>0</v>
          </cell>
          <cell r="M1305">
            <v>0</v>
          </cell>
          <cell r="N1305">
            <v>0</v>
          </cell>
          <cell r="R1305">
            <v>0</v>
          </cell>
          <cell r="S1305">
            <v>0</v>
          </cell>
          <cell r="T1305">
            <v>0</v>
          </cell>
          <cell r="U1305">
            <v>34</v>
          </cell>
          <cell r="V1305">
            <v>0</v>
          </cell>
          <cell r="W1305">
            <v>0</v>
          </cell>
          <cell r="AA1305">
            <v>0</v>
          </cell>
          <cell r="AB1305">
            <v>0</v>
          </cell>
          <cell r="AC1305">
            <v>0</v>
          </cell>
          <cell r="AD1305">
            <v>34</v>
          </cell>
          <cell r="AE1305">
            <v>280300</v>
          </cell>
          <cell r="AF1305">
            <v>0</v>
          </cell>
          <cell r="AI1305">
            <v>2223</v>
          </cell>
          <cell r="AK1305">
            <v>0</v>
          </cell>
          <cell r="AM1305">
            <v>492</v>
          </cell>
          <cell r="AN1305">
            <v>1</v>
          </cell>
          <cell r="AO1305">
            <v>393216</v>
          </cell>
          <cell r="AQ1305">
            <v>0</v>
          </cell>
          <cell r="AR1305">
            <v>0</v>
          </cell>
          <cell r="AS1305" t="str">
            <v>Ы</v>
          </cell>
          <cell r="AT1305" t="str">
            <v>Ы</v>
          </cell>
          <cell r="AU1305">
            <v>0</v>
          </cell>
          <cell r="AV1305">
            <v>0</v>
          </cell>
          <cell r="AW1305">
            <v>23</v>
          </cell>
          <cell r="AX1305">
            <v>1</v>
          </cell>
          <cell r="AY1305">
            <v>0</v>
          </cell>
          <cell r="AZ1305">
            <v>0</v>
          </cell>
          <cell r="BA1305">
            <v>0</v>
          </cell>
          <cell r="BB1305">
            <v>0</v>
          </cell>
          <cell r="BC1305">
            <v>38828</v>
          </cell>
        </row>
        <row r="1306">
          <cell r="A1306">
            <v>2006</v>
          </cell>
          <cell r="B1306">
            <v>1</v>
          </cell>
          <cell r="C1306">
            <v>366</v>
          </cell>
          <cell r="D1306">
            <v>20</v>
          </cell>
          <cell r="E1306">
            <v>792020</v>
          </cell>
          <cell r="F1306">
            <v>0</v>
          </cell>
          <cell r="G1306" t="str">
            <v>Затраты по ШПЗ (основные)</v>
          </cell>
          <cell r="H1306">
            <v>2011</v>
          </cell>
          <cell r="I1306">
            <v>7920</v>
          </cell>
          <cell r="J1306">
            <v>2845.9</v>
          </cell>
          <cell r="K1306">
            <v>1</v>
          </cell>
          <cell r="L1306">
            <v>0</v>
          </cell>
          <cell r="M1306">
            <v>0</v>
          </cell>
          <cell r="N1306">
            <v>0</v>
          </cell>
          <cell r="R1306">
            <v>0</v>
          </cell>
          <cell r="S1306">
            <v>0</v>
          </cell>
          <cell r="T1306">
            <v>0</v>
          </cell>
          <cell r="U1306">
            <v>34</v>
          </cell>
          <cell r="V1306">
            <v>0</v>
          </cell>
          <cell r="W1306">
            <v>0</v>
          </cell>
          <cell r="AA1306">
            <v>0</v>
          </cell>
          <cell r="AB1306">
            <v>0</v>
          </cell>
          <cell r="AC1306">
            <v>0</v>
          </cell>
          <cell r="AD1306">
            <v>34</v>
          </cell>
          <cell r="AE1306">
            <v>280400</v>
          </cell>
          <cell r="AF1306">
            <v>0</v>
          </cell>
          <cell r="AI1306">
            <v>2223</v>
          </cell>
          <cell r="AK1306">
            <v>0</v>
          </cell>
          <cell r="AM1306">
            <v>493</v>
          </cell>
          <cell r="AN1306">
            <v>1</v>
          </cell>
          <cell r="AO1306">
            <v>393216</v>
          </cell>
          <cell r="AQ1306">
            <v>0</v>
          </cell>
          <cell r="AR1306">
            <v>0</v>
          </cell>
          <cell r="AS1306" t="str">
            <v>Ы</v>
          </cell>
          <cell r="AT1306" t="str">
            <v>Ы</v>
          </cell>
          <cell r="AU1306">
            <v>0</v>
          </cell>
          <cell r="AV1306">
            <v>0</v>
          </cell>
          <cell r="AW1306">
            <v>23</v>
          </cell>
          <cell r="AX1306">
            <v>1</v>
          </cell>
          <cell r="AY1306">
            <v>0</v>
          </cell>
          <cell r="AZ1306">
            <v>0</v>
          </cell>
          <cell r="BA1306">
            <v>0</v>
          </cell>
          <cell r="BB1306">
            <v>0</v>
          </cell>
          <cell r="BC1306">
            <v>38828</v>
          </cell>
        </row>
        <row r="1307">
          <cell r="A1307">
            <v>2006</v>
          </cell>
          <cell r="B1307">
            <v>1</v>
          </cell>
          <cell r="C1307">
            <v>367</v>
          </cell>
          <cell r="D1307">
            <v>20</v>
          </cell>
          <cell r="E1307">
            <v>792020</v>
          </cell>
          <cell r="F1307">
            <v>0</v>
          </cell>
          <cell r="G1307" t="str">
            <v>Затраты по ШПЗ (основные)</v>
          </cell>
          <cell r="H1307">
            <v>2011</v>
          </cell>
          <cell r="I1307">
            <v>7920</v>
          </cell>
          <cell r="J1307">
            <v>16586.240000000002</v>
          </cell>
          <cell r="K1307">
            <v>1</v>
          </cell>
          <cell r="L1307">
            <v>0</v>
          </cell>
          <cell r="M1307">
            <v>0</v>
          </cell>
          <cell r="N1307">
            <v>0</v>
          </cell>
          <cell r="R1307">
            <v>0</v>
          </cell>
          <cell r="S1307">
            <v>0</v>
          </cell>
          <cell r="T1307">
            <v>0</v>
          </cell>
          <cell r="U1307">
            <v>34</v>
          </cell>
          <cell r="V1307">
            <v>0</v>
          </cell>
          <cell r="W1307">
            <v>0</v>
          </cell>
          <cell r="AA1307">
            <v>0</v>
          </cell>
          <cell r="AB1307">
            <v>0</v>
          </cell>
          <cell r="AC1307">
            <v>0</v>
          </cell>
          <cell r="AD1307">
            <v>34</v>
          </cell>
          <cell r="AE1307">
            <v>281100</v>
          </cell>
          <cell r="AF1307">
            <v>0</v>
          </cell>
          <cell r="AI1307">
            <v>2223</v>
          </cell>
          <cell r="AK1307">
            <v>0</v>
          </cell>
          <cell r="AM1307">
            <v>494</v>
          </cell>
          <cell r="AN1307">
            <v>1</v>
          </cell>
          <cell r="AO1307">
            <v>393216</v>
          </cell>
          <cell r="AQ1307">
            <v>0</v>
          </cell>
          <cell r="AR1307">
            <v>0</v>
          </cell>
          <cell r="AS1307" t="str">
            <v>Ы</v>
          </cell>
          <cell r="AT1307" t="str">
            <v>Ы</v>
          </cell>
          <cell r="AU1307">
            <v>0</v>
          </cell>
          <cell r="AV1307">
            <v>0</v>
          </cell>
          <cell r="AW1307">
            <v>23</v>
          </cell>
          <cell r="AX1307">
            <v>1</v>
          </cell>
          <cell r="AY1307">
            <v>0</v>
          </cell>
          <cell r="AZ1307">
            <v>0</v>
          </cell>
          <cell r="BA1307">
            <v>0</v>
          </cell>
          <cell r="BB1307">
            <v>0</v>
          </cell>
          <cell r="BC1307">
            <v>38828</v>
          </cell>
        </row>
        <row r="1308">
          <cell r="A1308">
            <v>2006</v>
          </cell>
          <cell r="B1308">
            <v>1</v>
          </cell>
          <cell r="C1308">
            <v>368</v>
          </cell>
          <cell r="D1308">
            <v>20</v>
          </cell>
          <cell r="E1308">
            <v>792020</v>
          </cell>
          <cell r="F1308">
            <v>0</v>
          </cell>
          <cell r="G1308" t="str">
            <v>Затраты по ШПЗ (основные)</v>
          </cell>
          <cell r="H1308">
            <v>2011</v>
          </cell>
          <cell r="I1308">
            <v>7920</v>
          </cell>
          <cell r="J1308">
            <v>21483.33</v>
          </cell>
          <cell r="K1308">
            <v>1</v>
          </cell>
          <cell r="L1308">
            <v>0</v>
          </cell>
          <cell r="M1308">
            <v>0</v>
          </cell>
          <cell r="N1308">
            <v>0</v>
          </cell>
          <cell r="R1308">
            <v>0</v>
          </cell>
          <cell r="S1308">
            <v>0</v>
          </cell>
          <cell r="T1308">
            <v>0</v>
          </cell>
          <cell r="U1308">
            <v>34</v>
          </cell>
          <cell r="V1308">
            <v>0</v>
          </cell>
          <cell r="W1308">
            <v>0</v>
          </cell>
          <cell r="AA1308">
            <v>0</v>
          </cell>
          <cell r="AB1308">
            <v>0</v>
          </cell>
          <cell r="AC1308">
            <v>0</v>
          </cell>
          <cell r="AD1308">
            <v>34</v>
          </cell>
          <cell r="AE1308">
            <v>282200</v>
          </cell>
          <cell r="AF1308">
            <v>0</v>
          </cell>
          <cell r="AI1308">
            <v>2223</v>
          </cell>
          <cell r="AK1308">
            <v>0</v>
          </cell>
          <cell r="AM1308">
            <v>495</v>
          </cell>
          <cell r="AN1308">
            <v>1</v>
          </cell>
          <cell r="AO1308">
            <v>393216</v>
          </cell>
          <cell r="AQ1308">
            <v>0</v>
          </cell>
          <cell r="AR1308">
            <v>0</v>
          </cell>
          <cell r="AS1308" t="str">
            <v>Ы</v>
          </cell>
          <cell r="AT1308" t="str">
            <v>Ы</v>
          </cell>
          <cell r="AU1308">
            <v>0</v>
          </cell>
          <cell r="AV1308">
            <v>0</v>
          </cell>
          <cell r="AW1308">
            <v>23</v>
          </cell>
          <cell r="AX1308">
            <v>1</v>
          </cell>
          <cell r="AY1308">
            <v>0</v>
          </cell>
          <cell r="AZ1308">
            <v>0</v>
          </cell>
          <cell r="BA1308">
            <v>0</v>
          </cell>
          <cell r="BB1308">
            <v>0</v>
          </cell>
          <cell r="BC1308">
            <v>38828</v>
          </cell>
        </row>
        <row r="1309">
          <cell r="A1309">
            <v>2006</v>
          </cell>
          <cell r="B1309">
            <v>1</v>
          </cell>
          <cell r="C1309">
            <v>369</v>
          </cell>
          <cell r="D1309">
            <v>20</v>
          </cell>
          <cell r="E1309">
            <v>792020</v>
          </cell>
          <cell r="F1309">
            <v>0</v>
          </cell>
          <cell r="G1309" t="str">
            <v>Затраты по ШПЗ (основные)</v>
          </cell>
          <cell r="H1309">
            <v>2011</v>
          </cell>
          <cell r="I1309">
            <v>7920</v>
          </cell>
          <cell r="J1309">
            <v>214379.44</v>
          </cell>
          <cell r="K1309">
            <v>1</v>
          </cell>
          <cell r="L1309">
            <v>0</v>
          </cell>
          <cell r="M1309">
            <v>0</v>
          </cell>
          <cell r="N1309">
            <v>0</v>
          </cell>
          <cell r="R1309">
            <v>0</v>
          </cell>
          <cell r="S1309">
            <v>0</v>
          </cell>
          <cell r="T1309">
            <v>0</v>
          </cell>
          <cell r="U1309">
            <v>34</v>
          </cell>
          <cell r="V1309">
            <v>0</v>
          </cell>
          <cell r="W1309">
            <v>0</v>
          </cell>
          <cell r="AA1309">
            <v>0</v>
          </cell>
          <cell r="AB1309">
            <v>0</v>
          </cell>
          <cell r="AC1309">
            <v>0</v>
          </cell>
          <cell r="AD1309">
            <v>34</v>
          </cell>
          <cell r="AE1309">
            <v>285000</v>
          </cell>
          <cell r="AF1309">
            <v>0</v>
          </cell>
          <cell r="AI1309">
            <v>2223</v>
          </cell>
          <cell r="AK1309">
            <v>0</v>
          </cell>
          <cell r="AM1309">
            <v>496</v>
          </cell>
          <cell r="AN1309">
            <v>1</v>
          </cell>
          <cell r="AO1309">
            <v>393216</v>
          </cell>
          <cell r="AQ1309">
            <v>0</v>
          </cell>
          <cell r="AR1309">
            <v>0</v>
          </cell>
          <cell r="AS1309" t="str">
            <v>Ы</v>
          </cell>
          <cell r="AT1309" t="str">
            <v>Ы</v>
          </cell>
          <cell r="AU1309">
            <v>0</v>
          </cell>
          <cell r="AV1309">
            <v>0</v>
          </cell>
          <cell r="AW1309">
            <v>23</v>
          </cell>
          <cell r="AX1309">
            <v>1</v>
          </cell>
          <cell r="AY1309">
            <v>0</v>
          </cell>
          <cell r="AZ1309">
            <v>0</v>
          </cell>
          <cell r="BA1309">
            <v>0</v>
          </cell>
          <cell r="BB1309">
            <v>0</v>
          </cell>
          <cell r="BC1309">
            <v>38828</v>
          </cell>
        </row>
        <row r="1310">
          <cell r="A1310">
            <v>2006</v>
          </cell>
          <cell r="B1310">
            <v>1</v>
          </cell>
          <cell r="C1310">
            <v>370</v>
          </cell>
          <cell r="D1310">
            <v>20</v>
          </cell>
          <cell r="E1310">
            <v>792020</v>
          </cell>
          <cell r="F1310">
            <v>0</v>
          </cell>
          <cell r="G1310" t="str">
            <v>Затраты по ШПЗ (основные)</v>
          </cell>
          <cell r="H1310">
            <v>2011</v>
          </cell>
          <cell r="I1310">
            <v>7920</v>
          </cell>
          <cell r="J1310">
            <v>56759.9</v>
          </cell>
          <cell r="K1310">
            <v>1</v>
          </cell>
          <cell r="L1310">
            <v>0</v>
          </cell>
          <cell r="M1310">
            <v>0</v>
          </cell>
          <cell r="N1310">
            <v>0</v>
          </cell>
          <cell r="R1310">
            <v>0</v>
          </cell>
          <cell r="S1310">
            <v>0</v>
          </cell>
          <cell r="T1310">
            <v>0</v>
          </cell>
          <cell r="U1310">
            <v>34</v>
          </cell>
          <cell r="V1310">
            <v>0</v>
          </cell>
          <cell r="W1310">
            <v>0</v>
          </cell>
          <cell r="AA1310">
            <v>0</v>
          </cell>
          <cell r="AB1310">
            <v>0</v>
          </cell>
          <cell r="AC1310">
            <v>0</v>
          </cell>
          <cell r="AD1310">
            <v>34</v>
          </cell>
          <cell r="AE1310">
            <v>311000</v>
          </cell>
          <cell r="AF1310">
            <v>0</v>
          </cell>
          <cell r="AI1310">
            <v>2223</v>
          </cell>
          <cell r="AK1310">
            <v>0</v>
          </cell>
          <cell r="AM1310">
            <v>497</v>
          </cell>
          <cell r="AN1310">
            <v>1</v>
          </cell>
          <cell r="AO1310">
            <v>393216</v>
          </cell>
          <cell r="AQ1310">
            <v>0</v>
          </cell>
          <cell r="AR1310">
            <v>0</v>
          </cell>
          <cell r="AS1310" t="str">
            <v>Ы</v>
          </cell>
          <cell r="AT1310" t="str">
            <v>Ы</v>
          </cell>
          <cell r="AU1310">
            <v>0</v>
          </cell>
          <cell r="AV1310">
            <v>0</v>
          </cell>
          <cell r="AW1310">
            <v>23</v>
          </cell>
          <cell r="AX1310">
            <v>1</v>
          </cell>
          <cell r="AY1310">
            <v>0</v>
          </cell>
          <cell r="AZ1310">
            <v>0</v>
          </cell>
          <cell r="BA1310">
            <v>0</v>
          </cell>
          <cell r="BB1310">
            <v>0</v>
          </cell>
          <cell r="BC1310">
            <v>38828</v>
          </cell>
        </row>
        <row r="1311">
          <cell r="A1311">
            <v>2006</v>
          </cell>
          <cell r="B1311">
            <v>1</v>
          </cell>
          <cell r="C1311">
            <v>371</v>
          </cell>
          <cell r="D1311">
            <v>20</v>
          </cell>
          <cell r="E1311">
            <v>792020</v>
          </cell>
          <cell r="F1311">
            <v>0</v>
          </cell>
          <cell r="G1311" t="str">
            <v>Затраты по ШПЗ (основные)</v>
          </cell>
          <cell r="H1311">
            <v>2011</v>
          </cell>
          <cell r="I1311">
            <v>7920</v>
          </cell>
          <cell r="J1311">
            <v>117434.27</v>
          </cell>
          <cell r="K1311">
            <v>1</v>
          </cell>
          <cell r="L1311">
            <v>0</v>
          </cell>
          <cell r="M1311">
            <v>0</v>
          </cell>
          <cell r="N1311">
            <v>0</v>
          </cell>
          <cell r="R1311">
            <v>0</v>
          </cell>
          <cell r="S1311">
            <v>0</v>
          </cell>
          <cell r="T1311">
            <v>0</v>
          </cell>
          <cell r="U1311">
            <v>34</v>
          </cell>
          <cell r="V1311">
            <v>0</v>
          </cell>
          <cell r="W1311">
            <v>0</v>
          </cell>
          <cell r="AA1311">
            <v>0</v>
          </cell>
          <cell r="AB1311">
            <v>0</v>
          </cell>
          <cell r="AC1311">
            <v>0</v>
          </cell>
          <cell r="AD1311">
            <v>34</v>
          </cell>
          <cell r="AE1311">
            <v>312000</v>
          </cell>
          <cell r="AF1311">
            <v>0</v>
          </cell>
          <cell r="AI1311">
            <v>2223</v>
          </cell>
          <cell r="AK1311">
            <v>0</v>
          </cell>
          <cell r="AM1311">
            <v>498</v>
          </cell>
          <cell r="AN1311">
            <v>1</v>
          </cell>
          <cell r="AO1311">
            <v>393216</v>
          </cell>
          <cell r="AQ1311">
            <v>0</v>
          </cell>
          <cell r="AR1311">
            <v>0</v>
          </cell>
          <cell r="AS1311" t="str">
            <v>Ы</v>
          </cell>
          <cell r="AT1311" t="str">
            <v>Ы</v>
          </cell>
          <cell r="AU1311">
            <v>0</v>
          </cell>
          <cell r="AV1311">
            <v>0</v>
          </cell>
          <cell r="AW1311">
            <v>23</v>
          </cell>
          <cell r="AX1311">
            <v>1</v>
          </cell>
          <cell r="AY1311">
            <v>0</v>
          </cell>
          <cell r="AZ1311">
            <v>0</v>
          </cell>
          <cell r="BA1311">
            <v>0</v>
          </cell>
          <cell r="BB1311">
            <v>0</v>
          </cell>
          <cell r="BC1311">
            <v>38828</v>
          </cell>
        </row>
        <row r="1312">
          <cell r="A1312">
            <v>2006</v>
          </cell>
          <cell r="B1312">
            <v>1</v>
          </cell>
          <cell r="C1312">
            <v>372</v>
          </cell>
          <cell r="D1312">
            <v>20</v>
          </cell>
          <cell r="E1312">
            <v>792020</v>
          </cell>
          <cell r="F1312">
            <v>0</v>
          </cell>
          <cell r="G1312" t="str">
            <v>Затраты по ШПЗ (основные)</v>
          </cell>
          <cell r="H1312">
            <v>2011</v>
          </cell>
          <cell r="I1312">
            <v>7920</v>
          </cell>
          <cell r="J1312">
            <v>23878.3</v>
          </cell>
          <cell r="K1312">
            <v>1</v>
          </cell>
          <cell r="L1312">
            <v>0</v>
          </cell>
          <cell r="M1312">
            <v>0</v>
          </cell>
          <cell r="N1312">
            <v>0</v>
          </cell>
          <cell r="R1312">
            <v>0</v>
          </cell>
          <cell r="S1312">
            <v>0</v>
          </cell>
          <cell r="T1312">
            <v>0</v>
          </cell>
          <cell r="U1312">
            <v>34</v>
          </cell>
          <cell r="V1312">
            <v>0</v>
          </cell>
          <cell r="W1312">
            <v>0</v>
          </cell>
          <cell r="AA1312">
            <v>0</v>
          </cell>
          <cell r="AB1312">
            <v>0</v>
          </cell>
          <cell r="AC1312">
            <v>0</v>
          </cell>
          <cell r="AD1312">
            <v>34</v>
          </cell>
          <cell r="AE1312">
            <v>312100</v>
          </cell>
          <cell r="AF1312">
            <v>0</v>
          </cell>
          <cell r="AI1312">
            <v>2223</v>
          </cell>
          <cell r="AK1312">
            <v>0</v>
          </cell>
          <cell r="AM1312">
            <v>499</v>
          </cell>
          <cell r="AN1312">
            <v>1</v>
          </cell>
          <cell r="AO1312">
            <v>393216</v>
          </cell>
          <cell r="AQ1312">
            <v>0</v>
          </cell>
          <cell r="AR1312">
            <v>0</v>
          </cell>
          <cell r="AS1312" t="str">
            <v>Ы</v>
          </cell>
          <cell r="AT1312" t="str">
            <v>Ы</v>
          </cell>
          <cell r="AU1312">
            <v>0</v>
          </cell>
          <cell r="AV1312">
            <v>0</v>
          </cell>
          <cell r="AW1312">
            <v>23</v>
          </cell>
          <cell r="AX1312">
            <v>1</v>
          </cell>
          <cell r="AY1312">
            <v>0</v>
          </cell>
          <cell r="AZ1312">
            <v>0</v>
          </cell>
          <cell r="BA1312">
            <v>0</v>
          </cell>
          <cell r="BB1312">
            <v>0</v>
          </cell>
          <cell r="BC1312">
            <v>38828</v>
          </cell>
        </row>
        <row r="1313">
          <cell r="A1313">
            <v>2006</v>
          </cell>
          <cell r="B1313">
            <v>1</v>
          </cell>
          <cell r="C1313">
            <v>373</v>
          </cell>
          <cell r="D1313">
            <v>20</v>
          </cell>
          <cell r="E1313">
            <v>792020</v>
          </cell>
          <cell r="F1313">
            <v>0</v>
          </cell>
          <cell r="G1313" t="str">
            <v>Затраты по ШПЗ (основные)</v>
          </cell>
          <cell r="H1313">
            <v>2011</v>
          </cell>
          <cell r="I1313">
            <v>7920</v>
          </cell>
          <cell r="J1313">
            <v>250135.01</v>
          </cell>
          <cell r="K1313">
            <v>1</v>
          </cell>
          <cell r="L1313">
            <v>0</v>
          </cell>
          <cell r="M1313">
            <v>0</v>
          </cell>
          <cell r="N1313">
            <v>0</v>
          </cell>
          <cell r="R1313">
            <v>0</v>
          </cell>
          <cell r="S1313">
            <v>0</v>
          </cell>
          <cell r="T1313">
            <v>0</v>
          </cell>
          <cell r="U1313">
            <v>34</v>
          </cell>
          <cell r="V1313">
            <v>0</v>
          </cell>
          <cell r="W1313">
            <v>0</v>
          </cell>
          <cell r="AA1313">
            <v>0</v>
          </cell>
          <cell r="AB1313">
            <v>0</v>
          </cell>
          <cell r="AC1313">
            <v>0</v>
          </cell>
          <cell r="AD1313">
            <v>34</v>
          </cell>
          <cell r="AE1313">
            <v>312200</v>
          </cell>
          <cell r="AF1313">
            <v>0</v>
          </cell>
          <cell r="AI1313">
            <v>2223</v>
          </cell>
          <cell r="AK1313">
            <v>0</v>
          </cell>
          <cell r="AM1313">
            <v>500</v>
          </cell>
          <cell r="AN1313">
            <v>1</v>
          </cell>
          <cell r="AO1313">
            <v>393216</v>
          </cell>
          <cell r="AQ1313">
            <v>0</v>
          </cell>
          <cell r="AR1313">
            <v>0</v>
          </cell>
          <cell r="AS1313" t="str">
            <v>Ы</v>
          </cell>
          <cell r="AT1313" t="str">
            <v>Ы</v>
          </cell>
          <cell r="AU1313">
            <v>0</v>
          </cell>
          <cell r="AV1313">
            <v>0</v>
          </cell>
          <cell r="AW1313">
            <v>23</v>
          </cell>
          <cell r="AX1313">
            <v>1</v>
          </cell>
          <cell r="AY1313">
            <v>0</v>
          </cell>
          <cell r="AZ1313">
            <v>0</v>
          </cell>
          <cell r="BA1313">
            <v>0</v>
          </cell>
          <cell r="BB1313">
            <v>0</v>
          </cell>
          <cell r="BC1313">
            <v>38828</v>
          </cell>
        </row>
        <row r="1314">
          <cell r="A1314">
            <v>2006</v>
          </cell>
          <cell r="B1314">
            <v>1</v>
          </cell>
          <cell r="C1314">
            <v>374</v>
          </cell>
          <cell r="D1314">
            <v>20</v>
          </cell>
          <cell r="E1314">
            <v>792020</v>
          </cell>
          <cell r="F1314">
            <v>0</v>
          </cell>
          <cell r="G1314" t="str">
            <v>Затраты по ШПЗ (основные)</v>
          </cell>
          <cell r="H1314">
            <v>2011</v>
          </cell>
          <cell r="I1314">
            <v>7920</v>
          </cell>
          <cell r="J1314">
            <v>21529.62</v>
          </cell>
          <cell r="K1314">
            <v>1</v>
          </cell>
          <cell r="L1314">
            <v>0</v>
          </cell>
          <cell r="M1314">
            <v>0</v>
          </cell>
          <cell r="N1314">
            <v>0</v>
          </cell>
          <cell r="R1314">
            <v>0</v>
          </cell>
          <cell r="S1314">
            <v>0</v>
          </cell>
          <cell r="T1314">
            <v>0</v>
          </cell>
          <cell r="U1314">
            <v>34</v>
          </cell>
          <cell r="V1314">
            <v>0</v>
          </cell>
          <cell r="W1314">
            <v>0</v>
          </cell>
          <cell r="AA1314">
            <v>0</v>
          </cell>
          <cell r="AB1314">
            <v>0</v>
          </cell>
          <cell r="AC1314">
            <v>0</v>
          </cell>
          <cell r="AD1314">
            <v>34</v>
          </cell>
          <cell r="AE1314">
            <v>313000</v>
          </cell>
          <cell r="AF1314">
            <v>0</v>
          </cell>
          <cell r="AI1314">
            <v>2223</v>
          </cell>
          <cell r="AK1314">
            <v>0</v>
          </cell>
          <cell r="AM1314">
            <v>501</v>
          </cell>
          <cell r="AN1314">
            <v>1</v>
          </cell>
          <cell r="AO1314">
            <v>393216</v>
          </cell>
          <cell r="AQ1314">
            <v>0</v>
          </cell>
          <cell r="AR1314">
            <v>0</v>
          </cell>
          <cell r="AS1314" t="str">
            <v>Ы</v>
          </cell>
          <cell r="AT1314" t="str">
            <v>Ы</v>
          </cell>
          <cell r="AU1314">
            <v>0</v>
          </cell>
          <cell r="AV1314">
            <v>0</v>
          </cell>
          <cell r="AW1314">
            <v>23</v>
          </cell>
          <cell r="AX1314">
            <v>1</v>
          </cell>
          <cell r="AY1314">
            <v>0</v>
          </cell>
          <cell r="AZ1314">
            <v>0</v>
          </cell>
          <cell r="BA1314">
            <v>0</v>
          </cell>
          <cell r="BB1314">
            <v>0</v>
          </cell>
          <cell r="BC1314">
            <v>38828</v>
          </cell>
        </row>
        <row r="1315">
          <cell r="A1315">
            <v>2006</v>
          </cell>
          <cell r="B1315">
            <v>1</v>
          </cell>
          <cell r="C1315">
            <v>375</v>
          </cell>
          <cell r="D1315">
            <v>20</v>
          </cell>
          <cell r="E1315">
            <v>792020</v>
          </cell>
          <cell r="F1315">
            <v>0</v>
          </cell>
          <cell r="G1315" t="str">
            <v>Затраты по ШПЗ (основные)</v>
          </cell>
          <cell r="H1315">
            <v>2011</v>
          </cell>
          <cell r="I1315">
            <v>7920</v>
          </cell>
          <cell r="J1315">
            <v>39144.76</v>
          </cell>
          <cell r="K1315">
            <v>1</v>
          </cell>
          <cell r="L1315">
            <v>0</v>
          </cell>
          <cell r="M1315">
            <v>0</v>
          </cell>
          <cell r="N1315">
            <v>0</v>
          </cell>
          <cell r="R1315">
            <v>0</v>
          </cell>
          <cell r="S1315">
            <v>0</v>
          </cell>
          <cell r="T1315">
            <v>0</v>
          </cell>
          <cell r="U1315">
            <v>34</v>
          </cell>
          <cell r="V1315">
            <v>0</v>
          </cell>
          <cell r="W1315">
            <v>0</v>
          </cell>
          <cell r="AA1315">
            <v>0</v>
          </cell>
          <cell r="AB1315">
            <v>0</v>
          </cell>
          <cell r="AC1315">
            <v>0</v>
          </cell>
          <cell r="AD1315">
            <v>34</v>
          </cell>
          <cell r="AE1315">
            <v>314000</v>
          </cell>
          <cell r="AF1315">
            <v>0</v>
          </cell>
          <cell r="AI1315">
            <v>2223</v>
          </cell>
          <cell r="AK1315">
            <v>0</v>
          </cell>
          <cell r="AM1315">
            <v>502</v>
          </cell>
          <cell r="AN1315">
            <v>1</v>
          </cell>
          <cell r="AO1315">
            <v>393216</v>
          </cell>
          <cell r="AQ1315">
            <v>0</v>
          </cell>
          <cell r="AR1315">
            <v>0</v>
          </cell>
          <cell r="AS1315" t="str">
            <v>Ы</v>
          </cell>
          <cell r="AT1315" t="str">
            <v>Ы</v>
          </cell>
          <cell r="AU1315">
            <v>0</v>
          </cell>
          <cell r="AV1315">
            <v>0</v>
          </cell>
          <cell r="AW1315">
            <v>23</v>
          </cell>
          <cell r="AX1315">
            <v>1</v>
          </cell>
          <cell r="AY1315">
            <v>0</v>
          </cell>
          <cell r="AZ1315">
            <v>0</v>
          </cell>
          <cell r="BA1315">
            <v>0</v>
          </cell>
          <cell r="BB1315">
            <v>0</v>
          </cell>
          <cell r="BC1315">
            <v>38828</v>
          </cell>
        </row>
        <row r="1316">
          <cell r="A1316">
            <v>2006</v>
          </cell>
          <cell r="B1316">
            <v>1</v>
          </cell>
          <cell r="C1316">
            <v>376</v>
          </cell>
          <cell r="D1316">
            <v>20</v>
          </cell>
          <cell r="E1316">
            <v>792020</v>
          </cell>
          <cell r="F1316">
            <v>0</v>
          </cell>
          <cell r="G1316" t="str">
            <v>Затраты по ШПЗ (основные)</v>
          </cell>
          <cell r="H1316">
            <v>2011</v>
          </cell>
          <cell r="I1316">
            <v>7920</v>
          </cell>
          <cell r="J1316">
            <v>7828.95</v>
          </cell>
          <cell r="K1316">
            <v>1</v>
          </cell>
          <cell r="L1316">
            <v>0</v>
          </cell>
          <cell r="M1316">
            <v>0</v>
          </cell>
          <cell r="N1316">
            <v>0</v>
          </cell>
          <cell r="R1316">
            <v>0</v>
          </cell>
          <cell r="S1316">
            <v>0</v>
          </cell>
          <cell r="T1316">
            <v>0</v>
          </cell>
          <cell r="U1316">
            <v>34</v>
          </cell>
          <cell r="V1316">
            <v>0</v>
          </cell>
          <cell r="W1316">
            <v>0</v>
          </cell>
          <cell r="AA1316">
            <v>0</v>
          </cell>
          <cell r="AB1316">
            <v>0</v>
          </cell>
          <cell r="AC1316">
            <v>0</v>
          </cell>
          <cell r="AD1316">
            <v>34</v>
          </cell>
          <cell r="AE1316">
            <v>315000</v>
          </cell>
          <cell r="AF1316">
            <v>0</v>
          </cell>
          <cell r="AI1316">
            <v>2223</v>
          </cell>
          <cell r="AK1316">
            <v>0</v>
          </cell>
          <cell r="AM1316">
            <v>503</v>
          </cell>
          <cell r="AN1316">
            <v>1</v>
          </cell>
          <cell r="AO1316">
            <v>393216</v>
          </cell>
          <cell r="AQ1316">
            <v>0</v>
          </cell>
          <cell r="AR1316">
            <v>0</v>
          </cell>
          <cell r="AS1316" t="str">
            <v>Ы</v>
          </cell>
          <cell r="AT1316" t="str">
            <v>Ы</v>
          </cell>
          <cell r="AU1316">
            <v>0</v>
          </cell>
          <cell r="AV1316">
            <v>0</v>
          </cell>
          <cell r="AW1316">
            <v>23</v>
          </cell>
          <cell r="AX1316">
            <v>1</v>
          </cell>
          <cell r="AY1316">
            <v>0</v>
          </cell>
          <cell r="AZ1316">
            <v>0</v>
          </cell>
          <cell r="BA1316">
            <v>0</v>
          </cell>
          <cell r="BB1316">
            <v>0</v>
          </cell>
          <cell r="BC1316">
            <v>38828</v>
          </cell>
        </row>
        <row r="1317">
          <cell r="A1317">
            <v>2006</v>
          </cell>
          <cell r="B1317">
            <v>1</v>
          </cell>
          <cell r="C1317">
            <v>377</v>
          </cell>
          <cell r="D1317">
            <v>20</v>
          </cell>
          <cell r="E1317">
            <v>792020</v>
          </cell>
          <cell r="F1317">
            <v>0</v>
          </cell>
          <cell r="G1317" t="str">
            <v>Затраты по ШПЗ (основные)</v>
          </cell>
          <cell r="H1317">
            <v>2011</v>
          </cell>
          <cell r="I1317">
            <v>7920</v>
          </cell>
          <cell r="J1317">
            <v>628642</v>
          </cell>
          <cell r="K1317">
            <v>1</v>
          </cell>
          <cell r="L1317">
            <v>0</v>
          </cell>
          <cell r="M1317">
            <v>0</v>
          </cell>
          <cell r="N1317">
            <v>0</v>
          </cell>
          <cell r="R1317">
            <v>0</v>
          </cell>
          <cell r="S1317">
            <v>0</v>
          </cell>
          <cell r="T1317">
            <v>0</v>
          </cell>
          <cell r="U1317">
            <v>34</v>
          </cell>
          <cell r="V1317">
            <v>0</v>
          </cell>
          <cell r="W1317">
            <v>0</v>
          </cell>
          <cell r="AA1317">
            <v>0</v>
          </cell>
          <cell r="AB1317">
            <v>0</v>
          </cell>
          <cell r="AC1317">
            <v>0</v>
          </cell>
          <cell r="AD1317">
            <v>34</v>
          </cell>
          <cell r="AE1317">
            <v>410000</v>
          </cell>
          <cell r="AF1317">
            <v>0</v>
          </cell>
          <cell r="AI1317">
            <v>2223</v>
          </cell>
          <cell r="AK1317">
            <v>0</v>
          </cell>
          <cell r="AM1317">
            <v>504</v>
          </cell>
          <cell r="AN1317">
            <v>1</v>
          </cell>
          <cell r="AO1317">
            <v>393216</v>
          </cell>
          <cell r="AQ1317">
            <v>0</v>
          </cell>
          <cell r="AR1317">
            <v>0</v>
          </cell>
          <cell r="AS1317" t="str">
            <v>Ы</v>
          </cell>
          <cell r="AT1317" t="str">
            <v>Ы</v>
          </cell>
          <cell r="AU1317">
            <v>0</v>
          </cell>
          <cell r="AV1317">
            <v>0</v>
          </cell>
          <cell r="AW1317">
            <v>23</v>
          </cell>
          <cell r="AX1317">
            <v>1</v>
          </cell>
          <cell r="AY1317">
            <v>0</v>
          </cell>
          <cell r="AZ1317">
            <v>0</v>
          </cell>
          <cell r="BA1317">
            <v>0</v>
          </cell>
          <cell r="BB1317">
            <v>0</v>
          </cell>
          <cell r="BC1317">
            <v>38828</v>
          </cell>
        </row>
        <row r="1318">
          <cell r="A1318">
            <v>2006</v>
          </cell>
          <cell r="B1318">
            <v>1</v>
          </cell>
          <cell r="C1318">
            <v>378</v>
          </cell>
          <cell r="D1318">
            <v>20</v>
          </cell>
          <cell r="E1318">
            <v>792020</v>
          </cell>
          <cell r="F1318">
            <v>0</v>
          </cell>
          <cell r="G1318" t="str">
            <v>Затраты по ШПЗ (основные)</v>
          </cell>
          <cell r="H1318">
            <v>2011</v>
          </cell>
          <cell r="I1318">
            <v>7920</v>
          </cell>
          <cell r="J1318">
            <v>58042</v>
          </cell>
          <cell r="K1318">
            <v>1</v>
          </cell>
          <cell r="L1318">
            <v>0</v>
          </cell>
          <cell r="M1318">
            <v>0</v>
          </cell>
          <cell r="N1318">
            <v>0</v>
          </cell>
          <cell r="R1318">
            <v>0</v>
          </cell>
          <cell r="S1318">
            <v>0</v>
          </cell>
          <cell r="T1318">
            <v>0</v>
          </cell>
          <cell r="U1318">
            <v>34</v>
          </cell>
          <cell r="V1318">
            <v>0</v>
          </cell>
          <cell r="W1318">
            <v>0</v>
          </cell>
          <cell r="AA1318">
            <v>0</v>
          </cell>
          <cell r="AB1318">
            <v>0</v>
          </cell>
          <cell r="AC1318">
            <v>0</v>
          </cell>
          <cell r="AD1318">
            <v>34</v>
          </cell>
          <cell r="AE1318">
            <v>420000</v>
          </cell>
          <cell r="AF1318">
            <v>0</v>
          </cell>
          <cell r="AI1318">
            <v>2223</v>
          </cell>
          <cell r="AK1318">
            <v>0</v>
          </cell>
          <cell r="AM1318">
            <v>505</v>
          </cell>
          <cell r="AN1318">
            <v>1</v>
          </cell>
          <cell r="AO1318">
            <v>393216</v>
          </cell>
          <cell r="AQ1318">
            <v>0</v>
          </cell>
          <cell r="AR1318">
            <v>0</v>
          </cell>
          <cell r="AS1318" t="str">
            <v>Ы</v>
          </cell>
          <cell r="AT1318" t="str">
            <v>Ы</v>
          </cell>
          <cell r="AU1318">
            <v>0</v>
          </cell>
          <cell r="AV1318">
            <v>0</v>
          </cell>
          <cell r="AW1318">
            <v>23</v>
          </cell>
          <cell r="AX1318">
            <v>1</v>
          </cell>
          <cell r="AY1318">
            <v>0</v>
          </cell>
          <cell r="AZ1318">
            <v>0</v>
          </cell>
          <cell r="BA1318">
            <v>0</v>
          </cell>
          <cell r="BB1318">
            <v>0</v>
          </cell>
          <cell r="BC1318">
            <v>38828</v>
          </cell>
        </row>
        <row r="1319">
          <cell r="A1319">
            <v>2006</v>
          </cell>
          <cell r="B1319">
            <v>1</v>
          </cell>
          <cell r="C1319">
            <v>379</v>
          </cell>
          <cell r="D1319">
            <v>20</v>
          </cell>
          <cell r="E1319">
            <v>792020</v>
          </cell>
          <cell r="F1319">
            <v>0</v>
          </cell>
          <cell r="G1319" t="str">
            <v>Затраты по ШПЗ (основные)</v>
          </cell>
          <cell r="H1319">
            <v>2011</v>
          </cell>
          <cell r="I1319">
            <v>7920</v>
          </cell>
          <cell r="J1319">
            <v>81551</v>
          </cell>
          <cell r="K1319">
            <v>1</v>
          </cell>
          <cell r="L1319">
            <v>0</v>
          </cell>
          <cell r="M1319">
            <v>0</v>
          </cell>
          <cell r="N1319">
            <v>0</v>
          </cell>
          <cell r="R1319">
            <v>0</v>
          </cell>
          <cell r="S1319">
            <v>0</v>
          </cell>
          <cell r="T1319">
            <v>0</v>
          </cell>
          <cell r="U1319">
            <v>34</v>
          </cell>
          <cell r="V1319">
            <v>0</v>
          </cell>
          <cell r="W1319">
            <v>0</v>
          </cell>
          <cell r="AA1319">
            <v>0</v>
          </cell>
          <cell r="AB1319">
            <v>0</v>
          </cell>
          <cell r="AC1319">
            <v>0</v>
          </cell>
          <cell r="AD1319">
            <v>34</v>
          </cell>
          <cell r="AE1319">
            <v>430000</v>
          </cell>
          <cell r="AF1319">
            <v>0</v>
          </cell>
          <cell r="AI1319">
            <v>2223</v>
          </cell>
          <cell r="AK1319">
            <v>0</v>
          </cell>
          <cell r="AM1319">
            <v>506</v>
          </cell>
          <cell r="AN1319">
            <v>1</v>
          </cell>
          <cell r="AO1319">
            <v>393216</v>
          </cell>
          <cell r="AQ1319">
            <v>0</v>
          </cell>
          <cell r="AR1319">
            <v>0</v>
          </cell>
          <cell r="AS1319" t="str">
            <v>Ы</v>
          </cell>
          <cell r="AT1319" t="str">
            <v>Ы</v>
          </cell>
          <cell r="AU1319">
            <v>0</v>
          </cell>
          <cell r="AV1319">
            <v>0</v>
          </cell>
          <cell r="AW1319">
            <v>23</v>
          </cell>
          <cell r="AX1319">
            <v>1</v>
          </cell>
          <cell r="AY1319">
            <v>0</v>
          </cell>
          <cell r="AZ1319">
            <v>0</v>
          </cell>
          <cell r="BA1319">
            <v>0</v>
          </cell>
          <cell r="BB1319">
            <v>0</v>
          </cell>
          <cell r="BC1319">
            <v>38828</v>
          </cell>
        </row>
        <row r="1320">
          <cell r="A1320">
            <v>2006</v>
          </cell>
          <cell r="B1320">
            <v>1</v>
          </cell>
          <cell r="C1320">
            <v>380</v>
          </cell>
          <cell r="D1320">
            <v>20</v>
          </cell>
          <cell r="E1320">
            <v>792020</v>
          </cell>
          <cell r="F1320">
            <v>0</v>
          </cell>
          <cell r="G1320" t="str">
            <v>Затраты по ШПЗ (основные)</v>
          </cell>
          <cell r="H1320">
            <v>2011</v>
          </cell>
          <cell r="I1320">
            <v>7920</v>
          </cell>
          <cell r="J1320">
            <v>2009381</v>
          </cell>
          <cell r="K1320">
            <v>1</v>
          </cell>
          <cell r="L1320">
            <v>0</v>
          </cell>
          <cell r="M1320">
            <v>0</v>
          </cell>
          <cell r="N1320">
            <v>0</v>
          </cell>
          <cell r="R1320">
            <v>0</v>
          </cell>
          <cell r="S1320">
            <v>0</v>
          </cell>
          <cell r="T1320">
            <v>0</v>
          </cell>
          <cell r="U1320">
            <v>34</v>
          </cell>
          <cell r="V1320">
            <v>0</v>
          </cell>
          <cell r="W1320">
            <v>0</v>
          </cell>
          <cell r="AA1320">
            <v>0</v>
          </cell>
          <cell r="AB1320">
            <v>0</v>
          </cell>
          <cell r="AC1320">
            <v>0</v>
          </cell>
          <cell r="AD1320">
            <v>34</v>
          </cell>
          <cell r="AE1320">
            <v>430110</v>
          </cell>
          <cell r="AF1320">
            <v>0</v>
          </cell>
          <cell r="AI1320">
            <v>2223</v>
          </cell>
          <cell r="AK1320">
            <v>0</v>
          </cell>
          <cell r="AM1320">
            <v>507</v>
          </cell>
          <cell r="AN1320">
            <v>1</v>
          </cell>
          <cell r="AO1320">
            <v>393216</v>
          </cell>
          <cell r="AQ1320">
            <v>0</v>
          </cell>
          <cell r="AR1320">
            <v>0</v>
          </cell>
          <cell r="AS1320" t="str">
            <v>Ы</v>
          </cell>
          <cell r="AT1320" t="str">
            <v>Ы</v>
          </cell>
          <cell r="AU1320">
            <v>0</v>
          </cell>
          <cell r="AV1320">
            <v>0</v>
          </cell>
          <cell r="AW1320">
            <v>23</v>
          </cell>
          <cell r="AX1320">
            <v>1</v>
          </cell>
          <cell r="AY1320">
            <v>0</v>
          </cell>
          <cell r="AZ1320">
            <v>0</v>
          </cell>
          <cell r="BA1320">
            <v>0</v>
          </cell>
          <cell r="BB1320">
            <v>0</v>
          </cell>
          <cell r="BC1320">
            <v>38828</v>
          </cell>
        </row>
        <row r="1321">
          <cell r="A1321">
            <v>2006</v>
          </cell>
          <cell r="B1321">
            <v>1</v>
          </cell>
          <cell r="C1321">
            <v>381</v>
          </cell>
          <cell r="D1321">
            <v>20</v>
          </cell>
          <cell r="E1321">
            <v>792020</v>
          </cell>
          <cell r="F1321">
            <v>0</v>
          </cell>
          <cell r="G1321" t="str">
            <v>Затраты по ШПЗ (основные)</v>
          </cell>
          <cell r="H1321">
            <v>2011</v>
          </cell>
          <cell r="I1321">
            <v>7920</v>
          </cell>
          <cell r="J1321">
            <v>56112</v>
          </cell>
          <cell r="K1321">
            <v>1</v>
          </cell>
          <cell r="L1321">
            <v>0</v>
          </cell>
          <cell r="M1321">
            <v>0</v>
          </cell>
          <cell r="N1321">
            <v>0</v>
          </cell>
          <cell r="R1321">
            <v>0</v>
          </cell>
          <cell r="S1321">
            <v>0</v>
          </cell>
          <cell r="T1321">
            <v>0</v>
          </cell>
          <cell r="U1321">
            <v>34</v>
          </cell>
          <cell r="V1321">
            <v>0</v>
          </cell>
          <cell r="W1321">
            <v>0</v>
          </cell>
          <cell r="AA1321">
            <v>0</v>
          </cell>
          <cell r="AB1321">
            <v>0</v>
          </cell>
          <cell r="AC1321">
            <v>0</v>
          </cell>
          <cell r="AD1321">
            <v>34</v>
          </cell>
          <cell r="AE1321">
            <v>450000</v>
          </cell>
          <cell r="AF1321">
            <v>0</v>
          </cell>
          <cell r="AI1321">
            <v>2223</v>
          </cell>
          <cell r="AK1321">
            <v>0</v>
          </cell>
          <cell r="AM1321">
            <v>508</v>
          </cell>
          <cell r="AN1321">
            <v>1</v>
          </cell>
          <cell r="AO1321">
            <v>393216</v>
          </cell>
          <cell r="AQ1321">
            <v>0</v>
          </cell>
          <cell r="AR1321">
            <v>0</v>
          </cell>
          <cell r="AS1321" t="str">
            <v>Ы</v>
          </cell>
          <cell r="AT1321" t="str">
            <v>Ы</v>
          </cell>
          <cell r="AU1321">
            <v>0</v>
          </cell>
          <cell r="AV1321">
            <v>0</v>
          </cell>
          <cell r="AW1321">
            <v>23</v>
          </cell>
          <cell r="AX1321">
            <v>1</v>
          </cell>
          <cell r="AY1321">
            <v>0</v>
          </cell>
          <cell r="AZ1321">
            <v>0</v>
          </cell>
          <cell r="BA1321">
            <v>0</v>
          </cell>
          <cell r="BB1321">
            <v>0</v>
          </cell>
          <cell r="BC1321">
            <v>38828</v>
          </cell>
        </row>
        <row r="1322">
          <cell r="A1322">
            <v>2006</v>
          </cell>
          <cell r="B1322">
            <v>1</v>
          </cell>
          <cell r="C1322">
            <v>382</v>
          </cell>
          <cell r="D1322">
            <v>20</v>
          </cell>
          <cell r="E1322">
            <v>792020</v>
          </cell>
          <cell r="F1322">
            <v>0</v>
          </cell>
          <cell r="G1322" t="str">
            <v>Затраты по ШПЗ (основные)</v>
          </cell>
          <cell r="H1322">
            <v>2011</v>
          </cell>
          <cell r="I1322">
            <v>7920</v>
          </cell>
          <cell r="J1322">
            <v>862</v>
          </cell>
          <cell r="K1322">
            <v>1</v>
          </cell>
          <cell r="L1322">
            <v>0</v>
          </cell>
          <cell r="M1322">
            <v>0</v>
          </cell>
          <cell r="N1322">
            <v>0</v>
          </cell>
          <cell r="R1322">
            <v>0</v>
          </cell>
          <cell r="S1322">
            <v>0</v>
          </cell>
          <cell r="T1322">
            <v>0</v>
          </cell>
          <cell r="U1322">
            <v>34</v>
          </cell>
          <cell r="V1322">
            <v>0</v>
          </cell>
          <cell r="W1322">
            <v>0</v>
          </cell>
          <cell r="AA1322">
            <v>0</v>
          </cell>
          <cell r="AB1322">
            <v>0</v>
          </cell>
          <cell r="AC1322">
            <v>0</v>
          </cell>
          <cell r="AD1322">
            <v>34</v>
          </cell>
          <cell r="AE1322">
            <v>460000</v>
          </cell>
          <cell r="AF1322">
            <v>0</v>
          </cell>
          <cell r="AI1322">
            <v>2223</v>
          </cell>
          <cell r="AK1322">
            <v>0</v>
          </cell>
          <cell r="AM1322">
            <v>509</v>
          </cell>
          <cell r="AN1322">
            <v>1</v>
          </cell>
          <cell r="AO1322">
            <v>393216</v>
          </cell>
          <cell r="AQ1322">
            <v>0</v>
          </cell>
          <cell r="AR1322">
            <v>0</v>
          </cell>
          <cell r="AS1322" t="str">
            <v>Ы</v>
          </cell>
          <cell r="AT1322" t="str">
            <v>Ы</v>
          </cell>
          <cell r="AU1322">
            <v>0</v>
          </cell>
          <cell r="AV1322">
            <v>0</v>
          </cell>
          <cell r="AW1322">
            <v>23</v>
          </cell>
          <cell r="AX1322">
            <v>1</v>
          </cell>
          <cell r="AY1322">
            <v>0</v>
          </cell>
          <cell r="AZ1322">
            <v>0</v>
          </cell>
          <cell r="BA1322">
            <v>0</v>
          </cell>
          <cell r="BB1322">
            <v>0</v>
          </cell>
          <cell r="BC1322">
            <v>38828</v>
          </cell>
        </row>
        <row r="1323">
          <cell r="A1323">
            <v>2006</v>
          </cell>
          <cell r="B1323">
            <v>1</v>
          </cell>
          <cell r="C1323">
            <v>383</v>
          </cell>
          <cell r="D1323">
            <v>20</v>
          </cell>
          <cell r="E1323">
            <v>792020</v>
          </cell>
          <cell r="F1323">
            <v>0</v>
          </cell>
          <cell r="G1323" t="str">
            <v>Затраты по ШПЗ (основные)</v>
          </cell>
          <cell r="H1323">
            <v>2011</v>
          </cell>
          <cell r="I1323">
            <v>7920</v>
          </cell>
          <cell r="J1323">
            <v>14000</v>
          </cell>
          <cell r="K1323">
            <v>1</v>
          </cell>
          <cell r="L1323">
            <v>0</v>
          </cell>
          <cell r="M1323">
            <v>0</v>
          </cell>
          <cell r="N1323">
            <v>0</v>
          </cell>
          <cell r="R1323">
            <v>0</v>
          </cell>
          <cell r="S1323">
            <v>0</v>
          </cell>
          <cell r="T1323">
            <v>0</v>
          </cell>
          <cell r="U1323">
            <v>34</v>
          </cell>
          <cell r="V1323">
            <v>0</v>
          </cell>
          <cell r="W1323">
            <v>0</v>
          </cell>
          <cell r="AA1323">
            <v>0</v>
          </cell>
          <cell r="AB1323">
            <v>0</v>
          </cell>
          <cell r="AC1323">
            <v>0</v>
          </cell>
          <cell r="AD1323">
            <v>34</v>
          </cell>
          <cell r="AE1323">
            <v>501105</v>
          </cell>
          <cell r="AF1323">
            <v>0</v>
          </cell>
          <cell r="AI1323">
            <v>2223</v>
          </cell>
          <cell r="AK1323">
            <v>0</v>
          </cell>
          <cell r="AM1323">
            <v>510</v>
          </cell>
          <cell r="AN1323">
            <v>1</v>
          </cell>
          <cell r="AO1323">
            <v>393216</v>
          </cell>
          <cell r="AQ1323">
            <v>0</v>
          </cell>
          <cell r="AR1323">
            <v>0</v>
          </cell>
          <cell r="AS1323" t="str">
            <v>Ы</v>
          </cell>
          <cell r="AT1323" t="str">
            <v>Ы</v>
          </cell>
          <cell r="AU1323">
            <v>0</v>
          </cell>
          <cell r="AV1323">
            <v>0</v>
          </cell>
          <cell r="AW1323">
            <v>23</v>
          </cell>
          <cell r="AX1323">
            <v>1</v>
          </cell>
          <cell r="AY1323">
            <v>0</v>
          </cell>
          <cell r="AZ1323">
            <v>0</v>
          </cell>
          <cell r="BA1323">
            <v>0</v>
          </cell>
          <cell r="BB1323">
            <v>0</v>
          </cell>
          <cell r="BC1323">
            <v>38828</v>
          </cell>
        </row>
        <row r="1324">
          <cell r="A1324">
            <v>2006</v>
          </cell>
          <cell r="B1324">
            <v>1</v>
          </cell>
          <cell r="C1324">
            <v>384</v>
          </cell>
          <cell r="D1324">
            <v>20</v>
          </cell>
          <cell r="E1324">
            <v>792020</v>
          </cell>
          <cell r="F1324">
            <v>0</v>
          </cell>
          <cell r="G1324" t="str">
            <v>Затраты по ШПЗ (основные)</v>
          </cell>
          <cell r="H1324">
            <v>2011</v>
          </cell>
          <cell r="I1324">
            <v>7920</v>
          </cell>
          <cell r="J1324">
            <v>6612.48</v>
          </cell>
          <cell r="K1324">
            <v>1</v>
          </cell>
          <cell r="L1324">
            <v>0</v>
          </cell>
          <cell r="M1324">
            <v>0</v>
          </cell>
          <cell r="N1324">
            <v>0</v>
          </cell>
          <cell r="R1324">
            <v>0</v>
          </cell>
          <cell r="S1324">
            <v>0</v>
          </cell>
          <cell r="T1324">
            <v>0</v>
          </cell>
          <cell r="U1324">
            <v>34</v>
          </cell>
          <cell r="V1324">
            <v>0</v>
          </cell>
          <cell r="W1324">
            <v>0</v>
          </cell>
          <cell r="AA1324">
            <v>0</v>
          </cell>
          <cell r="AB1324">
            <v>0</v>
          </cell>
          <cell r="AC1324">
            <v>0</v>
          </cell>
          <cell r="AD1324">
            <v>34</v>
          </cell>
          <cell r="AE1324">
            <v>503000</v>
          </cell>
          <cell r="AF1324">
            <v>0</v>
          </cell>
          <cell r="AI1324">
            <v>2223</v>
          </cell>
          <cell r="AK1324">
            <v>0</v>
          </cell>
          <cell r="AM1324">
            <v>511</v>
          </cell>
          <cell r="AN1324">
            <v>1</v>
          </cell>
          <cell r="AO1324">
            <v>393216</v>
          </cell>
          <cell r="AQ1324">
            <v>0</v>
          </cell>
          <cell r="AR1324">
            <v>0</v>
          </cell>
          <cell r="AS1324" t="str">
            <v>Ы</v>
          </cell>
          <cell r="AT1324" t="str">
            <v>Ы</v>
          </cell>
          <cell r="AU1324">
            <v>0</v>
          </cell>
          <cell r="AV1324">
            <v>0</v>
          </cell>
          <cell r="AW1324">
            <v>23</v>
          </cell>
          <cell r="AX1324">
            <v>1</v>
          </cell>
          <cell r="AY1324">
            <v>0</v>
          </cell>
          <cell r="AZ1324">
            <v>0</v>
          </cell>
          <cell r="BA1324">
            <v>0</v>
          </cell>
          <cell r="BB1324">
            <v>0</v>
          </cell>
          <cell r="BC1324">
            <v>38828</v>
          </cell>
        </row>
        <row r="1325">
          <cell r="A1325">
            <v>2006</v>
          </cell>
          <cell r="B1325">
            <v>1</v>
          </cell>
          <cell r="C1325">
            <v>385</v>
          </cell>
          <cell r="D1325">
            <v>20</v>
          </cell>
          <cell r="E1325">
            <v>792020</v>
          </cell>
          <cell r="F1325">
            <v>0</v>
          </cell>
          <cell r="G1325" t="str">
            <v>Затраты по ШПЗ (основные)</v>
          </cell>
          <cell r="H1325">
            <v>2011</v>
          </cell>
          <cell r="I1325">
            <v>7920</v>
          </cell>
          <cell r="J1325">
            <v>5800</v>
          </cell>
          <cell r="K1325">
            <v>1</v>
          </cell>
          <cell r="L1325">
            <v>0</v>
          </cell>
          <cell r="M1325">
            <v>0</v>
          </cell>
          <cell r="N1325">
            <v>0</v>
          </cell>
          <cell r="R1325">
            <v>0</v>
          </cell>
          <cell r="S1325">
            <v>0</v>
          </cell>
          <cell r="T1325">
            <v>0</v>
          </cell>
          <cell r="U1325">
            <v>34</v>
          </cell>
          <cell r="V1325">
            <v>0</v>
          </cell>
          <cell r="W1325">
            <v>0</v>
          </cell>
          <cell r="AA1325">
            <v>0</v>
          </cell>
          <cell r="AB1325">
            <v>0</v>
          </cell>
          <cell r="AC1325">
            <v>0</v>
          </cell>
          <cell r="AD1325">
            <v>34</v>
          </cell>
          <cell r="AE1325">
            <v>504100</v>
          </cell>
          <cell r="AF1325">
            <v>0</v>
          </cell>
          <cell r="AI1325">
            <v>2223</v>
          </cell>
          <cell r="AK1325">
            <v>0</v>
          </cell>
          <cell r="AM1325">
            <v>512</v>
          </cell>
          <cell r="AN1325">
            <v>1</v>
          </cell>
          <cell r="AO1325">
            <v>393216</v>
          </cell>
          <cell r="AQ1325">
            <v>0</v>
          </cell>
          <cell r="AR1325">
            <v>0</v>
          </cell>
          <cell r="AS1325" t="str">
            <v>Ы</v>
          </cell>
          <cell r="AT1325" t="str">
            <v>Ы</v>
          </cell>
          <cell r="AU1325">
            <v>0</v>
          </cell>
          <cell r="AV1325">
            <v>0</v>
          </cell>
          <cell r="AW1325">
            <v>23</v>
          </cell>
          <cell r="AX1325">
            <v>1</v>
          </cell>
          <cell r="AY1325">
            <v>0</v>
          </cell>
          <cell r="AZ1325">
            <v>0</v>
          </cell>
          <cell r="BA1325">
            <v>0</v>
          </cell>
          <cell r="BB1325">
            <v>0</v>
          </cell>
          <cell r="BC1325">
            <v>38828</v>
          </cell>
        </row>
        <row r="1326">
          <cell r="A1326">
            <v>2006</v>
          </cell>
          <cell r="B1326">
            <v>1</v>
          </cell>
          <cell r="C1326">
            <v>386</v>
          </cell>
          <cell r="D1326">
            <v>20</v>
          </cell>
          <cell r="E1326">
            <v>792020</v>
          </cell>
          <cell r="F1326">
            <v>0</v>
          </cell>
          <cell r="G1326" t="str">
            <v>Затраты по ШПЗ (основные)</v>
          </cell>
          <cell r="H1326">
            <v>2011</v>
          </cell>
          <cell r="I1326">
            <v>7920</v>
          </cell>
          <cell r="J1326">
            <v>466.67</v>
          </cell>
          <cell r="K1326">
            <v>1</v>
          </cell>
          <cell r="L1326">
            <v>0</v>
          </cell>
          <cell r="M1326">
            <v>0</v>
          </cell>
          <cell r="N1326">
            <v>0</v>
          </cell>
          <cell r="R1326">
            <v>0</v>
          </cell>
          <cell r="S1326">
            <v>0</v>
          </cell>
          <cell r="T1326">
            <v>0</v>
          </cell>
          <cell r="U1326">
            <v>34</v>
          </cell>
          <cell r="V1326">
            <v>0</v>
          </cell>
          <cell r="W1326">
            <v>0</v>
          </cell>
          <cell r="AA1326">
            <v>0</v>
          </cell>
          <cell r="AB1326">
            <v>0</v>
          </cell>
          <cell r="AC1326">
            <v>0</v>
          </cell>
          <cell r="AD1326">
            <v>34</v>
          </cell>
          <cell r="AE1326">
            <v>504400</v>
          </cell>
          <cell r="AF1326">
            <v>0</v>
          </cell>
          <cell r="AI1326">
            <v>2223</v>
          </cell>
          <cell r="AK1326">
            <v>0</v>
          </cell>
          <cell r="AM1326">
            <v>513</v>
          </cell>
          <cell r="AN1326">
            <v>1</v>
          </cell>
          <cell r="AO1326">
            <v>393216</v>
          </cell>
          <cell r="AQ1326">
            <v>0</v>
          </cell>
          <cell r="AR1326">
            <v>0</v>
          </cell>
          <cell r="AS1326" t="str">
            <v>Ы</v>
          </cell>
          <cell r="AT1326" t="str">
            <v>Ы</v>
          </cell>
          <cell r="AU1326">
            <v>0</v>
          </cell>
          <cell r="AV1326">
            <v>0</v>
          </cell>
          <cell r="AW1326">
            <v>23</v>
          </cell>
          <cell r="AX1326">
            <v>1</v>
          </cell>
          <cell r="AY1326">
            <v>0</v>
          </cell>
          <cell r="AZ1326">
            <v>0</v>
          </cell>
          <cell r="BA1326">
            <v>0</v>
          </cell>
          <cell r="BB1326">
            <v>0</v>
          </cell>
          <cell r="BC1326">
            <v>38828</v>
          </cell>
        </row>
        <row r="1327">
          <cell r="A1327">
            <v>2006</v>
          </cell>
          <cell r="B1327">
            <v>1</v>
          </cell>
          <cell r="C1327">
            <v>387</v>
          </cell>
          <cell r="D1327">
            <v>20</v>
          </cell>
          <cell r="E1327">
            <v>792020</v>
          </cell>
          <cell r="F1327">
            <v>0</v>
          </cell>
          <cell r="G1327" t="str">
            <v>Затраты по ШПЗ (основные)</v>
          </cell>
          <cell r="H1327">
            <v>2011</v>
          </cell>
          <cell r="I1327">
            <v>7920</v>
          </cell>
          <cell r="J1327">
            <v>101474.03</v>
          </cell>
          <cell r="K1327">
            <v>1</v>
          </cell>
          <cell r="L1327">
            <v>0</v>
          </cell>
          <cell r="M1327">
            <v>0</v>
          </cell>
          <cell r="N1327">
            <v>0</v>
          </cell>
          <cell r="R1327">
            <v>0</v>
          </cell>
          <cell r="S1327">
            <v>0</v>
          </cell>
          <cell r="T1327">
            <v>0</v>
          </cell>
          <cell r="U1327">
            <v>34</v>
          </cell>
          <cell r="V1327">
            <v>0</v>
          </cell>
          <cell r="W1327">
            <v>0</v>
          </cell>
          <cell r="AA1327">
            <v>0</v>
          </cell>
          <cell r="AB1327">
            <v>0</v>
          </cell>
          <cell r="AC1327">
            <v>0</v>
          </cell>
          <cell r="AD1327">
            <v>34</v>
          </cell>
          <cell r="AE1327">
            <v>505100</v>
          </cell>
          <cell r="AF1327">
            <v>0</v>
          </cell>
          <cell r="AI1327">
            <v>2223</v>
          </cell>
          <cell r="AK1327">
            <v>0</v>
          </cell>
          <cell r="AM1327">
            <v>514</v>
          </cell>
          <cell r="AN1327">
            <v>1</v>
          </cell>
          <cell r="AO1327">
            <v>393216</v>
          </cell>
          <cell r="AQ1327">
            <v>0</v>
          </cell>
          <cell r="AR1327">
            <v>0</v>
          </cell>
          <cell r="AS1327" t="str">
            <v>Ы</v>
          </cell>
          <cell r="AT1327" t="str">
            <v>Ы</v>
          </cell>
          <cell r="AU1327">
            <v>0</v>
          </cell>
          <cell r="AV1327">
            <v>0</v>
          </cell>
          <cell r="AW1327">
            <v>23</v>
          </cell>
          <cell r="AX1327">
            <v>1</v>
          </cell>
          <cell r="AY1327">
            <v>0</v>
          </cell>
          <cell r="AZ1327">
            <v>0</v>
          </cell>
          <cell r="BA1327">
            <v>0</v>
          </cell>
          <cell r="BB1327">
            <v>0</v>
          </cell>
          <cell r="BC1327">
            <v>38828</v>
          </cell>
        </row>
        <row r="1328">
          <cell r="A1328">
            <v>2006</v>
          </cell>
          <cell r="B1328">
            <v>1</v>
          </cell>
          <cell r="C1328">
            <v>388</v>
          </cell>
          <cell r="D1328">
            <v>20</v>
          </cell>
          <cell r="E1328">
            <v>792020</v>
          </cell>
          <cell r="F1328">
            <v>0</v>
          </cell>
          <cell r="G1328" t="str">
            <v>Затраты по ШПЗ (основные)</v>
          </cell>
          <cell r="H1328">
            <v>2011</v>
          </cell>
          <cell r="I1328">
            <v>7920</v>
          </cell>
          <cell r="J1328">
            <v>664</v>
          </cell>
          <cell r="K1328">
            <v>1</v>
          </cell>
          <cell r="L1328">
            <v>0</v>
          </cell>
          <cell r="M1328">
            <v>0</v>
          </cell>
          <cell r="N1328">
            <v>0</v>
          </cell>
          <cell r="R1328">
            <v>0</v>
          </cell>
          <cell r="S1328">
            <v>0</v>
          </cell>
          <cell r="T1328">
            <v>0</v>
          </cell>
          <cell r="U1328">
            <v>34</v>
          </cell>
          <cell r="V1328">
            <v>0</v>
          </cell>
          <cell r="W1328">
            <v>0</v>
          </cell>
          <cell r="AA1328">
            <v>0</v>
          </cell>
          <cell r="AB1328">
            <v>0</v>
          </cell>
          <cell r="AC1328">
            <v>0</v>
          </cell>
          <cell r="AD1328">
            <v>34</v>
          </cell>
          <cell r="AE1328">
            <v>505300</v>
          </cell>
          <cell r="AF1328">
            <v>0</v>
          </cell>
          <cell r="AI1328">
            <v>2223</v>
          </cell>
          <cell r="AK1328">
            <v>0</v>
          </cell>
          <cell r="AM1328">
            <v>515</v>
          </cell>
          <cell r="AN1328">
            <v>1</v>
          </cell>
          <cell r="AO1328">
            <v>393216</v>
          </cell>
          <cell r="AQ1328">
            <v>0</v>
          </cell>
          <cell r="AR1328">
            <v>0</v>
          </cell>
          <cell r="AS1328" t="str">
            <v>Ы</v>
          </cell>
          <cell r="AT1328" t="str">
            <v>Ы</v>
          </cell>
          <cell r="AU1328">
            <v>0</v>
          </cell>
          <cell r="AV1328">
            <v>0</v>
          </cell>
          <cell r="AW1328">
            <v>23</v>
          </cell>
          <cell r="AX1328">
            <v>1</v>
          </cell>
          <cell r="AY1328">
            <v>0</v>
          </cell>
          <cell r="AZ1328">
            <v>0</v>
          </cell>
          <cell r="BA1328">
            <v>0</v>
          </cell>
          <cell r="BB1328">
            <v>0</v>
          </cell>
          <cell r="BC1328">
            <v>38828</v>
          </cell>
        </row>
        <row r="1329">
          <cell r="A1329">
            <v>2006</v>
          </cell>
          <cell r="B1329">
            <v>1</v>
          </cell>
          <cell r="C1329">
            <v>389</v>
          </cell>
          <cell r="D1329">
            <v>20</v>
          </cell>
          <cell r="E1329">
            <v>792020</v>
          </cell>
          <cell r="F1329">
            <v>0</v>
          </cell>
          <cell r="G1329" t="str">
            <v>Затраты по ШПЗ (основные)</v>
          </cell>
          <cell r="H1329">
            <v>2011</v>
          </cell>
          <cell r="I1329">
            <v>7920</v>
          </cell>
          <cell r="J1329">
            <v>353</v>
          </cell>
          <cell r="K1329">
            <v>1</v>
          </cell>
          <cell r="L1329">
            <v>0</v>
          </cell>
          <cell r="M1329">
            <v>0</v>
          </cell>
          <cell r="N1329">
            <v>0</v>
          </cell>
          <cell r="R1329">
            <v>0</v>
          </cell>
          <cell r="S1329">
            <v>0</v>
          </cell>
          <cell r="T1329">
            <v>0</v>
          </cell>
          <cell r="U1329">
            <v>34</v>
          </cell>
          <cell r="V1329">
            <v>0</v>
          </cell>
          <cell r="W1329">
            <v>0</v>
          </cell>
          <cell r="AA1329">
            <v>0</v>
          </cell>
          <cell r="AB1329">
            <v>0</v>
          </cell>
          <cell r="AC1329">
            <v>0</v>
          </cell>
          <cell r="AD1329">
            <v>34</v>
          </cell>
          <cell r="AE1329">
            <v>505400</v>
          </cell>
          <cell r="AF1329">
            <v>0</v>
          </cell>
          <cell r="AI1329">
            <v>2223</v>
          </cell>
          <cell r="AK1329">
            <v>0</v>
          </cell>
          <cell r="AM1329">
            <v>516</v>
          </cell>
          <cell r="AN1329">
            <v>1</v>
          </cell>
          <cell r="AO1329">
            <v>393216</v>
          </cell>
          <cell r="AQ1329">
            <v>0</v>
          </cell>
          <cell r="AR1329">
            <v>0</v>
          </cell>
          <cell r="AS1329" t="str">
            <v>Ы</v>
          </cell>
          <cell r="AT1329" t="str">
            <v>Ы</v>
          </cell>
          <cell r="AU1329">
            <v>0</v>
          </cell>
          <cell r="AV1329">
            <v>0</v>
          </cell>
          <cell r="AW1329">
            <v>23</v>
          </cell>
          <cell r="AX1329">
            <v>1</v>
          </cell>
          <cell r="AY1329">
            <v>0</v>
          </cell>
          <cell r="AZ1329">
            <v>0</v>
          </cell>
          <cell r="BA1329">
            <v>0</v>
          </cell>
          <cell r="BB1329">
            <v>0</v>
          </cell>
          <cell r="BC1329">
            <v>38828</v>
          </cell>
        </row>
        <row r="1330">
          <cell r="A1330">
            <v>2006</v>
          </cell>
          <cell r="B1330">
            <v>1</v>
          </cell>
          <cell r="C1330">
            <v>390</v>
          </cell>
          <cell r="D1330">
            <v>20</v>
          </cell>
          <cell r="E1330">
            <v>792020</v>
          </cell>
          <cell r="F1330">
            <v>0</v>
          </cell>
          <cell r="G1330" t="str">
            <v>Затраты по ШПЗ (основные)</v>
          </cell>
          <cell r="H1330">
            <v>2011</v>
          </cell>
          <cell r="I1330">
            <v>7920</v>
          </cell>
          <cell r="J1330">
            <v>521093.8</v>
          </cell>
          <cell r="K1330">
            <v>1</v>
          </cell>
          <cell r="L1330">
            <v>0</v>
          </cell>
          <cell r="M1330">
            <v>0</v>
          </cell>
          <cell r="N1330">
            <v>0</v>
          </cell>
          <cell r="R1330">
            <v>0</v>
          </cell>
          <cell r="S1330">
            <v>0</v>
          </cell>
          <cell r="T1330">
            <v>0</v>
          </cell>
          <cell r="U1330">
            <v>34</v>
          </cell>
          <cell r="V1330">
            <v>0</v>
          </cell>
          <cell r="W1330">
            <v>0</v>
          </cell>
          <cell r="AA1330">
            <v>0</v>
          </cell>
          <cell r="AB1330">
            <v>0</v>
          </cell>
          <cell r="AC1330">
            <v>0</v>
          </cell>
          <cell r="AD1330">
            <v>34</v>
          </cell>
          <cell r="AE1330">
            <v>508310</v>
          </cell>
          <cell r="AF1330">
            <v>0</v>
          </cell>
          <cell r="AI1330">
            <v>2223</v>
          </cell>
          <cell r="AK1330">
            <v>0</v>
          </cell>
          <cell r="AM1330">
            <v>517</v>
          </cell>
          <cell r="AN1330">
            <v>1</v>
          </cell>
          <cell r="AO1330">
            <v>393216</v>
          </cell>
          <cell r="AQ1330">
            <v>0</v>
          </cell>
          <cell r="AR1330">
            <v>0</v>
          </cell>
          <cell r="AS1330" t="str">
            <v>Ы</v>
          </cell>
          <cell r="AT1330" t="str">
            <v>Ы</v>
          </cell>
          <cell r="AU1330">
            <v>0</v>
          </cell>
          <cell r="AV1330">
            <v>0</v>
          </cell>
          <cell r="AW1330">
            <v>23</v>
          </cell>
          <cell r="AX1330">
            <v>1</v>
          </cell>
          <cell r="AY1330">
            <v>0</v>
          </cell>
          <cell r="AZ1330">
            <v>0</v>
          </cell>
          <cell r="BA1330">
            <v>0</v>
          </cell>
          <cell r="BB1330">
            <v>0</v>
          </cell>
          <cell r="BC1330">
            <v>38828</v>
          </cell>
        </row>
        <row r="1331">
          <cell r="A1331">
            <v>2006</v>
          </cell>
          <cell r="B1331">
            <v>1</v>
          </cell>
          <cell r="C1331">
            <v>391</v>
          </cell>
          <cell r="D1331">
            <v>20</v>
          </cell>
          <cell r="E1331">
            <v>792020</v>
          </cell>
          <cell r="F1331">
            <v>0</v>
          </cell>
          <cell r="G1331" t="str">
            <v>Затраты по ШПЗ (основные)</v>
          </cell>
          <cell r="H1331">
            <v>2011</v>
          </cell>
          <cell r="I1331">
            <v>7920</v>
          </cell>
          <cell r="J1331">
            <v>272229.2</v>
          </cell>
          <cell r="K1331">
            <v>1</v>
          </cell>
          <cell r="L1331">
            <v>0</v>
          </cell>
          <cell r="M1331">
            <v>0</v>
          </cell>
          <cell r="N1331">
            <v>0</v>
          </cell>
          <cell r="R1331">
            <v>0</v>
          </cell>
          <cell r="S1331">
            <v>0</v>
          </cell>
          <cell r="T1331">
            <v>0</v>
          </cell>
          <cell r="U1331">
            <v>34</v>
          </cell>
          <cell r="V1331">
            <v>0</v>
          </cell>
          <cell r="W1331">
            <v>0</v>
          </cell>
          <cell r="AA1331">
            <v>0</v>
          </cell>
          <cell r="AB1331">
            <v>0</v>
          </cell>
          <cell r="AC1331">
            <v>0</v>
          </cell>
          <cell r="AD1331">
            <v>34</v>
          </cell>
          <cell r="AE1331">
            <v>510100</v>
          </cell>
          <cell r="AF1331">
            <v>0</v>
          </cell>
          <cell r="AI1331">
            <v>2223</v>
          </cell>
          <cell r="AK1331">
            <v>0</v>
          </cell>
          <cell r="AM1331">
            <v>518</v>
          </cell>
          <cell r="AN1331">
            <v>1</v>
          </cell>
          <cell r="AO1331">
            <v>393216</v>
          </cell>
          <cell r="AQ1331">
            <v>0</v>
          </cell>
          <cell r="AR1331">
            <v>0</v>
          </cell>
          <cell r="AS1331" t="str">
            <v>Ы</v>
          </cell>
          <cell r="AT1331" t="str">
            <v>Ы</v>
          </cell>
          <cell r="AU1331">
            <v>0</v>
          </cell>
          <cell r="AV1331">
            <v>0</v>
          </cell>
          <cell r="AW1331">
            <v>23</v>
          </cell>
          <cell r="AX1331">
            <v>1</v>
          </cell>
          <cell r="AY1331">
            <v>0</v>
          </cell>
          <cell r="AZ1331">
            <v>0</v>
          </cell>
          <cell r="BA1331">
            <v>0</v>
          </cell>
          <cell r="BB1331">
            <v>0</v>
          </cell>
          <cell r="BC1331">
            <v>38828</v>
          </cell>
        </row>
        <row r="1332">
          <cell r="A1332">
            <v>2006</v>
          </cell>
          <cell r="B1332">
            <v>1</v>
          </cell>
          <cell r="C1332">
            <v>392</v>
          </cell>
          <cell r="D1332">
            <v>20</v>
          </cell>
          <cell r="E1332">
            <v>792020</v>
          </cell>
          <cell r="F1332">
            <v>0</v>
          </cell>
          <cell r="G1332" t="str">
            <v>Затраты по ШПЗ (основные)</v>
          </cell>
          <cell r="H1332">
            <v>2011</v>
          </cell>
          <cell r="I1332">
            <v>7920</v>
          </cell>
          <cell r="J1332">
            <v>460.7</v>
          </cell>
          <cell r="K1332">
            <v>1</v>
          </cell>
          <cell r="L1332">
            <v>0</v>
          </cell>
          <cell r="M1332">
            <v>0</v>
          </cell>
          <cell r="N1332">
            <v>0</v>
          </cell>
          <cell r="R1332">
            <v>0</v>
          </cell>
          <cell r="S1332">
            <v>0</v>
          </cell>
          <cell r="T1332">
            <v>0</v>
          </cell>
          <cell r="U1332">
            <v>34</v>
          </cell>
          <cell r="V1332">
            <v>0</v>
          </cell>
          <cell r="W1332">
            <v>0</v>
          </cell>
          <cell r="AA1332">
            <v>0</v>
          </cell>
          <cell r="AB1332">
            <v>0</v>
          </cell>
          <cell r="AC1332">
            <v>0</v>
          </cell>
          <cell r="AD1332">
            <v>34</v>
          </cell>
          <cell r="AE1332">
            <v>510200</v>
          </cell>
          <cell r="AF1332">
            <v>0</v>
          </cell>
          <cell r="AI1332">
            <v>2223</v>
          </cell>
          <cell r="AK1332">
            <v>0</v>
          </cell>
          <cell r="AM1332">
            <v>519</v>
          </cell>
          <cell r="AN1332">
            <v>1</v>
          </cell>
          <cell r="AO1332">
            <v>393216</v>
          </cell>
          <cell r="AQ1332">
            <v>0</v>
          </cell>
          <cell r="AR1332">
            <v>0</v>
          </cell>
          <cell r="AS1332" t="str">
            <v>Ы</v>
          </cell>
          <cell r="AT1332" t="str">
            <v>Ы</v>
          </cell>
          <cell r="AU1332">
            <v>0</v>
          </cell>
          <cell r="AV1332">
            <v>0</v>
          </cell>
          <cell r="AW1332">
            <v>23</v>
          </cell>
          <cell r="AX1332">
            <v>1</v>
          </cell>
          <cell r="AY1332">
            <v>0</v>
          </cell>
          <cell r="AZ1332">
            <v>0</v>
          </cell>
          <cell r="BA1332">
            <v>0</v>
          </cell>
          <cell r="BB1332">
            <v>0</v>
          </cell>
          <cell r="BC1332">
            <v>38828</v>
          </cell>
        </row>
        <row r="1333">
          <cell r="A1333">
            <v>2006</v>
          </cell>
          <cell r="B1333">
            <v>1</v>
          </cell>
          <cell r="C1333">
            <v>393</v>
          </cell>
          <cell r="D1333">
            <v>20</v>
          </cell>
          <cell r="E1333">
            <v>792020</v>
          </cell>
          <cell r="F1333">
            <v>0</v>
          </cell>
          <cell r="G1333" t="str">
            <v>Затраты по ШПЗ (основные)</v>
          </cell>
          <cell r="H1333">
            <v>2011</v>
          </cell>
          <cell r="I1333">
            <v>7920</v>
          </cell>
          <cell r="J1333">
            <v>374</v>
          </cell>
          <cell r="K1333">
            <v>1</v>
          </cell>
          <cell r="L1333">
            <v>0</v>
          </cell>
          <cell r="M1333">
            <v>0</v>
          </cell>
          <cell r="N1333">
            <v>0</v>
          </cell>
          <cell r="R1333">
            <v>0</v>
          </cell>
          <cell r="S1333">
            <v>0</v>
          </cell>
          <cell r="T1333">
            <v>0</v>
          </cell>
          <cell r="U1333">
            <v>34</v>
          </cell>
          <cell r="V1333">
            <v>0</v>
          </cell>
          <cell r="W1333">
            <v>0</v>
          </cell>
          <cell r="AA1333">
            <v>0</v>
          </cell>
          <cell r="AB1333">
            <v>0</v>
          </cell>
          <cell r="AC1333">
            <v>0</v>
          </cell>
          <cell r="AD1333">
            <v>34</v>
          </cell>
          <cell r="AE1333">
            <v>510300</v>
          </cell>
          <cell r="AF1333">
            <v>0</v>
          </cell>
          <cell r="AI1333">
            <v>2223</v>
          </cell>
          <cell r="AK1333">
            <v>0</v>
          </cell>
          <cell r="AM1333">
            <v>520</v>
          </cell>
          <cell r="AN1333">
            <v>1</v>
          </cell>
          <cell r="AO1333">
            <v>393216</v>
          </cell>
          <cell r="AQ1333">
            <v>0</v>
          </cell>
          <cell r="AR1333">
            <v>0</v>
          </cell>
          <cell r="AS1333" t="str">
            <v>Ы</v>
          </cell>
          <cell r="AT1333" t="str">
            <v>Ы</v>
          </cell>
          <cell r="AU1333">
            <v>0</v>
          </cell>
          <cell r="AV1333">
            <v>0</v>
          </cell>
          <cell r="AW1333">
            <v>23</v>
          </cell>
          <cell r="AX1333">
            <v>1</v>
          </cell>
          <cell r="AY1333">
            <v>0</v>
          </cell>
          <cell r="AZ1333">
            <v>0</v>
          </cell>
          <cell r="BA1333">
            <v>0</v>
          </cell>
          <cell r="BB1333">
            <v>0</v>
          </cell>
          <cell r="BC1333">
            <v>38828</v>
          </cell>
        </row>
        <row r="1334">
          <cell r="A1334">
            <v>2006</v>
          </cell>
          <cell r="B1334">
            <v>1</v>
          </cell>
          <cell r="C1334">
            <v>394</v>
          </cell>
          <cell r="D1334">
            <v>20</v>
          </cell>
          <cell r="E1334">
            <v>792020</v>
          </cell>
          <cell r="F1334">
            <v>0</v>
          </cell>
          <cell r="G1334" t="str">
            <v>Затраты по ШПЗ (основные)</v>
          </cell>
          <cell r="H1334">
            <v>2011</v>
          </cell>
          <cell r="I1334">
            <v>7920</v>
          </cell>
          <cell r="J1334">
            <v>1914.79</v>
          </cell>
          <cell r="K1334">
            <v>1</v>
          </cell>
          <cell r="L1334">
            <v>0</v>
          </cell>
          <cell r="M1334">
            <v>0</v>
          </cell>
          <cell r="N1334">
            <v>0</v>
          </cell>
          <cell r="R1334">
            <v>0</v>
          </cell>
          <cell r="S1334">
            <v>0</v>
          </cell>
          <cell r="T1334">
            <v>0</v>
          </cell>
          <cell r="U1334">
            <v>34</v>
          </cell>
          <cell r="V1334">
            <v>0</v>
          </cell>
          <cell r="W1334">
            <v>0</v>
          </cell>
          <cell r="AA1334">
            <v>0</v>
          </cell>
          <cell r="AB1334">
            <v>0</v>
          </cell>
          <cell r="AC1334">
            <v>0</v>
          </cell>
          <cell r="AD1334">
            <v>34</v>
          </cell>
          <cell r="AE1334">
            <v>510400</v>
          </cell>
          <cell r="AF1334">
            <v>0</v>
          </cell>
          <cell r="AI1334">
            <v>2223</v>
          </cell>
          <cell r="AK1334">
            <v>0</v>
          </cell>
          <cell r="AM1334">
            <v>521</v>
          </cell>
          <cell r="AN1334">
            <v>1</v>
          </cell>
          <cell r="AO1334">
            <v>393216</v>
          </cell>
          <cell r="AQ1334">
            <v>0</v>
          </cell>
          <cell r="AR1334">
            <v>0</v>
          </cell>
          <cell r="AS1334" t="str">
            <v>Ы</v>
          </cell>
          <cell r="AT1334" t="str">
            <v>Ы</v>
          </cell>
          <cell r="AU1334">
            <v>0</v>
          </cell>
          <cell r="AV1334">
            <v>0</v>
          </cell>
          <cell r="AW1334">
            <v>23</v>
          </cell>
          <cell r="AX1334">
            <v>1</v>
          </cell>
          <cell r="AY1334">
            <v>0</v>
          </cell>
          <cell r="AZ1334">
            <v>0</v>
          </cell>
          <cell r="BA1334">
            <v>0</v>
          </cell>
          <cell r="BB1334">
            <v>0</v>
          </cell>
          <cell r="BC1334">
            <v>38828</v>
          </cell>
        </row>
        <row r="1335">
          <cell r="A1335">
            <v>2006</v>
          </cell>
          <cell r="B1335">
            <v>1</v>
          </cell>
          <cell r="C1335">
            <v>395</v>
          </cell>
          <cell r="D1335">
            <v>20</v>
          </cell>
          <cell r="E1335">
            <v>792020</v>
          </cell>
          <cell r="F1335">
            <v>0</v>
          </cell>
          <cell r="G1335" t="str">
            <v>Затраты по ШПЗ (основные)</v>
          </cell>
          <cell r="H1335">
            <v>2011</v>
          </cell>
          <cell r="I1335">
            <v>7920</v>
          </cell>
          <cell r="J1335">
            <v>179459</v>
          </cell>
          <cell r="K1335">
            <v>1</v>
          </cell>
          <cell r="L1335">
            <v>0</v>
          </cell>
          <cell r="M1335">
            <v>0</v>
          </cell>
          <cell r="N1335">
            <v>0</v>
          </cell>
          <cell r="R1335">
            <v>0</v>
          </cell>
          <cell r="S1335">
            <v>0</v>
          </cell>
          <cell r="T1335">
            <v>0</v>
          </cell>
          <cell r="U1335">
            <v>34</v>
          </cell>
          <cell r="V1335">
            <v>0</v>
          </cell>
          <cell r="W1335">
            <v>0</v>
          </cell>
          <cell r="AA1335">
            <v>0</v>
          </cell>
          <cell r="AB1335">
            <v>0</v>
          </cell>
          <cell r="AC1335">
            <v>0</v>
          </cell>
          <cell r="AD1335">
            <v>34</v>
          </cell>
          <cell r="AE1335">
            <v>510600</v>
          </cell>
          <cell r="AF1335">
            <v>0</v>
          </cell>
          <cell r="AI1335">
            <v>2223</v>
          </cell>
          <cell r="AK1335">
            <v>0</v>
          </cell>
          <cell r="AM1335">
            <v>522</v>
          </cell>
          <cell r="AN1335">
            <v>1</v>
          </cell>
          <cell r="AO1335">
            <v>393216</v>
          </cell>
          <cell r="AQ1335">
            <v>0</v>
          </cell>
          <cell r="AR1335">
            <v>0</v>
          </cell>
          <cell r="AS1335" t="str">
            <v>Ы</v>
          </cell>
          <cell r="AT1335" t="str">
            <v>Ы</v>
          </cell>
          <cell r="AU1335">
            <v>0</v>
          </cell>
          <cell r="AV1335">
            <v>0</v>
          </cell>
          <cell r="AW1335">
            <v>23</v>
          </cell>
          <cell r="AX1335">
            <v>1</v>
          </cell>
          <cell r="AY1335">
            <v>0</v>
          </cell>
          <cell r="AZ1335">
            <v>0</v>
          </cell>
          <cell r="BA1335">
            <v>0</v>
          </cell>
          <cell r="BB1335">
            <v>0</v>
          </cell>
          <cell r="BC1335">
            <v>38828</v>
          </cell>
        </row>
        <row r="1336">
          <cell r="A1336">
            <v>2006</v>
          </cell>
          <cell r="B1336">
            <v>1</v>
          </cell>
          <cell r="C1336">
            <v>396</v>
          </cell>
          <cell r="D1336">
            <v>20</v>
          </cell>
          <cell r="E1336">
            <v>792020</v>
          </cell>
          <cell r="F1336">
            <v>0</v>
          </cell>
          <cell r="G1336" t="str">
            <v>Затраты по ШПЗ (основные)</v>
          </cell>
          <cell r="H1336">
            <v>2011</v>
          </cell>
          <cell r="I1336">
            <v>7920</v>
          </cell>
          <cell r="J1336">
            <v>8665.8700000000008</v>
          </cell>
          <cell r="K1336">
            <v>1</v>
          </cell>
          <cell r="L1336">
            <v>0</v>
          </cell>
          <cell r="M1336">
            <v>0</v>
          </cell>
          <cell r="N1336">
            <v>0</v>
          </cell>
          <cell r="R1336">
            <v>0</v>
          </cell>
          <cell r="S1336">
            <v>0</v>
          </cell>
          <cell r="T1336">
            <v>0</v>
          </cell>
          <cell r="U1336">
            <v>34</v>
          </cell>
          <cell r="V1336">
            <v>0</v>
          </cell>
          <cell r="W1336">
            <v>0</v>
          </cell>
          <cell r="AA1336">
            <v>0</v>
          </cell>
          <cell r="AB1336">
            <v>0</v>
          </cell>
          <cell r="AC1336">
            <v>0</v>
          </cell>
          <cell r="AD1336">
            <v>34</v>
          </cell>
          <cell r="AE1336">
            <v>513600</v>
          </cell>
          <cell r="AF1336">
            <v>0</v>
          </cell>
          <cell r="AI1336">
            <v>2223</v>
          </cell>
          <cell r="AK1336">
            <v>0</v>
          </cell>
          <cell r="AM1336">
            <v>523</v>
          </cell>
          <cell r="AN1336">
            <v>1</v>
          </cell>
          <cell r="AO1336">
            <v>393216</v>
          </cell>
          <cell r="AQ1336">
            <v>0</v>
          </cell>
          <cell r="AR1336">
            <v>0</v>
          </cell>
          <cell r="AS1336" t="str">
            <v>Ы</v>
          </cell>
          <cell r="AT1336" t="str">
            <v>Ы</v>
          </cell>
          <cell r="AU1336">
            <v>0</v>
          </cell>
          <cell r="AV1336">
            <v>0</v>
          </cell>
          <cell r="AW1336">
            <v>23</v>
          </cell>
          <cell r="AX1336">
            <v>1</v>
          </cell>
          <cell r="AY1336">
            <v>0</v>
          </cell>
          <cell r="AZ1336">
            <v>0</v>
          </cell>
          <cell r="BA1336">
            <v>0</v>
          </cell>
          <cell r="BB1336">
            <v>0</v>
          </cell>
          <cell r="BC1336">
            <v>38828</v>
          </cell>
        </row>
        <row r="1337">
          <cell r="A1337">
            <v>2006</v>
          </cell>
          <cell r="B1337">
            <v>1</v>
          </cell>
          <cell r="C1337">
            <v>397</v>
          </cell>
          <cell r="D1337">
            <v>20</v>
          </cell>
          <cell r="E1337">
            <v>792020</v>
          </cell>
          <cell r="F1337">
            <v>0</v>
          </cell>
          <cell r="G1337" t="str">
            <v>Затраты по ШПЗ (основные)</v>
          </cell>
          <cell r="H1337">
            <v>2011</v>
          </cell>
          <cell r="I1337">
            <v>7920</v>
          </cell>
          <cell r="J1337">
            <v>2966.65</v>
          </cell>
          <cell r="K1337">
            <v>1</v>
          </cell>
          <cell r="L1337">
            <v>0</v>
          </cell>
          <cell r="M1337">
            <v>0</v>
          </cell>
          <cell r="N1337">
            <v>0</v>
          </cell>
          <cell r="R1337">
            <v>0</v>
          </cell>
          <cell r="S1337">
            <v>0</v>
          </cell>
          <cell r="T1337">
            <v>0</v>
          </cell>
          <cell r="U1337">
            <v>34</v>
          </cell>
          <cell r="V1337">
            <v>0</v>
          </cell>
          <cell r="W1337">
            <v>0</v>
          </cell>
          <cell r="AA1337">
            <v>0</v>
          </cell>
          <cell r="AB1337">
            <v>0</v>
          </cell>
          <cell r="AC1337">
            <v>0</v>
          </cell>
          <cell r="AD1337">
            <v>34</v>
          </cell>
          <cell r="AE1337">
            <v>530000</v>
          </cell>
          <cell r="AF1337">
            <v>0</v>
          </cell>
          <cell r="AI1337">
            <v>2223</v>
          </cell>
          <cell r="AK1337">
            <v>0</v>
          </cell>
          <cell r="AM1337">
            <v>524</v>
          </cell>
          <cell r="AN1337">
            <v>1</v>
          </cell>
          <cell r="AO1337">
            <v>393216</v>
          </cell>
          <cell r="AQ1337">
            <v>0</v>
          </cell>
          <cell r="AR1337">
            <v>0</v>
          </cell>
          <cell r="AS1337" t="str">
            <v>Ы</v>
          </cell>
          <cell r="AT1337" t="str">
            <v>Ы</v>
          </cell>
          <cell r="AU1337">
            <v>0</v>
          </cell>
          <cell r="AV1337">
            <v>0</v>
          </cell>
          <cell r="AW1337">
            <v>23</v>
          </cell>
          <cell r="AX1337">
            <v>1</v>
          </cell>
          <cell r="AY1337">
            <v>0</v>
          </cell>
          <cell r="AZ1337">
            <v>0</v>
          </cell>
          <cell r="BA1337">
            <v>0</v>
          </cell>
          <cell r="BB1337">
            <v>0</v>
          </cell>
          <cell r="BC1337">
            <v>38828</v>
          </cell>
        </row>
        <row r="1338">
          <cell r="A1338">
            <v>2006</v>
          </cell>
          <cell r="B1338">
            <v>1</v>
          </cell>
          <cell r="C1338">
            <v>428</v>
          </cell>
          <cell r="D1338">
            <v>20</v>
          </cell>
          <cell r="E1338">
            <v>792020</v>
          </cell>
          <cell r="F1338">
            <v>0</v>
          </cell>
          <cell r="G1338" t="str">
            <v>Затраты по ШПЗ (основные)</v>
          </cell>
          <cell r="H1338">
            <v>2011</v>
          </cell>
          <cell r="I1338">
            <v>7920</v>
          </cell>
          <cell r="J1338">
            <v>112998.38</v>
          </cell>
          <cell r="K1338">
            <v>1</v>
          </cell>
          <cell r="L1338">
            <v>0</v>
          </cell>
          <cell r="M1338">
            <v>0</v>
          </cell>
          <cell r="N1338">
            <v>0</v>
          </cell>
          <cell r="R1338">
            <v>0</v>
          </cell>
          <cell r="S1338">
            <v>0</v>
          </cell>
          <cell r="T1338">
            <v>0</v>
          </cell>
          <cell r="U1338">
            <v>35</v>
          </cell>
          <cell r="V1338">
            <v>0</v>
          </cell>
          <cell r="W1338">
            <v>0</v>
          </cell>
          <cell r="AA1338">
            <v>0</v>
          </cell>
          <cell r="AB1338">
            <v>0</v>
          </cell>
          <cell r="AC1338">
            <v>0</v>
          </cell>
          <cell r="AD1338">
            <v>35</v>
          </cell>
          <cell r="AE1338">
            <v>110000</v>
          </cell>
          <cell r="AF1338">
            <v>0</v>
          </cell>
          <cell r="AI1338">
            <v>2223</v>
          </cell>
          <cell r="AK1338">
            <v>0</v>
          </cell>
          <cell r="AM1338">
            <v>555</v>
          </cell>
          <cell r="AN1338">
            <v>1</v>
          </cell>
          <cell r="AO1338">
            <v>393216</v>
          </cell>
          <cell r="AQ1338">
            <v>0</v>
          </cell>
          <cell r="AR1338">
            <v>0</v>
          </cell>
          <cell r="AS1338" t="str">
            <v>Ы</v>
          </cell>
          <cell r="AT1338" t="str">
            <v>Ы</v>
          </cell>
          <cell r="AU1338">
            <v>0</v>
          </cell>
          <cell r="AV1338">
            <v>0</v>
          </cell>
          <cell r="AW1338">
            <v>23</v>
          </cell>
          <cell r="AX1338">
            <v>1</v>
          </cell>
          <cell r="AY1338">
            <v>0</v>
          </cell>
          <cell r="AZ1338">
            <v>0</v>
          </cell>
          <cell r="BA1338">
            <v>0</v>
          </cell>
          <cell r="BB1338">
            <v>0</v>
          </cell>
          <cell r="BC1338">
            <v>38828</v>
          </cell>
        </row>
        <row r="1339">
          <cell r="A1339">
            <v>2006</v>
          </cell>
          <cell r="B1339">
            <v>1</v>
          </cell>
          <cell r="C1339">
            <v>429</v>
          </cell>
          <cell r="D1339">
            <v>20</v>
          </cell>
          <cell r="E1339">
            <v>792020</v>
          </cell>
          <cell r="F1339">
            <v>0</v>
          </cell>
          <cell r="G1339" t="str">
            <v>Затраты по ШПЗ (основные)</v>
          </cell>
          <cell r="H1339">
            <v>2011</v>
          </cell>
          <cell r="I1339">
            <v>7920</v>
          </cell>
          <cell r="J1339">
            <v>2659.61</v>
          </cell>
          <cell r="K1339">
            <v>1</v>
          </cell>
          <cell r="L1339">
            <v>0</v>
          </cell>
          <cell r="M1339">
            <v>0</v>
          </cell>
          <cell r="N1339">
            <v>0</v>
          </cell>
          <cell r="R1339">
            <v>0</v>
          </cell>
          <cell r="S1339">
            <v>0</v>
          </cell>
          <cell r="T1339">
            <v>0</v>
          </cell>
          <cell r="U1339">
            <v>35</v>
          </cell>
          <cell r="V1339">
            <v>0</v>
          </cell>
          <cell r="W1339">
            <v>0</v>
          </cell>
          <cell r="AA1339">
            <v>0</v>
          </cell>
          <cell r="AB1339">
            <v>0</v>
          </cell>
          <cell r="AC1339">
            <v>0</v>
          </cell>
          <cell r="AD1339">
            <v>35</v>
          </cell>
          <cell r="AE1339">
            <v>114020</v>
          </cell>
          <cell r="AF1339">
            <v>0</v>
          </cell>
          <cell r="AI1339">
            <v>2223</v>
          </cell>
          <cell r="AK1339">
            <v>0</v>
          </cell>
          <cell r="AM1339">
            <v>556</v>
          </cell>
          <cell r="AN1339">
            <v>1</v>
          </cell>
          <cell r="AO1339">
            <v>393216</v>
          </cell>
          <cell r="AQ1339">
            <v>0</v>
          </cell>
          <cell r="AR1339">
            <v>0</v>
          </cell>
          <cell r="AS1339" t="str">
            <v>Ы</v>
          </cell>
          <cell r="AT1339" t="str">
            <v>Ы</v>
          </cell>
          <cell r="AU1339">
            <v>0</v>
          </cell>
          <cell r="AV1339">
            <v>0</v>
          </cell>
          <cell r="AW1339">
            <v>23</v>
          </cell>
          <cell r="AX1339">
            <v>1</v>
          </cell>
          <cell r="AY1339">
            <v>0</v>
          </cell>
          <cell r="AZ1339">
            <v>0</v>
          </cell>
          <cell r="BA1339">
            <v>0</v>
          </cell>
          <cell r="BB1339">
            <v>0</v>
          </cell>
          <cell r="BC1339">
            <v>38828</v>
          </cell>
        </row>
        <row r="1340">
          <cell r="A1340">
            <v>2006</v>
          </cell>
          <cell r="B1340">
            <v>1</v>
          </cell>
          <cell r="C1340">
            <v>430</v>
          </cell>
          <cell r="D1340">
            <v>20</v>
          </cell>
          <cell r="E1340">
            <v>792020</v>
          </cell>
          <cell r="F1340">
            <v>0</v>
          </cell>
          <cell r="G1340" t="str">
            <v>Затраты по ШПЗ (основные)</v>
          </cell>
          <cell r="H1340">
            <v>2011</v>
          </cell>
          <cell r="I1340">
            <v>7920</v>
          </cell>
          <cell r="J1340">
            <v>134817.09</v>
          </cell>
          <cell r="K1340">
            <v>1</v>
          </cell>
          <cell r="L1340">
            <v>0</v>
          </cell>
          <cell r="M1340">
            <v>0</v>
          </cell>
          <cell r="N1340">
            <v>0</v>
          </cell>
          <cell r="R1340">
            <v>0</v>
          </cell>
          <cell r="S1340">
            <v>0</v>
          </cell>
          <cell r="T1340">
            <v>0</v>
          </cell>
          <cell r="U1340">
            <v>35</v>
          </cell>
          <cell r="V1340">
            <v>0</v>
          </cell>
          <cell r="W1340">
            <v>0</v>
          </cell>
          <cell r="AA1340">
            <v>0</v>
          </cell>
          <cell r="AB1340">
            <v>0</v>
          </cell>
          <cell r="AC1340">
            <v>0</v>
          </cell>
          <cell r="AD1340">
            <v>35</v>
          </cell>
          <cell r="AE1340">
            <v>116000</v>
          </cell>
          <cell r="AF1340">
            <v>0</v>
          </cell>
          <cell r="AI1340">
            <v>2223</v>
          </cell>
          <cell r="AK1340">
            <v>0</v>
          </cell>
          <cell r="AM1340">
            <v>557</v>
          </cell>
          <cell r="AN1340">
            <v>1</v>
          </cell>
          <cell r="AO1340">
            <v>393216</v>
          </cell>
          <cell r="AQ1340">
            <v>0</v>
          </cell>
          <cell r="AR1340">
            <v>0</v>
          </cell>
          <cell r="AS1340" t="str">
            <v>Ы</v>
          </cell>
          <cell r="AT1340" t="str">
            <v>Ы</v>
          </cell>
          <cell r="AU1340">
            <v>0</v>
          </cell>
          <cell r="AV1340">
            <v>0</v>
          </cell>
          <cell r="AW1340">
            <v>23</v>
          </cell>
          <cell r="AX1340">
            <v>1</v>
          </cell>
          <cell r="AY1340">
            <v>0</v>
          </cell>
          <cell r="AZ1340">
            <v>0</v>
          </cell>
          <cell r="BA1340">
            <v>0</v>
          </cell>
          <cell r="BB1340">
            <v>0</v>
          </cell>
          <cell r="BC1340">
            <v>38828</v>
          </cell>
        </row>
        <row r="1341">
          <cell r="A1341">
            <v>2006</v>
          </cell>
          <cell r="B1341">
            <v>1</v>
          </cell>
          <cell r="C1341">
            <v>431</v>
          </cell>
          <cell r="D1341">
            <v>20</v>
          </cell>
          <cell r="E1341">
            <v>792020</v>
          </cell>
          <cell r="F1341">
            <v>0</v>
          </cell>
          <cell r="G1341" t="str">
            <v>Затраты по ШПЗ (основные)</v>
          </cell>
          <cell r="H1341">
            <v>2011</v>
          </cell>
          <cell r="I1341">
            <v>7920</v>
          </cell>
          <cell r="J1341">
            <v>6302</v>
          </cell>
          <cell r="K1341">
            <v>1</v>
          </cell>
          <cell r="L1341">
            <v>0</v>
          </cell>
          <cell r="M1341">
            <v>0</v>
          </cell>
          <cell r="N1341">
            <v>0</v>
          </cell>
          <cell r="R1341">
            <v>0</v>
          </cell>
          <cell r="S1341">
            <v>0</v>
          </cell>
          <cell r="T1341">
            <v>0</v>
          </cell>
          <cell r="U1341">
            <v>35</v>
          </cell>
          <cell r="V1341">
            <v>0</v>
          </cell>
          <cell r="W1341">
            <v>0</v>
          </cell>
          <cell r="AA1341">
            <v>0</v>
          </cell>
          <cell r="AB1341">
            <v>0</v>
          </cell>
          <cell r="AC1341">
            <v>0</v>
          </cell>
          <cell r="AD1341">
            <v>35</v>
          </cell>
          <cell r="AE1341">
            <v>117000</v>
          </cell>
          <cell r="AF1341">
            <v>0</v>
          </cell>
          <cell r="AI1341">
            <v>2223</v>
          </cell>
          <cell r="AK1341">
            <v>0</v>
          </cell>
          <cell r="AM1341">
            <v>558</v>
          </cell>
          <cell r="AN1341">
            <v>1</v>
          </cell>
          <cell r="AO1341">
            <v>393216</v>
          </cell>
          <cell r="AQ1341">
            <v>0</v>
          </cell>
          <cell r="AR1341">
            <v>0</v>
          </cell>
          <cell r="AS1341" t="str">
            <v>Ы</v>
          </cell>
          <cell r="AT1341" t="str">
            <v>Ы</v>
          </cell>
          <cell r="AU1341">
            <v>0</v>
          </cell>
          <cell r="AV1341">
            <v>0</v>
          </cell>
          <cell r="AW1341">
            <v>23</v>
          </cell>
          <cell r="AX1341">
            <v>1</v>
          </cell>
          <cell r="AY1341">
            <v>0</v>
          </cell>
          <cell r="AZ1341">
            <v>0</v>
          </cell>
          <cell r="BA1341">
            <v>0</v>
          </cell>
          <cell r="BB1341">
            <v>0</v>
          </cell>
          <cell r="BC1341">
            <v>38828</v>
          </cell>
        </row>
        <row r="1342">
          <cell r="A1342">
            <v>2006</v>
          </cell>
          <cell r="B1342">
            <v>1</v>
          </cell>
          <cell r="C1342">
            <v>432</v>
          </cell>
          <cell r="D1342">
            <v>20</v>
          </cell>
          <cell r="E1342">
            <v>792020</v>
          </cell>
          <cell r="F1342">
            <v>0</v>
          </cell>
          <cell r="G1342" t="str">
            <v>Затраты по ШПЗ (основные)</v>
          </cell>
          <cell r="H1342">
            <v>2011</v>
          </cell>
          <cell r="I1342">
            <v>7920</v>
          </cell>
          <cell r="J1342">
            <v>33531</v>
          </cell>
          <cell r="K1342">
            <v>1</v>
          </cell>
          <cell r="L1342">
            <v>0</v>
          </cell>
          <cell r="M1342">
            <v>0</v>
          </cell>
          <cell r="N1342">
            <v>0</v>
          </cell>
          <cell r="R1342">
            <v>0</v>
          </cell>
          <cell r="S1342">
            <v>0</v>
          </cell>
          <cell r="T1342">
            <v>0</v>
          </cell>
          <cell r="U1342">
            <v>35</v>
          </cell>
          <cell r="V1342">
            <v>0</v>
          </cell>
          <cell r="W1342">
            <v>0</v>
          </cell>
          <cell r="AA1342">
            <v>0</v>
          </cell>
          <cell r="AB1342">
            <v>0</v>
          </cell>
          <cell r="AC1342">
            <v>0</v>
          </cell>
          <cell r="AD1342">
            <v>35</v>
          </cell>
          <cell r="AE1342">
            <v>118000</v>
          </cell>
          <cell r="AF1342">
            <v>0</v>
          </cell>
          <cell r="AI1342">
            <v>2223</v>
          </cell>
          <cell r="AK1342">
            <v>0</v>
          </cell>
          <cell r="AM1342">
            <v>559</v>
          </cell>
          <cell r="AN1342">
            <v>1</v>
          </cell>
          <cell r="AO1342">
            <v>393216</v>
          </cell>
          <cell r="AQ1342">
            <v>0</v>
          </cell>
          <cell r="AR1342">
            <v>0</v>
          </cell>
          <cell r="AS1342" t="str">
            <v>Ы</v>
          </cell>
          <cell r="AT1342" t="str">
            <v>Ы</v>
          </cell>
          <cell r="AU1342">
            <v>0</v>
          </cell>
          <cell r="AV1342">
            <v>0</v>
          </cell>
          <cell r="AW1342">
            <v>23</v>
          </cell>
          <cell r="AX1342">
            <v>1</v>
          </cell>
          <cell r="AY1342">
            <v>0</v>
          </cell>
          <cell r="AZ1342">
            <v>0</v>
          </cell>
          <cell r="BA1342">
            <v>0</v>
          </cell>
          <cell r="BB1342">
            <v>0</v>
          </cell>
          <cell r="BC1342">
            <v>38828</v>
          </cell>
        </row>
        <row r="1343">
          <cell r="A1343">
            <v>2006</v>
          </cell>
          <cell r="B1343">
            <v>1</v>
          </cell>
          <cell r="C1343">
            <v>433</v>
          </cell>
          <cell r="D1343">
            <v>20</v>
          </cell>
          <cell r="E1343">
            <v>792020</v>
          </cell>
          <cell r="F1343">
            <v>0</v>
          </cell>
          <cell r="G1343" t="str">
            <v>Затраты по ШПЗ (основные)</v>
          </cell>
          <cell r="H1343">
            <v>2011</v>
          </cell>
          <cell r="I1343">
            <v>7920</v>
          </cell>
          <cell r="J1343">
            <v>1623.36</v>
          </cell>
          <cell r="K1343">
            <v>1</v>
          </cell>
          <cell r="L1343">
            <v>0</v>
          </cell>
          <cell r="M1343">
            <v>0</v>
          </cell>
          <cell r="N1343">
            <v>0</v>
          </cell>
          <cell r="R1343">
            <v>0</v>
          </cell>
          <cell r="S1343">
            <v>0</v>
          </cell>
          <cell r="T1343">
            <v>0</v>
          </cell>
          <cell r="U1343">
            <v>35</v>
          </cell>
          <cell r="V1343">
            <v>0</v>
          </cell>
          <cell r="W1343">
            <v>0</v>
          </cell>
          <cell r="AA1343">
            <v>0</v>
          </cell>
          <cell r="AB1343">
            <v>0</v>
          </cell>
          <cell r="AC1343">
            <v>0</v>
          </cell>
          <cell r="AD1343">
            <v>35</v>
          </cell>
          <cell r="AE1343">
            <v>131000</v>
          </cell>
          <cell r="AF1343">
            <v>0</v>
          </cell>
          <cell r="AI1343">
            <v>2223</v>
          </cell>
          <cell r="AK1343">
            <v>0</v>
          </cell>
          <cell r="AM1343">
            <v>560</v>
          </cell>
          <cell r="AN1343">
            <v>1</v>
          </cell>
          <cell r="AO1343">
            <v>393216</v>
          </cell>
          <cell r="AQ1343">
            <v>0</v>
          </cell>
          <cell r="AR1343">
            <v>0</v>
          </cell>
          <cell r="AS1343" t="str">
            <v>Ы</v>
          </cell>
          <cell r="AT1343" t="str">
            <v>Ы</v>
          </cell>
          <cell r="AU1343">
            <v>0</v>
          </cell>
          <cell r="AV1343">
            <v>0</v>
          </cell>
          <cell r="AW1343">
            <v>23</v>
          </cell>
          <cell r="AX1343">
            <v>1</v>
          </cell>
          <cell r="AY1343">
            <v>0</v>
          </cell>
          <cell r="AZ1343">
            <v>0</v>
          </cell>
          <cell r="BA1343">
            <v>0</v>
          </cell>
          <cell r="BB1343">
            <v>0</v>
          </cell>
          <cell r="BC1343">
            <v>38828</v>
          </cell>
        </row>
        <row r="1344">
          <cell r="A1344">
            <v>2006</v>
          </cell>
          <cell r="B1344">
            <v>1</v>
          </cell>
          <cell r="C1344">
            <v>434</v>
          </cell>
          <cell r="D1344">
            <v>20</v>
          </cell>
          <cell r="E1344">
            <v>792020</v>
          </cell>
          <cell r="F1344">
            <v>0</v>
          </cell>
          <cell r="G1344" t="str">
            <v>Затраты по ШПЗ (основные)</v>
          </cell>
          <cell r="H1344">
            <v>2011</v>
          </cell>
          <cell r="I1344">
            <v>7920</v>
          </cell>
          <cell r="J1344">
            <v>34941.46</v>
          </cell>
          <cell r="K1344">
            <v>1</v>
          </cell>
          <cell r="L1344">
            <v>0</v>
          </cell>
          <cell r="M1344">
            <v>0</v>
          </cell>
          <cell r="N1344">
            <v>0</v>
          </cell>
          <cell r="R1344">
            <v>0</v>
          </cell>
          <cell r="S1344">
            <v>0</v>
          </cell>
          <cell r="T1344">
            <v>0</v>
          </cell>
          <cell r="U1344">
            <v>35</v>
          </cell>
          <cell r="V1344">
            <v>0</v>
          </cell>
          <cell r="W1344">
            <v>0</v>
          </cell>
          <cell r="AA1344">
            <v>0</v>
          </cell>
          <cell r="AB1344">
            <v>0</v>
          </cell>
          <cell r="AC1344">
            <v>0</v>
          </cell>
          <cell r="AD1344">
            <v>35</v>
          </cell>
          <cell r="AE1344">
            <v>132000</v>
          </cell>
          <cell r="AF1344">
            <v>0</v>
          </cell>
          <cell r="AI1344">
            <v>2223</v>
          </cell>
          <cell r="AK1344">
            <v>0</v>
          </cell>
          <cell r="AM1344">
            <v>561</v>
          </cell>
          <cell r="AN1344">
            <v>1</v>
          </cell>
          <cell r="AO1344">
            <v>393216</v>
          </cell>
          <cell r="AQ1344">
            <v>0</v>
          </cell>
          <cell r="AR1344">
            <v>0</v>
          </cell>
          <cell r="AS1344" t="str">
            <v>Ы</v>
          </cell>
          <cell r="AT1344" t="str">
            <v>Ы</v>
          </cell>
          <cell r="AU1344">
            <v>0</v>
          </cell>
          <cell r="AV1344">
            <v>0</v>
          </cell>
          <cell r="AW1344">
            <v>23</v>
          </cell>
          <cell r="AX1344">
            <v>1</v>
          </cell>
          <cell r="AY1344">
            <v>0</v>
          </cell>
          <cell r="AZ1344">
            <v>0</v>
          </cell>
          <cell r="BA1344">
            <v>0</v>
          </cell>
          <cell r="BB1344">
            <v>0</v>
          </cell>
          <cell r="BC1344">
            <v>38828</v>
          </cell>
        </row>
        <row r="1345">
          <cell r="A1345">
            <v>2006</v>
          </cell>
          <cell r="B1345">
            <v>1</v>
          </cell>
          <cell r="C1345">
            <v>435</v>
          </cell>
          <cell r="D1345">
            <v>20</v>
          </cell>
          <cell r="E1345">
            <v>792020</v>
          </cell>
          <cell r="F1345">
            <v>0</v>
          </cell>
          <cell r="G1345" t="str">
            <v>Затраты по ШПЗ (основные)</v>
          </cell>
          <cell r="H1345">
            <v>2011</v>
          </cell>
          <cell r="I1345">
            <v>7920</v>
          </cell>
          <cell r="J1345">
            <v>1651.28</v>
          </cell>
          <cell r="K1345">
            <v>1</v>
          </cell>
          <cell r="L1345">
            <v>0</v>
          </cell>
          <cell r="M1345">
            <v>0</v>
          </cell>
          <cell r="N1345">
            <v>0</v>
          </cell>
          <cell r="R1345">
            <v>0</v>
          </cell>
          <cell r="S1345">
            <v>0</v>
          </cell>
          <cell r="T1345">
            <v>0</v>
          </cell>
          <cell r="U1345">
            <v>35</v>
          </cell>
          <cell r="V1345">
            <v>0</v>
          </cell>
          <cell r="W1345">
            <v>0</v>
          </cell>
          <cell r="AA1345">
            <v>0</v>
          </cell>
          <cell r="AB1345">
            <v>0</v>
          </cell>
          <cell r="AC1345">
            <v>0</v>
          </cell>
          <cell r="AD1345">
            <v>35</v>
          </cell>
          <cell r="AE1345">
            <v>135000</v>
          </cell>
          <cell r="AF1345">
            <v>0</v>
          </cell>
          <cell r="AI1345">
            <v>2223</v>
          </cell>
          <cell r="AK1345">
            <v>0</v>
          </cell>
          <cell r="AM1345">
            <v>562</v>
          </cell>
          <cell r="AN1345">
            <v>1</v>
          </cell>
          <cell r="AO1345">
            <v>393216</v>
          </cell>
          <cell r="AQ1345">
            <v>0</v>
          </cell>
          <cell r="AR1345">
            <v>0</v>
          </cell>
          <cell r="AS1345" t="str">
            <v>Ы</v>
          </cell>
          <cell r="AT1345" t="str">
            <v>Ы</v>
          </cell>
          <cell r="AU1345">
            <v>0</v>
          </cell>
          <cell r="AV1345">
            <v>0</v>
          </cell>
          <cell r="AW1345">
            <v>23</v>
          </cell>
          <cell r="AX1345">
            <v>1</v>
          </cell>
          <cell r="AY1345">
            <v>0</v>
          </cell>
          <cell r="AZ1345">
            <v>0</v>
          </cell>
          <cell r="BA1345">
            <v>0</v>
          </cell>
          <cell r="BB1345">
            <v>0</v>
          </cell>
          <cell r="BC1345">
            <v>38828</v>
          </cell>
        </row>
        <row r="1346">
          <cell r="A1346">
            <v>2006</v>
          </cell>
          <cell r="B1346">
            <v>1</v>
          </cell>
          <cell r="C1346">
            <v>436</v>
          </cell>
          <cell r="D1346">
            <v>20</v>
          </cell>
          <cell r="E1346">
            <v>792020</v>
          </cell>
          <cell r="F1346">
            <v>0</v>
          </cell>
          <cell r="G1346" t="str">
            <v>Затраты по ШПЗ (основные)</v>
          </cell>
          <cell r="H1346">
            <v>2011</v>
          </cell>
          <cell r="I1346">
            <v>7920</v>
          </cell>
          <cell r="J1346">
            <v>251991.36</v>
          </cell>
          <cell r="K1346">
            <v>1</v>
          </cell>
          <cell r="L1346">
            <v>0</v>
          </cell>
          <cell r="M1346">
            <v>0</v>
          </cell>
          <cell r="N1346">
            <v>0</v>
          </cell>
          <cell r="R1346">
            <v>0</v>
          </cell>
          <cell r="S1346">
            <v>0</v>
          </cell>
          <cell r="T1346">
            <v>0</v>
          </cell>
          <cell r="U1346">
            <v>35</v>
          </cell>
          <cell r="V1346">
            <v>0</v>
          </cell>
          <cell r="W1346">
            <v>0</v>
          </cell>
          <cell r="AA1346">
            <v>0</v>
          </cell>
          <cell r="AB1346">
            <v>0</v>
          </cell>
          <cell r="AC1346">
            <v>0</v>
          </cell>
          <cell r="AD1346">
            <v>35</v>
          </cell>
          <cell r="AE1346">
            <v>143000</v>
          </cell>
          <cell r="AF1346">
            <v>0</v>
          </cell>
          <cell r="AI1346">
            <v>2223</v>
          </cell>
          <cell r="AK1346">
            <v>0</v>
          </cell>
          <cell r="AM1346">
            <v>563</v>
          </cell>
          <cell r="AN1346">
            <v>1</v>
          </cell>
          <cell r="AO1346">
            <v>393216</v>
          </cell>
          <cell r="AQ1346">
            <v>0</v>
          </cell>
          <cell r="AR1346">
            <v>0</v>
          </cell>
          <cell r="AS1346" t="str">
            <v>Ы</v>
          </cell>
          <cell r="AT1346" t="str">
            <v>Ы</v>
          </cell>
          <cell r="AU1346">
            <v>0</v>
          </cell>
          <cell r="AV1346">
            <v>0</v>
          </cell>
          <cell r="AW1346">
            <v>23</v>
          </cell>
          <cell r="AX1346">
            <v>1</v>
          </cell>
          <cell r="AY1346">
            <v>0</v>
          </cell>
          <cell r="AZ1346">
            <v>0</v>
          </cell>
          <cell r="BA1346">
            <v>0</v>
          </cell>
          <cell r="BB1346">
            <v>0</v>
          </cell>
          <cell r="BC1346">
            <v>38828</v>
          </cell>
        </row>
        <row r="1347">
          <cell r="A1347">
            <v>2006</v>
          </cell>
          <cell r="B1347">
            <v>1</v>
          </cell>
          <cell r="C1347">
            <v>437</v>
          </cell>
          <cell r="D1347">
            <v>20</v>
          </cell>
          <cell r="E1347">
            <v>792020</v>
          </cell>
          <cell r="F1347">
            <v>0</v>
          </cell>
          <cell r="G1347" t="str">
            <v>Затраты по ШПЗ (основные)</v>
          </cell>
          <cell r="H1347">
            <v>2011</v>
          </cell>
          <cell r="I1347">
            <v>7920</v>
          </cell>
          <cell r="J1347">
            <v>251691.9</v>
          </cell>
          <cell r="K1347">
            <v>1</v>
          </cell>
          <cell r="L1347">
            <v>0</v>
          </cell>
          <cell r="M1347">
            <v>0</v>
          </cell>
          <cell r="N1347">
            <v>0</v>
          </cell>
          <cell r="R1347">
            <v>0</v>
          </cell>
          <cell r="S1347">
            <v>0</v>
          </cell>
          <cell r="T1347">
            <v>0</v>
          </cell>
          <cell r="U1347">
            <v>35</v>
          </cell>
          <cell r="V1347">
            <v>0</v>
          </cell>
          <cell r="W1347">
            <v>0</v>
          </cell>
          <cell r="AA1347">
            <v>0</v>
          </cell>
          <cell r="AB1347">
            <v>0</v>
          </cell>
          <cell r="AC1347">
            <v>0</v>
          </cell>
          <cell r="AD1347">
            <v>35</v>
          </cell>
          <cell r="AE1347">
            <v>151000</v>
          </cell>
          <cell r="AF1347">
            <v>0</v>
          </cell>
          <cell r="AI1347">
            <v>2223</v>
          </cell>
          <cell r="AK1347">
            <v>0</v>
          </cell>
          <cell r="AM1347">
            <v>564</v>
          </cell>
          <cell r="AN1347">
            <v>1</v>
          </cell>
          <cell r="AO1347">
            <v>393216</v>
          </cell>
          <cell r="AQ1347">
            <v>0</v>
          </cell>
          <cell r="AR1347">
            <v>0</v>
          </cell>
          <cell r="AS1347" t="str">
            <v>Ы</v>
          </cell>
          <cell r="AT1347" t="str">
            <v>Ы</v>
          </cell>
          <cell r="AU1347">
            <v>0</v>
          </cell>
          <cell r="AV1347">
            <v>0</v>
          </cell>
          <cell r="AW1347">
            <v>23</v>
          </cell>
          <cell r="AX1347">
            <v>1</v>
          </cell>
          <cell r="AY1347">
            <v>0</v>
          </cell>
          <cell r="AZ1347">
            <v>0</v>
          </cell>
          <cell r="BA1347">
            <v>0</v>
          </cell>
          <cell r="BB1347">
            <v>0</v>
          </cell>
          <cell r="BC1347">
            <v>38828</v>
          </cell>
        </row>
        <row r="1348">
          <cell r="A1348">
            <v>2006</v>
          </cell>
          <cell r="B1348">
            <v>1</v>
          </cell>
          <cell r="C1348">
            <v>438</v>
          </cell>
          <cell r="D1348">
            <v>20</v>
          </cell>
          <cell r="E1348">
            <v>792020</v>
          </cell>
          <cell r="F1348">
            <v>0</v>
          </cell>
          <cell r="G1348" t="str">
            <v>Затраты по ШПЗ (основные)</v>
          </cell>
          <cell r="H1348">
            <v>2011</v>
          </cell>
          <cell r="I1348">
            <v>7920</v>
          </cell>
          <cell r="J1348">
            <v>1319476.57</v>
          </cell>
          <cell r="K1348">
            <v>1</v>
          </cell>
          <cell r="L1348">
            <v>0</v>
          </cell>
          <cell r="M1348">
            <v>0</v>
          </cell>
          <cell r="N1348">
            <v>0</v>
          </cell>
          <cell r="R1348">
            <v>0</v>
          </cell>
          <cell r="S1348">
            <v>0</v>
          </cell>
          <cell r="T1348">
            <v>0</v>
          </cell>
          <cell r="U1348">
            <v>35</v>
          </cell>
          <cell r="V1348">
            <v>0</v>
          </cell>
          <cell r="W1348">
            <v>0</v>
          </cell>
          <cell r="AA1348">
            <v>0</v>
          </cell>
          <cell r="AB1348">
            <v>0</v>
          </cell>
          <cell r="AC1348">
            <v>0</v>
          </cell>
          <cell r="AD1348">
            <v>35</v>
          </cell>
          <cell r="AE1348">
            <v>220000</v>
          </cell>
          <cell r="AF1348">
            <v>0</v>
          </cell>
          <cell r="AI1348">
            <v>2223</v>
          </cell>
          <cell r="AK1348">
            <v>0</v>
          </cell>
          <cell r="AM1348">
            <v>565</v>
          </cell>
          <cell r="AN1348">
            <v>1</v>
          </cell>
          <cell r="AO1348">
            <v>393216</v>
          </cell>
          <cell r="AQ1348">
            <v>0</v>
          </cell>
          <cell r="AR1348">
            <v>0</v>
          </cell>
          <cell r="AS1348" t="str">
            <v>Ы</v>
          </cell>
          <cell r="AT1348" t="str">
            <v>Ы</v>
          </cell>
          <cell r="AU1348">
            <v>0</v>
          </cell>
          <cell r="AV1348">
            <v>0</v>
          </cell>
          <cell r="AW1348">
            <v>23</v>
          </cell>
          <cell r="AX1348">
            <v>1</v>
          </cell>
          <cell r="AY1348">
            <v>0</v>
          </cell>
          <cell r="AZ1348">
            <v>0</v>
          </cell>
          <cell r="BA1348">
            <v>0</v>
          </cell>
          <cell r="BB1348">
            <v>0</v>
          </cell>
          <cell r="BC1348">
            <v>38828</v>
          </cell>
        </row>
        <row r="1349">
          <cell r="A1349">
            <v>2006</v>
          </cell>
          <cell r="B1349">
            <v>1</v>
          </cell>
          <cell r="C1349">
            <v>439</v>
          </cell>
          <cell r="D1349">
            <v>20</v>
          </cell>
          <cell r="E1349">
            <v>792020</v>
          </cell>
          <cell r="F1349">
            <v>0</v>
          </cell>
          <cell r="G1349" t="str">
            <v>Затраты по ШПЗ (основные)</v>
          </cell>
          <cell r="H1349">
            <v>2011</v>
          </cell>
          <cell r="I1349">
            <v>7920</v>
          </cell>
          <cell r="J1349">
            <v>652043.97</v>
          </cell>
          <cell r="K1349">
            <v>1</v>
          </cell>
          <cell r="L1349">
            <v>0</v>
          </cell>
          <cell r="M1349">
            <v>0</v>
          </cell>
          <cell r="N1349">
            <v>0</v>
          </cell>
          <cell r="R1349">
            <v>0</v>
          </cell>
          <cell r="S1349">
            <v>0</v>
          </cell>
          <cell r="T1349">
            <v>0</v>
          </cell>
          <cell r="U1349">
            <v>35</v>
          </cell>
          <cell r="V1349">
            <v>0</v>
          </cell>
          <cell r="W1349">
            <v>0</v>
          </cell>
          <cell r="AA1349">
            <v>0</v>
          </cell>
          <cell r="AB1349">
            <v>0</v>
          </cell>
          <cell r="AC1349">
            <v>0</v>
          </cell>
          <cell r="AD1349">
            <v>35</v>
          </cell>
          <cell r="AE1349">
            <v>230000</v>
          </cell>
          <cell r="AF1349">
            <v>0</v>
          </cell>
          <cell r="AI1349">
            <v>2223</v>
          </cell>
          <cell r="AK1349">
            <v>0</v>
          </cell>
          <cell r="AM1349">
            <v>566</v>
          </cell>
          <cell r="AN1349">
            <v>1</v>
          </cell>
          <cell r="AO1349">
            <v>393216</v>
          </cell>
          <cell r="AQ1349">
            <v>0</v>
          </cell>
          <cell r="AR1349">
            <v>0</v>
          </cell>
          <cell r="AS1349" t="str">
            <v>Ы</v>
          </cell>
          <cell r="AT1349" t="str">
            <v>Ы</v>
          </cell>
          <cell r="AU1349">
            <v>0</v>
          </cell>
          <cell r="AV1349">
            <v>0</v>
          </cell>
          <cell r="AW1349">
            <v>23</v>
          </cell>
          <cell r="AX1349">
            <v>1</v>
          </cell>
          <cell r="AY1349">
            <v>0</v>
          </cell>
          <cell r="AZ1349">
            <v>0</v>
          </cell>
          <cell r="BA1349">
            <v>0</v>
          </cell>
          <cell r="BB1349">
            <v>0</v>
          </cell>
          <cell r="BC1349">
            <v>38828</v>
          </cell>
        </row>
        <row r="1350">
          <cell r="A1350">
            <v>2006</v>
          </cell>
          <cell r="B1350">
            <v>1</v>
          </cell>
          <cell r="C1350">
            <v>440</v>
          </cell>
          <cell r="D1350">
            <v>20</v>
          </cell>
          <cell r="E1350">
            <v>792020</v>
          </cell>
          <cell r="F1350">
            <v>0</v>
          </cell>
          <cell r="G1350" t="str">
            <v>Затраты по ШПЗ (основные)</v>
          </cell>
          <cell r="H1350">
            <v>2011</v>
          </cell>
          <cell r="I1350">
            <v>7920</v>
          </cell>
          <cell r="J1350">
            <v>44373.64</v>
          </cell>
          <cell r="K1350">
            <v>1</v>
          </cell>
          <cell r="L1350">
            <v>0</v>
          </cell>
          <cell r="M1350">
            <v>0</v>
          </cell>
          <cell r="N1350">
            <v>0</v>
          </cell>
          <cell r="R1350">
            <v>0</v>
          </cell>
          <cell r="S1350">
            <v>0</v>
          </cell>
          <cell r="T1350">
            <v>0</v>
          </cell>
          <cell r="U1350">
            <v>35</v>
          </cell>
          <cell r="V1350">
            <v>0</v>
          </cell>
          <cell r="W1350">
            <v>0</v>
          </cell>
          <cell r="AA1350">
            <v>0</v>
          </cell>
          <cell r="AB1350">
            <v>0</v>
          </cell>
          <cell r="AC1350">
            <v>0</v>
          </cell>
          <cell r="AD1350">
            <v>35</v>
          </cell>
          <cell r="AE1350">
            <v>260000</v>
          </cell>
          <cell r="AF1350">
            <v>0</v>
          </cell>
          <cell r="AI1350">
            <v>2223</v>
          </cell>
          <cell r="AK1350">
            <v>0</v>
          </cell>
          <cell r="AM1350">
            <v>567</v>
          </cell>
          <cell r="AN1350">
            <v>1</v>
          </cell>
          <cell r="AO1350">
            <v>393216</v>
          </cell>
          <cell r="AQ1350">
            <v>0</v>
          </cell>
          <cell r="AR1350">
            <v>0</v>
          </cell>
          <cell r="AS1350" t="str">
            <v>Ы</v>
          </cell>
          <cell r="AT1350" t="str">
            <v>Ы</v>
          </cell>
          <cell r="AU1350">
            <v>0</v>
          </cell>
          <cell r="AV1350">
            <v>0</v>
          </cell>
          <cell r="AW1350">
            <v>23</v>
          </cell>
          <cell r="AX1350">
            <v>1</v>
          </cell>
          <cell r="AY1350">
            <v>0</v>
          </cell>
          <cell r="AZ1350">
            <v>0</v>
          </cell>
          <cell r="BA1350">
            <v>0</v>
          </cell>
          <cell r="BB1350">
            <v>0</v>
          </cell>
          <cell r="BC1350">
            <v>38828</v>
          </cell>
        </row>
        <row r="1351">
          <cell r="A1351">
            <v>2006</v>
          </cell>
          <cell r="B1351">
            <v>1</v>
          </cell>
          <cell r="C1351">
            <v>441</v>
          </cell>
          <cell r="D1351">
            <v>20</v>
          </cell>
          <cell r="E1351">
            <v>792020</v>
          </cell>
          <cell r="F1351">
            <v>0</v>
          </cell>
          <cell r="G1351" t="str">
            <v>Затраты по ШПЗ (основные)</v>
          </cell>
          <cell r="H1351">
            <v>2011</v>
          </cell>
          <cell r="I1351">
            <v>7920</v>
          </cell>
          <cell r="J1351">
            <v>154664.46</v>
          </cell>
          <cell r="K1351">
            <v>1</v>
          </cell>
          <cell r="L1351">
            <v>0</v>
          </cell>
          <cell r="M1351">
            <v>0</v>
          </cell>
          <cell r="N1351">
            <v>0</v>
          </cell>
          <cell r="R1351">
            <v>0</v>
          </cell>
          <cell r="S1351">
            <v>0</v>
          </cell>
          <cell r="T1351">
            <v>0</v>
          </cell>
          <cell r="U1351">
            <v>35</v>
          </cell>
          <cell r="V1351">
            <v>0</v>
          </cell>
          <cell r="W1351">
            <v>0</v>
          </cell>
          <cell r="AA1351">
            <v>0</v>
          </cell>
          <cell r="AB1351">
            <v>0</v>
          </cell>
          <cell r="AC1351">
            <v>0</v>
          </cell>
          <cell r="AD1351">
            <v>35</v>
          </cell>
          <cell r="AE1351">
            <v>270000</v>
          </cell>
          <cell r="AF1351">
            <v>0</v>
          </cell>
          <cell r="AI1351">
            <v>2223</v>
          </cell>
          <cell r="AK1351">
            <v>0</v>
          </cell>
          <cell r="AM1351">
            <v>568</v>
          </cell>
          <cell r="AN1351">
            <v>1</v>
          </cell>
          <cell r="AO1351">
            <v>393216</v>
          </cell>
          <cell r="AQ1351">
            <v>0</v>
          </cell>
          <cell r="AR1351">
            <v>0</v>
          </cell>
          <cell r="AS1351" t="str">
            <v>Ы</v>
          </cell>
          <cell r="AT1351" t="str">
            <v>Ы</v>
          </cell>
          <cell r="AU1351">
            <v>0</v>
          </cell>
          <cell r="AV1351">
            <v>0</v>
          </cell>
          <cell r="AW1351">
            <v>23</v>
          </cell>
          <cell r="AX1351">
            <v>1</v>
          </cell>
          <cell r="AY1351">
            <v>0</v>
          </cell>
          <cell r="AZ1351">
            <v>0</v>
          </cell>
          <cell r="BA1351">
            <v>0</v>
          </cell>
          <cell r="BB1351">
            <v>0</v>
          </cell>
          <cell r="BC1351">
            <v>38828</v>
          </cell>
        </row>
        <row r="1352">
          <cell r="A1352">
            <v>2006</v>
          </cell>
          <cell r="B1352">
            <v>1</v>
          </cell>
          <cell r="C1352">
            <v>442</v>
          </cell>
          <cell r="D1352">
            <v>20</v>
          </cell>
          <cell r="E1352">
            <v>792020</v>
          </cell>
          <cell r="F1352">
            <v>0</v>
          </cell>
          <cell r="G1352" t="str">
            <v>Затраты по ШПЗ (основные)</v>
          </cell>
          <cell r="H1352">
            <v>2011</v>
          </cell>
          <cell r="I1352">
            <v>7920</v>
          </cell>
          <cell r="J1352">
            <v>3809.92</v>
          </cell>
          <cell r="K1352">
            <v>1</v>
          </cell>
          <cell r="L1352">
            <v>0</v>
          </cell>
          <cell r="M1352">
            <v>0</v>
          </cell>
          <cell r="N1352">
            <v>0</v>
          </cell>
          <cell r="R1352">
            <v>0</v>
          </cell>
          <cell r="S1352">
            <v>0</v>
          </cell>
          <cell r="T1352">
            <v>0</v>
          </cell>
          <cell r="U1352">
            <v>35</v>
          </cell>
          <cell r="V1352">
            <v>0</v>
          </cell>
          <cell r="W1352">
            <v>0</v>
          </cell>
          <cell r="AA1352">
            <v>0</v>
          </cell>
          <cell r="AB1352">
            <v>0</v>
          </cell>
          <cell r="AC1352">
            <v>0</v>
          </cell>
          <cell r="AD1352">
            <v>35</v>
          </cell>
          <cell r="AE1352">
            <v>280000</v>
          </cell>
          <cell r="AF1352">
            <v>0</v>
          </cell>
          <cell r="AI1352">
            <v>2223</v>
          </cell>
          <cell r="AK1352">
            <v>0</v>
          </cell>
          <cell r="AM1352">
            <v>569</v>
          </cell>
          <cell r="AN1352">
            <v>1</v>
          </cell>
          <cell r="AO1352">
            <v>393216</v>
          </cell>
          <cell r="AQ1352">
            <v>0</v>
          </cell>
          <cell r="AR1352">
            <v>0</v>
          </cell>
          <cell r="AS1352" t="str">
            <v>Ы</v>
          </cell>
          <cell r="AT1352" t="str">
            <v>Ы</v>
          </cell>
          <cell r="AU1352">
            <v>0</v>
          </cell>
          <cell r="AV1352">
            <v>0</v>
          </cell>
          <cell r="AW1352">
            <v>23</v>
          </cell>
          <cell r="AX1352">
            <v>1</v>
          </cell>
          <cell r="AY1352">
            <v>0</v>
          </cell>
          <cell r="AZ1352">
            <v>0</v>
          </cell>
          <cell r="BA1352">
            <v>0</v>
          </cell>
          <cell r="BB1352">
            <v>0</v>
          </cell>
          <cell r="BC1352">
            <v>38828</v>
          </cell>
        </row>
        <row r="1353">
          <cell r="A1353">
            <v>2006</v>
          </cell>
          <cell r="B1353">
            <v>1</v>
          </cell>
          <cell r="C1353">
            <v>443</v>
          </cell>
          <cell r="D1353">
            <v>20</v>
          </cell>
          <cell r="E1353">
            <v>792020</v>
          </cell>
          <cell r="F1353">
            <v>0</v>
          </cell>
          <cell r="G1353" t="str">
            <v>Затраты по ШПЗ (основные)</v>
          </cell>
          <cell r="H1353">
            <v>2011</v>
          </cell>
          <cell r="I1353">
            <v>7920</v>
          </cell>
          <cell r="J1353">
            <v>63404.46</v>
          </cell>
          <cell r="K1353">
            <v>1</v>
          </cell>
          <cell r="L1353">
            <v>0</v>
          </cell>
          <cell r="M1353">
            <v>0</v>
          </cell>
          <cell r="N1353">
            <v>0</v>
          </cell>
          <cell r="R1353">
            <v>0</v>
          </cell>
          <cell r="S1353">
            <v>0</v>
          </cell>
          <cell r="T1353">
            <v>0</v>
          </cell>
          <cell r="U1353">
            <v>35</v>
          </cell>
          <cell r="V1353">
            <v>0</v>
          </cell>
          <cell r="W1353">
            <v>0</v>
          </cell>
          <cell r="AA1353">
            <v>0</v>
          </cell>
          <cell r="AB1353">
            <v>0</v>
          </cell>
          <cell r="AC1353">
            <v>0</v>
          </cell>
          <cell r="AD1353">
            <v>35</v>
          </cell>
          <cell r="AE1353">
            <v>280100</v>
          </cell>
          <cell r="AF1353">
            <v>0</v>
          </cell>
          <cell r="AI1353">
            <v>2223</v>
          </cell>
          <cell r="AK1353">
            <v>0</v>
          </cell>
          <cell r="AM1353">
            <v>570</v>
          </cell>
          <cell r="AN1353">
            <v>1</v>
          </cell>
          <cell r="AO1353">
            <v>393216</v>
          </cell>
          <cell r="AQ1353">
            <v>0</v>
          </cell>
          <cell r="AR1353">
            <v>0</v>
          </cell>
          <cell r="AS1353" t="str">
            <v>Ы</v>
          </cell>
          <cell r="AT1353" t="str">
            <v>Ы</v>
          </cell>
          <cell r="AU1353">
            <v>0</v>
          </cell>
          <cell r="AV1353">
            <v>0</v>
          </cell>
          <cell r="AW1353">
            <v>23</v>
          </cell>
          <cell r="AX1353">
            <v>1</v>
          </cell>
          <cell r="AY1353">
            <v>0</v>
          </cell>
          <cell r="AZ1353">
            <v>0</v>
          </cell>
          <cell r="BA1353">
            <v>0</v>
          </cell>
          <cell r="BB1353">
            <v>0</v>
          </cell>
          <cell r="BC1353">
            <v>38828</v>
          </cell>
        </row>
        <row r="1354">
          <cell r="A1354">
            <v>2006</v>
          </cell>
          <cell r="B1354">
            <v>1</v>
          </cell>
          <cell r="C1354">
            <v>444</v>
          </cell>
          <cell r="D1354">
            <v>20</v>
          </cell>
          <cell r="E1354">
            <v>792020</v>
          </cell>
          <cell r="F1354">
            <v>0</v>
          </cell>
          <cell r="G1354" t="str">
            <v>Затраты по ШПЗ (основные)</v>
          </cell>
          <cell r="H1354">
            <v>2011</v>
          </cell>
          <cell r="I1354">
            <v>7920</v>
          </cell>
          <cell r="J1354">
            <v>26454.6</v>
          </cell>
          <cell r="K1354">
            <v>1</v>
          </cell>
          <cell r="L1354">
            <v>0</v>
          </cell>
          <cell r="M1354">
            <v>0</v>
          </cell>
          <cell r="N1354">
            <v>0</v>
          </cell>
          <cell r="R1354">
            <v>0</v>
          </cell>
          <cell r="S1354">
            <v>0</v>
          </cell>
          <cell r="T1354">
            <v>0</v>
          </cell>
          <cell r="U1354">
            <v>35</v>
          </cell>
          <cell r="V1354">
            <v>0</v>
          </cell>
          <cell r="W1354">
            <v>0</v>
          </cell>
          <cell r="AA1354">
            <v>0</v>
          </cell>
          <cell r="AB1354">
            <v>0</v>
          </cell>
          <cell r="AC1354">
            <v>0</v>
          </cell>
          <cell r="AD1354">
            <v>35</v>
          </cell>
          <cell r="AE1354">
            <v>280300</v>
          </cell>
          <cell r="AF1354">
            <v>0</v>
          </cell>
          <cell r="AI1354">
            <v>2223</v>
          </cell>
          <cell r="AK1354">
            <v>0</v>
          </cell>
          <cell r="AM1354">
            <v>571</v>
          </cell>
          <cell r="AN1354">
            <v>1</v>
          </cell>
          <cell r="AO1354">
            <v>393216</v>
          </cell>
          <cell r="AQ1354">
            <v>0</v>
          </cell>
          <cell r="AR1354">
            <v>0</v>
          </cell>
          <cell r="AS1354" t="str">
            <v>Ы</v>
          </cell>
          <cell r="AT1354" t="str">
            <v>Ы</v>
          </cell>
          <cell r="AU1354">
            <v>0</v>
          </cell>
          <cell r="AV1354">
            <v>0</v>
          </cell>
          <cell r="AW1354">
            <v>23</v>
          </cell>
          <cell r="AX1354">
            <v>1</v>
          </cell>
          <cell r="AY1354">
            <v>0</v>
          </cell>
          <cell r="AZ1354">
            <v>0</v>
          </cell>
          <cell r="BA1354">
            <v>0</v>
          </cell>
          <cell r="BB1354">
            <v>0</v>
          </cell>
          <cell r="BC1354">
            <v>38828</v>
          </cell>
        </row>
        <row r="1355">
          <cell r="A1355">
            <v>2006</v>
          </cell>
          <cell r="B1355">
            <v>1</v>
          </cell>
          <cell r="C1355">
            <v>445</v>
          </cell>
          <cell r="D1355">
            <v>20</v>
          </cell>
          <cell r="E1355">
            <v>792020</v>
          </cell>
          <cell r="F1355">
            <v>0</v>
          </cell>
          <cell r="G1355" t="str">
            <v>Затраты по ШПЗ (основные)</v>
          </cell>
          <cell r="H1355">
            <v>2011</v>
          </cell>
          <cell r="I1355">
            <v>7920</v>
          </cell>
          <cell r="J1355">
            <v>96155.56</v>
          </cell>
          <cell r="K1355">
            <v>1</v>
          </cell>
          <cell r="L1355">
            <v>0</v>
          </cell>
          <cell r="M1355">
            <v>0</v>
          </cell>
          <cell r="N1355">
            <v>0</v>
          </cell>
          <cell r="R1355">
            <v>0</v>
          </cell>
          <cell r="S1355">
            <v>0</v>
          </cell>
          <cell r="T1355">
            <v>0</v>
          </cell>
          <cell r="U1355">
            <v>35</v>
          </cell>
          <cell r="V1355">
            <v>0</v>
          </cell>
          <cell r="W1355">
            <v>0</v>
          </cell>
          <cell r="AA1355">
            <v>0</v>
          </cell>
          <cell r="AB1355">
            <v>0</v>
          </cell>
          <cell r="AC1355">
            <v>0</v>
          </cell>
          <cell r="AD1355">
            <v>35</v>
          </cell>
          <cell r="AE1355">
            <v>280400</v>
          </cell>
          <cell r="AF1355">
            <v>0</v>
          </cell>
          <cell r="AI1355">
            <v>2223</v>
          </cell>
          <cell r="AK1355">
            <v>0</v>
          </cell>
          <cell r="AM1355">
            <v>572</v>
          </cell>
          <cell r="AN1355">
            <v>1</v>
          </cell>
          <cell r="AO1355">
            <v>393216</v>
          </cell>
          <cell r="AQ1355">
            <v>0</v>
          </cell>
          <cell r="AR1355">
            <v>0</v>
          </cell>
          <cell r="AS1355" t="str">
            <v>Ы</v>
          </cell>
          <cell r="AT1355" t="str">
            <v>Ы</v>
          </cell>
          <cell r="AU1355">
            <v>0</v>
          </cell>
          <cell r="AV1355">
            <v>0</v>
          </cell>
          <cell r="AW1355">
            <v>23</v>
          </cell>
          <cell r="AX1355">
            <v>1</v>
          </cell>
          <cell r="AY1355">
            <v>0</v>
          </cell>
          <cell r="AZ1355">
            <v>0</v>
          </cell>
          <cell r="BA1355">
            <v>0</v>
          </cell>
          <cell r="BB1355">
            <v>0</v>
          </cell>
          <cell r="BC1355">
            <v>38828</v>
          </cell>
        </row>
        <row r="1356">
          <cell r="A1356">
            <v>2006</v>
          </cell>
          <cell r="B1356">
            <v>1</v>
          </cell>
          <cell r="C1356">
            <v>446</v>
          </cell>
          <cell r="D1356">
            <v>20</v>
          </cell>
          <cell r="E1356">
            <v>792020</v>
          </cell>
          <cell r="F1356">
            <v>0</v>
          </cell>
          <cell r="G1356" t="str">
            <v>Затраты по ШПЗ (основные)</v>
          </cell>
          <cell r="H1356">
            <v>2011</v>
          </cell>
          <cell r="I1356">
            <v>7920</v>
          </cell>
          <cell r="J1356">
            <v>3775.07</v>
          </cell>
          <cell r="K1356">
            <v>1</v>
          </cell>
          <cell r="L1356">
            <v>0</v>
          </cell>
          <cell r="M1356">
            <v>0</v>
          </cell>
          <cell r="N1356">
            <v>0</v>
          </cell>
          <cell r="R1356">
            <v>0</v>
          </cell>
          <cell r="S1356">
            <v>0</v>
          </cell>
          <cell r="T1356">
            <v>0</v>
          </cell>
          <cell r="U1356">
            <v>35</v>
          </cell>
          <cell r="V1356">
            <v>0</v>
          </cell>
          <cell r="W1356">
            <v>0</v>
          </cell>
          <cell r="AA1356">
            <v>0</v>
          </cell>
          <cell r="AB1356">
            <v>0</v>
          </cell>
          <cell r="AC1356">
            <v>0</v>
          </cell>
          <cell r="AD1356">
            <v>35</v>
          </cell>
          <cell r="AE1356">
            <v>281000</v>
          </cell>
          <cell r="AF1356">
            <v>0</v>
          </cell>
          <cell r="AI1356">
            <v>2223</v>
          </cell>
          <cell r="AK1356">
            <v>0</v>
          </cell>
          <cell r="AM1356">
            <v>573</v>
          </cell>
          <cell r="AN1356">
            <v>1</v>
          </cell>
          <cell r="AO1356">
            <v>393216</v>
          </cell>
          <cell r="AQ1356">
            <v>0</v>
          </cell>
          <cell r="AR1356">
            <v>0</v>
          </cell>
          <cell r="AS1356" t="str">
            <v>Ы</v>
          </cell>
          <cell r="AT1356" t="str">
            <v>Ы</v>
          </cell>
          <cell r="AU1356">
            <v>0</v>
          </cell>
          <cell r="AV1356">
            <v>0</v>
          </cell>
          <cell r="AW1356">
            <v>23</v>
          </cell>
          <cell r="AX1356">
            <v>1</v>
          </cell>
          <cell r="AY1356">
            <v>0</v>
          </cell>
          <cell r="AZ1356">
            <v>0</v>
          </cell>
          <cell r="BA1356">
            <v>0</v>
          </cell>
          <cell r="BB1356">
            <v>0</v>
          </cell>
          <cell r="BC1356">
            <v>38828</v>
          </cell>
        </row>
        <row r="1357">
          <cell r="A1357">
            <v>2006</v>
          </cell>
          <cell r="B1357">
            <v>1</v>
          </cell>
          <cell r="C1357">
            <v>447</v>
          </cell>
          <cell r="D1357">
            <v>20</v>
          </cell>
          <cell r="E1357">
            <v>792020</v>
          </cell>
          <cell r="F1357">
            <v>0</v>
          </cell>
          <cell r="G1357" t="str">
            <v>Затраты по ШПЗ (основные)</v>
          </cell>
          <cell r="H1357">
            <v>2011</v>
          </cell>
          <cell r="I1357">
            <v>7920</v>
          </cell>
          <cell r="J1357">
            <v>15106.96</v>
          </cell>
          <cell r="K1357">
            <v>1</v>
          </cell>
          <cell r="L1357">
            <v>0</v>
          </cell>
          <cell r="M1357">
            <v>0</v>
          </cell>
          <cell r="N1357">
            <v>0</v>
          </cell>
          <cell r="R1357">
            <v>0</v>
          </cell>
          <cell r="S1357">
            <v>0</v>
          </cell>
          <cell r="T1357">
            <v>0</v>
          </cell>
          <cell r="U1357">
            <v>35</v>
          </cell>
          <cell r="V1357">
            <v>0</v>
          </cell>
          <cell r="W1357">
            <v>0</v>
          </cell>
          <cell r="AA1357">
            <v>0</v>
          </cell>
          <cell r="AB1357">
            <v>0</v>
          </cell>
          <cell r="AC1357">
            <v>0</v>
          </cell>
          <cell r="AD1357">
            <v>35</v>
          </cell>
          <cell r="AE1357">
            <v>281100</v>
          </cell>
          <cell r="AF1357">
            <v>0</v>
          </cell>
          <cell r="AI1357">
            <v>2223</v>
          </cell>
          <cell r="AK1357">
            <v>0</v>
          </cell>
          <cell r="AM1357">
            <v>574</v>
          </cell>
          <cell r="AN1357">
            <v>1</v>
          </cell>
          <cell r="AO1357">
            <v>393216</v>
          </cell>
          <cell r="AQ1357">
            <v>0</v>
          </cell>
          <cell r="AR1357">
            <v>0</v>
          </cell>
          <cell r="AS1357" t="str">
            <v>Ы</v>
          </cell>
          <cell r="AT1357" t="str">
            <v>Ы</v>
          </cell>
          <cell r="AU1357">
            <v>0</v>
          </cell>
          <cell r="AV1357">
            <v>0</v>
          </cell>
          <cell r="AW1357">
            <v>23</v>
          </cell>
          <cell r="AX1357">
            <v>1</v>
          </cell>
          <cell r="AY1357">
            <v>0</v>
          </cell>
          <cell r="AZ1357">
            <v>0</v>
          </cell>
          <cell r="BA1357">
            <v>0</v>
          </cell>
          <cell r="BB1357">
            <v>0</v>
          </cell>
          <cell r="BC1357">
            <v>38828</v>
          </cell>
        </row>
        <row r="1358">
          <cell r="A1358">
            <v>2006</v>
          </cell>
          <cell r="B1358">
            <v>1</v>
          </cell>
          <cell r="C1358">
            <v>448</v>
          </cell>
          <cell r="D1358">
            <v>20</v>
          </cell>
          <cell r="E1358">
            <v>792020</v>
          </cell>
          <cell r="F1358">
            <v>0</v>
          </cell>
          <cell r="G1358" t="str">
            <v>Затраты по ШПЗ (основные)</v>
          </cell>
          <cell r="H1358">
            <v>2011</v>
          </cell>
          <cell r="I1358">
            <v>7920</v>
          </cell>
          <cell r="J1358">
            <v>12350</v>
          </cell>
          <cell r="K1358">
            <v>1</v>
          </cell>
          <cell r="L1358">
            <v>0</v>
          </cell>
          <cell r="M1358">
            <v>0</v>
          </cell>
          <cell r="N1358">
            <v>0</v>
          </cell>
          <cell r="R1358">
            <v>0</v>
          </cell>
          <cell r="S1358">
            <v>0</v>
          </cell>
          <cell r="T1358">
            <v>0</v>
          </cell>
          <cell r="U1358">
            <v>35</v>
          </cell>
          <cell r="V1358">
            <v>0</v>
          </cell>
          <cell r="W1358">
            <v>0</v>
          </cell>
          <cell r="AA1358">
            <v>0</v>
          </cell>
          <cell r="AB1358">
            <v>0</v>
          </cell>
          <cell r="AC1358">
            <v>0</v>
          </cell>
          <cell r="AD1358">
            <v>35</v>
          </cell>
          <cell r="AE1358">
            <v>283000</v>
          </cell>
          <cell r="AF1358">
            <v>0</v>
          </cell>
          <cell r="AI1358">
            <v>2223</v>
          </cell>
          <cell r="AK1358">
            <v>0</v>
          </cell>
          <cell r="AM1358">
            <v>575</v>
          </cell>
          <cell r="AN1358">
            <v>1</v>
          </cell>
          <cell r="AO1358">
            <v>393216</v>
          </cell>
          <cell r="AQ1358">
            <v>0</v>
          </cell>
          <cell r="AR1358">
            <v>0</v>
          </cell>
          <cell r="AS1358" t="str">
            <v>Ы</v>
          </cell>
          <cell r="AT1358" t="str">
            <v>Ы</v>
          </cell>
          <cell r="AU1358">
            <v>0</v>
          </cell>
          <cell r="AV1358">
            <v>0</v>
          </cell>
          <cell r="AW1358">
            <v>23</v>
          </cell>
          <cell r="AX1358">
            <v>1</v>
          </cell>
          <cell r="AY1358">
            <v>0</v>
          </cell>
          <cell r="AZ1358">
            <v>0</v>
          </cell>
          <cell r="BA1358">
            <v>0</v>
          </cell>
          <cell r="BB1358">
            <v>0</v>
          </cell>
          <cell r="BC1358">
            <v>38828</v>
          </cell>
        </row>
        <row r="1359">
          <cell r="A1359">
            <v>2006</v>
          </cell>
          <cell r="B1359">
            <v>1</v>
          </cell>
          <cell r="C1359">
            <v>449</v>
          </cell>
          <cell r="D1359">
            <v>20</v>
          </cell>
          <cell r="E1359">
            <v>792020</v>
          </cell>
          <cell r="F1359">
            <v>0</v>
          </cell>
          <cell r="G1359" t="str">
            <v>Затраты по ШПЗ (основные)</v>
          </cell>
          <cell r="H1359">
            <v>2011</v>
          </cell>
          <cell r="I1359">
            <v>7920</v>
          </cell>
          <cell r="J1359">
            <v>9645.06</v>
          </cell>
          <cell r="K1359">
            <v>1</v>
          </cell>
          <cell r="L1359">
            <v>0</v>
          </cell>
          <cell r="M1359">
            <v>0</v>
          </cell>
          <cell r="N1359">
            <v>0</v>
          </cell>
          <cell r="R1359">
            <v>0</v>
          </cell>
          <cell r="S1359">
            <v>0</v>
          </cell>
          <cell r="T1359">
            <v>0</v>
          </cell>
          <cell r="U1359">
            <v>35</v>
          </cell>
          <cell r="V1359">
            <v>0</v>
          </cell>
          <cell r="W1359">
            <v>0</v>
          </cell>
          <cell r="AA1359">
            <v>0</v>
          </cell>
          <cell r="AB1359">
            <v>0</v>
          </cell>
          <cell r="AC1359">
            <v>0</v>
          </cell>
          <cell r="AD1359">
            <v>35</v>
          </cell>
          <cell r="AE1359">
            <v>285000</v>
          </cell>
          <cell r="AF1359">
            <v>0</v>
          </cell>
          <cell r="AI1359">
            <v>2223</v>
          </cell>
          <cell r="AK1359">
            <v>0</v>
          </cell>
          <cell r="AM1359">
            <v>576</v>
          </cell>
          <cell r="AN1359">
            <v>1</v>
          </cell>
          <cell r="AO1359">
            <v>393216</v>
          </cell>
          <cell r="AQ1359">
            <v>0</v>
          </cell>
          <cell r="AR1359">
            <v>0</v>
          </cell>
          <cell r="AS1359" t="str">
            <v>Ы</v>
          </cell>
          <cell r="AT1359" t="str">
            <v>Ы</v>
          </cell>
          <cell r="AU1359">
            <v>0</v>
          </cell>
          <cell r="AV1359">
            <v>0</v>
          </cell>
          <cell r="AW1359">
            <v>23</v>
          </cell>
          <cell r="AX1359">
            <v>1</v>
          </cell>
          <cell r="AY1359">
            <v>0</v>
          </cell>
          <cell r="AZ1359">
            <v>0</v>
          </cell>
          <cell r="BA1359">
            <v>0</v>
          </cell>
          <cell r="BB1359">
            <v>0</v>
          </cell>
          <cell r="BC1359">
            <v>38828</v>
          </cell>
        </row>
        <row r="1360">
          <cell r="A1360">
            <v>2006</v>
          </cell>
          <cell r="B1360">
            <v>1</v>
          </cell>
          <cell r="C1360">
            <v>450</v>
          </cell>
          <cell r="D1360">
            <v>20</v>
          </cell>
          <cell r="E1360">
            <v>792020</v>
          </cell>
          <cell r="F1360">
            <v>0</v>
          </cell>
          <cell r="G1360" t="str">
            <v>Затраты по ШПЗ (основные)</v>
          </cell>
          <cell r="H1360">
            <v>2011</v>
          </cell>
          <cell r="I1360">
            <v>7920</v>
          </cell>
          <cell r="J1360">
            <v>68984.47</v>
          </cell>
          <cell r="K1360">
            <v>1</v>
          </cell>
          <cell r="L1360">
            <v>0</v>
          </cell>
          <cell r="M1360">
            <v>0</v>
          </cell>
          <cell r="N1360">
            <v>0</v>
          </cell>
          <cell r="R1360">
            <v>0</v>
          </cell>
          <cell r="S1360">
            <v>0</v>
          </cell>
          <cell r="T1360">
            <v>0</v>
          </cell>
          <cell r="U1360">
            <v>35</v>
          </cell>
          <cell r="V1360">
            <v>0</v>
          </cell>
          <cell r="W1360">
            <v>0</v>
          </cell>
          <cell r="AA1360">
            <v>0</v>
          </cell>
          <cell r="AB1360">
            <v>0</v>
          </cell>
          <cell r="AC1360">
            <v>0</v>
          </cell>
          <cell r="AD1360">
            <v>35</v>
          </cell>
          <cell r="AE1360">
            <v>311000</v>
          </cell>
          <cell r="AF1360">
            <v>0</v>
          </cell>
          <cell r="AI1360">
            <v>2223</v>
          </cell>
          <cell r="AK1360">
            <v>0</v>
          </cell>
          <cell r="AM1360">
            <v>577</v>
          </cell>
          <cell r="AN1360">
            <v>1</v>
          </cell>
          <cell r="AO1360">
            <v>393216</v>
          </cell>
          <cell r="AQ1360">
            <v>0</v>
          </cell>
          <cell r="AR1360">
            <v>0</v>
          </cell>
          <cell r="AS1360" t="str">
            <v>Ы</v>
          </cell>
          <cell r="AT1360" t="str">
            <v>Ы</v>
          </cell>
          <cell r="AU1360">
            <v>0</v>
          </cell>
          <cell r="AV1360">
            <v>0</v>
          </cell>
          <cell r="AW1360">
            <v>23</v>
          </cell>
          <cell r="AX1360">
            <v>1</v>
          </cell>
          <cell r="AY1360">
            <v>0</v>
          </cell>
          <cell r="AZ1360">
            <v>0</v>
          </cell>
          <cell r="BA1360">
            <v>0</v>
          </cell>
          <cell r="BB1360">
            <v>0</v>
          </cell>
          <cell r="BC1360">
            <v>38828</v>
          </cell>
        </row>
        <row r="1361">
          <cell r="A1361">
            <v>2006</v>
          </cell>
          <cell r="B1361">
            <v>1</v>
          </cell>
          <cell r="C1361">
            <v>451</v>
          </cell>
          <cell r="D1361">
            <v>20</v>
          </cell>
          <cell r="E1361">
            <v>792020</v>
          </cell>
          <cell r="F1361">
            <v>0</v>
          </cell>
          <cell r="G1361" t="str">
            <v>Затраты по ШПЗ (основные)</v>
          </cell>
          <cell r="H1361">
            <v>2011</v>
          </cell>
          <cell r="I1361">
            <v>7920</v>
          </cell>
          <cell r="J1361">
            <v>140276.13</v>
          </cell>
          <cell r="K1361">
            <v>1</v>
          </cell>
          <cell r="L1361">
            <v>0</v>
          </cell>
          <cell r="M1361">
            <v>0</v>
          </cell>
          <cell r="N1361">
            <v>0</v>
          </cell>
          <cell r="R1361">
            <v>0</v>
          </cell>
          <cell r="S1361">
            <v>0</v>
          </cell>
          <cell r="T1361">
            <v>0</v>
          </cell>
          <cell r="U1361">
            <v>35</v>
          </cell>
          <cell r="V1361">
            <v>0</v>
          </cell>
          <cell r="W1361">
            <v>0</v>
          </cell>
          <cell r="AA1361">
            <v>0</v>
          </cell>
          <cell r="AB1361">
            <v>0</v>
          </cell>
          <cell r="AC1361">
            <v>0</v>
          </cell>
          <cell r="AD1361">
            <v>35</v>
          </cell>
          <cell r="AE1361">
            <v>312000</v>
          </cell>
          <cell r="AF1361">
            <v>0</v>
          </cell>
          <cell r="AI1361">
            <v>2223</v>
          </cell>
          <cell r="AK1361">
            <v>0</v>
          </cell>
          <cell r="AM1361">
            <v>578</v>
          </cell>
          <cell r="AN1361">
            <v>1</v>
          </cell>
          <cell r="AO1361">
            <v>393216</v>
          </cell>
          <cell r="AQ1361">
            <v>0</v>
          </cell>
          <cell r="AR1361">
            <v>0</v>
          </cell>
          <cell r="AS1361" t="str">
            <v>Ы</v>
          </cell>
          <cell r="AT1361" t="str">
            <v>Ы</v>
          </cell>
          <cell r="AU1361">
            <v>0</v>
          </cell>
          <cell r="AV1361">
            <v>0</v>
          </cell>
          <cell r="AW1361">
            <v>23</v>
          </cell>
          <cell r="AX1361">
            <v>1</v>
          </cell>
          <cell r="AY1361">
            <v>0</v>
          </cell>
          <cell r="AZ1361">
            <v>0</v>
          </cell>
          <cell r="BA1361">
            <v>0</v>
          </cell>
          <cell r="BB1361">
            <v>0</v>
          </cell>
          <cell r="BC1361">
            <v>38828</v>
          </cell>
        </row>
        <row r="1362">
          <cell r="A1362">
            <v>2006</v>
          </cell>
          <cell r="B1362">
            <v>1</v>
          </cell>
          <cell r="C1362">
            <v>452</v>
          </cell>
          <cell r="D1362">
            <v>20</v>
          </cell>
          <cell r="E1362">
            <v>792020</v>
          </cell>
          <cell r="F1362">
            <v>0</v>
          </cell>
          <cell r="G1362" t="str">
            <v>Затраты по ШПЗ (основные)</v>
          </cell>
          <cell r="H1362">
            <v>2011</v>
          </cell>
          <cell r="I1362">
            <v>7920</v>
          </cell>
          <cell r="J1362">
            <v>33032.019999999997</v>
          </cell>
          <cell r="K1362">
            <v>1</v>
          </cell>
          <cell r="L1362">
            <v>0</v>
          </cell>
          <cell r="M1362">
            <v>0</v>
          </cell>
          <cell r="N1362">
            <v>0</v>
          </cell>
          <cell r="R1362">
            <v>0</v>
          </cell>
          <cell r="S1362">
            <v>0</v>
          </cell>
          <cell r="T1362">
            <v>0</v>
          </cell>
          <cell r="U1362">
            <v>35</v>
          </cell>
          <cell r="V1362">
            <v>0</v>
          </cell>
          <cell r="W1362">
            <v>0</v>
          </cell>
          <cell r="AA1362">
            <v>0</v>
          </cell>
          <cell r="AB1362">
            <v>0</v>
          </cell>
          <cell r="AC1362">
            <v>0</v>
          </cell>
          <cell r="AD1362">
            <v>35</v>
          </cell>
          <cell r="AE1362">
            <v>312100</v>
          </cell>
          <cell r="AF1362">
            <v>0</v>
          </cell>
          <cell r="AI1362">
            <v>2223</v>
          </cell>
          <cell r="AK1362">
            <v>0</v>
          </cell>
          <cell r="AM1362">
            <v>579</v>
          </cell>
          <cell r="AN1362">
            <v>1</v>
          </cell>
          <cell r="AO1362">
            <v>393216</v>
          </cell>
          <cell r="AQ1362">
            <v>0</v>
          </cell>
          <cell r="AR1362">
            <v>0</v>
          </cell>
          <cell r="AS1362" t="str">
            <v>Ы</v>
          </cell>
          <cell r="AT1362" t="str">
            <v>Ы</v>
          </cell>
          <cell r="AU1362">
            <v>0</v>
          </cell>
          <cell r="AV1362">
            <v>0</v>
          </cell>
          <cell r="AW1362">
            <v>23</v>
          </cell>
          <cell r="AX1362">
            <v>1</v>
          </cell>
          <cell r="AY1362">
            <v>0</v>
          </cell>
          <cell r="AZ1362">
            <v>0</v>
          </cell>
          <cell r="BA1362">
            <v>0</v>
          </cell>
          <cell r="BB1362">
            <v>0</v>
          </cell>
          <cell r="BC1362">
            <v>38828</v>
          </cell>
        </row>
        <row r="1363">
          <cell r="A1363">
            <v>2006</v>
          </cell>
          <cell r="B1363">
            <v>1</v>
          </cell>
          <cell r="C1363">
            <v>453</v>
          </cell>
          <cell r="D1363">
            <v>20</v>
          </cell>
          <cell r="E1363">
            <v>792020</v>
          </cell>
          <cell r="F1363">
            <v>0</v>
          </cell>
          <cell r="G1363" t="str">
            <v>Затраты по ШПЗ (основные)</v>
          </cell>
          <cell r="H1363">
            <v>2011</v>
          </cell>
          <cell r="I1363">
            <v>7920</v>
          </cell>
          <cell r="J1363">
            <v>304048.76</v>
          </cell>
          <cell r="K1363">
            <v>1</v>
          </cell>
          <cell r="L1363">
            <v>0</v>
          </cell>
          <cell r="M1363">
            <v>0</v>
          </cell>
          <cell r="N1363">
            <v>0</v>
          </cell>
          <cell r="R1363">
            <v>0</v>
          </cell>
          <cell r="S1363">
            <v>0</v>
          </cell>
          <cell r="T1363">
            <v>0</v>
          </cell>
          <cell r="U1363">
            <v>35</v>
          </cell>
          <cell r="V1363">
            <v>0</v>
          </cell>
          <cell r="W1363">
            <v>0</v>
          </cell>
          <cell r="AA1363">
            <v>0</v>
          </cell>
          <cell r="AB1363">
            <v>0</v>
          </cell>
          <cell r="AC1363">
            <v>0</v>
          </cell>
          <cell r="AD1363">
            <v>35</v>
          </cell>
          <cell r="AE1363">
            <v>312200</v>
          </cell>
          <cell r="AF1363">
            <v>0</v>
          </cell>
          <cell r="AI1363">
            <v>2223</v>
          </cell>
          <cell r="AK1363">
            <v>0</v>
          </cell>
          <cell r="AM1363">
            <v>580</v>
          </cell>
          <cell r="AN1363">
            <v>1</v>
          </cell>
          <cell r="AO1363">
            <v>393216</v>
          </cell>
          <cell r="AQ1363">
            <v>0</v>
          </cell>
          <cell r="AR1363">
            <v>0</v>
          </cell>
          <cell r="AS1363" t="str">
            <v>Ы</v>
          </cell>
          <cell r="AT1363" t="str">
            <v>Ы</v>
          </cell>
          <cell r="AU1363">
            <v>0</v>
          </cell>
          <cell r="AV1363">
            <v>0</v>
          </cell>
          <cell r="AW1363">
            <v>23</v>
          </cell>
          <cell r="AX1363">
            <v>1</v>
          </cell>
          <cell r="AY1363">
            <v>0</v>
          </cell>
          <cell r="AZ1363">
            <v>0</v>
          </cell>
          <cell r="BA1363">
            <v>0</v>
          </cell>
          <cell r="BB1363">
            <v>0</v>
          </cell>
          <cell r="BC1363">
            <v>38828</v>
          </cell>
        </row>
        <row r="1364">
          <cell r="A1364">
            <v>2006</v>
          </cell>
          <cell r="B1364">
            <v>1</v>
          </cell>
          <cell r="C1364">
            <v>454</v>
          </cell>
          <cell r="D1364">
            <v>20</v>
          </cell>
          <cell r="E1364">
            <v>792020</v>
          </cell>
          <cell r="F1364">
            <v>0</v>
          </cell>
          <cell r="G1364" t="str">
            <v>Затраты по ШПЗ (основные)</v>
          </cell>
          <cell r="H1364">
            <v>2011</v>
          </cell>
          <cell r="I1364">
            <v>7920</v>
          </cell>
          <cell r="J1364">
            <v>26036.02</v>
          </cell>
          <cell r="K1364">
            <v>1</v>
          </cell>
          <cell r="L1364">
            <v>0</v>
          </cell>
          <cell r="M1364">
            <v>0</v>
          </cell>
          <cell r="N1364">
            <v>0</v>
          </cell>
          <cell r="R1364">
            <v>0</v>
          </cell>
          <cell r="S1364">
            <v>0</v>
          </cell>
          <cell r="T1364">
            <v>0</v>
          </cell>
          <cell r="U1364">
            <v>35</v>
          </cell>
          <cell r="V1364">
            <v>0</v>
          </cell>
          <cell r="W1364">
            <v>0</v>
          </cell>
          <cell r="AA1364">
            <v>0</v>
          </cell>
          <cell r="AB1364">
            <v>0</v>
          </cell>
          <cell r="AC1364">
            <v>0</v>
          </cell>
          <cell r="AD1364">
            <v>35</v>
          </cell>
          <cell r="AE1364">
            <v>313000</v>
          </cell>
          <cell r="AF1364">
            <v>0</v>
          </cell>
          <cell r="AI1364">
            <v>2223</v>
          </cell>
          <cell r="AK1364">
            <v>0</v>
          </cell>
          <cell r="AM1364">
            <v>581</v>
          </cell>
          <cell r="AN1364">
            <v>1</v>
          </cell>
          <cell r="AO1364">
            <v>393216</v>
          </cell>
          <cell r="AQ1364">
            <v>0</v>
          </cell>
          <cell r="AR1364">
            <v>0</v>
          </cell>
          <cell r="AS1364" t="str">
            <v>Ы</v>
          </cell>
          <cell r="AT1364" t="str">
            <v>Ы</v>
          </cell>
          <cell r="AU1364">
            <v>0</v>
          </cell>
          <cell r="AV1364">
            <v>0</v>
          </cell>
          <cell r="AW1364">
            <v>23</v>
          </cell>
          <cell r="AX1364">
            <v>1</v>
          </cell>
          <cell r="AY1364">
            <v>0</v>
          </cell>
          <cell r="AZ1364">
            <v>0</v>
          </cell>
          <cell r="BA1364">
            <v>0</v>
          </cell>
          <cell r="BB1364">
            <v>0</v>
          </cell>
          <cell r="BC1364">
            <v>38828</v>
          </cell>
        </row>
        <row r="1365">
          <cell r="A1365">
            <v>2006</v>
          </cell>
          <cell r="B1365">
            <v>1</v>
          </cell>
          <cell r="C1365">
            <v>455</v>
          </cell>
          <cell r="D1365">
            <v>20</v>
          </cell>
          <cell r="E1365">
            <v>792020</v>
          </cell>
          <cell r="F1365">
            <v>0</v>
          </cell>
          <cell r="G1365" t="str">
            <v>Затраты по ШПЗ (основные)</v>
          </cell>
          <cell r="H1365">
            <v>2011</v>
          </cell>
          <cell r="I1365">
            <v>7920</v>
          </cell>
          <cell r="J1365">
            <v>47510.25</v>
          </cell>
          <cell r="K1365">
            <v>1</v>
          </cell>
          <cell r="L1365">
            <v>0</v>
          </cell>
          <cell r="M1365">
            <v>0</v>
          </cell>
          <cell r="N1365">
            <v>0</v>
          </cell>
          <cell r="R1365">
            <v>0</v>
          </cell>
          <cell r="S1365">
            <v>0</v>
          </cell>
          <cell r="T1365">
            <v>0</v>
          </cell>
          <cell r="U1365">
            <v>35</v>
          </cell>
          <cell r="V1365">
            <v>0</v>
          </cell>
          <cell r="W1365">
            <v>0</v>
          </cell>
          <cell r="AA1365">
            <v>0</v>
          </cell>
          <cell r="AB1365">
            <v>0</v>
          </cell>
          <cell r="AC1365">
            <v>0</v>
          </cell>
          <cell r="AD1365">
            <v>35</v>
          </cell>
          <cell r="AE1365">
            <v>314000</v>
          </cell>
          <cell r="AF1365">
            <v>0</v>
          </cell>
          <cell r="AI1365">
            <v>2223</v>
          </cell>
          <cell r="AK1365">
            <v>0</v>
          </cell>
          <cell r="AM1365">
            <v>582</v>
          </cell>
          <cell r="AN1365">
            <v>1</v>
          </cell>
          <cell r="AO1365">
            <v>393216</v>
          </cell>
          <cell r="AQ1365">
            <v>0</v>
          </cell>
          <cell r="AR1365">
            <v>0</v>
          </cell>
          <cell r="AS1365" t="str">
            <v>Ы</v>
          </cell>
          <cell r="AT1365" t="str">
            <v>Ы</v>
          </cell>
          <cell r="AU1365">
            <v>0</v>
          </cell>
          <cell r="AV1365">
            <v>0</v>
          </cell>
          <cell r="AW1365">
            <v>23</v>
          </cell>
          <cell r="AX1365">
            <v>1</v>
          </cell>
          <cell r="AY1365">
            <v>0</v>
          </cell>
          <cell r="AZ1365">
            <v>0</v>
          </cell>
          <cell r="BA1365">
            <v>0</v>
          </cell>
          <cell r="BB1365">
            <v>0</v>
          </cell>
          <cell r="BC1365">
            <v>38828</v>
          </cell>
        </row>
        <row r="1366">
          <cell r="A1366">
            <v>2006</v>
          </cell>
          <cell r="B1366">
            <v>1</v>
          </cell>
          <cell r="C1366">
            <v>456</v>
          </cell>
          <cell r="D1366">
            <v>20</v>
          </cell>
          <cell r="E1366">
            <v>792020</v>
          </cell>
          <cell r="F1366">
            <v>0</v>
          </cell>
          <cell r="G1366" t="str">
            <v>Затраты по ШПЗ (основные)</v>
          </cell>
          <cell r="H1366">
            <v>2011</v>
          </cell>
          <cell r="I1366">
            <v>7920</v>
          </cell>
          <cell r="J1366">
            <v>9540.59</v>
          </cell>
          <cell r="K1366">
            <v>1</v>
          </cell>
          <cell r="L1366">
            <v>0</v>
          </cell>
          <cell r="M1366">
            <v>0</v>
          </cell>
          <cell r="N1366">
            <v>0</v>
          </cell>
          <cell r="R1366">
            <v>0</v>
          </cell>
          <cell r="S1366">
            <v>0</v>
          </cell>
          <cell r="T1366">
            <v>0</v>
          </cell>
          <cell r="U1366">
            <v>35</v>
          </cell>
          <cell r="V1366">
            <v>0</v>
          </cell>
          <cell r="W1366">
            <v>0</v>
          </cell>
          <cell r="AA1366">
            <v>0</v>
          </cell>
          <cell r="AB1366">
            <v>0</v>
          </cell>
          <cell r="AC1366">
            <v>0</v>
          </cell>
          <cell r="AD1366">
            <v>35</v>
          </cell>
          <cell r="AE1366">
            <v>315000</v>
          </cell>
          <cell r="AF1366">
            <v>0</v>
          </cell>
          <cell r="AI1366">
            <v>2223</v>
          </cell>
          <cell r="AK1366">
            <v>0</v>
          </cell>
          <cell r="AM1366">
            <v>583</v>
          </cell>
          <cell r="AN1366">
            <v>1</v>
          </cell>
          <cell r="AO1366">
            <v>393216</v>
          </cell>
          <cell r="AQ1366">
            <v>0</v>
          </cell>
          <cell r="AR1366">
            <v>0</v>
          </cell>
          <cell r="AS1366" t="str">
            <v>Ы</v>
          </cell>
          <cell r="AT1366" t="str">
            <v>Ы</v>
          </cell>
          <cell r="AU1366">
            <v>0</v>
          </cell>
          <cell r="AV1366">
            <v>0</v>
          </cell>
          <cell r="AW1366">
            <v>23</v>
          </cell>
          <cell r="AX1366">
            <v>1</v>
          </cell>
          <cell r="AY1366">
            <v>0</v>
          </cell>
          <cell r="AZ1366">
            <v>0</v>
          </cell>
          <cell r="BA1366">
            <v>0</v>
          </cell>
          <cell r="BB1366">
            <v>0</v>
          </cell>
          <cell r="BC1366">
            <v>38828</v>
          </cell>
        </row>
        <row r="1367">
          <cell r="A1367">
            <v>2006</v>
          </cell>
          <cell r="B1367">
            <v>1</v>
          </cell>
          <cell r="C1367">
            <v>457</v>
          </cell>
          <cell r="D1367">
            <v>20</v>
          </cell>
          <cell r="E1367">
            <v>792020</v>
          </cell>
          <cell r="F1367">
            <v>0</v>
          </cell>
          <cell r="G1367" t="str">
            <v>Затраты по ШПЗ (основные)</v>
          </cell>
          <cell r="H1367">
            <v>2011</v>
          </cell>
          <cell r="I1367">
            <v>7920</v>
          </cell>
          <cell r="J1367">
            <v>663816.39</v>
          </cell>
          <cell r="K1367">
            <v>1</v>
          </cell>
          <cell r="L1367">
            <v>0</v>
          </cell>
          <cell r="M1367">
            <v>0</v>
          </cell>
          <cell r="N1367">
            <v>0</v>
          </cell>
          <cell r="R1367">
            <v>0</v>
          </cell>
          <cell r="S1367">
            <v>0</v>
          </cell>
          <cell r="T1367">
            <v>0</v>
          </cell>
          <cell r="U1367">
            <v>35</v>
          </cell>
          <cell r="V1367">
            <v>0</v>
          </cell>
          <cell r="W1367">
            <v>0</v>
          </cell>
          <cell r="AA1367">
            <v>0</v>
          </cell>
          <cell r="AB1367">
            <v>0</v>
          </cell>
          <cell r="AC1367">
            <v>0</v>
          </cell>
          <cell r="AD1367">
            <v>35</v>
          </cell>
          <cell r="AE1367">
            <v>410000</v>
          </cell>
          <cell r="AF1367">
            <v>0</v>
          </cell>
          <cell r="AI1367">
            <v>2223</v>
          </cell>
          <cell r="AK1367">
            <v>0</v>
          </cell>
          <cell r="AM1367">
            <v>584</v>
          </cell>
          <cell r="AN1367">
            <v>1</v>
          </cell>
          <cell r="AO1367">
            <v>393216</v>
          </cell>
          <cell r="AQ1367">
            <v>0</v>
          </cell>
          <cell r="AR1367">
            <v>0</v>
          </cell>
          <cell r="AS1367" t="str">
            <v>Ы</v>
          </cell>
          <cell r="AT1367" t="str">
            <v>Ы</v>
          </cell>
          <cell r="AU1367">
            <v>0</v>
          </cell>
          <cell r="AV1367">
            <v>0</v>
          </cell>
          <cell r="AW1367">
            <v>23</v>
          </cell>
          <cell r="AX1367">
            <v>1</v>
          </cell>
          <cell r="AY1367">
            <v>0</v>
          </cell>
          <cell r="AZ1367">
            <v>0</v>
          </cell>
          <cell r="BA1367">
            <v>0</v>
          </cell>
          <cell r="BB1367">
            <v>0</v>
          </cell>
          <cell r="BC1367">
            <v>38828</v>
          </cell>
        </row>
        <row r="1368">
          <cell r="A1368">
            <v>2006</v>
          </cell>
          <cell r="B1368">
            <v>1</v>
          </cell>
          <cell r="C1368">
            <v>458</v>
          </cell>
          <cell r="D1368">
            <v>20</v>
          </cell>
          <cell r="E1368">
            <v>792020</v>
          </cell>
          <cell r="F1368">
            <v>0</v>
          </cell>
          <cell r="G1368" t="str">
            <v>Затраты по ШПЗ (основные)</v>
          </cell>
          <cell r="H1368">
            <v>2011</v>
          </cell>
          <cell r="I1368">
            <v>7920</v>
          </cell>
          <cell r="J1368">
            <v>85542.39</v>
          </cell>
          <cell r="K1368">
            <v>1</v>
          </cell>
          <cell r="L1368">
            <v>0</v>
          </cell>
          <cell r="M1368">
            <v>0</v>
          </cell>
          <cell r="N1368">
            <v>0</v>
          </cell>
          <cell r="R1368">
            <v>0</v>
          </cell>
          <cell r="S1368">
            <v>0</v>
          </cell>
          <cell r="T1368">
            <v>0</v>
          </cell>
          <cell r="U1368">
            <v>35</v>
          </cell>
          <cell r="V1368">
            <v>0</v>
          </cell>
          <cell r="W1368">
            <v>0</v>
          </cell>
          <cell r="AA1368">
            <v>0</v>
          </cell>
          <cell r="AB1368">
            <v>0</v>
          </cell>
          <cell r="AC1368">
            <v>0</v>
          </cell>
          <cell r="AD1368">
            <v>35</v>
          </cell>
          <cell r="AE1368">
            <v>420000</v>
          </cell>
          <cell r="AF1368">
            <v>0</v>
          </cell>
          <cell r="AI1368">
            <v>2223</v>
          </cell>
          <cell r="AK1368">
            <v>0</v>
          </cell>
          <cell r="AM1368">
            <v>585</v>
          </cell>
          <cell r="AN1368">
            <v>1</v>
          </cell>
          <cell r="AO1368">
            <v>393216</v>
          </cell>
          <cell r="AQ1368">
            <v>0</v>
          </cell>
          <cell r="AR1368">
            <v>0</v>
          </cell>
          <cell r="AS1368" t="str">
            <v>Ы</v>
          </cell>
          <cell r="AT1368" t="str">
            <v>Ы</v>
          </cell>
          <cell r="AU1368">
            <v>0</v>
          </cell>
          <cell r="AV1368">
            <v>0</v>
          </cell>
          <cell r="AW1368">
            <v>23</v>
          </cell>
          <cell r="AX1368">
            <v>1</v>
          </cell>
          <cell r="AY1368">
            <v>0</v>
          </cell>
          <cell r="AZ1368">
            <v>0</v>
          </cell>
          <cell r="BA1368">
            <v>0</v>
          </cell>
          <cell r="BB1368">
            <v>0</v>
          </cell>
          <cell r="BC1368">
            <v>38828</v>
          </cell>
        </row>
        <row r="1369">
          <cell r="A1369">
            <v>2006</v>
          </cell>
          <cell r="B1369">
            <v>1</v>
          </cell>
          <cell r="C1369">
            <v>459</v>
          </cell>
          <cell r="D1369">
            <v>20</v>
          </cell>
          <cell r="E1369">
            <v>792020</v>
          </cell>
          <cell r="F1369">
            <v>0</v>
          </cell>
          <cell r="G1369" t="str">
            <v>Затраты по ШПЗ (основные)</v>
          </cell>
          <cell r="H1369">
            <v>2011</v>
          </cell>
          <cell r="I1369">
            <v>7920</v>
          </cell>
          <cell r="J1369">
            <v>61801</v>
          </cell>
          <cell r="K1369">
            <v>1</v>
          </cell>
          <cell r="L1369">
            <v>0</v>
          </cell>
          <cell r="M1369">
            <v>0</v>
          </cell>
          <cell r="N1369">
            <v>0</v>
          </cell>
          <cell r="R1369">
            <v>0</v>
          </cell>
          <cell r="S1369">
            <v>0</v>
          </cell>
          <cell r="T1369">
            <v>0</v>
          </cell>
          <cell r="U1369">
            <v>35</v>
          </cell>
          <cell r="V1369">
            <v>0</v>
          </cell>
          <cell r="W1369">
            <v>0</v>
          </cell>
          <cell r="AA1369">
            <v>0</v>
          </cell>
          <cell r="AB1369">
            <v>0</v>
          </cell>
          <cell r="AC1369">
            <v>0</v>
          </cell>
          <cell r="AD1369">
            <v>35</v>
          </cell>
          <cell r="AE1369">
            <v>430000</v>
          </cell>
          <cell r="AF1369">
            <v>0</v>
          </cell>
          <cell r="AI1369">
            <v>2223</v>
          </cell>
          <cell r="AK1369">
            <v>0</v>
          </cell>
          <cell r="AM1369">
            <v>586</v>
          </cell>
          <cell r="AN1369">
            <v>1</v>
          </cell>
          <cell r="AO1369">
            <v>393216</v>
          </cell>
          <cell r="AQ1369">
            <v>0</v>
          </cell>
          <cell r="AR1369">
            <v>0</v>
          </cell>
          <cell r="AS1369" t="str">
            <v>Ы</v>
          </cell>
          <cell r="AT1369" t="str">
            <v>Ы</v>
          </cell>
          <cell r="AU1369">
            <v>0</v>
          </cell>
          <cell r="AV1369">
            <v>0</v>
          </cell>
          <cell r="AW1369">
            <v>23</v>
          </cell>
          <cell r="AX1369">
            <v>1</v>
          </cell>
          <cell r="AY1369">
            <v>0</v>
          </cell>
          <cell r="AZ1369">
            <v>0</v>
          </cell>
          <cell r="BA1369">
            <v>0</v>
          </cell>
          <cell r="BB1369">
            <v>0</v>
          </cell>
          <cell r="BC1369">
            <v>38828</v>
          </cell>
        </row>
        <row r="1370">
          <cell r="A1370">
            <v>2006</v>
          </cell>
          <cell r="B1370">
            <v>1</v>
          </cell>
          <cell r="C1370">
            <v>460</v>
          </cell>
          <cell r="D1370">
            <v>20</v>
          </cell>
          <cell r="E1370">
            <v>792020</v>
          </cell>
          <cell r="F1370">
            <v>0</v>
          </cell>
          <cell r="G1370" t="str">
            <v>Затраты по ШПЗ (основные)</v>
          </cell>
          <cell r="H1370">
            <v>2011</v>
          </cell>
          <cell r="I1370">
            <v>7920</v>
          </cell>
          <cell r="J1370">
            <v>408342</v>
          </cell>
          <cell r="K1370">
            <v>1</v>
          </cell>
          <cell r="L1370">
            <v>0</v>
          </cell>
          <cell r="M1370">
            <v>0</v>
          </cell>
          <cell r="N1370">
            <v>0</v>
          </cell>
          <cell r="R1370">
            <v>0</v>
          </cell>
          <cell r="S1370">
            <v>0</v>
          </cell>
          <cell r="T1370">
            <v>0</v>
          </cell>
          <cell r="U1370">
            <v>35</v>
          </cell>
          <cell r="V1370">
            <v>0</v>
          </cell>
          <cell r="W1370">
            <v>0</v>
          </cell>
          <cell r="AA1370">
            <v>0</v>
          </cell>
          <cell r="AB1370">
            <v>0</v>
          </cell>
          <cell r="AC1370">
            <v>0</v>
          </cell>
          <cell r="AD1370">
            <v>35</v>
          </cell>
          <cell r="AE1370">
            <v>430110</v>
          </cell>
          <cell r="AF1370">
            <v>0</v>
          </cell>
          <cell r="AI1370">
            <v>2223</v>
          </cell>
          <cell r="AK1370">
            <v>0</v>
          </cell>
          <cell r="AM1370">
            <v>587</v>
          </cell>
          <cell r="AN1370">
            <v>1</v>
          </cell>
          <cell r="AO1370">
            <v>393216</v>
          </cell>
          <cell r="AQ1370">
            <v>0</v>
          </cell>
          <cell r="AR1370">
            <v>0</v>
          </cell>
          <cell r="AS1370" t="str">
            <v>Ы</v>
          </cell>
          <cell r="AT1370" t="str">
            <v>Ы</v>
          </cell>
          <cell r="AU1370">
            <v>0</v>
          </cell>
          <cell r="AV1370">
            <v>0</v>
          </cell>
          <cell r="AW1370">
            <v>23</v>
          </cell>
          <cell r="AX1370">
            <v>1</v>
          </cell>
          <cell r="AY1370">
            <v>0</v>
          </cell>
          <cell r="AZ1370">
            <v>0</v>
          </cell>
          <cell r="BA1370">
            <v>0</v>
          </cell>
          <cell r="BB1370">
            <v>0</v>
          </cell>
          <cell r="BC1370">
            <v>38828</v>
          </cell>
        </row>
        <row r="1371">
          <cell r="A1371">
            <v>2006</v>
          </cell>
          <cell r="B1371">
            <v>1</v>
          </cell>
          <cell r="C1371">
            <v>461</v>
          </cell>
          <cell r="D1371">
            <v>20</v>
          </cell>
          <cell r="E1371">
            <v>792020</v>
          </cell>
          <cell r="F1371">
            <v>0</v>
          </cell>
          <cell r="G1371" t="str">
            <v>Затраты по ШПЗ (основные)</v>
          </cell>
          <cell r="H1371">
            <v>2011</v>
          </cell>
          <cell r="I1371">
            <v>7920</v>
          </cell>
          <cell r="J1371">
            <v>142284</v>
          </cell>
          <cell r="K1371">
            <v>1</v>
          </cell>
          <cell r="L1371">
            <v>0</v>
          </cell>
          <cell r="M1371">
            <v>0</v>
          </cell>
          <cell r="N1371">
            <v>0</v>
          </cell>
          <cell r="R1371">
            <v>0</v>
          </cell>
          <cell r="S1371">
            <v>0</v>
          </cell>
          <cell r="T1371">
            <v>0</v>
          </cell>
          <cell r="U1371">
            <v>35</v>
          </cell>
          <cell r="V1371">
            <v>0</v>
          </cell>
          <cell r="W1371">
            <v>0</v>
          </cell>
          <cell r="AA1371">
            <v>0</v>
          </cell>
          <cell r="AB1371">
            <v>0</v>
          </cell>
          <cell r="AC1371">
            <v>0</v>
          </cell>
          <cell r="AD1371">
            <v>35</v>
          </cell>
          <cell r="AE1371">
            <v>430120</v>
          </cell>
          <cell r="AF1371">
            <v>0</v>
          </cell>
          <cell r="AI1371">
            <v>2223</v>
          </cell>
          <cell r="AK1371">
            <v>0</v>
          </cell>
          <cell r="AM1371">
            <v>588</v>
          </cell>
          <cell r="AN1371">
            <v>1</v>
          </cell>
          <cell r="AO1371">
            <v>393216</v>
          </cell>
          <cell r="AQ1371">
            <v>0</v>
          </cell>
          <cell r="AR1371">
            <v>0</v>
          </cell>
          <cell r="AS1371" t="str">
            <v>Ы</v>
          </cell>
          <cell r="AT1371" t="str">
            <v>Ы</v>
          </cell>
          <cell r="AU1371">
            <v>0</v>
          </cell>
          <cell r="AV1371">
            <v>0</v>
          </cell>
          <cell r="AW1371">
            <v>23</v>
          </cell>
          <cell r="AX1371">
            <v>1</v>
          </cell>
          <cell r="AY1371">
            <v>0</v>
          </cell>
          <cell r="AZ1371">
            <v>0</v>
          </cell>
          <cell r="BA1371">
            <v>0</v>
          </cell>
          <cell r="BB1371">
            <v>0</v>
          </cell>
          <cell r="BC1371">
            <v>38828</v>
          </cell>
        </row>
        <row r="1372">
          <cell r="A1372">
            <v>2006</v>
          </cell>
          <cell r="B1372">
            <v>1</v>
          </cell>
          <cell r="C1372">
            <v>462</v>
          </cell>
          <cell r="D1372">
            <v>20</v>
          </cell>
          <cell r="E1372">
            <v>792020</v>
          </cell>
          <cell r="F1372">
            <v>0</v>
          </cell>
          <cell r="G1372" t="str">
            <v>Затраты по ШПЗ (основные)</v>
          </cell>
          <cell r="H1372">
            <v>2011</v>
          </cell>
          <cell r="I1372">
            <v>7920</v>
          </cell>
          <cell r="J1372">
            <v>785832</v>
          </cell>
          <cell r="K1372">
            <v>1</v>
          </cell>
          <cell r="L1372">
            <v>0</v>
          </cell>
          <cell r="M1372">
            <v>0</v>
          </cell>
          <cell r="N1372">
            <v>0</v>
          </cell>
          <cell r="R1372">
            <v>0</v>
          </cell>
          <cell r="S1372">
            <v>0</v>
          </cell>
          <cell r="T1372">
            <v>0</v>
          </cell>
          <cell r="U1372">
            <v>35</v>
          </cell>
          <cell r="V1372">
            <v>0</v>
          </cell>
          <cell r="W1372">
            <v>0</v>
          </cell>
          <cell r="AA1372">
            <v>0</v>
          </cell>
          <cell r="AB1372">
            <v>0</v>
          </cell>
          <cell r="AC1372">
            <v>0</v>
          </cell>
          <cell r="AD1372">
            <v>35</v>
          </cell>
          <cell r="AE1372">
            <v>430130</v>
          </cell>
          <cell r="AF1372">
            <v>0</v>
          </cell>
          <cell r="AI1372">
            <v>2223</v>
          </cell>
          <cell r="AK1372">
            <v>0</v>
          </cell>
          <cell r="AM1372">
            <v>589</v>
          </cell>
          <cell r="AN1372">
            <v>1</v>
          </cell>
          <cell r="AO1372">
            <v>393216</v>
          </cell>
          <cell r="AQ1372">
            <v>0</v>
          </cell>
          <cell r="AR1372">
            <v>0</v>
          </cell>
          <cell r="AS1372" t="str">
            <v>Ы</v>
          </cell>
          <cell r="AT1372" t="str">
            <v>Ы</v>
          </cell>
          <cell r="AU1372">
            <v>0</v>
          </cell>
          <cell r="AV1372">
            <v>0</v>
          </cell>
          <cell r="AW1372">
            <v>23</v>
          </cell>
          <cell r="AX1372">
            <v>1</v>
          </cell>
          <cell r="AY1372">
            <v>0</v>
          </cell>
          <cell r="AZ1372">
            <v>0</v>
          </cell>
          <cell r="BA1372">
            <v>0</v>
          </cell>
          <cell r="BB1372">
            <v>0</v>
          </cell>
          <cell r="BC1372">
            <v>38828</v>
          </cell>
        </row>
        <row r="1373">
          <cell r="A1373">
            <v>2006</v>
          </cell>
          <cell r="B1373">
            <v>1</v>
          </cell>
          <cell r="C1373">
            <v>463</v>
          </cell>
          <cell r="D1373">
            <v>20</v>
          </cell>
          <cell r="E1373">
            <v>792020</v>
          </cell>
          <cell r="F1373">
            <v>0</v>
          </cell>
          <cell r="G1373" t="str">
            <v>Затраты по ШПЗ (основные)</v>
          </cell>
          <cell r="H1373">
            <v>2011</v>
          </cell>
          <cell r="I1373">
            <v>7920</v>
          </cell>
          <cell r="J1373">
            <v>479674.07</v>
          </cell>
          <cell r="K1373">
            <v>1</v>
          </cell>
          <cell r="L1373">
            <v>0</v>
          </cell>
          <cell r="M1373">
            <v>0</v>
          </cell>
          <cell r="N1373">
            <v>0</v>
          </cell>
          <cell r="R1373">
            <v>0</v>
          </cell>
          <cell r="S1373">
            <v>0</v>
          </cell>
          <cell r="T1373">
            <v>0</v>
          </cell>
          <cell r="U1373">
            <v>35</v>
          </cell>
          <cell r="V1373">
            <v>0</v>
          </cell>
          <cell r="W1373">
            <v>0</v>
          </cell>
          <cell r="AA1373">
            <v>0</v>
          </cell>
          <cell r="AB1373">
            <v>0</v>
          </cell>
          <cell r="AC1373">
            <v>0</v>
          </cell>
          <cell r="AD1373">
            <v>35</v>
          </cell>
          <cell r="AE1373">
            <v>430140</v>
          </cell>
          <cell r="AF1373">
            <v>0</v>
          </cell>
          <cell r="AI1373">
            <v>2223</v>
          </cell>
          <cell r="AK1373">
            <v>0</v>
          </cell>
          <cell r="AM1373">
            <v>590</v>
          </cell>
          <cell r="AN1373">
            <v>1</v>
          </cell>
          <cell r="AO1373">
            <v>393216</v>
          </cell>
          <cell r="AQ1373">
            <v>0</v>
          </cell>
          <cell r="AR1373">
            <v>0</v>
          </cell>
          <cell r="AS1373" t="str">
            <v>Ы</v>
          </cell>
          <cell r="AT1373" t="str">
            <v>Ы</v>
          </cell>
          <cell r="AU1373">
            <v>0</v>
          </cell>
          <cell r="AV1373">
            <v>0</v>
          </cell>
          <cell r="AW1373">
            <v>23</v>
          </cell>
          <cell r="AX1373">
            <v>1</v>
          </cell>
          <cell r="AY1373">
            <v>0</v>
          </cell>
          <cell r="AZ1373">
            <v>0</v>
          </cell>
          <cell r="BA1373">
            <v>0</v>
          </cell>
          <cell r="BB1373">
            <v>0</v>
          </cell>
          <cell r="BC1373">
            <v>38828</v>
          </cell>
        </row>
        <row r="1374">
          <cell r="A1374">
            <v>2006</v>
          </cell>
          <cell r="B1374">
            <v>1</v>
          </cell>
          <cell r="C1374">
            <v>464</v>
          </cell>
          <cell r="D1374">
            <v>20</v>
          </cell>
          <cell r="E1374">
            <v>792020</v>
          </cell>
          <cell r="F1374">
            <v>0</v>
          </cell>
          <cell r="G1374" t="str">
            <v>Затраты по ШПЗ (основные)</v>
          </cell>
          <cell r="H1374">
            <v>2011</v>
          </cell>
          <cell r="I1374">
            <v>7920</v>
          </cell>
          <cell r="J1374">
            <v>1452</v>
          </cell>
          <cell r="K1374">
            <v>1</v>
          </cell>
          <cell r="L1374">
            <v>0</v>
          </cell>
          <cell r="M1374">
            <v>0</v>
          </cell>
          <cell r="N1374">
            <v>0</v>
          </cell>
          <cell r="R1374">
            <v>0</v>
          </cell>
          <cell r="S1374">
            <v>0</v>
          </cell>
          <cell r="T1374">
            <v>0</v>
          </cell>
          <cell r="U1374">
            <v>35</v>
          </cell>
          <cell r="V1374">
            <v>0</v>
          </cell>
          <cell r="W1374">
            <v>0</v>
          </cell>
          <cell r="AA1374">
            <v>0</v>
          </cell>
          <cell r="AB1374">
            <v>0</v>
          </cell>
          <cell r="AC1374">
            <v>0</v>
          </cell>
          <cell r="AD1374">
            <v>35</v>
          </cell>
          <cell r="AE1374">
            <v>430230</v>
          </cell>
          <cell r="AF1374">
            <v>0</v>
          </cell>
          <cell r="AI1374">
            <v>2223</v>
          </cell>
          <cell r="AK1374">
            <v>0</v>
          </cell>
          <cell r="AM1374">
            <v>591</v>
          </cell>
          <cell r="AN1374">
            <v>1</v>
          </cell>
          <cell r="AO1374">
            <v>393216</v>
          </cell>
          <cell r="AQ1374">
            <v>0</v>
          </cell>
          <cell r="AR1374">
            <v>0</v>
          </cell>
          <cell r="AS1374" t="str">
            <v>Ы</v>
          </cell>
          <cell r="AT1374" t="str">
            <v>Ы</v>
          </cell>
          <cell r="AU1374">
            <v>0</v>
          </cell>
          <cell r="AV1374">
            <v>0</v>
          </cell>
          <cell r="AW1374">
            <v>23</v>
          </cell>
          <cell r="AX1374">
            <v>1</v>
          </cell>
          <cell r="AY1374">
            <v>0</v>
          </cell>
          <cell r="AZ1374">
            <v>0</v>
          </cell>
          <cell r="BA1374">
            <v>0</v>
          </cell>
          <cell r="BB1374">
            <v>0</v>
          </cell>
          <cell r="BC1374">
            <v>38828</v>
          </cell>
        </row>
        <row r="1375">
          <cell r="A1375">
            <v>2006</v>
          </cell>
          <cell r="B1375">
            <v>1</v>
          </cell>
          <cell r="C1375">
            <v>465</v>
          </cell>
          <cell r="D1375">
            <v>20</v>
          </cell>
          <cell r="E1375">
            <v>792020</v>
          </cell>
          <cell r="F1375">
            <v>0</v>
          </cell>
          <cell r="G1375" t="str">
            <v>Затраты по ШПЗ (основные)</v>
          </cell>
          <cell r="H1375">
            <v>2011</v>
          </cell>
          <cell r="I1375">
            <v>7920</v>
          </cell>
          <cell r="J1375">
            <v>5082</v>
          </cell>
          <cell r="K1375">
            <v>1</v>
          </cell>
          <cell r="L1375">
            <v>0</v>
          </cell>
          <cell r="M1375">
            <v>0</v>
          </cell>
          <cell r="N1375">
            <v>0</v>
          </cell>
          <cell r="R1375">
            <v>0</v>
          </cell>
          <cell r="S1375">
            <v>0</v>
          </cell>
          <cell r="T1375">
            <v>0</v>
          </cell>
          <cell r="U1375">
            <v>35</v>
          </cell>
          <cell r="V1375">
            <v>0</v>
          </cell>
          <cell r="W1375">
            <v>0</v>
          </cell>
          <cell r="AA1375">
            <v>0</v>
          </cell>
          <cell r="AB1375">
            <v>0</v>
          </cell>
          <cell r="AC1375">
            <v>0</v>
          </cell>
          <cell r="AD1375">
            <v>35</v>
          </cell>
          <cell r="AE1375">
            <v>430240</v>
          </cell>
          <cell r="AF1375">
            <v>0</v>
          </cell>
          <cell r="AI1375">
            <v>2223</v>
          </cell>
          <cell r="AK1375">
            <v>0</v>
          </cell>
          <cell r="AM1375">
            <v>592</v>
          </cell>
          <cell r="AN1375">
            <v>1</v>
          </cell>
          <cell r="AO1375">
            <v>393216</v>
          </cell>
          <cell r="AQ1375">
            <v>0</v>
          </cell>
          <cell r="AR1375">
            <v>0</v>
          </cell>
          <cell r="AS1375" t="str">
            <v>Ы</v>
          </cell>
          <cell r="AT1375" t="str">
            <v>Ы</v>
          </cell>
          <cell r="AU1375">
            <v>0</v>
          </cell>
          <cell r="AV1375">
            <v>0</v>
          </cell>
          <cell r="AW1375">
            <v>23</v>
          </cell>
          <cell r="AX1375">
            <v>1</v>
          </cell>
          <cell r="AY1375">
            <v>0</v>
          </cell>
          <cell r="AZ1375">
            <v>0</v>
          </cell>
          <cell r="BA1375">
            <v>0</v>
          </cell>
          <cell r="BB1375">
            <v>0</v>
          </cell>
          <cell r="BC1375">
            <v>38828</v>
          </cell>
        </row>
        <row r="1376">
          <cell r="A1376">
            <v>2006</v>
          </cell>
          <cell r="B1376">
            <v>1</v>
          </cell>
          <cell r="C1376">
            <v>466</v>
          </cell>
          <cell r="D1376">
            <v>20</v>
          </cell>
          <cell r="E1376">
            <v>792020</v>
          </cell>
          <cell r="F1376">
            <v>0</v>
          </cell>
          <cell r="G1376" t="str">
            <v>Затраты по ШПЗ (основные)</v>
          </cell>
          <cell r="H1376">
            <v>2011</v>
          </cell>
          <cell r="I1376">
            <v>7920</v>
          </cell>
          <cell r="J1376">
            <v>49523.49</v>
          </cell>
          <cell r="K1376">
            <v>1</v>
          </cell>
          <cell r="L1376">
            <v>0</v>
          </cell>
          <cell r="M1376">
            <v>0</v>
          </cell>
          <cell r="N1376">
            <v>0</v>
          </cell>
          <cell r="R1376">
            <v>0</v>
          </cell>
          <cell r="S1376">
            <v>0</v>
          </cell>
          <cell r="T1376">
            <v>0</v>
          </cell>
          <cell r="U1376">
            <v>35</v>
          </cell>
          <cell r="V1376">
            <v>0</v>
          </cell>
          <cell r="W1376">
            <v>0</v>
          </cell>
          <cell r="AA1376">
            <v>0</v>
          </cell>
          <cell r="AB1376">
            <v>0</v>
          </cell>
          <cell r="AC1376">
            <v>0</v>
          </cell>
          <cell r="AD1376">
            <v>35</v>
          </cell>
          <cell r="AE1376">
            <v>450000</v>
          </cell>
          <cell r="AF1376">
            <v>0</v>
          </cell>
          <cell r="AI1376">
            <v>2223</v>
          </cell>
          <cell r="AK1376">
            <v>0</v>
          </cell>
          <cell r="AM1376">
            <v>593</v>
          </cell>
          <cell r="AN1376">
            <v>1</v>
          </cell>
          <cell r="AO1376">
            <v>393216</v>
          </cell>
          <cell r="AQ1376">
            <v>0</v>
          </cell>
          <cell r="AR1376">
            <v>0</v>
          </cell>
          <cell r="AS1376" t="str">
            <v>Ы</v>
          </cell>
          <cell r="AT1376" t="str">
            <v>Ы</v>
          </cell>
          <cell r="AU1376">
            <v>0</v>
          </cell>
          <cell r="AV1376">
            <v>0</v>
          </cell>
          <cell r="AW1376">
            <v>23</v>
          </cell>
          <cell r="AX1376">
            <v>1</v>
          </cell>
          <cell r="AY1376">
            <v>0</v>
          </cell>
          <cell r="AZ1376">
            <v>0</v>
          </cell>
          <cell r="BA1376">
            <v>0</v>
          </cell>
          <cell r="BB1376">
            <v>0</v>
          </cell>
          <cell r="BC1376">
            <v>38828</v>
          </cell>
        </row>
        <row r="1377">
          <cell r="A1377">
            <v>2006</v>
          </cell>
          <cell r="B1377">
            <v>1</v>
          </cell>
          <cell r="C1377">
            <v>467</v>
          </cell>
          <cell r="D1377">
            <v>20</v>
          </cell>
          <cell r="E1377">
            <v>792020</v>
          </cell>
          <cell r="F1377">
            <v>0</v>
          </cell>
          <cell r="G1377" t="str">
            <v>Затраты по ШПЗ (основные)</v>
          </cell>
          <cell r="H1377">
            <v>2011</v>
          </cell>
          <cell r="I1377">
            <v>7920</v>
          </cell>
          <cell r="J1377">
            <v>5093.37</v>
          </cell>
          <cell r="K1377">
            <v>1</v>
          </cell>
          <cell r="L1377">
            <v>0</v>
          </cell>
          <cell r="M1377">
            <v>0</v>
          </cell>
          <cell r="N1377">
            <v>0</v>
          </cell>
          <cell r="R1377">
            <v>0</v>
          </cell>
          <cell r="S1377">
            <v>0</v>
          </cell>
          <cell r="T1377">
            <v>0</v>
          </cell>
          <cell r="U1377">
            <v>35</v>
          </cell>
          <cell r="V1377">
            <v>0</v>
          </cell>
          <cell r="W1377">
            <v>0</v>
          </cell>
          <cell r="AA1377">
            <v>0</v>
          </cell>
          <cell r="AB1377">
            <v>0</v>
          </cell>
          <cell r="AC1377">
            <v>0</v>
          </cell>
          <cell r="AD1377">
            <v>35</v>
          </cell>
          <cell r="AE1377">
            <v>460000</v>
          </cell>
          <cell r="AF1377">
            <v>0</v>
          </cell>
          <cell r="AI1377">
            <v>2223</v>
          </cell>
          <cell r="AK1377">
            <v>0</v>
          </cell>
          <cell r="AM1377">
            <v>594</v>
          </cell>
          <cell r="AN1377">
            <v>1</v>
          </cell>
          <cell r="AO1377">
            <v>393216</v>
          </cell>
          <cell r="AQ1377">
            <v>0</v>
          </cell>
          <cell r="AR1377">
            <v>0</v>
          </cell>
          <cell r="AS1377" t="str">
            <v>Ы</v>
          </cell>
          <cell r="AT1377" t="str">
            <v>Ы</v>
          </cell>
          <cell r="AU1377">
            <v>0</v>
          </cell>
          <cell r="AV1377">
            <v>0</v>
          </cell>
          <cell r="AW1377">
            <v>23</v>
          </cell>
          <cell r="AX1377">
            <v>1</v>
          </cell>
          <cell r="AY1377">
            <v>0</v>
          </cell>
          <cell r="AZ1377">
            <v>0</v>
          </cell>
          <cell r="BA1377">
            <v>0</v>
          </cell>
          <cell r="BB1377">
            <v>0</v>
          </cell>
          <cell r="BC1377">
            <v>38828</v>
          </cell>
        </row>
        <row r="1378">
          <cell r="A1378">
            <v>2006</v>
          </cell>
          <cell r="B1378">
            <v>1</v>
          </cell>
          <cell r="C1378">
            <v>468</v>
          </cell>
          <cell r="D1378">
            <v>20</v>
          </cell>
          <cell r="E1378">
            <v>792020</v>
          </cell>
          <cell r="F1378">
            <v>0</v>
          </cell>
          <cell r="G1378" t="str">
            <v>Затраты по ШПЗ (основные)</v>
          </cell>
          <cell r="H1378">
            <v>2011</v>
          </cell>
          <cell r="I1378">
            <v>7920</v>
          </cell>
          <cell r="J1378">
            <v>9428.43</v>
          </cell>
          <cell r="K1378">
            <v>1</v>
          </cell>
          <cell r="L1378">
            <v>0</v>
          </cell>
          <cell r="M1378">
            <v>0</v>
          </cell>
          <cell r="N1378">
            <v>0</v>
          </cell>
          <cell r="R1378">
            <v>0</v>
          </cell>
          <cell r="S1378">
            <v>0</v>
          </cell>
          <cell r="T1378">
            <v>0</v>
          </cell>
          <cell r="U1378">
            <v>35</v>
          </cell>
          <cell r="V1378">
            <v>0</v>
          </cell>
          <cell r="W1378">
            <v>0</v>
          </cell>
          <cell r="AA1378">
            <v>0</v>
          </cell>
          <cell r="AB1378">
            <v>0</v>
          </cell>
          <cell r="AC1378">
            <v>0</v>
          </cell>
          <cell r="AD1378">
            <v>35</v>
          </cell>
          <cell r="AE1378">
            <v>465000</v>
          </cell>
          <cell r="AF1378">
            <v>0</v>
          </cell>
          <cell r="AI1378">
            <v>2223</v>
          </cell>
          <cell r="AK1378">
            <v>0</v>
          </cell>
          <cell r="AM1378">
            <v>595</v>
          </cell>
          <cell r="AN1378">
            <v>1</v>
          </cell>
          <cell r="AO1378">
            <v>393216</v>
          </cell>
          <cell r="AQ1378">
            <v>0</v>
          </cell>
          <cell r="AR1378">
            <v>0</v>
          </cell>
          <cell r="AS1378" t="str">
            <v>Ы</v>
          </cell>
          <cell r="AT1378" t="str">
            <v>Ы</v>
          </cell>
          <cell r="AU1378">
            <v>0</v>
          </cell>
          <cell r="AV1378">
            <v>0</v>
          </cell>
          <cell r="AW1378">
            <v>23</v>
          </cell>
          <cell r="AX1378">
            <v>1</v>
          </cell>
          <cell r="AY1378">
            <v>0</v>
          </cell>
          <cell r="AZ1378">
            <v>0</v>
          </cell>
          <cell r="BA1378">
            <v>0</v>
          </cell>
          <cell r="BB1378">
            <v>0</v>
          </cell>
          <cell r="BC1378">
            <v>38828</v>
          </cell>
        </row>
        <row r="1379">
          <cell r="A1379">
            <v>2006</v>
          </cell>
          <cell r="B1379">
            <v>1</v>
          </cell>
          <cell r="C1379">
            <v>469</v>
          </cell>
          <cell r="D1379">
            <v>20</v>
          </cell>
          <cell r="E1379">
            <v>792020</v>
          </cell>
          <cell r="F1379">
            <v>0</v>
          </cell>
          <cell r="G1379" t="str">
            <v>Затраты по ШПЗ (основные)</v>
          </cell>
          <cell r="H1379">
            <v>2011</v>
          </cell>
          <cell r="I1379">
            <v>7920</v>
          </cell>
          <cell r="J1379">
            <v>31558.04</v>
          </cell>
          <cell r="K1379">
            <v>1</v>
          </cell>
          <cell r="L1379">
            <v>0</v>
          </cell>
          <cell r="M1379">
            <v>0</v>
          </cell>
          <cell r="N1379">
            <v>0</v>
          </cell>
          <cell r="R1379">
            <v>0</v>
          </cell>
          <cell r="S1379">
            <v>0</v>
          </cell>
          <cell r="T1379">
            <v>0</v>
          </cell>
          <cell r="U1379">
            <v>35</v>
          </cell>
          <cell r="V1379">
            <v>0</v>
          </cell>
          <cell r="W1379">
            <v>0</v>
          </cell>
          <cell r="AA1379">
            <v>0</v>
          </cell>
          <cell r="AB1379">
            <v>0</v>
          </cell>
          <cell r="AC1379">
            <v>0</v>
          </cell>
          <cell r="AD1379">
            <v>35</v>
          </cell>
          <cell r="AE1379">
            <v>503000</v>
          </cell>
          <cell r="AF1379">
            <v>0</v>
          </cell>
          <cell r="AI1379">
            <v>2223</v>
          </cell>
          <cell r="AK1379">
            <v>0</v>
          </cell>
          <cell r="AM1379">
            <v>596</v>
          </cell>
          <cell r="AN1379">
            <v>1</v>
          </cell>
          <cell r="AO1379">
            <v>393216</v>
          </cell>
          <cell r="AQ1379">
            <v>0</v>
          </cell>
          <cell r="AR1379">
            <v>0</v>
          </cell>
          <cell r="AS1379" t="str">
            <v>Ы</v>
          </cell>
          <cell r="AT1379" t="str">
            <v>Ы</v>
          </cell>
          <cell r="AU1379">
            <v>0</v>
          </cell>
          <cell r="AV1379">
            <v>0</v>
          </cell>
          <cell r="AW1379">
            <v>23</v>
          </cell>
          <cell r="AX1379">
            <v>1</v>
          </cell>
          <cell r="AY1379">
            <v>0</v>
          </cell>
          <cell r="AZ1379">
            <v>0</v>
          </cell>
          <cell r="BA1379">
            <v>0</v>
          </cell>
          <cell r="BB1379">
            <v>0</v>
          </cell>
          <cell r="BC1379">
            <v>38828</v>
          </cell>
        </row>
        <row r="1380">
          <cell r="A1380">
            <v>2006</v>
          </cell>
          <cell r="B1380">
            <v>1</v>
          </cell>
          <cell r="C1380">
            <v>470</v>
          </cell>
          <cell r="D1380">
            <v>20</v>
          </cell>
          <cell r="E1380">
            <v>792020</v>
          </cell>
          <cell r="F1380">
            <v>0</v>
          </cell>
          <cell r="G1380" t="str">
            <v>Затраты по ШПЗ (основные)</v>
          </cell>
          <cell r="H1380">
            <v>2011</v>
          </cell>
          <cell r="I1380">
            <v>7920</v>
          </cell>
          <cell r="J1380">
            <v>15670.21</v>
          </cell>
          <cell r="K1380">
            <v>1</v>
          </cell>
          <cell r="L1380">
            <v>0</v>
          </cell>
          <cell r="M1380">
            <v>0</v>
          </cell>
          <cell r="N1380">
            <v>0</v>
          </cell>
          <cell r="R1380">
            <v>0</v>
          </cell>
          <cell r="S1380">
            <v>0</v>
          </cell>
          <cell r="T1380">
            <v>0</v>
          </cell>
          <cell r="U1380">
            <v>35</v>
          </cell>
          <cell r="V1380">
            <v>0</v>
          </cell>
          <cell r="W1380">
            <v>0</v>
          </cell>
          <cell r="AA1380">
            <v>0</v>
          </cell>
          <cell r="AB1380">
            <v>0</v>
          </cell>
          <cell r="AC1380">
            <v>0</v>
          </cell>
          <cell r="AD1380">
            <v>35</v>
          </cell>
          <cell r="AE1380">
            <v>504100</v>
          </cell>
          <cell r="AF1380">
            <v>0</v>
          </cell>
          <cell r="AI1380">
            <v>2223</v>
          </cell>
          <cell r="AK1380">
            <v>0</v>
          </cell>
          <cell r="AM1380">
            <v>597</v>
          </cell>
          <cell r="AN1380">
            <v>1</v>
          </cell>
          <cell r="AO1380">
            <v>393216</v>
          </cell>
          <cell r="AQ1380">
            <v>0</v>
          </cell>
          <cell r="AR1380">
            <v>0</v>
          </cell>
          <cell r="AS1380" t="str">
            <v>Ы</v>
          </cell>
          <cell r="AT1380" t="str">
            <v>Ы</v>
          </cell>
          <cell r="AU1380">
            <v>0</v>
          </cell>
          <cell r="AV1380">
            <v>0</v>
          </cell>
          <cell r="AW1380">
            <v>23</v>
          </cell>
          <cell r="AX1380">
            <v>1</v>
          </cell>
          <cell r="AY1380">
            <v>0</v>
          </cell>
          <cell r="AZ1380">
            <v>0</v>
          </cell>
          <cell r="BA1380">
            <v>0</v>
          </cell>
          <cell r="BB1380">
            <v>0</v>
          </cell>
          <cell r="BC1380">
            <v>38828</v>
          </cell>
        </row>
        <row r="1381">
          <cell r="A1381">
            <v>2006</v>
          </cell>
          <cell r="B1381">
            <v>1</v>
          </cell>
          <cell r="C1381">
            <v>471</v>
          </cell>
          <cell r="D1381">
            <v>20</v>
          </cell>
          <cell r="E1381">
            <v>792020</v>
          </cell>
          <cell r="F1381">
            <v>0</v>
          </cell>
          <cell r="G1381" t="str">
            <v>Затраты по ШПЗ (основные)</v>
          </cell>
          <cell r="H1381">
            <v>2011</v>
          </cell>
          <cell r="I1381">
            <v>7920</v>
          </cell>
          <cell r="J1381">
            <v>19358.57</v>
          </cell>
          <cell r="K1381">
            <v>1</v>
          </cell>
          <cell r="L1381">
            <v>0</v>
          </cell>
          <cell r="M1381">
            <v>0</v>
          </cell>
          <cell r="N1381">
            <v>0</v>
          </cell>
          <cell r="R1381">
            <v>0</v>
          </cell>
          <cell r="S1381">
            <v>0</v>
          </cell>
          <cell r="T1381">
            <v>0</v>
          </cell>
          <cell r="U1381">
            <v>35</v>
          </cell>
          <cell r="V1381">
            <v>0</v>
          </cell>
          <cell r="W1381">
            <v>0</v>
          </cell>
          <cell r="AA1381">
            <v>0</v>
          </cell>
          <cell r="AB1381">
            <v>0</v>
          </cell>
          <cell r="AC1381">
            <v>0</v>
          </cell>
          <cell r="AD1381">
            <v>35</v>
          </cell>
          <cell r="AE1381">
            <v>504200</v>
          </cell>
          <cell r="AF1381">
            <v>0</v>
          </cell>
          <cell r="AI1381">
            <v>2223</v>
          </cell>
          <cell r="AK1381">
            <v>0</v>
          </cell>
          <cell r="AM1381">
            <v>598</v>
          </cell>
          <cell r="AN1381">
            <v>1</v>
          </cell>
          <cell r="AO1381">
            <v>393216</v>
          </cell>
          <cell r="AQ1381">
            <v>0</v>
          </cell>
          <cell r="AR1381">
            <v>0</v>
          </cell>
          <cell r="AS1381" t="str">
            <v>Ы</v>
          </cell>
          <cell r="AT1381" t="str">
            <v>Ы</v>
          </cell>
          <cell r="AU1381">
            <v>0</v>
          </cell>
          <cell r="AV1381">
            <v>0</v>
          </cell>
          <cell r="AW1381">
            <v>23</v>
          </cell>
          <cell r="AX1381">
            <v>1</v>
          </cell>
          <cell r="AY1381">
            <v>0</v>
          </cell>
          <cell r="AZ1381">
            <v>0</v>
          </cell>
          <cell r="BA1381">
            <v>0</v>
          </cell>
          <cell r="BB1381">
            <v>0</v>
          </cell>
          <cell r="BC1381">
            <v>38828</v>
          </cell>
        </row>
        <row r="1382">
          <cell r="A1382">
            <v>2006</v>
          </cell>
          <cell r="B1382">
            <v>1</v>
          </cell>
          <cell r="C1382">
            <v>472</v>
          </cell>
          <cell r="D1382">
            <v>20</v>
          </cell>
          <cell r="E1382">
            <v>792020</v>
          </cell>
          <cell r="F1382">
            <v>0</v>
          </cell>
          <cell r="G1382" t="str">
            <v>Затраты по ШПЗ (основные)</v>
          </cell>
          <cell r="H1382">
            <v>2011</v>
          </cell>
          <cell r="I1382">
            <v>7920</v>
          </cell>
          <cell r="J1382">
            <v>1132.05</v>
          </cell>
          <cell r="K1382">
            <v>1</v>
          </cell>
          <cell r="L1382">
            <v>0</v>
          </cell>
          <cell r="M1382">
            <v>0</v>
          </cell>
          <cell r="N1382">
            <v>0</v>
          </cell>
          <cell r="R1382">
            <v>0</v>
          </cell>
          <cell r="S1382">
            <v>0</v>
          </cell>
          <cell r="T1382">
            <v>0</v>
          </cell>
          <cell r="U1382">
            <v>35</v>
          </cell>
          <cell r="V1382">
            <v>0</v>
          </cell>
          <cell r="W1382">
            <v>0</v>
          </cell>
          <cell r="AA1382">
            <v>0</v>
          </cell>
          <cell r="AB1382">
            <v>0</v>
          </cell>
          <cell r="AC1382">
            <v>0</v>
          </cell>
          <cell r="AD1382">
            <v>35</v>
          </cell>
          <cell r="AE1382">
            <v>504400</v>
          </cell>
          <cell r="AF1382">
            <v>0</v>
          </cell>
          <cell r="AI1382">
            <v>2223</v>
          </cell>
          <cell r="AK1382">
            <v>0</v>
          </cell>
          <cell r="AM1382">
            <v>599</v>
          </cell>
          <cell r="AN1382">
            <v>1</v>
          </cell>
          <cell r="AO1382">
            <v>393216</v>
          </cell>
          <cell r="AQ1382">
            <v>0</v>
          </cell>
          <cell r="AR1382">
            <v>0</v>
          </cell>
          <cell r="AS1382" t="str">
            <v>Ы</v>
          </cell>
          <cell r="AT1382" t="str">
            <v>Ы</v>
          </cell>
          <cell r="AU1382">
            <v>0</v>
          </cell>
          <cell r="AV1382">
            <v>0</v>
          </cell>
          <cell r="AW1382">
            <v>23</v>
          </cell>
          <cell r="AX1382">
            <v>1</v>
          </cell>
          <cell r="AY1382">
            <v>0</v>
          </cell>
          <cell r="AZ1382">
            <v>0</v>
          </cell>
          <cell r="BA1382">
            <v>0</v>
          </cell>
          <cell r="BB1382">
            <v>0</v>
          </cell>
          <cell r="BC1382">
            <v>38828</v>
          </cell>
        </row>
        <row r="1383">
          <cell r="A1383">
            <v>2006</v>
          </cell>
          <cell r="B1383">
            <v>1</v>
          </cell>
          <cell r="C1383">
            <v>473</v>
          </cell>
          <cell r="D1383">
            <v>20</v>
          </cell>
          <cell r="E1383">
            <v>792020</v>
          </cell>
          <cell r="F1383">
            <v>0</v>
          </cell>
          <cell r="G1383" t="str">
            <v>Затраты по ШПЗ (основные)</v>
          </cell>
          <cell r="H1383">
            <v>2011</v>
          </cell>
          <cell r="I1383">
            <v>7920</v>
          </cell>
          <cell r="J1383">
            <v>14571.97</v>
          </cell>
          <cell r="K1383">
            <v>1</v>
          </cell>
          <cell r="L1383">
            <v>0</v>
          </cell>
          <cell r="M1383">
            <v>0</v>
          </cell>
          <cell r="N1383">
            <v>0</v>
          </cell>
          <cell r="R1383">
            <v>0</v>
          </cell>
          <cell r="S1383">
            <v>0</v>
          </cell>
          <cell r="T1383">
            <v>0</v>
          </cell>
          <cell r="U1383">
            <v>35</v>
          </cell>
          <cell r="V1383">
            <v>0</v>
          </cell>
          <cell r="W1383">
            <v>0</v>
          </cell>
          <cell r="AA1383">
            <v>0</v>
          </cell>
          <cell r="AB1383">
            <v>0</v>
          </cell>
          <cell r="AC1383">
            <v>0</v>
          </cell>
          <cell r="AD1383">
            <v>35</v>
          </cell>
          <cell r="AE1383">
            <v>505100</v>
          </cell>
          <cell r="AF1383">
            <v>0</v>
          </cell>
          <cell r="AI1383">
            <v>2223</v>
          </cell>
          <cell r="AK1383">
            <v>0</v>
          </cell>
          <cell r="AM1383">
            <v>600</v>
          </cell>
          <cell r="AN1383">
            <v>1</v>
          </cell>
          <cell r="AO1383">
            <v>393216</v>
          </cell>
          <cell r="AQ1383">
            <v>0</v>
          </cell>
          <cell r="AR1383">
            <v>0</v>
          </cell>
          <cell r="AS1383" t="str">
            <v>Ы</v>
          </cell>
          <cell r="AT1383" t="str">
            <v>Ы</v>
          </cell>
          <cell r="AU1383">
            <v>0</v>
          </cell>
          <cell r="AV1383">
            <v>0</v>
          </cell>
          <cell r="AW1383">
            <v>23</v>
          </cell>
          <cell r="AX1383">
            <v>1</v>
          </cell>
          <cell r="AY1383">
            <v>0</v>
          </cell>
          <cell r="AZ1383">
            <v>0</v>
          </cell>
          <cell r="BA1383">
            <v>0</v>
          </cell>
          <cell r="BB1383">
            <v>0</v>
          </cell>
          <cell r="BC1383">
            <v>38828</v>
          </cell>
        </row>
        <row r="1384">
          <cell r="A1384">
            <v>2006</v>
          </cell>
          <cell r="B1384">
            <v>1</v>
          </cell>
          <cell r="C1384">
            <v>474</v>
          </cell>
          <cell r="D1384">
            <v>20</v>
          </cell>
          <cell r="E1384">
            <v>792020</v>
          </cell>
          <cell r="F1384">
            <v>0</v>
          </cell>
          <cell r="G1384" t="str">
            <v>Затраты по ШПЗ (основные)</v>
          </cell>
          <cell r="H1384">
            <v>2011</v>
          </cell>
          <cell r="I1384">
            <v>7920</v>
          </cell>
          <cell r="J1384">
            <v>61079.33</v>
          </cell>
          <cell r="K1384">
            <v>1</v>
          </cell>
          <cell r="L1384">
            <v>0</v>
          </cell>
          <cell r="M1384">
            <v>0</v>
          </cell>
          <cell r="N1384">
            <v>0</v>
          </cell>
          <cell r="R1384">
            <v>0</v>
          </cell>
          <cell r="S1384">
            <v>0</v>
          </cell>
          <cell r="T1384">
            <v>0</v>
          </cell>
          <cell r="U1384">
            <v>35</v>
          </cell>
          <cell r="V1384">
            <v>0</v>
          </cell>
          <cell r="W1384">
            <v>0</v>
          </cell>
          <cell r="AA1384">
            <v>0</v>
          </cell>
          <cell r="AB1384">
            <v>0</v>
          </cell>
          <cell r="AC1384">
            <v>0</v>
          </cell>
          <cell r="AD1384">
            <v>35</v>
          </cell>
          <cell r="AE1384">
            <v>505200</v>
          </cell>
          <cell r="AF1384">
            <v>0</v>
          </cell>
          <cell r="AI1384">
            <v>2223</v>
          </cell>
          <cell r="AK1384">
            <v>0</v>
          </cell>
          <cell r="AM1384">
            <v>601</v>
          </cell>
          <cell r="AN1384">
            <v>1</v>
          </cell>
          <cell r="AO1384">
            <v>393216</v>
          </cell>
          <cell r="AQ1384">
            <v>0</v>
          </cell>
          <cell r="AR1384">
            <v>0</v>
          </cell>
          <cell r="AS1384" t="str">
            <v>Ы</v>
          </cell>
          <cell r="AT1384" t="str">
            <v>Ы</v>
          </cell>
          <cell r="AU1384">
            <v>0</v>
          </cell>
          <cell r="AV1384">
            <v>0</v>
          </cell>
          <cell r="AW1384">
            <v>23</v>
          </cell>
          <cell r="AX1384">
            <v>1</v>
          </cell>
          <cell r="AY1384">
            <v>0</v>
          </cell>
          <cell r="AZ1384">
            <v>0</v>
          </cell>
          <cell r="BA1384">
            <v>0</v>
          </cell>
          <cell r="BB1384">
            <v>0</v>
          </cell>
          <cell r="BC1384">
            <v>38828</v>
          </cell>
        </row>
        <row r="1385">
          <cell r="A1385">
            <v>2006</v>
          </cell>
          <cell r="B1385">
            <v>1</v>
          </cell>
          <cell r="C1385">
            <v>475</v>
          </cell>
          <cell r="D1385">
            <v>20</v>
          </cell>
          <cell r="E1385">
            <v>792020</v>
          </cell>
          <cell r="F1385">
            <v>0</v>
          </cell>
          <cell r="G1385" t="str">
            <v>Затраты по ШПЗ (основные)</v>
          </cell>
          <cell r="H1385">
            <v>2011</v>
          </cell>
          <cell r="I1385">
            <v>7920</v>
          </cell>
          <cell r="J1385">
            <v>129.6</v>
          </cell>
          <cell r="K1385">
            <v>1</v>
          </cell>
          <cell r="L1385">
            <v>0</v>
          </cell>
          <cell r="M1385">
            <v>0</v>
          </cell>
          <cell r="N1385">
            <v>0</v>
          </cell>
          <cell r="R1385">
            <v>0</v>
          </cell>
          <cell r="S1385">
            <v>0</v>
          </cell>
          <cell r="T1385">
            <v>0</v>
          </cell>
          <cell r="U1385">
            <v>35</v>
          </cell>
          <cell r="V1385">
            <v>0</v>
          </cell>
          <cell r="W1385">
            <v>0</v>
          </cell>
          <cell r="AA1385">
            <v>0</v>
          </cell>
          <cell r="AB1385">
            <v>0</v>
          </cell>
          <cell r="AC1385">
            <v>0</v>
          </cell>
          <cell r="AD1385">
            <v>35</v>
          </cell>
          <cell r="AE1385">
            <v>505300</v>
          </cell>
          <cell r="AF1385">
            <v>0</v>
          </cell>
          <cell r="AI1385">
            <v>2223</v>
          </cell>
          <cell r="AK1385">
            <v>0</v>
          </cell>
          <cell r="AM1385">
            <v>602</v>
          </cell>
          <cell r="AN1385">
            <v>1</v>
          </cell>
          <cell r="AO1385">
            <v>393216</v>
          </cell>
          <cell r="AQ1385">
            <v>0</v>
          </cell>
          <cell r="AR1385">
            <v>0</v>
          </cell>
          <cell r="AS1385" t="str">
            <v>Ы</v>
          </cell>
          <cell r="AT1385" t="str">
            <v>Ы</v>
          </cell>
          <cell r="AU1385">
            <v>0</v>
          </cell>
          <cell r="AV1385">
            <v>0</v>
          </cell>
          <cell r="AW1385">
            <v>23</v>
          </cell>
          <cell r="AX1385">
            <v>1</v>
          </cell>
          <cell r="AY1385">
            <v>0</v>
          </cell>
          <cell r="AZ1385">
            <v>0</v>
          </cell>
          <cell r="BA1385">
            <v>0</v>
          </cell>
          <cell r="BB1385">
            <v>0</v>
          </cell>
          <cell r="BC1385">
            <v>38828</v>
          </cell>
        </row>
        <row r="1386">
          <cell r="A1386">
            <v>2006</v>
          </cell>
          <cell r="B1386">
            <v>1</v>
          </cell>
          <cell r="C1386">
            <v>476</v>
          </cell>
          <cell r="D1386">
            <v>20</v>
          </cell>
          <cell r="E1386">
            <v>792020</v>
          </cell>
          <cell r="F1386">
            <v>0</v>
          </cell>
          <cell r="G1386" t="str">
            <v>Затраты по ШПЗ (основные)</v>
          </cell>
          <cell r="H1386">
            <v>2011</v>
          </cell>
          <cell r="I1386">
            <v>7920</v>
          </cell>
          <cell r="J1386">
            <v>790559.14</v>
          </cell>
          <cell r="K1386">
            <v>1</v>
          </cell>
          <cell r="L1386">
            <v>0</v>
          </cell>
          <cell r="M1386">
            <v>0</v>
          </cell>
          <cell r="N1386">
            <v>0</v>
          </cell>
          <cell r="R1386">
            <v>0</v>
          </cell>
          <cell r="S1386">
            <v>0</v>
          </cell>
          <cell r="T1386">
            <v>0</v>
          </cell>
          <cell r="U1386">
            <v>35</v>
          </cell>
          <cell r="V1386">
            <v>0</v>
          </cell>
          <cell r="W1386">
            <v>0</v>
          </cell>
          <cell r="AA1386">
            <v>0</v>
          </cell>
          <cell r="AB1386">
            <v>0</v>
          </cell>
          <cell r="AC1386">
            <v>0</v>
          </cell>
          <cell r="AD1386">
            <v>35</v>
          </cell>
          <cell r="AE1386">
            <v>508310</v>
          </cell>
          <cell r="AF1386">
            <v>0</v>
          </cell>
          <cell r="AI1386">
            <v>2223</v>
          </cell>
          <cell r="AK1386">
            <v>0</v>
          </cell>
          <cell r="AM1386">
            <v>603</v>
          </cell>
          <cell r="AN1386">
            <v>1</v>
          </cell>
          <cell r="AO1386">
            <v>393216</v>
          </cell>
          <cell r="AQ1386">
            <v>0</v>
          </cell>
          <cell r="AR1386">
            <v>0</v>
          </cell>
          <cell r="AS1386" t="str">
            <v>Ы</v>
          </cell>
          <cell r="AT1386" t="str">
            <v>Ы</v>
          </cell>
          <cell r="AU1386">
            <v>0</v>
          </cell>
          <cell r="AV1386">
            <v>0</v>
          </cell>
          <cell r="AW1386">
            <v>23</v>
          </cell>
          <cell r="AX1386">
            <v>1</v>
          </cell>
          <cell r="AY1386">
            <v>0</v>
          </cell>
          <cell r="AZ1386">
            <v>0</v>
          </cell>
          <cell r="BA1386">
            <v>0</v>
          </cell>
          <cell r="BB1386">
            <v>0</v>
          </cell>
          <cell r="BC1386">
            <v>38828</v>
          </cell>
        </row>
        <row r="1387">
          <cell r="A1387">
            <v>2006</v>
          </cell>
          <cell r="B1387">
            <v>1</v>
          </cell>
          <cell r="C1387">
            <v>477</v>
          </cell>
          <cell r="D1387">
            <v>20</v>
          </cell>
          <cell r="E1387">
            <v>792020</v>
          </cell>
          <cell r="F1387">
            <v>0</v>
          </cell>
          <cell r="G1387" t="str">
            <v>Затраты по ШПЗ (основные)</v>
          </cell>
          <cell r="H1387">
            <v>2011</v>
          </cell>
          <cell r="I1387">
            <v>7920</v>
          </cell>
          <cell r="J1387">
            <v>279929.39</v>
          </cell>
          <cell r="K1387">
            <v>1</v>
          </cell>
          <cell r="L1387">
            <v>0</v>
          </cell>
          <cell r="M1387">
            <v>0</v>
          </cell>
          <cell r="N1387">
            <v>0</v>
          </cell>
          <cell r="R1387">
            <v>0</v>
          </cell>
          <cell r="S1387">
            <v>0</v>
          </cell>
          <cell r="T1387">
            <v>0</v>
          </cell>
          <cell r="U1387">
            <v>35</v>
          </cell>
          <cell r="V1387">
            <v>0</v>
          </cell>
          <cell r="W1387">
            <v>0</v>
          </cell>
          <cell r="AA1387">
            <v>0</v>
          </cell>
          <cell r="AB1387">
            <v>0</v>
          </cell>
          <cell r="AC1387">
            <v>0</v>
          </cell>
          <cell r="AD1387">
            <v>35</v>
          </cell>
          <cell r="AE1387">
            <v>510100</v>
          </cell>
          <cell r="AF1387">
            <v>0</v>
          </cell>
          <cell r="AI1387">
            <v>2223</v>
          </cell>
          <cell r="AK1387">
            <v>0</v>
          </cell>
          <cell r="AM1387">
            <v>604</v>
          </cell>
          <cell r="AN1387">
            <v>1</v>
          </cell>
          <cell r="AO1387">
            <v>393216</v>
          </cell>
          <cell r="AQ1387">
            <v>0</v>
          </cell>
          <cell r="AR1387">
            <v>0</v>
          </cell>
          <cell r="AS1387" t="str">
            <v>Ы</v>
          </cell>
          <cell r="AT1387" t="str">
            <v>Ы</v>
          </cell>
          <cell r="AU1387">
            <v>0</v>
          </cell>
          <cell r="AV1387">
            <v>0</v>
          </cell>
          <cell r="AW1387">
            <v>23</v>
          </cell>
          <cell r="AX1387">
            <v>1</v>
          </cell>
          <cell r="AY1387">
            <v>0</v>
          </cell>
          <cell r="AZ1387">
            <v>0</v>
          </cell>
          <cell r="BA1387">
            <v>0</v>
          </cell>
          <cell r="BB1387">
            <v>0</v>
          </cell>
          <cell r="BC1387">
            <v>38828</v>
          </cell>
        </row>
        <row r="1388">
          <cell r="A1388">
            <v>2006</v>
          </cell>
          <cell r="B1388">
            <v>1</v>
          </cell>
          <cell r="C1388">
            <v>478</v>
          </cell>
          <cell r="D1388">
            <v>20</v>
          </cell>
          <cell r="E1388">
            <v>792020</v>
          </cell>
          <cell r="F1388">
            <v>0</v>
          </cell>
          <cell r="G1388" t="str">
            <v>Затраты по ШПЗ (основные)</v>
          </cell>
          <cell r="H1388">
            <v>2011</v>
          </cell>
          <cell r="I1388">
            <v>7920</v>
          </cell>
          <cell r="J1388">
            <v>624.41999999999996</v>
          </cell>
          <cell r="K1388">
            <v>1</v>
          </cell>
          <cell r="L1388">
            <v>0</v>
          </cell>
          <cell r="M1388">
            <v>0</v>
          </cell>
          <cell r="N1388">
            <v>0</v>
          </cell>
          <cell r="R1388">
            <v>0</v>
          </cell>
          <cell r="S1388">
            <v>0</v>
          </cell>
          <cell r="T1388">
            <v>0</v>
          </cell>
          <cell r="U1388">
            <v>35</v>
          </cell>
          <cell r="V1388">
            <v>0</v>
          </cell>
          <cell r="W1388">
            <v>0</v>
          </cell>
          <cell r="AA1388">
            <v>0</v>
          </cell>
          <cell r="AB1388">
            <v>0</v>
          </cell>
          <cell r="AC1388">
            <v>0</v>
          </cell>
          <cell r="AD1388">
            <v>35</v>
          </cell>
          <cell r="AE1388">
            <v>510200</v>
          </cell>
          <cell r="AF1388">
            <v>0</v>
          </cell>
          <cell r="AI1388">
            <v>2223</v>
          </cell>
          <cell r="AK1388">
            <v>0</v>
          </cell>
          <cell r="AM1388">
            <v>605</v>
          </cell>
          <cell r="AN1388">
            <v>1</v>
          </cell>
          <cell r="AO1388">
            <v>393216</v>
          </cell>
          <cell r="AQ1388">
            <v>0</v>
          </cell>
          <cell r="AR1388">
            <v>0</v>
          </cell>
          <cell r="AS1388" t="str">
            <v>Ы</v>
          </cell>
          <cell r="AT1388" t="str">
            <v>Ы</v>
          </cell>
          <cell r="AU1388">
            <v>0</v>
          </cell>
          <cell r="AV1388">
            <v>0</v>
          </cell>
          <cell r="AW1388">
            <v>23</v>
          </cell>
          <cell r="AX1388">
            <v>1</v>
          </cell>
          <cell r="AY1388">
            <v>0</v>
          </cell>
          <cell r="AZ1388">
            <v>0</v>
          </cell>
          <cell r="BA1388">
            <v>0</v>
          </cell>
          <cell r="BB1388">
            <v>0</v>
          </cell>
          <cell r="BC1388">
            <v>38828</v>
          </cell>
        </row>
        <row r="1389">
          <cell r="A1389">
            <v>2006</v>
          </cell>
          <cell r="B1389">
            <v>1</v>
          </cell>
          <cell r="C1389">
            <v>479</v>
          </cell>
          <cell r="D1389">
            <v>20</v>
          </cell>
          <cell r="E1389">
            <v>792020</v>
          </cell>
          <cell r="F1389">
            <v>0</v>
          </cell>
          <cell r="G1389" t="str">
            <v>Затраты по ШПЗ (основные)</v>
          </cell>
          <cell r="H1389">
            <v>2011</v>
          </cell>
          <cell r="I1389">
            <v>7920</v>
          </cell>
          <cell r="J1389">
            <v>4548.92</v>
          </cell>
          <cell r="K1389">
            <v>1</v>
          </cell>
          <cell r="L1389">
            <v>0</v>
          </cell>
          <cell r="M1389">
            <v>0</v>
          </cell>
          <cell r="N1389">
            <v>0</v>
          </cell>
          <cell r="R1389">
            <v>0</v>
          </cell>
          <cell r="S1389">
            <v>0</v>
          </cell>
          <cell r="T1389">
            <v>0</v>
          </cell>
          <cell r="U1389">
            <v>35</v>
          </cell>
          <cell r="V1389">
            <v>0</v>
          </cell>
          <cell r="W1389">
            <v>0</v>
          </cell>
          <cell r="AA1389">
            <v>0</v>
          </cell>
          <cell r="AB1389">
            <v>0</v>
          </cell>
          <cell r="AC1389">
            <v>0</v>
          </cell>
          <cell r="AD1389">
            <v>35</v>
          </cell>
          <cell r="AE1389">
            <v>510400</v>
          </cell>
          <cell r="AF1389">
            <v>0</v>
          </cell>
          <cell r="AI1389">
            <v>2223</v>
          </cell>
          <cell r="AK1389">
            <v>0</v>
          </cell>
          <cell r="AM1389">
            <v>606</v>
          </cell>
          <cell r="AN1389">
            <v>1</v>
          </cell>
          <cell r="AO1389">
            <v>393216</v>
          </cell>
          <cell r="AQ1389">
            <v>0</v>
          </cell>
          <cell r="AR1389">
            <v>0</v>
          </cell>
          <cell r="AS1389" t="str">
            <v>Ы</v>
          </cell>
          <cell r="AT1389" t="str">
            <v>Ы</v>
          </cell>
          <cell r="AU1389">
            <v>0</v>
          </cell>
          <cell r="AV1389">
            <v>0</v>
          </cell>
          <cell r="AW1389">
            <v>23</v>
          </cell>
          <cell r="AX1389">
            <v>1</v>
          </cell>
          <cell r="AY1389">
            <v>0</v>
          </cell>
          <cell r="AZ1389">
            <v>0</v>
          </cell>
          <cell r="BA1389">
            <v>0</v>
          </cell>
          <cell r="BB1389">
            <v>0</v>
          </cell>
          <cell r="BC1389">
            <v>38828</v>
          </cell>
        </row>
        <row r="1390">
          <cell r="A1390">
            <v>2006</v>
          </cell>
          <cell r="B1390">
            <v>1</v>
          </cell>
          <cell r="C1390">
            <v>480</v>
          </cell>
          <cell r="D1390">
            <v>20</v>
          </cell>
          <cell r="E1390">
            <v>792020</v>
          </cell>
          <cell r="F1390">
            <v>0</v>
          </cell>
          <cell r="G1390" t="str">
            <v>Затраты по ШПЗ (основные)</v>
          </cell>
          <cell r="H1390">
            <v>2011</v>
          </cell>
          <cell r="I1390">
            <v>7920</v>
          </cell>
          <cell r="J1390">
            <v>369982.23</v>
          </cell>
          <cell r="K1390">
            <v>1</v>
          </cell>
          <cell r="L1390">
            <v>0</v>
          </cell>
          <cell r="M1390">
            <v>0</v>
          </cell>
          <cell r="N1390">
            <v>0</v>
          </cell>
          <cell r="R1390">
            <v>0</v>
          </cell>
          <cell r="S1390">
            <v>0</v>
          </cell>
          <cell r="T1390">
            <v>0</v>
          </cell>
          <cell r="U1390">
            <v>35</v>
          </cell>
          <cell r="V1390">
            <v>0</v>
          </cell>
          <cell r="W1390">
            <v>0</v>
          </cell>
          <cell r="AA1390">
            <v>0</v>
          </cell>
          <cell r="AB1390">
            <v>0</v>
          </cell>
          <cell r="AC1390">
            <v>0</v>
          </cell>
          <cell r="AD1390">
            <v>35</v>
          </cell>
          <cell r="AE1390">
            <v>510600</v>
          </cell>
          <cell r="AF1390">
            <v>0</v>
          </cell>
          <cell r="AI1390">
            <v>2223</v>
          </cell>
          <cell r="AK1390">
            <v>0</v>
          </cell>
          <cell r="AM1390">
            <v>607</v>
          </cell>
          <cell r="AN1390">
            <v>1</v>
          </cell>
          <cell r="AO1390">
            <v>393216</v>
          </cell>
          <cell r="AQ1390">
            <v>0</v>
          </cell>
          <cell r="AR1390">
            <v>0</v>
          </cell>
          <cell r="AS1390" t="str">
            <v>Ы</v>
          </cell>
          <cell r="AT1390" t="str">
            <v>Ы</v>
          </cell>
          <cell r="AU1390">
            <v>0</v>
          </cell>
          <cell r="AV1390">
            <v>0</v>
          </cell>
          <cell r="AW1390">
            <v>23</v>
          </cell>
          <cell r="AX1390">
            <v>1</v>
          </cell>
          <cell r="AY1390">
            <v>0</v>
          </cell>
          <cell r="AZ1390">
            <v>0</v>
          </cell>
          <cell r="BA1390">
            <v>0</v>
          </cell>
          <cell r="BB1390">
            <v>0</v>
          </cell>
          <cell r="BC1390">
            <v>38828</v>
          </cell>
        </row>
        <row r="1391">
          <cell r="A1391">
            <v>2006</v>
          </cell>
          <cell r="B1391">
            <v>1</v>
          </cell>
          <cell r="C1391">
            <v>481</v>
          </cell>
          <cell r="D1391">
            <v>20</v>
          </cell>
          <cell r="E1391">
            <v>792020</v>
          </cell>
          <cell r="F1391">
            <v>0</v>
          </cell>
          <cell r="G1391" t="str">
            <v>Затраты по ШПЗ (основные)</v>
          </cell>
          <cell r="H1391">
            <v>2011</v>
          </cell>
          <cell r="I1391">
            <v>7920</v>
          </cell>
          <cell r="J1391">
            <v>24.17</v>
          </cell>
          <cell r="K1391">
            <v>1</v>
          </cell>
          <cell r="L1391">
            <v>0</v>
          </cell>
          <cell r="M1391">
            <v>0</v>
          </cell>
          <cell r="N1391">
            <v>0</v>
          </cell>
          <cell r="R1391">
            <v>0</v>
          </cell>
          <cell r="S1391">
            <v>0</v>
          </cell>
          <cell r="T1391">
            <v>0</v>
          </cell>
          <cell r="U1391">
            <v>35</v>
          </cell>
          <cell r="V1391">
            <v>0</v>
          </cell>
          <cell r="W1391">
            <v>0</v>
          </cell>
          <cell r="AA1391">
            <v>0</v>
          </cell>
          <cell r="AB1391">
            <v>0</v>
          </cell>
          <cell r="AC1391">
            <v>0</v>
          </cell>
          <cell r="AD1391">
            <v>35</v>
          </cell>
          <cell r="AE1391">
            <v>512000</v>
          </cell>
          <cell r="AF1391">
            <v>0</v>
          </cell>
          <cell r="AI1391">
            <v>2223</v>
          </cell>
          <cell r="AK1391">
            <v>0</v>
          </cell>
          <cell r="AM1391">
            <v>608</v>
          </cell>
          <cell r="AN1391">
            <v>1</v>
          </cell>
          <cell r="AO1391">
            <v>393216</v>
          </cell>
          <cell r="AQ1391">
            <v>0</v>
          </cell>
          <cell r="AR1391">
            <v>0</v>
          </cell>
          <cell r="AS1391" t="str">
            <v>Ы</v>
          </cell>
          <cell r="AT1391" t="str">
            <v>Ы</v>
          </cell>
          <cell r="AU1391">
            <v>0</v>
          </cell>
          <cell r="AV1391">
            <v>0</v>
          </cell>
          <cell r="AW1391">
            <v>23</v>
          </cell>
          <cell r="AX1391">
            <v>1</v>
          </cell>
          <cell r="AY1391">
            <v>0</v>
          </cell>
          <cell r="AZ1391">
            <v>0</v>
          </cell>
          <cell r="BA1391">
            <v>0</v>
          </cell>
          <cell r="BB1391">
            <v>0</v>
          </cell>
          <cell r="BC1391">
            <v>38828</v>
          </cell>
        </row>
        <row r="1392">
          <cell r="A1392">
            <v>2006</v>
          </cell>
          <cell r="B1392">
            <v>1</v>
          </cell>
          <cell r="C1392">
            <v>518</v>
          </cell>
          <cell r="D1392">
            <v>20</v>
          </cell>
          <cell r="E1392">
            <v>792020</v>
          </cell>
          <cell r="F1392">
            <v>0</v>
          </cell>
          <cell r="G1392" t="str">
            <v>Затраты по ШПЗ (основные)</v>
          </cell>
          <cell r="H1392">
            <v>2011</v>
          </cell>
          <cell r="I1392">
            <v>7920</v>
          </cell>
          <cell r="J1392">
            <v>207829.53</v>
          </cell>
          <cell r="K1392">
            <v>1</v>
          </cell>
          <cell r="L1392">
            <v>0</v>
          </cell>
          <cell r="M1392">
            <v>0</v>
          </cell>
          <cell r="N1392">
            <v>0</v>
          </cell>
          <cell r="R1392">
            <v>0</v>
          </cell>
          <cell r="S1392">
            <v>0</v>
          </cell>
          <cell r="T1392">
            <v>0</v>
          </cell>
          <cell r="U1392">
            <v>38</v>
          </cell>
          <cell r="V1392">
            <v>0</v>
          </cell>
          <cell r="W1392">
            <v>0</v>
          </cell>
          <cell r="AA1392">
            <v>0</v>
          </cell>
          <cell r="AB1392">
            <v>0</v>
          </cell>
          <cell r="AC1392">
            <v>0</v>
          </cell>
          <cell r="AD1392">
            <v>38</v>
          </cell>
          <cell r="AE1392">
            <v>110000</v>
          </cell>
          <cell r="AF1392">
            <v>0</v>
          </cell>
          <cell r="AI1392">
            <v>2223</v>
          </cell>
          <cell r="AK1392">
            <v>0</v>
          </cell>
          <cell r="AM1392">
            <v>645</v>
          </cell>
          <cell r="AN1392">
            <v>1</v>
          </cell>
          <cell r="AO1392">
            <v>393216</v>
          </cell>
          <cell r="AQ1392">
            <v>0</v>
          </cell>
          <cell r="AR1392">
            <v>0</v>
          </cell>
          <cell r="AS1392" t="str">
            <v>Ы</v>
          </cell>
          <cell r="AT1392" t="str">
            <v>Ы</v>
          </cell>
          <cell r="AU1392">
            <v>0</v>
          </cell>
          <cell r="AV1392">
            <v>0</v>
          </cell>
          <cell r="AW1392">
            <v>23</v>
          </cell>
          <cell r="AX1392">
            <v>1</v>
          </cell>
          <cell r="AY1392">
            <v>0</v>
          </cell>
          <cell r="AZ1392">
            <v>0</v>
          </cell>
          <cell r="BA1392">
            <v>0</v>
          </cell>
          <cell r="BB1392">
            <v>0</v>
          </cell>
          <cell r="BC1392">
            <v>38828</v>
          </cell>
        </row>
        <row r="1393">
          <cell r="A1393">
            <v>2006</v>
          </cell>
          <cell r="B1393">
            <v>1</v>
          </cell>
          <cell r="C1393">
            <v>519</v>
          </cell>
          <cell r="D1393">
            <v>20</v>
          </cell>
          <cell r="E1393">
            <v>792020</v>
          </cell>
          <cell r="F1393">
            <v>0</v>
          </cell>
          <cell r="G1393" t="str">
            <v>Затраты по ШПЗ (основные)</v>
          </cell>
          <cell r="H1393">
            <v>2011</v>
          </cell>
          <cell r="I1393">
            <v>7920</v>
          </cell>
          <cell r="J1393">
            <v>4081.77</v>
          </cell>
          <cell r="K1393">
            <v>1</v>
          </cell>
          <cell r="L1393">
            <v>0</v>
          </cell>
          <cell r="M1393">
            <v>0</v>
          </cell>
          <cell r="N1393">
            <v>0</v>
          </cell>
          <cell r="R1393">
            <v>0</v>
          </cell>
          <cell r="S1393">
            <v>0</v>
          </cell>
          <cell r="T1393">
            <v>0</v>
          </cell>
          <cell r="U1393">
            <v>38</v>
          </cell>
          <cell r="V1393">
            <v>0</v>
          </cell>
          <cell r="W1393">
            <v>0</v>
          </cell>
          <cell r="AA1393">
            <v>0</v>
          </cell>
          <cell r="AB1393">
            <v>0</v>
          </cell>
          <cell r="AC1393">
            <v>0</v>
          </cell>
          <cell r="AD1393">
            <v>38</v>
          </cell>
          <cell r="AE1393">
            <v>114020</v>
          </cell>
          <cell r="AF1393">
            <v>0</v>
          </cell>
          <cell r="AI1393">
            <v>2223</v>
          </cell>
          <cell r="AK1393">
            <v>0</v>
          </cell>
          <cell r="AM1393">
            <v>646</v>
          </cell>
          <cell r="AN1393">
            <v>1</v>
          </cell>
          <cell r="AO1393">
            <v>393216</v>
          </cell>
          <cell r="AQ1393">
            <v>0</v>
          </cell>
          <cell r="AR1393">
            <v>0</v>
          </cell>
          <cell r="AS1393" t="str">
            <v>Ы</v>
          </cell>
          <cell r="AT1393" t="str">
            <v>Ы</v>
          </cell>
          <cell r="AU1393">
            <v>0</v>
          </cell>
          <cell r="AV1393">
            <v>0</v>
          </cell>
          <cell r="AW1393">
            <v>23</v>
          </cell>
          <cell r="AX1393">
            <v>1</v>
          </cell>
          <cell r="AY1393">
            <v>0</v>
          </cell>
          <cell r="AZ1393">
            <v>0</v>
          </cell>
          <cell r="BA1393">
            <v>0</v>
          </cell>
          <cell r="BB1393">
            <v>0</v>
          </cell>
          <cell r="BC1393">
            <v>38828</v>
          </cell>
        </row>
        <row r="1394">
          <cell r="A1394">
            <v>2006</v>
          </cell>
          <cell r="B1394">
            <v>1</v>
          </cell>
          <cell r="C1394">
            <v>520</v>
          </cell>
          <cell r="D1394">
            <v>20</v>
          </cell>
          <cell r="E1394">
            <v>792020</v>
          </cell>
          <cell r="F1394">
            <v>0</v>
          </cell>
          <cell r="G1394" t="str">
            <v>Затраты по ШПЗ (основные)</v>
          </cell>
          <cell r="H1394">
            <v>2011</v>
          </cell>
          <cell r="I1394">
            <v>7920</v>
          </cell>
          <cell r="J1394">
            <v>11093.58</v>
          </cell>
          <cell r="K1394">
            <v>1</v>
          </cell>
          <cell r="L1394">
            <v>0</v>
          </cell>
          <cell r="M1394">
            <v>0</v>
          </cell>
          <cell r="N1394">
            <v>0</v>
          </cell>
          <cell r="R1394">
            <v>0</v>
          </cell>
          <cell r="S1394">
            <v>0</v>
          </cell>
          <cell r="T1394">
            <v>0</v>
          </cell>
          <cell r="U1394">
            <v>38</v>
          </cell>
          <cell r="V1394">
            <v>0</v>
          </cell>
          <cell r="W1394">
            <v>0</v>
          </cell>
          <cell r="AA1394">
            <v>0</v>
          </cell>
          <cell r="AB1394">
            <v>0</v>
          </cell>
          <cell r="AC1394">
            <v>0</v>
          </cell>
          <cell r="AD1394">
            <v>38</v>
          </cell>
          <cell r="AE1394">
            <v>116000</v>
          </cell>
          <cell r="AF1394">
            <v>0</v>
          </cell>
          <cell r="AI1394">
            <v>2223</v>
          </cell>
          <cell r="AK1394">
            <v>0</v>
          </cell>
          <cell r="AM1394">
            <v>647</v>
          </cell>
          <cell r="AN1394">
            <v>1</v>
          </cell>
          <cell r="AO1394">
            <v>393216</v>
          </cell>
          <cell r="AQ1394">
            <v>0</v>
          </cell>
          <cell r="AR1394">
            <v>0</v>
          </cell>
          <cell r="AS1394" t="str">
            <v>Ы</v>
          </cell>
          <cell r="AT1394" t="str">
            <v>Ы</v>
          </cell>
          <cell r="AU1394">
            <v>0</v>
          </cell>
          <cell r="AV1394">
            <v>0</v>
          </cell>
          <cell r="AW1394">
            <v>23</v>
          </cell>
          <cell r="AX1394">
            <v>1</v>
          </cell>
          <cell r="AY1394">
            <v>0</v>
          </cell>
          <cell r="AZ1394">
            <v>0</v>
          </cell>
          <cell r="BA1394">
            <v>0</v>
          </cell>
          <cell r="BB1394">
            <v>0</v>
          </cell>
          <cell r="BC1394">
            <v>38828</v>
          </cell>
        </row>
        <row r="1395">
          <cell r="A1395">
            <v>2006</v>
          </cell>
          <cell r="B1395">
            <v>1</v>
          </cell>
          <cell r="C1395">
            <v>521</v>
          </cell>
          <cell r="D1395">
            <v>20</v>
          </cell>
          <cell r="E1395">
            <v>792020</v>
          </cell>
          <cell r="F1395">
            <v>0</v>
          </cell>
          <cell r="G1395" t="str">
            <v>Затраты по ШПЗ (основные)</v>
          </cell>
          <cell r="H1395">
            <v>2011</v>
          </cell>
          <cell r="I1395">
            <v>7920</v>
          </cell>
          <cell r="J1395">
            <v>13808.84</v>
          </cell>
          <cell r="K1395">
            <v>1</v>
          </cell>
          <cell r="L1395">
            <v>0</v>
          </cell>
          <cell r="M1395">
            <v>0</v>
          </cell>
          <cell r="N1395">
            <v>0</v>
          </cell>
          <cell r="R1395">
            <v>0</v>
          </cell>
          <cell r="S1395">
            <v>0</v>
          </cell>
          <cell r="T1395">
            <v>0</v>
          </cell>
          <cell r="U1395">
            <v>38</v>
          </cell>
          <cell r="V1395">
            <v>0</v>
          </cell>
          <cell r="W1395">
            <v>0</v>
          </cell>
          <cell r="AA1395">
            <v>0</v>
          </cell>
          <cell r="AB1395">
            <v>0</v>
          </cell>
          <cell r="AC1395">
            <v>0</v>
          </cell>
          <cell r="AD1395">
            <v>38</v>
          </cell>
          <cell r="AE1395">
            <v>117000</v>
          </cell>
          <cell r="AF1395">
            <v>0</v>
          </cell>
          <cell r="AI1395">
            <v>2223</v>
          </cell>
          <cell r="AK1395">
            <v>0</v>
          </cell>
          <cell r="AM1395">
            <v>648</v>
          </cell>
          <cell r="AN1395">
            <v>1</v>
          </cell>
          <cell r="AO1395">
            <v>393216</v>
          </cell>
          <cell r="AQ1395">
            <v>0</v>
          </cell>
          <cell r="AR1395">
            <v>0</v>
          </cell>
          <cell r="AS1395" t="str">
            <v>Ы</v>
          </cell>
          <cell r="AT1395" t="str">
            <v>Ы</v>
          </cell>
          <cell r="AU1395">
            <v>0</v>
          </cell>
          <cell r="AV1395">
            <v>0</v>
          </cell>
          <cell r="AW1395">
            <v>23</v>
          </cell>
          <cell r="AX1395">
            <v>1</v>
          </cell>
          <cell r="AY1395">
            <v>0</v>
          </cell>
          <cell r="AZ1395">
            <v>0</v>
          </cell>
          <cell r="BA1395">
            <v>0</v>
          </cell>
          <cell r="BB1395">
            <v>0</v>
          </cell>
          <cell r="BC1395">
            <v>38828</v>
          </cell>
        </row>
        <row r="1396">
          <cell r="A1396">
            <v>2006</v>
          </cell>
          <cell r="B1396">
            <v>1</v>
          </cell>
          <cell r="C1396">
            <v>522</v>
          </cell>
          <cell r="D1396">
            <v>20</v>
          </cell>
          <cell r="E1396">
            <v>792020</v>
          </cell>
          <cell r="F1396">
            <v>0</v>
          </cell>
          <cell r="G1396" t="str">
            <v>Затраты по ШПЗ (основные)</v>
          </cell>
          <cell r="H1396">
            <v>2011</v>
          </cell>
          <cell r="I1396">
            <v>7920</v>
          </cell>
          <cell r="J1396">
            <v>42876.61</v>
          </cell>
          <cell r="K1396">
            <v>1</v>
          </cell>
          <cell r="L1396">
            <v>0</v>
          </cell>
          <cell r="M1396">
            <v>0</v>
          </cell>
          <cell r="N1396">
            <v>0</v>
          </cell>
          <cell r="R1396">
            <v>0</v>
          </cell>
          <cell r="S1396">
            <v>0</v>
          </cell>
          <cell r="T1396">
            <v>0</v>
          </cell>
          <cell r="U1396">
            <v>38</v>
          </cell>
          <cell r="V1396">
            <v>0</v>
          </cell>
          <cell r="W1396">
            <v>0</v>
          </cell>
          <cell r="AA1396">
            <v>0</v>
          </cell>
          <cell r="AB1396">
            <v>0</v>
          </cell>
          <cell r="AC1396">
            <v>0</v>
          </cell>
          <cell r="AD1396">
            <v>38</v>
          </cell>
          <cell r="AE1396">
            <v>118000</v>
          </cell>
          <cell r="AF1396">
            <v>0</v>
          </cell>
          <cell r="AI1396">
            <v>2223</v>
          </cell>
          <cell r="AK1396">
            <v>0</v>
          </cell>
          <cell r="AM1396">
            <v>649</v>
          </cell>
          <cell r="AN1396">
            <v>1</v>
          </cell>
          <cell r="AO1396">
            <v>393216</v>
          </cell>
          <cell r="AQ1396">
            <v>0</v>
          </cell>
          <cell r="AR1396">
            <v>0</v>
          </cell>
          <cell r="AS1396" t="str">
            <v>Ы</v>
          </cell>
          <cell r="AT1396" t="str">
            <v>Ы</v>
          </cell>
          <cell r="AU1396">
            <v>0</v>
          </cell>
          <cell r="AV1396">
            <v>0</v>
          </cell>
          <cell r="AW1396">
            <v>23</v>
          </cell>
          <cell r="AX1396">
            <v>1</v>
          </cell>
          <cell r="AY1396">
            <v>0</v>
          </cell>
          <cell r="AZ1396">
            <v>0</v>
          </cell>
          <cell r="BA1396">
            <v>0</v>
          </cell>
          <cell r="BB1396">
            <v>0</v>
          </cell>
          <cell r="BC1396">
            <v>38828</v>
          </cell>
        </row>
        <row r="1397">
          <cell r="A1397">
            <v>2006</v>
          </cell>
          <cell r="B1397">
            <v>1</v>
          </cell>
          <cell r="C1397">
            <v>523</v>
          </cell>
          <cell r="D1397">
            <v>20</v>
          </cell>
          <cell r="E1397">
            <v>792020</v>
          </cell>
          <cell r="F1397">
            <v>0</v>
          </cell>
          <cell r="G1397" t="str">
            <v>Затраты по ШПЗ (основные)</v>
          </cell>
          <cell r="H1397">
            <v>2011</v>
          </cell>
          <cell r="I1397">
            <v>7920</v>
          </cell>
          <cell r="J1397">
            <v>5233.7</v>
          </cell>
          <cell r="K1397">
            <v>1</v>
          </cell>
          <cell r="L1397">
            <v>0</v>
          </cell>
          <cell r="M1397">
            <v>0</v>
          </cell>
          <cell r="N1397">
            <v>0</v>
          </cell>
          <cell r="R1397">
            <v>0</v>
          </cell>
          <cell r="S1397">
            <v>0</v>
          </cell>
          <cell r="T1397">
            <v>0</v>
          </cell>
          <cell r="U1397">
            <v>38</v>
          </cell>
          <cell r="V1397">
            <v>0</v>
          </cell>
          <cell r="W1397">
            <v>0</v>
          </cell>
          <cell r="AA1397">
            <v>0</v>
          </cell>
          <cell r="AB1397">
            <v>0</v>
          </cell>
          <cell r="AC1397">
            <v>0</v>
          </cell>
          <cell r="AD1397">
            <v>38</v>
          </cell>
          <cell r="AE1397">
            <v>130100</v>
          </cell>
          <cell r="AF1397">
            <v>0</v>
          </cell>
          <cell r="AI1397">
            <v>2223</v>
          </cell>
          <cell r="AK1397">
            <v>0</v>
          </cell>
          <cell r="AM1397">
            <v>650</v>
          </cell>
          <cell r="AN1397">
            <v>1</v>
          </cell>
          <cell r="AO1397">
            <v>393216</v>
          </cell>
          <cell r="AQ1397">
            <v>0</v>
          </cell>
          <cell r="AR1397">
            <v>0</v>
          </cell>
          <cell r="AS1397" t="str">
            <v>Ы</v>
          </cell>
          <cell r="AT1397" t="str">
            <v>Ы</v>
          </cell>
          <cell r="AU1397">
            <v>0</v>
          </cell>
          <cell r="AV1397">
            <v>0</v>
          </cell>
          <cell r="AW1397">
            <v>23</v>
          </cell>
          <cell r="AX1397">
            <v>1</v>
          </cell>
          <cell r="AY1397">
            <v>0</v>
          </cell>
          <cell r="AZ1397">
            <v>0</v>
          </cell>
          <cell r="BA1397">
            <v>0</v>
          </cell>
          <cell r="BB1397">
            <v>0</v>
          </cell>
          <cell r="BC1397">
            <v>38828</v>
          </cell>
        </row>
        <row r="1398">
          <cell r="A1398">
            <v>2006</v>
          </cell>
          <cell r="B1398">
            <v>1</v>
          </cell>
          <cell r="C1398">
            <v>524</v>
          </cell>
          <cell r="D1398">
            <v>20</v>
          </cell>
          <cell r="E1398">
            <v>792020</v>
          </cell>
          <cell r="F1398">
            <v>0</v>
          </cell>
          <cell r="G1398" t="str">
            <v>Затраты по ШПЗ (основные)</v>
          </cell>
          <cell r="H1398">
            <v>2011</v>
          </cell>
          <cell r="I1398">
            <v>7920</v>
          </cell>
          <cell r="J1398">
            <v>2206.2199999999998</v>
          </cell>
          <cell r="K1398">
            <v>1</v>
          </cell>
          <cell r="L1398">
            <v>0</v>
          </cell>
          <cell r="M1398">
            <v>0</v>
          </cell>
          <cell r="N1398">
            <v>0</v>
          </cell>
          <cell r="R1398">
            <v>0</v>
          </cell>
          <cell r="S1398">
            <v>0</v>
          </cell>
          <cell r="T1398">
            <v>0</v>
          </cell>
          <cell r="U1398">
            <v>38</v>
          </cell>
          <cell r="V1398">
            <v>0</v>
          </cell>
          <cell r="W1398">
            <v>0</v>
          </cell>
          <cell r="AA1398">
            <v>0</v>
          </cell>
          <cell r="AB1398">
            <v>0</v>
          </cell>
          <cell r="AC1398">
            <v>0</v>
          </cell>
          <cell r="AD1398">
            <v>38</v>
          </cell>
          <cell r="AE1398">
            <v>131000</v>
          </cell>
          <cell r="AF1398">
            <v>0</v>
          </cell>
          <cell r="AI1398">
            <v>2223</v>
          </cell>
          <cell r="AK1398">
            <v>0</v>
          </cell>
          <cell r="AM1398">
            <v>651</v>
          </cell>
          <cell r="AN1398">
            <v>1</v>
          </cell>
          <cell r="AO1398">
            <v>393216</v>
          </cell>
          <cell r="AQ1398">
            <v>0</v>
          </cell>
          <cell r="AR1398">
            <v>0</v>
          </cell>
          <cell r="AS1398" t="str">
            <v>Ы</v>
          </cell>
          <cell r="AT1398" t="str">
            <v>Ы</v>
          </cell>
          <cell r="AU1398">
            <v>0</v>
          </cell>
          <cell r="AV1398">
            <v>0</v>
          </cell>
          <cell r="AW1398">
            <v>23</v>
          </cell>
          <cell r="AX1398">
            <v>1</v>
          </cell>
          <cell r="AY1398">
            <v>0</v>
          </cell>
          <cell r="AZ1398">
            <v>0</v>
          </cell>
          <cell r="BA1398">
            <v>0</v>
          </cell>
          <cell r="BB1398">
            <v>0</v>
          </cell>
          <cell r="BC1398">
            <v>38828</v>
          </cell>
        </row>
        <row r="1399">
          <cell r="A1399">
            <v>2006</v>
          </cell>
          <cell r="B1399">
            <v>1</v>
          </cell>
          <cell r="C1399">
            <v>525</v>
          </cell>
          <cell r="D1399">
            <v>20</v>
          </cell>
          <cell r="E1399">
            <v>792020</v>
          </cell>
          <cell r="F1399">
            <v>0</v>
          </cell>
          <cell r="G1399" t="str">
            <v>Затраты по ШПЗ (основные)</v>
          </cell>
          <cell r="H1399">
            <v>2011</v>
          </cell>
          <cell r="I1399">
            <v>7920</v>
          </cell>
          <cell r="J1399">
            <v>5721.62</v>
          </cell>
          <cell r="K1399">
            <v>1</v>
          </cell>
          <cell r="L1399">
            <v>0</v>
          </cell>
          <cell r="M1399">
            <v>0</v>
          </cell>
          <cell r="N1399">
            <v>0</v>
          </cell>
          <cell r="R1399">
            <v>0</v>
          </cell>
          <cell r="S1399">
            <v>0</v>
          </cell>
          <cell r="T1399">
            <v>0</v>
          </cell>
          <cell r="U1399">
            <v>38</v>
          </cell>
          <cell r="V1399">
            <v>0</v>
          </cell>
          <cell r="W1399">
            <v>0</v>
          </cell>
          <cell r="AA1399">
            <v>0</v>
          </cell>
          <cell r="AB1399">
            <v>0</v>
          </cell>
          <cell r="AC1399">
            <v>0</v>
          </cell>
          <cell r="AD1399">
            <v>38</v>
          </cell>
          <cell r="AE1399">
            <v>132000</v>
          </cell>
          <cell r="AF1399">
            <v>0</v>
          </cell>
          <cell r="AI1399">
            <v>2223</v>
          </cell>
          <cell r="AK1399">
            <v>0</v>
          </cell>
          <cell r="AM1399">
            <v>652</v>
          </cell>
          <cell r="AN1399">
            <v>1</v>
          </cell>
          <cell r="AO1399">
            <v>393216</v>
          </cell>
          <cell r="AQ1399">
            <v>0</v>
          </cell>
          <cell r="AR1399">
            <v>0</v>
          </cell>
          <cell r="AS1399" t="str">
            <v>Ы</v>
          </cell>
          <cell r="AT1399" t="str">
            <v>Ы</v>
          </cell>
          <cell r="AU1399">
            <v>0</v>
          </cell>
          <cell r="AV1399">
            <v>0</v>
          </cell>
          <cell r="AW1399">
            <v>23</v>
          </cell>
          <cell r="AX1399">
            <v>1</v>
          </cell>
          <cell r="AY1399">
            <v>0</v>
          </cell>
          <cell r="AZ1399">
            <v>0</v>
          </cell>
          <cell r="BA1399">
            <v>0</v>
          </cell>
          <cell r="BB1399">
            <v>0</v>
          </cell>
          <cell r="BC1399">
            <v>38828</v>
          </cell>
        </row>
        <row r="1400">
          <cell r="A1400">
            <v>2006</v>
          </cell>
          <cell r="B1400">
            <v>1</v>
          </cell>
          <cell r="C1400">
            <v>526</v>
          </cell>
          <cell r="D1400">
            <v>20</v>
          </cell>
          <cell r="E1400">
            <v>792020</v>
          </cell>
          <cell r="F1400">
            <v>0</v>
          </cell>
          <cell r="G1400" t="str">
            <v>Затраты по ШПЗ (основные)</v>
          </cell>
          <cell r="H1400">
            <v>2011</v>
          </cell>
          <cell r="I1400">
            <v>7920</v>
          </cell>
          <cell r="J1400">
            <v>882.9</v>
          </cell>
          <cell r="K1400">
            <v>1</v>
          </cell>
          <cell r="L1400">
            <v>0</v>
          </cell>
          <cell r="M1400">
            <v>0</v>
          </cell>
          <cell r="N1400">
            <v>0</v>
          </cell>
          <cell r="R1400">
            <v>0</v>
          </cell>
          <cell r="S1400">
            <v>0</v>
          </cell>
          <cell r="T1400">
            <v>0</v>
          </cell>
          <cell r="U1400">
            <v>38</v>
          </cell>
          <cell r="V1400">
            <v>0</v>
          </cell>
          <cell r="W1400">
            <v>0</v>
          </cell>
          <cell r="AA1400">
            <v>0</v>
          </cell>
          <cell r="AB1400">
            <v>0</v>
          </cell>
          <cell r="AC1400">
            <v>0</v>
          </cell>
          <cell r="AD1400">
            <v>38</v>
          </cell>
          <cell r="AE1400">
            <v>135000</v>
          </cell>
          <cell r="AF1400">
            <v>0</v>
          </cell>
          <cell r="AI1400">
            <v>2223</v>
          </cell>
          <cell r="AK1400">
            <v>0</v>
          </cell>
          <cell r="AM1400">
            <v>653</v>
          </cell>
          <cell r="AN1400">
            <v>1</v>
          </cell>
          <cell r="AO1400">
            <v>393216</v>
          </cell>
          <cell r="AQ1400">
            <v>0</v>
          </cell>
          <cell r="AR1400">
            <v>0</v>
          </cell>
          <cell r="AS1400" t="str">
            <v>Ы</v>
          </cell>
          <cell r="AT1400" t="str">
            <v>Ы</v>
          </cell>
          <cell r="AU1400">
            <v>0</v>
          </cell>
          <cell r="AV1400">
            <v>0</v>
          </cell>
          <cell r="AW1400">
            <v>23</v>
          </cell>
          <cell r="AX1400">
            <v>1</v>
          </cell>
          <cell r="AY1400">
            <v>0</v>
          </cell>
          <cell r="AZ1400">
            <v>0</v>
          </cell>
          <cell r="BA1400">
            <v>0</v>
          </cell>
          <cell r="BB1400">
            <v>0</v>
          </cell>
          <cell r="BC1400">
            <v>38828</v>
          </cell>
        </row>
        <row r="1401">
          <cell r="A1401">
            <v>2006</v>
          </cell>
          <cell r="B1401">
            <v>1</v>
          </cell>
          <cell r="C1401">
            <v>527</v>
          </cell>
          <cell r="D1401">
            <v>20</v>
          </cell>
          <cell r="E1401">
            <v>792020</v>
          </cell>
          <cell r="F1401">
            <v>0</v>
          </cell>
          <cell r="G1401" t="str">
            <v>Затраты по ШПЗ (основные)</v>
          </cell>
          <cell r="H1401">
            <v>2011</v>
          </cell>
          <cell r="I1401">
            <v>7920</v>
          </cell>
          <cell r="J1401">
            <v>291643.07</v>
          </cell>
          <cell r="K1401">
            <v>1</v>
          </cell>
          <cell r="L1401">
            <v>0</v>
          </cell>
          <cell r="M1401">
            <v>0</v>
          </cell>
          <cell r="N1401">
            <v>0</v>
          </cell>
          <cell r="R1401">
            <v>0</v>
          </cell>
          <cell r="S1401">
            <v>0</v>
          </cell>
          <cell r="T1401">
            <v>0</v>
          </cell>
          <cell r="U1401">
            <v>38</v>
          </cell>
          <cell r="V1401">
            <v>0</v>
          </cell>
          <cell r="W1401">
            <v>0</v>
          </cell>
          <cell r="AA1401">
            <v>0</v>
          </cell>
          <cell r="AB1401">
            <v>0</v>
          </cell>
          <cell r="AC1401">
            <v>0</v>
          </cell>
          <cell r="AD1401">
            <v>38</v>
          </cell>
          <cell r="AE1401">
            <v>143000</v>
          </cell>
          <cell r="AF1401">
            <v>0</v>
          </cell>
          <cell r="AI1401">
            <v>2223</v>
          </cell>
          <cell r="AK1401">
            <v>0</v>
          </cell>
          <cell r="AM1401">
            <v>654</v>
          </cell>
          <cell r="AN1401">
            <v>1</v>
          </cell>
          <cell r="AO1401">
            <v>393216</v>
          </cell>
          <cell r="AQ1401">
            <v>0</v>
          </cell>
          <cell r="AR1401">
            <v>0</v>
          </cell>
          <cell r="AS1401" t="str">
            <v>Ы</v>
          </cell>
          <cell r="AT1401" t="str">
            <v>Ы</v>
          </cell>
          <cell r="AU1401">
            <v>0</v>
          </cell>
          <cell r="AV1401">
            <v>0</v>
          </cell>
          <cell r="AW1401">
            <v>23</v>
          </cell>
          <cell r="AX1401">
            <v>1</v>
          </cell>
          <cell r="AY1401">
            <v>0</v>
          </cell>
          <cell r="AZ1401">
            <v>0</v>
          </cell>
          <cell r="BA1401">
            <v>0</v>
          </cell>
          <cell r="BB1401">
            <v>0</v>
          </cell>
          <cell r="BC1401">
            <v>38828</v>
          </cell>
        </row>
        <row r="1402">
          <cell r="A1402">
            <v>2006</v>
          </cell>
          <cell r="B1402">
            <v>1</v>
          </cell>
          <cell r="C1402">
            <v>528</v>
          </cell>
          <cell r="D1402">
            <v>20</v>
          </cell>
          <cell r="E1402">
            <v>792020</v>
          </cell>
          <cell r="F1402">
            <v>0</v>
          </cell>
          <cell r="G1402" t="str">
            <v>Затраты по ШПЗ (основные)</v>
          </cell>
          <cell r="H1402">
            <v>2011</v>
          </cell>
          <cell r="I1402">
            <v>7920</v>
          </cell>
          <cell r="J1402">
            <v>569632.37</v>
          </cell>
          <cell r="K1402">
            <v>1</v>
          </cell>
          <cell r="L1402">
            <v>0</v>
          </cell>
          <cell r="M1402">
            <v>0</v>
          </cell>
          <cell r="N1402">
            <v>0</v>
          </cell>
          <cell r="R1402">
            <v>0</v>
          </cell>
          <cell r="S1402">
            <v>0</v>
          </cell>
          <cell r="T1402">
            <v>0</v>
          </cell>
          <cell r="U1402">
            <v>38</v>
          </cell>
          <cell r="V1402">
            <v>0</v>
          </cell>
          <cell r="W1402">
            <v>0</v>
          </cell>
          <cell r="AA1402">
            <v>0</v>
          </cell>
          <cell r="AB1402">
            <v>0</v>
          </cell>
          <cell r="AC1402">
            <v>0</v>
          </cell>
          <cell r="AD1402">
            <v>38</v>
          </cell>
          <cell r="AE1402">
            <v>151000</v>
          </cell>
          <cell r="AF1402">
            <v>0</v>
          </cell>
          <cell r="AI1402">
            <v>2223</v>
          </cell>
          <cell r="AK1402">
            <v>0</v>
          </cell>
          <cell r="AM1402">
            <v>655</v>
          </cell>
          <cell r="AN1402">
            <v>1</v>
          </cell>
          <cell r="AO1402">
            <v>393216</v>
          </cell>
          <cell r="AQ1402">
            <v>0</v>
          </cell>
          <cell r="AR1402">
            <v>0</v>
          </cell>
          <cell r="AS1402" t="str">
            <v>Ы</v>
          </cell>
          <cell r="AT1402" t="str">
            <v>Ы</v>
          </cell>
          <cell r="AU1402">
            <v>0</v>
          </cell>
          <cell r="AV1402">
            <v>0</v>
          </cell>
          <cell r="AW1402">
            <v>23</v>
          </cell>
          <cell r="AX1402">
            <v>1</v>
          </cell>
          <cell r="AY1402">
            <v>0</v>
          </cell>
          <cell r="AZ1402">
            <v>0</v>
          </cell>
          <cell r="BA1402">
            <v>0</v>
          </cell>
          <cell r="BB1402">
            <v>0</v>
          </cell>
          <cell r="BC1402">
            <v>38828</v>
          </cell>
        </row>
        <row r="1403">
          <cell r="A1403">
            <v>2006</v>
          </cell>
          <cell r="B1403">
            <v>1</v>
          </cell>
          <cell r="C1403">
            <v>529</v>
          </cell>
          <cell r="D1403">
            <v>20</v>
          </cell>
          <cell r="E1403">
            <v>792020</v>
          </cell>
          <cell r="F1403">
            <v>0</v>
          </cell>
          <cell r="G1403" t="str">
            <v>Затраты по ШПЗ (основные)</v>
          </cell>
          <cell r="H1403">
            <v>2011</v>
          </cell>
          <cell r="I1403">
            <v>7920</v>
          </cell>
          <cell r="J1403">
            <v>73307.95</v>
          </cell>
          <cell r="K1403">
            <v>1</v>
          </cell>
          <cell r="L1403">
            <v>0</v>
          </cell>
          <cell r="M1403">
            <v>0</v>
          </cell>
          <cell r="N1403">
            <v>0</v>
          </cell>
          <cell r="R1403">
            <v>0</v>
          </cell>
          <cell r="S1403">
            <v>0</v>
          </cell>
          <cell r="T1403">
            <v>0</v>
          </cell>
          <cell r="U1403">
            <v>38</v>
          </cell>
          <cell r="V1403">
            <v>0</v>
          </cell>
          <cell r="W1403">
            <v>0</v>
          </cell>
          <cell r="AA1403">
            <v>0</v>
          </cell>
          <cell r="AB1403">
            <v>0</v>
          </cell>
          <cell r="AC1403">
            <v>0</v>
          </cell>
          <cell r="AD1403">
            <v>38</v>
          </cell>
          <cell r="AE1403">
            <v>152000</v>
          </cell>
          <cell r="AF1403">
            <v>0</v>
          </cell>
          <cell r="AI1403">
            <v>2223</v>
          </cell>
          <cell r="AK1403">
            <v>0</v>
          </cell>
          <cell r="AM1403">
            <v>656</v>
          </cell>
          <cell r="AN1403">
            <v>1</v>
          </cell>
          <cell r="AO1403">
            <v>393216</v>
          </cell>
          <cell r="AQ1403">
            <v>0</v>
          </cell>
          <cell r="AR1403">
            <v>0</v>
          </cell>
          <cell r="AS1403" t="str">
            <v>Ы</v>
          </cell>
          <cell r="AT1403" t="str">
            <v>Ы</v>
          </cell>
          <cell r="AU1403">
            <v>0</v>
          </cell>
          <cell r="AV1403">
            <v>0</v>
          </cell>
          <cell r="AW1403">
            <v>23</v>
          </cell>
          <cell r="AX1403">
            <v>1</v>
          </cell>
          <cell r="AY1403">
            <v>0</v>
          </cell>
          <cell r="AZ1403">
            <v>0</v>
          </cell>
          <cell r="BA1403">
            <v>0</v>
          </cell>
          <cell r="BB1403">
            <v>0</v>
          </cell>
          <cell r="BC1403">
            <v>38828</v>
          </cell>
        </row>
        <row r="1404">
          <cell r="A1404">
            <v>2006</v>
          </cell>
          <cell r="B1404">
            <v>1</v>
          </cell>
          <cell r="C1404">
            <v>530</v>
          </cell>
          <cell r="D1404">
            <v>20</v>
          </cell>
          <cell r="E1404">
            <v>792020</v>
          </cell>
          <cell r="F1404">
            <v>0</v>
          </cell>
          <cell r="G1404" t="str">
            <v>Затраты по ШПЗ (основные)</v>
          </cell>
          <cell r="H1404">
            <v>2011</v>
          </cell>
          <cell r="I1404">
            <v>7920</v>
          </cell>
          <cell r="J1404">
            <v>1630391.34</v>
          </cell>
          <cell r="K1404">
            <v>1</v>
          </cell>
          <cell r="L1404">
            <v>0</v>
          </cell>
          <cell r="M1404">
            <v>0</v>
          </cell>
          <cell r="N1404">
            <v>0</v>
          </cell>
          <cell r="R1404">
            <v>0</v>
          </cell>
          <cell r="S1404">
            <v>0</v>
          </cell>
          <cell r="T1404">
            <v>0</v>
          </cell>
          <cell r="U1404">
            <v>38</v>
          </cell>
          <cell r="V1404">
            <v>0</v>
          </cell>
          <cell r="W1404">
            <v>0</v>
          </cell>
          <cell r="AA1404">
            <v>0</v>
          </cell>
          <cell r="AB1404">
            <v>0</v>
          </cell>
          <cell r="AC1404">
            <v>0</v>
          </cell>
          <cell r="AD1404">
            <v>38</v>
          </cell>
          <cell r="AE1404">
            <v>220000</v>
          </cell>
          <cell r="AF1404">
            <v>0</v>
          </cell>
          <cell r="AI1404">
            <v>2223</v>
          </cell>
          <cell r="AK1404">
            <v>0</v>
          </cell>
          <cell r="AM1404">
            <v>657</v>
          </cell>
          <cell r="AN1404">
            <v>1</v>
          </cell>
          <cell r="AO1404">
            <v>393216</v>
          </cell>
          <cell r="AQ1404">
            <v>0</v>
          </cell>
          <cell r="AR1404">
            <v>0</v>
          </cell>
          <cell r="AS1404" t="str">
            <v>Ы</v>
          </cell>
          <cell r="AT1404" t="str">
            <v>Ы</v>
          </cell>
          <cell r="AU1404">
            <v>0</v>
          </cell>
          <cell r="AV1404">
            <v>0</v>
          </cell>
          <cell r="AW1404">
            <v>23</v>
          </cell>
          <cell r="AX1404">
            <v>1</v>
          </cell>
          <cell r="AY1404">
            <v>0</v>
          </cell>
          <cell r="AZ1404">
            <v>0</v>
          </cell>
          <cell r="BA1404">
            <v>0</v>
          </cell>
          <cell r="BB1404">
            <v>0</v>
          </cell>
          <cell r="BC1404">
            <v>38828</v>
          </cell>
        </row>
        <row r="1405">
          <cell r="A1405">
            <v>2006</v>
          </cell>
          <cell r="B1405">
            <v>1</v>
          </cell>
          <cell r="C1405">
            <v>531</v>
          </cell>
          <cell r="D1405">
            <v>20</v>
          </cell>
          <cell r="E1405">
            <v>792020</v>
          </cell>
          <cell r="F1405">
            <v>0</v>
          </cell>
          <cell r="G1405" t="str">
            <v>Затраты по ШПЗ (основные)</v>
          </cell>
          <cell r="H1405">
            <v>2011</v>
          </cell>
          <cell r="I1405">
            <v>7920</v>
          </cell>
          <cell r="J1405">
            <v>748677.49</v>
          </cell>
          <cell r="K1405">
            <v>1</v>
          </cell>
          <cell r="L1405">
            <v>0</v>
          </cell>
          <cell r="M1405">
            <v>0</v>
          </cell>
          <cell r="N1405">
            <v>0</v>
          </cell>
          <cell r="R1405">
            <v>0</v>
          </cell>
          <cell r="S1405">
            <v>0</v>
          </cell>
          <cell r="T1405">
            <v>0</v>
          </cell>
          <cell r="U1405">
            <v>38</v>
          </cell>
          <cell r="V1405">
            <v>0</v>
          </cell>
          <cell r="W1405">
            <v>0</v>
          </cell>
          <cell r="AA1405">
            <v>0</v>
          </cell>
          <cell r="AB1405">
            <v>0</v>
          </cell>
          <cell r="AC1405">
            <v>0</v>
          </cell>
          <cell r="AD1405">
            <v>38</v>
          </cell>
          <cell r="AE1405">
            <v>230000</v>
          </cell>
          <cell r="AF1405">
            <v>0</v>
          </cell>
          <cell r="AI1405">
            <v>2223</v>
          </cell>
          <cell r="AK1405">
            <v>0</v>
          </cell>
          <cell r="AM1405">
            <v>658</v>
          </cell>
          <cell r="AN1405">
            <v>1</v>
          </cell>
          <cell r="AO1405">
            <v>393216</v>
          </cell>
          <cell r="AQ1405">
            <v>0</v>
          </cell>
          <cell r="AR1405">
            <v>0</v>
          </cell>
          <cell r="AS1405" t="str">
            <v>Ы</v>
          </cell>
          <cell r="AT1405" t="str">
            <v>Ы</v>
          </cell>
          <cell r="AU1405">
            <v>0</v>
          </cell>
          <cell r="AV1405">
            <v>0</v>
          </cell>
          <cell r="AW1405">
            <v>23</v>
          </cell>
          <cell r="AX1405">
            <v>1</v>
          </cell>
          <cell r="AY1405">
            <v>0</v>
          </cell>
          <cell r="AZ1405">
            <v>0</v>
          </cell>
          <cell r="BA1405">
            <v>0</v>
          </cell>
          <cell r="BB1405">
            <v>0</v>
          </cell>
          <cell r="BC1405">
            <v>38828</v>
          </cell>
        </row>
        <row r="1406">
          <cell r="A1406">
            <v>2006</v>
          </cell>
          <cell r="B1406">
            <v>1</v>
          </cell>
          <cell r="C1406">
            <v>532</v>
          </cell>
          <cell r="D1406">
            <v>20</v>
          </cell>
          <cell r="E1406">
            <v>792020</v>
          </cell>
          <cell r="F1406">
            <v>0</v>
          </cell>
          <cell r="G1406" t="str">
            <v>Затраты по ШПЗ (основные)</v>
          </cell>
          <cell r="H1406">
            <v>2011</v>
          </cell>
          <cell r="I1406">
            <v>7920</v>
          </cell>
          <cell r="J1406">
            <v>14500</v>
          </cell>
          <cell r="K1406">
            <v>1</v>
          </cell>
          <cell r="L1406">
            <v>0</v>
          </cell>
          <cell r="M1406">
            <v>0</v>
          </cell>
          <cell r="N1406">
            <v>0</v>
          </cell>
          <cell r="R1406">
            <v>0</v>
          </cell>
          <cell r="S1406">
            <v>0</v>
          </cell>
          <cell r="T1406">
            <v>0</v>
          </cell>
          <cell r="U1406">
            <v>38</v>
          </cell>
          <cell r="V1406">
            <v>0</v>
          </cell>
          <cell r="W1406">
            <v>0</v>
          </cell>
          <cell r="AA1406">
            <v>0</v>
          </cell>
          <cell r="AB1406">
            <v>0</v>
          </cell>
          <cell r="AC1406">
            <v>0</v>
          </cell>
          <cell r="AD1406">
            <v>38</v>
          </cell>
          <cell r="AE1406">
            <v>240000</v>
          </cell>
          <cell r="AF1406">
            <v>0</v>
          </cell>
          <cell r="AI1406">
            <v>2223</v>
          </cell>
          <cell r="AK1406">
            <v>0</v>
          </cell>
          <cell r="AM1406">
            <v>659</v>
          </cell>
          <cell r="AN1406">
            <v>1</v>
          </cell>
          <cell r="AO1406">
            <v>393216</v>
          </cell>
          <cell r="AQ1406">
            <v>0</v>
          </cell>
          <cell r="AR1406">
            <v>0</v>
          </cell>
          <cell r="AS1406" t="str">
            <v>Ы</v>
          </cell>
          <cell r="AT1406" t="str">
            <v>Ы</v>
          </cell>
          <cell r="AU1406">
            <v>0</v>
          </cell>
          <cell r="AV1406">
            <v>0</v>
          </cell>
          <cell r="AW1406">
            <v>23</v>
          </cell>
          <cell r="AX1406">
            <v>1</v>
          </cell>
          <cell r="AY1406">
            <v>0</v>
          </cell>
          <cell r="AZ1406">
            <v>0</v>
          </cell>
          <cell r="BA1406">
            <v>0</v>
          </cell>
          <cell r="BB1406">
            <v>0</v>
          </cell>
          <cell r="BC1406">
            <v>38828</v>
          </cell>
        </row>
        <row r="1407">
          <cell r="A1407">
            <v>2006</v>
          </cell>
          <cell r="B1407">
            <v>1</v>
          </cell>
          <cell r="C1407">
            <v>533</v>
          </cell>
          <cell r="D1407">
            <v>20</v>
          </cell>
          <cell r="E1407">
            <v>792020</v>
          </cell>
          <cell r="F1407">
            <v>0</v>
          </cell>
          <cell r="G1407" t="str">
            <v>Затраты по ШПЗ (основные)</v>
          </cell>
          <cell r="H1407">
            <v>2011</v>
          </cell>
          <cell r="I1407">
            <v>7920</v>
          </cell>
          <cell r="J1407">
            <v>37252.58</v>
          </cell>
          <cell r="K1407">
            <v>1</v>
          </cell>
          <cell r="L1407">
            <v>0</v>
          </cell>
          <cell r="M1407">
            <v>0</v>
          </cell>
          <cell r="N1407">
            <v>0</v>
          </cell>
          <cell r="R1407">
            <v>0</v>
          </cell>
          <cell r="S1407">
            <v>0</v>
          </cell>
          <cell r="T1407">
            <v>0</v>
          </cell>
          <cell r="U1407">
            <v>38</v>
          </cell>
          <cell r="V1407">
            <v>0</v>
          </cell>
          <cell r="W1407">
            <v>0</v>
          </cell>
          <cell r="AA1407">
            <v>0</v>
          </cell>
          <cell r="AB1407">
            <v>0</v>
          </cell>
          <cell r="AC1407">
            <v>0</v>
          </cell>
          <cell r="AD1407">
            <v>38</v>
          </cell>
          <cell r="AE1407">
            <v>260000</v>
          </cell>
          <cell r="AF1407">
            <v>0</v>
          </cell>
          <cell r="AI1407">
            <v>2223</v>
          </cell>
          <cell r="AK1407">
            <v>0</v>
          </cell>
          <cell r="AM1407">
            <v>660</v>
          </cell>
          <cell r="AN1407">
            <v>1</v>
          </cell>
          <cell r="AO1407">
            <v>393216</v>
          </cell>
          <cell r="AQ1407">
            <v>0</v>
          </cell>
          <cell r="AR1407">
            <v>0</v>
          </cell>
          <cell r="AS1407" t="str">
            <v>Ы</v>
          </cell>
          <cell r="AT1407" t="str">
            <v>Ы</v>
          </cell>
          <cell r="AU1407">
            <v>0</v>
          </cell>
          <cell r="AV1407">
            <v>0</v>
          </cell>
          <cell r="AW1407">
            <v>23</v>
          </cell>
          <cell r="AX1407">
            <v>1</v>
          </cell>
          <cell r="AY1407">
            <v>0</v>
          </cell>
          <cell r="AZ1407">
            <v>0</v>
          </cell>
          <cell r="BA1407">
            <v>0</v>
          </cell>
          <cell r="BB1407">
            <v>0</v>
          </cell>
          <cell r="BC1407">
            <v>38828</v>
          </cell>
        </row>
        <row r="1408">
          <cell r="A1408">
            <v>2006</v>
          </cell>
          <cell r="B1408">
            <v>1</v>
          </cell>
          <cell r="C1408">
            <v>534</v>
          </cell>
          <cell r="D1408">
            <v>20</v>
          </cell>
          <cell r="E1408">
            <v>792020</v>
          </cell>
          <cell r="F1408">
            <v>0</v>
          </cell>
          <cell r="G1408" t="str">
            <v>Затраты по ШПЗ (основные)</v>
          </cell>
          <cell r="H1408">
            <v>2011</v>
          </cell>
          <cell r="I1408">
            <v>7920</v>
          </cell>
          <cell r="J1408">
            <v>201196.92</v>
          </cell>
          <cell r="K1408">
            <v>1</v>
          </cell>
          <cell r="L1408">
            <v>0</v>
          </cell>
          <cell r="M1408">
            <v>0</v>
          </cell>
          <cell r="N1408">
            <v>0</v>
          </cell>
          <cell r="R1408">
            <v>0</v>
          </cell>
          <cell r="S1408">
            <v>0</v>
          </cell>
          <cell r="T1408">
            <v>0</v>
          </cell>
          <cell r="U1408">
            <v>38</v>
          </cell>
          <cell r="V1408">
            <v>0</v>
          </cell>
          <cell r="W1408">
            <v>0</v>
          </cell>
          <cell r="AA1408">
            <v>0</v>
          </cell>
          <cell r="AB1408">
            <v>0</v>
          </cell>
          <cell r="AC1408">
            <v>0</v>
          </cell>
          <cell r="AD1408">
            <v>38</v>
          </cell>
          <cell r="AE1408">
            <v>270000</v>
          </cell>
          <cell r="AF1408">
            <v>0</v>
          </cell>
          <cell r="AI1408">
            <v>2223</v>
          </cell>
          <cell r="AK1408">
            <v>0</v>
          </cell>
          <cell r="AM1408">
            <v>661</v>
          </cell>
          <cell r="AN1408">
            <v>1</v>
          </cell>
          <cell r="AO1408">
            <v>393216</v>
          </cell>
          <cell r="AQ1408">
            <v>0</v>
          </cell>
          <cell r="AR1408">
            <v>0</v>
          </cell>
          <cell r="AS1408" t="str">
            <v>Ы</v>
          </cell>
          <cell r="AT1408" t="str">
            <v>Ы</v>
          </cell>
          <cell r="AU1408">
            <v>0</v>
          </cell>
          <cell r="AV1408">
            <v>0</v>
          </cell>
          <cell r="AW1408">
            <v>23</v>
          </cell>
          <cell r="AX1408">
            <v>1</v>
          </cell>
          <cell r="AY1408">
            <v>0</v>
          </cell>
          <cell r="AZ1408">
            <v>0</v>
          </cell>
          <cell r="BA1408">
            <v>0</v>
          </cell>
          <cell r="BB1408">
            <v>0</v>
          </cell>
          <cell r="BC1408">
            <v>38828</v>
          </cell>
        </row>
        <row r="1409">
          <cell r="A1409">
            <v>2006</v>
          </cell>
          <cell r="B1409">
            <v>1</v>
          </cell>
          <cell r="C1409">
            <v>535</v>
          </cell>
          <cell r="D1409">
            <v>20</v>
          </cell>
          <cell r="E1409">
            <v>792020</v>
          </cell>
          <cell r="F1409">
            <v>0</v>
          </cell>
          <cell r="G1409" t="str">
            <v>Затраты по ШПЗ (основные)</v>
          </cell>
          <cell r="H1409">
            <v>2011</v>
          </cell>
          <cell r="I1409">
            <v>7920</v>
          </cell>
          <cell r="J1409">
            <v>89478.34</v>
          </cell>
          <cell r="K1409">
            <v>1</v>
          </cell>
          <cell r="L1409">
            <v>0</v>
          </cell>
          <cell r="M1409">
            <v>0</v>
          </cell>
          <cell r="N1409">
            <v>0</v>
          </cell>
          <cell r="R1409">
            <v>0</v>
          </cell>
          <cell r="S1409">
            <v>0</v>
          </cell>
          <cell r="T1409">
            <v>0</v>
          </cell>
          <cell r="U1409">
            <v>38</v>
          </cell>
          <cell r="V1409">
            <v>0</v>
          </cell>
          <cell r="W1409">
            <v>0</v>
          </cell>
          <cell r="AA1409">
            <v>0</v>
          </cell>
          <cell r="AB1409">
            <v>0</v>
          </cell>
          <cell r="AC1409">
            <v>0</v>
          </cell>
          <cell r="AD1409">
            <v>38</v>
          </cell>
          <cell r="AE1409">
            <v>280100</v>
          </cell>
          <cell r="AF1409">
            <v>0</v>
          </cell>
          <cell r="AI1409">
            <v>2223</v>
          </cell>
          <cell r="AK1409">
            <v>0</v>
          </cell>
          <cell r="AM1409">
            <v>662</v>
          </cell>
          <cell r="AN1409">
            <v>1</v>
          </cell>
          <cell r="AO1409">
            <v>393216</v>
          </cell>
          <cell r="AQ1409">
            <v>0</v>
          </cell>
          <cell r="AR1409">
            <v>0</v>
          </cell>
          <cell r="AS1409" t="str">
            <v>Ы</v>
          </cell>
          <cell r="AT1409" t="str">
            <v>Ы</v>
          </cell>
          <cell r="AU1409">
            <v>0</v>
          </cell>
          <cell r="AV1409">
            <v>0</v>
          </cell>
          <cell r="AW1409">
            <v>23</v>
          </cell>
          <cell r="AX1409">
            <v>1</v>
          </cell>
          <cell r="AY1409">
            <v>0</v>
          </cell>
          <cell r="AZ1409">
            <v>0</v>
          </cell>
          <cell r="BA1409">
            <v>0</v>
          </cell>
          <cell r="BB1409">
            <v>0</v>
          </cell>
          <cell r="BC1409">
            <v>38828</v>
          </cell>
        </row>
        <row r="1410">
          <cell r="A1410">
            <v>2006</v>
          </cell>
          <cell r="B1410">
            <v>1</v>
          </cell>
          <cell r="C1410">
            <v>536</v>
          </cell>
          <cell r="D1410">
            <v>20</v>
          </cell>
          <cell r="E1410">
            <v>792020</v>
          </cell>
          <cell r="F1410">
            <v>0</v>
          </cell>
          <cell r="G1410" t="str">
            <v>Затраты по ШПЗ (основные)</v>
          </cell>
          <cell r="H1410">
            <v>2011</v>
          </cell>
          <cell r="I1410">
            <v>7920</v>
          </cell>
          <cell r="J1410">
            <v>1621.17</v>
          </cell>
          <cell r="K1410">
            <v>1</v>
          </cell>
          <cell r="L1410">
            <v>0</v>
          </cell>
          <cell r="M1410">
            <v>0</v>
          </cell>
          <cell r="N1410">
            <v>0</v>
          </cell>
          <cell r="R1410">
            <v>0</v>
          </cell>
          <cell r="S1410">
            <v>0</v>
          </cell>
          <cell r="T1410">
            <v>0</v>
          </cell>
          <cell r="U1410">
            <v>38</v>
          </cell>
          <cell r="V1410">
            <v>0</v>
          </cell>
          <cell r="W1410">
            <v>0</v>
          </cell>
          <cell r="AA1410">
            <v>0</v>
          </cell>
          <cell r="AB1410">
            <v>0</v>
          </cell>
          <cell r="AC1410">
            <v>0</v>
          </cell>
          <cell r="AD1410">
            <v>38</v>
          </cell>
          <cell r="AE1410">
            <v>280200</v>
          </cell>
          <cell r="AF1410">
            <v>0</v>
          </cell>
          <cell r="AI1410">
            <v>2223</v>
          </cell>
          <cell r="AK1410">
            <v>0</v>
          </cell>
          <cell r="AM1410">
            <v>663</v>
          </cell>
          <cell r="AN1410">
            <v>1</v>
          </cell>
          <cell r="AO1410">
            <v>393216</v>
          </cell>
          <cell r="AQ1410">
            <v>0</v>
          </cell>
          <cell r="AR1410">
            <v>0</v>
          </cell>
          <cell r="AS1410" t="str">
            <v>Ы</v>
          </cell>
          <cell r="AT1410" t="str">
            <v>Ы</v>
          </cell>
          <cell r="AU1410">
            <v>0</v>
          </cell>
          <cell r="AV1410">
            <v>0</v>
          </cell>
          <cell r="AW1410">
            <v>23</v>
          </cell>
          <cell r="AX1410">
            <v>1</v>
          </cell>
          <cell r="AY1410">
            <v>0</v>
          </cell>
          <cell r="AZ1410">
            <v>0</v>
          </cell>
          <cell r="BA1410">
            <v>0</v>
          </cell>
          <cell r="BB1410">
            <v>0</v>
          </cell>
          <cell r="BC1410">
            <v>38828</v>
          </cell>
        </row>
        <row r="1411">
          <cell r="A1411">
            <v>2006</v>
          </cell>
          <cell r="B1411">
            <v>1</v>
          </cell>
          <cell r="C1411">
            <v>537</v>
          </cell>
          <cell r="D1411">
            <v>20</v>
          </cell>
          <cell r="E1411">
            <v>792020</v>
          </cell>
          <cell r="F1411">
            <v>0</v>
          </cell>
          <cell r="G1411" t="str">
            <v>Затраты по ШПЗ (основные)</v>
          </cell>
          <cell r="H1411">
            <v>2011</v>
          </cell>
          <cell r="I1411">
            <v>7920</v>
          </cell>
          <cell r="J1411">
            <v>9065.5300000000007</v>
          </cell>
          <cell r="K1411">
            <v>1</v>
          </cell>
          <cell r="L1411">
            <v>0</v>
          </cell>
          <cell r="M1411">
            <v>0</v>
          </cell>
          <cell r="N1411">
            <v>0</v>
          </cell>
          <cell r="R1411">
            <v>0</v>
          </cell>
          <cell r="S1411">
            <v>0</v>
          </cell>
          <cell r="T1411">
            <v>0</v>
          </cell>
          <cell r="U1411">
            <v>38</v>
          </cell>
          <cell r="V1411">
            <v>0</v>
          </cell>
          <cell r="W1411">
            <v>0</v>
          </cell>
          <cell r="AA1411">
            <v>0</v>
          </cell>
          <cell r="AB1411">
            <v>0</v>
          </cell>
          <cell r="AC1411">
            <v>0</v>
          </cell>
          <cell r="AD1411">
            <v>38</v>
          </cell>
          <cell r="AE1411">
            <v>280300</v>
          </cell>
          <cell r="AF1411">
            <v>0</v>
          </cell>
          <cell r="AI1411">
            <v>2223</v>
          </cell>
          <cell r="AK1411">
            <v>0</v>
          </cell>
          <cell r="AM1411">
            <v>664</v>
          </cell>
          <cell r="AN1411">
            <v>1</v>
          </cell>
          <cell r="AO1411">
            <v>393216</v>
          </cell>
          <cell r="AQ1411">
            <v>0</v>
          </cell>
          <cell r="AR1411">
            <v>0</v>
          </cell>
          <cell r="AS1411" t="str">
            <v>Ы</v>
          </cell>
          <cell r="AT1411" t="str">
            <v>Ы</v>
          </cell>
          <cell r="AU1411">
            <v>0</v>
          </cell>
          <cell r="AV1411">
            <v>0</v>
          </cell>
          <cell r="AW1411">
            <v>23</v>
          </cell>
          <cell r="AX1411">
            <v>1</v>
          </cell>
          <cell r="AY1411">
            <v>0</v>
          </cell>
          <cell r="AZ1411">
            <v>0</v>
          </cell>
          <cell r="BA1411">
            <v>0</v>
          </cell>
          <cell r="BB1411">
            <v>0</v>
          </cell>
          <cell r="BC1411">
            <v>38828</v>
          </cell>
        </row>
        <row r="1412">
          <cell r="A1412">
            <v>2006</v>
          </cell>
          <cell r="B1412">
            <v>1</v>
          </cell>
          <cell r="C1412">
            <v>538</v>
          </cell>
          <cell r="D1412">
            <v>20</v>
          </cell>
          <cell r="E1412">
            <v>792020</v>
          </cell>
          <cell r="F1412">
            <v>0</v>
          </cell>
          <cell r="G1412" t="str">
            <v>Затраты по ШПЗ (основные)</v>
          </cell>
          <cell r="H1412">
            <v>2011</v>
          </cell>
          <cell r="I1412">
            <v>7920</v>
          </cell>
          <cell r="J1412">
            <v>17980.27</v>
          </cell>
          <cell r="K1412">
            <v>1</v>
          </cell>
          <cell r="L1412">
            <v>0</v>
          </cell>
          <cell r="M1412">
            <v>0</v>
          </cell>
          <cell r="N1412">
            <v>0</v>
          </cell>
          <cell r="R1412">
            <v>0</v>
          </cell>
          <cell r="S1412">
            <v>0</v>
          </cell>
          <cell r="T1412">
            <v>0</v>
          </cell>
          <cell r="U1412">
            <v>38</v>
          </cell>
          <cell r="V1412">
            <v>0</v>
          </cell>
          <cell r="W1412">
            <v>0</v>
          </cell>
          <cell r="AA1412">
            <v>0</v>
          </cell>
          <cell r="AB1412">
            <v>0</v>
          </cell>
          <cell r="AC1412">
            <v>0</v>
          </cell>
          <cell r="AD1412">
            <v>38</v>
          </cell>
          <cell r="AE1412">
            <v>280400</v>
          </cell>
          <cell r="AF1412">
            <v>0</v>
          </cell>
          <cell r="AI1412">
            <v>2223</v>
          </cell>
          <cell r="AK1412">
            <v>0</v>
          </cell>
          <cell r="AM1412">
            <v>665</v>
          </cell>
          <cell r="AN1412">
            <v>1</v>
          </cell>
          <cell r="AO1412">
            <v>393216</v>
          </cell>
          <cell r="AQ1412">
            <v>0</v>
          </cell>
          <cell r="AR1412">
            <v>0</v>
          </cell>
          <cell r="AS1412" t="str">
            <v>Ы</v>
          </cell>
          <cell r="AT1412" t="str">
            <v>Ы</v>
          </cell>
          <cell r="AU1412">
            <v>0</v>
          </cell>
          <cell r="AV1412">
            <v>0</v>
          </cell>
          <cell r="AW1412">
            <v>23</v>
          </cell>
          <cell r="AX1412">
            <v>1</v>
          </cell>
          <cell r="AY1412">
            <v>0</v>
          </cell>
          <cell r="AZ1412">
            <v>0</v>
          </cell>
          <cell r="BA1412">
            <v>0</v>
          </cell>
          <cell r="BB1412">
            <v>0</v>
          </cell>
          <cell r="BC1412">
            <v>38828</v>
          </cell>
        </row>
        <row r="1413">
          <cell r="A1413">
            <v>2006</v>
          </cell>
          <cell r="B1413">
            <v>1</v>
          </cell>
          <cell r="C1413">
            <v>539</v>
          </cell>
          <cell r="D1413">
            <v>20</v>
          </cell>
          <cell r="E1413">
            <v>792020</v>
          </cell>
          <cell r="F1413">
            <v>0</v>
          </cell>
          <cell r="G1413" t="str">
            <v>Затраты по ШПЗ (основные)</v>
          </cell>
          <cell r="H1413">
            <v>2011</v>
          </cell>
          <cell r="I1413">
            <v>7920</v>
          </cell>
          <cell r="J1413">
            <v>26377.88</v>
          </cell>
          <cell r="K1413">
            <v>1</v>
          </cell>
          <cell r="L1413">
            <v>0</v>
          </cell>
          <cell r="M1413">
            <v>0</v>
          </cell>
          <cell r="N1413">
            <v>0</v>
          </cell>
          <cell r="R1413">
            <v>0</v>
          </cell>
          <cell r="S1413">
            <v>0</v>
          </cell>
          <cell r="T1413">
            <v>0</v>
          </cell>
          <cell r="U1413">
            <v>38</v>
          </cell>
          <cell r="V1413">
            <v>0</v>
          </cell>
          <cell r="W1413">
            <v>0</v>
          </cell>
          <cell r="AA1413">
            <v>0</v>
          </cell>
          <cell r="AB1413">
            <v>0</v>
          </cell>
          <cell r="AC1413">
            <v>0</v>
          </cell>
          <cell r="AD1413">
            <v>38</v>
          </cell>
          <cell r="AE1413">
            <v>281100</v>
          </cell>
          <cell r="AF1413">
            <v>0</v>
          </cell>
          <cell r="AI1413">
            <v>2223</v>
          </cell>
          <cell r="AK1413">
            <v>0</v>
          </cell>
          <cell r="AM1413">
            <v>666</v>
          </cell>
          <cell r="AN1413">
            <v>1</v>
          </cell>
          <cell r="AO1413">
            <v>393216</v>
          </cell>
          <cell r="AQ1413">
            <v>0</v>
          </cell>
          <cell r="AR1413">
            <v>0</v>
          </cell>
          <cell r="AS1413" t="str">
            <v>Ы</v>
          </cell>
          <cell r="AT1413" t="str">
            <v>Ы</v>
          </cell>
          <cell r="AU1413">
            <v>0</v>
          </cell>
          <cell r="AV1413">
            <v>0</v>
          </cell>
          <cell r="AW1413">
            <v>23</v>
          </cell>
          <cell r="AX1413">
            <v>1</v>
          </cell>
          <cell r="AY1413">
            <v>0</v>
          </cell>
          <cell r="AZ1413">
            <v>0</v>
          </cell>
          <cell r="BA1413">
            <v>0</v>
          </cell>
          <cell r="BB1413">
            <v>0</v>
          </cell>
          <cell r="BC1413">
            <v>38828</v>
          </cell>
        </row>
        <row r="1414">
          <cell r="A1414">
            <v>2006</v>
          </cell>
          <cell r="B1414">
            <v>1</v>
          </cell>
          <cell r="C1414">
            <v>540</v>
          </cell>
          <cell r="D1414">
            <v>20</v>
          </cell>
          <cell r="E1414">
            <v>792020</v>
          </cell>
          <cell r="F1414">
            <v>0</v>
          </cell>
          <cell r="G1414" t="str">
            <v>Затраты по ШПЗ (основные)</v>
          </cell>
          <cell r="H1414">
            <v>2011</v>
          </cell>
          <cell r="I1414">
            <v>7920</v>
          </cell>
          <cell r="J1414">
            <v>18929.38</v>
          </cell>
          <cell r="K1414">
            <v>1</v>
          </cell>
          <cell r="L1414">
            <v>0</v>
          </cell>
          <cell r="M1414">
            <v>0</v>
          </cell>
          <cell r="N1414">
            <v>0</v>
          </cell>
          <cell r="R1414">
            <v>0</v>
          </cell>
          <cell r="S1414">
            <v>0</v>
          </cell>
          <cell r="T1414">
            <v>0</v>
          </cell>
          <cell r="U1414">
            <v>38</v>
          </cell>
          <cell r="V1414">
            <v>0</v>
          </cell>
          <cell r="W1414">
            <v>0</v>
          </cell>
          <cell r="AA1414">
            <v>0</v>
          </cell>
          <cell r="AB1414">
            <v>0</v>
          </cell>
          <cell r="AC1414">
            <v>0</v>
          </cell>
          <cell r="AD1414">
            <v>38</v>
          </cell>
          <cell r="AE1414">
            <v>282200</v>
          </cell>
          <cell r="AF1414">
            <v>0</v>
          </cell>
          <cell r="AI1414">
            <v>2223</v>
          </cell>
          <cell r="AK1414">
            <v>0</v>
          </cell>
          <cell r="AM1414">
            <v>667</v>
          </cell>
          <cell r="AN1414">
            <v>1</v>
          </cell>
          <cell r="AO1414">
            <v>393216</v>
          </cell>
          <cell r="AQ1414">
            <v>0</v>
          </cell>
          <cell r="AR1414">
            <v>0</v>
          </cell>
          <cell r="AS1414" t="str">
            <v>Ы</v>
          </cell>
          <cell r="AT1414" t="str">
            <v>Ы</v>
          </cell>
          <cell r="AU1414">
            <v>0</v>
          </cell>
          <cell r="AV1414">
            <v>0</v>
          </cell>
          <cell r="AW1414">
            <v>23</v>
          </cell>
          <cell r="AX1414">
            <v>1</v>
          </cell>
          <cell r="AY1414">
            <v>0</v>
          </cell>
          <cell r="AZ1414">
            <v>0</v>
          </cell>
          <cell r="BA1414">
            <v>0</v>
          </cell>
          <cell r="BB1414">
            <v>0</v>
          </cell>
          <cell r="BC1414">
            <v>38828</v>
          </cell>
        </row>
        <row r="1415">
          <cell r="A1415">
            <v>2006</v>
          </cell>
          <cell r="B1415">
            <v>1</v>
          </cell>
          <cell r="C1415">
            <v>541</v>
          </cell>
          <cell r="D1415">
            <v>20</v>
          </cell>
          <cell r="E1415">
            <v>792020</v>
          </cell>
          <cell r="F1415">
            <v>0</v>
          </cell>
          <cell r="G1415" t="str">
            <v>Затраты по ШПЗ (основные)</v>
          </cell>
          <cell r="H1415">
            <v>2011</v>
          </cell>
          <cell r="I1415">
            <v>7920</v>
          </cell>
          <cell r="J1415">
            <v>28400</v>
          </cell>
          <cell r="K1415">
            <v>1</v>
          </cell>
          <cell r="L1415">
            <v>0</v>
          </cell>
          <cell r="M1415">
            <v>0</v>
          </cell>
          <cell r="N1415">
            <v>0</v>
          </cell>
          <cell r="R1415">
            <v>0</v>
          </cell>
          <cell r="S1415">
            <v>0</v>
          </cell>
          <cell r="T1415">
            <v>0</v>
          </cell>
          <cell r="U1415">
            <v>38</v>
          </cell>
          <cell r="V1415">
            <v>0</v>
          </cell>
          <cell r="W1415">
            <v>0</v>
          </cell>
          <cell r="AA1415">
            <v>0</v>
          </cell>
          <cell r="AB1415">
            <v>0</v>
          </cell>
          <cell r="AC1415">
            <v>0</v>
          </cell>
          <cell r="AD1415">
            <v>38</v>
          </cell>
          <cell r="AE1415">
            <v>283000</v>
          </cell>
          <cell r="AF1415">
            <v>0</v>
          </cell>
          <cell r="AI1415">
            <v>2223</v>
          </cell>
          <cell r="AK1415">
            <v>0</v>
          </cell>
          <cell r="AM1415">
            <v>668</v>
          </cell>
          <cell r="AN1415">
            <v>1</v>
          </cell>
          <cell r="AO1415">
            <v>393216</v>
          </cell>
          <cell r="AQ1415">
            <v>0</v>
          </cell>
          <cell r="AR1415">
            <v>0</v>
          </cell>
          <cell r="AS1415" t="str">
            <v>Ы</v>
          </cell>
          <cell r="AT1415" t="str">
            <v>Ы</v>
          </cell>
          <cell r="AU1415">
            <v>0</v>
          </cell>
          <cell r="AV1415">
            <v>0</v>
          </cell>
          <cell r="AW1415">
            <v>23</v>
          </cell>
          <cell r="AX1415">
            <v>1</v>
          </cell>
          <cell r="AY1415">
            <v>0</v>
          </cell>
          <cell r="AZ1415">
            <v>0</v>
          </cell>
          <cell r="BA1415">
            <v>0</v>
          </cell>
          <cell r="BB1415">
            <v>0</v>
          </cell>
          <cell r="BC1415">
            <v>38828</v>
          </cell>
        </row>
        <row r="1416">
          <cell r="A1416">
            <v>2006</v>
          </cell>
          <cell r="B1416">
            <v>1</v>
          </cell>
          <cell r="C1416">
            <v>542</v>
          </cell>
          <cell r="D1416">
            <v>20</v>
          </cell>
          <cell r="E1416">
            <v>792020</v>
          </cell>
          <cell r="F1416">
            <v>0</v>
          </cell>
          <cell r="G1416" t="str">
            <v>Затраты по ШПЗ (основные)</v>
          </cell>
          <cell r="H1416">
            <v>2011</v>
          </cell>
          <cell r="I1416">
            <v>7920</v>
          </cell>
          <cell r="J1416">
            <v>9975.19</v>
          </cell>
          <cell r="K1416">
            <v>1</v>
          </cell>
          <cell r="L1416">
            <v>0</v>
          </cell>
          <cell r="M1416">
            <v>0</v>
          </cell>
          <cell r="N1416">
            <v>0</v>
          </cell>
          <cell r="R1416">
            <v>0</v>
          </cell>
          <cell r="S1416">
            <v>0</v>
          </cell>
          <cell r="T1416">
            <v>0</v>
          </cell>
          <cell r="U1416">
            <v>38</v>
          </cell>
          <cell r="V1416">
            <v>0</v>
          </cell>
          <cell r="W1416">
            <v>0</v>
          </cell>
          <cell r="AA1416">
            <v>0</v>
          </cell>
          <cell r="AB1416">
            <v>0</v>
          </cell>
          <cell r="AC1416">
            <v>0</v>
          </cell>
          <cell r="AD1416">
            <v>38</v>
          </cell>
          <cell r="AE1416">
            <v>285000</v>
          </cell>
          <cell r="AF1416">
            <v>0</v>
          </cell>
          <cell r="AI1416">
            <v>2223</v>
          </cell>
          <cell r="AK1416">
            <v>0</v>
          </cell>
          <cell r="AM1416">
            <v>669</v>
          </cell>
          <cell r="AN1416">
            <v>1</v>
          </cell>
          <cell r="AO1416">
            <v>393216</v>
          </cell>
          <cell r="AQ1416">
            <v>0</v>
          </cell>
          <cell r="AR1416">
            <v>0</v>
          </cell>
          <cell r="AS1416" t="str">
            <v>Ы</v>
          </cell>
          <cell r="AT1416" t="str">
            <v>Ы</v>
          </cell>
          <cell r="AU1416">
            <v>0</v>
          </cell>
          <cell r="AV1416">
            <v>0</v>
          </cell>
          <cell r="AW1416">
            <v>23</v>
          </cell>
          <cell r="AX1416">
            <v>1</v>
          </cell>
          <cell r="AY1416">
            <v>0</v>
          </cell>
          <cell r="AZ1416">
            <v>0</v>
          </cell>
          <cell r="BA1416">
            <v>0</v>
          </cell>
          <cell r="BB1416">
            <v>0</v>
          </cell>
          <cell r="BC1416">
            <v>38828</v>
          </cell>
        </row>
        <row r="1417">
          <cell r="A1417">
            <v>2006</v>
          </cell>
          <cell r="B1417">
            <v>1</v>
          </cell>
          <cell r="C1417">
            <v>543</v>
          </cell>
          <cell r="D1417">
            <v>20</v>
          </cell>
          <cell r="E1417">
            <v>792020</v>
          </cell>
          <cell r="F1417">
            <v>0</v>
          </cell>
          <cell r="G1417" t="str">
            <v>Затраты по ШПЗ (основные)</v>
          </cell>
          <cell r="H1417">
            <v>2011</v>
          </cell>
          <cell r="I1417">
            <v>7920</v>
          </cell>
          <cell r="J1417">
            <v>80576.14</v>
          </cell>
          <cell r="K1417">
            <v>1</v>
          </cell>
          <cell r="L1417">
            <v>0</v>
          </cell>
          <cell r="M1417">
            <v>0</v>
          </cell>
          <cell r="N1417">
            <v>0</v>
          </cell>
          <cell r="R1417">
            <v>0</v>
          </cell>
          <cell r="S1417">
            <v>0</v>
          </cell>
          <cell r="T1417">
            <v>0</v>
          </cell>
          <cell r="U1417">
            <v>38</v>
          </cell>
          <cell r="V1417">
            <v>0</v>
          </cell>
          <cell r="W1417">
            <v>0</v>
          </cell>
          <cell r="AA1417">
            <v>0</v>
          </cell>
          <cell r="AB1417">
            <v>0</v>
          </cell>
          <cell r="AC1417">
            <v>0</v>
          </cell>
          <cell r="AD1417">
            <v>38</v>
          </cell>
          <cell r="AE1417">
            <v>311000</v>
          </cell>
          <cell r="AF1417">
            <v>0</v>
          </cell>
          <cell r="AI1417">
            <v>2223</v>
          </cell>
          <cell r="AK1417">
            <v>0</v>
          </cell>
          <cell r="AM1417">
            <v>670</v>
          </cell>
          <cell r="AN1417">
            <v>1</v>
          </cell>
          <cell r="AO1417">
            <v>393216</v>
          </cell>
          <cell r="AQ1417">
            <v>0</v>
          </cell>
          <cell r="AR1417">
            <v>0</v>
          </cell>
          <cell r="AS1417" t="str">
            <v>Ы</v>
          </cell>
          <cell r="AT1417" t="str">
            <v>Ы</v>
          </cell>
          <cell r="AU1417">
            <v>0</v>
          </cell>
          <cell r="AV1417">
            <v>0</v>
          </cell>
          <cell r="AW1417">
            <v>23</v>
          </cell>
          <cell r="AX1417">
            <v>1</v>
          </cell>
          <cell r="AY1417">
            <v>0</v>
          </cell>
          <cell r="AZ1417">
            <v>0</v>
          </cell>
          <cell r="BA1417">
            <v>0</v>
          </cell>
          <cell r="BB1417">
            <v>0</v>
          </cell>
          <cell r="BC1417">
            <v>38828</v>
          </cell>
        </row>
        <row r="1418">
          <cell r="A1418">
            <v>2006</v>
          </cell>
          <cell r="B1418">
            <v>1</v>
          </cell>
          <cell r="C1418">
            <v>544</v>
          </cell>
          <cell r="D1418">
            <v>20</v>
          </cell>
          <cell r="E1418">
            <v>792020</v>
          </cell>
          <cell r="F1418">
            <v>0</v>
          </cell>
          <cell r="G1418" t="str">
            <v>Затраты по ШПЗ (основные)</v>
          </cell>
          <cell r="H1418">
            <v>2011</v>
          </cell>
          <cell r="I1418">
            <v>7920</v>
          </cell>
          <cell r="J1418">
            <v>166650.65</v>
          </cell>
          <cell r="K1418">
            <v>1</v>
          </cell>
          <cell r="L1418">
            <v>0</v>
          </cell>
          <cell r="M1418">
            <v>0</v>
          </cell>
          <cell r="N1418">
            <v>0</v>
          </cell>
          <cell r="R1418">
            <v>0</v>
          </cell>
          <cell r="S1418">
            <v>0</v>
          </cell>
          <cell r="T1418">
            <v>0</v>
          </cell>
          <cell r="U1418">
            <v>38</v>
          </cell>
          <cell r="V1418">
            <v>0</v>
          </cell>
          <cell r="W1418">
            <v>0</v>
          </cell>
          <cell r="AA1418">
            <v>0</v>
          </cell>
          <cell r="AB1418">
            <v>0</v>
          </cell>
          <cell r="AC1418">
            <v>0</v>
          </cell>
          <cell r="AD1418">
            <v>38</v>
          </cell>
          <cell r="AE1418">
            <v>312000</v>
          </cell>
          <cell r="AF1418">
            <v>0</v>
          </cell>
          <cell r="AI1418">
            <v>2223</v>
          </cell>
          <cell r="AK1418">
            <v>0</v>
          </cell>
          <cell r="AM1418">
            <v>671</v>
          </cell>
          <cell r="AN1418">
            <v>1</v>
          </cell>
          <cell r="AO1418">
            <v>393216</v>
          </cell>
          <cell r="AQ1418">
            <v>0</v>
          </cell>
          <cell r="AR1418">
            <v>0</v>
          </cell>
          <cell r="AS1418" t="str">
            <v>Ы</v>
          </cell>
          <cell r="AT1418" t="str">
            <v>Ы</v>
          </cell>
          <cell r="AU1418">
            <v>0</v>
          </cell>
          <cell r="AV1418">
            <v>0</v>
          </cell>
          <cell r="AW1418">
            <v>23</v>
          </cell>
          <cell r="AX1418">
            <v>1</v>
          </cell>
          <cell r="AY1418">
            <v>0</v>
          </cell>
          <cell r="AZ1418">
            <v>0</v>
          </cell>
          <cell r="BA1418">
            <v>0</v>
          </cell>
          <cell r="BB1418">
            <v>0</v>
          </cell>
          <cell r="BC1418">
            <v>38828</v>
          </cell>
        </row>
        <row r="1419">
          <cell r="A1419">
            <v>2006</v>
          </cell>
          <cell r="B1419">
            <v>1</v>
          </cell>
          <cell r="C1419">
            <v>545</v>
          </cell>
          <cell r="D1419">
            <v>20</v>
          </cell>
          <cell r="E1419">
            <v>792020</v>
          </cell>
          <cell r="F1419">
            <v>0</v>
          </cell>
          <cell r="G1419" t="str">
            <v>Затраты по ШПЗ (основные)</v>
          </cell>
          <cell r="H1419">
            <v>2011</v>
          </cell>
          <cell r="I1419">
            <v>7920</v>
          </cell>
          <cell r="J1419">
            <v>27502.16</v>
          </cell>
          <cell r="K1419">
            <v>1</v>
          </cell>
          <cell r="L1419">
            <v>0</v>
          </cell>
          <cell r="M1419">
            <v>0</v>
          </cell>
          <cell r="N1419">
            <v>0</v>
          </cell>
          <cell r="R1419">
            <v>0</v>
          </cell>
          <cell r="S1419">
            <v>0</v>
          </cell>
          <cell r="T1419">
            <v>0</v>
          </cell>
          <cell r="U1419">
            <v>38</v>
          </cell>
          <cell r="V1419">
            <v>0</v>
          </cell>
          <cell r="W1419">
            <v>0</v>
          </cell>
          <cell r="AA1419">
            <v>0</v>
          </cell>
          <cell r="AB1419">
            <v>0</v>
          </cell>
          <cell r="AC1419">
            <v>0</v>
          </cell>
          <cell r="AD1419">
            <v>38</v>
          </cell>
          <cell r="AE1419">
            <v>312100</v>
          </cell>
          <cell r="AF1419">
            <v>0</v>
          </cell>
          <cell r="AI1419">
            <v>2223</v>
          </cell>
          <cell r="AK1419">
            <v>0</v>
          </cell>
          <cell r="AM1419">
            <v>672</v>
          </cell>
          <cell r="AN1419">
            <v>1</v>
          </cell>
          <cell r="AO1419">
            <v>393216</v>
          </cell>
          <cell r="AQ1419">
            <v>0</v>
          </cell>
          <cell r="AR1419">
            <v>0</v>
          </cell>
          <cell r="AS1419" t="str">
            <v>Ы</v>
          </cell>
          <cell r="AT1419" t="str">
            <v>Ы</v>
          </cell>
          <cell r="AU1419">
            <v>0</v>
          </cell>
          <cell r="AV1419">
            <v>0</v>
          </cell>
          <cell r="AW1419">
            <v>23</v>
          </cell>
          <cell r="AX1419">
            <v>1</v>
          </cell>
          <cell r="AY1419">
            <v>0</v>
          </cell>
          <cell r="AZ1419">
            <v>0</v>
          </cell>
          <cell r="BA1419">
            <v>0</v>
          </cell>
          <cell r="BB1419">
            <v>0</v>
          </cell>
          <cell r="BC1419">
            <v>38828</v>
          </cell>
        </row>
        <row r="1420">
          <cell r="A1420">
            <v>2006</v>
          </cell>
          <cell r="B1420">
            <v>1</v>
          </cell>
          <cell r="C1420">
            <v>546</v>
          </cell>
          <cell r="D1420">
            <v>20</v>
          </cell>
          <cell r="E1420">
            <v>792020</v>
          </cell>
          <cell r="F1420">
            <v>0</v>
          </cell>
          <cell r="G1420" t="str">
            <v>Затраты по ШПЗ (основные)</v>
          </cell>
          <cell r="H1420">
            <v>2011</v>
          </cell>
          <cell r="I1420">
            <v>7920</v>
          </cell>
          <cell r="J1420">
            <v>365189.91</v>
          </cell>
          <cell r="K1420">
            <v>1</v>
          </cell>
          <cell r="L1420">
            <v>0</v>
          </cell>
          <cell r="M1420">
            <v>0</v>
          </cell>
          <cell r="N1420">
            <v>0</v>
          </cell>
          <cell r="R1420">
            <v>0</v>
          </cell>
          <cell r="S1420">
            <v>0</v>
          </cell>
          <cell r="T1420">
            <v>0</v>
          </cell>
          <cell r="U1420">
            <v>38</v>
          </cell>
          <cell r="V1420">
            <v>0</v>
          </cell>
          <cell r="W1420">
            <v>0</v>
          </cell>
          <cell r="AA1420">
            <v>0</v>
          </cell>
          <cell r="AB1420">
            <v>0</v>
          </cell>
          <cell r="AC1420">
            <v>0</v>
          </cell>
          <cell r="AD1420">
            <v>38</v>
          </cell>
          <cell r="AE1420">
            <v>312200</v>
          </cell>
          <cell r="AF1420">
            <v>0</v>
          </cell>
          <cell r="AI1420">
            <v>2223</v>
          </cell>
          <cell r="AK1420">
            <v>0</v>
          </cell>
          <cell r="AM1420">
            <v>673</v>
          </cell>
          <cell r="AN1420">
            <v>1</v>
          </cell>
          <cell r="AO1420">
            <v>393216</v>
          </cell>
          <cell r="AQ1420">
            <v>0</v>
          </cell>
          <cell r="AR1420">
            <v>0</v>
          </cell>
          <cell r="AS1420" t="str">
            <v>Ы</v>
          </cell>
          <cell r="AT1420" t="str">
            <v>Ы</v>
          </cell>
          <cell r="AU1420">
            <v>0</v>
          </cell>
          <cell r="AV1420">
            <v>0</v>
          </cell>
          <cell r="AW1420">
            <v>23</v>
          </cell>
          <cell r="AX1420">
            <v>1</v>
          </cell>
          <cell r="AY1420">
            <v>0</v>
          </cell>
          <cell r="AZ1420">
            <v>0</v>
          </cell>
          <cell r="BA1420">
            <v>0</v>
          </cell>
          <cell r="BB1420">
            <v>0</v>
          </cell>
          <cell r="BC1420">
            <v>38828</v>
          </cell>
        </row>
        <row r="1421">
          <cell r="A1421">
            <v>2006</v>
          </cell>
          <cell r="B1421">
            <v>1</v>
          </cell>
          <cell r="C1421">
            <v>547</v>
          </cell>
          <cell r="D1421">
            <v>20</v>
          </cell>
          <cell r="E1421">
            <v>792020</v>
          </cell>
          <cell r="F1421">
            <v>0</v>
          </cell>
          <cell r="G1421" t="str">
            <v>Затраты по ШПЗ (основные)</v>
          </cell>
          <cell r="H1421">
            <v>2011</v>
          </cell>
          <cell r="I1421">
            <v>7920</v>
          </cell>
          <cell r="J1421">
            <v>30524.55</v>
          </cell>
          <cell r="K1421">
            <v>1</v>
          </cell>
          <cell r="L1421">
            <v>0</v>
          </cell>
          <cell r="M1421">
            <v>0</v>
          </cell>
          <cell r="N1421">
            <v>0</v>
          </cell>
          <cell r="R1421">
            <v>0</v>
          </cell>
          <cell r="S1421">
            <v>0</v>
          </cell>
          <cell r="T1421">
            <v>0</v>
          </cell>
          <cell r="U1421">
            <v>38</v>
          </cell>
          <cell r="V1421">
            <v>0</v>
          </cell>
          <cell r="W1421">
            <v>0</v>
          </cell>
          <cell r="AA1421">
            <v>0</v>
          </cell>
          <cell r="AB1421">
            <v>0</v>
          </cell>
          <cell r="AC1421">
            <v>0</v>
          </cell>
          <cell r="AD1421">
            <v>38</v>
          </cell>
          <cell r="AE1421">
            <v>313000</v>
          </cell>
          <cell r="AF1421">
            <v>0</v>
          </cell>
          <cell r="AI1421">
            <v>2223</v>
          </cell>
          <cell r="AK1421">
            <v>0</v>
          </cell>
          <cell r="AM1421">
            <v>674</v>
          </cell>
          <cell r="AN1421">
            <v>1</v>
          </cell>
          <cell r="AO1421">
            <v>393216</v>
          </cell>
          <cell r="AQ1421">
            <v>0</v>
          </cell>
          <cell r="AR1421">
            <v>0</v>
          </cell>
          <cell r="AS1421" t="str">
            <v>Ы</v>
          </cell>
          <cell r="AT1421" t="str">
            <v>Ы</v>
          </cell>
          <cell r="AU1421">
            <v>0</v>
          </cell>
          <cell r="AV1421">
            <v>0</v>
          </cell>
          <cell r="AW1421">
            <v>23</v>
          </cell>
          <cell r="AX1421">
            <v>1</v>
          </cell>
          <cell r="AY1421">
            <v>0</v>
          </cell>
          <cell r="AZ1421">
            <v>0</v>
          </cell>
          <cell r="BA1421">
            <v>0</v>
          </cell>
          <cell r="BB1421">
            <v>0</v>
          </cell>
          <cell r="BC1421">
            <v>38828</v>
          </cell>
        </row>
        <row r="1422">
          <cell r="A1422">
            <v>2006</v>
          </cell>
          <cell r="B1422">
            <v>1</v>
          </cell>
          <cell r="C1422">
            <v>548</v>
          </cell>
          <cell r="D1422">
            <v>20</v>
          </cell>
          <cell r="E1422">
            <v>792020</v>
          </cell>
          <cell r="F1422">
            <v>0</v>
          </cell>
          <cell r="G1422" t="str">
            <v>Затраты по ШПЗ (основные)</v>
          </cell>
          <cell r="H1422">
            <v>2011</v>
          </cell>
          <cell r="I1422">
            <v>7920</v>
          </cell>
          <cell r="J1422">
            <v>55550.44</v>
          </cell>
          <cell r="K1422">
            <v>1</v>
          </cell>
          <cell r="L1422">
            <v>0</v>
          </cell>
          <cell r="M1422">
            <v>0</v>
          </cell>
          <cell r="N1422">
            <v>0</v>
          </cell>
          <cell r="R1422">
            <v>0</v>
          </cell>
          <cell r="S1422">
            <v>0</v>
          </cell>
          <cell r="T1422">
            <v>0</v>
          </cell>
          <cell r="U1422">
            <v>38</v>
          </cell>
          <cell r="V1422">
            <v>0</v>
          </cell>
          <cell r="W1422">
            <v>0</v>
          </cell>
          <cell r="AA1422">
            <v>0</v>
          </cell>
          <cell r="AB1422">
            <v>0</v>
          </cell>
          <cell r="AC1422">
            <v>0</v>
          </cell>
          <cell r="AD1422">
            <v>38</v>
          </cell>
          <cell r="AE1422">
            <v>314000</v>
          </cell>
          <cell r="AF1422">
            <v>0</v>
          </cell>
          <cell r="AI1422">
            <v>2223</v>
          </cell>
          <cell r="AK1422">
            <v>0</v>
          </cell>
          <cell r="AM1422">
            <v>675</v>
          </cell>
          <cell r="AN1422">
            <v>1</v>
          </cell>
          <cell r="AO1422">
            <v>393216</v>
          </cell>
          <cell r="AQ1422">
            <v>0</v>
          </cell>
          <cell r="AR1422">
            <v>0</v>
          </cell>
          <cell r="AS1422" t="str">
            <v>Ы</v>
          </cell>
          <cell r="AT1422" t="str">
            <v>Ы</v>
          </cell>
          <cell r="AU1422">
            <v>0</v>
          </cell>
          <cell r="AV1422">
            <v>0</v>
          </cell>
          <cell r="AW1422">
            <v>23</v>
          </cell>
          <cell r="AX1422">
            <v>1</v>
          </cell>
          <cell r="AY1422">
            <v>0</v>
          </cell>
          <cell r="AZ1422">
            <v>0</v>
          </cell>
          <cell r="BA1422">
            <v>0</v>
          </cell>
          <cell r="BB1422">
            <v>0</v>
          </cell>
          <cell r="BC1422">
            <v>38828</v>
          </cell>
        </row>
        <row r="1423">
          <cell r="A1423">
            <v>2006</v>
          </cell>
          <cell r="B1423">
            <v>1</v>
          </cell>
          <cell r="C1423">
            <v>549</v>
          </cell>
          <cell r="D1423">
            <v>20</v>
          </cell>
          <cell r="E1423">
            <v>792020</v>
          </cell>
          <cell r="F1423">
            <v>0</v>
          </cell>
          <cell r="G1423" t="str">
            <v>Затраты по ШПЗ (основные)</v>
          </cell>
          <cell r="H1423">
            <v>2011</v>
          </cell>
          <cell r="I1423">
            <v>7920</v>
          </cell>
          <cell r="J1423">
            <v>11158.29</v>
          </cell>
          <cell r="K1423">
            <v>1</v>
          </cell>
          <cell r="L1423">
            <v>0</v>
          </cell>
          <cell r="M1423">
            <v>0</v>
          </cell>
          <cell r="N1423">
            <v>0</v>
          </cell>
          <cell r="R1423">
            <v>0</v>
          </cell>
          <cell r="S1423">
            <v>0</v>
          </cell>
          <cell r="T1423">
            <v>0</v>
          </cell>
          <cell r="U1423">
            <v>38</v>
          </cell>
          <cell r="V1423">
            <v>0</v>
          </cell>
          <cell r="W1423">
            <v>0</v>
          </cell>
          <cell r="AA1423">
            <v>0</v>
          </cell>
          <cell r="AB1423">
            <v>0</v>
          </cell>
          <cell r="AC1423">
            <v>0</v>
          </cell>
          <cell r="AD1423">
            <v>38</v>
          </cell>
          <cell r="AE1423">
            <v>315000</v>
          </cell>
          <cell r="AF1423">
            <v>0</v>
          </cell>
          <cell r="AI1423">
            <v>2223</v>
          </cell>
          <cell r="AK1423">
            <v>0</v>
          </cell>
          <cell r="AM1423">
            <v>676</v>
          </cell>
          <cell r="AN1423">
            <v>1</v>
          </cell>
          <cell r="AO1423">
            <v>393216</v>
          </cell>
          <cell r="AQ1423">
            <v>0</v>
          </cell>
          <cell r="AR1423">
            <v>0</v>
          </cell>
          <cell r="AS1423" t="str">
            <v>Ы</v>
          </cell>
          <cell r="AT1423" t="str">
            <v>Ы</v>
          </cell>
          <cell r="AU1423">
            <v>0</v>
          </cell>
          <cell r="AV1423">
            <v>0</v>
          </cell>
          <cell r="AW1423">
            <v>23</v>
          </cell>
          <cell r="AX1423">
            <v>1</v>
          </cell>
          <cell r="AY1423">
            <v>0</v>
          </cell>
          <cell r="AZ1423">
            <v>0</v>
          </cell>
          <cell r="BA1423">
            <v>0</v>
          </cell>
          <cell r="BB1423">
            <v>0</v>
          </cell>
          <cell r="BC1423">
            <v>38828</v>
          </cell>
        </row>
        <row r="1424">
          <cell r="A1424">
            <v>2006</v>
          </cell>
          <cell r="B1424">
            <v>1</v>
          </cell>
          <cell r="C1424">
            <v>550</v>
          </cell>
          <cell r="D1424">
            <v>20</v>
          </cell>
          <cell r="E1424">
            <v>792020</v>
          </cell>
          <cell r="F1424">
            <v>0</v>
          </cell>
          <cell r="G1424" t="str">
            <v>Затраты по ШПЗ (основные)</v>
          </cell>
          <cell r="H1424">
            <v>2011</v>
          </cell>
          <cell r="I1424">
            <v>7920</v>
          </cell>
          <cell r="J1424">
            <v>859046.92</v>
          </cell>
          <cell r="K1424">
            <v>1</v>
          </cell>
          <cell r="L1424">
            <v>0</v>
          </cell>
          <cell r="M1424">
            <v>0</v>
          </cell>
          <cell r="N1424">
            <v>0</v>
          </cell>
          <cell r="R1424">
            <v>0</v>
          </cell>
          <cell r="S1424">
            <v>0</v>
          </cell>
          <cell r="T1424">
            <v>0</v>
          </cell>
          <cell r="U1424">
            <v>38</v>
          </cell>
          <cell r="V1424">
            <v>0</v>
          </cell>
          <cell r="W1424">
            <v>0</v>
          </cell>
          <cell r="AA1424">
            <v>0</v>
          </cell>
          <cell r="AB1424">
            <v>0</v>
          </cell>
          <cell r="AC1424">
            <v>0</v>
          </cell>
          <cell r="AD1424">
            <v>38</v>
          </cell>
          <cell r="AE1424">
            <v>410000</v>
          </cell>
          <cell r="AF1424">
            <v>0</v>
          </cell>
          <cell r="AI1424">
            <v>2223</v>
          </cell>
          <cell r="AK1424">
            <v>0</v>
          </cell>
          <cell r="AM1424">
            <v>677</v>
          </cell>
          <cell r="AN1424">
            <v>1</v>
          </cell>
          <cell r="AO1424">
            <v>393216</v>
          </cell>
          <cell r="AQ1424">
            <v>0</v>
          </cell>
          <cell r="AR1424">
            <v>0</v>
          </cell>
          <cell r="AS1424" t="str">
            <v>Ы</v>
          </cell>
          <cell r="AT1424" t="str">
            <v>Ы</v>
          </cell>
          <cell r="AU1424">
            <v>0</v>
          </cell>
          <cell r="AV1424">
            <v>0</v>
          </cell>
          <cell r="AW1424">
            <v>23</v>
          </cell>
          <cell r="AX1424">
            <v>1</v>
          </cell>
          <cell r="AY1424">
            <v>0</v>
          </cell>
          <cell r="AZ1424">
            <v>0</v>
          </cell>
          <cell r="BA1424">
            <v>0</v>
          </cell>
          <cell r="BB1424">
            <v>0</v>
          </cell>
          <cell r="BC1424">
            <v>38828</v>
          </cell>
        </row>
        <row r="1425">
          <cell r="A1425">
            <v>2006</v>
          </cell>
          <cell r="B1425">
            <v>1</v>
          </cell>
          <cell r="C1425">
            <v>551</v>
          </cell>
          <cell r="D1425">
            <v>20</v>
          </cell>
          <cell r="E1425">
            <v>792020</v>
          </cell>
          <cell r="F1425">
            <v>0</v>
          </cell>
          <cell r="G1425" t="str">
            <v>Затраты по ШПЗ (основные)</v>
          </cell>
          <cell r="H1425">
            <v>2011</v>
          </cell>
          <cell r="I1425">
            <v>7920</v>
          </cell>
          <cell r="J1425">
            <v>99640.92</v>
          </cell>
          <cell r="K1425">
            <v>1</v>
          </cell>
          <cell r="L1425">
            <v>0</v>
          </cell>
          <cell r="M1425">
            <v>0</v>
          </cell>
          <cell r="N1425">
            <v>0</v>
          </cell>
          <cell r="R1425">
            <v>0</v>
          </cell>
          <cell r="S1425">
            <v>0</v>
          </cell>
          <cell r="T1425">
            <v>0</v>
          </cell>
          <cell r="U1425">
            <v>38</v>
          </cell>
          <cell r="V1425">
            <v>0</v>
          </cell>
          <cell r="W1425">
            <v>0</v>
          </cell>
          <cell r="AA1425">
            <v>0</v>
          </cell>
          <cell r="AB1425">
            <v>0</v>
          </cell>
          <cell r="AC1425">
            <v>0</v>
          </cell>
          <cell r="AD1425">
            <v>38</v>
          </cell>
          <cell r="AE1425">
            <v>420000</v>
          </cell>
          <cell r="AF1425">
            <v>0</v>
          </cell>
          <cell r="AI1425">
            <v>2223</v>
          </cell>
          <cell r="AK1425">
            <v>0</v>
          </cell>
          <cell r="AM1425">
            <v>678</v>
          </cell>
          <cell r="AN1425">
            <v>1</v>
          </cell>
          <cell r="AO1425">
            <v>393216</v>
          </cell>
          <cell r="AQ1425">
            <v>0</v>
          </cell>
          <cell r="AR1425">
            <v>0</v>
          </cell>
          <cell r="AS1425" t="str">
            <v>Ы</v>
          </cell>
          <cell r="AT1425" t="str">
            <v>Ы</v>
          </cell>
          <cell r="AU1425">
            <v>0</v>
          </cell>
          <cell r="AV1425">
            <v>0</v>
          </cell>
          <cell r="AW1425">
            <v>23</v>
          </cell>
          <cell r="AX1425">
            <v>1</v>
          </cell>
          <cell r="AY1425">
            <v>0</v>
          </cell>
          <cell r="AZ1425">
            <v>0</v>
          </cell>
          <cell r="BA1425">
            <v>0</v>
          </cell>
          <cell r="BB1425">
            <v>0</v>
          </cell>
          <cell r="BC1425">
            <v>38828</v>
          </cell>
        </row>
        <row r="1426">
          <cell r="A1426">
            <v>2006</v>
          </cell>
          <cell r="B1426">
            <v>1</v>
          </cell>
          <cell r="C1426">
            <v>552</v>
          </cell>
          <cell r="D1426">
            <v>20</v>
          </cell>
          <cell r="E1426">
            <v>792020</v>
          </cell>
          <cell r="F1426">
            <v>0</v>
          </cell>
          <cell r="G1426" t="str">
            <v>Затраты по ШПЗ (основные)</v>
          </cell>
          <cell r="H1426">
            <v>2011</v>
          </cell>
          <cell r="I1426">
            <v>7920</v>
          </cell>
          <cell r="J1426">
            <v>37458.199999999997</v>
          </cell>
          <cell r="K1426">
            <v>1</v>
          </cell>
          <cell r="L1426">
            <v>0</v>
          </cell>
          <cell r="M1426">
            <v>0</v>
          </cell>
          <cell r="N1426">
            <v>0</v>
          </cell>
          <cell r="R1426">
            <v>0</v>
          </cell>
          <cell r="S1426">
            <v>0</v>
          </cell>
          <cell r="T1426">
            <v>0</v>
          </cell>
          <cell r="U1426">
            <v>38</v>
          </cell>
          <cell r="V1426">
            <v>0</v>
          </cell>
          <cell r="W1426">
            <v>0</v>
          </cell>
          <cell r="AA1426">
            <v>0</v>
          </cell>
          <cell r="AB1426">
            <v>0</v>
          </cell>
          <cell r="AC1426">
            <v>0</v>
          </cell>
          <cell r="AD1426">
            <v>38</v>
          </cell>
          <cell r="AE1426">
            <v>430000</v>
          </cell>
          <cell r="AF1426">
            <v>0</v>
          </cell>
          <cell r="AI1426">
            <v>2223</v>
          </cell>
          <cell r="AK1426">
            <v>0</v>
          </cell>
          <cell r="AM1426">
            <v>679</v>
          </cell>
          <cell r="AN1426">
            <v>1</v>
          </cell>
          <cell r="AO1426">
            <v>393216</v>
          </cell>
          <cell r="AQ1426">
            <v>0</v>
          </cell>
          <cell r="AR1426">
            <v>0</v>
          </cell>
          <cell r="AS1426" t="str">
            <v>Ы</v>
          </cell>
          <cell r="AT1426" t="str">
            <v>Ы</v>
          </cell>
          <cell r="AU1426">
            <v>0</v>
          </cell>
          <cell r="AV1426">
            <v>0</v>
          </cell>
          <cell r="AW1426">
            <v>23</v>
          </cell>
          <cell r="AX1426">
            <v>1</v>
          </cell>
          <cell r="AY1426">
            <v>0</v>
          </cell>
          <cell r="AZ1426">
            <v>0</v>
          </cell>
          <cell r="BA1426">
            <v>0</v>
          </cell>
          <cell r="BB1426">
            <v>0</v>
          </cell>
          <cell r="BC1426">
            <v>38828</v>
          </cell>
        </row>
        <row r="1427">
          <cell r="A1427">
            <v>2006</v>
          </cell>
          <cell r="B1427">
            <v>1</v>
          </cell>
          <cell r="C1427">
            <v>553</v>
          </cell>
          <cell r="D1427">
            <v>20</v>
          </cell>
          <cell r="E1427">
            <v>792020</v>
          </cell>
          <cell r="F1427">
            <v>0</v>
          </cell>
          <cell r="G1427" t="str">
            <v>Затраты по ШПЗ (основные)</v>
          </cell>
          <cell r="H1427">
            <v>2011</v>
          </cell>
          <cell r="I1427">
            <v>7920</v>
          </cell>
          <cell r="J1427">
            <v>552058</v>
          </cell>
          <cell r="K1427">
            <v>1</v>
          </cell>
          <cell r="L1427">
            <v>0</v>
          </cell>
          <cell r="M1427">
            <v>0</v>
          </cell>
          <cell r="N1427">
            <v>0</v>
          </cell>
          <cell r="R1427">
            <v>0</v>
          </cell>
          <cell r="S1427">
            <v>0</v>
          </cell>
          <cell r="T1427">
            <v>0</v>
          </cell>
          <cell r="U1427">
            <v>38</v>
          </cell>
          <cell r="V1427">
            <v>0</v>
          </cell>
          <cell r="W1427">
            <v>0</v>
          </cell>
          <cell r="AA1427">
            <v>0</v>
          </cell>
          <cell r="AB1427">
            <v>0</v>
          </cell>
          <cell r="AC1427">
            <v>0</v>
          </cell>
          <cell r="AD1427">
            <v>38</v>
          </cell>
          <cell r="AE1427">
            <v>430110</v>
          </cell>
          <cell r="AF1427">
            <v>0</v>
          </cell>
          <cell r="AI1427">
            <v>2223</v>
          </cell>
          <cell r="AK1427">
            <v>0</v>
          </cell>
          <cell r="AM1427">
            <v>680</v>
          </cell>
          <cell r="AN1427">
            <v>1</v>
          </cell>
          <cell r="AO1427">
            <v>393216</v>
          </cell>
          <cell r="AQ1427">
            <v>0</v>
          </cell>
          <cell r="AR1427">
            <v>0</v>
          </cell>
          <cell r="AS1427" t="str">
            <v>Ы</v>
          </cell>
          <cell r="AT1427" t="str">
            <v>Ы</v>
          </cell>
          <cell r="AU1427">
            <v>0</v>
          </cell>
          <cell r="AV1427">
            <v>0</v>
          </cell>
          <cell r="AW1427">
            <v>23</v>
          </cell>
          <cell r="AX1427">
            <v>1</v>
          </cell>
          <cell r="AY1427">
            <v>0</v>
          </cell>
          <cell r="AZ1427">
            <v>0</v>
          </cell>
          <cell r="BA1427">
            <v>0</v>
          </cell>
          <cell r="BB1427">
            <v>0</v>
          </cell>
          <cell r="BC1427">
            <v>38828</v>
          </cell>
        </row>
        <row r="1428">
          <cell r="A1428">
            <v>2006</v>
          </cell>
          <cell r="B1428">
            <v>1</v>
          </cell>
          <cell r="C1428">
            <v>554</v>
          </cell>
          <cell r="D1428">
            <v>20</v>
          </cell>
          <cell r="E1428">
            <v>792020</v>
          </cell>
          <cell r="F1428">
            <v>0</v>
          </cell>
          <cell r="G1428" t="str">
            <v>Затраты по ШПЗ (основные)</v>
          </cell>
          <cell r="H1428">
            <v>2011</v>
          </cell>
          <cell r="I1428">
            <v>7920</v>
          </cell>
          <cell r="J1428">
            <v>259848</v>
          </cell>
          <cell r="K1428">
            <v>1</v>
          </cell>
          <cell r="L1428">
            <v>0</v>
          </cell>
          <cell r="M1428">
            <v>0</v>
          </cell>
          <cell r="N1428">
            <v>0</v>
          </cell>
          <cell r="R1428">
            <v>0</v>
          </cell>
          <cell r="S1428">
            <v>0</v>
          </cell>
          <cell r="T1428">
            <v>0</v>
          </cell>
          <cell r="U1428">
            <v>38</v>
          </cell>
          <cell r="V1428">
            <v>0</v>
          </cell>
          <cell r="W1428">
            <v>0</v>
          </cell>
          <cell r="AA1428">
            <v>0</v>
          </cell>
          <cell r="AB1428">
            <v>0</v>
          </cell>
          <cell r="AC1428">
            <v>0</v>
          </cell>
          <cell r="AD1428">
            <v>38</v>
          </cell>
          <cell r="AE1428">
            <v>430120</v>
          </cell>
          <cell r="AF1428">
            <v>0</v>
          </cell>
          <cell r="AI1428">
            <v>2223</v>
          </cell>
          <cell r="AK1428">
            <v>0</v>
          </cell>
          <cell r="AM1428">
            <v>681</v>
          </cell>
          <cell r="AN1428">
            <v>1</v>
          </cell>
          <cell r="AO1428">
            <v>393216</v>
          </cell>
          <cell r="AQ1428">
            <v>0</v>
          </cell>
          <cell r="AR1428">
            <v>0</v>
          </cell>
          <cell r="AS1428" t="str">
            <v>Ы</v>
          </cell>
          <cell r="AT1428" t="str">
            <v>Ы</v>
          </cell>
          <cell r="AU1428">
            <v>0</v>
          </cell>
          <cell r="AV1428">
            <v>0</v>
          </cell>
          <cell r="AW1428">
            <v>23</v>
          </cell>
          <cell r="AX1428">
            <v>1</v>
          </cell>
          <cell r="AY1428">
            <v>0</v>
          </cell>
          <cell r="AZ1428">
            <v>0</v>
          </cell>
          <cell r="BA1428">
            <v>0</v>
          </cell>
          <cell r="BB1428">
            <v>0</v>
          </cell>
          <cell r="BC1428">
            <v>38828</v>
          </cell>
        </row>
        <row r="1429">
          <cell r="A1429">
            <v>2006</v>
          </cell>
          <cell r="B1429">
            <v>1</v>
          </cell>
          <cell r="C1429">
            <v>555</v>
          </cell>
          <cell r="D1429">
            <v>20</v>
          </cell>
          <cell r="E1429">
            <v>792020</v>
          </cell>
          <cell r="F1429">
            <v>0</v>
          </cell>
          <cell r="G1429" t="str">
            <v>Затраты по ШПЗ (основные)</v>
          </cell>
          <cell r="H1429">
            <v>2011</v>
          </cell>
          <cell r="I1429">
            <v>7920</v>
          </cell>
          <cell r="J1429">
            <v>459934</v>
          </cell>
          <cell r="K1429">
            <v>1</v>
          </cell>
          <cell r="L1429">
            <v>0</v>
          </cell>
          <cell r="M1429">
            <v>0</v>
          </cell>
          <cell r="N1429">
            <v>0</v>
          </cell>
          <cell r="R1429">
            <v>0</v>
          </cell>
          <cell r="S1429">
            <v>0</v>
          </cell>
          <cell r="T1429">
            <v>0</v>
          </cell>
          <cell r="U1429">
            <v>38</v>
          </cell>
          <cell r="V1429">
            <v>0</v>
          </cell>
          <cell r="W1429">
            <v>0</v>
          </cell>
          <cell r="AA1429">
            <v>0</v>
          </cell>
          <cell r="AB1429">
            <v>0</v>
          </cell>
          <cell r="AC1429">
            <v>0</v>
          </cell>
          <cell r="AD1429">
            <v>38</v>
          </cell>
          <cell r="AE1429">
            <v>430130</v>
          </cell>
          <cell r="AF1429">
            <v>0</v>
          </cell>
          <cell r="AI1429">
            <v>2223</v>
          </cell>
          <cell r="AK1429">
            <v>0</v>
          </cell>
          <cell r="AM1429">
            <v>682</v>
          </cell>
          <cell r="AN1429">
            <v>1</v>
          </cell>
          <cell r="AO1429">
            <v>393216</v>
          </cell>
          <cell r="AQ1429">
            <v>0</v>
          </cell>
          <cell r="AR1429">
            <v>0</v>
          </cell>
          <cell r="AS1429" t="str">
            <v>Ы</v>
          </cell>
          <cell r="AT1429" t="str">
            <v>Ы</v>
          </cell>
          <cell r="AU1429">
            <v>0</v>
          </cell>
          <cell r="AV1429">
            <v>0</v>
          </cell>
          <cell r="AW1429">
            <v>23</v>
          </cell>
          <cell r="AX1429">
            <v>1</v>
          </cell>
          <cell r="AY1429">
            <v>0</v>
          </cell>
          <cell r="AZ1429">
            <v>0</v>
          </cell>
          <cell r="BA1429">
            <v>0</v>
          </cell>
          <cell r="BB1429">
            <v>0</v>
          </cell>
          <cell r="BC1429">
            <v>38828</v>
          </cell>
        </row>
        <row r="1430">
          <cell r="A1430">
            <v>2006</v>
          </cell>
          <cell r="B1430">
            <v>1</v>
          </cell>
          <cell r="C1430">
            <v>556</v>
          </cell>
          <cell r="D1430">
            <v>20</v>
          </cell>
          <cell r="E1430">
            <v>792020</v>
          </cell>
          <cell r="F1430">
            <v>0</v>
          </cell>
          <cell r="G1430" t="str">
            <v>Затраты по ШПЗ (основные)</v>
          </cell>
          <cell r="H1430">
            <v>2011</v>
          </cell>
          <cell r="I1430">
            <v>7920</v>
          </cell>
          <cell r="J1430">
            <v>395609</v>
          </cell>
          <cell r="K1430">
            <v>1</v>
          </cell>
          <cell r="L1430">
            <v>0</v>
          </cell>
          <cell r="M1430">
            <v>0</v>
          </cell>
          <cell r="N1430">
            <v>0</v>
          </cell>
          <cell r="R1430">
            <v>0</v>
          </cell>
          <cell r="S1430">
            <v>0</v>
          </cell>
          <cell r="T1430">
            <v>0</v>
          </cell>
          <cell r="U1430">
            <v>38</v>
          </cell>
          <cell r="V1430">
            <v>0</v>
          </cell>
          <cell r="W1430">
            <v>0</v>
          </cell>
          <cell r="AA1430">
            <v>0</v>
          </cell>
          <cell r="AB1430">
            <v>0</v>
          </cell>
          <cell r="AC1430">
            <v>0</v>
          </cell>
          <cell r="AD1430">
            <v>38</v>
          </cell>
          <cell r="AE1430">
            <v>430140</v>
          </cell>
          <cell r="AF1430">
            <v>0</v>
          </cell>
          <cell r="AI1430">
            <v>2223</v>
          </cell>
          <cell r="AK1430">
            <v>0</v>
          </cell>
          <cell r="AM1430">
            <v>683</v>
          </cell>
          <cell r="AN1430">
            <v>1</v>
          </cell>
          <cell r="AO1430">
            <v>393216</v>
          </cell>
          <cell r="AQ1430">
            <v>0</v>
          </cell>
          <cell r="AR1430">
            <v>0</v>
          </cell>
          <cell r="AS1430" t="str">
            <v>Ы</v>
          </cell>
          <cell r="AT1430" t="str">
            <v>Ы</v>
          </cell>
          <cell r="AU1430">
            <v>0</v>
          </cell>
          <cell r="AV1430">
            <v>0</v>
          </cell>
          <cell r="AW1430">
            <v>23</v>
          </cell>
          <cell r="AX1430">
            <v>1</v>
          </cell>
          <cell r="AY1430">
            <v>0</v>
          </cell>
          <cell r="AZ1430">
            <v>0</v>
          </cell>
          <cell r="BA1430">
            <v>0</v>
          </cell>
          <cell r="BB1430">
            <v>0</v>
          </cell>
          <cell r="BC1430">
            <v>38828</v>
          </cell>
        </row>
        <row r="1431">
          <cell r="A1431">
            <v>2006</v>
          </cell>
          <cell r="B1431">
            <v>1</v>
          </cell>
          <cell r="C1431">
            <v>557</v>
          </cell>
          <cell r="D1431">
            <v>20</v>
          </cell>
          <cell r="E1431">
            <v>792020</v>
          </cell>
          <cell r="F1431">
            <v>0</v>
          </cell>
          <cell r="G1431" t="str">
            <v>Затраты по ШПЗ (основные)</v>
          </cell>
          <cell r="H1431">
            <v>2011</v>
          </cell>
          <cell r="I1431">
            <v>7920</v>
          </cell>
          <cell r="J1431">
            <v>1341</v>
          </cell>
          <cell r="K1431">
            <v>1</v>
          </cell>
          <cell r="L1431">
            <v>0</v>
          </cell>
          <cell r="M1431">
            <v>0</v>
          </cell>
          <cell r="N1431">
            <v>0</v>
          </cell>
          <cell r="R1431">
            <v>0</v>
          </cell>
          <cell r="S1431">
            <v>0</v>
          </cell>
          <cell r="T1431">
            <v>0</v>
          </cell>
          <cell r="U1431">
            <v>38</v>
          </cell>
          <cell r="V1431">
            <v>0</v>
          </cell>
          <cell r="W1431">
            <v>0</v>
          </cell>
          <cell r="AA1431">
            <v>0</v>
          </cell>
          <cell r="AB1431">
            <v>0</v>
          </cell>
          <cell r="AC1431">
            <v>0</v>
          </cell>
          <cell r="AD1431">
            <v>38</v>
          </cell>
          <cell r="AE1431">
            <v>430230</v>
          </cell>
          <cell r="AF1431">
            <v>0</v>
          </cell>
          <cell r="AI1431">
            <v>2223</v>
          </cell>
          <cell r="AK1431">
            <v>0</v>
          </cell>
          <cell r="AM1431">
            <v>684</v>
          </cell>
          <cell r="AN1431">
            <v>1</v>
          </cell>
          <cell r="AO1431">
            <v>393216</v>
          </cell>
          <cell r="AQ1431">
            <v>0</v>
          </cell>
          <cell r="AR1431">
            <v>0</v>
          </cell>
          <cell r="AS1431" t="str">
            <v>Ы</v>
          </cell>
          <cell r="AT1431" t="str">
            <v>Ы</v>
          </cell>
          <cell r="AU1431">
            <v>0</v>
          </cell>
          <cell r="AV1431">
            <v>0</v>
          </cell>
          <cell r="AW1431">
            <v>23</v>
          </cell>
          <cell r="AX1431">
            <v>1</v>
          </cell>
          <cell r="AY1431">
            <v>0</v>
          </cell>
          <cell r="AZ1431">
            <v>0</v>
          </cell>
          <cell r="BA1431">
            <v>0</v>
          </cell>
          <cell r="BB1431">
            <v>0</v>
          </cell>
          <cell r="BC1431">
            <v>38828</v>
          </cell>
        </row>
        <row r="1432">
          <cell r="A1432">
            <v>2006</v>
          </cell>
          <cell r="B1432">
            <v>1</v>
          </cell>
          <cell r="C1432">
            <v>558</v>
          </cell>
          <cell r="D1432">
            <v>20</v>
          </cell>
          <cell r="E1432">
            <v>792020</v>
          </cell>
          <cell r="F1432">
            <v>0</v>
          </cell>
          <cell r="G1432" t="str">
            <v>Затраты по ШПЗ (основные)</v>
          </cell>
          <cell r="H1432">
            <v>2011</v>
          </cell>
          <cell r="I1432">
            <v>7920</v>
          </cell>
          <cell r="J1432">
            <v>8531</v>
          </cell>
          <cell r="K1432">
            <v>1</v>
          </cell>
          <cell r="L1432">
            <v>0</v>
          </cell>
          <cell r="M1432">
            <v>0</v>
          </cell>
          <cell r="N1432">
            <v>0</v>
          </cell>
          <cell r="R1432">
            <v>0</v>
          </cell>
          <cell r="S1432">
            <v>0</v>
          </cell>
          <cell r="T1432">
            <v>0</v>
          </cell>
          <cell r="U1432">
            <v>38</v>
          </cell>
          <cell r="V1432">
            <v>0</v>
          </cell>
          <cell r="W1432">
            <v>0</v>
          </cell>
          <cell r="AA1432">
            <v>0</v>
          </cell>
          <cell r="AB1432">
            <v>0</v>
          </cell>
          <cell r="AC1432">
            <v>0</v>
          </cell>
          <cell r="AD1432">
            <v>38</v>
          </cell>
          <cell r="AE1432">
            <v>430240</v>
          </cell>
          <cell r="AF1432">
            <v>0</v>
          </cell>
          <cell r="AI1432">
            <v>2223</v>
          </cell>
          <cell r="AK1432">
            <v>0</v>
          </cell>
          <cell r="AM1432">
            <v>685</v>
          </cell>
          <cell r="AN1432">
            <v>1</v>
          </cell>
          <cell r="AO1432">
            <v>393216</v>
          </cell>
          <cell r="AQ1432">
            <v>0</v>
          </cell>
          <cell r="AR1432">
            <v>0</v>
          </cell>
          <cell r="AS1432" t="str">
            <v>Ы</v>
          </cell>
          <cell r="AT1432" t="str">
            <v>Ы</v>
          </cell>
          <cell r="AU1432">
            <v>0</v>
          </cell>
          <cell r="AV1432">
            <v>0</v>
          </cell>
          <cell r="AW1432">
            <v>23</v>
          </cell>
          <cell r="AX1432">
            <v>1</v>
          </cell>
          <cell r="AY1432">
            <v>0</v>
          </cell>
          <cell r="AZ1432">
            <v>0</v>
          </cell>
          <cell r="BA1432">
            <v>0</v>
          </cell>
          <cell r="BB1432">
            <v>0</v>
          </cell>
          <cell r="BC1432">
            <v>38828</v>
          </cell>
        </row>
        <row r="1433">
          <cell r="A1433">
            <v>2006</v>
          </cell>
          <cell r="B1433">
            <v>1</v>
          </cell>
          <cell r="C1433">
            <v>559</v>
          </cell>
          <cell r="D1433">
            <v>20</v>
          </cell>
          <cell r="E1433">
            <v>792020</v>
          </cell>
          <cell r="F1433">
            <v>0</v>
          </cell>
          <cell r="G1433" t="str">
            <v>Затраты по ШПЗ (основные)</v>
          </cell>
          <cell r="H1433">
            <v>2011</v>
          </cell>
          <cell r="I1433">
            <v>7920</v>
          </cell>
          <cell r="J1433">
            <v>35465.769999999997</v>
          </cell>
          <cell r="K1433">
            <v>1</v>
          </cell>
          <cell r="L1433">
            <v>0</v>
          </cell>
          <cell r="M1433">
            <v>0</v>
          </cell>
          <cell r="N1433">
            <v>0</v>
          </cell>
          <cell r="R1433">
            <v>0</v>
          </cell>
          <cell r="S1433">
            <v>0</v>
          </cell>
          <cell r="T1433">
            <v>0</v>
          </cell>
          <cell r="U1433">
            <v>38</v>
          </cell>
          <cell r="V1433">
            <v>0</v>
          </cell>
          <cell r="W1433">
            <v>0</v>
          </cell>
          <cell r="AA1433">
            <v>0</v>
          </cell>
          <cell r="AB1433">
            <v>0</v>
          </cell>
          <cell r="AC1433">
            <v>0</v>
          </cell>
          <cell r="AD1433">
            <v>38</v>
          </cell>
          <cell r="AE1433">
            <v>450000</v>
          </cell>
          <cell r="AF1433">
            <v>0</v>
          </cell>
          <cell r="AI1433">
            <v>2223</v>
          </cell>
          <cell r="AK1433">
            <v>0</v>
          </cell>
          <cell r="AM1433">
            <v>686</v>
          </cell>
          <cell r="AN1433">
            <v>1</v>
          </cell>
          <cell r="AO1433">
            <v>393216</v>
          </cell>
          <cell r="AQ1433">
            <v>0</v>
          </cell>
          <cell r="AR1433">
            <v>0</v>
          </cell>
          <cell r="AS1433" t="str">
            <v>Ы</v>
          </cell>
          <cell r="AT1433" t="str">
            <v>Ы</v>
          </cell>
          <cell r="AU1433">
            <v>0</v>
          </cell>
          <cell r="AV1433">
            <v>0</v>
          </cell>
          <cell r="AW1433">
            <v>23</v>
          </cell>
          <cell r="AX1433">
            <v>1</v>
          </cell>
          <cell r="AY1433">
            <v>0</v>
          </cell>
          <cell r="AZ1433">
            <v>0</v>
          </cell>
          <cell r="BA1433">
            <v>0</v>
          </cell>
          <cell r="BB1433">
            <v>0</v>
          </cell>
          <cell r="BC1433">
            <v>38828</v>
          </cell>
        </row>
        <row r="1434">
          <cell r="A1434">
            <v>2006</v>
          </cell>
          <cell r="B1434">
            <v>1</v>
          </cell>
          <cell r="C1434">
            <v>560</v>
          </cell>
          <cell r="D1434">
            <v>20</v>
          </cell>
          <cell r="E1434">
            <v>792020</v>
          </cell>
          <cell r="F1434">
            <v>0</v>
          </cell>
          <cell r="G1434" t="str">
            <v>Затраты по ШПЗ (основные)</v>
          </cell>
          <cell r="H1434">
            <v>2011</v>
          </cell>
          <cell r="I1434">
            <v>7920</v>
          </cell>
          <cell r="J1434">
            <v>1623</v>
          </cell>
          <cell r="K1434">
            <v>1</v>
          </cell>
          <cell r="L1434">
            <v>0</v>
          </cell>
          <cell r="M1434">
            <v>0</v>
          </cell>
          <cell r="N1434">
            <v>0</v>
          </cell>
          <cell r="R1434">
            <v>0</v>
          </cell>
          <cell r="S1434">
            <v>0</v>
          </cell>
          <cell r="T1434">
            <v>0</v>
          </cell>
          <cell r="U1434">
            <v>38</v>
          </cell>
          <cell r="V1434">
            <v>0</v>
          </cell>
          <cell r="W1434">
            <v>0</v>
          </cell>
          <cell r="AA1434">
            <v>0</v>
          </cell>
          <cell r="AB1434">
            <v>0</v>
          </cell>
          <cell r="AC1434">
            <v>0</v>
          </cell>
          <cell r="AD1434">
            <v>38</v>
          </cell>
          <cell r="AE1434">
            <v>460000</v>
          </cell>
          <cell r="AF1434">
            <v>0</v>
          </cell>
          <cell r="AI1434">
            <v>2223</v>
          </cell>
          <cell r="AK1434">
            <v>0</v>
          </cell>
          <cell r="AM1434">
            <v>687</v>
          </cell>
          <cell r="AN1434">
            <v>1</v>
          </cell>
          <cell r="AO1434">
            <v>393216</v>
          </cell>
          <cell r="AQ1434">
            <v>0</v>
          </cell>
          <cell r="AR1434">
            <v>0</v>
          </cell>
          <cell r="AS1434" t="str">
            <v>Ы</v>
          </cell>
          <cell r="AT1434" t="str">
            <v>Ы</v>
          </cell>
          <cell r="AU1434">
            <v>0</v>
          </cell>
          <cell r="AV1434">
            <v>0</v>
          </cell>
          <cell r="AW1434">
            <v>23</v>
          </cell>
          <cell r="AX1434">
            <v>1</v>
          </cell>
          <cell r="AY1434">
            <v>0</v>
          </cell>
          <cell r="AZ1434">
            <v>0</v>
          </cell>
          <cell r="BA1434">
            <v>0</v>
          </cell>
          <cell r="BB1434">
            <v>0</v>
          </cell>
          <cell r="BC1434">
            <v>38828</v>
          </cell>
        </row>
        <row r="1435">
          <cell r="A1435">
            <v>2006</v>
          </cell>
          <cell r="B1435">
            <v>1</v>
          </cell>
          <cell r="C1435">
            <v>561</v>
          </cell>
          <cell r="D1435">
            <v>20</v>
          </cell>
          <cell r="E1435">
            <v>792020</v>
          </cell>
          <cell r="F1435">
            <v>0</v>
          </cell>
          <cell r="G1435" t="str">
            <v>Затраты по ШПЗ (основные)</v>
          </cell>
          <cell r="H1435">
            <v>2011</v>
          </cell>
          <cell r="I1435">
            <v>7920</v>
          </cell>
          <cell r="J1435">
            <v>183.18</v>
          </cell>
          <cell r="K1435">
            <v>1</v>
          </cell>
          <cell r="L1435">
            <v>0</v>
          </cell>
          <cell r="M1435">
            <v>0</v>
          </cell>
          <cell r="N1435">
            <v>0</v>
          </cell>
          <cell r="R1435">
            <v>0</v>
          </cell>
          <cell r="S1435">
            <v>0</v>
          </cell>
          <cell r="T1435">
            <v>0</v>
          </cell>
          <cell r="U1435">
            <v>38</v>
          </cell>
          <cell r="V1435">
            <v>0</v>
          </cell>
          <cell r="W1435">
            <v>0</v>
          </cell>
          <cell r="AA1435">
            <v>0</v>
          </cell>
          <cell r="AB1435">
            <v>0</v>
          </cell>
          <cell r="AC1435">
            <v>0</v>
          </cell>
          <cell r="AD1435">
            <v>38</v>
          </cell>
          <cell r="AE1435">
            <v>465000</v>
          </cell>
          <cell r="AF1435">
            <v>0</v>
          </cell>
          <cell r="AI1435">
            <v>2223</v>
          </cell>
          <cell r="AK1435">
            <v>0</v>
          </cell>
          <cell r="AM1435">
            <v>688</v>
          </cell>
          <cell r="AN1435">
            <v>1</v>
          </cell>
          <cell r="AO1435">
            <v>393216</v>
          </cell>
          <cell r="AQ1435">
            <v>0</v>
          </cell>
          <cell r="AR1435">
            <v>0</v>
          </cell>
          <cell r="AS1435" t="str">
            <v>Ы</v>
          </cell>
          <cell r="AT1435" t="str">
            <v>Ы</v>
          </cell>
          <cell r="AU1435">
            <v>0</v>
          </cell>
          <cell r="AV1435">
            <v>0</v>
          </cell>
          <cell r="AW1435">
            <v>23</v>
          </cell>
          <cell r="AX1435">
            <v>1</v>
          </cell>
          <cell r="AY1435">
            <v>0</v>
          </cell>
          <cell r="AZ1435">
            <v>0</v>
          </cell>
          <cell r="BA1435">
            <v>0</v>
          </cell>
          <cell r="BB1435">
            <v>0</v>
          </cell>
          <cell r="BC1435">
            <v>38828</v>
          </cell>
        </row>
        <row r="1436">
          <cell r="A1436">
            <v>2006</v>
          </cell>
          <cell r="B1436">
            <v>1</v>
          </cell>
          <cell r="C1436">
            <v>562</v>
          </cell>
          <cell r="D1436">
            <v>20</v>
          </cell>
          <cell r="E1436">
            <v>792020</v>
          </cell>
          <cell r="F1436">
            <v>0</v>
          </cell>
          <cell r="G1436" t="str">
            <v>Затраты по ШПЗ (основные)</v>
          </cell>
          <cell r="H1436">
            <v>2011</v>
          </cell>
          <cell r="I1436">
            <v>7920</v>
          </cell>
          <cell r="J1436">
            <v>173477.37</v>
          </cell>
          <cell r="K1436">
            <v>1</v>
          </cell>
          <cell r="L1436">
            <v>0</v>
          </cell>
          <cell r="M1436">
            <v>0</v>
          </cell>
          <cell r="N1436">
            <v>0</v>
          </cell>
          <cell r="R1436">
            <v>0</v>
          </cell>
          <cell r="S1436">
            <v>0</v>
          </cell>
          <cell r="T1436">
            <v>0</v>
          </cell>
          <cell r="U1436">
            <v>38</v>
          </cell>
          <cell r="V1436">
            <v>0</v>
          </cell>
          <cell r="W1436">
            <v>0</v>
          </cell>
          <cell r="AA1436">
            <v>0</v>
          </cell>
          <cell r="AB1436">
            <v>0</v>
          </cell>
          <cell r="AC1436">
            <v>0</v>
          </cell>
          <cell r="AD1436">
            <v>38</v>
          </cell>
          <cell r="AE1436">
            <v>503000</v>
          </cell>
          <cell r="AF1436">
            <v>0</v>
          </cell>
          <cell r="AI1436">
            <v>2223</v>
          </cell>
          <cell r="AK1436">
            <v>0</v>
          </cell>
          <cell r="AM1436">
            <v>689</v>
          </cell>
          <cell r="AN1436">
            <v>1</v>
          </cell>
          <cell r="AO1436">
            <v>393216</v>
          </cell>
          <cell r="AQ1436">
            <v>0</v>
          </cell>
          <cell r="AR1436">
            <v>0</v>
          </cell>
          <cell r="AS1436" t="str">
            <v>Ы</v>
          </cell>
          <cell r="AT1436" t="str">
            <v>Ы</v>
          </cell>
          <cell r="AU1436">
            <v>0</v>
          </cell>
          <cell r="AV1436">
            <v>0</v>
          </cell>
          <cell r="AW1436">
            <v>23</v>
          </cell>
          <cell r="AX1436">
            <v>1</v>
          </cell>
          <cell r="AY1436">
            <v>0</v>
          </cell>
          <cell r="AZ1436">
            <v>0</v>
          </cell>
          <cell r="BA1436">
            <v>0</v>
          </cell>
          <cell r="BB1436">
            <v>0</v>
          </cell>
          <cell r="BC1436">
            <v>38828</v>
          </cell>
        </row>
        <row r="1437">
          <cell r="A1437">
            <v>2006</v>
          </cell>
          <cell r="B1437">
            <v>1</v>
          </cell>
          <cell r="C1437">
            <v>563</v>
          </cell>
          <cell r="D1437">
            <v>20</v>
          </cell>
          <cell r="E1437">
            <v>792020</v>
          </cell>
          <cell r="F1437">
            <v>0</v>
          </cell>
          <cell r="G1437" t="str">
            <v>Затраты по ШПЗ (основные)</v>
          </cell>
          <cell r="H1437">
            <v>2011</v>
          </cell>
          <cell r="I1437">
            <v>7920</v>
          </cell>
          <cell r="J1437">
            <v>21950.41</v>
          </cell>
          <cell r="K1437">
            <v>1</v>
          </cell>
          <cell r="L1437">
            <v>0</v>
          </cell>
          <cell r="M1437">
            <v>0</v>
          </cell>
          <cell r="N1437">
            <v>0</v>
          </cell>
          <cell r="R1437">
            <v>0</v>
          </cell>
          <cell r="S1437">
            <v>0</v>
          </cell>
          <cell r="T1437">
            <v>0</v>
          </cell>
          <cell r="U1437">
            <v>38</v>
          </cell>
          <cell r="V1437">
            <v>0</v>
          </cell>
          <cell r="W1437">
            <v>0</v>
          </cell>
          <cell r="AA1437">
            <v>0</v>
          </cell>
          <cell r="AB1437">
            <v>0</v>
          </cell>
          <cell r="AC1437">
            <v>0</v>
          </cell>
          <cell r="AD1437">
            <v>38</v>
          </cell>
          <cell r="AE1437">
            <v>504100</v>
          </cell>
          <cell r="AF1437">
            <v>0</v>
          </cell>
          <cell r="AI1437">
            <v>2223</v>
          </cell>
          <cell r="AK1437">
            <v>0</v>
          </cell>
          <cell r="AM1437">
            <v>690</v>
          </cell>
          <cell r="AN1437">
            <v>1</v>
          </cell>
          <cell r="AO1437">
            <v>393216</v>
          </cell>
          <cell r="AQ1437">
            <v>0</v>
          </cell>
          <cell r="AR1437">
            <v>0</v>
          </cell>
          <cell r="AS1437" t="str">
            <v>Ы</v>
          </cell>
          <cell r="AT1437" t="str">
            <v>Ы</v>
          </cell>
          <cell r="AU1437">
            <v>0</v>
          </cell>
          <cell r="AV1437">
            <v>0</v>
          </cell>
          <cell r="AW1437">
            <v>23</v>
          </cell>
          <cell r="AX1437">
            <v>1</v>
          </cell>
          <cell r="AY1437">
            <v>0</v>
          </cell>
          <cell r="AZ1437">
            <v>0</v>
          </cell>
          <cell r="BA1437">
            <v>0</v>
          </cell>
          <cell r="BB1437">
            <v>0</v>
          </cell>
          <cell r="BC1437">
            <v>38828</v>
          </cell>
        </row>
        <row r="1438">
          <cell r="A1438">
            <v>2006</v>
          </cell>
          <cell r="B1438">
            <v>1</v>
          </cell>
          <cell r="C1438">
            <v>564</v>
          </cell>
          <cell r="D1438">
            <v>20</v>
          </cell>
          <cell r="E1438">
            <v>792020</v>
          </cell>
          <cell r="F1438">
            <v>0</v>
          </cell>
          <cell r="G1438" t="str">
            <v>Затраты по ШПЗ (основные)</v>
          </cell>
          <cell r="H1438">
            <v>2011</v>
          </cell>
          <cell r="I1438">
            <v>7920</v>
          </cell>
          <cell r="J1438">
            <v>9244.06</v>
          </cell>
          <cell r="K1438">
            <v>1</v>
          </cell>
          <cell r="L1438">
            <v>0</v>
          </cell>
          <cell r="M1438">
            <v>0</v>
          </cell>
          <cell r="N1438">
            <v>0</v>
          </cell>
          <cell r="R1438">
            <v>0</v>
          </cell>
          <cell r="S1438">
            <v>0</v>
          </cell>
          <cell r="T1438">
            <v>0</v>
          </cell>
          <cell r="U1438">
            <v>38</v>
          </cell>
          <cell r="V1438">
            <v>0</v>
          </cell>
          <cell r="W1438">
            <v>0</v>
          </cell>
          <cell r="AA1438">
            <v>0</v>
          </cell>
          <cell r="AB1438">
            <v>0</v>
          </cell>
          <cell r="AC1438">
            <v>0</v>
          </cell>
          <cell r="AD1438">
            <v>38</v>
          </cell>
          <cell r="AE1438">
            <v>504200</v>
          </cell>
          <cell r="AF1438">
            <v>0</v>
          </cell>
          <cell r="AI1438">
            <v>2223</v>
          </cell>
          <cell r="AK1438">
            <v>0</v>
          </cell>
          <cell r="AM1438">
            <v>691</v>
          </cell>
          <cell r="AN1438">
            <v>1</v>
          </cell>
          <cell r="AO1438">
            <v>393216</v>
          </cell>
          <cell r="AQ1438">
            <v>0</v>
          </cell>
          <cell r="AR1438">
            <v>0</v>
          </cell>
          <cell r="AS1438" t="str">
            <v>Ы</v>
          </cell>
          <cell r="AT1438" t="str">
            <v>Ы</v>
          </cell>
          <cell r="AU1438">
            <v>0</v>
          </cell>
          <cell r="AV1438">
            <v>0</v>
          </cell>
          <cell r="AW1438">
            <v>23</v>
          </cell>
          <cell r="AX1438">
            <v>1</v>
          </cell>
          <cell r="AY1438">
            <v>0</v>
          </cell>
          <cell r="AZ1438">
            <v>0</v>
          </cell>
          <cell r="BA1438">
            <v>0</v>
          </cell>
          <cell r="BB1438">
            <v>0</v>
          </cell>
          <cell r="BC1438">
            <v>38828</v>
          </cell>
        </row>
        <row r="1439">
          <cell r="A1439">
            <v>2006</v>
          </cell>
          <cell r="B1439">
            <v>1</v>
          </cell>
          <cell r="C1439">
            <v>565</v>
          </cell>
          <cell r="D1439">
            <v>20</v>
          </cell>
          <cell r="E1439">
            <v>792020</v>
          </cell>
          <cell r="F1439">
            <v>0</v>
          </cell>
          <cell r="G1439" t="str">
            <v>Затраты по ШПЗ (основные)</v>
          </cell>
          <cell r="H1439">
            <v>2011</v>
          </cell>
          <cell r="I1439">
            <v>7920</v>
          </cell>
          <cell r="J1439">
            <v>359.51</v>
          </cell>
          <cell r="K1439">
            <v>1</v>
          </cell>
          <cell r="L1439">
            <v>0</v>
          </cell>
          <cell r="M1439">
            <v>0</v>
          </cell>
          <cell r="N1439">
            <v>0</v>
          </cell>
          <cell r="R1439">
            <v>0</v>
          </cell>
          <cell r="S1439">
            <v>0</v>
          </cell>
          <cell r="T1439">
            <v>0</v>
          </cell>
          <cell r="U1439">
            <v>38</v>
          </cell>
          <cell r="V1439">
            <v>0</v>
          </cell>
          <cell r="W1439">
            <v>0</v>
          </cell>
          <cell r="AA1439">
            <v>0</v>
          </cell>
          <cell r="AB1439">
            <v>0</v>
          </cell>
          <cell r="AC1439">
            <v>0</v>
          </cell>
          <cell r="AD1439">
            <v>38</v>
          </cell>
          <cell r="AE1439">
            <v>504400</v>
          </cell>
          <cell r="AF1439">
            <v>0</v>
          </cell>
          <cell r="AI1439">
            <v>2223</v>
          </cell>
          <cell r="AK1439">
            <v>0</v>
          </cell>
          <cell r="AM1439">
            <v>692</v>
          </cell>
          <cell r="AN1439">
            <v>1</v>
          </cell>
          <cell r="AO1439">
            <v>393216</v>
          </cell>
          <cell r="AQ1439">
            <v>0</v>
          </cell>
          <cell r="AR1439">
            <v>0</v>
          </cell>
          <cell r="AS1439" t="str">
            <v>Ы</v>
          </cell>
          <cell r="AT1439" t="str">
            <v>Ы</v>
          </cell>
          <cell r="AU1439">
            <v>0</v>
          </cell>
          <cell r="AV1439">
            <v>0</v>
          </cell>
          <cell r="AW1439">
            <v>23</v>
          </cell>
          <cell r="AX1439">
            <v>1</v>
          </cell>
          <cell r="AY1439">
            <v>0</v>
          </cell>
          <cell r="AZ1439">
            <v>0</v>
          </cell>
          <cell r="BA1439">
            <v>0</v>
          </cell>
          <cell r="BB1439">
            <v>0</v>
          </cell>
          <cell r="BC1439">
            <v>38828</v>
          </cell>
        </row>
        <row r="1440">
          <cell r="A1440">
            <v>2006</v>
          </cell>
          <cell r="B1440">
            <v>1</v>
          </cell>
          <cell r="C1440">
            <v>566</v>
          </cell>
          <cell r="D1440">
            <v>20</v>
          </cell>
          <cell r="E1440">
            <v>792020</v>
          </cell>
          <cell r="F1440">
            <v>0</v>
          </cell>
          <cell r="G1440" t="str">
            <v>Затраты по ШПЗ (основные)</v>
          </cell>
          <cell r="H1440">
            <v>2011</v>
          </cell>
          <cell r="I1440">
            <v>7920</v>
          </cell>
          <cell r="J1440">
            <v>3243.89</v>
          </cell>
          <cell r="K1440">
            <v>1</v>
          </cell>
          <cell r="L1440">
            <v>0</v>
          </cell>
          <cell r="M1440">
            <v>0</v>
          </cell>
          <cell r="N1440">
            <v>0</v>
          </cell>
          <cell r="R1440">
            <v>0</v>
          </cell>
          <cell r="S1440">
            <v>0</v>
          </cell>
          <cell r="T1440">
            <v>0</v>
          </cell>
          <cell r="U1440">
            <v>38</v>
          </cell>
          <cell r="V1440">
            <v>0</v>
          </cell>
          <cell r="W1440">
            <v>0</v>
          </cell>
          <cell r="AA1440">
            <v>0</v>
          </cell>
          <cell r="AB1440">
            <v>0</v>
          </cell>
          <cell r="AC1440">
            <v>0</v>
          </cell>
          <cell r="AD1440">
            <v>38</v>
          </cell>
          <cell r="AE1440">
            <v>505100</v>
          </cell>
          <cell r="AF1440">
            <v>0</v>
          </cell>
          <cell r="AI1440">
            <v>2223</v>
          </cell>
          <cell r="AK1440">
            <v>0</v>
          </cell>
          <cell r="AM1440">
            <v>693</v>
          </cell>
          <cell r="AN1440">
            <v>1</v>
          </cell>
          <cell r="AO1440">
            <v>393216</v>
          </cell>
          <cell r="AQ1440">
            <v>0</v>
          </cell>
          <cell r="AR1440">
            <v>0</v>
          </cell>
          <cell r="AS1440" t="str">
            <v>Ы</v>
          </cell>
          <cell r="AT1440" t="str">
            <v>Ы</v>
          </cell>
          <cell r="AU1440">
            <v>0</v>
          </cell>
          <cell r="AV1440">
            <v>0</v>
          </cell>
          <cell r="AW1440">
            <v>23</v>
          </cell>
          <cell r="AX1440">
            <v>1</v>
          </cell>
          <cell r="AY1440">
            <v>0</v>
          </cell>
          <cell r="AZ1440">
            <v>0</v>
          </cell>
          <cell r="BA1440">
            <v>0</v>
          </cell>
          <cell r="BB1440">
            <v>0</v>
          </cell>
          <cell r="BC1440">
            <v>38828</v>
          </cell>
        </row>
        <row r="1441">
          <cell r="A1441">
            <v>2006</v>
          </cell>
          <cell r="B1441">
            <v>1</v>
          </cell>
          <cell r="C1441">
            <v>567</v>
          </cell>
          <cell r="D1441">
            <v>20</v>
          </cell>
          <cell r="E1441">
            <v>792020</v>
          </cell>
          <cell r="F1441">
            <v>0</v>
          </cell>
          <cell r="G1441" t="str">
            <v>Затраты по ШПЗ (основные)</v>
          </cell>
          <cell r="H1441">
            <v>2011</v>
          </cell>
          <cell r="I1441">
            <v>7920</v>
          </cell>
          <cell r="J1441">
            <v>170035.11</v>
          </cell>
          <cell r="K1441">
            <v>1</v>
          </cell>
          <cell r="L1441">
            <v>0</v>
          </cell>
          <cell r="M1441">
            <v>0</v>
          </cell>
          <cell r="N1441">
            <v>0</v>
          </cell>
          <cell r="R1441">
            <v>0</v>
          </cell>
          <cell r="S1441">
            <v>0</v>
          </cell>
          <cell r="T1441">
            <v>0</v>
          </cell>
          <cell r="U1441">
            <v>38</v>
          </cell>
          <cell r="V1441">
            <v>0</v>
          </cell>
          <cell r="W1441">
            <v>0</v>
          </cell>
          <cell r="AA1441">
            <v>0</v>
          </cell>
          <cell r="AB1441">
            <v>0</v>
          </cell>
          <cell r="AC1441">
            <v>0</v>
          </cell>
          <cell r="AD1441">
            <v>38</v>
          </cell>
          <cell r="AE1441">
            <v>505200</v>
          </cell>
          <cell r="AF1441">
            <v>0</v>
          </cell>
          <cell r="AI1441">
            <v>2223</v>
          </cell>
          <cell r="AK1441">
            <v>0</v>
          </cell>
          <cell r="AM1441">
            <v>694</v>
          </cell>
          <cell r="AN1441">
            <v>1</v>
          </cell>
          <cell r="AO1441">
            <v>393216</v>
          </cell>
          <cell r="AQ1441">
            <v>0</v>
          </cell>
          <cell r="AR1441">
            <v>0</v>
          </cell>
          <cell r="AS1441" t="str">
            <v>Ы</v>
          </cell>
          <cell r="AT1441" t="str">
            <v>Ы</v>
          </cell>
          <cell r="AU1441">
            <v>0</v>
          </cell>
          <cell r="AV1441">
            <v>0</v>
          </cell>
          <cell r="AW1441">
            <v>23</v>
          </cell>
          <cell r="AX1441">
            <v>1</v>
          </cell>
          <cell r="AY1441">
            <v>0</v>
          </cell>
          <cell r="AZ1441">
            <v>0</v>
          </cell>
          <cell r="BA1441">
            <v>0</v>
          </cell>
          <cell r="BB1441">
            <v>0</v>
          </cell>
          <cell r="BC1441">
            <v>38828</v>
          </cell>
        </row>
        <row r="1442">
          <cell r="A1442">
            <v>2006</v>
          </cell>
          <cell r="B1442">
            <v>1</v>
          </cell>
          <cell r="C1442">
            <v>568</v>
          </cell>
          <cell r="D1442">
            <v>20</v>
          </cell>
          <cell r="E1442">
            <v>792020</v>
          </cell>
          <cell r="F1442">
            <v>0</v>
          </cell>
          <cell r="G1442" t="str">
            <v>Затраты по ШПЗ (основные)</v>
          </cell>
          <cell r="H1442">
            <v>2011</v>
          </cell>
          <cell r="I1442">
            <v>7920</v>
          </cell>
          <cell r="J1442">
            <v>137.30000000000001</v>
          </cell>
          <cell r="K1442">
            <v>1</v>
          </cell>
          <cell r="L1442">
            <v>0</v>
          </cell>
          <cell r="M1442">
            <v>0</v>
          </cell>
          <cell r="N1442">
            <v>0</v>
          </cell>
          <cell r="R1442">
            <v>0</v>
          </cell>
          <cell r="S1442">
            <v>0</v>
          </cell>
          <cell r="T1442">
            <v>0</v>
          </cell>
          <cell r="U1442">
            <v>38</v>
          </cell>
          <cell r="V1442">
            <v>0</v>
          </cell>
          <cell r="W1442">
            <v>0</v>
          </cell>
          <cell r="AA1442">
            <v>0</v>
          </cell>
          <cell r="AB1442">
            <v>0</v>
          </cell>
          <cell r="AC1442">
            <v>0</v>
          </cell>
          <cell r="AD1442">
            <v>38</v>
          </cell>
          <cell r="AE1442">
            <v>505300</v>
          </cell>
          <cell r="AF1442">
            <v>0</v>
          </cell>
          <cell r="AI1442">
            <v>2223</v>
          </cell>
          <cell r="AK1442">
            <v>0</v>
          </cell>
          <cell r="AM1442">
            <v>695</v>
          </cell>
          <cell r="AN1442">
            <v>1</v>
          </cell>
          <cell r="AO1442">
            <v>393216</v>
          </cell>
          <cell r="AQ1442">
            <v>0</v>
          </cell>
          <cell r="AR1442">
            <v>0</v>
          </cell>
          <cell r="AS1442" t="str">
            <v>Ы</v>
          </cell>
          <cell r="AT1442" t="str">
            <v>Ы</v>
          </cell>
          <cell r="AU1442">
            <v>0</v>
          </cell>
          <cell r="AV1442">
            <v>0</v>
          </cell>
          <cell r="AW1442">
            <v>23</v>
          </cell>
          <cell r="AX1442">
            <v>1</v>
          </cell>
          <cell r="AY1442">
            <v>0</v>
          </cell>
          <cell r="AZ1442">
            <v>0</v>
          </cell>
          <cell r="BA1442">
            <v>0</v>
          </cell>
          <cell r="BB1442">
            <v>0</v>
          </cell>
          <cell r="BC1442">
            <v>38828</v>
          </cell>
        </row>
        <row r="1443">
          <cell r="A1443">
            <v>2006</v>
          </cell>
          <cell r="B1443">
            <v>1</v>
          </cell>
          <cell r="C1443">
            <v>569</v>
          </cell>
          <cell r="D1443">
            <v>20</v>
          </cell>
          <cell r="E1443">
            <v>792020</v>
          </cell>
          <cell r="F1443">
            <v>0</v>
          </cell>
          <cell r="G1443" t="str">
            <v>Затраты по ШПЗ (основные)</v>
          </cell>
          <cell r="H1443">
            <v>2011</v>
          </cell>
          <cell r="I1443">
            <v>7920</v>
          </cell>
          <cell r="J1443">
            <v>2188</v>
          </cell>
          <cell r="K1443">
            <v>1</v>
          </cell>
          <cell r="L1443">
            <v>0</v>
          </cell>
          <cell r="M1443">
            <v>0</v>
          </cell>
          <cell r="N1443">
            <v>0</v>
          </cell>
          <cell r="R1443">
            <v>0</v>
          </cell>
          <cell r="S1443">
            <v>0</v>
          </cell>
          <cell r="T1443">
            <v>0</v>
          </cell>
          <cell r="U1443">
            <v>38</v>
          </cell>
          <cell r="V1443">
            <v>0</v>
          </cell>
          <cell r="W1443">
            <v>0</v>
          </cell>
          <cell r="AA1443">
            <v>0</v>
          </cell>
          <cell r="AB1443">
            <v>0</v>
          </cell>
          <cell r="AC1443">
            <v>0</v>
          </cell>
          <cell r="AD1443">
            <v>38</v>
          </cell>
          <cell r="AE1443">
            <v>505400</v>
          </cell>
          <cell r="AF1443">
            <v>0</v>
          </cell>
          <cell r="AI1443">
            <v>2223</v>
          </cell>
          <cell r="AK1443">
            <v>0</v>
          </cell>
          <cell r="AM1443">
            <v>696</v>
          </cell>
          <cell r="AN1443">
            <v>1</v>
          </cell>
          <cell r="AO1443">
            <v>393216</v>
          </cell>
          <cell r="AQ1443">
            <v>0</v>
          </cell>
          <cell r="AR1443">
            <v>0</v>
          </cell>
          <cell r="AS1443" t="str">
            <v>Ы</v>
          </cell>
          <cell r="AT1443" t="str">
            <v>Ы</v>
          </cell>
          <cell r="AU1443">
            <v>0</v>
          </cell>
          <cell r="AV1443">
            <v>0</v>
          </cell>
          <cell r="AW1443">
            <v>23</v>
          </cell>
          <cell r="AX1443">
            <v>1</v>
          </cell>
          <cell r="AY1443">
            <v>0</v>
          </cell>
          <cell r="AZ1443">
            <v>0</v>
          </cell>
          <cell r="BA1443">
            <v>0</v>
          </cell>
          <cell r="BB1443">
            <v>0</v>
          </cell>
          <cell r="BC1443">
            <v>38828</v>
          </cell>
        </row>
        <row r="1444">
          <cell r="A1444">
            <v>2006</v>
          </cell>
          <cell r="B1444">
            <v>1</v>
          </cell>
          <cell r="C1444">
            <v>570</v>
          </cell>
          <cell r="D1444">
            <v>20</v>
          </cell>
          <cell r="E1444">
            <v>792020</v>
          </cell>
          <cell r="F1444">
            <v>0</v>
          </cell>
          <cell r="G1444" t="str">
            <v>Затраты по ШПЗ (основные)</v>
          </cell>
          <cell r="H1444">
            <v>2011</v>
          </cell>
          <cell r="I1444">
            <v>7920</v>
          </cell>
          <cell r="J1444">
            <v>328996.28999999998</v>
          </cell>
          <cell r="K1444">
            <v>1</v>
          </cell>
          <cell r="L1444">
            <v>0</v>
          </cell>
          <cell r="M1444">
            <v>0</v>
          </cell>
          <cell r="N1444">
            <v>0</v>
          </cell>
          <cell r="R1444">
            <v>0</v>
          </cell>
          <cell r="S1444">
            <v>0</v>
          </cell>
          <cell r="T1444">
            <v>0</v>
          </cell>
          <cell r="U1444">
            <v>38</v>
          </cell>
          <cell r="V1444">
            <v>0</v>
          </cell>
          <cell r="W1444">
            <v>0</v>
          </cell>
          <cell r="AA1444">
            <v>0</v>
          </cell>
          <cell r="AB1444">
            <v>0</v>
          </cell>
          <cell r="AC1444">
            <v>0</v>
          </cell>
          <cell r="AD1444">
            <v>38</v>
          </cell>
          <cell r="AE1444">
            <v>510100</v>
          </cell>
          <cell r="AF1444">
            <v>0</v>
          </cell>
          <cell r="AI1444">
            <v>2223</v>
          </cell>
          <cell r="AK1444">
            <v>0</v>
          </cell>
          <cell r="AM1444">
            <v>697</v>
          </cell>
          <cell r="AN1444">
            <v>1</v>
          </cell>
          <cell r="AO1444">
            <v>393216</v>
          </cell>
          <cell r="AQ1444">
            <v>0</v>
          </cell>
          <cell r="AR1444">
            <v>0</v>
          </cell>
          <cell r="AS1444" t="str">
            <v>Ы</v>
          </cell>
          <cell r="AT1444" t="str">
            <v>Ы</v>
          </cell>
          <cell r="AU1444">
            <v>0</v>
          </cell>
          <cell r="AV1444">
            <v>0</v>
          </cell>
          <cell r="AW1444">
            <v>23</v>
          </cell>
          <cell r="AX1444">
            <v>1</v>
          </cell>
          <cell r="AY1444">
            <v>0</v>
          </cell>
          <cell r="AZ1444">
            <v>0</v>
          </cell>
          <cell r="BA1444">
            <v>0</v>
          </cell>
          <cell r="BB1444">
            <v>0</v>
          </cell>
          <cell r="BC1444">
            <v>38828</v>
          </cell>
        </row>
        <row r="1445">
          <cell r="A1445">
            <v>2006</v>
          </cell>
          <cell r="B1445">
            <v>1</v>
          </cell>
          <cell r="C1445">
            <v>571</v>
          </cell>
          <cell r="D1445">
            <v>20</v>
          </cell>
          <cell r="E1445">
            <v>792020</v>
          </cell>
          <cell r="F1445">
            <v>0</v>
          </cell>
          <cell r="G1445" t="str">
            <v>Затраты по ШПЗ (основные)</v>
          </cell>
          <cell r="H1445">
            <v>2011</v>
          </cell>
          <cell r="I1445">
            <v>7920</v>
          </cell>
          <cell r="J1445">
            <v>311.29000000000002</v>
          </cell>
          <cell r="K1445">
            <v>1</v>
          </cell>
          <cell r="L1445">
            <v>0</v>
          </cell>
          <cell r="M1445">
            <v>0</v>
          </cell>
          <cell r="N1445">
            <v>0</v>
          </cell>
          <cell r="R1445">
            <v>0</v>
          </cell>
          <cell r="S1445">
            <v>0</v>
          </cell>
          <cell r="T1445">
            <v>0</v>
          </cell>
          <cell r="U1445">
            <v>38</v>
          </cell>
          <cell r="V1445">
            <v>0</v>
          </cell>
          <cell r="W1445">
            <v>0</v>
          </cell>
          <cell r="AA1445">
            <v>0</v>
          </cell>
          <cell r="AB1445">
            <v>0</v>
          </cell>
          <cell r="AC1445">
            <v>0</v>
          </cell>
          <cell r="AD1445">
            <v>38</v>
          </cell>
          <cell r="AE1445">
            <v>510200</v>
          </cell>
          <cell r="AF1445">
            <v>0</v>
          </cell>
          <cell r="AI1445">
            <v>2223</v>
          </cell>
          <cell r="AK1445">
            <v>0</v>
          </cell>
          <cell r="AM1445">
            <v>698</v>
          </cell>
          <cell r="AN1445">
            <v>1</v>
          </cell>
          <cell r="AO1445">
            <v>393216</v>
          </cell>
          <cell r="AQ1445">
            <v>0</v>
          </cell>
          <cell r="AR1445">
            <v>0</v>
          </cell>
          <cell r="AS1445" t="str">
            <v>Ы</v>
          </cell>
          <cell r="AT1445" t="str">
            <v>Ы</v>
          </cell>
          <cell r="AU1445">
            <v>0</v>
          </cell>
          <cell r="AV1445">
            <v>0</v>
          </cell>
          <cell r="AW1445">
            <v>23</v>
          </cell>
          <cell r="AX1445">
            <v>1</v>
          </cell>
          <cell r="AY1445">
            <v>0</v>
          </cell>
          <cell r="AZ1445">
            <v>0</v>
          </cell>
          <cell r="BA1445">
            <v>0</v>
          </cell>
          <cell r="BB1445">
            <v>0</v>
          </cell>
          <cell r="BC1445">
            <v>38828</v>
          </cell>
        </row>
        <row r="1446">
          <cell r="A1446">
            <v>2006</v>
          </cell>
          <cell r="B1446">
            <v>1</v>
          </cell>
          <cell r="C1446">
            <v>572</v>
          </cell>
          <cell r="D1446">
            <v>20</v>
          </cell>
          <cell r="E1446">
            <v>792020</v>
          </cell>
          <cell r="F1446">
            <v>0</v>
          </cell>
          <cell r="G1446" t="str">
            <v>Затраты по ШПЗ (основные)</v>
          </cell>
          <cell r="H1446">
            <v>2011</v>
          </cell>
          <cell r="I1446">
            <v>7920</v>
          </cell>
          <cell r="J1446">
            <v>2161.0100000000002</v>
          </cell>
          <cell r="K1446">
            <v>1</v>
          </cell>
          <cell r="L1446">
            <v>0</v>
          </cell>
          <cell r="M1446">
            <v>0</v>
          </cell>
          <cell r="N1446">
            <v>0</v>
          </cell>
          <cell r="R1446">
            <v>0</v>
          </cell>
          <cell r="S1446">
            <v>0</v>
          </cell>
          <cell r="T1446">
            <v>0</v>
          </cell>
          <cell r="U1446">
            <v>38</v>
          </cell>
          <cell r="V1446">
            <v>0</v>
          </cell>
          <cell r="W1446">
            <v>0</v>
          </cell>
          <cell r="AA1446">
            <v>0</v>
          </cell>
          <cell r="AB1446">
            <v>0</v>
          </cell>
          <cell r="AC1446">
            <v>0</v>
          </cell>
          <cell r="AD1446">
            <v>38</v>
          </cell>
          <cell r="AE1446">
            <v>510300</v>
          </cell>
          <cell r="AF1446">
            <v>0</v>
          </cell>
          <cell r="AI1446">
            <v>2223</v>
          </cell>
          <cell r="AK1446">
            <v>0</v>
          </cell>
          <cell r="AM1446">
            <v>699</v>
          </cell>
          <cell r="AN1446">
            <v>1</v>
          </cell>
          <cell r="AO1446">
            <v>393216</v>
          </cell>
          <cell r="AQ1446">
            <v>0</v>
          </cell>
          <cell r="AR1446">
            <v>0</v>
          </cell>
          <cell r="AS1446" t="str">
            <v>Ы</v>
          </cell>
          <cell r="AT1446" t="str">
            <v>Ы</v>
          </cell>
          <cell r="AU1446">
            <v>0</v>
          </cell>
          <cell r="AV1446">
            <v>0</v>
          </cell>
          <cell r="AW1446">
            <v>23</v>
          </cell>
          <cell r="AX1446">
            <v>1</v>
          </cell>
          <cell r="AY1446">
            <v>0</v>
          </cell>
          <cell r="AZ1446">
            <v>0</v>
          </cell>
          <cell r="BA1446">
            <v>0</v>
          </cell>
          <cell r="BB1446">
            <v>0</v>
          </cell>
          <cell r="BC1446">
            <v>38828</v>
          </cell>
        </row>
        <row r="1447">
          <cell r="A1447">
            <v>2006</v>
          </cell>
          <cell r="B1447">
            <v>1</v>
          </cell>
          <cell r="C1447">
            <v>573</v>
          </cell>
          <cell r="D1447">
            <v>20</v>
          </cell>
          <cell r="E1447">
            <v>792020</v>
          </cell>
          <cell r="F1447">
            <v>0</v>
          </cell>
          <cell r="G1447" t="str">
            <v>Затраты по ШПЗ (основные)</v>
          </cell>
          <cell r="H1447">
            <v>2011</v>
          </cell>
          <cell r="I1447">
            <v>7920</v>
          </cell>
          <cell r="J1447">
            <v>2983.16</v>
          </cell>
          <cell r="K1447">
            <v>1</v>
          </cell>
          <cell r="L1447">
            <v>0</v>
          </cell>
          <cell r="M1447">
            <v>0</v>
          </cell>
          <cell r="N1447">
            <v>0</v>
          </cell>
          <cell r="R1447">
            <v>0</v>
          </cell>
          <cell r="S1447">
            <v>0</v>
          </cell>
          <cell r="T1447">
            <v>0</v>
          </cell>
          <cell r="U1447">
            <v>38</v>
          </cell>
          <cell r="V1447">
            <v>0</v>
          </cell>
          <cell r="W1447">
            <v>0</v>
          </cell>
          <cell r="AA1447">
            <v>0</v>
          </cell>
          <cell r="AB1447">
            <v>0</v>
          </cell>
          <cell r="AC1447">
            <v>0</v>
          </cell>
          <cell r="AD1447">
            <v>38</v>
          </cell>
          <cell r="AE1447">
            <v>510400</v>
          </cell>
          <cell r="AF1447">
            <v>0</v>
          </cell>
          <cell r="AI1447">
            <v>2223</v>
          </cell>
          <cell r="AK1447">
            <v>0</v>
          </cell>
          <cell r="AM1447">
            <v>700</v>
          </cell>
          <cell r="AN1447">
            <v>1</v>
          </cell>
          <cell r="AO1447">
            <v>393216</v>
          </cell>
          <cell r="AQ1447">
            <v>0</v>
          </cell>
          <cell r="AR1447">
            <v>0</v>
          </cell>
          <cell r="AS1447" t="str">
            <v>Ы</v>
          </cell>
          <cell r="AT1447" t="str">
            <v>Ы</v>
          </cell>
          <cell r="AU1447">
            <v>0</v>
          </cell>
          <cell r="AV1447">
            <v>0</v>
          </cell>
          <cell r="AW1447">
            <v>23</v>
          </cell>
          <cell r="AX1447">
            <v>1</v>
          </cell>
          <cell r="AY1447">
            <v>0</v>
          </cell>
          <cell r="AZ1447">
            <v>0</v>
          </cell>
          <cell r="BA1447">
            <v>0</v>
          </cell>
          <cell r="BB1447">
            <v>0</v>
          </cell>
          <cell r="BC1447">
            <v>38828</v>
          </cell>
        </row>
        <row r="1448">
          <cell r="A1448">
            <v>2006</v>
          </cell>
          <cell r="B1448">
            <v>1</v>
          </cell>
          <cell r="C1448">
            <v>574</v>
          </cell>
          <cell r="D1448">
            <v>20</v>
          </cell>
          <cell r="E1448">
            <v>792020</v>
          </cell>
          <cell r="F1448">
            <v>0</v>
          </cell>
          <cell r="G1448" t="str">
            <v>Затраты по ШПЗ (основные)</v>
          </cell>
          <cell r="H1448">
            <v>2011</v>
          </cell>
          <cell r="I1448">
            <v>7920</v>
          </cell>
          <cell r="J1448">
            <v>288936.90999999997</v>
          </cell>
          <cell r="K1448">
            <v>1</v>
          </cell>
          <cell r="L1448">
            <v>0</v>
          </cell>
          <cell r="M1448">
            <v>0</v>
          </cell>
          <cell r="N1448">
            <v>0</v>
          </cell>
          <cell r="R1448">
            <v>0</v>
          </cell>
          <cell r="S1448">
            <v>0</v>
          </cell>
          <cell r="T1448">
            <v>0</v>
          </cell>
          <cell r="U1448">
            <v>38</v>
          </cell>
          <cell r="V1448">
            <v>0</v>
          </cell>
          <cell r="W1448">
            <v>0</v>
          </cell>
          <cell r="AA1448">
            <v>0</v>
          </cell>
          <cell r="AB1448">
            <v>0</v>
          </cell>
          <cell r="AC1448">
            <v>0</v>
          </cell>
          <cell r="AD1448">
            <v>38</v>
          </cell>
          <cell r="AE1448">
            <v>510600</v>
          </cell>
          <cell r="AF1448">
            <v>0</v>
          </cell>
          <cell r="AI1448">
            <v>2223</v>
          </cell>
          <cell r="AK1448">
            <v>0</v>
          </cell>
          <cell r="AM1448">
            <v>701</v>
          </cell>
          <cell r="AN1448">
            <v>1</v>
          </cell>
          <cell r="AO1448">
            <v>393216</v>
          </cell>
          <cell r="AQ1448">
            <v>0</v>
          </cell>
          <cell r="AR1448">
            <v>0</v>
          </cell>
          <cell r="AS1448" t="str">
            <v>Ы</v>
          </cell>
          <cell r="AT1448" t="str">
            <v>Ы</v>
          </cell>
          <cell r="AU1448">
            <v>0</v>
          </cell>
          <cell r="AV1448">
            <v>0</v>
          </cell>
          <cell r="AW1448">
            <v>23</v>
          </cell>
          <cell r="AX1448">
            <v>1</v>
          </cell>
          <cell r="AY1448">
            <v>0</v>
          </cell>
          <cell r="AZ1448">
            <v>0</v>
          </cell>
          <cell r="BA1448">
            <v>0</v>
          </cell>
          <cell r="BB1448">
            <v>0</v>
          </cell>
          <cell r="BC1448">
            <v>38828</v>
          </cell>
        </row>
        <row r="1449">
          <cell r="A1449">
            <v>2006</v>
          </cell>
          <cell r="B1449">
            <v>1</v>
          </cell>
          <cell r="C1449">
            <v>575</v>
          </cell>
          <cell r="D1449">
            <v>20</v>
          </cell>
          <cell r="E1449">
            <v>792020</v>
          </cell>
          <cell r="F1449">
            <v>0</v>
          </cell>
          <cell r="G1449" t="str">
            <v>Затраты по ШПЗ (основные)</v>
          </cell>
          <cell r="H1449">
            <v>2011</v>
          </cell>
          <cell r="I1449">
            <v>7920</v>
          </cell>
          <cell r="J1449">
            <v>14481.61</v>
          </cell>
          <cell r="K1449">
            <v>1</v>
          </cell>
          <cell r="L1449">
            <v>0</v>
          </cell>
          <cell r="M1449">
            <v>0</v>
          </cell>
          <cell r="N1449">
            <v>0</v>
          </cell>
          <cell r="R1449">
            <v>0</v>
          </cell>
          <cell r="S1449">
            <v>0</v>
          </cell>
          <cell r="T1449">
            <v>0</v>
          </cell>
          <cell r="U1449">
            <v>38</v>
          </cell>
          <cell r="V1449">
            <v>0</v>
          </cell>
          <cell r="W1449">
            <v>0</v>
          </cell>
          <cell r="AA1449">
            <v>0</v>
          </cell>
          <cell r="AB1449">
            <v>0</v>
          </cell>
          <cell r="AC1449">
            <v>0</v>
          </cell>
          <cell r="AD1449">
            <v>38</v>
          </cell>
          <cell r="AE1449">
            <v>513600</v>
          </cell>
          <cell r="AF1449">
            <v>0</v>
          </cell>
          <cell r="AI1449">
            <v>2223</v>
          </cell>
          <cell r="AK1449">
            <v>0</v>
          </cell>
          <cell r="AM1449">
            <v>702</v>
          </cell>
          <cell r="AN1449">
            <v>1</v>
          </cell>
          <cell r="AO1449">
            <v>393216</v>
          </cell>
          <cell r="AQ1449">
            <v>0</v>
          </cell>
          <cell r="AR1449">
            <v>0</v>
          </cell>
          <cell r="AS1449" t="str">
            <v>Ы</v>
          </cell>
          <cell r="AT1449" t="str">
            <v>Ы</v>
          </cell>
          <cell r="AU1449">
            <v>0</v>
          </cell>
          <cell r="AV1449">
            <v>0</v>
          </cell>
          <cell r="AW1449">
            <v>23</v>
          </cell>
          <cell r="AX1449">
            <v>1</v>
          </cell>
          <cell r="AY1449">
            <v>0</v>
          </cell>
          <cell r="AZ1449">
            <v>0</v>
          </cell>
          <cell r="BA1449">
            <v>0</v>
          </cell>
          <cell r="BB1449">
            <v>0</v>
          </cell>
          <cell r="BC1449">
            <v>38828</v>
          </cell>
        </row>
        <row r="1450">
          <cell r="A1450">
            <v>2006</v>
          </cell>
          <cell r="B1450">
            <v>1</v>
          </cell>
          <cell r="C1450">
            <v>576</v>
          </cell>
          <cell r="D1450">
            <v>21</v>
          </cell>
          <cell r="E1450">
            <v>792020</v>
          </cell>
          <cell r="F1450">
            <v>0</v>
          </cell>
          <cell r="G1450" t="str">
            <v>Затраты по ШПЗ (основные)</v>
          </cell>
          <cell r="H1450">
            <v>2011</v>
          </cell>
          <cell r="I1450">
            <v>7920</v>
          </cell>
          <cell r="J1450">
            <v>904165.02</v>
          </cell>
          <cell r="K1450">
            <v>1</v>
          </cell>
          <cell r="L1450">
            <v>0</v>
          </cell>
          <cell r="M1450">
            <v>0</v>
          </cell>
          <cell r="N1450">
            <v>0</v>
          </cell>
          <cell r="R1450">
            <v>0</v>
          </cell>
          <cell r="S1450">
            <v>0</v>
          </cell>
          <cell r="T1450">
            <v>0</v>
          </cell>
          <cell r="U1450">
            <v>37</v>
          </cell>
          <cell r="V1450">
            <v>0</v>
          </cell>
          <cell r="W1450">
            <v>0</v>
          </cell>
          <cell r="AA1450">
            <v>0</v>
          </cell>
          <cell r="AB1450">
            <v>0</v>
          </cell>
          <cell r="AC1450">
            <v>0</v>
          </cell>
          <cell r="AD1450">
            <v>37</v>
          </cell>
          <cell r="AE1450">
            <v>110000</v>
          </cell>
          <cell r="AF1450">
            <v>0</v>
          </cell>
          <cell r="AI1450">
            <v>2223</v>
          </cell>
          <cell r="AK1450">
            <v>0</v>
          </cell>
          <cell r="AM1450">
            <v>703</v>
          </cell>
          <cell r="AN1450">
            <v>1</v>
          </cell>
          <cell r="AO1450">
            <v>393216</v>
          </cell>
          <cell r="AQ1450">
            <v>0</v>
          </cell>
          <cell r="AR1450">
            <v>0</v>
          </cell>
          <cell r="AS1450" t="str">
            <v>Ы</v>
          </cell>
          <cell r="AT1450" t="str">
            <v>Ы</v>
          </cell>
          <cell r="AU1450">
            <v>0</v>
          </cell>
          <cell r="AV1450">
            <v>0</v>
          </cell>
          <cell r="AW1450">
            <v>23</v>
          </cell>
          <cell r="AX1450">
            <v>1</v>
          </cell>
          <cell r="AY1450">
            <v>0</v>
          </cell>
          <cell r="AZ1450">
            <v>0</v>
          </cell>
          <cell r="BA1450">
            <v>0</v>
          </cell>
          <cell r="BB1450">
            <v>0</v>
          </cell>
          <cell r="BC1450">
            <v>38828</v>
          </cell>
        </row>
        <row r="1451">
          <cell r="A1451">
            <v>2006</v>
          </cell>
          <cell r="B1451">
            <v>1</v>
          </cell>
          <cell r="C1451">
            <v>577</v>
          </cell>
          <cell r="D1451">
            <v>21</v>
          </cell>
          <cell r="E1451">
            <v>792020</v>
          </cell>
          <cell r="F1451">
            <v>0</v>
          </cell>
          <cell r="G1451" t="str">
            <v>Затраты по ШПЗ (основные)</v>
          </cell>
          <cell r="H1451">
            <v>2011</v>
          </cell>
          <cell r="I1451">
            <v>7920</v>
          </cell>
          <cell r="J1451">
            <v>21993.69</v>
          </cell>
          <cell r="K1451">
            <v>1</v>
          </cell>
          <cell r="L1451">
            <v>0</v>
          </cell>
          <cell r="M1451">
            <v>0</v>
          </cell>
          <cell r="N1451">
            <v>0</v>
          </cell>
          <cell r="R1451">
            <v>0</v>
          </cell>
          <cell r="S1451">
            <v>0</v>
          </cell>
          <cell r="T1451">
            <v>0</v>
          </cell>
          <cell r="U1451">
            <v>37</v>
          </cell>
          <cell r="V1451">
            <v>0</v>
          </cell>
          <cell r="W1451">
            <v>0</v>
          </cell>
          <cell r="AA1451">
            <v>0</v>
          </cell>
          <cell r="AB1451">
            <v>0</v>
          </cell>
          <cell r="AC1451">
            <v>0</v>
          </cell>
          <cell r="AD1451">
            <v>37</v>
          </cell>
          <cell r="AE1451">
            <v>114020</v>
          </cell>
          <cell r="AF1451">
            <v>0</v>
          </cell>
          <cell r="AI1451">
            <v>2223</v>
          </cell>
          <cell r="AK1451">
            <v>0</v>
          </cell>
          <cell r="AM1451">
            <v>704</v>
          </cell>
          <cell r="AN1451">
            <v>1</v>
          </cell>
          <cell r="AO1451">
            <v>393216</v>
          </cell>
          <cell r="AQ1451">
            <v>0</v>
          </cell>
          <cell r="AR1451">
            <v>0</v>
          </cell>
          <cell r="AS1451" t="str">
            <v>Ы</v>
          </cell>
          <cell r="AT1451" t="str">
            <v>Ы</v>
          </cell>
          <cell r="AU1451">
            <v>0</v>
          </cell>
          <cell r="AV1451">
            <v>0</v>
          </cell>
          <cell r="AW1451">
            <v>23</v>
          </cell>
          <cell r="AX1451">
            <v>1</v>
          </cell>
          <cell r="AY1451">
            <v>0</v>
          </cell>
          <cell r="AZ1451">
            <v>0</v>
          </cell>
          <cell r="BA1451">
            <v>0</v>
          </cell>
          <cell r="BB1451">
            <v>0</v>
          </cell>
          <cell r="BC1451">
            <v>38828</v>
          </cell>
        </row>
        <row r="1452">
          <cell r="A1452">
            <v>2006</v>
          </cell>
          <cell r="B1452">
            <v>1</v>
          </cell>
          <cell r="C1452">
            <v>578</v>
          </cell>
          <cell r="D1452">
            <v>21</v>
          </cell>
          <cell r="E1452">
            <v>792020</v>
          </cell>
          <cell r="F1452">
            <v>0</v>
          </cell>
          <cell r="G1452" t="str">
            <v>Затраты по ШПЗ (основные)</v>
          </cell>
          <cell r="H1452">
            <v>2011</v>
          </cell>
          <cell r="I1452">
            <v>7920</v>
          </cell>
          <cell r="J1452">
            <v>29391.31</v>
          </cell>
          <cell r="K1452">
            <v>1</v>
          </cell>
          <cell r="L1452">
            <v>0</v>
          </cell>
          <cell r="M1452">
            <v>0</v>
          </cell>
          <cell r="N1452">
            <v>0</v>
          </cell>
          <cell r="R1452">
            <v>0</v>
          </cell>
          <cell r="S1452">
            <v>0</v>
          </cell>
          <cell r="T1452">
            <v>0</v>
          </cell>
          <cell r="U1452">
            <v>37</v>
          </cell>
          <cell r="V1452">
            <v>0</v>
          </cell>
          <cell r="W1452">
            <v>0</v>
          </cell>
          <cell r="AA1452">
            <v>0</v>
          </cell>
          <cell r="AB1452">
            <v>0</v>
          </cell>
          <cell r="AC1452">
            <v>0</v>
          </cell>
          <cell r="AD1452">
            <v>37</v>
          </cell>
          <cell r="AE1452">
            <v>117000</v>
          </cell>
          <cell r="AF1452">
            <v>0</v>
          </cell>
          <cell r="AI1452">
            <v>2223</v>
          </cell>
          <cell r="AK1452">
            <v>0</v>
          </cell>
          <cell r="AM1452">
            <v>705</v>
          </cell>
          <cell r="AN1452">
            <v>1</v>
          </cell>
          <cell r="AO1452">
            <v>393216</v>
          </cell>
          <cell r="AQ1452">
            <v>0</v>
          </cell>
          <cell r="AR1452">
            <v>0</v>
          </cell>
          <cell r="AS1452" t="str">
            <v>Ы</v>
          </cell>
          <cell r="AT1452" t="str">
            <v>Ы</v>
          </cell>
          <cell r="AU1452">
            <v>0</v>
          </cell>
          <cell r="AV1452">
            <v>0</v>
          </cell>
          <cell r="AW1452">
            <v>23</v>
          </cell>
          <cell r="AX1452">
            <v>1</v>
          </cell>
          <cell r="AY1452">
            <v>0</v>
          </cell>
          <cell r="AZ1452">
            <v>0</v>
          </cell>
          <cell r="BA1452">
            <v>0</v>
          </cell>
          <cell r="BB1452">
            <v>0</v>
          </cell>
          <cell r="BC1452">
            <v>38828</v>
          </cell>
        </row>
        <row r="1453">
          <cell r="A1453">
            <v>2006</v>
          </cell>
          <cell r="B1453">
            <v>1</v>
          </cell>
          <cell r="C1453">
            <v>579</v>
          </cell>
          <cell r="D1453">
            <v>21</v>
          </cell>
          <cell r="E1453">
            <v>792020</v>
          </cell>
          <cell r="F1453">
            <v>0</v>
          </cell>
          <cell r="G1453" t="str">
            <v>Затраты по ШПЗ (основные)</v>
          </cell>
          <cell r="H1453">
            <v>2011</v>
          </cell>
          <cell r="I1453">
            <v>7920</v>
          </cell>
          <cell r="J1453">
            <v>68127</v>
          </cell>
          <cell r="K1453">
            <v>1</v>
          </cell>
          <cell r="L1453">
            <v>0</v>
          </cell>
          <cell r="M1453">
            <v>0</v>
          </cell>
          <cell r="N1453">
            <v>0</v>
          </cell>
          <cell r="R1453">
            <v>0</v>
          </cell>
          <cell r="S1453">
            <v>0</v>
          </cell>
          <cell r="T1453">
            <v>0</v>
          </cell>
          <cell r="U1453">
            <v>37</v>
          </cell>
          <cell r="V1453">
            <v>0</v>
          </cell>
          <cell r="W1453">
            <v>0</v>
          </cell>
          <cell r="AA1453">
            <v>0</v>
          </cell>
          <cell r="AB1453">
            <v>0</v>
          </cell>
          <cell r="AC1453">
            <v>0</v>
          </cell>
          <cell r="AD1453">
            <v>37</v>
          </cell>
          <cell r="AE1453">
            <v>118000</v>
          </cell>
          <cell r="AF1453">
            <v>0</v>
          </cell>
          <cell r="AI1453">
            <v>2223</v>
          </cell>
          <cell r="AK1453">
            <v>0</v>
          </cell>
          <cell r="AM1453">
            <v>706</v>
          </cell>
          <cell r="AN1453">
            <v>1</v>
          </cell>
          <cell r="AO1453">
            <v>393216</v>
          </cell>
          <cell r="AQ1453">
            <v>0</v>
          </cell>
          <cell r="AR1453">
            <v>0</v>
          </cell>
          <cell r="AS1453" t="str">
            <v>Ы</v>
          </cell>
          <cell r="AT1453" t="str">
            <v>Ы</v>
          </cell>
          <cell r="AU1453">
            <v>0</v>
          </cell>
          <cell r="AV1453">
            <v>0</v>
          </cell>
          <cell r="AW1453">
            <v>23</v>
          </cell>
          <cell r="AX1453">
            <v>1</v>
          </cell>
          <cell r="AY1453">
            <v>0</v>
          </cell>
          <cell r="AZ1453">
            <v>0</v>
          </cell>
          <cell r="BA1453">
            <v>0</v>
          </cell>
          <cell r="BB1453">
            <v>0</v>
          </cell>
          <cell r="BC1453">
            <v>38828</v>
          </cell>
        </row>
        <row r="1454">
          <cell r="A1454">
            <v>2006</v>
          </cell>
          <cell r="B1454">
            <v>1</v>
          </cell>
          <cell r="C1454">
            <v>580</v>
          </cell>
          <cell r="D1454">
            <v>21</v>
          </cell>
          <cell r="E1454">
            <v>792020</v>
          </cell>
          <cell r="F1454">
            <v>0</v>
          </cell>
          <cell r="G1454" t="str">
            <v>Затраты по ШПЗ (основные)</v>
          </cell>
          <cell r="H1454">
            <v>2011</v>
          </cell>
          <cell r="I1454">
            <v>7920</v>
          </cell>
          <cell r="J1454">
            <v>4519.6400000000003</v>
          </cell>
          <cell r="K1454">
            <v>1</v>
          </cell>
          <cell r="L1454">
            <v>0</v>
          </cell>
          <cell r="M1454">
            <v>0</v>
          </cell>
          <cell r="N1454">
            <v>0</v>
          </cell>
          <cell r="R1454">
            <v>0</v>
          </cell>
          <cell r="S1454">
            <v>0</v>
          </cell>
          <cell r="T1454">
            <v>0</v>
          </cell>
          <cell r="U1454">
            <v>37</v>
          </cell>
          <cell r="V1454">
            <v>0</v>
          </cell>
          <cell r="W1454">
            <v>0</v>
          </cell>
          <cell r="AA1454">
            <v>0</v>
          </cell>
          <cell r="AB1454">
            <v>0</v>
          </cell>
          <cell r="AC1454">
            <v>0</v>
          </cell>
          <cell r="AD1454">
            <v>37</v>
          </cell>
          <cell r="AE1454">
            <v>130000</v>
          </cell>
          <cell r="AF1454">
            <v>0</v>
          </cell>
          <cell r="AI1454">
            <v>2223</v>
          </cell>
          <cell r="AK1454">
            <v>0</v>
          </cell>
          <cell r="AM1454">
            <v>707</v>
          </cell>
          <cell r="AN1454">
            <v>1</v>
          </cell>
          <cell r="AO1454">
            <v>393216</v>
          </cell>
          <cell r="AQ1454">
            <v>0</v>
          </cell>
          <cell r="AR1454">
            <v>0</v>
          </cell>
          <cell r="AS1454" t="str">
            <v>Ы</v>
          </cell>
          <cell r="AT1454" t="str">
            <v>Ы</v>
          </cell>
          <cell r="AU1454">
            <v>0</v>
          </cell>
          <cell r="AV1454">
            <v>0</v>
          </cell>
          <cell r="AW1454">
            <v>23</v>
          </cell>
          <cell r="AX1454">
            <v>1</v>
          </cell>
          <cell r="AY1454">
            <v>0</v>
          </cell>
          <cell r="AZ1454">
            <v>0</v>
          </cell>
          <cell r="BA1454">
            <v>0</v>
          </cell>
          <cell r="BB1454">
            <v>0</v>
          </cell>
          <cell r="BC1454">
            <v>38828</v>
          </cell>
        </row>
        <row r="1455">
          <cell r="A1455">
            <v>2006</v>
          </cell>
          <cell r="B1455">
            <v>1</v>
          </cell>
          <cell r="C1455">
            <v>581</v>
          </cell>
          <cell r="D1455">
            <v>21</v>
          </cell>
          <cell r="E1455">
            <v>792020</v>
          </cell>
          <cell r="F1455">
            <v>0</v>
          </cell>
          <cell r="G1455" t="str">
            <v>Затраты по ШПЗ (основные)</v>
          </cell>
          <cell r="H1455">
            <v>2011</v>
          </cell>
          <cell r="I1455">
            <v>7920</v>
          </cell>
          <cell r="J1455">
            <v>1800</v>
          </cell>
          <cell r="K1455">
            <v>1</v>
          </cell>
          <cell r="L1455">
            <v>0</v>
          </cell>
          <cell r="M1455">
            <v>0</v>
          </cell>
          <cell r="N1455">
            <v>0</v>
          </cell>
          <cell r="R1455">
            <v>0</v>
          </cell>
          <cell r="S1455">
            <v>0</v>
          </cell>
          <cell r="T1455">
            <v>0</v>
          </cell>
          <cell r="U1455">
            <v>37</v>
          </cell>
          <cell r="V1455">
            <v>0</v>
          </cell>
          <cell r="W1455">
            <v>0</v>
          </cell>
          <cell r="AA1455">
            <v>0</v>
          </cell>
          <cell r="AB1455">
            <v>0</v>
          </cell>
          <cell r="AC1455">
            <v>0</v>
          </cell>
          <cell r="AD1455">
            <v>37</v>
          </cell>
          <cell r="AE1455">
            <v>130100</v>
          </cell>
          <cell r="AF1455">
            <v>0</v>
          </cell>
          <cell r="AI1455">
            <v>2223</v>
          </cell>
          <cell r="AK1455">
            <v>0</v>
          </cell>
          <cell r="AM1455">
            <v>708</v>
          </cell>
          <cell r="AN1455">
            <v>1</v>
          </cell>
          <cell r="AO1455">
            <v>393216</v>
          </cell>
          <cell r="AQ1455">
            <v>0</v>
          </cell>
          <cell r="AR1455">
            <v>0</v>
          </cell>
          <cell r="AS1455" t="str">
            <v>Ы</v>
          </cell>
          <cell r="AT1455" t="str">
            <v>Ы</v>
          </cell>
          <cell r="AU1455">
            <v>0</v>
          </cell>
          <cell r="AV1455">
            <v>0</v>
          </cell>
          <cell r="AW1455">
            <v>23</v>
          </cell>
          <cell r="AX1455">
            <v>1</v>
          </cell>
          <cell r="AY1455">
            <v>0</v>
          </cell>
          <cell r="AZ1455">
            <v>0</v>
          </cell>
          <cell r="BA1455">
            <v>0</v>
          </cell>
          <cell r="BB1455">
            <v>0</v>
          </cell>
          <cell r="BC1455">
            <v>38828</v>
          </cell>
        </row>
        <row r="1456">
          <cell r="A1456">
            <v>2006</v>
          </cell>
          <cell r="B1456">
            <v>1</v>
          </cell>
          <cell r="C1456">
            <v>582</v>
          </cell>
          <cell r="D1456">
            <v>21</v>
          </cell>
          <cell r="E1456">
            <v>792020</v>
          </cell>
          <cell r="F1456">
            <v>0</v>
          </cell>
          <cell r="G1456" t="str">
            <v>Затраты по ШПЗ (основные)</v>
          </cell>
          <cell r="H1456">
            <v>2011</v>
          </cell>
          <cell r="I1456">
            <v>7920</v>
          </cell>
          <cell r="J1456">
            <v>40353.71</v>
          </cell>
          <cell r="K1456">
            <v>1</v>
          </cell>
          <cell r="L1456">
            <v>0</v>
          </cell>
          <cell r="M1456">
            <v>0</v>
          </cell>
          <cell r="N1456">
            <v>0</v>
          </cell>
          <cell r="R1456">
            <v>0</v>
          </cell>
          <cell r="S1456">
            <v>0</v>
          </cell>
          <cell r="T1456">
            <v>0</v>
          </cell>
          <cell r="U1456">
            <v>37</v>
          </cell>
          <cell r="V1456">
            <v>0</v>
          </cell>
          <cell r="W1456">
            <v>0</v>
          </cell>
          <cell r="AA1456">
            <v>0</v>
          </cell>
          <cell r="AB1456">
            <v>0</v>
          </cell>
          <cell r="AC1456">
            <v>0</v>
          </cell>
          <cell r="AD1456">
            <v>37</v>
          </cell>
          <cell r="AE1456">
            <v>131000</v>
          </cell>
          <cell r="AF1456">
            <v>0</v>
          </cell>
          <cell r="AI1456">
            <v>2223</v>
          </cell>
          <cell r="AK1456">
            <v>0</v>
          </cell>
          <cell r="AM1456">
            <v>709</v>
          </cell>
          <cell r="AN1456">
            <v>1</v>
          </cell>
          <cell r="AO1456">
            <v>393216</v>
          </cell>
          <cell r="AQ1456">
            <v>0</v>
          </cell>
          <cell r="AR1456">
            <v>0</v>
          </cell>
          <cell r="AS1456" t="str">
            <v>Ы</v>
          </cell>
          <cell r="AT1456" t="str">
            <v>Ы</v>
          </cell>
          <cell r="AU1456">
            <v>0</v>
          </cell>
          <cell r="AV1456">
            <v>0</v>
          </cell>
          <cell r="AW1456">
            <v>23</v>
          </cell>
          <cell r="AX1456">
            <v>1</v>
          </cell>
          <cell r="AY1456">
            <v>0</v>
          </cell>
          <cell r="AZ1456">
            <v>0</v>
          </cell>
          <cell r="BA1456">
            <v>0</v>
          </cell>
          <cell r="BB1456">
            <v>0</v>
          </cell>
          <cell r="BC1456">
            <v>38828</v>
          </cell>
        </row>
        <row r="1457">
          <cell r="A1457">
            <v>2006</v>
          </cell>
          <cell r="B1457">
            <v>1</v>
          </cell>
          <cell r="C1457">
            <v>583</v>
          </cell>
          <cell r="D1457">
            <v>21</v>
          </cell>
          <cell r="E1457">
            <v>792020</v>
          </cell>
          <cell r="F1457">
            <v>0</v>
          </cell>
          <cell r="G1457" t="str">
            <v>Затраты по ШПЗ (основные)</v>
          </cell>
          <cell r="H1457">
            <v>2011</v>
          </cell>
          <cell r="I1457">
            <v>7920</v>
          </cell>
          <cell r="J1457">
            <v>946903</v>
          </cell>
          <cell r="K1457">
            <v>1</v>
          </cell>
          <cell r="L1457">
            <v>0</v>
          </cell>
          <cell r="M1457">
            <v>0</v>
          </cell>
          <cell r="N1457">
            <v>0</v>
          </cell>
          <cell r="R1457">
            <v>0</v>
          </cell>
          <cell r="S1457">
            <v>0</v>
          </cell>
          <cell r="T1457">
            <v>0</v>
          </cell>
          <cell r="U1457">
            <v>37</v>
          </cell>
          <cell r="V1457">
            <v>0</v>
          </cell>
          <cell r="W1457">
            <v>0</v>
          </cell>
          <cell r="AA1457">
            <v>0</v>
          </cell>
          <cell r="AB1457">
            <v>0</v>
          </cell>
          <cell r="AC1457">
            <v>0</v>
          </cell>
          <cell r="AD1457">
            <v>37</v>
          </cell>
          <cell r="AE1457">
            <v>131100</v>
          </cell>
          <cell r="AF1457">
            <v>0</v>
          </cell>
          <cell r="AI1457">
            <v>2223</v>
          </cell>
          <cell r="AK1457">
            <v>0</v>
          </cell>
          <cell r="AM1457">
            <v>710</v>
          </cell>
          <cell r="AN1457">
            <v>1</v>
          </cell>
          <cell r="AO1457">
            <v>393216</v>
          </cell>
          <cell r="AQ1457">
            <v>0</v>
          </cell>
          <cell r="AR1457">
            <v>0</v>
          </cell>
          <cell r="AS1457" t="str">
            <v>Ы</v>
          </cell>
          <cell r="AT1457" t="str">
            <v>Ы</v>
          </cell>
          <cell r="AU1457">
            <v>0</v>
          </cell>
          <cell r="AV1457">
            <v>0</v>
          </cell>
          <cell r="AW1457">
            <v>23</v>
          </cell>
          <cell r="AX1457">
            <v>1</v>
          </cell>
          <cell r="AY1457">
            <v>0</v>
          </cell>
          <cell r="AZ1457">
            <v>0</v>
          </cell>
          <cell r="BA1457">
            <v>0</v>
          </cell>
          <cell r="BB1457">
            <v>0</v>
          </cell>
          <cell r="BC1457">
            <v>38828</v>
          </cell>
        </row>
        <row r="1458">
          <cell r="A1458">
            <v>2006</v>
          </cell>
          <cell r="B1458">
            <v>1</v>
          </cell>
          <cell r="C1458">
            <v>584</v>
          </cell>
          <cell r="D1458">
            <v>21</v>
          </cell>
          <cell r="E1458">
            <v>792020</v>
          </cell>
          <cell r="F1458">
            <v>0</v>
          </cell>
          <cell r="G1458" t="str">
            <v>Затраты по ШПЗ (основные)</v>
          </cell>
          <cell r="H1458">
            <v>2011</v>
          </cell>
          <cell r="I1458">
            <v>7920</v>
          </cell>
          <cell r="J1458">
            <v>24258.62</v>
          </cell>
          <cell r="K1458">
            <v>1</v>
          </cell>
          <cell r="L1458">
            <v>0</v>
          </cell>
          <cell r="M1458">
            <v>0</v>
          </cell>
          <cell r="N1458">
            <v>0</v>
          </cell>
          <cell r="R1458">
            <v>0</v>
          </cell>
          <cell r="S1458">
            <v>0</v>
          </cell>
          <cell r="T1458">
            <v>0</v>
          </cell>
          <cell r="U1458">
            <v>37</v>
          </cell>
          <cell r="V1458">
            <v>0</v>
          </cell>
          <cell r="W1458">
            <v>0</v>
          </cell>
          <cell r="AA1458">
            <v>0</v>
          </cell>
          <cell r="AB1458">
            <v>0</v>
          </cell>
          <cell r="AC1458">
            <v>0</v>
          </cell>
          <cell r="AD1458">
            <v>37</v>
          </cell>
          <cell r="AE1458">
            <v>132000</v>
          </cell>
          <cell r="AF1458">
            <v>0</v>
          </cell>
          <cell r="AI1458">
            <v>2223</v>
          </cell>
          <cell r="AK1458">
            <v>0</v>
          </cell>
          <cell r="AM1458">
            <v>711</v>
          </cell>
          <cell r="AN1458">
            <v>1</v>
          </cell>
          <cell r="AO1458">
            <v>393216</v>
          </cell>
          <cell r="AQ1458">
            <v>0</v>
          </cell>
          <cell r="AR1458">
            <v>0</v>
          </cell>
          <cell r="AS1458" t="str">
            <v>Ы</v>
          </cell>
          <cell r="AT1458" t="str">
            <v>Ы</v>
          </cell>
          <cell r="AU1458">
            <v>0</v>
          </cell>
          <cell r="AV1458">
            <v>0</v>
          </cell>
          <cell r="AW1458">
            <v>23</v>
          </cell>
          <cell r="AX1458">
            <v>1</v>
          </cell>
          <cell r="AY1458">
            <v>0</v>
          </cell>
          <cell r="AZ1458">
            <v>0</v>
          </cell>
          <cell r="BA1458">
            <v>0</v>
          </cell>
          <cell r="BB1458">
            <v>0</v>
          </cell>
          <cell r="BC1458">
            <v>38828</v>
          </cell>
        </row>
        <row r="1459">
          <cell r="A1459">
            <v>2006</v>
          </cell>
          <cell r="B1459">
            <v>1</v>
          </cell>
          <cell r="C1459">
            <v>585</v>
          </cell>
          <cell r="D1459">
            <v>21</v>
          </cell>
          <cell r="E1459">
            <v>792020</v>
          </cell>
          <cell r="F1459">
            <v>0</v>
          </cell>
          <cell r="G1459" t="str">
            <v>Затраты по ШПЗ (основные)</v>
          </cell>
          <cell r="H1459">
            <v>2011</v>
          </cell>
          <cell r="I1459">
            <v>7920</v>
          </cell>
          <cell r="J1459">
            <v>996460.14</v>
          </cell>
          <cell r="K1459">
            <v>1</v>
          </cell>
          <cell r="L1459">
            <v>0</v>
          </cell>
          <cell r="M1459">
            <v>0</v>
          </cell>
          <cell r="N1459">
            <v>0</v>
          </cell>
          <cell r="R1459">
            <v>0</v>
          </cell>
          <cell r="S1459">
            <v>0</v>
          </cell>
          <cell r="T1459">
            <v>0</v>
          </cell>
          <cell r="U1459">
            <v>37</v>
          </cell>
          <cell r="V1459">
            <v>0</v>
          </cell>
          <cell r="W1459">
            <v>0</v>
          </cell>
          <cell r="AA1459">
            <v>0</v>
          </cell>
          <cell r="AB1459">
            <v>0</v>
          </cell>
          <cell r="AC1459">
            <v>0</v>
          </cell>
          <cell r="AD1459">
            <v>37</v>
          </cell>
          <cell r="AE1459">
            <v>133200</v>
          </cell>
          <cell r="AF1459">
            <v>0</v>
          </cell>
          <cell r="AI1459">
            <v>2223</v>
          </cell>
          <cell r="AK1459">
            <v>0</v>
          </cell>
          <cell r="AM1459">
            <v>712</v>
          </cell>
          <cell r="AN1459">
            <v>1</v>
          </cell>
          <cell r="AO1459">
            <v>393216</v>
          </cell>
          <cell r="AQ1459">
            <v>0</v>
          </cell>
          <cell r="AR1459">
            <v>0</v>
          </cell>
          <cell r="AS1459" t="str">
            <v>Ы</v>
          </cell>
          <cell r="AT1459" t="str">
            <v>Ы</v>
          </cell>
          <cell r="AU1459">
            <v>0</v>
          </cell>
          <cell r="AV1459">
            <v>0</v>
          </cell>
          <cell r="AW1459">
            <v>23</v>
          </cell>
          <cell r="AX1459">
            <v>1</v>
          </cell>
          <cell r="AY1459">
            <v>0</v>
          </cell>
          <cell r="AZ1459">
            <v>0</v>
          </cell>
          <cell r="BA1459">
            <v>0</v>
          </cell>
          <cell r="BB1459">
            <v>0</v>
          </cell>
          <cell r="BC1459">
            <v>38828</v>
          </cell>
        </row>
        <row r="1460">
          <cell r="A1460">
            <v>2006</v>
          </cell>
          <cell r="B1460">
            <v>1</v>
          </cell>
          <cell r="C1460">
            <v>586</v>
          </cell>
          <cell r="D1460">
            <v>21</v>
          </cell>
          <cell r="E1460">
            <v>792020</v>
          </cell>
          <cell r="F1460">
            <v>0</v>
          </cell>
          <cell r="G1460" t="str">
            <v>Затраты по ШПЗ (основные)</v>
          </cell>
          <cell r="H1460">
            <v>2011</v>
          </cell>
          <cell r="I1460">
            <v>7920</v>
          </cell>
          <cell r="J1460">
            <v>56860.89</v>
          </cell>
          <cell r="K1460">
            <v>1</v>
          </cell>
          <cell r="L1460">
            <v>0</v>
          </cell>
          <cell r="M1460">
            <v>0</v>
          </cell>
          <cell r="N1460">
            <v>0</v>
          </cell>
          <cell r="R1460">
            <v>0</v>
          </cell>
          <cell r="S1460">
            <v>0</v>
          </cell>
          <cell r="T1460">
            <v>0</v>
          </cell>
          <cell r="U1460">
            <v>37</v>
          </cell>
          <cell r="V1460">
            <v>0</v>
          </cell>
          <cell r="W1460">
            <v>0</v>
          </cell>
          <cell r="AA1460">
            <v>0</v>
          </cell>
          <cell r="AB1460">
            <v>0</v>
          </cell>
          <cell r="AC1460">
            <v>0</v>
          </cell>
          <cell r="AD1460">
            <v>37</v>
          </cell>
          <cell r="AE1460">
            <v>135000</v>
          </cell>
          <cell r="AF1460">
            <v>0</v>
          </cell>
          <cell r="AI1460">
            <v>2223</v>
          </cell>
          <cell r="AK1460">
            <v>0</v>
          </cell>
          <cell r="AM1460">
            <v>713</v>
          </cell>
          <cell r="AN1460">
            <v>1</v>
          </cell>
          <cell r="AO1460">
            <v>393216</v>
          </cell>
          <cell r="AQ1460">
            <v>0</v>
          </cell>
          <cell r="AR1460">
            <v>0</v>
          </cell>
          <cell r="AS1460" t="str">
            <v>Ы</v>
          </cell>
          <cell r="AT1460" t="str">
            <v>Ы</v>
          </cell>
          <cell r="AU1460">
            <v>0</v>
          </cell>
          <cell r="AV1460">
            <v>0</v>
          </cell>
          <cell r="AW1460">
            <v>23</v>
          </cell>
          <cell r="AX1460">
            <v>1</v>
          </cell>
          <cell r="AY1460">
            <v>0</v>
          </cell>
          <cell r="AZ1460">
            <v>0</v>
          </cell>
          <cell r="BA1460">
            <v>0</v>
          </cell>
          <cell r="BB1460">
            <v>0</v>
          </cell>
          <cell r="BC1460">
            <v>38828</v>
          </cell>
        </row>
        <row r="1461">
          <cell r="A1461">
            <v>2006</v>
          </cell>
          <cell r="B1461">
            <v>1</v>
          </cell>
          <cell r="C1461">
            <v>587</v>
          </cell>
          <cell r="D1461">
            <v>21</v>
          </cell>
          <cell r="E1461">
            <v>792020</v>
          </cell>
          <cell r="F1461">
            <v>0</v>
          </cell>
          <cell r="G1461" t="str">
            <v>Затраты по ШПЗ (основные)</v>
          </cell>
          <cell r="H1461">
            <v>2011</v>
          </cell>
          <cell r="I1461">
            <v>7920</v>
          </cell>
          <cell r="J1461">
            <v>760576.69</v>
          </cell>
          <cell r="K1461">
            <v>1</v>
          </cell>
          <cell r="L1461">
            <v>0</v>
          </cell>
          <cell r="M1461">
            <v>0</v>
          </cell>
          <cell r="N1461">
            <v>0</v>
          </cell>
          <cell r="R1461">
            <v>0</v>
          </cell>
          <cell r="S1461">
            <v>0</v>
          </cell>
          <cell r="T1461">
            <v>0</v>
          </cell>
          <cell r="U1461">
            <v>37</v>
          </cell>
          <cell r="V1461">
            <v>0</v>
          </cell>
          <cell r="W1461">
            <v>0</v>
          </cell>
          <cell r="AA1461">
            <v>0</v>
          </cell>
          <cell r="AB1461">
            <v>0</v>
          </cell>
          <cell r="AC1461">
            <v>0</v>
          </cell>
          <cell r="AD1461">
            <v>37</v>
          </cell>
          <cell r="AE1461">
            <v>143000</v>
          </cell>
          <cell r="AF1461">
            <v>0</v>
          </cell>
          <cell r="AI1461">
            <v>2223</v>
          </cell>
          <cell r="AK1461">
            <v>0</v>
          </cell>
          <cell r="AM1461">
            <v>714</v>
          </cell>
          <cell r="AN1461">
            <v>1</v>
          </cell>
          <cell r="AO1461">
            <v>393216</v>
          </cell>
          <cell r="AQ1461">
            <v>0</v>
          </cell>
          <cell r="AR1461">
            <v>0</v>
          </cell>
          <cell r="AS1461" t="str">
            <v>Ы</v>
          </cell>
          <cell r="AT1461" t="str">
            <v>Ы</v>
          </cell>
          <cell r="AU1461">
            <v>0</v>
          </cell>
          <cell r="AV1461">
            <v>0</v>
          </cell>
          <cell r="AW1461">
            <v>23</v>
          </cell>
          <cell r="AX1461">
            <v>1</v>
          </cell>
          <cell r="AY1461">
            <v>0</v>
          </cell>
          <cell r="AZ1461">
            <v>0</v>
          </cell>
          <cell r="BA1461">
            <v>0</v>
          </cell>
          <cell r="BB1461">
            <v>0</v>
          </cell>
          <cell r="BC1461">
            <v>38828</v>
          </cell>
        </row>
        <row r="1462">
          <cell r="A1462">
            <v>2006</v>
          </cell>
          <cell r="B1462">
            <v>1</v>
          </cell>
          <cell r="C1462">
            <v>588</v>
          </cell>
          <cell r="D1462">
            <v>21</v>
          </cell>
          <cell r="E1462">
            <v>792020</v>
          </cell>
          <cell r="F1462">
            <v>0</v>
          </cell>
          <cell r="G1462" t="str">
            <v>Затраты по ШПЗ (основные)</v>
          </cell>
          <cell r="H1462">
            <v>2011</v>
          </cell>
          <cell r="I1462">
            <v>7920</v>
          </cell>
          <cell r="J1462">
            <v>773723.75</v>
          </cell>
          <cell r="K1462">
            <v>1</v>
          </cell>
          <cell r="L1462">
            <v>0</v>
          </cell>
          <cell r="M1462">
            <v>0</v>
          </cell>
          <cell r="N1462">
            <v>0</v>
          </cell>
          <cell r="R1462">
            <v>0</v>
          </cell>
          <cell r="S1462">
            <v>0</v>
          </cell>
          <cell r="T1462">
            <v>0</v>
          </cell>
          <cell r="U1462">
            <v>37</v>
          </cell>
          <cell r="V1462">
            <v>0</v>
          </cell>
          <cell r="W1462">
            <v>0</v>
          </cell>
          <cell r="AA1462">
            <v>0</v>
          </cell>
          <cell r="AB1462">
            <v>0</v>
          </cell>
          <cell r="AC1462">
            <v>0</v>
          </cell>
          <cell r="AD1462">
            <v>37</v>
          </cell>
          <cell r="AE1462">
            <v>151000</v>
          </cell>
          <cell r="AF1462">
            <v>0</v>
          </cell>
          <cell r="AI1462">
            <v>2223</v>
          </cell>
          <cell r="AK1462">
            <v>0</v>
          </cell>
          <cell r="AM1462">
            <v>715</v>
          </cell>
          <cell r="AN1462">
            <v>1</v>
          </cell>
          <cell r="AO1462">
            <v>393216</v>
          </cell>
          <cell r="AQ1462">
            <v>0</v>
          </cell>
          <cell r="AR1462">
            <v>0</v>
          </cell>
          <cell r="AS1462" t="str">
            <v>Ы</v>
          </cell>
          <cell r="AT1462" t="str">
            <v>Ы</v>
          </cell>
          <cell r="AU1462">
            <v>0</v>
          </cell>
          <cell r="AV1462">
            <v>0</v>
          </cell>
          <cell r="AW1462">
            <v>23</v>
          </cell>
          <cell r="AX1462">
            <v>1</v>
          </cell>
          <cell r="AY1462">
            <v>0</v>
          </cell>
          <cell r="AZ1462">
            <v>0</v>
          </cell>
          <cell r="BA1462">
            <v>0</v>
          </cell>
          <cell r="BB1462">
            <v>0</v>
          </cell>
          <cell r="BC1462">
            <v>38828</v>
          </cell>
        </row>
        <row r="1463">
          <cell r="A1463">
            <v>2006</v>
          </cell>
          <cell r="B1463">
            <v>1</v>
          </cell>
          <cell r="C1463">
            <v>589</v>
          </cell>
          <cell r="D1463">
            <v>21</v>
          </cell>
          <cell r="E1463">
            <v>792020</v>
          </cell>
          <cell r="F1463">
            <v>0</v>
          </cell>
          <cell r="G1463" t="str">
            <v>Затраты по ШПЗ (основные)</v>
          </cell>
          <cell r="H1463">
            <v>2011</v>
          </cell>
          <cell r="I1463">
            <v>7920</v>
          </cell>
          <cell r="J1463">
            <v>42533.73</v>
          </cell>
          <cell r="K1463">
            <v>1</v>
          </cell>
          <cell r="L1463">
            <v>0</v>
          </cell>
          <cell r="M1463">
            <v>0</v>
          </cell>
          <cell r="N1463">
            <v>0</v>
          </cell>
          <cell r="R1463">
            <v>0</v>
          </cell>
          <cell r="S1463">
            <v>0</v>
          </cell>
          <cell r="T1463">
            <v>0</v>
          </cell>
          <cell r="U1463">
            <v>37</v>
          </cell>
          <cell r="V1463">
            <v>0</v>
          </cell>
          <cell r="W1463">
            <v>0</v>
          </cell>
          <cell r="AA1463">
            <v>0</v>
          </cell>
          <cell r="AB1463">
            <v>0</v>
          </cell>
          <cell r="AC1463">
            <v>0</v>
          </cell>
          <cell r="AD1463">
            <v>37</v>
          </cell>
          <cell r="AE1463">
            <v>152000</v>
          </cell>
          <cell r="AF1463">
            <v>0</v>
          </cell>
          <cell r="AI1463">
            <v>2223</v>
          </cell>
          <cell r="AK1463">
            <v>0</v>
          </cell>
          <cell r="AM1463">
            <v>716</v>
          </cell>
          <cell r="AN1463">
            <v>1</v>
          </cell>
          <cell r="AO1463">
            <v>393216</v>
          </cell>
          <cell r="AQ1463">
            <v>0</v>
          </cell>
          <cell r="AR1463">
            <v>0</v>
          </cell>
          <cell r="AS1463" t="str">
            <v>Ы</v>
          </cell>
          <cell r="AT1463" t="str">
            <v>Ы</v>
          </cell>
          <cell r="AU1463">
            <v>0</v>
          </cell>
          <cell r="AV1463">
            <v>0</v>
          </cell>
          <cell r="AW1463">
            <v>23</v>
          </cell>
          <cell r="AX1463">
            <v>1</v>
          </cell>
          <cell r="AY1463">
            <v>0</v>
          </cell>
          <cell r="AZ1463">
            <v>0</v>
          </cell>
          <cell r="BA1463">
            <v>0</v>
          </cell>
          <cell r="BB1463">
            <v>0</v>
          </cell>
          <cell r="BC1463">
            <v>38828</v>
          </cell>
        </row>
        <row r="1464">
          <cell r="A1464">
            <v>2006</v>
          </cell>
          <cell r="B1464">
            <v>1</v>
          </cell>
          <cell r="C1464">
            <v>590</v>
          </cell>
          <cell r="D1464">
            <v>21</v>
          </cell>
          <cell r="E1464">
            <v>792020</v>
          </cell>
          <cell r="F1464">
            <v>0</v>
          </cell>
          <cell r="G1464" t="str">
            <v>Затраты по ШПЗ (основные)</v>
          </cell>
          <cell r="H1464">
            <v>2011</v>
          </cell>
          <cell r="I1464">
            <v>7920</v>
          </cell>
          <cell r="J1464">
            <v>8964972.8399999999</v>
          </cell>
          <cell r="K1464">
            <v>1</v>
          </cell>
          <cell r="L1464">
            <v>0</v>
          </cell>
          <cell r="M1464">
            <v>0</v>
          </cell>
          <cell r="N1464">
            <v>0</v>
          </cell>
          <cell r="R1464">
            <v>0</v>
          </cell>
          <cell r="S1464">
            <v>0</v>
          </cell>
          <cell r="T1464">
            <v>0</v>
          </cell>
          <cell r="U1464">
            <v>37</v>
          </cell>
          <cell r="V1464">
            <v>0</v>
          </cell>
          <cell r="W1464">
            <v>0</v>
          </cell>
          <cell r="AA1464">
            <v>0</v>
          </cell>
          <cell r="AB1464">
            <v>0</v>
          </cell>
          <cell r="AC1464">
            <v>0</v>
          </cell>
          <cell r="AD1464">
            <v>37</v>
          </cell>
          <cell r="AE1464">
            <v>220000</v>
          </cell>
          <cell r="AF1464">
            <v>0</v>
          </cell>
          <cell r="AI1464">
            <v>2223</v>
          </cell>
          <cell r="AK1464">
            <v>0</v>
          </cell>
          <cell r="AM1464">
            <v>717</v>
          </cell>
          <cell r="AN1464">
            <v>1</v>
          </cell>
          <cell r="AO1464">
            <v>393216</v>
          </cell>
          <cell r="AQ1464">
            <v>0</v>
          </cell>
          <cell r="AR1464">
            <v>0</v>
          </cell>
          <cell r="AS1464" t="str">
            <v>Ы</v>
          </cell>
          <cell r="AT1464" t="str">
            <v>Ы</v>
          </cell>
          <cell r="AU1464">
            <v>0</v>
          </cell>
          <cell r="AV1464">
            <v>0</v>
          </cell>
          <cell r="AW1464">
            <v>23</v>
          </cell>
          <cell r="AX1464">
            <v>1</v>
          </cell>
          <cell r="AY1464">
            <v>0</v>
          </cell>
          <cell r="AZ1464">
            <v>0</v>
          </cell>
          <cell r="BA1464">
            <v>0</v>
          </cell>
          <cell r="BB1464">
            <v>0</v>
          </cell>
          <cell r="BC1464">
            <v>38828</v>
          </cell>
        </row>
        <row r="1465">
          <cell r="A1465">
            <v>2006</v>
          </cell>
          <cell r="B1465">
            <v>1</v>
          </cell>
          <cell r="C1465">
            <v>591</v>
          </cell>
          <cell r="D1465">
            <v>21</v>
          </cell>
          <cell r="E1465">
            <v>792020</v>
          </cell>
          <cell r="F1465">
            <v>0</v>
          </cell>
          <cell r="G1465" t="str">
            <v>Затраты по ШПЗ (основные)</v>
          </cell>
          <cell r="H1465">
            <v>2011</v>
          </cell>
          <cell r="I1465">
            <v>7920</v>
          </cell>
          <cell r="J1465">
            <v>4373758.76</v>
          </cell>
          <cell r="K1465">
            <v>1</v>
          </cell>
          <cell r="L1465">
            <v>0</v>
          </cell>
          <cell r="M1465">
            <v>0</v>
          </cell>
          <cell r="N1465">
            <v>0</v>
          </cell>
          <cell r="R1465">
            <v>0</v>
          </cell>
          <cell r="S1465">
            <v>0</v>
          </cell>
          <cell r="T1465">
            <v>0</v>
          </cell>
          <cell r="U1465">
            <v>37</v>
          </cell>
          <cell r="V1465">
            <v>0</v>
          </cell>
          <cell r="W1465">
            <v>0</v>
          </cell>
          <cell r="AA1465">
            <v>0</v>
          </cell>
          <cell r="AB1465">
            <v>0</v>
          </cell>
          <cell r="AC1465">
            <v>0</v>
          </cell>
          <cell r="AD1465">
            <v>37</v>
          </cell>
          <cell r="AE1465">
            <v>230000</v>
          </cell>
          <cell r="AF1465">
            <v>0</v>
          </cell>
          <cell r="AI1465">
            <v>2223</v>
          </cell>
          <cell r="AK1465">
            <v>0</v>
          </cell>
          <cell r="AM1465">
            <v>718</v>
          </cell>
          <cell r="AN1465">
            <v>1</v>
          </cell>
          <cell r="AO1465">
            <v>393216</v>
          </cell>
          <cell r="AQ1465">
            <v>0</v>
          </cell>
          <cell r="AR1465">
            <v>0</v>
          </cell>
          <cell r="AS1465" t="str">
            <v>Ы</v>
          </cell>
          <cell r="AT1465" t="str">
            <v>Ы</v>
          </cell>
          <cell r="AU1465">
            <v>0</v>
          </cell>
          <cell r="AV1465">
            <v>0</v>
          </cell>
          <cell r="AW1465">
            <v>23</v>
          </cell>
          <cell r="AX1465">
            <v>1</v>
          </cell>
          <cell r="AY1465">
            <v>0</v>
          </cell>
          <cell r="AZ1465">
            <v>0</v>
          </cell>
          <cell r="BA1465">
            <v>0</v>
          </cell>
          <cell r="BB1465">
            <v>0</v>
          </cell>
          <cell r="BC1465">
            <v>38828</v>
          </cell>
        </row>
        <row r="1466">
          <cell r="A1466">
            <v>2006</v>
          </cell>
          <cell r="B1466">
            <v>1</v>
          </cell>
          <cell r="C1466">
            <v>592</v>
          </cell>
          <cell r="D1466">
            <v>21</v>
          </cell>
          <cell r="E1466">
            <v>792020</v>
          </cell>
          <cell r="F1466">
            <v>0</v>
          </cell>
          <cell r="G1466" t="str">
            <v>Затраты по ШПЗ (основные)</v>
          </cell>
          <cell r="H1466">
            <v>2011</v>
          </cell>
          <cell r="I1466">
            <v>7920</v>
          </cell>
          <cell r="J1466">
            <v>32500</v>
          </cell>
          <cell r="K1466">
            <v>1</v>
          </cell>
          <cell r="L1466">
            <v>0</v>
          </cell>
          <cell r="M1466">
            <v>0</v>
          </cell>
          <cell r="N1466">
            <v>0</v>
          </cell>
          <cell r="R1466">
            <v>0</v>
          </cell>
          <cell r="S1466">
            <v>0</v>
          </cell>
          <cell r="T1466">
            <v>0</v>
          </cell>
          <cell r="U1466">
            <v>37</v>
          </cell>
          <cell r="V1466">
            <v>0</v>
          </cell>
          <cell r="W1466">
            <v>0</v>
          </cell>
          <cell r="AA1466">
            <v>0</v>
          </cell>
          <cell r="AB1466">
            <v>0</v>
          </cell>
          <cell r="AC1466">
            <v>0</v>
          </cell>
          <cell r="AD1466">
            <v>37</v>
          </cell>
          <cell r="AE1466">
            <v>240000</v>
          </cell>
          <cell r="AF1466">
            <v>0</v>
          </cell>
          <cell r="AI1466">
            <v>2223</v>
          </cell>
          <cell r="AK1466">
            <v>0</v>
          </cell>
          <cell r="AM1466">
            <v>719</v>
          </cell>
          <cell r="AN1466">
            <v>1</v>
          </cell>
          <cell r="AO1466">
            <v>393216</v>
          </cell>
          <cell r="AQ1466">
            <v>0</v>
          </cell>
          <cell r="AR1466">
            <v>0</v>
          </cell>
          <cell r="AS1466" t="str">
            <v>Ы</v>
          </cell>
          <cell r="AT1466" t="str">
            <v>Ы</v>
          </cell>
          <cell r="AU1466">
            <v>0</v>
          </cell>
          <cell r="AV1466">
            <v>0</v>
          </cell>
          <cell r="AW1466">
            <v>23</v>
          </cell>
          <cell r="AX1466">
            <v>1</v>
          </cell>
          <cell r="AY1466">
            <v>0</v>
          </cell>
          <cell r="AZ1466">
            <v>0</v>
          </cell>
          <cell r="BA1466">
            <v>0</v>
          </cell>
          <cell r="BB1466">
            <v>0</v>
          </cell>
          <cell r="BC1466">
            <v>38828</v>
          </cell>
        </row>
        <row r="1467">
          <cell r="A1467">
            <v>2006</v>
          </cell>
          <cell r="B1467">
            <v>1</v>
          </cell>
          <cell r="C1467">
            <v>593</v>
          </cell>
          <cell r="D1467">
            <v>21</v>
          </cell>
          <cell r="E1467">
            <v>792020</v>
          </cell>
          <cell r="F1467">
            <v>0</v>
          </cell>
          <cell r="G1467" t="str">
            <v>Затраты по ШПЗ (основные)</v>
          </cell>
          <cell r="H1467">
            <v>2011</v>
          </cell>
          <cell r="I1467">
            <v>7920</v>
          </cell>
          <cell r="J1467">
            <v>36321.89</v>
          </cell>
          <cell r="K1467">
            <v>1</v>
          </cell>
          <cell r="L1467">
            <v>0</v>
          </cell>
          <cell r="M1467">
            <v>0</v>
          </cell>
          <cell r="N1467">
            <v>0</v>
          </cell>
          <cell r="R1467">
            <v>0</v>
          </cell>
          <cell r="S1467">
            <v>0</v>
          </cell>
          <cell r="T1467">
            <v>0</v>
          </cell>
          <cell r="U1467">
            <v>37</v>
          </cell>
          <cell r="V1467">
            <v>0</v>
          </cell>
          <cell r="W1467">
            <v>0</v>
          </cell>
          <cell r="AA1467">
            <v>0</v>
          </cell>
          <cell r="AB1467">
            <v>0</v>
          </cell>
          <cell r="AC1467">
            <v>0</v>
          </cell>
          <cell r="AD1467">
            <v>37</v>
          </cell>
          <cell r="AE1467">
            <v>250000</v>
          </cell>
          <cell r="AF1467">
            <v>0</v>
          </cell>
          <cell r="AI1467">
            <v>2223</v>
          </cell>
          <cell r="AK1467">
            <v>0</v>
          </cell>
          <cell r="AM1467">
            <v>720</v>
          </cell>
          <cell r="AN1467">
            <v>1</v>
          </cell>
          <cell r="AO1467">
            <v>393216</v>
          </cell>
          <cell r="AQ1467">
            <v>0</v>
          </cell>
          <cell r="AR1467">
            <v>0</v>
          </cell>
          <cell r="AS1467" t="str">
            <v>Ы</v>
          </cell>
          <cell r="AT1467" t="str">
            <v>Ы</v>
          </cell>
          <cell r="AU1467">
            <v>0</v>
          </cell>
          <cell r="AV1467">
            <v>0</v>
          </cell>
          <cell r="AW1467">
            <v>23</v>
          </cell>
          <cell r="AX1467">
            <v>1</v>
          </cell>
          <cell r="AY1467">
            <v>0</v>
          </cell>
          <cell r="AZ1467">
            <v>0</v>
          </cell>
          <cell r="BA1467">
            <v>0</v>
          </cell>
          <cell r="BB1467">
            <v>0</v>
          </cell>
          <cell r="BC1467">
            <v>38828</v>
          </cell>
        </row>
        <row r="1468">
          <cell r="A1468">
            <v>2006</v>
          </cell>
          <cell r="B1468">
            <v>1</v>
          </cell>
          <cell r="C1468">
            <v>594</v>
          </cell>
          <cell r="D1468">
            <v>21</v>
          </cell>
          <cell r="E1468">
            <v>792020</v>
          </cell>
          <cell r="F1468">
            <v>0</v>
          </cell>
          <cell r="G1468" t="str">
            <v>Затраты по ШПЗ (основные)</v>
          </cell>
          <cell r="H1468">
            <v>2011</v>
          </cell>
          <cell r="I1468">
            <v>7920</v>
          </cell>
          <cell r="J1468">
            <v>180139.11</v>
          </cell>
          <cell r="K1468">
            <v>1</v>
          </cell>
          <cell r="L1468">
            <v>0</v>
          </cell>
          <cell r="M1468">
            <v>0</v>
          </cell>
          <cell r="N1468">
            <v>0</v>
          </cell>
          <cell r="R1468">
            <v>0</v>
          </cell>
          <cell r="S1468">
            <v>0</v>
          </cell>
          <cell r="T1468">
            <v>0</v>
          </cell>
          <cell r="U1468">
            <v>37</v>
          </cell>
          <cell r="V1468">
            <v>0</v>
          </cell>
          <cell r="W1468">
            <v>0</v>
          </cell>
          <cell r="AA1468">
            <v>0</v>
          </cell>
          <cell r="AB1468">
            <v>0</v>
          </cell>
          <cell r="AC1468">
            <v>0</v>
          </cell>
          <cell r="AD1468">
            <v>37</v>
          </cell>
          <cell r="AE1468">
            <v>260000</v>
          </cell>
          <cell r="AF1468">
            <v>0</v>
          </cell>
          <cell r="AI1468">
            <v>2223</v>
          </cell>
          <cell r="AK1468">
            <v>0</v>
          </cell>
          <cell r="AM1468">
            <v>721</v>
          </cell>
          <cell r="AN1468">
            <v>1</v>
          </cell>
          <cell r="AO1468">
            <v>393216</v>
          </cell>
          <cell r="AQ1468">
            <v>0</v>
          </cell>
          <cell r="AR1468">
            <v>0</v>
          </cell>
          <cell r="AS1468" t="str">
            <v>Ы</v>
          </cell>
          <cell r="AT1468" t="str">
            <v>Ы</v>
          </cell>
          <cell r="AU1468">
            <v>0</v>
          </cell>
          <cell r="AV1468">
            <v>0</v>
          </cell>
          <cell r="AW1468">
            <v>23</v>
          </cell>
          <cell r="AX1468">
            <v>1</v>
          </cell>
          <cell r="AY1468">
            <v>0</v>
          </cell>
          <cell r="AZ1468">
            <v>0</v>
          </cell>
          <cell r="BA1468">
            <v>0</v>
          </cell>
          <cell r="BB1468">
            <v>0</v>
          </cell>
          <cell r="BC1468">
            <v>38828</v>
          </cell>
        </row>
        <row r="1469">
          <cell r="A1469">
            <v>2006</v>
          </cell>
          <cell r="B1469">
            <v>1</v>
          </cell>
          <cell r="C1469">
            <v>595</v>
          </cell>
          <cell r="D1469">
            <v>21</v>
          </cell>
          <cell r="E1469">
            <v>792020</v>
          </cell>
          <cell r="F1469">
            <v>0</v>
          </cell>
          <cell r="G1469" t="str">
            <v>Затраты по ШПЗ (основные)</v>
          </cell>
          <cell r="H1469">
            <v>2011</v>
          </cell>
          <cell r="I1469">
            <v>7920</v>
          </cell>
          <cell r="J1469">
            <v>1099822.6299999999</v>
          </cell>
          <cell r="K1469">
            <v>1</v>
          </cell>
          <cell r="L1469">
            <v>0</v>
          </cell>
          <cell r="M1469">
            <v>0</v>
          </cell>
          <cell r="N1469">
            <v>0</v>
          </cell>
          <cell r="R1469">
            <v>0</v>
          </cell>
          <cell r="S1469">
            <v>0</v>
          </cell>
          <cell r="T1469">
            <v>0</v>
          </cell>
          <cell r="U1469">
            <v>37</v>
          </cell>
          <cell r="V1469">
            <v>0</v>
          </cell>
          <cell r="W1469">
            <v>0</v>
          </cell>
          <cell r="AA1469">
            <v>0</v>
          </cell>
          <cell r="AB1469">
            <v>0</v>
          </cell>
          <cell r="AC1469">
            <v>0</v>
          </cell>
          <cell r="AD1469">
            <v>37</v>
          </cell>
          <cell r="AE1469">
            <v>270000</v>
          </cell>
          <cell r="AF1469">
            <v>0</v>
          </cell>
          <cell r="AI1469">
            <v>2223</v>
          </cell>
          <cell r="AK1469">
            <v>0</v>
          </cell>
          <cell r="AM1469">
            <v>722</v>
          </cell>
          <cell r="AN1469">
            <v>1</v>
          </cell>
          <cell r="AO1469">
            <v>393216</v>
          </cell>
          <cell r="AQ1469">
            <v>0</v>
          </cell>
          <cell r="AR1469">
            <v>0</v>
          </cell>
          <cell r="AS1469" t="str">
            <v>Ы</v>
          </cell>
          <cell r="AT1469" t="str">
            <v>Ы</v>
          </cell>
          <cell r="AU1469">
            <v>0</v>
          </cell>
          <cell r="AV1469">
            <v>0</v>
          </cell>
          <cell r="AW1469">
            <v>23</v>
          </cell>
          <cell r="AX1469">
            <v>1</v>
          </cell>
          <cell r="AY1469">
            <v>0</v>
          </cell>
          <cell r="AZ1469">
            <v>0</v>
          </cell>
          <cell r="BA1469">
            <v>0</v>
          </cell>
          <cell r="BB1469">
            <v>0</v>
          </cell>
          <cell r="BC1469">
            <v>38828</v>
          </cell>
        </row>
        <row r="1470">
          <cell r="A1470">
            <v>2006</v>
          </cell>
          <cell r="B1470">
            <v>1</v>
          </cell>
          <cell r="C1470">
            <v>596</v>
          </cell>
          <cell r="D1470">
            <v>21</v>
          </cell>
          <cell r="E1470">
            <v>792020</v>
          </cell>
          <cell r="F1470">
            <v>0</v>
          </cell>
          <cell r="G1470" t="str">
            <v>Затраты по ШПЗ (основные)</v>
          </cell>
          <cell r="H1470">
            <v>2011</v>
          </cell>
          <cell r="I1470">
            <v>7920</v>
          </cell>
          <cell r="J1470">
            <v>46397.21</v>
          </cell>
          <cell r="K1470">
            <v>1</v>
          </cell>
          <cell r="L1470">
            <v>0</v>
          </cell>
          <cell r="M1470">
            <v>0</v>
          </cell>
          <cell r="N1470">
            <v>0</v>
          </cell>
          <cell r="R1470">
            <v>0</v>
          </cell>
          <cell r="S1470">
            <v>0</v>
          </cell>
          <cell r="T1470">
            <v>0</v>
          </cell>
          <cell r="U1470">
            <v>37</v>
          </cell>
          <cell r="V1470">
            <v>0</v>
          </cell>
          <cell r="W1470">
            <v>0</v>
          </cell>
          <cell r="AA1470">
            <v>0</v>
          </cell>
          <cell r="AB1470">
            <v>0</v>
          </cell>
          <cell r="AC1470">
            <v>0</v>
          </cell>
          <cell r="AD1470">
            <v>37</v>
          </cell>
          <cell r="AE1470">
            <v>280000</v>
          </cell>
          <cell r="AF1470">
            <v>0</v>
          </cell>
          <cell r="AI1470">
            <v>2223</v>
          </cell>
          <cell r="AK1470">
            <v>0</v>
          </cell>
          <cell r="AM1470">
            <v>723</v>
          </cell>
          <cell r="AN1470">
            <v>1</v>
          </cell>
          <cell r="AO1470">
            <v>393216</v>
          </cell>
          <cell r="AQ1470">
            <v>0</v>
          </cell>
          <cell r="AR1470">
            <v>0</v>
          </cell>
          <cell r="AS1470" t="str">
            <v>Ы</v>
          </cell>
          <cell r="AT1470" t="str">
            <v>Ы</v>
          </cell>
          <cell r="AU1470">
            <v>0</v>
          </cell>
          <cell r="AV1470">
            <v>0</v>
          </cell>
          <cell r="AW1470">
            <v>23</v>
          </cell>
          <cell r="AX1470">
            <v>1</v>
          </cell>
          <cell r="AY1470">
            <v>0</v>
          </cell>
          <cell r="AZ1470">
            <v>0</v>
          </cell>
          <cell r="BA1470">
            <v>0</v>
          </cell>
          <cell r="BB1470">
            <v>0</v>
          </cell>
          <cell r="BC1470">
            <v>38828</v>
          </cell>
        </row>
        <row r="1471">
          <cell r="A1471">
            <v>2006</v>
          </cell>
          <cell r="B1471">
            <v>1</v>
          </cell>
          <cell r="C1471">
            <v>597</v>
          </cell>
          <cell r="D1471">
            <v>21</v>
          </cell>
          <cell r="E1471">
            <v>792020</v>
          </cell>
          <cell r="F1471">
            <v>0</v>
          </cell>
          <cell r="G1471" t="str">
            <v>Затраты по ШПЗ (основные)</v>
          </cell>
          <cell r="H1471">
            <v>2011</v>
          </cell>
          <cell r="I1471">
            <v>7920</v>
          </cell>
          <cell r="J1471">
            <v>535580.17000000004</v>
          </cell>
          <cell r="K1471">
            <v>1</v>
          </cell>
          <cell r="L1471">
            <v>0</v>
          </cell>
          <cell r="M1471">
            <v>0</v>
          </cell>
          <cell r="N1471">
            <v>0</v>
          </cell>
          <cell r="R1471">
            <v>0</v>
          </cell>
          <cell r="S1471">
            <v>0</v>
          </cell>
          <cell r="T1471">
            <v>0</v>
          </cell>
          <cell r="U1471">
            <v>37</v>
          </cell>
          <cell r="V1471">
            <v>0</v>
          </cell>
          <cell r="W1471">
            <v>0</v>
          </cell>
          <cell r="AA1471">
            <v>0</v>
          </cell>
          <cell r="AB1471">
            <v>0</v>
          </cell>
          <cell r="AC1471">
            <v>0</v>
          </cell>
          <cell r="AD1471">
            <v>37</v>
          </cell>
          <cell r="AE1471">
            <v>280100</v>
          </cell>
          <cell r="AF1471">
            <v>0</v>
          </cell>
          <cell r="AI1471">
            <v>2223</v>
          </cell>
          <cell r="AK1471">
            <v>0</v>
          </cell>
          <cell r="AM1471">
            <v>724</v>
          </cell>
          <cell r="AN1471">
            <v>1</v>
          </cell>
          <cell r="AO1471">
            <v>393216</v>
          </cell>
          <cell r="AQ1471">
            <v>0</v>
          </cell>
          <cell r="AR1471">
            <v>0</v>
          </cell>
          <cell r="AS1471" t="str">
            <v>Ы</v>
          </cell>
          <cell r="AT1471" t="str">
            <v>Ы</v>
          </cell>
          <cell r="AU1471">
            <v>0</v>
          </cell>
          <cell r="AV1471">
            <v>0</v>
          </cell>
          <cell r="AW1471">
            <v>23</v>
          </cell>
          <cell r="AX1471">
            <v>1</v>
          </cell>
          <cell r="AY1471">
            <v>0</v>
          </cell>
          <cell r="AZ1471">
            <v>0</v>
          </cell>
          <cell r="BA1471">
            <v>0</v>
          </cell>
          <cell r="BB1471">
            <v>0</v>
          </cell>
          <cell r="BC1471">
            <v>38828</v>
          </cell>
        </row>
        <row r="1472">
          <cell r="A1472">
            <v>2006</v>
          </cell>
          <cell r="B1472">
            <v>1</v>
          </cell>
          <cell r="C1472">
            <v>598</v>
          </cell>
          <cell r="D1472">
            <v>21</v>
          </cell>
          <cell r="E1472">
            <v>792020</v>
          </cell>
          <cell r="F1472">
            <v>0</v>
          </cell>
          <cell r="G1472" t="str">
            <v>Затраты по ШПЗ (основные)</v>
          </cell>
          <cell r="H1472">
            <v>2011</v>
          </cell>
          <cell r="I1472">
            <v>7920</v>
          </cell>
          <cell r="J1472">
            <v>22743.08</v>
          </cell>
          <cell r="K1472">
            <v>1</v>
          </cell>
          <cell r="L1472">
            <v>0</v>
          </cell>
          <cell r="M1472">
            <v>0</v>
          </cell>
          <cell r="N1472">
            <v>0</v>
          </cell>
          <cell r="R1472">
            <v>0</v>
          </cell>
          <cell r="S1472">
            <v>0</v>
          </cell>
          <cell r="T1472">
            <v>0</v>
          </cell>
          <cell r="U1472">
            <v>37</v>
          </cell>
          <cell r="V1472">
            <v>0</v>
          </cell>
          <cell r="W1472">
            <v>0</v>
          </cell>
          <cell r="AA1472">
            <v>0</v>
          </cell>
          <cell r="AB1472">
            <v>0</v>
          </cell>
          <cell r="AC1472">
            <v>0</v>
          </cell>
          <cell r="AD1472">
            <v>37</v>
          </cell>
          <cell r="AE1472">
            <v>280200</v>
          </cell>
          <cell r="AF1472">
            <v>0</v>
          </cell>
          <cell r="AI1472">
            <v>2223</v>
          </cell>
          <cell r="AK1472">
            <v>0</v>
          </cell>
          <cell r="AM1472">
            <v>725</v>
          </cell>
          <cell r="AN1472">
            <v>1</v>
          </cell>
          <cell r="AO1472">
            <v>393216</v>
          </cell>
          <cell r="AQ1472">
            <v>0</v>
          </cell>
          <cell r="AR1472">
            <v>0</v>
          </cell>
          <cell r="AS1472" t="str">
            <v>Ы</v>
          </cell>
          <cell r="AT1472" t="str">
            <v>Ы</v>
          </cell>
          <cell r="AU1472">
            <v>0</v>
          </cell>
          <cell r="AV1472">
            <v>0</v>
          </cell>
          <cell r="AW1472">
            <v>23</v>
          </cell>
          <cell r="AX1472">
            <v>1</v>
          </cell>
          <cell r="AY1472">
            <v>0</v>
          </cell>
          <cell r="AZ1472">
            <v>0</v>
          </cell>
          <cell r="BA1472">
            <v>0</v>
          </cell>
          <cell r="BB1472">
            <v>0</v>
          </cell>
          <cell r="BC1472">
            <v>38828</v>
          </cell>
        </row>
        <row r="1473">
          <cell r="A1473">
            <v>2006</v>
          </cell>
          <cell r="B1473">
            <v>1</v>
          </cell>
          <cell r="C1473">
            <v>599</v>
          </cell>
          <cell r="D1473">
            <v>21</v>
          </cell>
          <cell r="E1473">
            <v>792020</v>
          </cell>
          <cell r="F1473">
            <v>0</v>
          </cell>
          <cell r="G1473" t="str">
            <v>Затраты по ШПЗ (основные)</v>
          </cell>
          <cell r="H1473">
            <v>2011</v>
          </cell>
          <cell r="I1473">
            <v>7920</v>
          </cell>
          <cell r="J1473">
            <v>11795.64</v>
          </cell>
          <cell r="K1473">
            <v>1</v>
          </cell>
          <cell r="L1473">
            <v>0</v>
          </cell>
          <cell r="M1473">
            <v>0</v>
          </cell>
          <cell r="N1473">
            <v>0</v>
          </cell>
          <cell r="R1473">
            <v>0</v>
          </cell>
          <cell r="S1473">
            <v>0</v>
          </cell>
          <cell r="T1473">
            <v>0</v>
          </cell>
          <cell r="U1473">
            <v>37</v>
          </cell>
          <cell r="V1473">
            <v>0</v>
          </cell>
          <cell r="W1473">
            <v>0</v>
          </cell>
          <cell r="AA1473">
            <v>0</v>
          </cell>
          <cell r="AB1473">
            <v>0</v>
          </cell>
          <cell r="AC1473">
            <v>0</v>
          </cell>
          <cell r="AD1473">
            <v>37</v>
          </cell>
          <cell r="AE1473">
            <v>280300</v>
          </cell>
          <cell r="AF1473">
            <v>0</v>
          </cell>
          <cell r="AI1473">
            <v>2223</v>
          </cell>
          <cell r="AK1473">
            <v>0</v>
          </cell>
          <cell r="AM1473">
            <v>726</v>
          </cell>
          <cell r="AN1473">
            <v>1</v>
          </cell>
          <cell r="AO1473">
            <v>393216</v>
          </cell>
          <cell r="AQ1473">
            <v>0</v>
          </cell>
          <cell r="AR1473">
            <v>0</v>
          </cell>
          <cell r="AS1473" t="str">
            <v>Ы</v>
          </cell>
          <cell r="AT1473" t="str">
            <v>Ы</v>
          </cell>
          <cell r="AU1473">
            <v>0</v>
          </cell>
          <cell r="AV1473">
            <v>0</v>
          </cell>
          <cell r="AW1473">
            <v>23</v>
          </cell>
          <cell r="AX1473">
            <v>1</v>
          </cell>
          <cell r="AY1473">
            <v>0</v>
          </cell>
          <cell r="AZ1473">
            <v>0</v>
          </cell>
          <cell r="BA1473">
            <v>0</v>
          </cell>
          <cell r="BB1473">
            <v>0</v>
          </cell>
          <cell r="BC1473">
            <v>38828</v>
          </cell>
        </row>
        <row r="1474">
          <cell r="A1474">
            <v>2006</v>
          </cell>
          <cell r="B1474">
            <v>1</v>
          </cell>
          <cell r="C1474">
            <v>600</v>
          </cell>
          <cell r="D1474">
            <v>21</v>
          </cell>
          <cell r="E1474">
            <v>792020</v>
          </cell>
          <cell r="F1474">
            <v>0</v>
          </cell>
          <cell r="G1474" t="str">
            <v>Затраты по ШПЗ (основные)</v>
          </cell>
          <cell r="H1474">
            <v>2011</v>
          </cell>
          <cell r="I1474">
            <v>7920</v>
          </cell>
          <cell r="J1474">
            <v>1084089.3600000001</v>
          </cell>
          <cell r="K1474">
            <v>1</v>
          </cell>
          <cell r="L1474">
            <v>0</v>
          </cell>
          <cell r="M1474">
            <v>0</v>
          </cell>
          <cell r="N1474">
            <v>0</v>
          </cell>
          <cell r="R1474">
            <v>0</v>
          </cell>
          <cell r="S1474">
            <v>0</v>
          </cell>
          <cell r="T1474">
            <v>0</v>
          </cell>
          <cell r="U1474">
            <v>37</v>
          </cell>
          <cell r="V1474">
            <v>0</v>
          </cell>
          <cell r="W1474">
            <v>0</v>
          </cell>
          <cell r="AA1474">
            <v>0</v>
          </cell>
          <cell r="AB1474">
            <v>0</v>
          </cell>
          <cell r="AC1474">
            <v>0</v>
          </cell>
          <cell r="AD1474">
            <v>37</v>
          </cell>
          <cell r="AE1474">
            <v>280400</v>
          </cell>
          <cell r="AF1474">
            <v>0</v>
          </cell>
          <cell r="AI1474">
            <v>2223</v>
          </cell>
          <cell r="AK1474">
            <v>0</v>
          </cell>
          <cell r="AM1474">
            <v>727</v>
          </cell>
          <cell r="AN1474">
            <v>1</v>
          </cell>
          <cell r="AO1474">
            <v>393216</v>
          </cell>
          <cell r="AQ1474">
            <v>0</v>
          </cell>
          <cell r="AR1474">
            <v>0</v>
          </cell>
          <cell r="AS1474" t="str">
            <v>Ы</v>
          </cell>
          <cell r="AT1474" t="str">
            <v>Ы</v>
          </cell>
          <cell r="AU1474">
            <v>0</v>
          </cell>
          <cell r="AV1474">
            <v>0</v>
          </cell>
          <cell r="AW1474">
            <v>23</v>
          </cell>
          <cell r="AX1474">
            <v>1</v>
          </cell>
          <cell r="AY1474">
            <v>0</v>
          </cell>
          <cell r="AZ1474">
            <v>0</v>
          </cell>
          <cell r="BA1474">
            <v>0</v>
          </cell>
          <cell r="BB1474">
            <v>0</v>
          </cell>
          <cell r="BC1474">
            <v>38828</v>
          </cell>
        </row>
        <row r="1475">
          <cell r="A1475">
            <v>2006</v>
          </cell>
          <cell r="B1475">
            <v>1</v>
          </cell>
          <cell r="C1475">
            <v>601</v>
          </cell>
          <cell r="D1475">
            <v>21</v>
          </cell>
          <cell r="E1475">
            <v>792020</v>
          </cell>
          <cell r="F1475">
            <v>0</v>
          </cell>
          <cell r="G1475" t="str">
            <v>Затраты по ШПЗ (основные)</v>
          </cell>
          <cell r="H1475">
            <v>2011</v>
          </cell>
          <cell r="I1475">
            <v>7920</v>
          </cell>
          <cell r="J1475">
            <v>86973.47</v>
          </cell>
          <cell r="K1475">
            <v>1</v>
          </cell>
          <cell r="L1475">
            <v>0</v>
          </cell>
          <cell r="M1475">
            <v>0</v>
          </cell>
          <cell r="N1475">
            <v>0</v>
          </cell>
          <cell r="R1475">
            <v>0</v>
          </cell>
          <cell r="S1475">
            <v>0</v>
          </cell>
          <cell r="T1475">
            <v>0</v>
          </cell>
          <cell r="U1475">
            <v>37</v>
          </cell>
          <cell r="V1475">
            <v>0</v>
          </cell>
          <cell r="W1475">
            <v>0</v>
          </cell>
          <cell r="AA1475">
            <v>0</v>
          </cell>
          <cell r="AB1475">
            <v>0</v>
          </cell>
          <cell r="AC1475">
            <v>0</v>
          </cell>
          <cell r="AD1475">
            <v>37</v>
          </cell>
          <cell r="AE1475">
            <v>281100</v>
          </cell>
          <cell r="AF1475">
            <v>0</v>
          </cell>
          <cell r="AI1475">
            <v>2223</v>
          </cell>
          <cell r="AK1475">
            <v>0</v>
          </cell>
          <cell r="AM1475">
            <v>728</v>
          </cell>
          <cell r="AN1475">
            <v>1</v>
          </cell>
          <cell r="AO1475">
            <v>393216</v>
          </cell>
          <cell r="AQ1475">
            <v>0</v>
          </cell>
          <cell r="AR1475">
            <v>0</v>
          </cell>
          <cell r="AS1475" t="str">
            <v>Ы</v>
          </cell>
          <cell r="AT1475" t="str">
            <v>Ы</v>
          </cell>
          <cell r="AU1475">
            <v>0</v>
          </cell>
          <cell r="AV1475">
            <v>0</v>
          </cell>
          <cell r="AW1475">
            <v>23</v>
          </cell>
          <cell r="AX1475">
            <v>1</v>
          </cell>
          <cell r="AY1475">
            <v>0</v>
          </cell>
          <cell r="AZ1475">
            <v>0</v>
          </cell>
          <cell r="BA1475">
            <v>0</v>
          </cell>
          <cell r="BB1475">
            <v>0</v>
          </cell>
          <cell r="BC1475">
            <v>38828</v>
          </cell>
        </row>
        <row r="1476">
          <cell r="A1476">
            <v>2006</v>
          </cell>
          <cell r="B1476">
            <v>1</v>
          </cell>
          <cell r="C1476">
            <v>602</v>
          </cell>
          <cell r="D1476">
            <v>21</v>
          </cell>
          <cell r="E1476">
            <v>792020</v>
          </cell>
          <cell r="F1476">
            <v>0</v>
          </cell>
          <cell r="G1476" t="str">
            <v>Затраты по ШПЗ (основные)</v>
          </cell>
          <cell r="H1476">
            <v>2011</v>
          </cell>
          <cell r="I1476">
            <v>7920</v>
          </cell>
          <cell r="J1476">
            <v>3974.16</v>
          </cell>
          <cell r="K1476">
            <v>1</v>
          </cell>
          <cell r="L1476">
            <v>0</v>
          </cell>
          <cell r="M1476">
            <v>0</v>
          </cell>
          <cell r="N1476">
            <v>0</v>
          </cell>
          <cell r="R1476">
            <v>0</v>
          </cell>
          <cell r="S1476">
            <v>0</v>
          </cell>
          <cell r="T1476">
            <v>0</v>
          </cell>
          <cell r="U1476">
            <v>37</v>
          </cell>
          <cell r="V1476">
            <v>0</v>
          </cell>
          <cell r="W1476">
            <v>0</v>
          </cell>
          <cell r="AA1476">
            <v>0</v>
          </cell>
          <cell r="AB1476">
            <v>0</v>
          </cell>
          <cell r="AC1476">
            <v>0</v>
          </cell>
          <cell r="AD1476">
            <v>37</v>
          </cell>
          <cell r="AE1476">
            <v>281200</v>
          </cell>
          <cell r="AF1476">
            <v>0</v>
          </cell>
          <cell r="AI1476">
            <v>2223</v>
          </cell>
          <cell r="AK1476">
            <v>0</v>
          </cell>
          <cell r="AM1476">
            <v>729</v>
          </cell>
          <cell r="AN1476">
            <v>1</v>
          </cell>
          <cell r="AO1476">
            <v>393216</v>
          </cell>
          <cell r="AQ1476">
            <v>0</v>
          </cell>
          <cell r="AR1476">
            <v>0</v>
          </cell>
          <cell r="AS1476" t="str">
            <v>Ы</v>
          </cell>
          <cell r="AT1476" t="str">
            <v>Ы</v>
          </cell>
          <cell r="AU1476">
            <v>0</v>
          </cell>
          <cell r="AV1476">
            <v>0</v>
          </cell>
          <cell r="AW1476">
            <v>23</v>
          </cell>
          <cell r="AX1476">
            <v>1</v>
          </cell>
          <cell r="AY1476">
            <v>0</v>
          </cell>
          <cell r="AZ1476">
            <v>0</v>
          </cell>
          <cell r="BA1476">
            <v>0</v>
          </cell>
          <cell r="BB1476">
            <v>0</v>
          </cell>
          <cell r="BC1476">
            <v>38828</v>
          </cell>
        </row>
        <row r="1477">
          <cell r="A1477">
            <v>2006</v>
          </cell>
          <cell r="B1477">
            <v>1</v>
          </cell>
          <cell r="C1477">
            <v>603</v>
          </cell>
          <cell r="D1477">
            <v>21</v>
          </cell>
          <cell r="E1477">
            <v>792020</v>
          </cell>
          <cell r="F1477">
            <v>0</v>
          </cell>
          <cell r="G1477" t="str">
            <v>Затраты по ШПЗ (основные)</v>
          </cell>
          <cell r="H1477">
            <v>2011</v>
          </cell>
          <cell r="I1477">
            <v>7920</v>
          </cell>
          <cell r="J1477">
            <v>606.45000000000005</v>
          </cell>
          <cell r="K1477">
            <v>1</v>
          </cell>
          <cell r="L1477">
            <v>0</v>
          </cell>
          <cell r="M1477">
            <v>0</v>
          </cell>
          <cell r="N1477">
            <v>0</v>
          </cell>
          <cell r="R1477">
            <v>0</v>
          </cell>
          <cell r="S1477">
            <v>0</v>
          </cell>
          <cell r="T1477">
            <v>0</v>
          </cell>
          <cell r="U1477">
            <v>37</v>
          </cell>
          <cell r="V1477">
            <v>0</v>
          </cell>
          <cell r="W1477">
            <v>0</v>
          </cell>
          <cell r="AA1477">
            <v>0</v>
          </cell>
          <cell r="AB1477">
            <v>0</v>
          </cell>
          <cell r="AC1477">
            <v>0</v>
          </cell>
          <cell r="AD1477">
            <v>37</v>
          </cell>
          <cell r="AE1477">
            <v>282000</v>
          </cell>
          <cell r="AF1477">
            <v>0</v>
          </cell>
          <cell r="AI1477">
            <v>2223</v>
          </cell>
          <cell r="AK1477">
            <v>0</v>
          </cell>
          <cell r="AM1477">
            <v>730</v>
          </cell>
          <cell r="AN1477">
            <v>1</v>
          </cell>
          <cell r="AO1477">
            <v>393216</v>
          </cell>
          <cell r="AQ1477">
            <v>0</v>
          </cell>
          <cell r="AR1477">
            <v>0</v>
          </cell>
          <cell r="AS1477" t="str">
            <v>Ы</v>
          </cell>
          <cell r="AT1477" t="str">
            <v>Ы</v>
          </cell>
          <cell r="AU1477">
            <v>0</v>
          </cell>
          <cell r="AV1477">
            <v>0</v>
          </cell>
          <cell r="AW1477">
            <v>23</v>
          </cell>
          <cell r="AX1477">
            <v>1</v>
          </cell>
          <cell r="AY1477">
            <v>0</v>
          </cell>
          <cell r="AZ1477">
            <v>0</v>
          </cell>
          <cell r="BA1477">
            <v>0</v>
          </cell>
          <cell r="BB1477">
            <v>0</v>
          </cell>
          <cell r="BC1477">
            <v>38828</v>
          </cell>
        </row>
        <row r="1478">
          <cell r="A1478">
            <v>2006</v>
          </cell>
          <cell r="B1478">
            <v>1</v>
          </cell>
          <cell r="C1478">
            <v>604</v>
          </cell>
          <cell r="D1478">
            <v>21</v>
          </cell>
          <cell r="E1478">
            <v>792020</v>
          </cell>
          <cell r="F1478">
            <v>0</v>
          </cell>
          <cell r="G1478" t="str">
            <v>Затраты по ШПЗ (основные)</v>
          </cell>
          <cell r="H1478">
            <v>2011</v>
          </cell>
          <cell r="I1478">
            <v>7920</v>
          </cell>
          <cell r="J1478">
            <v>68927.19</v>
          </cell>
          <cell r="K1478">
            <v>1</v>
          </cell>
          <cell r="L1478">
            <v>0</v>
          </cell>
          <cell r="M1478">
            <v>0</v>
          </cell>
          <cell r="N1478">
            <v>0</v>
          </cell>
          <cell r="R1478">
            <v>0</v>
          </cell>
          <cell r="S1478">
            <v>0</v>
          </cell>
          <cell r="T1478">
            <v>0</v>
          </cell>
          <cell r="U1478">
            <v>37</v>
          </cell>
          <cell r="V1478">
            <v>0</v>
          </cell>
          <cell r="W1478">
            <v>0</v>
          </cell>
          <cell r="AA1478">
            <v>0</v>
          </cell>
          <cell r="AB1478">
            <v>0</v>
          </cell>
          <cell r="AC1478">
            <v>0</v>
          </cell>
          <cell r="AD1478">
            <v>37</v>
          </cell>
          <cell r="AE1478">
            <v>282200</v>
          </cell>
          <cell r="AF1478">
            <v>0</v>
          </cell>
          <cell r="AI1478">
            <v>2223</v>
          </cell>
          <cell r="AK1478">
            <v>0</v>
          </cell>
          <cell r="AM1478">
            <v>731</v>
          </cell>
          <cell r="AN1478">
            <v>1</v>
          </cell>
          <cell r="AO1478">
            <v>393216</v>
          </cell>
          <cell r="AQ1478">
            <v>0</v>
          </cell>
          <cell r="AR1478">
            <v>0</v>
          </cell>
          <cell r="AS1478" t="str">
            <v>Ы</v>
          </cell>
          <cell r="AT1478" t="str">
            <v>Ы</v>
          </cell>
          <cell r="AU1478">
            <v>0</v>
          </cell>
          <cell r="AV1478">
            <v>0</v>
          </cell>
          <cell r="AW1478">
            <v>23</v>
          </cell>
          <cell r="AX1478">
            <v>1</v>
          </cell>
          <cell r="AY1478">
            <v>0</v>
          </cell>
          <cell r="AZ1478">
            <v>0</v>
          </cell>
          <cell r="BA1478">
            <v>0</v>
          </cell>
          <cell r="BB1478">
            <v>0</v>
          </cell>
          <cell r="BC1478">
            <v>38828</v>
          </cell>
        </row>
        <row r="1479">
          <cell r="A1479">
            <v>2006</v>
          </cell>
          <cell r="B1479">
            <v>1</v>
          </cell>
          <cell r="C1479">
            <v>605</v>
          </cell>
          <cell r="D1479">
            <v>21</v>
          </cell>
          <cell r="E1479">
            <v>792020</v>
          </cell>
          <cell r="F1479">
            <v>0</v>
          </cell>
          <cell r="G1479" t="str">
            <v>Затраты по ШПЗ (основные)</v>
          </cell>
          <cell r="H1479">
            <v>2011</v>
          </cell>
          <cell r="I1479">
            <v>7920</v>
          </cell>
          <cell r="J1479">
            <v>48265.95</v>
          </cell>
          <cell r="K1479">
            <v>1</v>
          </cell>
          <cell r="L1479">
            <v>0</v>
          </cell>
          <cell r="M1479">
            <v>0</v>
          </cell>
          <cell r="N1479">
            <v>0</v>
          </cell>
          <cell r="R1479">
            <v>0</v>
          </cell>
          <cell r="S1479">
            <v>0</v>
          </cell>
          <cell r="T1479">
            <v>0</v>
          </cell>
          <cell r="U1479">
            <v>37</v>
          </cell>
          <cell r="V1479">
            <v>0</v>
          </cell>
          <cell r="W1479">
            <v>0</v>
          </cell>
          <cell r="AA1479">
            <v>0</v>
          </cell>
          <cell r="AB1479">
            <v>0</v>
          </cell>
          <cell r="AC1479">
            <v>0</v>
          </cell>
          <cell r="AD1479">
            <v>37</v>
          </cell>
          <cell r="AE1479">
            <v>285000</v>
          </cell>
          <cell r="AF1479">
            <v>0</v>
          </cell>
          <cell r="AI1479">
            <v>2223</v>
          </cell>
          <cell r="AK1479">
            <v>0</v>
          </cell>
          <cell r="AM1479">
            <v>732</v>
          </cell>
          <cell r="AN1479">
            <v>1</v>
          </cell>
          <cell r="AO1479">
            <v>393216</v>
          </cell>
          <cell r="AQ1479">
            <v>0</v>
          </cell>
          <cell r="AR1479">
            <v>0</v>
          </cell>
          <cell r="AS1479" t="str">
            <v>Ы</v>
          </cell>
          <cell r="AT1479" t="str">
            <v>Ы</v>
          </cell>
          <cell r="AU1479">
            <v>0</v>
          </cell>
          <cell r="AV1479">
            <v>0</v>
          </cell>
          <cell r="AW1479">
            <v>23</v>
          </cell>
          <cell r="AX1479">
            <v>1</v>
          </cell>
          <cell r="AY1479">
            <v>0</v>
          </cell>
          <cell r="AZ1479">
            <v>0</v>
          </cell>
          <cell r="BA1479">
            <v>0</v>
          </cell>
          <cell r="BB1479">
            <v>0</v>
          </cell>
          <cell r="BC1479">
            <v>38828</v>
          </cell>
        </row>
        <row r="1480">
          <cell r="A1480">
            <v>2006</v>
          </cell>
          <cell r="B1480">
            <v>1</v>
          </cell>
          <cell r="C1480">
            <v>606</v>
          </cell>
          <cell r="D1480">
            <v>21</v>
          </cell>
          <cell r="E1480">
            <v>792020</v>
          </cell>
          <cell r="F1480">
            <v>0</v>
          </cell>
          <cell r="G1480" t="str">
            <v>Затраты по ШПЗ (основные)</v>
          </cell>
          <cell r="H1480">
            <v>2011</v>
          </cell>
          <cell r="I1480">
            <v>7920</v>
          </cell>
          <cell r="J1480">
            <v>123699</v>
          </cell>
          <cell r="K1480">
            <v>1</v>
          </cell>
          <cell r="L1480">
            <v>0</v>
          </cell>
          <cell r="M1480">
            <v>0</v>
          </cell>
          <cell r="N1480">
            <v>0</v>
          </cell>
          <cell r="R1480">
            <v>0</v>
          </cell>
          <cell r="S1480">
            <v>0</v>
          </cell>
          <cell r="T1480">
            <v>0</v>
          </cell>
          <cell r="U1480">
            <v>37</v>
          </cell>
          <cell r="V1480">
            <v>0</v>
          </cell>
          <cell r="W1480">
            <v>0</v>
          </cell>
          <cell r="AA1480">
            <v>0</v>
          </cell>
          <cell r="AB1480">
            <v>0</v>
          </cell>
          <cell r="AC1480">
            <v>0</v>
          </cell>
          <cell r="AD1480">
            <v>37</v>
          </cell>
          <cell r="AE1480">
            <v>285100</v>
          </cell>
          <cell r="AF1480">
            <v>0</v>
          </cell>
          <cell r="AI1480">
            <v>2223</v>
          </cell>
          <cell r="AK1480">
            <v>0</v>
          </cell>
          <cell r="AM1480">
            <v>733</v>
          </cell>
          <cell r="AN1480">
            <v>1</v>
          </cell>
          <cell r="AO1480">
            <v>393216</v>
          </cell>
          <cell r="AQ1480">
            <v>0</v>
          </cell>
          <cell r="AR1480">
            <v>0</v>
          </cell>
          <cell r="AS1480" t="str">
            <v>Ы</v>
          </cell>
          <cell r="AT1480" t="str">
            <v>Ы</v>
          </cell>
          <cell r="AU1480">
            <v>0</v>
          </cell>
          <cell r="AV1480">
            <v>0</v>
          </cell>
          <cell r="AW1480">
            <v>23</v>
          </cell>
          <cell r="AX1480">
            <v>1</v>
          </cell>
          <cell r="AY1480">
            <v>0</v>
          </cell>
          <cell r="AZ1480">
            <v>0</v>
          </cell>
          <cell r="BA1480">
            <v>0</v>
          </cell>
          <cell r="BB1480">
            <v>0</v>
          </cell>
          <cell r="BC1480">
            <v>38828</v>
          </cell>
        </row>
        <row r="1481">
          <cell r="A1481">
            <v>2006</v>
          </cell>
          <cell r="B1481">
            <v>1</v>
          </cell>
          <cell r="C1481">
            <v>607</v>
          </cell>
          <cell r="D1481">
            <v>21</v>
          </cell>
          <cell r="E1481">
            <v>792020</v>
          </cell>
          <cell r="F1481">
            <v>0</v>
          </cell>
          <cell r="G1481" t="str">
            <v>Затраты по ШПЗ (основные)</v>
          </cell>
          <cell r="H1481">
            <v>2011</v>
          </cell>
          <cell r="I1481">
            <v>7920</v>
          </cell>
          <cell r="J1481">
            <v>479442.99</v>
          </cell>
          <cell r="K1481">
            <v>1</v>
          </cell>
          <cell r="L1481">
            <v>0</v>
          </cell>
          <cell r="M1481">
            <v>0</v>
          </cell>
          <cell r="N1481">
            <v>0</v>
          </cell>
          <cell r="R1481">
            <v>0</v>
          </cell>
          <cell r="S1481">
            <v>0</v>
          </cell>
          <cell r="T1481">
            <v>0</v>
          </cell>
          <cell r="U1481">
            <v>37</v>
          </cell>
          <cell r="V1481">
            <v>0</v>
          </cell>
          <cell r="W1481">
            <v>0</v>
          </cell>
          <cell r="AA1481">
            <v>0</v>
          </cell>
          <cell r="AB1481">
            <v>0</v>
          </cell>
          <cell r="AC1481">
            <v>0</v>
          </cell>
          <cell r="AD1481">
            <v>37</v>
          </cell>
          <cell r="AE1481">
            <v>311000</v>
          </cell>
          <cell r="AF1481">
            <v>0</v>
          </cell>
          <cell r="AI1481">
            <v>2223</v>
          </cell>
          <cell r="AK1481">
            <v>0</v>
          </cell>
          <cell r="AM1481">
            <v>734</v>
          </cell>
          <cell r="AN1481">
            <v>1</v>
          </cell>
          <cell r="AO1481">
            <v>393216</v>
          </cell>
          <cell r="AQ1481">
            <v>0</v>
          </cell>
          <cell r="AR1481">
            <v>0</v>
          </cell>
          <cell r="AS1481" t="str">
            <v>Ы</v>
          </cell>
          <cell r="AT1481" t="str">
            <v>Ы</v>
          </cell>
          <cell r="AU1481">
            <v>0</v>
          </cell>
          <cell r="AV1481">
            <v>0</v>
          </cell>
          <cell r="AW1481">
            <v>23</v>
          </cell>
          <cell r="AX1481">
            <v>1</v>
          </cell>
          <cell r="AY1481">
            <v>0</v>
          </cell>
          <cell r="AZ1481">
            <v>0</v>
          </cell>
          <cell r="BA1481">
            <v>0</v>
          </cell>
          <cell r="BB1481">
            <v>0</v>
          </cell>
          <cell r="BC1481">
            <v>38828</v>
          </cell>
        </row>
        <row r="1482">
          <cell r="A1482">
            <v>2006</v>
          </cell>
          <cell r="B1482">
            <v>1</v>
          </cell>
          <cell r="C1482">
            <v>608</v>
          </cell>
          <cell r="D1482">
            <v>21</v>
          </cell>
          <cell r="E1482">
            <v>792020</v>
          </cell>
          <cell r="F1482">
            <v>0</v>
          </cell>
          <cell r="G1482" t="str">
            <v>Затраты по ШПЗ (основные)</v>
          </cell>
          <cell r="H1482">
            <v>2011</v>
          </cell>
          <cell r="I1482">
            <v>7920</v>
          </cell>
          <cell r="J1482">
            <v>3314679.52</v>
          </cell>
          <cell r="K1482">
            <v>1</v>
          </cell>
          <cell r="L1482">
            <v>0</v>
          </cell>
          <cell r="M1482">
            <v>0</v>
          </cell>
          <cell r="N1482">
            <v>0</v>
          </cell>
          <cell r="R1482">
            <v>0</v>
          </cell>
          <cell r="S1482">
            <v>0</v>
          </cell>
          <cell r="T1482">
            <v>0</v>
          </cell>
          <cell r="U1482">
            <v>37</v>
          </cell>
          <cell r="V1482">
            <v>0</v>
          </cell>
          <cell r="W1482">
            <v>0</v>
          </cell>
          <cell r="AA1482">
            <v>0</v>
          </cell>
          <cell r="AB1482">
            <v>0</v>
          </cell>
          <cell r="AC1482">
            <v>0</v>
          </cell>
          <cell r="AD1482">
            <v>37</v>
          </cell>
          <cell r="AE1482">
            <v>312000</v>
          </cell>
          <cell r="AF1482">
            <v>0</v>
          </cell>
          <cell r="AI1482">
            <v>2223</v>
          </cell>
          <cell r="AK1482">
            <v>0</v>
          </cell>
          <cell r="AM1482">
            <v>735</v>
          </cell>
          <cell r="AN1482">
            <v>1</v>
          </cell>
          <cell r="AO1482">
            <v>393216</v>
          </cell>
          <cell r="AQ1482">
            <v>0</v>
          </cell>
          <cell r="AR1482">
            <v>0</v>
          </cell>
          <cell r="AS1482" t="str">
            <v>Ы</v>
          </cell>
          <cell r="AT1482" t="str">
            <v>Ы</v>
          </cell>
          <cell r="AU1482">
            <v>0</v>
          </cell>
          <cell r="AV1482">
            <v>0</v>
          </cell>
          <cell r="AW1482">
            <v>23</v>
          </cell>
          <cell r="AX1482">
            <v>1</v>
          </cell>
          <cell r="AY1482">
            <v>0</v>
          </cell>
          <cell r="AZ1482">
            <v>0</v>
          </cell>
          <cell r="BA1482">
            <v>0</v>
          </cell>
          <cell r="BB1482">
            <v>0</v>
          </cell>
          <cell r="BC1482">
            <v>38828</v>
          </cell>
        </row>
        <row r="1483">
          <cell r="A1483">
            <v>2006</v>
          </cell>
          <cell r="B1483">
            <v>1</v>
          </cell>
          <cell r="C1483">
            <v>609</v>
          </cell>
          <cell r="D1483">
            <v>21</v>
          </cell>
          <cell r="E1483">
            <v>792020</v>
          </cell>
          <cell r="F1483">
            <v>0</v>
          </cell>
          <cell r="G1483" t="str">
            <v>Затраты по ШПЗ (основные)</v>
          </cell>
          <cell r="H1483">
            <v>2011</v>
          </cell>
          <cell r="I1483">
            <v>7920</v>
          </cell>
          <cell r="J1483">
            <v>181690.11</v>
          </cell>
          <cell r="K1483">
            <v>1</v>
          </cell>
          <cell r="L1483">
            <v>0</v>
          </cell>
          <cell r="M1483">
            <v>0</v>
          </cell>
          <cell r="N1483">
            <v>0</v>
          </cell>
          <cell r="R1483">
            <v>0</v>
          </cell>
          <cell r="S1483">
            <v>0</v>
          </cell>
          <cell r="T1483">
            <v>0</v>
          </cell>
          <cell r="U1483">
            <v>37</v>
          </cell>
          <cell r="V1483">
            <v>0</v>
          </cell>
          <cell r="W1483">
            <v>0</v>
          </cell>
          <cell r="AA1483">
            <v>0</v>
          </cell>
          <cell r="AB1483">
            <v>0</v>
          </cell>
          <cell r="AC1483">
            <v>0</v>
          </cell>
          <cell r="AD1483">
            <v>37</v>
          </cell>
          <cell r="AE1483">
            <v>313000</v>
          </cell>
          <cell r="AF1483">
            <v>0</v>
          </cell>
          <cell r="AI1483">
            <v>2223</v>
          </cell>
          <cell r="AK1483">
            <v>0</v>
          </cell>
          <cell r="AM1483">
            <v>736</v>
          </cell>
          <cell r="AN1483">
            <v>1</v>
          </cell>
          <cell r="AO1483">
            <v>393216</v>
          </cell>
          <cell r="AQ1483">
            <v>0</v>
          </cell>
          <cell r="AR1483">
            <v>0</v>
          </cell>
          <cell r="AS1483" t="str">
            <v>Ы</v>
          </cell>
          <cell r="AT1483" t="str">
            <v>Ы</v>
          </cell>
          <cell r="AU1483">
            <v>0</v>
          </cell>
          <cell r="AV1483">
            <v>0</v>
          </cell>
          <cell r="AW1483">
            <v>23</v>
          </cell>
          <cell r="AX1483">
            <v>1</v>
          </cell>
          <cell r="AY1483">
            <v>0</v>
          </cell>
          <cell r="AZ1483">
            <v>0</v>
          </cell>
          <cell r="BA1483">
            <v>0</v>
          </cell>
          <cell r="BB1483">
            <v>0</v>
          </cell>
          <cell r="BC1483">
            <v>38828</v>
          </cell>
        </row>
        <row r="1484">
          <cell r="A1484">
            <v>2006</v>
          </cell>
          <cell r="B1484">
            <v>1</v>
          </cell>
          <cell r="C1484">
            <v>610</v>
          </cell>
          <cell r="D1484">
            <v>21</v>
          </cell>
          <cell r="E1484">
            <v>792020</v>
          </cell>
          <cell r="F1484">
            <v>0</v>
          </cell>
          <cell r="G1484" t="str">
            <v>Затраты по ШПЗ (основные)</v>
          </cell>
          <cell r="H1484">
            <v>2011</v>
          </cell>
          <cell r="I1484">
            <v>7920</v>
          </cell>
          <cell r="J1484">
            <v>331061.43</v>
          </cell>
          <cell r="K1484">
            <v>1</v>
          </cell>
          <cell r="L1484">
            <v>0</v>
          </cell>
          <cell r="M1484">
            <v>0</v>
          </cell>
          <cell r="N1484">
            <v>0</v>
          </cell>
          <cell r="R1484">
            <v>0</v>
          </cell>
          <cell r="S1484">
            <v>0</v>
          </cell>
          <cell r="T1484">
            <v>0</v>
          </cell>
          <cell r="U1484">
            <v>37</v>
          </cell>
          <cell r="V1484">
            <v>0</v>
          </cell>
          <cell r="W1484">
            <v>0</v>
          </cell>
          <cell r="AA1484">
            <v>0</v>
          </cell>
          <cell r="AB1484">
            <v>0</v>
          </cell>
          <cell r="AC1484">
            <v>0</v>
          </cell>
          <cell r="AD1484">
            <v>37</v>
          </cell>
          <cell r="AE1484">
            <v>314000</v>
          </cell>
          <cell r="AF1484">
            <v>0</v>
          </cell>
          <cell r="AI1484">
            <v>2223</v>
          </cell>
          <cell r="AK1484">
            <v>0</v>
          </cell>
          <cell r="AM1484">
            <v>737</v>
          </cell>
          <cell r="AN1484">
            <v>1</v>
          </cell>
          <cell r="AO1484">
            <v>393216</v>
          </cell>
          <cell r="AQ1484">
            <v>0</v>
          </cell>
          <cell r="AR1484">
            <v>0</v>
          </cell>
          <cell r="AS1484" t="str">
            <v>Ы</v>
          </cell>
          <cell r="AT1484" t="str">
            <v>Ы</v>
          </cell>
          <cell r="AU1484">
            <v>0</v>
          </cell>
          <cell r="AV1484">
            <v>0</v>
          </cell>
          <cell r="AW1484">
            <v>23</v>
          </cell>
          <cell r="AX1484">
            <v>1</v>
          </cell>
          <cell r="AY1484">
            <v>0</v>
          </cell>
          <cell r="AZ1484">
            <v>0</v>
          </cell>
          <cell r="BA1484">
            <v>0</v>
          </cell>
          <cell r="BB1484">
            <v>0</v>
          </cell>
          <cell r="BC1484">
            <v>38828</v>
          </cell>
        </row>
        <row r="1485">
          <cell r="A1485">
            <v>2006</v>
          </cell>
          <cell r="B1485">
            <v>1</v>
          </cell>
          <cell r="C1485">
            <v>611</v>
          </cell>
          <cell r="D1485">
            <v>21</v>
          </cell>
          <cell r="E1485">
            <v>792020</v>
          </cell>
          <cell r="F1485">
            <v>0</v>
          </cell>
          <cell r="G1485" t="str">
            <v>Затраты по ШПЗ (основные)</v>
          </cell>
          <cell r="H1485">
            <v>2011</v>
          </cell>
          <cell r="I1485">
            <v>7920</v>
          </cell>
          <cell r="J1485">
            <v>66344.289999999994</v>
          </cell>
          <cell r="K1485">
            <v>1</v>
          </cell>
          <cell r="L1485">
            <v>0</v>
          </cell>
          <cell r="M1485">
            <v>0</v>
          </cell>
          <cell r="N1485">
            <v>0</v>
          </cell>
          <cell r="R1485">
            <v>0</v>
          </cell>
          <cell r="S1485">
            <v>0</v>
          </cell>
          <cell r="T1485">
            <v>0</v>
          </cell>
          <cell r="U1485">
            <v>37</v>
          </cell>
          <cell r="V1485">
            <v>0</v>
          </cell>
          <cell r="W1485">
            <v>0</v>
          </cell>
          <cell r="AA1485">
            <v>0</v>
          </cell>
          <cell r="AB1485">
            <v>0</v>
          </cell>
          <cell r="AC1485">
            <v>0</v>
          </cell>
          <cell r="AD1485">
            <v>37</v>
          </cell>
          <cell r="AE1485">
            <v>315000</v>
          </cell>
          <cell r="AF1485">
            <v>0</v>
          </cell>
          <cell r="AI1485">
            <v>2223</v>
          </cell>
          <cell r="AK1485">
            <v>0</v>
          </cell>
          <cell r="AM1485">
            <v>738</v>
          </cell>
          <cell r="AN1485">
            <v>1</v>
          </cell>
          <cell r="AO1485">
            <v>393216</v>
          </cell>
          <cell r="AQ1485">
            <v>0</v>
          </cell>
          <cell r="AR1485">
            <v>0</v>
          </cell>
          <cell r="AS1485" t="str">
            <v>Ы</v>
          </cell>
          <cell r="AT1485" t="str">
            <v>Ы</v>
          </cell>
          <cell r="AU1485">
            <v>0</v>
          </cell>
          <cell r="AV1485">
            <v>0</v>
          </cell>
          <cell r="AW1485">
            <v>23</v>
          </cell>
          <cell r="AX1485">
            <v>1</v>
          </cell>
          <cell r="AY1485">
            <v>0</v>
          </cell>
          <cell r="AZ1485">
            <v>0</v>
          </cell>
          <cell r="BA1485">
            <v>0</v>
          </cell>
          <cell r="BB1485">
            <v>0</v>
          </cell>
          <cell r="BC1485">
            <v>38828</v>
          </cell>
        </row>
        <row r="1486">
          <cell r="A1486">
            <v>2006</v>
          </cell>
          <cell r="B1486">
            <v>1</v>
          </cell>
          <cell r="C1486">
            <v>612</v>
          </cell>
          <cell r="D1486">
            <v>21</v>
          </cell>
          <cell r="E1486">
            <v>792020</v>
          </cell>
          <cell r="F1486">
            <v>0</v>
          </cell>
          <cell r="G1486" t="str">
            <v>Затраты по ШПЗ (основные)</v>
          </cell>
          <cell r="H1486">
            <v>2011</v>
          </cell>
          <cell r="I1486">
            <v>7920</v>
          </cell>
          <cell r="J1486">
            <v>8603078</v>
          </cell>
          <cell r="K1486">
            <v>1</v>
          </cell>
          <cell r="L1486">
            <v>0</v>
          </cell>
          <cell r="M1486">
            <v>0</v>
          </cell>
          <cell r="N1486">
            <v>0</v>
          </cell>
          <cell r="R1486">
            <v>0</v>
          </cell>
          <cell r="S1486">
            <v>0</v>
          </cell>
          <cell r="T1486">
            <v>0</v>
          </cell>
          <cell r="U1486">
            <v>37</v>
          </cell>
          <cell r="V1486">
            <v>0</v>
          </cell>
          <cell r="W1486">
            <v>0</v>
          </cell>
          <cell r="AA1486">
            <v>0</v>
          </cell>
          <cell r="AB1486">
            <v>0</v>
          </cell>
          <cell r="AC1486">
            <v>0</v>
          </cell>
          <cell r="AD1486">
            <v>37</v>
          </cell>
          <cell r="AE1486">
            <v>410000</v>
          </cell>
          <cell r="AF1486">
            <v>0</v>
          </cell>
          <cell r="AI1486">
            <v>2223</v>
          </cell>
          <cell r="AK1486">
            <v>0</v>
          </cell>
          <cell r="AM1486">
            <v>739</v>
          </cell>
          <cell r="AN1486">
            <v>1</v>
          </cell>
          <cell r="AO1486">
            <v>393216</v>
          </cell>
          <cell r="AQ1486">
            <v>0</v>
          </cell>
          <cell r="AR1486">
            <v>0</v>
          </cell>
          <cell r="AS1486" t="str">
            <v>Ы</v>
          </cell>
          <cell r="AT1486" t="str">
            <v>Ы</v>
          </cell>
          <cell r="AU1486">
            <v>0</v>
          </cell>
          <cell r="AV1486">
            <v>0</v>
          </cell>
          <cell r="AW1486">
            <v>23</v>
          </cell>
          <cell r="AX1486">
            <v>1</v>
          </cell>
          <cell r="AY1486">
            <v>0</v>
          </cell>
          <cell r="AZ1486">
            <v>0</v>
          </cell>
          <cell r="BA1486">
            <v>0</v>
          </cell>
          <cell r="BB1486">
            <v>0</v>
          </cell>
          <cell r="BC1486">
            <v>38828</v>
          </cell>
        </row>
        <row r="1487">
          <cell r="A1487">
            <v>2006</v>
          </cell>
          <cell r="B1487">
            <v>1</v>
          </cell>
          <cell r="C1487">
            <v>613</v>
          </cell>
          <cell r="D1487">
            <v>21</v>
          </cell>
          <cell r="E1487">
            <v>792020</v>
          </cell>
          <cell r="F1487">
            <v>0</v>
          </cell>
          <cell r="G1487" t="str">
            <v>Затраты по ШПЗ (основные)</v>
          </cell>
          <cell r="H1487">
            <v>2011</v>
          </cell>
          <cell r="I1487">
            <v>7920</v>
          </cell>
          <cell r="J1487">
            <v>682900</v>
          </cell>
          <cell r="K1487">
            <v>1</v>
          </cell>
          <cell r="L1487">
            <v>0</v>
          </cell>
          <cell r="M1487">
            <v>0</v>
          </cell>
          <cell r="N1487">
            <v>0</v>
          </cell>
          <cell r="R1487">
            <v>0</v>
          </cell>
          <cell r="S1487">
            <v>0</v>
          </cell>
          <cell r="T1487">
            <v>0</v>
          </cell>
          <cell r="U1487">
            <v>37</v>
          </cell>
          <cell r="V1487">
            <v>0</v>
          </cell>
          <cell r="W1487">
            <v>0</v>
          </cell>
          <cell r="AA1487">
            <v>0</v>
          </cell>
          <cell r="AB1487">
            <v>0</v>
          </cell>
          <cell r="AC1487">
            <v>0</v>
          </cell>
          <cell r="AD1487">
            <v>37</v>
          </cell>
          <cell r="AE1487">
            <v>420000</v>
          </cell>
          <cell r="AF1487">
            <v>0</v>
          </cell>
          <cell r="AI1487">
            <v>2223</v>
          </cell>
          <cell r="AK1487">
            <v>0</v>
          </cell>
          <cell r="AM1487">
            <v>740</v>
          </cell>
          <cell r="AN1487">
            <v>1</v>
          </cell>
          <cell r="AO1487">
            <v>393216</v>
          </cell>
          <cell r="AQ1487">
            <v>0</v>
          </cell>
          <cell r="AR1487">
            <v>0</v>
          </cell>
          <cell r="AS1487" t="str">
            <v>Ы</v>
          </cell>
          <cell r="AT1487" t="str">
            <v>Ы</v>
          </cell>
          <cell r="AU1487">
            <v>0</v>
          </cell>
          <cell r="AV1487">
            <v>0</v>
          </cell>
          <cell r="AW1487">
            <v>23</v>
          </cell>
          <cell r="AX1487">
            <v>1</v>
          </cell>
          <cell r="AY1487">
            <v>0</v>
          </cell>
          <cell r="AZ1487">
            <v>0</v>
          </cell>
          <cell r="BA1487">
            <v>0</v>
          </cell>
          <cell r="BB1487">
            <v>0</v>
          </cell>
          <cell r="BC1487">
            <v>38828</v>
          </cell>
        </row>
        <row r="1488">
          <cell r="A1488">
            <v>2006</v>
          </cell>
          <cell r="B1488">
            <v>1</v>
          </cell>
          <cell r="C1488">
            <v>614</v>
          </cell>
          <cell r="D1488">
            <v>21</v>
          </cell>
          <cell r="E1488">
            <v>792020</v>
          </cell>
          <cell r="F1488">
            <v>0</v>
          </cell>
          <cell r="G1488" t="str">
            <v>Затраты по ШПЗ (основные)</v>
          </cell>
          <cell r="H1488">
            <v>2011</v>
          </cell>
          <cell r="I1488">
            <v>7920</v>
          </cell>
          <cell r="J1488">
            <v>1259013</v>
          </cell>
          <cell r="K1488">
            <v>1</v>
          </cell>
          <cell r="L1488">
            <v>0</v>
          </cell>
          <cell r="M1488">
            <v>0</v>
          </cell>
          <cell r="N1488">
            <v>0</v>
          </cell>
          <cell r="R1488">
            <v>0</v>
          </cell>
          <cell r="S1488">
            <v>0</v>
          </cell>
          <cell r="T1488">
            <v>0</v>
          </cell>
          <cell r="U1488">
            <v>37</v>
          </cell>
          <cell r="V1488">
            <v>0</v>
          </cell>
          <cell r="W1488">
            <v>0</v>
          </cell>
          <cell r="AA1488">
            <v>0</v>
          </cell>
          <cell r="AB1488">
            <v>0</v>
          </cell>
          <cell r="AC1488">
            <v>0</v>
          </cell>
          <cell r="AD1488">
            <v>37</v>
          </cell>
          <cell r="AE1488">
            <v>430000</v>
          </cell>
          <cell r="AF1488">
            <v>0</v>
          </cell>
          <cell r="AI1488">
            <v>2223</v>
          </cell>
          <cell r="AK1488">
            <v>0</v>
          </cell>
          <cell r="AM1488">
            <v>741</v>
          </cell>
          <cell r="AN1488">
            <v>1</v>
          </cell>
          <cell r="AO1488">
            <v>393216</v>
          </cell>
          <cell r="AQ1488">
            <v>0</v>
          </cell>
          <cell r="AR1488">
            <v>0</v>
          </cell>
          <cell r="AS1488" t="str">
            <v>Ы</v>
          </cell>
          <cell r="AT1488" t="str">
            <v>Ы</v>
          </cell>
          <cell r="AU1488">
            <v>0</v>
          </cell>
          <cell r="AV1488">
            <v>0</v>
          </cell>
          <cell r="AW1488">
            <v>23</v>
          </cell>
          <cell r="AX1488">
            <v>1</v>
          </cell>
          <cell r="AY1488">
            <v>0</v>
          </cell>
          <cell r="AZ1488">
            <v>0</v>
          </cell>
          <cell r="BA1488">
            <v>0</v>
          </cell>
          <cell r="BB1488">
            <v>0</v>
          </cell>
          <cell r="BC1488">
            <v>38828</v>
          </cell>
        </row>
        <row r="1489">
          <cell r="A1489">
            <v>2006</v>
          </cell>
          <cell r="B1489">
            <v>1</v>
          </cell>
          <cell r="C1489">
            <v>615</v>
          </cell>
          <cell r="D1489">
            <v>21</v>
          </cell>
          <cell r="E1489">
            <v>792020</v>
          </cell>
          <cell r="F1489">
            <v>0</v>
          </cell>
          <cell r="G1489" t="str">
            <v>Затраты по ШПЗ (основные)</v>
          </cell>
          <cell r="H1489">
            <v>2011</v>
          </cell>
          <cell r="I1489">
            <v>7920</v>
          </cell>
          <cell r="J1489">
            <v>2022755</v>
          </cell>
          <cell r="K1489">
            <v>1</v>
          </cell>
          <cell r="L1489">
            <v>0</v>
          </cell>
          <cell r="M1489">
            <v>0</v>
          </cell>
          <cell r="N1489">
            <v>0</v>
          </cell>
          <cell r="R1489">
            <v>0</v>
          </cell>
          <cell r="S1489">
            <v>0</v>
          </cell>
          <cell r="T1489">
            <v>0</v>
          </cell>
          <cell r="U1489">
            <v>37</v>
          </cell>
          <cell r="V1489">
            <v>0</v>
          </cell>
          <cell r="W1489">
            <v>0</v>
          </cell>
          <cell r="AA1489">
            <v>0</v>
          </cell>
          <cell r="AB1489">
            <v>0</v>
          </cell>
          <cell r="AC1489">
            <v>0</v>
          </cell>
          <cell r="AD1489">
            <v>37</v>
          </cell>
          <cell r="AE1489">
            <v>430110</v>
          </cell>
          <cell r="AF1489">
            <v>0</v>
          </cell>
          <cell r="AI1489">
            <v>2223</v>
          </cell>
          <cell r="AK1489">
            <v>0</v>
          </cell>
          <cell r="AM1489">
            <v>742</v>
          </cell>
          <cell r="AN1489">
            <v>1</v>
          </cell>
          <cell r="AO1489">
            <v>393216</v>
          </cell>
          <cell r="AQ1489">
            <v>0</v>
          </cell>
          <cell r="AR1489">
            <v>0</v>
          </cell>
          <cell r="AS1489" t="str">
            <v>Ы</v>
          </cell>
          <cell r="AT1489" t="str">
            <v>Ы</v>
          </cell>
          <cell r="AU1489">
            <v>0</v>
          </cell>
          <cell r="AV1489">
            <v>0</v>
          </cell>
          <cell r="AW1489">
            <v>23</v>
          </cell>
          <cell r="AX1489">
            <v>1</v>
          </cell>
          <cell r="AY1489">
            <v>0</v>
          </cell>
          <cell r="AZ1489">
            <v>0</v>
          </cell>
          <cell r="BA1489">
            <v>0</v>
          </cell>
          <cell r="BB1489">
            <v>0</v>
          </cell>
          <cell r="BC1489">
            <v>38828</v>
          </cell>
        </row>
        <row r="1490">
          <cell r="A1490">
            <v>2006</v>
          </cell>
          <cell r="B1490">
            <v>1</v>
          </cell>
          <cell r="C1490">
            <v>616</v>
          </cell>
          <cell r="D1490">
            <v>21</v>
          </cell>
          <cell r="E1490">
            <v>792020</v>
          </cell>
          <cell r="F1490">
            <v>0</v>
          </cell>
          <cell r="G1490" t="str">
            <v>Затраты по ШПЗ (основные)</v>
          </cell>
          <cell r="H1490">
            <v>2011</v>
          </cell>
          <cell r="I1490">
            <v>7920</v>
          </cell>
          <cell r="J1490">
            <v>539664</v>
          </cell>
          <cell r="K1490">
            <v>1</v>
          </cell>
          <cell r="L1490">
            <v>0</v>
          </cell>
          <cell r="M1490">
            <v>0</v>
          </cell>
          <cell r="N1490">
            <v>0</v>
          </cell>
          <cell r="R1490">
            <v>0</v>
          </cell>
          <cell r="S1490">
            <v>0</v>
          </cell>
          <cell r="T1490">
            <v>0</v>
          </cell>
          <cell r="U1490">
            <v>37</v>
          </cell>
          <cell r="V1490">
            <v>0</v>
          </cell>
          <cell r="W1490">
            <v>0</v>
          </cell>
          <cell r="AA1490">
            <v>0</v>
          </cell>
          <cell r="AB1490">
            <v>0</v>
          </cell>
          <cell r="AC1490">
            <v>0</v>
          </cell>
          <cell r="AD1490">
            <v>37</v>
          </cell>
          <cell r="AE1490">
            <v>430120</v>
          </cell>
          <cell r="AF1490">
            <v>0</v>
          </cell>
          <cell r="AI1490">
            <v>2223</v>
          </cell>
          <cell r="AK1490">
            <v>0</v>
          </cell>
          <cell r="AM1490">
            <v>743</v>
          </cell>
          <cell r="AN1490">
            <v>1</v>
          </cell>
          <cell r="AO1490">
            <v>393216</v>
          </cell>
          <cell r="AQ1490">
            <v>0</v>
          </cell>
          <cell r="AR1490">
            <v>0</v>
          </cell>
          <cell r="AS1490" t="str">
            <v>Ы</v>
          </cell>
          <cell r="AT1490" t="str">
            <v>Ы</v>
          </cell>
          <cell r="AU1490">
            <v>0</v>
          </cell>
          <cell r="AV1490">
            <v>0</v>
          </cell>
          <cell r="AW1490">
            <v>23</v>
          </cell>
          <cell r="AX1490">
            <v>1</v>
          </cell>
          <cell r="AY1490">
            <v>0</v>
          </cell>
          <cell r="AZ1490">
            <v>0</v>
          </cell>
          <cell r="BA1490">
            <v>0</v>
          </cell>
          <cell r="BB1490">
            <v>0</v>
          </cell>
          <cell r="BC1490">
            <v>38828</v>
          </cell>
        </row>
        <row r="1491">
          <cell r="A1491">
            <v>2006</v>
          </cell>
          <cell r="B1491">
            <v>1</v>
          </cell>
          <cell r="C1491">
            <v>617</v>
          </cell>
          <cell r="D1491">
            <v>21</v>
          </cell>
          <cell r="E1491">
            <v>792020</v>
          </cell>
          <cell r="F1491">
            <v>0</v>
          </cell>
          <cell r="G1491" t="str">
            <v>Затраты по ШПЗ (основные)</v>
          </cell>
          <cell r="H1491">
            <v>2011</v>
          </cell>
          <cell r="I1491">
            <v>7920</v>
          </cell>
          <cell r="J1491">
            <v>963659</v>
          </cell>
          <cell r="K1491">
            <v>1</v>
          </cell>
          <cell r="L1491">
            <v>0</v>
          </cell>
          <cell r="M1491">
            <v>0</v>
          </cell>
          <cell r="N1491">
            <v>0</v>
          </cell>
          <cell r="R1491">
            <v>0</v>
          </cell>
          <cell r="S1491">
            <v>0</v>
          </cell>
          <cell r="T1491">
            <v>0</v>
          </cell>
          <cell r="U1491">
            <v>37</v>
          </cell>
          <cell r="V1491">
            <v>0</v>
          </cell>
          <cell r="W1491">
            <v>0</v>
          </cell>
          <cell r="AA1491">
            <v>0</v>
          </cell>
          <cell r="AB1491">
            <v>0</v>
          </cell>
          <cell r="AC1491">
            <v>0</v>
          </cell>
          <cell r="AD1491">
            <v>37</v>
          </cell>
          <cell r="AE1491">
            <v>430130</v>
          </cell>
          <cell r="AF1491">
            <v>0</v>
          </cell>
          <cell r="AI1491">
            <v>2223</v>
          </cell>
          <cell r="AK1491">
            <v>0</v>
          </cell>
          <cell r="AM1491">
            <v>744</v>
          </cell>
          <cell r="AN1491">
            <v>1</v>
          </cell>
          <cell r="AO1491">
            <v>393216</v>
          </cell>
          <cell r="AQ1491">
            <v>0</v>
          </cell>
          <cell r="AR1491">
            <v>0</v>
          </cell>
          <cell r="AS1491" t="str">
            <v>Ы</v>
          </cell>
          <cell r="AT1491" t="str">
            <v>Ы</v>
          </cell>
          <cell r="AU1491">
            <v>0</v>
          </cell>
          <cell r="AV1491">
            <v>0</v>
          </cell>
          <cell r="AW1491">
            <v>23</v>
          </cell>
          <cell r="AX1491">
            <v>1</v>
          </cell>
          <cell r="AY1491">
            <v>0</v>
          </cell>
          <cell r="AZ1491">
            <v>0</v>
          </cell>
          <cell r="BA1491">
            <v>0</v>
          </cell>
          <cell r="BB1491">
            <v>0</v>
          </cell>
          <cell r="BC1491">
            <v>38828</v>
          </cell>
        </row>
        <row r="1492">
          <cell r="A1492">
            <v>2006</v>
          </cell>
          <cell r="B1492">
            <v>1</v>
          </cell>
          <cell r="C1492">
            <v>618</v>
          </cell>
          <cell r="D1492">
            <v>21</v>
          </cell>
          <cell r="E1492">
            <v>792020</v>
          </cell>
          <cell r="F1492">
            <v>0</v>
          </cell>
          <cell r="G1492" t="str">
            <v>Затраты по ШПЗ (основные)</v>
          </cell>
          <cell r="H1492">
            <v>2011</v>
          </cell>
          <cell r="I1492">
            <v>7920</v>
          </cell>
          <cell r="J1492">
            <v>521512</v>
          </cell>
          <cell r="K1492">
            <v>1</v>
          </cell>
          <cell r="L1492">
            <v>0</v>
          </cell>
          <cell r="M1492">
            <v>0</v>
          </cell>
          <cell r="N1492">
            <v>0</v>
          </cell>
          <cell r="R1492">
            <v>0</v>
          </cell>
          <cell r="S1492">
            <v>0</v>
          </cell>
          <cell r="T1492">
            <v>0</v>
          </cell>
          <cell r="U1492">
            <v>37</v>
          </cell>
          <cell r="V1492">
            <v>0</v>
          </cell>
          <cell r="W1492">
            <v>0</v>
          </cell>
          <cell r="AA1492">
            <v>0</v>
          </cell>
          <cell r="AB1492">
            <v>0</v>
          </cell>
          <cell r="AC1492">
            <v>0</v>
          </cell>
          <cell r="AD1492">
            <v>37</v>
          </cell>
          <cell r="AE1492">
            <v>430140</v>
          </cell>
          <cell r="AF1492">
            <v>0</v>
          </cell>
          <cell r="AI1492">
            <v>2223</v>
          </cell>
          <cell r="AK1492">
            <v>0</v>
          </cell>
          <cell r="AM1492">
            <v>745</v>
          </cell>
          <cell r="AN1492">
            <v>1</v>
          </cell>
          <cell r="AO1492">
            <v>393216</v>
          </cell>
          <cell r="AQ1492">
            <v>0</v>
          </cell>
          <cell r="AR1492">
            <v>0</v>
          </cell>
          <cell r="AS1492" t="str">
            <v>Ы</v>
          </cell>
          <cell r="AT1492" t="str">
            <v>Ы</v>
          </cell>
          <cell r="AU1492">
            <v>0</v>
          </cell>
          <cell r="AV1492">
            <v>0</v>
          </cell>
          <cell r="AW1492">
            <v>23</v>
          </cell>
          <cell r="AX1492">
            <v>1</v>
          </cell>
          <cell r="AY1492">
            <v>0</v>
          </cell>
          <cell r="AZ1492">
            <v>0</v>
          </cell>
          <cell r="BA1492">
            <v>0</v>
          </cell>
          <cell r="BB1492">
            <v>0</v>
          </cell>
          <cell r="BC1492">
            <v>38828</v>
          </cell>
        </row>
        <row r="1493">
          <cell r="A1493">
            <v>2006</v>
          </cell>
          <cell r="B1493">
            <v>1</v>
          </cell>
          <cell r="C1493">
            <v>619</v>
          </cell>
          <cell r="D1493">
            <v>21</v>
          </cell>
          <cell r="E1493">
            <v>792020</v>
          </cell>
          <cell r="F1493">
            <v>0</v>
          </cell>
          <cell r="G1493" t="str">
            <v>Затраты по ШПЗ (основные)</v>
          </cell>
          <cell r="H1493">
            <v>2011</v>
          </cell>
          <cell r="I1493">
            <v>7920</v>
          </cell>
          <cell r="J1493">
            <v>9100</v>
          </cell>
          <cell r="K1493">
            <v>1</v>
          </cell>
          <cell r="L1493">
            <v>0</v>
          </cell>
          <cell r="M1493">
            <v>0</v>
          </cell>
          <cell r="N1493">
            <v>0</v>
          </cell>
          <cell r="R1493">
            <v>0</v>
          </cell>
          <cell r="S1493">
            <v>0</v>
          </cell>
          <cell r="T1493">
            <v>0</v>
          </cell>
          <cell r="U1493">
            <v>37</v>
          </cell>
          <cell r="V1493">
            <v>0</v>
          </cell>
          <cell r="W1493">
            <v>0</v>
          </cell>
          <cell r="AA1493">
            <v>0</v>
          </cell>
          <cell r="AB1493">
            <v>0</v>
          </cell>
          <cell r="AC1493">
            <v>0</v>
          </cell>
          <cell r="AD1493">
            <v>37</v>
          </cell>
          <cell r="AE1493">
            <v>430210</v>
          </cell>
          <cell r="AF1493">
            <v>0</v>
          </cell>
          <cell r="AI1493">
            <v>2223</v>
          </cell>
          <cell r="AK1493">
            <v>0</v>
          </cell>
          <cell r="AM1493">
            <v>746</v>
          </cell>
          <cell r="AN1493">
            <v>1</v>
          </cell>
          <cell r="AO1493">
            <v>393216</v>
          </cell>
          <cell r="AQ1493">
            <v>0</v>
          </cell>
          <cell r="AR1493">
            <v>0</v>
          </cell>
          <cell r="AS1493" t="str">
            <v>Ы</v>
          </cell>
          <cell r="AT1493" t="str">
            <v>Ы</v>
          </cell>
          <cell r="AU1493">
            <v>0</v>
          </cell>
          <cell r="AV1493">
            <v>0</v>
          </cell>
          <cell r="AW1493">
            <v>23</v>
          </cell>
          <cell r="AX1493">
            <v>1</v>
          </cell>
          <cell r="AY1493">
            <v>0</v>
          </cell>
          <cell r="AZ1493">
            <v>0</v>
          </cell>
          <cell r="BA1493">
            <v>0</v>
          </cell>
          <cell r="BB1493">
            <v>0</v>
          </cell>
          <cell r="BC1493">
            <v>38828</v>
          </cell>
        </row>
        <row r="1494">
          <cell r="A1494">
            <v>2006</v>
          </cell>
          <cell r="B1494">
            <v>1</v>
          </cell>
          <cell r="C1494">
            <v>620</v>
          </cell>
          <cell r="D1494">
            <v>21</v>
          </cell>
          <cell r="E1494">
            <v>792020</v>
          </cell>
          <cell r="F1494">
            <v>0</v>
          </cell>
          <cell r="G1494" t="str">
            <v>Затраты по ШПЗ (основные)</v>
          </cell>
          <cell r="H1494">
            <v>2011</v>
          </cell>
          <cell r="I1494">
            <v>7920</v>
          </cell>
          <cell r="J1494">
            <v>380674</v>
          </cell>
          <cell r="K1494">
            <v>1</v>
          </cell>
          <cell r="L1494">
            <v>0</v>
          </cell>
          <cell r="M1494">
            <v>0</v>
          </cell>
          <cell r="N1494">
            <v>0</v>
          </cell>
          <cell r="R1494">
            <v>0</v>
          </cell>
          <cell r="S1494">
            <v>0</v>
          </cell>
          <cell r="T1494">
            <v>0</v>
          </cell>
          <cell r="U1494">
            <v>37</v>
          </cell>
          <cell r="V1494">
            <v>0</v>
          </cell>
          <cell r="W1494">
            <v>0</v>
          </cell>
          <cell r="AA1494">
            <v>0</v>
          </cell>
          <cell r="AB1494">
            <v>0</v>
          </cell>
          <cell r="AC1494">
            <v>0</v>
          </cell>
          <cell r="AD1494">
            <v>37</v>
          </cell>
          <cell r="AE1494">
            <v>430230</v>
          </cell>
          <cell r="AF1494">
            <v>0</v>
          </cell>
          <cell r="AI1494">
            <v>2223</v>
          </cell>
          <cell r="AK1494">
            <v>0</v>
          </cell>
          <cell r="AM1494">
            <v>747</v>
          </cell>
          <cell r="AN1494">
            <v>1</v>
          </cell>
          <cell r="AO1494">
            <v>393216</v>
          </cell>
          <cell r="AQ1494">
            <v>0</v>
          </cell>
          <cell r="AR1494">
            <v>0</v>
          </cell>
          <cell r="AS1494" t="str">
            <v>Ы</v>
          </cell>
          <cell r="AT1494" t="str">
            <v>Ы</v>
          </cell>
          <cell r="AU1494">
            <v>0</v>
          </cell>
          <cell r="AV1494">
            <v>0</v>
          </cell>
          <cell r="AW1494">
            <v>23</v>
          </cell>
          <cell r="AX1494">
            <v>1</v>
          </cell>
          <cell r="AY1494">
            <v>0</v>
          </cell>
          <cell r="AZ1494">
            <v>0</v>
          </cell>
          <cell r="BA1494">
            <v>0</v>
          </cell>
          <cell r="BB1494">
            <v>0</v>
          </cell>
          <cell r="BC1494">
            <v>38828</v>
          </cell>
        </row>
        <row r="1495">
          <cell r="A1495">
            <v>2006</v>
          </cell>
          <cell r="B1495">
            <v>1</v>
          </cell>
          <cell r="C1495">
            <v>621</v>
          </cell>
          <cell r="D1495">
            <v>21</v>
          </cell>
          <cell r="E1495">
            <v>792020</v>
          </cell>
          <cell r="F1495">
            <v>0</v>
          </cell>
          <cell r="G1495" t="str">
            <v>Затраты по ШПЗ (основные)</v>
          </cell>
          <cell r="H1495">
            <v>2011</v>
          </cell>
          <cell r="I1495">
            <v>7920</v>
          </cell>
          <cell r="J1495">
            <v>130953</v>
          </cell>
          <cell r="K1495">
            <v>1</v>
          </cell>
          <cell r="L1495">
            <v>0</v>
          </cell>
          <cell r="M1495">
            <v>0</v>
          </cell>
          <cell r="N1495">
            <v>0</v>
          </cell>
          <cell r="R1495">
            <v>0</v>
          </cell>
          <cell r="S1495">
            <v>0</v>
          </cell>
          <cell r="T1495">
            <v>0</v>
          </cell>
          <cell r="U1495">
            <v>37</v>
          </cell>
          <cell r="V1495">
            <v>0</v>
          </cell>
          <cell r="W1495">
            <v>0</v>
          </cell>
          <cell r="AA1495">
            <v>0</v>
          </cell>
          <cell r="AB1495">
            <v>0</v>
          </cell>
          <cell r="AC1495">
            <v>0</v>
          </cell>
          <cell r="AD1495">
            <v>37</v>
          </cell>
          <cell r="AE1495">
            <v>430240</v>
          </cell>
          <cell r="AF1495">
            <v>0</v>
          </cell>
          <cell r="AI1495">
            <v>2223</v>
          </cell>
          <cell r="AK1495">
            <v>0</v>
          </cell>
          <cell r="AM1495">
            <v>748</v>
          </cell>
          <cell r="AN1495">
            <v>1</v>
          </cell>
          <cell r="AO1495">
            <v>393216</v>
          </cell>
          <cell r="AQ1495">
            <v>0</v>
          </cell>
          <cell r="AR1495">
            <v>0</v>
          </cell>
          <cell r="AS1495" t="str">
            <v>Ы</v>
          </cell>
          <cell r="AT1495" t="str">
            <v>Ы</v>
          </cell>
          <cell r="AU1495">
            <v>0</v>
          </cell>
          <cell r="AV1495">
            <v>0</v>
          </cell>
          <cell r="AW1495">
            <v>23</v>
          </cell>
          <cell r="AX1495">
            <v>1</v>
          </cell>
          <cell r="AY1495">
            <v>0</v>
          </cell>
          <cell r="AZ1495">
            <v>0</v>
          </cell>
          <cell r="BA1495">
            <v>0</v>
          </cell>
          <cell r="BB1495">
            <v>0</v>
          </cell>
          <cell r="BC1495">
            <v>38828</v>
          </cell>
        </row>
        <row r="1496">
          <cell r="A1496">
            <v>2006</v>
          </cell>
          <cell r="B1496">
            <v>1</v>
          </cell>
          <cell r="C1496">
            <v>622</v>
          </cell>
          <cell r="D1496">
            <v>21</v>
          </cell>
          <cell r="E1496">
            <v>792020</v>
          </cell>
          <cell r="F1496">
            <v>0</v>
          </cell>
          <cell r="G1496" t="str">
            <v>Затраты по ШПЗ (основные)</v>
          </cell>
          <cell r="H1496">
            <v>2011</v>
          </cell>
          <cell r="I1496">
            <v>7920</v>
          </cell>
          <cell r="J1496">
            <v>292585</v>
          </cell>
          <cell r="K1496">
            <v>1</v>
          </cell>
          <cell r="L1496">
            <v>0</v>
          </cell>
          <cell r="M1496">
            <v>0</v>
          </cell>
          <cell r="N1496">
            <v>0</v>
          </cell>
          <cell r="R1496">
            <v>0</v>
          </cell>
          <cell r="S1496">
            <v>0</v>
          </cell>
          <cell r="T1496">
            <v>0</v>
          </cell>
          <cell r="U1496">
            <v>37</v>
          </cell>
          <cell r="V1496">
            <v>0</v>
          </cell>
          <cell r="W1496">
            <v>0</v>
          </cell>
          <cell r="AA1496">
            <v>0</v>
          </cell>
          <cell r="AB1496">
            <v>0</v>
          </cell>
          <cell r="AC1496">
            <v>0</v>
          </cell>
          <cell r="AD1496">
            <v>37</v>
          </cell>
          <cell r="AE1496">
            <v>450000</v>
          </cell>
          <cell r="AF1496">
            <v>0</v>
          </cell>
          <cell r="AI1496">
            <v>2223</v>
          </cell>
          <cell r="AK1496">
            <v>0</v>
          </cell>
          <cell r="AM1496">
            <v>749</v>
          </cell>
          <cell r="AN1496">
            <v>1</v>
          </cell>
          <cell r="AO1496">
            <v>393216</v>
          </cell>
          <cell r="AQ1496">
            <v>0</v>
          </cell>
          <cell r="AR1496">
            <v>0</v>
          </cell>
          <cell r="AS1496" t="str">
            <v>Ы</v>
          </cell>
          <cell r="AT1496" t="str">
            <v>Ы</v>
          </cell>
          <cell r="AU1496">
            <v>0</v>
          </cell>
          <cell r="AV1496">
            <v>0</v>
          </cell>
          <cell r="AW1496">
            <v>23</v>
          </cell>
          <cell r="AX1496">
            <v>1</v>
          </cell>
          <cell r="AY1496">
            <v>0</v>
          </cell>
          <cell r="AZ1496">
            <v>0</v>
          </cell>
          <cell r="BA1496">
            <v>0</v>
          </cell>
          <cell r="BB1496">
            <v>0</v>
          </cell>
          <cell r="BC1496">
            <v>38828</v>
          </cell>
        </row>
        <row r="1497">
          <cell r="A1497">
            <v>2006</v>
          </cell>
          <cell r="B1497">
            <v>1</v>
          </cell>
          <cell r="C1497">
            <v>623</v>
          </cell>
          <cell r="D1497">
            <v>21</v>
          </cell>
          <cell r="E1497">
            <v>792020</v>
          </cell>
          <cell r="F1497">
            <v>0</v>
          </cell>
          <cell r="G1497" t="str">
            <v>Затраты по ШПЗ (основные)</v>
          </cell>
          <cell r="H1497">
            <v>2011</v>
          </cell>
          <cell r="I1497">
            <v>7920</v>
          </cell>
          <cell r="J1497">
            <v>16381</v>
          </cell>
          <cell r="K1497">
            <v>1</v>
          </cell>
          <cell r="L1497">
            <v>0</v>
          </cell>
          <cell r="M1497">
            <v>0</v>
          </cell>
          <cell r="N1497">
            <v>0</v>
          </cell>
          <cell r="R1497">
            <v>0</v>
          </cell>
          <cell r="S1497">
            <v>0</v>
          </cell>
          <cell r="T1497">
            <v>0</v>
          </cell>
          <cell r="U1497">
            <v>37</v>
          </cell>
          <cell r="V1497">
            <v>0</v>
          </cell>
          <cell r="W1497">
            <v>0</v>
          </cell>
          <cell r="AA1497">
            <v>0</v>
          </cell>
          <cell r="AB1497">
            <v>0</v>
          </cell>
          <cell r="AC1497">
            <v>0</v>
          </cell>
          <cell r="AD1497">
            <v>37</v>
          </cell>
          <cell r="AE1497">
            <v>460000</v>
          </cell>
          <cell r="AF1497">
            <v>0</v>
          </cell>
          <cell r="AI1497">
            <v>2223</v>
          </cell>
          <cell r="AK1497">
            <v>0</v>
          </cell>
          <cell r="AM1497">
            <v>750</v>
          </cell>
          <cell r="AN1497">
            <v>1</v>
          </cell>
          <cell r="AO1497">
            <v>393216</v>
          </cell>
          <cell r="AQ1497">
            <v>0</v>
          </cell>
          <cell r="AR1497">
            <v>0</v>
          </cell>
          <cell r="AS1497" t="str">
            <v>Ы</v>
          </cell>
          <cell r="AT1497" t="str">
            <v>Ы</v>
          </cell>
          <cell r="AU1497">
            <v>0</v>
          </cell>
          <cell r="AV1497">
            <v>0</v>
          </cell>
          <cell r="AW1497">
            <v>23</v>
          </cell>
          <cell r="AX1497">
            <v>1</v>
          </cell>
          <cell r="AY1497">
            <v>0</v>
          </cell>
          <cell r="AZ1497">
            <v>0</v>
          </cell>
          <cell r="BA1497">
            <v>0</v>
          </cell>
          <cell r="BB1497">
            <v>0</v>
          </cell>
          <cell r="BC1497">
            <v>38828</v>
          </cell>
        </row>
        <row r="1498">
          <cell r="A1498">
            <v>2006</v>
          </cell>
          <cell r="B1498">
            <v>1</v>
          </cell>
          <cell r="C1498">
            <v>624</v>
          </cell>
          <cell r="D1498">
            <v>21</v>
          </cell>
          <cell r="E1498">
            <v>792020</v>
          </cell>
          <cell r="F1498">
            <v>0</v>
          </cell>
          <cell r="G1498" t="str">
            <v>Затраты по ШПЗ (основные)</v>
          </cell>
          <cell r="H1498">
            <v>2011</v>
          </cell>
          <cell r="I1498">
            <v>7920</v>
          </cell>
          <cell r="J1498">
            <v>41063</v>
          </cell>
          <cell r="K1498">
            <v>1</v>
          </cell>
          <cell r="L1498">
            <v>0</v>
          </cell>
          <cell r="M1498">
            <v>0</v>
          </cell>
          <cell r="N1498">
            <v>0</v>
          </cell>
          <cell r="R1498">
            <v>0</v>
          </cell>
          <cell r="S1498">
            <v>0</v>
          </cell>
          <cell r="T1498">
            <v>0</v>
          </cell>
          <cell r="U1498">
            <v>37</v>
          </cell>
          <cell r="V1498">
            <v>0</v>
          </cell>
          <cell r="W1498">
            <v>0</v>
          </cell>
          <cell r="AA1498">
            <v>0</v>
          </cell>
          <cell r="AB1498">
            <v>0</v>
          </cell>
          <cell r="AC1498">
            <v>0</v>
          </cell>
          <cell r="AD1498">
            <v>37</v>
          </cell>
          <cell r="AE1498">
            <v>465000</v>
          </cell>
          <cell r="AF1498">
            <v>0</v>
          </cell>
          <cell r="AI1498">
            <v>2223</v>
          </cell>
          <cell r="AK1498">
            <v>0</v>
          </cell>
          <cell r="AM1498">
            <v>751</v>
          </cell>
          <cell r="AN1498">
            <v>1</v>
          </cell>
          <cell r="AO1498">
            <v>393216</v>
          </cell>
          <cell r="AQ1498">
            <v>0</v>
          </cell>
          <cell r="AR1498">
            <v>0</v>
          </cell>
          <cell r="AS1498" t="str">
            <v>Ы</v>
          </cell>
          <cell r="AT1498" t="str">
            <v>Ы</v>
          </cell>
          <cell r="AU1498">
            <v>0</v>
          </cell>
          <cell r="AV1498">
            <v>0</v>
          </cell>
          <cell r="AW1498">
            <v>23</v>
          </cell>
          <cell r="AX1498">
            <v>1</v>
          </cell>
          <cell r="AY1498">
            <v>0</v>
          </cell>
          <cell r="AZ1498">
            <v>0</v>
          </cell>
          <cell r="BA1498">
            <v>0</v>
          </cell>
          <cell r="BB1498">
            <v>0</v>
          </cell>
          <cell r="BC1498">
            <v>38828</v>
          </cell>
        </row>
        <row r="1499">
          <cell r="A1499">
            <v>2006</v>
          </cell>
          <cell r="B1499">
            <v>1</v>
          </cell>
          <cell r="C1499">
            <v>625</v>
          </cell>
          <cell r="D1499">
            <v>21</v>
          </cell>
          <cell r="E1499">
            <v>792020</v>
          </cell>
          <cell r="F1499">
            <v>0</v>
          </cell>
          <cell r="G1499" t="str">
            <v>Затраты по ШПЗ (основные)</v>
          </cell>
          <cell r="H1499">
            <v>2011</v>
          </cell>
          <cell r="I1499">
            <v>7920</v>
          </cell>
          <cell r="J1499">
            <v>152945</v>
          </cell>
          <cell r="K1499">
            <v>1</v>
          </cell>
          <cell r="L1499">
            <v>0</v>
          </cell>
          <cell r="M1499">
            <v>0</v>
          </cell>
          <cell r="N1499">
            <v>0</v>
          </cell>
          <cell r="R1499">
            <v>0</v>
          </cell>
          <cell r="S1499">
            <v>0</v>
          </cell>
          <cell r="T1499">
            <v>0</v>
          </cell>
          <cell r="U1499">
            <v>37</v>
          </cell>
          <cell r="V1499">
            <v>0</v>
          </cell>
          <cell r="W1499">
            <v>0</v>
          </cell>
          <cell r="AA1499">
            <v>0</v>
          </cell>
          <cell r="AB1499">
            <v>0</v>
          </cell>
          <cell r="AC1499">
            <v>0</v>
          </cell>
          <cell r="AD1499">
            <v>37</v>
          </cell>
          <cell r="AE1499">
            <v>501102</v>
          </cell>
          <cell r="AF1499">
            <v>0</v>
          </cell>
          <cell r="AI1499">
            <v>2223</v>
          </cell>
          <cell r="AK1499">
            <v>0</v>
          </cell>
          <cell r="AM1499">
            <v>752</v>
          </cell>
          <cell r="AN1499">
            <v>1</v>
          </cell>
          <cell r="AO1499">
            <v>393216</v>
          </cell>
          <cell r="AQ1499">
            <v>0</v>
          </cell>
          <cell r="AR1499">
            <v>0</v>
          </cell>
          <cell r="AS1499" t="str">
            <v>Ы</v>
          </cell>
          <cell r="AT1499" t="str">
            <v>Ы</v>
          </cell>
          <cell r="AU1499">
            <v>0</v>
          </cell>
          <cell r="AV1499">
            <v>0</v>
          </cell>
          <cell r="AW1499">
            <v>23</v>
          </cell>
          <cell r="AX1499">
            <v>1</v>
          </cell>
          <cell r="AY1499">
            <v>0</v>
          </cell>
          <cell r="AZ1499">
            <v>0</v>
          </cell>
          <cell r="BA1499">
            <v>0</v>
          </cell>
          <cell r="BB1499">
            <v>0</v>
          </cell>
          <cell r="BC1499">
            <v>38828</v>
          </cell>
        </row>
        <row r="1500">
          <cell r="A1500">
            <v>2006</v>
          </cell>
          <cell r="B1500">
            <v>1</v>
          </cell>
          <cell r="C1500">
            <v>626</v>
          </cell>
          <cell r="D1500">
            <v>21</v>
          </cell>
          <cell r="E1500">
            <v>792020</v>
          </cell>
          <cell r="F1500">
            <v>0</v>
          </cell>
          <cell r="G1500" t="str">
            <v>Затраты по ШПЗ (основные)</v>
          </cell>
          <cell r="H1500">
            <v>2011</v>
          </cell>
          <cell r="I1500">
            <v>7920</v>
          </cell>
          <cell r="J1500">
            <v>119216</v>
          </cell>
          <cell r="K1500">
            <v>1</v>
          </cell>
          <cell r="L1500">
            <v>0</v>
          </cell>
          <cell r="M1500">
            <v>0</v>
          </cell>
          <cell r="N1500">
            <v>0</v>
          </cell>
          <cell r="R1500">
            <v>0</v>
          </cell>
          <cell r="S1500">
            <v>0</v>
          </cell>
          <cell r="T1500">
            <v>0</v>
          </cell>
          <cell r="U1500">
            <v>37</v>
          </cell>
          <cell r="V1500">
            <v>0</v>
          </cell>
          <cell r="W1500">
            <v>0</v>
          </cell>
          <cell r="AA1500">
            <v>0</v>
          </cell>
          <cell r="AB1500">
            <v>0</v>
          </cell>
          <cell r="AC1500">
            <v>0</v>
          </cell>
          <cell r="AD1500">
            <v>37</v>
          </cell>
          <cell r="AE1500">
            <v>501103</v>
          </cell>
          <cell r="AF1500">
            <v>0</v>
          </cell>
          <cell r="AI1500">
            <v>2223</v>
          </cell>
          <cell r="AK1500">
            <v>0</v>
          </cell>
          <cell r="AM1500">
            <v>753</v>
          </cell>
          <cell r="AN1500">
            <v>1</v>
          </cell>
          <cell r="AO1500">
            <v>393216</v>
          </cell>
          <cell r="AQ1500">
            <v>0</v>
          </cell>
          <cell r="AR1500">
            <v>0</v>
          </cell>
          <cell r="AS1500" t="str">
            <v>Ы</v>
          </cell>
          <cell r="AT1500" t="str">
            <v>Ы</v>
          </cell>
          <cell r="AU1500">
            <v>0</v>
          </cell>
          <cell r="AV1500">
            <v>0</v>
          </cell>
          <cell r="AW1500">
            <v>23</v>
          </cell>
          <cell r="AX1500">
            <v>1</v>
          </cell>
          <cell r="AY1500">
            <v>0</v>
          </cell>
          <cell r="AZ1500">
            <v>0</v>
          </cell>
          <cell r="BA1500">
            <v>0</v>
          </cell>
          <cell r="BB1500">
            <v>0</v>
          </cell>
          <cell r="BC1500">
            <v>38828</v>
          </cell>
        </row>
        <row r="1501">
          <cell r="A1501">
            <v>2006</v>
          </cell>
          <cell r="B1501">
            <v>1</v>
          </cell>
          <cell r="C1501">
            <v>627</v>
          </cell>
          <cell r="D1501">
            <v>21</v>
          </cell>
          <cell r="E1501">
            <v>792020</v>
          </cell>
          <cell r="F1501">
            <v>0</v>
          </cell>
          <cell r="G1501" t="str">
            <v>Затраты по ШПЗ (основные)</v>
          </cell>
          <cell r="H1501">
            <v>2011</v>
          </cell>
          <cell r="I1501">
            <v>7920</v>
          </cell>
          <cell r="J1501">
            <v>2181886.64</v>
          </cell>
          <cell r="K1501">
            <v>1</v>
          </cell>
          <cell r="L1501">
            <v>0</v>
          </cell>
          <cell r="M1501">
            <v>0</v>
          </cell>
          <cell r="N1501">
            <v>0</v>
          </cell>
          <cell r="R1501">
            <v>0</v>
          </cell>
          <cell r="S1501">
            <v>0</v>
          </cell>
          <cell r="T1501">
            <v>0</v>
          </cell>
          <cell r="U1501">
            <v>37</v>
          </cell>
          <cell r="V1501">
            <v>0</v>
          </cell>
          <cell r="W1501">
            <v>0</v>
          </cell>
          <cell r="AA1501">
            <v>0</v>
          </cell>
          <cell r="AB1501">
            <v>0</v>
          </cell>
          <cell r="AC1501">
            <v>0</v>
          </cell>
          <cell r="AD1501">
            <v>37</v>
          </cell>
          <cell r="AE1501">
            <v>503000</v>
          </cell>
          <cell r="AF1501">
            <v>0</v>
          </cell>
          <cell r="AI1501">
            <v>2223</v>
          </cell>
          <cell r="AK1501">
            <v>0</v>
          </cell>
          <cell r="AM1501">
            <v>754</v>
          </cell>
          <cell r="AN1501">
            <v>1</v>
          </cell>
          <cell r="AO1501">
            <v>393216</v>
          </cell>
          <cell r="AQ1501">
            <v>0</v>
          </cell>
          <cell r="AR1501">
            <v>0</v>
          </cell>
          <cell r="AS1501" t="str">
            <v>Ы</v>
          </cell>
          <cell r="AT1501" t="str">
            <v>Ы</v>
          </cell>
          <cell r="AU1501">
            <v>0</v>
          </cell>
          <cell r="AV1501">
            <v>0</v>
          </cell>
          <cell r="AW1501">
            <v>23</v>
          </cell>
          <cell r="AX1501">
            <v>1</v>
          </cell>
          <cell r="AY1501">
            <v>0</v>
          </cell>
          <cell r="AZ1501">
            <v>0</v>
          </cell>
          <cell r="BA1501">
            <v>0</v>
          </cell>
          <cell r="BB1501">
            <v>0</v>
          </cell>
          <cell r="BC1501">
            <v>38828</v>
          </cell>
        </row>
        <row r="1502">
          <cell r="A1502">
            <v>2006</v>
          </cell>
          <cell r="B1502">
            <v>1</v>
          </cell>
          <cell r="C1502">
            <v>628</v>
          </cell>
          <cell r="D1502">
            <v>21</v>
          </cell>
          <cell r="E1502">
            <v>792020</v>
          </cell>
          <cell r="F1502">
            <v>0</v>
          </cell>
          <cell r="G1502" t="str">
            <v>Затраты по ШПЗ (основные)</v>
          </cell>
          <cell r="H1502">
            <v>2011</v>
          </cell>
          <cell r="I1502">
            <v>7920</v>
          </cell>
          <cell r="J1502">
            <v>11165</v>
          </cell>
          <cell r="K1502">
            <v>1</v>
          </cell>
          <cell r="L1502">
            <v>0</v>
          </cell>
          <cell r="M1502">
            <v>0</v>
          </cell>
          <cell r="N1502">
            <v>0</v>
          </cell>
          <cell r="R1502">
            <v>0</v>
          </cell>
          <cell r="S1502">
            <v>0</v>
          </cell>
          <cell r="T1502">
            <v>0</v>
          </cell>
          <cell r="U1502">
            <v>37</v>
          </cell>
          <cell r="V1502">
            <v>0</v>
          </cell>
          <cell r="W1502">
            <v>0</v>
          </cell>
          <cell r="AA1502">
            <v>0</v>
          </cell>
          <cell r="AB1502">
            <v>0</v>
          </cell>
          <cell r="AC1502">
            <v>0</v>
          </cell>
          <cell r="AD1502">
            <v>37</v>
          </cell>
          <cell r="AE1502">
            <v>504900</v>
          </cell>
          <cell r="AF1502">
            <v>0</v>
          </cell>
          <cell r="AI1502">
            <v>2223</v>
          </cell>
          <cell r="AK1502">
            <v>0</v>
          </cell>
          <cell r="AM1502">
            <v>755</v>
          </cell>
          <cell r="AN1502">
            <v>1</v>
          </cell>
          <cell r="AO1502">
            <v>393216</v>
          </cell>
          <cell r="AQ1502">
            <v>0</v>
          </cell>
          <cell r="AR1502">
            <v>0</v>
          </cell>
          <cell r="AS1502" t="str">
            <v>Ы</v>
          </cell>
          <cell r="AT1502" t="str">
            <v>Ы</v>
          </cell>
          <cell r="AU1502">
            <v>0</v>
          </cell>
          <cell r="AV1502">
            <v>0</v>
          </cell>
          <cell r="AW1502">
            <v>23</v>
          </cell>
          <cell r="AX1502">
            <v>1</v>
          </cell>
          <cell r="AY1502">
            <v>0</v>
          </cell>
          <cell r="AZ1502">
            <v>0</v>
          </cell>
          <cell r="BA1502">
            <v>0</v>
          </cell>
          <cell r="BB1502">
            <v>0</v>
          </cell>
          <cell r="BC1502">
            <v>38828</v>
          </cell>
        </row>
        <row r="1503">
          <cell r="A1503">
            <v>2006</v>
          </cell>
          <cell r="B1503">
            <v>1</v>
          </cell>
          <cell r="C1503">
            <v>629</v>
          </cell>
          <cell r="D1503">
            <v>21</v>
          </cell>
          <cell r="E1503">
            <v>792020</v>
          </cell>
          <cell r="F1503">
            <v>0</v>
          </cell>
          <cell r="G1503" t="str">
            <v>Затраты по ШПЗ (основные)</v>
          </cell>
          <cell r="H1503">
            <v>2011</v>
          </cell>
          <cell r="I1503">
            <v>7920</v>
          </cell>
          <cell r="J1503">
            <v>10350.23</v>
          </cell>
          <cell r="K1503">
            <v>1</v>
          </cell>
          <cell r="L1503">
            <v>0</v>
          </cell>
          <cell r="M1503">
            <v>0</v>
          </cell>
          <cell r="N1503">
            <v>0</v>
          </cell>
          <cell r="R1503">
            <v>0</v>
          </cell>
          <cell r="S1503">
            <v>0</v>
          </cell>
          <cell r="T1503">
            <v>0</v>
          </cell>
          <cell r="U1503">
            <v>37</v>
          </cell>
          <cell r="V1503">
            <v>0</v>
          </cell>
          <cell r="W1503">
            <v>0</v>
          </cell>
          <cell r="AA1503">
            <v>0</v>
          </cell>
          <cell r="AB1503">
            <v>0</v>
          </cell>
          <cell r="AC1503">
            <v>0</v>
          </cell>
          <cell r="AD1503">
            <v>37</v>
          </cell>
          <cell r="AE1503">
            <v>505100</v>
          </cell>
          <cell r="AF1503">
            <v>0</v>
          </cell>
          <cell r="AI1503">
            <v>2223</v>
          </cell>
          <cell r="AK1503">
            <v>0</v>
          </cell>
          <cell r="AM1503">
            <v>756</v>
          </cell>
          <cell r="AN1503">
            <v>1</v>
          </cell>
          <cell r="AO1503">
            <v>393216</v>
          </cell>
          <cell r="AQ1503">
            <v>0</v>
          </cell>
          <cell r="AR1503">
            <v>0</v>
          </cell>
          <cell r="AS1503" t="str">
            <v>Ы</v>
          </cell>
          <cell r="AT1503" t="str">
            <v>Ы</v>
          </cell>
          <cell r="AU1503">
            <v>0</v>
          </cell>
          <cell r="AV1503">
            <v>0</v>
          </cell>
          <cell r="AW1503">
            <v>23</v>
          </cell>
          <cell r="AX1503">
            <v>1</v>
          </cell>
          <cell r="AY1503">
            <v>0</v>
          </cell>
          <cell r="AZ1503">
            <v>0</v>
          </cell>
          <cell r="BA1503">
            <v>0</v>
          </cell>
          <cell r="BB1503">
            <v>0</v>
          </cell>
          <cell r="BC1503">
            <v>38828</v>
          </cell>
        </row>
        <row r="1504">
          <cell r="A1504">
            <v>2006</v>
          </cell>
          <cell r="B1504">
            <v>1</v>
          </cell>
          <cell r="C1504">
            <v>630</v>
          </cell>
          <cell r="D1504">
            <v>21</v>
          </cell>
          <cell r="E1504">
            <v>792020</v>
          </cell>
          <cell r="F1504">
            <v>0</v>
          </cell>
          <cell r="G1504" t="str">
            <v>Затраты по ШПЗ (основные)</v>
          </cell>
          <cell r="H1504">
            <v>2011</v>
          </cell>
          <cell r="I1504">
            <v>7920</v>
          </cell>
          <cell r="J1504">
            <v>915757.04</v>
          </cell>
          <cell r="K1504">
            <v>1</v>
          </cell>
          <cell r="L1504">
            <v>0</v>
          </cell>
          <cell r="M1504">
            <v>0</v>
          </cell>
          <cell r="N1504">
            <v>0</v>
          </cell>
          <cell r="R1504">
            <v>0</v>
          </cell>
          <cell r="S1504">
            <v>0</v>
          </cell>
          <cell r="T1504">
            <v>0</v>
          </cell>
          <cell r="U1504">
            <v>37</v>
          </cell>
          <cell r="V1504">
            <v>0</v>
          </cell>
          <cell r="W1504">
            <v>0</v>
          </cell>
          <cell r="AA1504">
            <v>0</v>
          </cell>
          <cell r="AB1504">
            <v>0</v>
          </cell>
          <cell r="AC1504">
            <v>0</v>
          </cell>
          <cell r="AD1504">
            <v>37</v>
          </cell>
          <cell r="AE1504">
            <v>505200</v>
          </cell>
          <cell r="AF1504">
            <v>0</v>
          </cell>
          <cell r="AI1504">
            <v>2223</v>
          </cell>
          <cell r="AK1504">
            <v>0</v>
          </cell>
          <cell r="AM1504">
            <v>757</v>
          </cell>
          <cell r="AN1504">
            <v>1</v>
          </cell>
          <cell r="AO1504">
            <v>393216</v>
          </cell>
          <cell r="AQ1504">
            <v>0</v>
          </cell>
          <cell r="AR1504">
            <v>0</v>
          </cell>
          <cell r="AS1504" t="str">
            <v>Ы</v>
          </cell>
          <cell r="AT1504" t="str">
            <v>Ы</v>
          </cell>
          <cell r="AU1504">
            <v>0</v>
          </cell>
          <cell r="AV1504">
            <v>0</v>
          </cell>
          <cell r="AW1504">
            <v>23</v>
          </cell>
          <cell r="AX1504">
            <v>1</v>
          </cell>
          <cell r="AY1504">
            <v>0</v>
          </cell>
          <cell r="AZ1504">
            <v>0</v>
          </cell>
          <cell r="BA1504">
            <v>0</v>
          </cell>
          <cell r="BB1504">
            <v>0</v>
          </cell>
          <cell r="BC1504">
            <v>38828</v>
          </cell>
        </row>
        <row r="1505">
          <cell r="A1505">
            <v>2006</v>
          </cell>
          <cell r="B1505">
            <v>1</v>
          </cell>
          <cell r="C1505">
            <v>631</v>
          </cell>
          <cell r="D1505">
            <v>21</v>
          </cell>
          <cell r="E1505">
            <v>792020</v>
          </cell>
          <cell r="F1505">
            <v>0</v>
          </cell>
          <cell r="G1505" t="str">
            <v>Затраты по ШПЗ (основные)</v>
          </cell>
          <cell r="H1505">
            <v>2011</v>
          </cell>
          <cell r="I1505">
            <v>7920</v>
          </cell>
          <cell r="J1505">
            <v>4797.8999999999996</v>
          </cell>
          <cell r="K1505">
            <v>1</v>
          </cell>
          <cell r="L1505">
            <v>0</v>
          </cell>
          <cell r="M1505">
            <v>0</v>
          </cell>
          <cell r="N1505">
            <v>0</v>
          </cell>
          <cell r="R1505">
            <v>0</v>
          </cell>
          <cell r="S1505">
            <v>0</v>
          </cell>
          <cell r="T1505">
            <v>0</v>
          </cell>
          <cell r="U1505">
            <v>37</v>
          </cell>
          <cell r="V1505">
            <v>0</v>
          </cell>
          <cell r="W1505">
            <v>0</v>
          </cell>
          <cell r="AA1505">
            <v>0</v>
          </cell>
          <cell r="AB1505">
            <v>0</v>
          </cell>
          <cell r="AC1505">
            <v>0</v>
          </cell>
          <cell r="AD1505">
            <v>37</v>
          </cell>
          <cell r="AE1505">
            <v>505300</v>
          </cell>
          <cell r="AF1505">
            <v>0</v>
          </cell>
          <cell r="AI1505">
            <v>2223</v>
          </cell>
          <cell r="AK1505">
            <v>0</v>
          </cell>
          <cell r="AM1505">
            <v>758</v>
          </cell>
          <cell r="AN1505">
            <v>1</v>
          </cell>
          <cell r="AO1505">
            <v>393216</v>
          </cell>
          <cell r="AQ1505">
            <v>0</v>
          </cell>
          <cell r="AR1505">
            <v>0</v>
          </cell>
          <cell r="AS1505" t="str">
            <v>Ы</v>
          </cell>
          <cell r="AT1505" t="str">
            <v>Ы</v>
          </cell>
          <cell r="AU1505">
            <v>0</v>
          </cell>
          <cell r="AV1505">
            <v>0</v>
          </cell>
          <cell r="AW1505">
            <v>23</v>
          </cell>
          <cell r="AX1505">
            <v>1</v>
          </cell>
          <cell r="AY1505">
            <v>0</v>
          </cell>
          <cell r="AZ1505">
            <v>0</v>
          </cell>
          <cell r="BA1505">
            <v>0</v>
          </cell>
          <cell r="BB1505">
            <v>0</v>
          </cell>
          <cell r="BC1505">
            <v>38828</v>
          </cell>
        </row>
        <row r="1506">
          <cell r="A1506">
            <v>2006</v>
          </cell>
          <cell r="B1506">
            <v>1</v>
          </cell>
          <cell r="C1506">
            <v>632</v>
          </cell>
          <cell r="D1506">
            <v>21</v>
          </cell>
          <cell r="E1506">
            <v>792020</v>
          </cell>
          <cell r="F1506">
            <v>0</v>
          </cell>
          <cell r="G1506" t="str">
            <v>Затраты по ШПЗ (основные)</v>
          </cell>
          <cell r="H1506">
            <v>2011</v>
          </cell>
          <cell r="I1506">
            <v>7920</v>
          </cell>
          <cell r="J1506">
            <v>776761.4</v>
          </cell>
          <cell r="K1506">
            <v>1</v>
          </cell>
          <cell r="L1506">
            <v>0</v>
          </cell>
          <cell r="M1506">
            <v>0</v>
          </cell>
          <cell r="N1506">
            <v>0</v>
          </cell>
          <cell r="R1506">
            <v>0</v>
          </cell>
          <cell r="S1506">
            <v>0</v>
          </cell>
          <cell r="T1506">
            <v>0</v>
          </cell>
          <cell r="U1506">
            <v>37</v>
          </cell>
          <cell r="V1506">
            <v>0</v>
          </cell>
          <cell r="W1506">
            <v>0</v>
          </cell>
          <cell r="AA1506">
            <v>0</v>
          </cell>
          <cell r="AB1506">
            <v>0</v>
          </cell>
          <cell r="AC1506">
            <v>0</v>
          </cell>
          <cell r="AD1506">
            <v>37</v>
          </cell>
          <cell r="AE1506">
            <v>508310</v>
          </cell>
          <cell r="AF1506">
            <v>0</v>
          </cell>
          <cell r="AI1506">
            <v>2223</v>
          </cell>
          <cell r="AK1506">
            <v>0</v>
          </cell>
          <cell r="AM1506">
            <v>759</v>
          </cell>
          <cell r="AN1506">
            <v>1</v>
          </cell>
          <cell r="AO1506">
            <v>393216</v>
          </cell>
          <cell r="AQ1506">
            <v>0</v>
          </cell>
          <cell r="AR1506">
            <v>0</v>
          </cell>
          <cell r="AS1506" t="str">
            <v>Ы</v>
          </cell>
          <cell r="AT1506" t="str">
            <v>Ы</v>
          </cell>
          <cell r="AU1506">
            <v>0</v>
          </cell>
          <cell r="AV1506">
            <v>0</v>
          </cell>
          <cell r="AW1506">
            <v>23</v>
          </cell>
          <cell r="AX1506">
            <v>1</v>
          </cell>
          <cell r="AY1506">
            <v>0</v>
          </cell>
          <cell r="AZ1506">
            <v>0</v>
          </cell>
          <cell r="BA1506">
            <v>0</v>
          </cell>
          <cell r="BB1506">
            <v>0</v>
          </cell>
          <cell r="BC1506">
            <v>38828</v>
          </cell>
        </row>
        <row r="1507">
          <cell r="A1507">
            <v>2006</v>
          </cell>
          <cell r="B1507">
            <v>1</v>
          </cell>
          <cell r="C1507">
            <v>633</v>
          </cell>
          <cell r="D1507">
            <v>21</v>
          </cell>
          <cell r="E1507">
            <v>792020</v>
          </cell>
          <cell r="F1507">
            <v>0</v>
          </cell>
          <cell r="G1507" t="str">
            <v>Затраты по ШПЗ (основные)</v>
          </cell>
          <cell r="H1507">
            <v>2011</v>
          </cell>
          <cell r="I1507">
            <v>7920</v>
          </cell>
          <cell r="J1507">
            <v>1976420.11</v>
          </cell>
          <cell r="K1507">
            <v>1</v>
          </cell>
          <cell r="L1507">
            <v>0</v>
          </cell>
          <cell r="M1507">
            <v>0</v>
          </cell>
          <cell r="N1507">
            <v>0</v>
          </cell>
          <cell r="R1507">
            <v>0</v>
          </cell>
          <cell r="S1507">
            <v>0</v>
          </cell>
          <cell r="T1507">
            <v>0</v>
          </cell>
          <cell r="U1507">
            <v>37</v>
          </cell>
          <cell r="V1507">
            <v>0</v>
          </cell>
          <cell r="W1507">
            <v>0</v>
          </cell>
          <cell r="AA1507">
            <v>0</v>
          </cell>
          <cell r="AB1507">
            <v>0</v>
          </cell>
          <cell r="AC1507">
            <v>0</v>
          </cell>
          <cell r="AD1507">
            <v>37</v>
          </cell>
          <cell r="AE1507">
            <v>510100</v>
          </cell>
          <cell r="AF1507">
            <v>0</v>
          </cell>
          <cell r="AI1507">
            <v>2223</v>
          </cell>
          <cell r="AK1507">
            <v>0</v>
          </cell>
          <cell r="AM1507">
            <v>760</v>
          </cell>
          <cell r="AN1507">
            <v>1</v>
          </cell>
          <cell r="AO1507">
            <v>393216</v>
          </cell>
          <cell r="AQ1507">
            <v>0</v>
          </cell>
          <cell r="AR1507">
            <v>0</v>
          </cell>
          <cell r="AS1507" t="str">
            <v>Ы</v>
          </cell>
          <cell r="AT1507" t="str">
            <v>Ы</v>
          </cell>
          <cell r="AU1507">
            <v>0</v>
          </cell>
          <cell r="AV1507">
            <v>0</v>
          </cell>
          <cell r="AW1507">
            <v>23</v>
          </cell>
          <cell r="AX1507">
            <v>1</v>
          </cell>
          <cell r="AY1507">
            <v>0</v>
          </cell>
          <cell r="AZ1507">
            <v>0</v>
          </cell>
          <cell r="BA1507">
            <v>0</v>
          </cell>
          <cell r="BB1507">
            <v>0</v>
          </cell>
          <cell r="BC1507">
            <v>38828</v>
          </cell>
        </row>
        <row r="1508">
          <cell r="A1508">
            <v>2006</v>
          </cell>
          <cell r="B1508">
            <v>1</v>
          </cell>
          <cell r="C1508">
            <v>634</v>
          </cell>
          <cell r="D1508">
            <v>21</v>
          </cell>
          <cell r="E1508">
            <v>792020</v>
          </cell>
          <cell r="F1508">
            <v>0</v>
          </cell>
          <cell r="G1508" t="str">
            <v>Затраты по ШПЗ (основные)</v>
          </cell>
          <cell r="H1508">
            <v>2011</v>
          </cell>
          <cell r="I1508">
            <v>7920</v>
          </cell>
          <cell r="J1508">
            <v>320.35000000000002</v>
          </cell>
          <cell r="K1508">
            <v>1</v>
          </cell>
          <cell r="L1508">
            <v>0</v>
          </cell>
          <cell r="M1508">
            <v>0</v>
          </cell>
          <cell r="N1508">
            <v>0</v>
          </cell>
          <cell r="R1508">
            <v>0</v>
          </cell>
          <cell r="S1508">
            <v>0</v>
          </cell>
          <cell r="T1508">
            <v>0</v>
          </cell>
          <cell r="U1508">
            <v>37</v>
          </cell>
          <cell r="V1508">
            <v>0</v>
          </cell>
          <cell r="W1508">
            <v>0</v>
          </cell>
          <cell r="AA1508">
            <v>0</v>
          </cell>
          <cell r="AB1508">
            <v>0</v>
          </cell>
          <cell r="AC1508">
            <v>0</v>
          </cell>
          <cell r="AD1508">
            <v>37</v>
          </cell>
          <cell r="AE1508">
            <v>510200</v>
          </cell>
          <cell r="AF1508">
            <v>0</v>
          </cell>
          <cell r="AI1508">
            <v>2223</v>
          </cell>
          <cell r="AK1508">
            <v>0</v>
          </cell>
          <cell r="AM1508">
            <v>761</v>
          </cell>
          <cell r="AN1508">
            <v>1</v>
          </cell>
          <cell r="AO1508">
            <v>393216</v>
          </cell>
          <cell r="AQ1508">
            <v>0</v>
          </cell>
          <cell r="AR1508">
            <v>0</v>
          </cell>
          <cell r="AS1508" t="str">
            <v>Ы</v>
          </cell>
          <cell r="AT1508" t="str">
            <v>Ы</v>
          </cell>
          <cell r="AU1508">
            <v>0</v>
          </cell>
          <cell r="AV1508">
            <v>0</v>
          </cell>
          <cell r="AW1508">
            <v>23</v>
          </cell>
          <cell r="AX1508">
            <v>1</v>
          </cell>
          <cell r="AY1508">
            <v>0</v>
          </cell>
          <cell r="AZ1508">
            <v>0</v>
          </cell>
          <cell r="BA1508">
            <v>0</v>
          </cell>
          <cell r="BB1508">
            <v>0</v>
          </cell>
          <cell r="BC1508">
            <v>38828</v>
          </cell>
        </row>
        <row r="1509">
          <cell r="A1509">
            <v>2006</v>
          </cell>
          <cell r="B1509">
            <v>1</v>
          </cell>
          <cell r="C1509">
            <v>635</v>
          </cell>
          <cell r="D1509">
            <v>21</v>
          </cell>
          <cell r="E1509">
            <v>792020</v>
          </cell>
          <cell r="F1509">
            <v>0</v>
          </cell>
          <cell r="G1509" t="str">
            <v>Затраты по ШПЗ (основные)</v>
          </cell>
          <cell r="H1509">
            <v>2011</v>
          </cell>
          <cell r="I1509">
            <v>7920</v>
          </cell>
          <cell r="J1509">
            <v>540</v>
          </cell>
          <cell r="K1509">
            <v>1</v>
          </cell>
          <cell r="L1509">
            <v>0</v>
          </cell>
          <cell r="M1509">
            <v>0</v>
          </cell>
          <cell r="N1509">
            <v>0</v>
          </cell>
          <cell r="R1509">
            <v>0</v>
          </cell>
          <cell r="S1509">
            <v>0</v>
          </cell>
          <cell r="T1509">
            <v>0</v>
          </cell>
          <cell r="U1509">
            <v>37</v>
          </cell>
          <cell r="V1509">
            <v>0</v>
          </cell>
          <cell r="W1509">
            <v>0</v>
          </cell>
          <cell r="AA1509">
            <v>0</v>
          </cell>
          <cell r="AB1509">
            <v>0</v>
          </cell>
          <cell r="AC1509">
            <v>0</v>
          </cell>
          <cell r="AD1509">
            <v>37</v>
          </cell>
          <cell r="AE1509">
            <v>510300</v>
          </cell>
          <cell r="AF1509">
            <v>0</v>
          </cell>
          <cell r="AI1509">
            <v>2223</v>
          </cell>
          <cell r="AK1509">
            <v>0</v>
          </cell>
          <cell r="AM1509">
            <v>762</v>
          </cell>
          <cell r="AN1509">
            <v>1</v>
          </cell>
          <cell r="AO1509">
            <v>393216</v>
          </cell>
          <cell r="AQ1509">
            <v>0</v>
          </cell>
          <cell r="AR1509">
            <v>0</v>
          </cell>
          <cell r="AS1509" t="str">
            <v>Ы</v>
          </cell>
          <cell r="AT1509" t="str">
            <v>Ы</v>
          </cell>
          <cell r="AU1509">
            <v>0</v>
          </cell>
          <cell r="AV1509">
            <v>0</v>
          </cell>
          <cell r="AW1509">
            <v>23</v>
          </cell>
          <cell r="AX1509">
            <v>1</v>
          </cell>
          <cell r="AY1509">
            <v>0</v>
          </cell>
          <cell r="AZ1509">
            <v>0</v>
          </cell>
          <cell r="BA1509">
            <v>0</v>
          </cell>
          <cell r="BB1509">
            <v>0</v>
          </cell>
          <cell r="BC1509">
            <v>38828</v>
          </cell>
        </row>
        <row r="1510">
          <cell r="A1510">
            <v>2006</v>
          </cell>
          <cell r="B1510">
            <v>1</v>
          </cell>
          <cell r="C1510">
            <v>636</v>
          </cell>
          <cell r="D1510">
            <v>21</v>
          </cell>
          <cell r="E1510">
            <v>792020</v>
          </cell>
          <cell r="F1510">
            <v>0</v>
          </cell>
          <cell r="G1510" t="str">
            <v>Затраты по ШПЗ (основные)</v>
          </cell>
          <cell r="H1510">
            <v>2011</v>
          </cell>
          <cell r="I1510">
            <v>7920</v>
          </cell>
          <cell r="J1510">
            <v>1828.18</v>
          </cell>
          <cell r="K1510">
            <v>1</v>
          </cell>
          <cell r="L1510">
            <v>0</v>
          </cell>
          <cell r="M1510">
            <v>0</v>
          </cell>
          <cell r="N1510">
            <v>0</v>
          </cell>
          <cell r="R1510">
            <v>0</v>
          </cell>
          <cell r="S1510">
            <v>0</v>
          </cell>
          <cell r="T1510">
            <v>0</v>
          </cell>
          <cell r="U1510">
            <v>37</v>
          </cell>
          <cell r="V1510">
            <v>0</v>
          </cell>
          <cell r="W1510">
            <v>0</v>
          </cell>
          <cell r="AA1510">
            <v>0</v>
          </cell>
          <cell r="AB1510">
            <v>0</v>
          </cell>
          <cell r="AC1510">
            <v>0</v>
          </cell>
          <cell r="AD1510">
            <v>37</v>
          </cell>
          <cell r="AE1510">
            <v>510400</v>
          </cell>
          <cell r="AF1510">
            <v>0</v>
          </cell>
          <cell r="AI1510">
            <v>2223</v>
          </cell>
          <cell r="AK1510">
            <v>0</v>
          </cell>
          <cell r="AM1510">
            <v>763</v>
          </cell>
          <cell r="AN1510">
            <v>1</v>
          </cell>
          <cell r="AO1510">
            <v>393216</v>
          </cell>
          <cell r="AQ1510">
            <v>0</v>
          </cell>
          <cell r="AR1510">
            <v>0</v>
          </cell>
          <cell r="AS1510" t="str">
            <v>Ы</v>
          </cell>
          <cell r="AT1510" t="str">
            <v>Ы</v>
          </cell>
          <cell r="AU1510">
            <v>0</v>
          </cell>
          <cell r="AV1510">
            <v>0</v>
          </cell>
          <cell r="AW1510">
            <v>23</v>
          </cell>
          <cell r="AX1510">
            <v>1</v>
          </cell>
          <cell r="AY1510">
            <v>0</v>
          </cell>
          <cell r="AZ1510">
            <v>0</v>
          </cell>
          <cell r="BA1510">
            <v>0</v>
          </cell>
          <cell r="BB1510">
            <v>0</v>
          </cell>
          <cell r="BC1510">
            <v>38828</v>
          </cell>
        </row>
        <row r="1511">
          <cell r="A1511">
            <v>2006</v>
          </cell>
          <cell r="B1511">
            <v>1</v>
          </cell>
          <cell r="C1511">
            <v>637</v>
          </cell>
          <cell r="D1511">
            <v>21</v>
          </cell>
          <cell r="E1511">
            <v>792020</v>
          </cell>
          <cell r="F1511">
            <v>0</v>
          </cell>
          <cell r="G1511" t="str">
            <v>Затраты по ШПЗ (основные)</v>
          </cell>
          <cell r="H1511">
            <v>2011</v>
          </cell>
          <cell r="I1511">
            <v>7920</v>
          </cell>
          <cell r="J1511">
            <v>1495540</v>
          </cell>
          <cell r="K1511">
            <v>1</v>
          </cell>
          <cell r="L1511">
            <v>0</v>
          </cell>
          <cell r="M1511">
            <v>0</v>
          </cell>
          <cell r="N1511">
            <v>0</v>
          </cell>
          <cell r="R1511">
            <v>0</v>
          </cell>
          <cell r="S1511">
            <v>0</v>
          </cell>
          <cell r="T1511">
            <v>0</v>
          </cell>
          <cell r="U1511">
            <v>37</v>
          </cell>
          <cell r="V1511">
            <v>0</v>
          </cell>
          <cell r="W1511">
            <v>0</v>
          </cell>
          <cell r="AA1511">
            <v>0</v>
          </cell>
          <cell r="AB1511">
            <v>0</v>
          </cell>
          <cell r="AC1511">
            <v>0</v>
          </cell>
          <cell r="AD1511">
            <v>37</v>
          </cell>
          <cell r="AE1511">
            <v>510600</v>
          </cell>
          <cell r="AF1511">
            <v>0</v>
          </cell>
          <cell r="AI1511">
            <v>2223</v>
          </cell>
          <cell r="AK1511">
            <v>0</v>
          </cell>
          <cell r="AM1511">
            <v>764</v>
          </cell>
          <cell r="AN1511">
            <v>1</v>
          </cell>
          <cell r="AO1511">
            <v>393216</v>
          </cell>
          <cell r="AQ1511">
            <v>0</v>
          </cell>
          <cell r="AR1511">
            <v>0</v>
          </cell>
          <cell r="AS1511" t="str">
            <v>Ы</v>
          </cell>
          <cell r="AT1511" t="str">
            <v>Ы</v>
          </cell>
          <cell r="AU1511">
            <v>0</v>
          </cell>
          <cell r="AV1511">
            <v>0</v>
          </cell>
          <cell r="AW1511">
            <v>23</v>
          </cell>
          <cell r="AX1511">
            <v>1</v>
          </cell>
          <cell r="AY1511">
            <v>0</v>
          </cell>
          <cell r="AZ1511">
            <v>0</v>
          </cell>
          <cell r="BA1511">
            <v>0</v>
          </cell>
          <cell r="BB1511">
            <v>0</v>
          </cell>
          <cell r="BC1511">
            <v>38828</v>
          </cell>
        </row>
        <row r="1512">
          <cell r="A1512">
            <v>2006</v>
          </cell>
          <cell r="B1512">
            <v>1</v>
          </cell>
          <cell r="C1512">
            <v>638</v>
          </cell>
          <cell r="D1512">
            <v>21</v>
          </cell>
          <cell r="E1512">
            <v>792020</v>
          </cell>
          <cell r="F1512">
            <v>0</v>
          </cell>
          <cell r="G1512" t="str">
            <v>Затраты по ШПЗ (основные)</v>
          </cell>
          <cell r="H1512">
            <v>2011</v>
          </cell>
          <cell r="I1512">
            <v>7920</v>
          </cell>
          <cell r="J1512">
            <v>23486.17</v>
          </cell>
          <cell r="K1512">
            <v>1</v>
          </cell>
          <cell r="L1512">
            <v>0</v>
          </cell>
          <cell r="M1512">
            <v>0</v>
          </cell>
          <cell r="N1512">
            <v>0</v>
          </cell>
          <cell r="R1512">
            <v>0</v>
          </cell>
          <cell r="S1512">
            <v>0</v>
          </cell>
          <cell r="T1512">
            <v>0</v>
          </cell>
          <cell r="U1512">
            <v>37</v>
          </cell>
          <cell r="V1512">
            <v>0</v>
          </cell>
          <cell r="W1512">
            <v>0</v>
          </cell>
          <cell r="AA1512">
            <v>0</v>
          </cell>
          <cell r="AB1512">
            <v>0</v>
          </cell>
          <cell r="AC1512">
            <v>0</v>
          </cell>
          <cell r="AD1512">
            <v>37</v>
          </cell>
          <cell r="AE1512">
            <v>513600</v>
          </cell>
          <cell r="AF1512">
            <v>0</v>
          </cell>
          <cell r="AI1512">
            <v>2223</v>
          </cell>
          <cell r="AK1512">
            <v>0</v>
          </cell>
          <cell r="AM1512">
            <v>765</v>
          </cell>
          <cell r="AN1512">
            <v>1</v>
          </cell>
          <cell r="AO1512">
            <v>393216</v>
          </cell>
          <cell r="AQ1512">
            <v>0</v>
          </cell>
          <cell r="AR1512">
            <v>0</v>
          </cell>
          <cell r="AS1512" t="str">
            <v>Ы</v>
          </cell>
          <cell r="AT1512" t="str">
            <v>Ы</v>
          </cell>
          <cell r="AU1512">
            <v>0</v>
          </cell>
          <cell r="AV1512">
            <v>0</v>
          </cell>
          <cell r="AW1512">
            <v>23</v>
          </cell>
          <cell r="AX1512">
            <v>1</v>
          </cell>
          <cell r="AY1512">
            <v>0</v>
          </cell>
          <cell r="AZ1512">
            <v>0</v>
          </cell>
          <cell r="BA1512">
            <v>0</v>
          </cell>
          <cell r="BB1512">
            <v>0</v>
          </cell>
          <cell r="BC1512">
            <v>38828</v>
          </cell>
        </row>
        <row r="1513">
          <cell r="A1513">
            <v>2006</v>
          </cell>
          <cell r="B1513">
            <v>1</v>
          </cell>
          <cell r="C1513">
            <v>639</v>
          </cell>
          <cell r="D1513">
            <v>21</v>
          </cell>
          <cell r="E1513">
            <v>792020</v>
          </cell>
          <cell r="F1513">
            <v>0</v>
          </cell>
          <cell r="G1513" t="str">
            <v>Затраты по ШПЗ (основные)</v>
          </cell>
          <cell r="H1513">
            <v>2011</v>
          </cell>
          <cell r="I1513">
            <v>7920</v>
          </cell>
          <cell r="J1513">
            <v>3915</v>
          </cell>
          <cell r="K1513">
            <v>1</v>
          </cell>
          <cell r="L1513">
            <v>0</v>
          </cell>
          <cell r="M1513">
            <v>0</v>
          </cell>
          <cell r="N1513">
            <v>0</v>
          </cell>
          <cell r="R1513">
            <v>0</v>
          </cell>
          <cell r="S1513">
            <v>0</v>
          </cell>
          <cell r="T1513">
            <v>0</v>
          </cell>
          <cell r="U1513">
            <v>37</v>
          </cell>
          <cell r="V1513">
            <v>0</v>
          </cell>
          <cell r="W1513">
            <v>0</v>
          </cell>
          <cell r="AA1513">
            <v>0</v>
          </cell>
          <cell r="AB1513">
            <v>0</v>
          </cell>
          <cell r="AC1513">
            <v>0</v>
          </cell>
          <cell r="AD1513">
            <v>37</v>
          </cell>
          <cell r="AE1513">
            <v>530000</v>
          </cell>
          <cell r="AF1513">
            <v>0</v>
          </cell>
          <cell r="AI1513">
            <v>2223</v>
          </cell>
          <cell r="AK1513">
            <v>0</v>
          </cell>
          <cell r="AM1513">
            <v>766</v>
          </cell>
          <cell r="AN1513">
            <v>1</v>
          </cell>
          <cell r="AO1513">
            <v>393216</v>
          </cell>
          <cell r="AQ1513">
            <v>0</v>
          </cell>
          <cell r="AR1513">
            <v>0</v>
          </cell>
          <cell r="AS1513" t="str">
            <v>Ы</v>
          </cell>
          <cell r="AT1513" t="str">
            <v>Ы</v>
          </cell>
          <cell r="AU1513">
            <v>0</v>
          </cell>
          <cell r="AV1513">
            <v>0</v>
          </cell>
          <cell r="AW1513">
            <v>23</v>
          </cell>
          <cell r="AX1513">
            <v>1</v>
          </cell>
          <cell r="AY1513">
            <v>0</v>
          </cell>
          <cell r="AZ1513">
            <v>0</v>
          </cell>
          <cell r="BA1513">
            <v>0</v>
          </cell>
          <cell r="BB1513">
            <v>0</v>
          </cell>
          <cell r="BC1513">
            <v>38828</v>
          </cell>
        </row>
        <row r="1514">
          <cell r="A1514">
            <v>2006</v>
          </cell>
          <cell r="B1514">
            <v>2</v>
          </cell>
          <cell r="C1514">
            <v>20</v>
          </cell>
          <cell r="D1514">
            <v>21</v>
          </cell>
          <cell r="E1514">
            <v>792020</v>
          </cell>
          <cell r="F1514">
            <v>0</v>
          </cell>
          <cell r="G1514" t="str">
            <v>Затраты по ШПЗ (основные)</v>
          </cell>
          <cell r="H1514">
            <v>2011</v>
          </cell>
          <cell r="I1514">
            <v>7920</v>
          </cell>
          <cell r="J1514">
            <v>396538.19</v>
          </cell>
          <cell r="K1514">
            <v>1</v>
          </cell>
          <cell r="L1514">
            <v>0</v>
          </cell>
          <cell r="M1514">
            <v>0</v>
          </cell>
          <cell r="N1514">
            <v>0</v>
          </cell>
          <cell r="R1514">
            <v>0</v>
          </cell>
          <cell r="S1514">
            <v>0</v>
          </cell>
          <cell r="T1514">
            <v>0</v>
          </cell>
          <cell r="U1514">
            <v>31</v>
          </cell>
          <cell r="V1514">
            <v>0</v>
          </cell>
          <cell r="W1514">
            <v>0</v>
          </cell>
          <cell r="AA1514">
            <v>0</v>
          </cell>
          <cell r="AB1514">
            <v>0</v>
          </cell>
          <cell r="AC1514">
            <v>0</v>
          </cell>
          <cell r="AD1514">
            <v>31</v>
          </cell>
          <cell r="AE1514">
            <v>110000</v>
          </cell>
          <cell r="AF1514">
            <v>0</v>
          </cell>
          <cell r="AI1514">
            <v>2251</v>
          </cell>
          <cell r="AK1514">
            <v>0</v>
          </cell>
          <cell r="AM1514">
            <v>149</v>
          </cell>
          <cell r="AN1514">
            <v>1</v>
          </cell>
          <cell r="AO1514">
            <v>393216</v>
          </cell>
          <cell r="AQ1514">
            <v>0</v>
          </cell>
          <cell r="AR1514">
            <v>0</v>
          </cell>
          <cell r="AS1514" t="str">
            <v>Ы</v>
          </cell>
          <cell r="AT1514" t="str">
            <v>Ы</v>
          </cell>
          <cell r="AU1514">
            <v>0</v>
          </cell>
          <cell r="AV1514">
            <v>0</v>
          </cell>
          <cell r="AW1514">
            <v>23</v>
          </cell>
          <cell r="AX1514">
            <v>1</v>
          </cell>
          <cell r="AY1514">
            <v>0</v>
          </cell>
          <cell r="AZ1514">
            <v>0</v>
          </cell>
          <cell r="BA1514">
            <v>0</v>
          </cell>
          <cell r="BB1514">
            <v>0</v>
          </cell>
          <cell r="BC1514">
            <v>38828</v>
          </cell>
        </row>
        <row r="1515">
          <cell r="A1515">
            <v>2006</v>
          </cell>
          <cell r="B1515">
            <v>2</v>
          </cell>
          <cell r="C1515">
            <v>21</v>
          </cell>
          <cell r="D1515">
            <v>21</v>
          </cell>
          <cell r="E1515">
            <v>792020</v>
          </cell>
          <cell r="F1515">
            <v>0</v>
          </cell>
          <cell r="G1515" t="str">
            <v>Затраты по ШПЗ (основные)</v>
          </cell>
          <cell r="H1515">
            <v>2011</v>
          </cell>
          <cell r="I1515">
            <v>7920</v>
          </cell>
          <cell r="J1515">
            <v>1220.24</v>
          </cell>
          <cell r="K1515">
            <v>1</v>
          </cell>
          <cell r="L1515">
            <v>0</v>
          </cell>
          <cell r="M1515">
            <v>0</v>
          </cell>
          <cell r="N1515">
            <v>0</v>
          </cell>
          <cell r="R1515">
            <v>0</v>
          </cell>
          <cell r="S1515">
            <v>0</v>
          </cell>
          <cell r="T1515">
            <v>0</v>
          </cell>
          <cell r="U1515">
            <v>31</v>
          </cell>
          <cell r="V1515">
            <v>0</v>
          </cell>
          <cell r="W1515">
            <v>0</v>
          </cell>
          <cell r="AA1515">
            <v>0</v>
          </cell>
          <cell r="AB1515">
            <v>0</v>
          </cell>
          <cell r="AC1515">
            <v>0</v>
          </cell>
          <cell r="AD1515">
            <v>31</v>
          </cell>
          <cell r="AE1515">
            <v>114020</v>
          </cell>
          <cell r="AF1515">
            <v>0</v>
          </cell>
          <cell r="AI1515">
            <v>2251</v>
          </cell>
          <cell r="AK1515">
            <v>0</v>
          </cell>
          <cell r="AM1515">
            <v>150</v>
          </cell>
          <cell r="AN1515">
            <v>1</v>
          </cell>
          <cell r="AO1515">
            <v>393216</v>
          </cell>
          <cell r="AQ1515">
            <v>0</v>
          </cell>
          <cell r="AR1515">
            <v>0</v>
          </cell>
          <cell r="AS1515" t="str">
            <v>Ы</v>
          </cell>
          <cell r="AT1515" t="str">
            <v>Ы</v>
          </cell>
          <cell r="AU1515">
            <v>0</v>
          </cell>
          <cell r="AV1515">
            <v>0</v>
          </cell>
          <cell r="AW1515">
            <v>23</v>
          </cell>
          <cell r="AX1515">
            <v>1</v>
          </cell>
          <cell r="AY1515">
            <v>0</v>
          </cell>
          <cell r="AZ1515">
            <v>0</v>
          </cell>
          <cell r="BA1515">
            <v>0</v>
          </cell>
          <cell r="BB1515">
            <v>0</v>
          </cell>
          <cell r="BC1515">
            <v>38828</v>
          </cell>
        </row>
        <row r="1516">
          <cell r="A1516">
            <v>2006</v>
          </cell>
          <cell r="B1516">
            <v>2</v>
          </cell>
          <cell r="C1516">
            <v>22</v>
          </cell>
          <cell r="D1516">
            <v>21</v>
          </cell>
          <cell r="E1516">
            <v>792020</v>
          </cell>
          <cell r="F1516">
            <v>0</v>
          </cell>
          <cell r="G1516" t="str">
            <v>Затраты по ШПЗ (основные)</v>
          </cell>
          <cell r="H1516">
            <v>2011</v>
          </cell>
          <cell r="I1516">
            <v>7920</v>
          </cell>
          <cell r="J1516">
            <v>7537.5</v>
          </cell>
          <cell r="K1516">
            <v>1</v>
          </cell>
          <cell r="L1516">
            <v>0</v>
          </cell>
          <cell r="M1516">
            <v>0</v>
          </cell>
          <cell r="N1516">
            <v>0</v>
          </cell>
          <cell r="R1516">
            <v>0</v>
          </cell>
          <cell r="S1516">
            <v>0</v>
          </cell>
          <cell r="T1516">
            <v>0</v>
          </cell>
          <cell r="U1516">
            <v>31</v>
          </cell>
          <cell r="V1516">
            <v>0</v>
          </cell>
          <cell r="W1516">
            <v>0</v>
          </cell>
          <cell r="AA1516">
            <v>0</v>
          </cell>
          <cell r="AB1516">
            <v>0</v>
          </cell>
          <cell r="AC1516">
            <v>0</v>
          </cell>
          <cell r="AD1516">
            <v>31</v>
          </cell>
          <cell r="AE1516">
            <v>117000</v>
          </cell>
          <cell r="AF1516">
            <v>0</v>
          </cell>
          <cell r="AI1516">
            <v>2251</v>
          </cell>
          <cell r="AK1516">
            <v>0</v>
          </cell>
          <cell r="AM1516">
            <v>151</v>
          </cell>
          <cell r="AN1516">
            <v>1</v>
          </cell>
          <cell r="AO1516">
            <v>393216</v>
          </cell>
          <cell r="AQ1516">
            <v>0</v>
          </cell>
          <cell r="AR1516">
            <v>0</v>
          </cell>
          <cell r="AS1516" t="str">
            <v>Ы</v>
          </cell>
          <cell r="AT1516" t="str">
            <v>Ы</v>
          </cell>
          <cell r="AU1516">
            <v>0</v>
          </cell>
          <cell r="AV1516">
            <v>0</v>
          </cell>
          <cell r="AW1516">
            <v>23</v>
          </cell>
          <cell r="AX1516">
            <v>1</v>
          </cell>
          <cell r="AY1516">
            <v>0</v>
          </cell>
          <cell r="AZ1516">
            <v>0</v>
          </cell>
          <cell r="BA1516">
            <v>0</v>
          </cell>
          <cell r="BB1516">
            <v>0</v>
          </cell>
          <cell r="BC1516">
            <v>38828</v>
          </cell>
        </row>
        <row r="1517">
          <cell r="A1517">
            <v>2006</v>
          </cell>
          <cell r="B1517">
            <v>2</v>
          </cell>
          <cell r="C1517">
            <v>23</v>
          </cell>
          <cell r="D1517">
            <v>21</v>
          </cell>
          <cell r="E1517">
            <v>792020</v>
          </cell>
          <cell r="F1517">
            <v>0</v>
          </cell>
          <cell r="G1517" t="str">
            <v>Затраты по ШПЗ (основные)</v>
          </cell>
          <cell r="H1517">
            <v>2011</v>
          </cell>
          <cell r="I1517">
            <v>7920</v>
          </cell>
          <cell r="J1517">
            <v>82370</v>
          </cell>
          <cell r="K1517">
            <v>1</v>
          </cell>
          <cell r="L1517">
            <v>0</v>
          </cell>
          <cell r="M1517">
            <v>0</v>
          </cell>
          <cell r="N1517">
            <v>0</v>
          </cell>
          <cell r="R1517">
            <v>0</v>
          </cell>
          <cell r="S1517">
            <v>0</v>
          </cell>
          <cell r="T1517">
            <v>0</v>
          </cell>
          <cell r="U1517">
            <v>31</v>
          </cell>
          <cell r="V1517">
            <v>0</v>
          </cell>
          <cell r="W1517">
            <v>0</v>
          </cell>
          <cell r="AA1517">
            <v>0</v>
          </cell>
          <cell r="AB1517">
            <v>0</v>
          </cell>
          <cell r="AC1517">
            <v>0</v>
          </cell>
          <cell r="AD1517">
            <v>31</v>
          </cell>
          <cell r="AE1517">
            <v>118000</v>
          </cell>
          <cell r="AF1517">
            <v>0</v>
          </cell>
          <cell r="AI1517">
            <v>2251</v>
          </cell>
          <cell r="AK1517">
            <v>0</v>
          </cell>
          <cell r="AM1517">
            <v>152</v>
          </cell>
          <cell r="AN1517">
            <v>1</v>
          </cell>
          <cell r="AO1517">
            <v>393216</v>
          </cell>
          <cell r="AQ1517">
            <v>0</v>
          </cell>
          <cell r="AR1517">
            <v>0</v>
          </cell>
          <cell r="AS1517" t="str">
            <v>Ы</v>
          </cell>
          <cell r="AT1517" t="str">
            <v>Ы</v>
          </cell>
          <cell r="AU1517">
            <v>0</v>
          </cell>
          <cell r="AV1517">
            <v>0</v>
          </cell>
          <cell r="AW1517">
            <v>23</v>
          </cell>
          <cell r="AX1517">
            <v>1</v>
          </cell>
          <cell r="AY1517">
            <v>0</v>
          </cell>
          <cell r="AZ1517">
            <v>0</v>
          </cell>
          <cell r="BA1517">
            <v>0</v>
          </cell>
          <cell r="BB1517">
            <v>0</v>
          </cell>
          <cell r="BC1517">
            <v>38828</v>
          </cell>
        </row>
        <row r="1518">
          <cell r="A1518">
            <v>2006</v>
          </cell>
          <cell r="B1518">
            <v>2</v>
          </cell>
          <cell r="C1518">
            <v>24</v>
          </cell>
          <cell r="D1518">
            <v>21</v>
          </cell>
          <cell r="E1518">
            <v>792020</v>
          </cell>
          <cell r="F1518">
            <v>0</v>
          </cell>
          <cell r="G1518" t="str">
            <v>Затраты по ШПЗ (основные)</v>
          </cell>
          <cell r="H1518">
            <v>2011</v>
          </cell>
          <cell r="I1518">
            <v>7920</v>
          </cell>
          <cell r="J1518">
            <v>3980</v>
          </cell>
          <cell r="K1518">
            <v>1</v>
          </cell>
          <cell r="L1518">
            <v>0</v>
          </cell>
          <cell r="M1518">
            <v>0</v>
          </cell>
          <cell r="N1518">
            <v>0</v>
          </cell>
          <cell r="R1518">
            <v>0</v>
          </cell>
          <cell r="S1518">
            <v>0</v>
          </cell>
          <cell r="T1518">
            <v>0</v>
          </cell>
          <cell r="U1518">
            <v>31</v>
          </cell>
          <cell r="V1518">
            <v>0</v>
          </cell>
          <cell r="W1518">
            <v>0</v>
          </cell>
          <cell r="AA1518">
            <v>0</v>
          </cell>
          <cell r="AB1518">
            <v>0</v>
          </cell>
          <cell r="AC1518">
            <v>0</v>
          </cell>
          <cell r="AD1518">
            <v>31</v>
          </cell>
          <cell r="AE1518">
            <v>130100</v>
          </cell>
          <cell r="AF1518">
            <v>0</v>
          </cell>
          <cell r="AI1518">
            <v>2251</v>
          </cell>
          <cell r="AK1518">
            <v>0</v>
          </cell>
          <cell r="AM1518">
            <v>153</v>
          </cell>
          <cell r="AN1518">
            <v>1</v>
          </cell>
          <cell r="AO1518">
            <v>393216</v>
          </cell>
          <cell r="AQ1518">
            <v>0</v>
          </cell>
          <cell r="AR1518">
            <v>0</v>
          </cell>
          <cell r="AS1518" t="str">
            <v>Ы</v>
          </cell>
          <cell r="AT1518" t="str">
            <v>Ы</v>
          </cell>
          <cell r="AU1518">
            <v>0</v>
          </cell>
          <cell r="AV1518">
            <v>0</v>
          </cell>
          <cell r="AW1518">
            <v>23</v>
          </cell>
          <cell r="AX1518">
            <v>1</v>
          </cell>
          <cell r="AY1518">
            <v>0</v>
          </cell>
          <cell r="AZ1518">
            <v>0</v>
          </cell>
          <cell r="BA1518">
            <v>0</v>
          </cell>
          <cell r="BB1518">
            <v>0</v>
          </cell>
          <cell r="BC1518">
            <v>38828</v>
          </cell>
        </row>
        <row r="1519">
          <cell r="A1519">
            <v>2006</v>
          </cell>
          <cell r="B1519">
            <v>2</v>
          </cell>
          <cell r="C1519">
            <v>25</v>
          </cell>
          <cell r="D1519">
            <v>21</v>
          </cell>
          <cell r="E1519">
            <v>792020</v>
          </cell>
          <cell r="F1519">
            <v>0</v>
          </cell>
          <cell r="G1519" t="str">
            <v>Затраты по ШПЗ (основные)</v>
          </cell>
          <cell r="H1519">
            <v>2011</v>
          </cell>
          <cell r="I1519">
            <v>7920</v>
          </cell>
          <cell r="J1519">
            <v>15023.48</v>
          </cell>
          <cell r="K1519">
            <v>1</v>
          </cell>
          <cell r="L1519">
            <v>0</v>
          </cell>
          <cell r="M1519">
            <v>0</v>
          </cell>
          <cell r="N1519">
            <v>0</v>
          </cell>
          <cell r="R1519">
            <v>0</v>
          </cell>
          <cell r="S1519">
            <v>0</v>
          </cell>
          <cell r="T1519">
            <v>0</v>
          </cell>
          <cell r="U1519">
            <v>31</v>
          </cell>
          <cell r="V1519">
            <v>0</v>
          </cell>
          <cell r="W1519">
            <v>0</v>
          </cell>
          <cell r="AA1519">
            <v>0</v>
          </cell>
          <cell r="AB1519">
            <v>0</v>
          </cell>
          <cell r="AC1519">
            <v>0</v>
          </cell>
          <cell r="AD1519">
            <v>31</v>
          </cell>
          <cell r="AE1519">
            <v>132000</v>
          </cell>
          <cell r="AF1519">
            <v>0</v>
          </cell>
          <cell r="AI1519">
            <v>2251</v>
          </cell>
          <cell r="AK1519">
            <v>0</v>
          </cell>
          <cell r="AM1519">
            <v>154</v>
          </cell>
          <cell r="AN1519">
            <v>1</v>
          </cell>
          <cell r="AO1519">
            <v>393216</v>
          </cell>
          <cell r="AQ1519">
            <v>0</v>
          </cell>
          <cell r="AR1519">
            <v>0</v>
          </cell>
          <cell r="AS1519" t="str">
            <v>Ы</v>
          </cell>
          <cell r="AT1519" t="str">
            <v>Ы</v>
          </cell>
          <cell r="AU1519">
            <v>0</v>
          </cell>
          <cell r="AV1519">
            <v>0</v>
          </cell>
          <cell r="AW1519">
            <v>23</v>
          </cell>
          <cell r="AX1519">
            <v>1</v>
          </cell>
          <cell r="AY1519">
            <v>0</v>
          </cell>
          <cell r="AZ1519">
            <v>0</v>
          </cell>
          <cell r="BA1519">
            <v>0</v>
          </cell>
          <cell r="BB1519">
            <v>0</v>
          </cell>
          <cell r="BC1519">
            <v>38828</v>
          </cell>
        </row>
        <row r="1520">
          <cell r="A1520">
            <v>2006</v>
          </cell>
          <cell r="B1520">
            <v>2</v>
          </cell>
          <cell r="C1520">
            <v>26</v>
          </cell>
          <cell r="D1520">
            <v>21</v>
          </cell>
          <cell r="E1520">
            <v>792020</v>
          </cell>
          <cell r="F1520">
            <v>0</v>
          </cell>
          <cell r="G1520" t="str">
            <v>Затраты по ШПЗ (основные)</v>
          </cell>
          <cell r="H1520">
            <v>2011</v>
          </cell>
          <cell r="I1520">
            <v>7920</v>
          </cell>
          <cell r="J1520">
            <v>494.5</v>
          </cell>
          <cell r="K1520">
            <v>1</v>
          </cell>
          <cell r="L1520">
            <v>0</v>
          </cell>
          <cell r="M1520">
            <v>0</v>
          </cell>
          <cell r="N1520">
            <v>0</v>
          </cell>
          <cell r="R1520">
            <v>0</v>
          </cell>
          <cell r="S1520">
            <v>0</v>
          </cell>
          <cell r="T1520">
            <v>0</v>
          </cell>
          <cell r="U1520">
            <v>31</v>
          </cell>
          <cell r="V1520">
            <v>0</v>
          </cell>
          <cell r="W1520">
            <v>0</v>
          </cell>
          <cell r="AA1520">
            <v>0</v>
          </cell>
          <cell r="AB1520">
            <v>0</v>
          </cell>
          <cell r="AC1520">
            <v>0</v>
          </cell>
          <cell r="AD1520">
            <v>31</v>
          </cell>
          <cell r="AE1520">
            <v>135000</v>
          </cell>
          <cell r="AF1520">
            <v>0</v>
          </cell>
          <cell r="AI1520">
            <v>2251</v>
          </cell>
          <cell r="AK1520">
            <v>0</v>
          </cell>
          <cell r="AM1520">
            <v>155</v>
          </cell>
          <cell r="AN1520">
            <v>1</v>
          </cell>
          <cell r="AO1520">
            <v>393216</v>
          </cell>
          <cell r="AQ1520">
            <v>0</v>
          </cell>
          <cell r="AR1520">
            <v>0</v>
          </cell>
          <cell r="AS1520" t="str">
            <v>Ы</v>
          </cell>
          <cell r="AT1520" t="str">
            <v>Ы</v>
          </cell>
          <cell r="AU1520">
            <v>0</v>
          </cell>
          <cell r="AV1520">
            <v>0</v>
          </cell>
          <cell r="AW1520">
            <v>23</v>
          </cell>
          <cell r="AX1520">
            <v>1</v>
          </cell>
          <cell r="AY1520">
            <v>0</v>
          </cell>
          <cell r="AZ1520">
            <v>0</v>
          </cell>
          <cell r="BA1520">
            <v>0</v>
          </cell>
          <cell r="BB1520">
            <v>0</v>
          </cell>
          <cell r="BC1520">
            <v>38828</v>
          </cell>
        </row>
        <row r="1521">
          <cell r="A1521">
            <v>2006</v>
          </cell>
          <cell r="B1521">
            <v>2</v>
          </cell>
          <cell r="C1521">
            <v>27</v>
          </cell>
          <cell r="D1521">
            <v>21</v>
          </cell>
          <cell r="E1521">
            <v>792020</v>
          </cell>
          <cell r="F1521">
            <v>0</v>
          </cell>
          <cell r="G1521" t="str">
            <v>Затраты по ШПЗ (основные)</v>
          </cell>
          <cell r="H1521">
            <v>2011</v>
          </cell>
          <cell r="I1521">
            <v>7920</v>
          </cell>
          <cell r="J1521">
            <v>328713.62</v>
          </cell>
          <cell r="K1521">
            <v>1</v>
          </cell>
          <cell r="L1521">
            <v>0</v>
          </cell>
          <cell r="M1521">
            <v>0</v>
          </cell>
          <cell r="N1521">
            <v>0</v>
          </cell>
          <cell r="R1521">
            <v>0</v>
          </cell>
          <cell r="S1521">
            <v>0</v>
          </cell>
          <cell r="T1521">
            <v>0</v>
          </cell>
          <cell r="U1521">
            <v>31</v>
          </cell>
          <cell r="V1521">
            <v>0</v>
          </cell>
          <cell r="W1521">
            <v>0</v>
          </cell>
          <cell r="AA1521">
            <v>0</v>
          </cell>
          <cell r="AB1521">
            <v>0</v>
          </cell>
          <cell r="AC1521">
            <v>0</v>
          </cell>
          <cell r="AD1521">
            <v>31</v>
          </cell>
          <cell r="AE1521">
            <v>143000</v>
          </cell>
          <cell r="AF1521">
            <v>0</v>
          </cell>
          <cell r="AI1521">
            <v>2251</v>
          </cell>
          <cell r="AK1521">
            <v>0</v>
          </cell>
          <cell r="AM1521">
            <v>156</v>
          </cell>
          <cell r="AN1521">
            <v>1</v>
          </cell>
          <cell r="AO1521">
            <v>393216</v>
          </cell>
          <cell r="AQ1521">
            <v>0</v>
          </cell>
          <cell r="AR1521">
            <v>0</v>
          </cell>
          <cell r="AS1521" t="str">
            <v>Ы</v>
          </cell>
          <cell r="AT1521" t="str">
            <v>Ы</v>
          </cell>
          <cell r="AU1521">
            <v>0</v>
          </cell>
          <cell r="AV1521">
            <v>0</v>
          </cell>
          <cell r="AW1521">
            <v>23</v>
          </cell>
          <cell r="AX1521">
            <v>1</v>
          </cell>
          <cell r="AY1521">
            <v>0</v>
          </cell>
          <cell r="AZ1521">
            <v>0</v>
          </cell>
          <cell r="BA1521">
            <v>0</v>
          </cell>
          <cell r="BB1521">
            <v>0</v>
          </cell>
          <cell r="BC1521">
            <v>38828</v>
          </cell>
        </row>
        <row r="1522">
          <cell r="A1522">
            <v>2006</v>
          </cell>
          <cell r="B1522">
            <v>2</v>
          </cell>
          <cell r="C1522">
            <v>28</v>
          </cell>
          <cell r="D1522">
            <v>21</v>
          </cell>
          <cell r="E1522">
            <v>792020</v>
          </cell>
          <cell r="F1522">
            <v>0</v>
          </cell>
          <cell r="G1522" t="str">
            <v>Затраты по ШПЗ (основные)</v>
          </cell>
          <cell r="H1522">
            <v>2011</v>
          </cell>
          <cell r="I1522">
            <v>7920</v>
          </cell>
          <cell r="J1522">
            <v>737939.77</v>
          </cell>
          <cell r="K1522">
            <v>1</v>
          </cell>
          <cell r="L1522">
            <v>0</v>
          </cell>
          <cell r="M1522">
            <v>0</v>
          </cell>
          <cell r="N1522">
            <v>0</v>
          </cell>
          <cell r="R1522">
            <v>0</v>
          </cell>
          <cell r="S1522">
            <v>0</v>
          </cell>
          <cell r="T1522">
            <v>0</v>
          </cell>
          <cell r="U1522">
            <v>31</v>
          </cell>
          <cell r="V1522">
            <v>0</v>
          </cell>
          <cell r="W1522">
            <v>0</v>
          </cell>
          <cell r="AA1522">
            <v>0</v>
          </cell>
          <cell r="AB1522">
            <v>0</v>
          </cell>
          <cell r="AC1522">
            <v>0</v>
          </cell>
          <cell r="AD1522">
            <v>31</v>
          </cell>
          <cell r="AE1522">
            <v>151000</v>
          </cell>
          <cell r="AF1522">
            <v>0</v>
          </cell>
          <cell r="AI1522">
            <v>2251</v>
          </cell>
          <cell r="AK1522">
            <v>0</v>
          </cell>
          <cell r="AM1522">
            <v>157</v>
          </cell>
          <cell r="AN1522">
            <v>1</v>
          </cell>
          <cell r="AO1522">
            <v>393216</v>
          </cell>
          <cell r="AQ1522">
            <v>0</v>
          </cell>
          <cell r="AR1522">
            <v>0</v>
          </cell>
          <cell r="AS1522" t="str">
            <v>Ы</v>
          </cell>
          <cell r="AT1522" t="str">
            <v>Ы</v>
          </cell>
          <cell r="AU1522">
            <v>0</v>
          </cell>
          <cell r="AV1522">
            <v>0</v>
          </cell>
          <cell r="AW1522">
            <v>23</v>
          </cell>
          <cell r="AX1522">
            <v>1</v>
          </cell>
          <cell r="AY1522">
            <v>0</v>
          </cell>
          <cell r="AZ1522">
            <v>0</v>
          </cell>
          <cell r="BA1522">
            <v>0</v>
          </cell>
          <cell r="BB1522">
            <v>0</v>
          </cell>
          <cell r="BC1522">
            <v>38828</v>
          </cell>
        </row>
        <row r="1523">
          <cell r="A1523">
            <v>2006</v>
          </cell>
          <cell r="B1523">
            <v>2</v>
          </cell>
          <cell r="C1523">
            <v>29</v>
          </cell>
          <cell r="D1523">
            <v>21</v>
          </cell>
          <cell r="E1523">
            <v>792020</v>
          </cell>
          <cell r="F1523">
            <v>0</v>
          </cell>
          <cell r="G1523" t="str">
            <v>Затраты по ШПЗ (основные)</v>
          </cell>
          <cell r="H1523">
            <v>2011</v>
          </cell>
          <cell r="I1523">
            <v>7920</v>
          </cell>
          <cell r="J1523">
            <v>110773.79</v>
          </cell>
          <cell r="K1523">
            <v>1</v>
          </cell>
          <cell r="L1523">
            <v>0</v>
          </cell>
          <cell r="M1523">
            <v>0</v>
          </cell>
          <cell r="N1523">
            <v>0</v>
          </cell>
          <cell r="R1523">
            <v>0</v>
          </cell>
          <cell r="S1523">
            <v>0</v>
          </cell>
          <cell r="T1523">
            <v>0</v>
          </cell>
          <cell r="U1523">
            <v>31</v>
          </cell>
          <cell r="V1523">
            <v>0</v>
          </cell>
          <cell r="W1523">
            <v>0</v>
          </cell>
          <cell r="AA1523">
            <v>0</v>
          </cell>
          <cell r="AB1523">
            <v>0</v>
          </cell>
          <cell r="AC1523">
            <v>0</v>
          </cell>
          <cell r="AD1523">
            <v>31</v>
          </cell>
          <cell r="AE1523">
            <v>152000</v>
          </cell>
          <cell r="AF1523">
            <v>0</v>
          </cell>
          <cell r="AI1523">
            <v>2251</v>
          </cell>
          <cell r="AK1523">
            <v>0</v>
          </cell>
          <cell r="AM1523">
            <v>158</v>
          </cell>
          <cell r="AN1523">
            <v>1</v>
          </cell>
          <cell r="AO1523">
            <v>393216</v>
          </cell>
          <cell r="AQ1523">
            <v>0</v>
          </cell>
          <cell r="AR1523">
            <v>0</v>
          </cell>
          <cell r="AS1523" t="str">
            <v>Ы</v>
          </cell>
          <cell r="AT1523" t="str">
            <v>Ы</v>
          </cell>
          <cell r="AU1523">
            <v>0</v>
          </cell>
          <cell r="AV1523">
            <v>0</v>
          </cell>
          <cell r="AW1523">
            <v>23</v>
          </cell>
          <cell r="AX1523">
            <v>1</v>
          </cell>
          <cell r="AY1523">
            <v>0</v>
          </cell>
          <cell r="AZ1523">
            <v>0</v>
          </cell>
          <cell r="BA1523">
            <v>0</v>
          </cell>
          <cell r="BB1523">
            <v>0</v>
          </cell>
          <cell r="BC1523">
            <v>38828</v>
          </cell>
        </row>
        <row r="1524">
          <cell r="A1524">
            <v>2006</v>
          </cell>
          <cell r="B1524">
            <v>2</v>
          </cell>
          <cell r="C1524">
            <v>30</v>
          </cell>
          <cell r="D1524">
            <v>21</v>
          </cell>
          <cell r="E1524">
            <v>792020</v>
          </cell>
          <cell r="F1524">
            <v>0</v>
          </cell>
          <cell r="G1524" t="str">
            <v>Затраты по ШПЗ (основные)</v>
          </cell>
          <cell r="H1524">
            <v>2011</v>
          </cell>
          <cell r="I1524">
            <v>7920</v>
          </cell>
          <cell r="J1524">
            <v>3219911.79</v>
          </cell>
          <cell r="K1524">
            <v>1</v>
          </cell>
          <cell r="L1524">
            <v>0</v>
          </cell>
          <cell r="M1524">
            <v>0</v>
          </cell>
          <cell r="N1524">
            <v>0</v>
          </cell>
          <cell r="R1524">
            <v>0</v>
          </cell>
          <cell r="S1524">
            <v>0</v>
          </cell>
          <cell r="T1524">
            <v>0</v>
          </cell>
          <cell r="U1524">
            <v>31</v>
          </cell>
          <cell r="V1524">
            <v>0</v>
          </cell>
          <cell r="W1524">
            <v>0</v>
          </cell>
          <cell r="AA1524">
            <v>0</v>
          </cell>
          <cell r="AB1524">
            <v>0</v>
          </cell>
          <cell r="AC1524">
            <v>0</v>
          </cell>
          <cell r="AD1524">
            <v>31</v>
          </cell>
          <cell r="AE1524">
            <v>220000</v>
          </cell>
          <cell r="AF1524">
            <v>0</v>
          </cell>
          <cell r="AI1524">
            <v>2251</v>
          </cell>
          <cell r="AK1524">
            <v>0</v>
          </cell>
          <cell r="AM1524">
            <v>159</v>
          </cell>
          <cell r="AN1524">
            <v>1</v>
          </cell>
          <cell r="AO1524">
            <v>393216</v>
          </cell>
          <cell r="AQ1524">
            <v>0</v>
          </cell>
          <cell r="AR1524">
            <v>0</v>
          </cell>
          <cell r="AS1524" t="str">
            <v>Ы</v>
          </cell>
          <cell r="AT1524" t="str">
            <v>Ы</v>
          </cell>
          <cell r="AU1524">
            <v>0</v>
          </cell>
          <cell r="AV1524">
            <v>0</v>
          </cell>
          <cell r="AW1524">
            <v>23</v>
          </cell>
          <cell r="AX1524">
            <v>1</v>
          </cell>
          <cell r="AY1524">
            <v>0</v>
          </cell>
          <cell r="AZ1524">
            <v>0</v>
          </cell>
          <cell r="BA1524">
            <v>0</v>
          </cell>
          <cell r="BB1524">
            <v>0</v>
          </cell>
          <cell r="BC1524">
            <v>38828</v>
          </cell>
        </row>
        <row r="1525">
          <cell r="A1525">
            <v>2006</v>
          </cell>
          <cell r="B1525">
            <v>2</v>
          </cell>
          <cell r="C1525">
            <v>31</v>
          </cell>
          <cell r="D1525">
            <v>21</v>
          </cell>
          <cell r="E1525">
            <v>792020</v>
          </cell>
          <cell r="F1525">
            <v>0</v>
          </cell>
          <cell r="G1525" t="str">
            <v>Затраты по ШПЗ (основные)</v>
          </cell>
          <cell r="H1525">
            <v>2011</v>
          </cell>
          <cell r="I1525">
            <v>7920</v>
          </cell>
          <cell r="J1525">
            <v>1696482.95</v>
          </cell>
          <cell r="K1525">
            <v>1</v>
          </cell>
          <cell r="L1525">
            <v>0</v>
          </cell>
          <cell r="M1525">
            <v>0</v>
          </cell>
          <cell r="N1525">
            <v>0</v>
          </cell>
          <cell r="R1525">
            <v>0</v>
          </cell>
          <cell r="S1525">
            <v>0</v>
          </cell>
          <cell r="T1525">
            <v>0</v>
          </cell>
          <cell r="U1525">
            <v>31</v>
          </cell>
          <cell r="V1525">
            <v>0</v>
          </cell>
          <cell r="W1525">
            <v>0</v>
          </cell>
          <cell r="AA1525">
            <v>0</v>
          </cell>
          <cell r="AB1525">
            <v>0</v>
          </cell>
          <cell r="AC1525">
            <v>0</v>
          </cell>
          <cell r="AD1525">
            <v>31</v>
          </cell>
          <cell r="AE1525">
            <v>230000</v>
          </cell>
          <cell r="AF1525">
            <v>0</v>
          </cell>
          <cell r="AI1525">
            <v>2251</v>
          </cell>
          <cell r="AK1525">
            <v>0</v>
          </cell>
          <cell r="AM1525">
            <v>160</v>
          </cell>
          <cell r="AN1525">
            <v>1</v>
          </cell>
          <cell r="AO1525">
            <v>393216</v>
          </cell>
          <cell r="AQ1525">
            <v>0</v>
          </cell>
          <cell r="AR1525">
            <v>0</v>
          </cell>
          <cell r="AS1525" t="str">
            <v>Ы</v>
          </cell>
          <cell r="AT1525" t="str">
            <v>Ы</v>
          </cell>
          <cell r="AU1525">
            <v>0</v>
          </cell>
          <cell r="AV1525">
            <v>0</v>
          </cell>
          <cell r="AW1525">
            <v>23</v>
          </cell>
          <cell r="AX1525">
            <v>1</v>
          </cell>
          <cell r="AY1525">
            <v>0</v>
          </cell>
          <cell r="AZ1525">
            <v>0</v>
          </cell>
          <cell r="BA1525">
            <v>0</v>
          </cell>
          <cell r="BB1525">
            <v>0</v>
          </cell>
          <cell r="BC1525">
            <v>38828</v>
          </cell>
        </row>
        <row r="1526">
          <cell r="A1526">
            <v>2006</v>
          </cell>
          <cell r="B1526">
            <v>2</v>
          </cell>
          <cell r="C1526">
            <v>32</v>
          </cell>
          <cell r="D1526">
            <v>21</v>
          </cell>
          <cell r="E1526">
            <v>792020</v>
          </cell>
          <cell r="F1526">
            <v>0</v>
          </cell>
          <cell r="G1526" t="str">
            <v>Затраты по ШПЗ (основные)</v>
          </cell>
          <cell r="H1526">
            <v>2011</v>
          </cell>
          <cell r="I1526">
            <v>7920</v>
          </cell>
          <cell r="J1526">
            <v>10000</v>
          </cell>
          <cell r="K1526">
            <v>1</v>
          </cell>
          <cell r="L1526">
            <v>0</v>
          </cell>
          <cell r="M1526">
            <v>0</v>
          </cell>
          <cell r="N1526">
            <v>0</v>
          </cell>
          <cell r="R1526">
            <v>0</v>
          </cell>
          <cell r="S1526">
            <v>0</v>
          </cell>
          <cell r="T1526">
            <v>0</v>
          </cell>
          <cell r="U1526">
            <v>31</v>
          </cell>
          <cell r="V1526">
            <v>0</v>
          </cell>
          <cell r="W1526">
            <v>0</v>
          </cell>
          <cell r="AA1526">
            <v>0</v>
          </cell>
          <cell r="AB1526">
            <v>0</v>
          </cell>
          <cell r="AC1526">
            <v>0</v>
          </cell>
          <cell r="AD1526">
            <v>31</v>
          </cell>
          <cell r="AE1526">
            <v>240000</v>
          </cell>
          <cell r="AF1526">
            <v>0</v>
          </cell>
          <cell r="AI1526">
            <v>2251</v>
          </cell>
          <cell r="AK1526">
            <v>0</v>
          </cell>
          <cell r="AM1526">
            <v>161</v>
          </cell>
          <cell r="AN1526">
            <v>1</v>
          </cell>
          <cell r="AO1526">
            <v>393216</v>
          </cell>
          <cell r="AQ1526">
            <v>0</v>
          </cell>
          <cell r="AR1526">
            <v>0</v>
          </cell>
          <cell r="AS1526" t="str">
            <v>Ы</v>
          </cell>
          <cell r="AT1526" t="str">
            <v>Ы</v>
          </cell>
          <cell r="AU1526">
            <v>0</v>
          </cell>
          <cell r="AV1526">
            <v>0</v>
          </cell>
          <cell r="AW1526">
            <v>23</v>
          </cell>
          <cell r="AX1526">
            <v>1</v>
          </cell>
          <cell r="AY1526">
            <v>0</v>
          </cell>
          <cell r="AZ1526">
            <v>0</v>
          </cell>
          <cell r="BA1526">
            <v>0</v>
          </cell>
          <cell r="BB1526">
            <v>0</v>
          </cell>
          <cell r="BC1526">
            <v>38828</v>
          </cell>
        </row>
        <row r="1527">
          <cell r="A1527">
            <v>2006</v>
          </cell>
          <cell r="B1527">
            <v>2</v>
          </cell>
          <cell r="C1527">
            <v>33</v>
          </cell>
          <cell r="D1527">
            <v>21</v>
          </cell>
          <cell r="E1527">
            <v>792020</v>
          </cell>
          <cell r="F1527">
            <v>0</v>
          </cell>
          <cell r="G1527" t="str">
            <v>Затраты по ШПЗ (основные)</v>
          </cell>
          <cell r="H1527">
            <v>2011</v>
          </cell>
          <cell r="I1527">
            <v>7920</v>
          </cell>
          <cell r="J1527">
            <v>111213.25</v>
          </cell>
          <cell r="K1527">
            <v>1</v>
          </cell>
          <cell r="L1527">
            <v>0</v>
          </cell>
          <cell r="M1527">
            <v>0</v>
          </cell>
          <cell r="N1527">
            <v>0</v>
          </cell>
          <cell r="R1527">
            <v>0</v>
          </cell>
          <cell r="S1527">
            <v>0</v>
          </cell>
          <cell r="T1527">
            <v>0</v>
          </cell>
          <cell r="U1527">
            <v>31</v>
          </cell>
          <cell r="V1527">
            <v>0</v>
          </cell>
          <cell r="W1527">
            <v>0</v>
          </cell>
          <cell r="AA1527">
            <v>0</v>
          </cell>
          <cell r="AB1527">
            <v>0</v>
          </cell>
          <cell r="AC1527">
            <v>0</v>
          </cell>
          <cell r="AD1527">
            <v>31</v>
          </cell>
          <cell r="AE1527">
            <v>260000</v>
          </cell>
          <cell r="AF1527">
            <v>0</v>
          </cell>
          <cell r="AI1527">
            <v>2251</v>
          </cell>
          <cell r="AK1527">
            <v>0</v>
          </cell>
          <cell r="AM1527">
            <v>162</v>
          </cell>
          <cell r="AN1527">
            <v>1</v>
          </cell>
          <cell r="AO1527">
            <v>393216</v>
          </cell>
          <cell r="AQ1527">
            <v>0</v>
          </cell>
          <cell r="AR1527">
            <v>0</v>
          </cell>
          <cell r="AS1527" t="str">
            <v>Ы</v>
          </cell>
          <cell r="AT1527" t="str">
            <v>Ы</v>
          </cell>
          <cell r="AU1527">
            <v>0</v>
          </cell>
          <cell r="AV1527">
            <v>0</v>
          </cell>
          <cell r="AW1527">
            <v>23</v>
          </cell>
          <cell r="AX1527">
            <v>1</v>
          </cell>
          <cell r="AY1527">
            <v>0</v>
          </cell>
          <cell r="AZ1527">
            <v>0</v>
          </cell>
          <cell r="BA1527">
            <v>0</v>
          </cell>
          <cell r="BB1527">
            <v>0</v>
          </cell>
          <cell r="BC1527">
            <v>38828</v>
          </cell>
        </row>
        <row r="1528">
          <cell r="A1528">
            <v>2006</v>
          </cell>
          <cell r="B1528">
            <v>2</v>
          </cell>
          <cell r="C1528">
            <v>34</v>
          </cell>
          <cell r="D1528">
            <v>21</v>
          </cell>
          <cell r="E1528">
            <v>792020</v>
          </cell>
          <cell r="F1528">
            <v>0</v>
          </cell>
          <cell r="G1528" t="str">
            <v>Затраты по ШПЗ (основные)</v>
          </cell>
          <cell r="H1528">
            <v>2011</v>
          </cell>
          <cell r="I1528">
            <v>7920</v>
          </cell>
          <cell r="J1528">
            <v>376067.88</v>
          </cell>
          <cell r="K1528">
            <v>1</v>
          </cell>
          <cell r="L1528">
            <v>0</v>
          </cell>
          <cell r="M1528">
            <v>0</v>
          </cell>
          <cell r="N1528">
            <v>0</v>
          </cell>
          <cell r="R1528">
            <v>0</v>
          </cell>
          <cell r="S1528">
            <v>0</v>
          </cell>
          <cell r="T1528">
            <v>0</v>
          </cell>
          <cell r="U1528">
            <v>31</v>
          </cell>
          <cell r="V1528">
            <v>0</v>
          </cell>
          <cell r="W1528">
            <v>0</v>
          </cell>
          <cell r="AA1528">
            <v>0</v>
          </cell>
          <cell r="AB1528">
            <v>0</v>
          </cell>
          <cell r="AC1528">
            <v>0</v>
          </cell>
          <cell r="AD1528">
            <v>31</v>
          </cell>
          <cell r="AE1528">
            <v>270000</v>
          </cell>
          <cell r="AF1528">
            <v>0</v>
          </cell>
          <cell r="AI1528">
            <v>2251</v>
          </cell>
          <cell r="AK1528">
            <v>0</v>
          </cell>
          <cell r="AM1528">
            <v>163</v>
          </cell>
          <cell r="AN1528">
            <v>1</v>
          </cell>
          <cell r="AO1528">
            <v>393216</v>
          </cell>
          <cell r="AQ1528">
            <v>0</v>
          </cell>
          <cell r="AR1528">
            <v>0</v>
          </cell>
          <cell r="AS1528" t="str">
            <v>Ы</v>
          </cell>
          <cell r="AT1528" t="str">
            <v>Ы</v>
          </cell>
          <cell r="AU1528">
            <v>0</v>
          </cell>
          <cell r="AV1528">
            <v>0</v>
          </cell>
          <cell r="AW1528">
            <v>23</v>
          </cell>
          <cell r="AX1528">
            <v>1</v>
          </cell>
          <cell r="AY1528">
            <v>0</v>
          </cell>
          <cell r="AZ1528">
            <v>0</v>
          </cell>
          <cell r="BA1528">
            <v>0</v>
          </cell>
          <cell r="BB1528">
            <v>0</v>
          </cell>
          <cell r="BC1528">
            <v>38828</v>
          </cell>
        </row>
        <row r="1529">
          <cell r="A1529">
            <v>2006</v>
          </cell>
          <cell r="B1529">
            <v>2</v>
          </cell>
          <cell r="C1529">
            <v>35</v>
          </cell>
          <cell r="D1529">
            <v>21</v>
          </cell>
          <cell r="E1529">
            <v>792020</v>
          </cell>
          <cell r="F1529">
            <v>0</v>
          </cell>
          <cell r="G1529" t="str">
            <v>Затраты по ШПЗ (основные)</v>
          </cell>
          <cell r="H1529">
            <v>2011</v>
          </cell>
          <cell r="I1529">
            <v>7920</v>
          </cell>
          <cell r="J1529">
            <v>147998.76999999999</v>
          </cell>
          <cell r="K1529">
            <v>1</v>
          </cell>
          <cell r="L1529">
            <v>0</v>
          </cell>
          <cell r="M1529">
            <v>0</v>
          </cell>
          <cell r="N1529">
            <v>0</v>
          </cell>
          <cell r="R1529">
            <v>0</v>
          </cell>
          <cell r="S1529">
            <v>0</v>
          </cell>
          <cell r="T1529">
            <v>0</v>
          </cell>
          <cell r="U1529">
            <v>31</v>
          </cell>
          <cell r="V1529">
            <v>0</v>
          </cell>
          <cell r="W1529">
            <v>0</v>
          </cell>
          <cell r="AA1529">
            <v>0</v>
          </cell>
          <cell r="AB1529">
            <v>0</v>
          </cell>
          <cell r="AC1529">
            <v>0</v>
          </cell>
          <cell r="AD1529">
            <v>31</v>
          </cell>
          <cell r="AE1529">
            <v>280100</v>
          </cell>
          <cell r="AF1529">
            <v>0</v>
          </cell>
          <cell r="AI1529">
            <v>2251</v>
          </cell>
          <cell r="AK1529">
            <v>0</v>
          </cell>
          <cell r="AM1529">
            <v>164</v>
          </cell>
          <cell r="AN1529">
            <v>1</v>
          </cell>
          <cell r="AO1529">
            <v>393216</v>
          </cell>
          <cell r="AQ1529">
            <v>0</v>
          </cell>
          <cell r="AR1529">
            <v>0</v>
          </cell>
          <cell r="AS1529" t="str">
            <v>Ы</v>
          </cell>
          <cell r="AT1529" t="str">
            <v>Ы</v>
          </cell>
          <cell r="AU1529">
            <v>0</v>
          </cell>
          <cell r="AV1529">
            <v>0</v>
          </cell>
          <cell r="AW1529">
            <v>23</v>
          </cell>
          <cell r="AX1529">
            <v>1</v>
          </cell>
          <cell r="AY1529">
            <v>0</v>
          </cell>
          <cell r="AZ1529">
            <v>0</v>
          </cell>
          <cell r="BA1529">
            <v>0</v>
          </cell>
          <cell r="BB1529">
            <v>0</v>
          </cell>
          <cell r="BC1529">
            <v>38828</v>
          </cell>
        </row>
        <row r="1530">
          <cell r="A1530">
            <v>2006</v>
          </cell>
          <cell r="B1530">
            <v>2</v>
          </cell>
          <cell r="C1530">
            <v>36</v>
          </cell>
          <cell r="D1530">
            <v>21</v>
          </cell>
          <cell r="E1530">
            <v>792020</v>
          </cell>
          <cell r="F1530">
            <v>0</v>
          </cell>
          <cell r="G1530" t="str">
            <v>Затраты по ШПЗ (основные)</v>
          </cell>
          <cell r="H1530">
            <v>2011</v>
          </cell>
          <cell r="I1530">
            <v>7920</v>
          </cell>
          <cell r="J1530">
            <v>52674.27</v>
          </cell>
          <cell r="K1530">
            <v>1</v>
          </cell>
          <cell r="L1530">
            <v>0</v>
          </cell>
          <cell r="M1530">
            <v>0</v>
          </cell>
          <cell r="N1530">
            <v>0</v>
          </cell>
          <cell r="R1530">
            <v>0</v>
          </cell>
          <cell r="S1530">
            <v>0</v>
          </cell>
          <cell r="T1530">
            <v>0</v>
          </cell>
          <cell r="U1530">
            <v>31</v>
          </cell>
          <cell r="V1530">
            <v>0</v>
          </cell>
          <cell r="W1530">
            <v>0</v>
          </cell>
          <cell r="AA1530">
            <v>0</v>
          </cell>
          <cell r="AB1530">
            <v>0</v>
          </cell>
          <cell r="AC1530">
            <v>0</v>
          </cell>
          <cell r="AD1530">
            <v>31</v>
          </cell>
          <cell r="AE1530">
            <v>280200</v>
          </cell>
          <cell r="AF1530">
            <v>0</v>
          </cell>
          <cell r="AI1530">
            <v>2251</v>
          </cell>
          <cell r="AK1530">
            <v>0</v>
          </cell>
          <cell r="AM1530">
            <v>165</v>
          </cell>
          <cell r="AN1530">
            <v>1</v>
          </cell>
          <cell r="AO1530">
            <v>393216</v>
          </cell>
          <cell r="AQ1530">
            <v>0</v>
          </cell>
          <cell r="AR1530">
            <v>0</v>
          </cell>
          <cell r="AS1530" t="str">
            <v>Ы</v>
          </cell>
          <cell r="AT1530" t="str">
            <v>Ы</v>
          </cell>
          <cell r="AU1530">
            <v>0</v>
          </cell>
          <cell r="AV1530">
            <v>0</v>
          </cell>
          <cell r="AW1530">
            <v>23</v>
          </cell>
          <cell r="AX1530">
            <v>1</v>
          </cell>
          <cell r="AY1530">
            <v>0</v>
          </cell>
          <cell r="AZ1530">
            <v>0</v>
          </cell>
          <cell r="BA1530">
            <v>0</v>
          </cell>
          <cell r="BB1530">
            <v>0</v>
          </cell>
          <cell r="BC1530">
            <v>38828</v>
          </cell>
        </row>
        <row r="1531">
          <cell r="A1531">
            <v>2006</v>
          </cell>
          <cell r="B1531">
            <v>2</v>
          </cell>
          <cell r="C1531">
            <v>37</v>
          </cell>
          <cell r="D1531">
            <v>21</v>
          </cell>
          <cell r="E1531">
            <v>792020</v>
          </cell>
          <cell r="F1531">
            <v>0</v>
          </cell>
          <cell r="G1531" t="str">
            <v>Затраты по ШПЗ (основные)</v>
          </cell>
          <cell r="H1531">
            <v>2011</v>
          </cell>
          <cell r="I1531">
            <v>7920</v>
          </cell>
          <cell r="J1531">
            <v>389685.46</v>
          </cell>
          <cell r="K1531">
            <v>1</v>
          </cell>
          <cell r="L1531">
            <v>0</v>
          </cell>
          <cell r="M1531">
            <v>0</v>
          </cell>
          <cell r="N1531">
            <v>0</v>
          </cell>
          <cell r="R1531">
            <v>0</v>
          </cell>
          <cell r="S1531">
            <v>0</v>
          </cell>
          <cell r="T1531">
            <v>0</v>
          </cell>
          <cell r="U1531">
            <v>31</v>
          </cell>
          <cell r="V1531">
            <v>0</v>
          </cell>
          <cell r="W1531">
            <v>0</v>
          </cell>
          <cell r="AA1531">
            <v>0</v>
          </cell>
          <cell r="AB1531">
            <v>0</v>
          </cell>
          <cell r="AC1531">
            <v>0</v>
          </cell>
          <cell r="AD1531">
            <v>31</v>
          </cell>
          <cell r="AE1531">
            <v>280400</v>
          </cell>
          <cell r="AF1531">
            <v>0</v>
          </cell>
          <cell r="AI1531">
            <v>2251</v>
          </cell>
          <cell r="AK1531">
            <v>0</v>
          </cell>
          <cell r="AM1531">
            <v>166</v>
          </cell>
          <cell r="AN1531">
            <v>1</v>
          </cell>
          <cell r="AO1531">
            <v>393216</v>
          </cell>
          <cell r="AQ1531">
            <v>0</v>
          </cell>
          <cell r="AR1531">
            <v>0</v>
          </cell>
          <cell r="AS1531" t="str">
            <v>Ы</v>
          </cell>
          <cell r="AT1531" t="str">
            <v>Ы</v>
          </cell>
          <cell r="AU1531">
            <v>0</v>
          </cell>
          <cell r="AV1531">
            <v>0</v>
          </cell>
          <cell r="AW1531">
            <v>23</v>
          </cell>
          <cell r="AX1531">
            <v>1</v>
          </cell>
          <cell r="AY1531">
            <v>0</v>
          </cell>
          <cell r="AZ1531">
            <v>0</v>
          </cell>
          <cell r="BA1531">
            <v>0</v>
          </cell>
          <cell r="BB1531">
            <v>0</v>
          </cell>
          <cell r="BC1531">
            <v>38828</v>
          </cell>
        </row>
        <row r="1532">
          <cell r="A1532">
            <v>2006</v>
          </cell>
          <cell r="B1532">
            <v>2</v>
          </cell>
          <cell r="C1532">
            <v>38</v>
          </cell>
          <cell r="D1532">
            <v>21</v>
          </cell>
          <cell r="E1532">
            <v>792020</v>
          </cell>
          <cell r="F1532">
            <v>0</v>
          </cell>
          <cell r="G1532" t="str">
            <v>Затраты по ШПЗ (основные)</v>
          </cell>
          <cell r="H1532">
            <v>2011</v>
          </cell>
          <cell r="I1532">
            <v>7920</v>
          </cell>
          <cell r="J1532">
            <v>11139.74</v>
          </cell>
          <cell r="K1532">
            <v>1</v>
          </cell>
          <cell r="L1532">
            <v>0</v>
          </cell>
          <cell r="M1532">
            <v>0</v>
          </cell>
          <cell r="N1532">
            <v>0</v>
          </cell>
          <cell r="R1532">
            <v>0</v>
          </cell>
          <cell r="S1532">
            <v>0</v>
          </cell>
          <cell r="T1532">
            <v>0</v>
          </cell>
          <cell r="U1532">
            <v>31</v>
          </cell>
          <cell r="V1532">
            <v>0</v>
          </cell>
          <cell r="W1532">
            <v>0</v>
          </cell>
          <cell r="AA1532">
            <v>0</v>
          </cell>
          <cell r="AB1532">
            <v>0</v>
          </cell>
          <cell r="AC1532">
            <v>0</v>
          </cell>
          <cell r="AD1532">
            <v>31</v>
          </cell>
          <cell r="AE1532">
            <v>281000</v>
          </cell>
          <cell r="AF1532">
            <v>0</v>
          </cell>
          <cell r="AI1532">
            <v>2251</v>
          </cell>
          <cell r="AK1532">
            <v>0</v>
          </cell>
          <cell r="AM1532">
            <v>167</v>
          </cell>
          <cell r="AN1532">
            <v>1</v>
          </cell>
          <cell r="AO1532">
            <v>393216</v>
          </cell>
          <cell r="AQ1532">
            <v>0</v>
          </cell>
          <cell r="AR1532">
            <v>0</v>
          </cell>
          <cell r="AS1532" t="str">
            <v>Ы</v>
          </cell>
          <cell r="AT1532" t="str">
            <v>Ы</v>
          </cell>
          <cell r="AU1532">
            <v>0</v>
          </cell>
          <cell r="AV1532">
            <v>0</v>
          </cell>
          <cell r="AW1532">
            <v>23</v>
          </cell>
          <cell r="AX1532">
            <v>1</v>
          </cell>
          <cell r="AY1532">
            <v>0</v>
          </cell>
          <cell r="AZ1532">
            <v>0</v>
          </cell>
          <cell r="BA1532">
            <v>0</v>
          </cell>
          <cell r="BB1532">
            <v>0</v>
          </cell>
          <cell r="BC1532">
            <v>38828</v>
          </cell>
        </row>
        <row r="1533">
          <cell r="A1533">
            <v>2006</v>
          </cell>
          <cell r="B1533">
            <v>2</v>
          </cell>
          <cell r="C1533">
            <v>39</v>
          </cell>
          <cell r="D1533">
            <v>21</v>
          </cell>
          <cell r="E1533">
            <v>792020</v>
          </cell>
          <cell r="F1533">
            <v>0</v>
          </cell>
          <cell r="G1533" t="str">
            <v>Затраты по ШПЗ (основные)</v>
          </cell>
          <cell r="H1533">
            <v>2011</v>
          </cell>
          <cell r="I1533">
            <v>7920</v>
          </cell>
          <cell r="J1533">
            <v>33816.32</v>
          </cell>
          <cell r="K1533">
            <v>1</v>
          </cell>
          <cell r="L1533">
            <v>0</v>
          </cell>
          <cell r="M1533">
            <v>0</v>
          </cell>
          <cell r="N1533">
            <v>0</v>
          </cell>
          <cell r="R1533">
            <v>0</v>
          </cell>
          <cell r="S1533">
            <v>0</v>
          </cell>
          <cell r="T1533">
            <v>0</v>
          </cell>
          <cell r="U1533">
            <v>31</v>
          </cell>
          <cell r="V1533">
            <v>0</v>
          </cell>
          <cell r="W1533">
            <v>0</v>
          </cell>
          <cell r="AA1533">
            <v>0</v>
          </cell>
          <cell r="AB1533">
            <v>0</v>
          </cell>
          <cell r="AC1533">
            <v>0</v>
          </cell>
          <cell r="AD1533">
            <v>31</v>
          </cell>
          <cell r="AE1533">
            <v>281100</v>
          </cell>
          <cell r="AF1533">
            <v>0</v>
          </cell>
          <cell r="AI1533">
            <v>2251</v>
          </cell>
          <cell r="AK1533">
            <v>0</v>
          </cell>
          <cell r="AM1533">
            <v>168</v>
          </cell>
          <cell r="AN1533">
            <v>1</v>
          </cell>
          <cell r="AO1533">
            <v>393216</v>
          </cell>
          <cell r="AQ1533">
            <v>0</v>
          </cell>
          <cell r="AR1533">
            <v>0</v>
          </cell>
          <cell r="AS1533" t="str">
            <v>Ы</v>
          </cell>
          <cell r="AT1533" t="str">
            <v>Ы</v>
          </cell>
          <cell r="AU1533">
            <v>0</v>
          </cell>
          <cell r="AV1533">
            <v>0</v>
          </cell>
          <cell r="AW1533">
            <v>23</v>
          </cell>
          <cell r="AX1533">
            <v>1</v>
          </cell>
          <cell r="AY1533">
            <v>0</v>
          </cell>
          <cell r="AZ1533">
            <v>0</v>
          </cell>
          <cell r="BA1533">
            <v>0</v>
          </cell>
          <cell r="BB1533">
            <v>0</v>
          </cell>
          <cell r="BC1533">
            <v>38828</v>
          </cell>
        </row>
        <row r="1534">
          <cell r="A1534">
            <v>2006</v>
          </cell>
          <cell r="B1534">
            <v>2</v>
          </cell>
          <cell r="C1534">
            <v>40</v>
          </cell>
          <cell r="D1534">
            <v>21</v>
          </cell>
          <cell r="E1534">
            <v>792020</v>
          </cell>
          <cell r="F1534">
            <v>0</v>
          </cell>
          <cell r="G1534" t="str">
            <v>Затраты по ШПЗ (основные)</v>
          </cell>
          <cell r="H1534">
            <v>2011</v>
          </cell>
          <cell r="I1534">
            <v>7920</v>
          </cell>
          <cell r="J1534">
            <v>35557.120000000003</v>
          </cell>
          <cell r="K1534">
            <v>1</v>
          </cell>
          <cell r="L1534">
            <v>0</v>
          </cell>
          <cell r="M1534">
            <v>0</v>
          </cell>
          <cell r="N1534">
            <v>0</v>
          </cell>
          <cell r="R1534">
            <v>0</v>
          </cell>
          <cell r="S1534">
            <v>0</v>
          </cell>
          <cell r="T1534">
            <v>0</v>
          </cell>
          <cell r="U1534">
            <v>31</v>
          </cell>
          <cell r="V1534">
            <v>0</v>
          </cell>
          <cell r="W1534">
            <v>0</v>
          </cell>
          <cell r="AA1534">
            <v>0</v>
          </cell>
          <cell r="AB1534">
            <v>0</v>
          </cell>
          <cell r="AC1534">
            <v>0</v>
          </cell>
          <cell r="AD1534">
            <v>31</v>
          </cell>
          <cell r="AE1534">
            <v>281200</v>
          </cell>
          <cell r="AF1534">
            <v>0</v>
          </cell>
          <cell r="AI1534">
            <v>2251</v>
          </cell>
          <cell r="AK1534">
            <v>0</v>
          </cell>
          <cell r="AM1534">
            <v>169</v>
          </cell>
          <cell r="AN1534">
            <v>1</v>
          </cell>
          <cell r="AO1534">
            <v>393216</v>
          </cell>
          <cell r="AQ1534">
            <v>0</v>
          </cell>
          <cell r="AR1534">
            <v>0</v>
          </cell>
          <cell r="AS1534" t="str">
            <v>Ы</v>
          </cell>
          <cell r="AT1534" t="str">
            <v>Ы</v>
          </cell>
          <cell r="AU1534">
            <v>0</v>
          </cell>
          <cell r="AV1534">
            <v>0</v>
          </cell>
          <cell r="AW1534">
            <v>23</v>
          </cell>
          <cell r="AX1534">
            <v>1</v>
          </cell>
          <cell r="AY1534">
            <v>0</v>
          </cell>
          <cell r="AZ1534">
            <v>0</v>
          </cell>
          <cell r="BA1534">
            <v>0</v>
          </cell>
          <cell r="BB1534">
            <v>0</v>
          </cell>
          <cell r="BC1534">
            <v>38828</v>
          </cell>
        </row>
        <row r="1535">
          <cell r="A1535">
            <v>2006</v>
          </cell>
          <cell r="B1535">
            <v>2</v>
          </cell>
          <cell r="C1535">
            <v>41</v>
          </cell>
          <cell r="D1535">
            <v>21</v>
          </cell>
          <cell r="E1535">
            <v>792020</v>
          </cell>
          <cell r="F1535">
            <v>0</v>
          </cell>
          <cell r="G1535" t="str">
            <v>Затраты по ШПЗ (основные)</v>
          </cell>
          <cell r="H1535">
            <v>2011</v>
          </cell>
          <cell r="I1535">
            <v>7920</v>
          </cell>
          <cell r="J1535">
            <v>272.58</v>
          </cell>
          <cell r="K1535">
            <v>1</v>
          </cell>
          <cell r="L1535">
            <v>0</v>
          </cell>
          <cell r="M1535">
            <v>0</v>
          </cell>
          <cell r="N1535">
            <v>0</v>
          </cell>
          <cell r="R1535">
            <v>0</v>
          </cell>
          <cell r="S1535">
            <v>0</v>
          </cell>
          <cell r="T1535">
            <v>0</v>
          </cell>
          <cell r="U1535">
            <v>31</v>
          </cell>
          <cell r="V1535">
            <v>0</v>
          </cell>
          <cell r="W1535">
            <v>0</v>
          </cell>
          <cell r="AA1535">
            <v>0</v>
          </cell>
          <cell r="AB1535">
            <v>0</v>
          </cell>
          <cell r="AC1535">
            <v>0</v>
          </cell>
          <cell r="AD1535">
            <v>31</v>
          </cell>
          <cell r="AE1535">
            <v>282000</v>
          </cell>
          <cell r="AF1535">
            <v>0</v>
          </cell>
          <cell r="AI1535">
            <v>2251</v>
          </cell>
          <cell r="AK1535">
            <v>0</v>
          </cell>
          <cell r="AM1535">
            <v>170</v>
          </cell>
          <cell r="AN1535">
            <v>1</v>
          </cell>
          <cell r="AO1535">
            <v>393216</v>
          </cell>
          <cell r="AQ1535">
            <v>0</v>
          </cell>
          <cell r="AR1535">
            <v>0</v>
          </cell>
          <cell r="AS1535" t="str">
            <v>Ы</v>
          </cell>
          <cell r="AT1535" t="str">
            <v>Ы</v>
          </cell>
          <cell r="AU1535">
            <v>0</v>
          </cell>
          <cell r="AV1535">
            <v>0</v>
          </cell>
          <cell r="AW1535">
            <v>23</v>
          </cell>
          <cell r="AX1535">
            <v>1</v>
          </cell>
          <cell r="AY1535">
            <v>0</v>
          </cell>
          <cell r="AZ1535">
            <v>0</v>
          </cell>
          <cell r="BA1535">
            <v>0</v>
          </cell>
          <cell r="BB1535">
            <v>0</v>
          </cell>
          <cell r="BC1535">
            <v>38828</v>
          </cell>
        </row>
        <row r="1536">
          <cell r="A1536">
            <v>2006</v>
          </cell>
          <cell r="B1536">
            <v>2</v>
          </cell>
          <cell r="C1536">
            <v>42</v>
          </cell>
          <cell r="D1536">
            <v>21</v>
          </cell>
          <cell r="E1536">
            <v>792020</v>
          </cell>
          <cell r="F1536">
            <v>0</v>
          </cell>
          <cell r="G1536" t="str">
            <v>Затраты по ШПЗ (основные)</v>
          </cell>
          <cell r="H1536">
            <v>2011</v>
          </cell>
          <cell r="I1536">
            <v>7920</v>
          </cell>
          <cell r="J1536">
            <v>17760.95</v>
          </cell>
          <cell r="K1536">
            <v>1</v>
          </cell>
          <cell r="L1536">
            <v>0</v>
          </cell>
          <cell r="M1536">
            <v>0</v>
          </cell>
          <cell r="N1536">
            <v>0</v>
          </cell>
          <cell r="R1536">
            <v>0</v>
          </cell>
          <cell r="S1536">
            <v>0</v>
          </cell>
          <cell r="T1536">
            <v>0</v>
          </cell>
          <cell r="U1536">
            <v>31</v>
          </cell>
          <cell r="V1536">
            <v>0</v>
          </cell>
          <cell r="W1536">
            <v>0</v>
          </cell>
          <cell r="AA1536">
            <v>0</v>
          </cell>
          <cell r="AB1536">
            <v>0</v>
          </cell>
          <cell r="AC1536">
            <v>0</v>
          </cell>
          <cell r="AD1536">
            <v>31</v>
          </cell>
          <cell r="AE1536">
            <v>282200</v>
          </cell>
          <cell r="AF1536">
            <v>0</v>
          </cell>
          <cell r="AI1536">
            <v>2251</v>
          </cell>
          <cell r="AK1536">
            <v>0</v>
          </cell>
          <cell r="AM1536">
            <v>171</v>
          </cell>
          <cell r="AN1536">
            <v>1</v>
          </cell>
          <cell r="AO1536">
            <v>393216</v>
          </cell>
          <cell r="AQ1536">
            <v>0</v>
          </cell>
          <cell r="AR1536">
            <v>0</v>
          </cell>
          <cell r="AS1536" t="str">
            <v>Ы</v>
          </cell>
          <cell r="AT1536" t="str">
            <v>Ы</v>
          </cell>
          <cell r="AU1536">
            <v>0</v>
          </cell>
          <cell r="AV1536">
            <v>0</v>
          </cell>
          <cell r="AW1536">
            <v>23</v>
          </cell>
          <cell r="AX1536">
            <v>1</v>
          </cell>
          <cell r="AY1536">
            <v>0</v>
          </cell>
          <cell r="AZ1536">
            <v>0</v>
          </cell>
          <cell r="BA1536">
            <v>0</v>
          </cell>
          <cell r="BB1536">
            <v>0</v>
          </cell>
          <cell r="BC1536">
            <v>38828</v>
          </cell>
        </row>
        <row r="1537">
          <cell r="A1537">
            <v>2006</v>
          </cell>
          <cell r="B1537">
            <v>2</v>
          </cell>
          <cell r="C1537">
            <v>43</v>
          </cell>
          <cell r="D1537">
            <v>21</v>
          </cell>
          <cell r="E1537">
            <v>792020</v>
          </cell>
          <cell r="F1537">
            <v>0</v>
          </cell>
          <cell r="G1537" t="str">
            <v>Затраты по ШПЗ (основные)</v>
          </cell>
          <cell r="H1537">
            <v>2011</v>
          </cell>
          <cell r="I1537">
            <v>7920</v>
          </cell>
          <cell r="J1537">
            <v>38304</v>
          </cell>
          <cell r="K1537">
            <v>1</v>
          </cell>
          <cell r="L1537">
            <v>0</v>
          </cell>
          <cell r="M1537">
            <v>0</v>
          </cell>
          <cell r="N1537">
            <v>0</v>
          </cell>
          <cell r="R1537">
            <v>0</v>
          </cell>
          <cell r="S1537">
            <v>0</v>
          </cell>
          <cell r="T1537">
            <v>0</v>
          </cell>
          <cell r="U1537">
            <v>31</v>
          </cell>
          <cell r="V1537">
            <v>0</v>
          </cell>
          <cell r="W1537">
            <v>0</v>
          </cell>
          <cell r="AA1537">
            <v>0</v>
          </cell>
          <cell r="AB1537">
            <v>0</v>
          </cell>
          <cell r="AC1537">
            <v>0</v>
          </cell>
          <cell r="AD1537">
            <v>31</v>
          </cell>
          <cell r="AE1537">
            <v>283000</v>
          </cell>
          <cell r="AF1537">
            <v>0</v>
          </cell>
          <cell r="AI1537">
            <v>2251</v>
          </cell>
          <cell r="AK1537">
            <v>0</v>
          </cell>
          <cell r="AM1537">
            <v>172</v>
          </cell>
          <cell r="AN1537">
            <v>1</v>
          </cell>
          <cell r="AO1537">
            <v>393216</v>
          </cell>
          <cell r="AQ1537">
            <v>0</v>
          </cell>
          <cell r="AR1537">
            <v>0</v>
          </cell>
          <cell r="AS1537" t="str">
            <v>Ы</v>
          </cell>
          <cell r="AT1537" t="str">
            <v>Ы</v>
          </cell>
          <cell r="AU1537">
            <v>0</v>
          </cell>
          <cell r="AV1537">
            <v>0</v>
          </cell>
          <cell r="AW1537">
            <v>23</v>
          </cell>
          <cell r="AX1537">
            <v>1</v>
          </cell>
          <cell r="AY1537">
            <v>0</v>
          </cell>
          <cell r="AZ1537">
            <v>0</v>
          </cell>
          <cell r="BA1537">
            <v>0</v>
          </cell>
          <cell r="BB1537">
            <v>0</v>
          </cell>
          <cell r="BC1537">
            <v>38828</v>
          </cell>
        </row>
        <row r="1538">
          <cell r="A1538">
            <v>2006</v>
          </cell>
          <cell r="B1538">
            <v>2</v>
          </cell>
          <cell r="C1538">
            <v>44</v>
          </cell>
          <cell r="D1538">
            <v>21</v>
          </cell>
          <cell r="E1538">
            <v>792020</v>
          </cell>
          <cell r="F1538">
            <v>0</v>
          </cell>
          <cell r="G1538" t="str">
            <v>Затраты по ШПЗ (основные)</v>
          </cell>
          <cell r="H1538">
            <v>2011</v>
          </cell>
          <cell r="I1538">
            <v>7920</v>
          </cell>
          <cell r="J1538">
            <v>27319.41</v>
          </cell>
          <cell r="K1538">
            <v>1</v>
          </cell>
          <cell r="L1538">
            <v>0</v>
          </cell>
          <cell r="M1538">
            <v>0</v>
          </cell>
          <cell r="N1538">
            <v>0</v>
          </cell>
          <cell r="R1538">
            <v>0</v>
          </cell>
          <cell r="S1538">
            <v>0</v>
          </cell>
          <cell r="T1538">
            <v>0</v>
          </cell>
          <cell r="U1538">
            <v>31</v>
          </cell>
          <cell r="V1538">
            <v>0</v>
          </cell>
          <cell r="W1538">
            <v>0</v>
          </cell>
          <cell r="AA1538">
            <v>0</v>
          </cell>
          <cell r="AB1538">
            <v>0</v>
          </cell>
          <cell r="AC1538">
            <v>0</v>
          </cell>
          <cell r="AD1538">
            <v>31</v>
          </cell>
          <cell r="AE1538">
            <v>285000</v>
          </cell>
          <cell r="AF1538">
            <v>0</v>
          </cell>
          <cell r="AI1538">
            <v>2251</v>
          </cell>
          <cell r="AK1538">
            <v>0</v>
          </cell>
          <cell r="AM1538">
            <v>173</v>
          </cell>
          <cell r="AN1538">
            <v>1</v>
          </cell>
          <cell r="AO1538">
            <v>393216</v>
          </cell>
          <cell r="AQ1538">
            <v>0</v>
          </cell>
          <cell r="AR1538">
            <v>0</v>
          </cell>
          <cell r="AS1538" t="str">
            <v>Ы</v>
          </cell>
          <cell r="AT1538" t="str">
            <v>Ы</v>
          </cell>
          <cell r="AU1538">
            <v>0</v>
          </cell>
          <cell r="AV1538">
            <v>0</v>
          </cell>
          <cell r="AW1538">
            <v>23</v>
          </cell>
          <cell r="AX1538">
            <v>1</v>
          </cell>
          <cell r="AY1538">
            <v>0</v>
          </cell>
          <cell r="AZ1538">
            <v>0</v>
          </cell>
          <cell r="BA1538">
            <v>0</v>
          </cell>
          <cell r="BB1538">
            <v>0</v>
          </cell>
          <cell r="BC1538">
            <v>38828</v>
          </cell>
        </row>
        <row r="1539">
          <cell r="A1539">
            <v>2006</v>
          </cell>
          <cell r="B1539">
            <v>2</v>
          </cell>
          <cell r="C1539">
            <v>45</v>
          </cell>
          <cell r="D1539">
            <v>21</v>
          </cell>
          <cell r="E1539">
            <v>792020</v>
          </cell>
          <cell r="F1539">
            <v>0</v>
          </cell>
          <cell r="G1539" t="str">
            <v>Затраты по ШПЗ (основные)</v>
          </cell>
          <cell r="H1539">
            <v>2011</v>
          </cell>
          <cell r="I1539">
            <v>7920</v>
          </cell>
          <cell r="J1539">
            <v>177535.26</v>
          </cell>
          <cell r="K1539">
            <v>1</v>
          </cell>
          <cell r="L1539">
            <v>0</v>
          </cell>
          <cell r="M1539">
            <v>0</v>
          </cell>
          <cell r="N1539">
            <v>0</v>
          </cell>
          <cell r="R1539">
            <v>0</v>
          </cell>
          <cell r="S1539">
            <v>0</v>
          </cell>
          <cell r="T1539">
            <v>0</v>
          </cell>
          <cell r="U1539">
            <v>31</v>
          </cell>
          <cell r="V1539">
            <v>0</v>
          </cell>
          <cell r="W1539">
            <v>0</v>
          </cell>
          <cell r="AA1539">
            <v>0</v>
          </cell>
          <cell r="AB1539">
            <v>0</v>
          </cell>
          <cell r="AC1539">
            <v>0</v>
          </cell>
          <cell r="AD1539">
            <v>31</v>
          </cell>
          <cell r="AE1539">
            <v>311000</v>
          </cell>
          <cell r="AF1539">
            <v>0</v>
          </cell>
          <cell r="AI1539">
            <v>2251</v>
          </cell>
          <cell r="AK1539">
            <v>0</v>
          </cell>
          <cell r="AM1539">
            <v>174</v>
          </cell>
          <cell r="AN1539">
            <v>1</v>
          </cell>
          <cell r="AO1539">
            <v>393216</v>
          </cell>
          <cell r="AQ1539">
            <v>0</v>
          </cell>
          <cell r="AR1539">
            <v>0</v>
          </cell>
          <cell r="AS1539" t="str">
            <v>Ы</v>
          </cell>
          <cell r="AT1539" t="str">
            <v>Ы</v>
          </cell>
          <cell r="AU1539">
            <v>0</v>
          </cell>
          <cell r="AV1539">
            <v>0</v>
          </cell>
          <cell r="AW1539">
            <v>23</v>
          </cell>
          <cell r="AX1539">
            <v>1</v>
          </cell>
          <cell r="AY1539">
            <v>0</v>
          </cell>
          <cell r="AZ1539">
            <v>0</v>
          </cell>
          <cell r="BA1539">
            <v>0</v>
          </cell>
          <cell r="BB1539">
            <v>0</v>
          </cell>
          <cell r="BC1539">
            <v>38828</v>
          </cell>
        </row>
        <row r="1540">
          <cell r="A1540">
            <v>2006</v>
          </cell>
          <cell r="B1540">
            <v>2</v>
          </cell>
          <cell r="C1540">
            <v>46</v>
          </cell>
          <cell r="D1540">
            <v>21</v>
          </cell>
          <cell r="E1540">
            <v>792020</v>
          </cell>
          <cell r="F1540">
            <v>0</v>
          </cell>
          <cell r="G1540" t="str">
            <v>Затраты по ШПЗ (основные)</v>
          </cell>
          <cell r="H1540">
            <v>2011</v>
          </cell>
          <cell r="I1540">
            <v>7920</v>
          </cell>
          <cell r="J1540">
            <v>367314.32</v>
          </cell>
          <cell r="K1540">
            <v>1</v>
          </cell>
          <cell r="L1540">
            <v>0</v>
          </cell>
          <cell r="M1540">
            <v>0</v>
          </cell>
          <cell r="N1540">
            <v>0</v>
          </cell>
          <cell r="R1540">
            <v>0</v>
          </cell>
          <cell r="S1540">
            <v>0</v>
          </cell>
          <cell r="T1540">
            <v>0</v>
          </cell>
          <cell r="U1540">
            <v>31</v>
          </cell>
          <cell r="V1540">
            <v>0</v>
          </cell>
          <cell r="W1540">
            <v>0</v>
          </cell>
          <cell r="AA1540">
            <v>0</v>
          </cell>
          <cell r="AB1540">
            <v>0</v>
          </cell>
          <cell r="AC1540">
            <v>0</v>
          </cell>
          <cell r="AD1540">
            <v>31</v>
          </cell>
          <cell r="AE1540">
            <v>312000</v>
          </cell>
          <cell r="AF1540">
            <v>0</v>
          </cell>
          <cell r="AI1540">
            <v>2251</v>
          </cell>
          <cell r="AK1540">
            <v>0</v>
          </cell>
          <cell r="AM1540">
            <v>175</v>
          </cell>
          <cell r="AN1540">
            <v>1</v>
          </cell>
          <cell r="AO1540">
            <v>393216</v>
          </cell>
          <cell r="AQ1540">
            <v>0</v>
          </cell>
          <cell r="AR1540">
            <v>0</v>
          </cell>
          <cell r="AS1540" t="str">
            <v>Ы</v>
          </cell>
          <cell r="AT1540" t="str">
            <v>Ы</v>
          </cell>
          <cell r="AU1540">
            <v>0</v>
          </cell>
          <cell r="AV1540">
            <v>0</v>
          </cell>
          <cell r="AW1540">
            <v>23</v>
          </cell>
          <cell r="AX1540">
            <v>1</v>
          </cell>
          <cell r="AY1540">
            <v>0</v>
          </cell>
          <cell r="AZ1540">
            <v>0</v>
          </cell>
          <cell r="BA1540">
            <v>0</v>
          </cell>
          <cell r="BB1540">
            <v>0</v>
          </cell>
          <cell r="BC1540">
            <v>38828</v>
          </cell>
        </row>
        <row r="1541">
          <cell r="A1541">
            <v>2006</v>
          </cell>
          <cell r="B1541">
            <v>2</v>
          </cell>
          <cell r="C1541">
            <v>47</v>
          </cell>
          <cell r="D1541">
            <v>21</v>
          </cell>
          <cell r="E1541">
            <v>792020</v>
          </cell>
          <cell r="F1541">
            <v>0</v>
          </cell>
          <cell r="G1541" t="str">
            <v>Затраты по ШПЗ (основные)</v>
          </cell>
          <cell r="H1541">
            <v>2011</v>
          </cell>
          <cell r="I1541">
            <v>7920</v>
          </cell>
          <cell r="J1541">
            <v>66298.92</v>
          </cell>
          <cell r="K1541">
            <v>1</v>
          </cell>
          <cell r="L1541">
            <v>0</v>
          </cell>
          <cell r="M1541">
            <v>0</v>
          </cell>
          <cell r="N1541">
            <v>0</v>
          </cell>
          <cell r="R1541">
            <v>0</v>
          </cell>
          <cell r="S1541">
            <v>0</v>
          </cell>
          <cell r="T1541">
            <v>0</v>
          </cell>
          <cell r="U1541">
            <v>31</v>
          </cell>
          <cell r="V1541">
            <v>0</v>
          </cell>
          <cell r="W1541">
            <v>0</v>
          </cell>
          <cell r="AA1541">
            <v>0</v>
          </cell>
          <cell r="AB1541">
            <v>0</v>
          </cell>
          <cell r="AC1541">
            <v>0</v>
          </cell>
          <cell r="AD1541">
            <v>31</v>
          </cell>
          <cell r="AE1541">
            <v>312100</v>
          </cell>
          <cell r="AF1541">
            <v>0</v>
          </cell>
          <cell r="AI1541">
            <v>2251</v>
          </cell>
          <cell r="AK1541">
            <v>0</v>
          </cell>
          <cell r="AM1541">
            <v>176</v>
          </cell>
          <cell r="AN1541">
            <v>1</v>
          </cell>
          <cell r="AO1541">
            <v>393216</v>
          </cell>
          <cell r="AQ1541">
            <v>0</v>
          </cell>
          <cell r="AR1541">
            <v>0</v>
          </cell>
          <cell r="AS1541" t="str">
            <v>Ы</v>
          </cell>
          <cell r="AT1541" t="str">
            <v>Ы</v>
          </cell>
          <cell r="AU1541">
            <v>0</v>
          </cell>
          <cell r="AV1541">
            <v>0</v>
          </cell>
          <cell r="AW1541">
            <v>23</v>
          </cell>
          <cell r="AX1541">
            <v>1</v>
          </cell>
          <cell r="AY1541">
            <v>0</v>
          </cell>
          <cell r="AZ1541">
            <v>0</v>
          </cell>
          <cell r="BA1541">
            <v>0</v>
          </cell>
          <cell r="BB1541">
            <v>0</v>
          </cell>
          <cell r="BC1541">
            <v>38828</v>
          </cell>
        </row>
        <row r="1542">
          <cell r="A1542">
            <v>2006</v>
          </cell>
          <cell r="B1542">
            <v>2</v>
          </cell>
          <cell r="C1542">
            <v>48</v>
          </cell>
          <cell r="D1542">
            <v>21</v>
          </cell>
          <cell r="E1542">
            <v>792020</v>
          </cell>
          <cell r="F1542">
            <v>0</v>
          </cell>
          <cell r="G1542" t="str">
            <v>Затраты по ШПЗ (основные)</v>
          </cell>
          <cell r="H1542">
            <v>2011</v>
          </cell>
          <cell r="I1542">
            <v>7920</v>
          </cell>
          <cell r="J1542">
            <v>790767.84</v>
          </cell>
          <cell r="K1542">
            <v>1</v>
          </cell>
          <cell r="L1542">
            <v>0</v>
          </cell>
          <cell r="M1542">
            <v>0</v>
          </cell>
          <cell r="N1542">
            <v>0</v>
          </cell>
          <cell r="R1542">
            <v>0</v>
          </cell>
          <cell r="S1542">
            <v>0</v>
          </cell>
          <cell r="T1542">
            <v>0</v>
          </cell>
          <cell r="U1542">
            <v>31</v>
          </cell>
          <cell r="V1542">
            <v>0</v>
          </cell>
          <cell r="W1542">
            <v>0</v>
          </cell>
          <cell r="AA1542">
            <v>0</v>
          </cell>
          <cell r="AB1542">
            <v>0</v>
          </cell>
          <cell r="AC1542">
            <v>0</v>
          </cell>
          <cell r="AD1542">
            <v>31</v>
          </cell>
          <cell r="AE1542">
            <v>312200</v>
          </cell>
          <cell r="AF1542">
            <v>0</v>
          </cell>
          <cell r="AI1542">
            <v>2251</v>
          </cell>
          <cell r="AK1542">
            <v>0</v>
          </cell>
          <cell r="AM1542">
            <v>177</v>
          </cell>
          <cell r="AN1542">
            <v>1</v>
          </cell>
          <cell r="AO1542">
            <v>393216</v>
          </cell>
          <cell r="AQ1542">
            <v>0</v>
          </cell>
          <cell r="AR1542">
            <v>0</v>
          </cell>
          <cell r="AS1542" t="str">
            <v>Ы</v>
          </cell>
          <cell r="AT1542" t="str">
            <v>Ы</v>
          </cell>
          <cell r="AU1542">
            <v>0</v>
          </cell>
          <cell r="AV1542">
            <v>0</v>
          </cell>
          <cell r="AW1542">
            <v>23</v>
          </cell>
          <cell r="AX1542">
            <v>1</v>
          </cell>
          <cell r="AY1542">
            <v>0</v>
          </cell>
          <cell r="AZ1542">
            <v>0</v>
          </cell>
          <cell r="BA1542">
            <v>0</v>
          </cell>
          <cell r="BB1542">
            <v>0</v>
          </cell>
          <cell r="BC1542">
            <v>38828</v>
          </cell>
        </row>
        <row r="1543">
          <cell r="A1543">
            <v>2006</v>
          </cell>
          <cell r="B1543">
            <v>2</v>
          </cell>
          <cell r="C1543">
            <v>49</v>
          </cell>
          <cell r="D1543">
            <v>21</v>
          </cell>
          <cell r="E1543">
            <v>792020</v>
          </cell>
          <cell r="F1543">
            <v>0</v>
          </cell>
          <cell r="G1543" t="str">
            <v>Затраты по ШПЗ (основные)</v>
          </cell>
          <cell r="H1543">
            <v>2011</v>
          </cell>
          <cell r="I1543">
            <v>7920</v>
          </cell>
          <cell r="J1543">
            <v>67340.95</v>
          </cell>
          <cell r="K1543">
            <v>1</v>
          </cell>
          <cell r="L1543">
            <v>0</v>
          </cell>
          <cell r="M1543">
            <v>0</v>
          </cell>
          <cell r="N1543">
            <v>0</v>
          </cell>
          <cell r="R1543">
            <v>0</v>
          </cell>
          <cell r="S1543">
            <v>0</v>
          </cell>
          <cell r="T1543">
            <v>0</v>
          </cell>
          <cell r="U1543">
            <v>31</v>
          </cell>
          <cell r="V1543">
            <v>0</v>
          </cell>
          <cell r="W1543">
            <v>0</v>
          </cell>
          <cell r="AA1543">
            <v>0</v>
          </cell>
          <cell r="AB1543">
            <v>0</v>
          </cell>
          <cell r="AC1543">
            <v>0</v>
          </cell>
          <cell r="AD1543">
            <v>31</v>
          </cell>
          <cell r="AE1543">
            <v>313000</v>
          </cell>
          <cell r="AF1543">
            <v>0</v>
          </cell>
          <cell r="AI1543">
            <v>2251</v>
          </cell>
          <cell r="AK1543">
            <v>0</v>
          </cell>
          <cell r="AM1543">
            <v>178</v>
          </cell>
          <cell r="AN1543">
            <v>1</v>
          </cell>
          <cell r="AO1543">
            <v>393216</v>
          </cell>
          <cell r="AQ1543">
            <v>0</v>
          </cell>
          <cell r="AR1543">
            <v>0</v>
          </cell>
          <cell r="AS1543" t="str">
            <v>Ы</v>
          </cell>
          <cell r="AT1543" t="str">
            <v>Ы</v>
          </cell>
          <cell r="AU1543">
            <v>0</v>
          </cell>
          <cell r="AV1543">
            <v>0</v>
          </cell>
          <cell r="AW1543">
            <v>23</v>
          </cell>
          <cell r="AX1543">
            <v>1</v>
          </cell>
          <cell r="AY1543">
            <v>0</v>
          </cell>
          <cell r="AZ1543">
            <v>0</v>
          </cell>
          <cell r="BA1543">
            <v>0</v>
          </cell>
          <cell r="BB1543">
            <v>0</v>
          </cell>
          <cell r="BC1543">
            <v>38828</v>
          </cell>
        </row>
        <row r="1544">
          <cell r="A1544">
            <v>2006</v>
          </cell>
          <cell r="B1544">
            <v>2</v>
          </cell>
          <cell r="C1544">
            <v>50</v>
          </cell>
          <cell r="D1544">
            <v>21</v>
          </cell>
          <cell r="E1544">
            <v>792020</v>
          </cell>
          <cell r="F1544">
            <v>0</v>
          </cell>
          <cell r="G1544" t="str">
            <v>Затраты по ШПЗ (основные)</v>
          </cell>
          <cell r="H1544">
            <v>2011</v>
          </cell>
          <cell r="I1544">
            <v>7920</v>
          </cell>
          <cell r="J1544">
            <v>122438.1</v>
          </cell>
          <cell r="K1544">
            <v>1</v>
          </cell>
          <cell r="L1544">
            <v>0</v>
          </cell>
          <cell r="M1544">
            <v>0</v>
          </cell>
          <cell r="N1544">
            <v>0</v>
          </cell>
          <cell r="R1544">
            <v>0</v>
          </cell>
          <cell r="S1544">
            <v>0</v>
          </cell>
          <cell r="T1544">
            <v>0</v>
          </cell>
          <cell r="U1544">
            <v>31</v>
          </cell>
          <cell r="V1544">
            <v>0</v>
          </cell>
          <cell r="W1544">
            <v>0</v>
          </cell>
          <cell r="AA1544">
            <v>0</v>
          </cell>
          <cell r="AB1544">
            <v>0</v>
          </cell>
          <cell r="AC1544">
            <v>0</v>
          </cell>
          <cell r="AD1544">
            <v>31</v>
          </cell>
          <cell r="AE1544">
            <v>314000</v>
          </cell>
          <cell r="AF1544">
            <v>0</v>
          </cell>
          <cell r="AI1544">
            <v>2251</v>
          </cell>
          <cell r="AK1544">
            <v>0</v>
          </cell>
          <cell r="AM1544">
            <v>179</v>
          </cell>
          <cell r="AN1544">
            <v>1</v>
          </cell>
          <cell r="AO1544">
            <v>393216</v>
          </cell>
          <cell r="AQ1544">
            <v>0</v>
          </cell>
          <cell r="AR1544">
            <v>0</v>
          </cell>
          <cell r="AS1544" t="str">
            <v>Ы</v>
          </cell>
          <cell r="AT1544" t="str">
            <v>Ы</v>
          </cell>
          <cell r="AU1544">
            <v>0</v>
          </cell>
          <cell r="AV1544">
            <v>0</v>
          </cell>
          <cell r="AW1544">
            <v>23</v>
          </cell>
          <cell r="AX1544">
            <v>1</v>
          </cell>
          <cell r="AY1544">
            <v>0</v>
          </cell>
          <cell r="AZ1544">
            <v>0</v>
          </cell>
          <cell r="BA1544">
            <v>0</v>
          </cell>
          <cell r="BB1544">
            <v>0</v>
          </cell>
          <cell r="BC1544">
            <v>38828</v>
          </cell>
        </row>
        <row r="1545">
          <cell r="A1545">
            <v>2006</v>
          </cell>
          <cell r="B1545">
            <v>2</v>
          </cell>
          <cell r="C1545">
            <v>51</v>
          </cell>
          <cell r="D1545">
            <v>21</v>
          </cell>
          <cell r="E1545">
            <v>792020</v>
          </cell>
          <cell r="F1545">
            <v>0</v>
          </cell>
          <cell r="G1545" t="str">
            <v>Затраты по ШПЗ (основные)</v>
          </cell>
          <cell r="H1545">
            <v>2011</v>
          </cell>
          <cell r="I1545">
            <v>7920</v>
          </cell>
          <cell r="J1545">
            <v>24487.62</v>
          </cell>
          <cell r="K1545">
            <v>1</v>
          </cell>
          <cell r="L1545">
            <v>0</v>
          </cell>
          <cell r="M1545">
            <v>0</v>
          </cell>
          <cell r="N1545">
            <v>0</v>
          </cell>
          <cell r="R1545">
            <v>0</v>
          </cell>
          <cell r="S1545">
            <v>0</v>
          </cell>
          <cell r="T1545">
            <v>0</v>
          </cell>
          <cell r="U1545">
            <v>31</v>
          </cell>
          <cell r="V1545">
            <v>0</v>
          </cell>
          <cell r="W1545">
            <v>0</v>
          </cell>
          <cell r="AA1545">
            <v>0</v>
          </cell>
          <cell r="AB1545">
            <v>0</v>
          </cell>
          <cell r="AC1545">
            <v>0</v>
          </cell>
          <cell r="AD1545">
            <v>31</v>
          </cell>
          <cell r="AE1545">
            <v>315000</v>
          </cell>
          <cell r="AF1545">
            <v>0</v>
          </cell>
          <cell r="AI1545">
            <v>2251</v>
          </cell>
          <cell r="AK1545">
            <v>0</v>
          </cell>
          <cell r="AM1545">
            <v>180</v>
          </cell>
          <cell r="AN1545">
            <v>1</v>
          </cell>
          <cell r="AO1545">
            <v>393216</v>
          </cell>
          <cell r="AQ1545">
            <v>0</v>
          </cell>
          <cell r="AR1545">
            <v>0</v>
          </cell>
          <cell r="AS1545" t="str">
            <v>Ы</v>
          </cell>
          <cell r="AT1545" t="str">
            <v>Ы</v>
          </cell>
          <cell r="AU1545">
            <v>0</v>
          </cell>
          <cell r="AV1545">
            <v>0</v>
          </cell>
          <cell r="AW1545">
            <v>23</v>
          </cell>
          <cell r="AX1545">
            <v>1</v>
          </cell>
          <cell r="AY1545">
            <v>0</v>
          </cell>
          <cell r="AZ1545">
            <v>0</v>
          </cell>
          <cell r="BA1545">
            <v>0</v>
          </cell>
          <cell r="BB1545">
            <v>0</v>
          </cell>
          <cell r="BC1545">
            <v>38828</v>
          </cell>
        </row>
        <row r="1546">
          <cell r="A1546">
            <v>2006</v>
          </cell>
          <cell r="B1546">
            <v>2</v>
          </cell>
          <cell r="C1546">
            <v>52</v>
          </cell>
          <cell r="D1546">
            <v>21</v>
          </cell>
          <cell r="E1546">
            <v>792020</v>
          </cell>
          <cell r="F1546">
            <v>0</v>
          </cell>
          <cell r="G1546" t="str">
            <v>Затраты по ШПЗ (основные)</v>
          </cell>
          <cell r="H1546">
            <v>2011</v>
          </cell>
          <cell r="I1546">
            <v>7920</v>
          </cell>
          <cell r="J1546">
            <v>1561071</v>
          </cell>
          <cell r="K1546">
            <v>1</v>
          </cell>
          <cell r="L1546">
            <v>0</v>
          </cell>
          <cell r="M1546">
            <v>0</v>
          </cell>
          <cell r="N1546">
            <v>0</v>
          </cell>
          <cell r="R1546">
            <v>0</v>
          </cell>
          <cell r="S1546">
            <v>0</v>
          </cell>
          <cell r="T1546">
            <v>0</v>
          </cell>
          <cell r="U1546">
            <v>31</v>
          </cell>
          <cell r="V1546">
            <v>0</v>
          </cell>
          <cell r="W1546">
            <v>0</v>
          </cell>
          <cell r="AA1546">
            <v>0</v>
          </cell>
          <cell r="AB1546">
            <v>0</v>
          </cell>
          <cell r="AC1546">
            <v>0</v>
          </cell>
          <cell r="AD1546">
            <v>31</v>
          </cell>
          <cell r="AE1546">
            <v>410000</v>
          </cell>
          <cell r="AF1546">
            <v>0</v>
          </cell>
          <cell r="AI1546">
            <v>2251</v>
          </cell>
          <cell r="AK1546">
            <v>0</v>
          </cell>
          <cell r="AM1546">
            <v>181</v>
          </cell>
          <cell r="AN1546">
            <v>1</v>
          </cell>
          <cell r="AO1546">
            <v>393216</v>
          </cell>
          <cell r="AQ1546">
            <v>0</v>
          </cell>
          <cell r="AR1546">
            <v>0</v>
          </cell>
          <cell r="AS1546" t="str">
            <v>Ы</v>
          </cell>
          <cell r="AT1546" t="str">
            <v>Ы</v>
          </cell>
          <cell r="AU1546">
            <v>0</v>
          </cell>
          <cell r="AV1546">
            <v>0</v>
          </cell>
          <cell r="AW1546">
            <v>23</v>
          </cell>
          <cell r="AX1546">
            <v>1</v>
          </cell>
          <cell r="AY1546">
            <v>0</v>
          </cell>
          <cell r="AZ1546">
            <v>0</v>
          </cell>
          <cell r="BA1546">
            <v>0</v>
          </cell>
          <cell r="BB1546">
            <v>0</v>
          </cell>
          <cell r="BC1546">
            <v>38828</v>
          </cell>
        </row>
        <row r="1547">
          <cell r="A1547">
            <v>2006</v>
          </cell>
          <cell r="B1547">
            <v>2</v>
          </cell>
          <cell r="C1547">
            <v>53</v>
          </cell>
          <cell r="D1547">
            <v>21</v>
          </cell>
          <cell r="E1547">
            <v>792020</v>
          </cell>
          <cell r="F1547">
            <v>0</v>
          </cell>
          <cell r="G1547" t="str">
            <v>Затраты по ШПЗ (основные)</v>
          </cell>
          <cell r="H1547">
            <v>2011</v>
          </cell>
          <cell r="I1547">
            <v>7920</v>
          </cell>
          <cell r="J1547">
            <v>11600</v>
          </cell>
          <cell r="K1547">
            <v>1</v>
          </cell>
          <cell r="L1547">
            <v>0</v>
          </cell>
          <cell r="M1547">
            <v>0</v>
          </cell>
          <cell r="N1547">
            <v>0</v>
          </cell>
          <cell r="R1547">
            <v>0</v>
          </cell>
          <cell r="S1547">
            <v>0</v>
          </cell>
          <cell r="T1547">
            <v>0</v>
          </cell>
          <cell r="U1547">
            <v>31</v>
          </cell>
          <cell r="V1547">
            <v>0</v>
          </cell>
          <cell r="W1547">
            <v>0</v>
          </cell>
          <cell r="AA1547">
            <v>0</v>
          </cell>
          <cell r="AB1547">
            <v>0</v>
          </cell>
          <cell r="AC1547">
            <v>0</v>
          </cell>
          <cell r="AD1547">
            <v>31</v>
          </cell>
          <cell r="AE1547">
            <v>410200</v>
          </cell>
          <cell r="AF1547">
            <v>0</v>
          </cell>
          <cell r="AI1547">
            <v>2251</v>
          </cell>
          <cell r="AK1547">
            <v>0</v>
          </cell>
          <cell r="AM1547">
            <v>182</v>
          </cell>
          <cell r="AN1547">
            <v>1</v>
          </cell>
          <cell r="AO1547">
            <v>393216</v>
          </cell>
          <cell r="AQ1547">
            <v>0</v>
          </cell>
          <cell r="AR1547">
            <v>0</v>
          </cell>
          <cell r="AS1547" t="str">
            <v>Ы</v>
          </cell>
          <cell r="AT1547" t="str">
            <v>Ы</v>
          </cell>
          <cell r="AU1547">
            <v>0</v>
          </cell>
          <cell r="AV1547">
            <v>0</v>
          </cell>
          <cell r="AW1547">
            <v>23</v>
          </cell>
          <cell r="AX1547">
            <v>1</v>
          </cell>
          <cell r="AY1547">
            <v>0</v>
          </cell>
          <cell r="AZ1547">
            <v>0</v>
          </cell>
          <cell r="BA1547">
            <v>0</v>
          </cell>
          <cell r="BB1547">
            <v>0</v>
          </cell>
          <cell r="BC1547">
            <v>38828</v>
          </cell>
        </row>
        <row r="1548">
          <cell r="A1548">
            <v>2006</v>
          </cell>
          <cell r="B1548">
            <v>2</v>
          </cell>
          <cell r="C1548">
            <v>54</v>
          </cell>
          <cell r="D1548">
            <v>21</v>
          </cell>
          <cell r="E1548">
            <v>792020</v>
          </cell>
          <cell r="F1548">
            <v>0</v>
          </cell>
          <cell r="G1548" t="str">
            <v>Затраты по ШПЗ (основные)</v>
          </cell>
          <cell r="H1548">
            <v>2011</v>
          </cell>
          <cell r="I1548">
            <v>7920</v>
          </cell>
          <cell r="J1548">
            <v>200211</v>
          </cell>
          <cell r="K1548">
            <v>1</v>
          </cell>
          <cell r="L1548">
            <v>0</v>
          </cell>
          <cell r="M1548">
            <v>0</v>
          </cell>
          <cell r="N1548">
            <v>0</v>
          </cell>
          <cell r="R1548">
            <v>0</v>
          </cell>
          <cell r="S1548">
            <v>0</v>
          </cell>
          <cell r="T1548">
            <v>0</v>
          </cell>
          <cell r="U1548">
            <v>31</v>
          </cell>
          <cell r="V1548">
            <v>0</v>
          </cell>
          <cell r="W1548">
            <v>0</v>
          </cell>
          <cell r="AA1548">
            <v>0</v>
          </cell>
          <cell r="AB1548">
            <v>0</v>
          </cell>
          <cell r="AC1548">
            <v>0</v>
          </cell>
          <cell r="AD1548">
            <v>31</v>
          </cell>
          <cell r="AE1548">
            <v>420000</v>
          </cell>
          <cell r="AF1548">
            <v>0</v>
          </cell>
          <cell r="AI1548">
            <v>2251</v>
          </cell>
          <cell r="AK1548">
            <v>0</v>
          </cell>
          <cell r="AM1548">
            <v>183</v>
          </cell>
          <cell r="AN1548">
            <v>1</v>
          </cell>
          <cell r="AO1548">
            <v>393216</v>
          </cell>
          <cell r="AQ1548">
            <v>0</v>
          </cell>
          <cell r="AR1548">
            <v>0</v>
          </cell>
          <cell r="AS1548" t="str">
            <v>Ы</v>
          </cell>
          <cell r="AT1548" t="str">
            <v>Ы</v>
          </cell>
          <cell r="AU1548">
            <v>0</v>
          </cell>
          <cell r="AV1548">
            <v>0</v>
          </cell>
          <cell r="AW1548">
            <v>23</v>
          </cell>
          <cell r="AX1548">
            <v>1</v>
          </cell>
          <cell r="AY1548">
            <v>0</v>
          </cell>
          <cell r="AZ1548">
            <v>0</v>
          </cell>
          <cell r="BA1548">
            <v>0</v>
          </cell>
          <cell r="BB1548">
            <v>0</v>
          </cell>
          <cell r="BC1548">
            <v>38828</v>
          </cell>
        </row>
        <row r="1549">
          <cell r="A1549">
            <v>2006</v>
          </cell>
          <cell r="B1549">
            <v>2</v>
          </cell>
          <cell r="C1549">
            <v>55</v>
          </cell>
          <cell r="D1549">
            <v>21</v>
          </cell>
          <cell r="E1549">
            <v>792020</v>
          </cell>
          <cell r="F1549">
            <v>0</v>
          </cell>
          <cell r="G1549" t="str">
            <v>Затраты по ШПЗ (основные)</v>
          </cell>
          <cell r="H1549">
            <v>2011</v>
          </cell>
          <cell r="I1549">
            <v>7920</v>
          </cell>
          <cell r="J1549">
            <v>2287972</v>
          </cell>
          <cell r="K1549">
            <v>1</v>
          </cell>
          <cell r="L1549">
            <v>0</v>
          </cell>
          <cell r="M1549">
            <v>0</v>
          </cell>
          <cell r="N1549">
            <v>0</v>
          </cell>
          <cell r="R1549">
            <v>0</v>
          </cell>
          <cell r="S1549">
            <v>0</v>
          </cell>
          <cell r="T1549">
            <v>0</v>
          </cell>
          <cell r="U1549">
            <v>31</v>
          </cell>
          <cell r="V1549">
            <v>0</v>
          </cell>
          <cell r="W1549">
            <v>0</v>
          </cell>
          <cell r="AA1549">
            <v>0</v>
          </cell>
          <cell r="AB1549">
            <v>0</v>
          </cell>
          <cell r="AC1549">
            <v>0</v>
          </cell>
          <cell r="AD1549">
            <v>31</v>
          </cell>
          <cell r="AE1549">
            <v>430000</v>
          </cell>
          <cell r="AF1549">
            <v>0</v>
          </cell>
          <cell r="AI1549">
            <v>2251</v>
          </cell>
          <cell r="AK1549">
            <v>0</v>
          </cell>
          <cell r="AM1549">
            <v>184</v>
          </cell>
          <cell r="AN1549">
            <v>1</v>
          </cell>
          <cell r="AO1549">
            <v>393216</v>
          </cell>
          <cell r="AQ1549">
            <v>0</v>
          </cell>
          <cell r="AR1549">
            <v>0</v>
          </cell>
          <cell r="AS1549" t="str">
            <v>Ы</v>
          </cell>
          <cell r="AT1549" t="str">
            <v>Ы</v>
          </cell>
          <cell r="AU1549">
            <v>0</v>
          </cell>
          <cell r="AV1549">
            <v>0</v>
          </cell>
          <cell r="AW1549">
            <v>23</v>
          </cell>
          <cell r="AX1549">
            <v>1</v>
          </cell>
          <cell r="AY1549">
            <v>0</v>
          </cell>
          <cell r="AZ1549">
            <v>0</v>
          </cell>
          <cell r="BA1549">
            <v>0</v>
          </cell>
          <cell r="BB1549">
            <v>0</v>
          </cell>
          <cell r="BC1549">
            <v>38828</v>
          </cell>
        </row>
        <row r="1550">
          <cell r="A1550">
            <v>2006</v>
          </cell>
          <cell r="B1550">
            <v>2</v>
          </cell>
          <cell r="C1550">
            <v>56</v>
          </cell>
          <cell r="D1550">
            <v>21</v>
          </cell>
          <cell r="E1550">
            <v>792020</v>
          </cell>
          <cell r="F1550">
            <v>0</v>
          </cell>
          <cell r="G1550" t="str">
            <v>Затраты по ШПЗ (основные)</v>
          </cell>
          <cell r="H1550">
            <v>2011</v>
          </cell>
          <cell r="I1550">
            <v>7920</v>
          </cell>
          <cell r="J1550">
            <v>1470856</v>
          </cell>
          <cell r="K1550">
            <v>1</v>
          </cell>
          <cell r="L1550">
            <v>0</v>
          </cell>
          <cell r="M1550">
            <v>0</v>
          </cell>
          <cell r="N1550">
            <v>0</v>
          </cell>
          <cell r="R1550">
            <v>0</v>
          </cell>
          <cell r="S1550">
            <v>0</v>
          </cell>
          <cell r="T1550">
            <v>0</v>
          </cell>
          <cell r="U1550">
            <v>31</v>
          </cell>
          <cell r="V1550">
            <v>0</v>
          </cell>
          <cell r="W1550">
            <v>0</v>
          </cell>
          <cell r="AA1550">
            <v>0</v>
          </cell>
          <cell r="AB1550">
            <v>0</v>
          </cell>
          <cell r="AC1550">
            <v>0</v>
          </cell>
          <cell r="AD1550">
            <v>31</v>
          </cell>
          <cell r="AE1550">
            <v>430110</v>
          </cell>
          <cell r="AF1550">
            <v>0</v>
          </cell>
          <cell r="AI1550">
            <v>2251</v>
          </cell>
          <cell r="AK1550">
            <v>0</v>
          </cell>
          <cell r="AM1550">
            <v>185</v>
          </cell>
          <cell r="AN1550">
            <v>1</v>
          </cell>
          <cell r="AO1550">
            <v>393216</v>
          </cell>
          <cell r="AQ1550">
            <v>0</v>
          </cell>
          <cell r="AR1550">
            <v>0</v>
          </cell>
          <cell r="AS1550" t="str">
            <v>Ы</v>
          </cell>
          <cell r="AT1550" t="str">
            <v>Ы</v>
          </cell>
          <cell r="AU1550">
            <v>0</v>
          </cell>
          <cell r="AV1550">
            <v>0</v>
          </cell>
          <cell r="AW1550">
            <v>23</v>
          </cell>
          <cell r="AX1550">
            <v>1</v>
          </cell>
          <cell r="AY1550">
            <v>0</v>
          </cell>
          <cell r="AZ1550">
            <v>0</v>
          </cell>
          <cell r="BA1550">
            <v>0</v>
          </cell>
          <cell r="BB1550">
            <v>0</v>
          </cell>
          <cell r="BC1550">
            <v>38828</v>
          </cell>
        </row>
        <row r="1551">
          <cell r="A1551">
            <v>2006</v>
          </cell>
          <cell r="B1551">
            <v>2</v>
          </cell>
          <cell r="C1551">
            <v>57</v>
          </cell>
          <cell r="D1551">
            <v>21</v>
          </cell>
          <cell r="E1551">
            <v>792020</v>
          </cell>
          <cell r="F1551">
            <v>0</v>
          </cell>
          <cell r="G1551" t="str">
            <v>Затраты по ШПЗ (основные)</v>
          </cell>
          <cell r="H1551">
            <v>2011</v>
          </cell>
          <cell r="I1551">
            <v>7920</v>
          </cell>
          <cell r="J1551">
            <v>37224</v>
          </cell>
          <cell r="K1551">
            <v>1</v>
          </cell>
          <cell r="L1551">
            <v>0</v>
          </cell>
          <cell r="M1551">
            <v>0</v>
          </cell>
          <cell r="N1551">
            <v>0</v>
          </cell>
          <cell r="R1551">
            <v>0</v>
          </cell>
          <cell r="S1551">
            <v>0</v>
          </cell>
          <cell r="T1551">
            <v>0</v>
          </cell>
          <cell r="U1551">
            <v>31</v>
          </cell>
          <cell r="V1551">
            <v>0</v>
          </cell>
          <cell r="W1551">
            <v>0</v>
          </cell>
          <cell r="AA1551">
            <v>0</v>
          </cell>
          <cell r="AB1551">
            <v>0</v>
          </cell>
          <cell r="AC1551">
            <v>0</v>
          </cell>
          <cell r="AD1551">
            <v>31</v>
          </cell>
          <cell r="AE1551">
            <v>430120</v>
          </cell>
          <cell r="AF1551">
            <v>0</v>
          </cell>
          <cell r="AI1551">
            <v>2251</v>
          </cell>
          <cell r="AK1551">
            <v>0</v>
          </cell>
          <cell r="AM1551">
            <v>186</v>
          </cell>
          <cell r="AN1551">
            <v>1</v>
          </cell>
          <cell r="AO1551">
            <v>393216</v>
          </cell>
          <cell r="AQ1551">
            <v>0</v>
          </cell>
          <cell r="AR1551">
            <v>0</v>
          </cell>
          <cell r="AS1551" t="str">
            <v>Ы</v>
          </cell>
          <cell r="AT1551" t="str">
            <v>Ы</v>
          </cell>
          <cell r="AU1551">
            <v>0</v>
          </cell>
          <cell r="AV1551">
            <v>0</v>
          </cell>
          <cell r="AW1551">
            <v>23</v>
          </cell>
          <cell r="AX1551">
            <v>1</v>
          </cell>
          <cell r="AY1551">
            <v>0</v>
          </cell>
          <cell r="AZ1551">
            <v>0</v>
          </cell>
          <cell r="BA1551">
            <v>0</v>
          </cell>
          <cell r="BB1551">
            <v>0</v>
          </cell>
          <cell r="BC1551">
            <v>38828</v>
          </cell>
        </row>
        <row r="1552">
          <cell r="A1552">
            <v>2006</v>
          </cell>
          <cell r="B1552">
            <v>2</v>
          </cell>
          <cell r="C1552">
            <v>58</v>
          </cell>
          <cell r="D1552">
            <v>21</v>
          </cell>
          <cell r="E1552">
            <v>792020</v>
          </cell>
          <cell r="F1552">
            <v>0</v>
          </cell>
          <cell r="G1552" t="str">
            <v>Затраты по ШПЗ (основные)</v>
          </cell>
          <cell r="H1552">
            <v>2011</v>
          </cell>
          <cell r="I1552">
            <v>7920</v>
          </cell>
          <cell r="J1552">
            <v>698032</v>
          </cell>
          <cell r="K1552">
            <v>1</v>
          </cell>
          <cell r="L1552">
            <v>0</v>
          </cell>
          <cell r="M1552">
            <v>0</v>
          </cell>
          <cell r="N1552">
            <v>0</v>
          </cell>
          <cell r="R1552">
            <v>0</v>
          </cell>
          <cell r="S1552">
            <v>0</v>
          </cell>
          <cell r="T1552">
            <v>0</v>
          </cell>
          <cell r="U1552">
            <v>31</v>
          </cell>
          <cell r="V1552">
            <v>0</v>
          </cell>
          <cell r="W1552">
            <v>0</v>
          </cell>
          <cell r="AA1552">
            <v>0</v>
          </cell>
          <cell r="AB1552">
            <v>0</v>
          </cell>
          <cell r="AC1552">
            <v>0</v>
          </cell>
          <cell r="AD1552">
            <v>31</v>
          </cell>
          <cell r="AE1552">
            <v>430130</v>
          </cell>
          <cell r="AF1552">
            <v>0</v>
          </cell>
          <cell r="AI1552">
            <v>2251</v>
          </cell>
          <cell r="AK1552">
            <v>0</v>
          </cell>
          <cell r="AM1552">
            <v>187</v>
          </cell>
          <cell r="AN1552">
            <v>1</v>
          </cell>
          <cell r="AO1552">
            <v>393216</v>
          </cell>
          <cell r="AQ1552">
            <v>0</v>
          </cell>
          <cell r="AR1552">
            <v>0</v>
          </cell>
          <cell r="AS1552" t="str">
            <v>Ы</v>
          </cell>
          <cell r="AT1552" t="str">
            <v>Ы</v>
          </cell>
          <cell r="AU1552">
            <v>0</v>
          </cell>
          <cell r="AV1552">
            <v>0</v>
          </cell>
          <cell r="AW1552">
            <v>23</v>
          </cell>
          <cell r="AX1552">
            <v>1</v>
          </cell>
          <cell r="AY1552">
            <v>0</v>
          </cell>
          <cell r="AZ1552">
            <v>0</v>
          </cell>
          <cell r="BA1552">
            <v>0</v>
          </cell>
          <cell r="BB1552">
            <v>0</v>
          </cell>
          <cell r="BC1552">
            <v>38828</v>
          </cell>
        </row>
        <row r="1553">
          <cell r="A1553">
            <v>2006</v>
          </cell>
          <cell r="B1553">
            <v>2</v>
          </cell>
          <cell r="C1553">
            <v>59</v>
          </cell>
          <cell r="D1553">
            <v>21</v>
          </cell>
          <cell r="E1553">
            <v>792020</v>
          </cell>
          <cell r="F1553">
            <v>0</v>
          </cell>
          <cell r="G1553" t="str">
            <v>Затраты по ШПЗ (основные)</v>
          </cell>
          <cell r="H1553">
            <v>2011</v>
          </cell>
          <cell r="I1553">
            <v>7920</v>
          </cell>
          <cell r="J1553">
            <v>66334</v>
          </cell>
          <cell r="K1553">
            <v>1</v>
          </cell>
          <cell r="L1553">
            <v>0</v>
          </cell>
          <cell r="M1553">
            <v>0</v>
          </cell>
          <cell r="N1553">
            <v>0</v>
          </cell>
          <cell r="R1553">
            <v>0</v>
          </cell>
          <cell r="S1553">
            <v>0</v>
          </cell>
          <cell r="T1553">
            <v>0</v>
          </cell>
          <cell r="U1553">
            <v>31</v>
          </cell>
          <cell r="V1553">
            <v>0</v>
          </cell>
          <cell r="W1553">
            <v>0</v>
          </cell>
          <cell r="AA1553">
            <v>0</v>
          </cell>
          <cell r="AB1553">
            <v>0</v>
          </cell>
          <cell r="AC1553">
            <v>0</v>
          </cell>
          <cell r="AD1553">
            <v>31</v>
          </cell>
          <cell r="AE1553">
            <v>430140</v>
          </cell>
          <cell r="AF1553">
            <v>0</v>
          </cell>
          <cell r="AI1553">
            <v>2251</v>
          </cell>
          <cell r="AK1553">
            <v>0</v>
          </cell>
          <cell r="AM1553">
            <v>188</v>
          </cell>
          <cell r="AN1553">
            <v>1</v>
          </cell>
          <cell r="AO1553">
            <v>393216</v>
          </cell>
          <cell r="AQ1553">
            <v>0</v>
          </cell>
          <cell r="AR1553">
            <v>0</v>
          </cell>
          <cell r="AS1553" t="str">
            <v>Ы</v>
          </cell>
          <cell r="AT1553" t="str">
            <v>Ы</v>
          </cell>
          <cell r="AU1553">
            <v>0</v>
          </cell>
          <cell r="AV1553">
            <v>0</v>
          </cell>
          <cell r="AW1553">
            <v>23</v>
          </cell>
          <cell r="AX1553">
            <v>1</v>
          </cell>
          <cell r="AY1553">
            <v>0</v>
          </cell>
          <cell r="AZ1553">
            <v>0</v>
          </cell>
          <cell r="BA1553">
            <v>0</v>
          </cell>
          <cell r="BB1553">
            <v>0</v>
          </cell>
          <cell r="BC1553">
            <v>38828</v>
          </cell>
        </row>
        <row r="1554">
          <cell r="A1554">
            <v>2006</v>
          </cell>
          <cell r="B1554">
            <v>2</v>
          </cell>
          <cell r="C1554">
            <v>60</v>
          </cell>
          <cell r="D1554">
            <v>21</v>
          </cell>
          <cell r="E1554">
            <v>792020</v>
          </cell>
          <cell r="F1554">
            <v>0</v>
          </cell>
          <cell r="G1554" t="str">
            <v>Затраты по ШПЗ (основные)</v>
          </cell>
          <cell r="H1554">
            <v>2011</v>
          </cell>
          <cell r="I1554">
            <v>7920</v>
          </cell>
          <cell r="J1554">
            <v>162308</v>
          </cell>
          <cell r="K1554">
            <v>1</v>
          </cell>
          <cell r="L1554">
            <v>0</v>
          </cell>
          <cell r="M1554">
            <v>0</v>
          </cell>
          <cell r="N1554">
            <v>0</v>
          </cell>
          <cell r="R1554">
            <v>0</v>
          </cell>
          <cell r="S1554">
            <v>0</v>
          </cell>
          <cell r="T1554">
            <v>0</v>
          </cell>
          <cell r="U1554">
            <v>31</v>
          </cell>
          <cell r="V1554">
            <v>0</v>
          </cell>
          <cell r="W1554">
            <v>0</v>
          </cell>
          <cell r="AA1554">
            <v>0</v>
          </cell>
          <cell r="AB1554">
            <v>0</v>
          </cell>
          <cell r="AC1554">
            <v>0</v>
          </cell>
          <cell r="AD1554">
            <v>31</v>
          </cell>
          <cell r="AE1554">
            <v>430220</v>
          </cell>
          <cell r="AF1554">
            <v>0</v>
          </cell>
          <cell r="AI1554">
            <v>2251</v>
          </cell>
          <cell r="AK1554">
            <v>0</v>
          </cell>
          <cell r="AM1554">
            <v>189</v>
          </cell>
          <cell r="AN1554">
            <v>1</v>
          </cell>
          <cell r="AO1554">
            <v>393216</v>
          </cell>
          <cell r="AQ1554">
            <v>0</v>
          </cell>
          <cell r="AR1554">
            <v>0</v>
          </cell>
          <cell r="AS1554" t="str">
            <v>Ы</v>
          </cell>
          <cell r="AT1554" t="str">
            <v>Ы</v>
          </cell>
          <cell r="AU1554">
            <v>0</v>
          </cell>
          <cell r="AV1554">
            <v>0</v>
          </cell>
          <cell r="AW1554">
            <v>23</v>
          </cell>
          <cell r="AX1554">
            <v>1</v>
          </cell>
          <cell r="AY1554">
            <v>0</v>
          </cell>
          <cell r="AZ1554">
            <v>0</v>
          </cell>
          <cell r="BA1554">
            <v>0</v>
          </cell>
          <cell r="BB1554">
            <v>0</v>
          </cell>
          <cell r="BC1554">
            <v>38828</v>
          </cell>
        </row>
        <row r="1555">
          <cell r="A1555">
            <v>2006</v>
          </cell>
          <cell r="B1555">
            <v>2</v>
          </cell>
          <cell r="C1555">
            <v>61</v>
          </cell>
          <cell r="D1555">
            <v>21</v>
          </cell>
          <cell r="E1555">
            <v>792020</v>
          </cell>
          <cell r="F1555">
            <v>0</v>
          </cell>
          <cell r="G1555" t="str">
            <v>Затраты по ШПЗ (основные)</v>
          </cell>
          <cell r="H1555">
            <v>2011</v>
          </cell>
          <cell r="I1555">
            <v>7920</v>
          </cell>
          <cell r="J1555">
            <v>151371</v>
          </cell>
          <cell r="K1555">
            <v>1</v>
          </cell>
          <cell r="L1555">
            <v>0</v>
          </cell>
          <cell r="M1555">
            <v>0</v>
          </cell>
          <cell r="N1555">
            <v>0</v>
          </cell>
          <cell r="R1555">
            <v>0</v>
          </cell>
          <cell r="S1555">
            <v>0</v>
          </cell>
          <cell r="T1555">
            <v>0</v>
          </cell>
          <cell r="U1555">
            <v>31</v>
          </cell>
          <cell r="V1555">
            <v>0</v>
          </cell>
          <cell r="W1555">
            <v>0</v>
          </cell>
          <cell r="AA1555">
            <v>0</v>
          </cell>
          <cell r="AB1555">
            <v>0</v>
          </cell>
          <cell r="AC1555">
            <v>0</v>
          </cell>
          <cell r="AD1555">
            <v>31</v>
          </cell>
          <cell r="AE1555">
            <v>430230</v>
          </cell>
          <cell r="AF1555">
            <v>0</v>
          </cell>
          <cell r="AI1555">
            <v>2251</v>
          </cell>
          <cell r="AK1555">
            <v>0</v>
          </cell>
          <cell r="AM1555">
            <v>190</v>
          </cell>
          <cell r="AN1555">
            <v>1</v>
          </cell>
          <cell r="AO1555">
            <v>393216</v>
          </cell>
          <cell r="AQ1555">
            <v>0</v>
          </cell>
          <cell r="AR1555">
            <v>0</v>
          </cell>
          <cell r="AS1555" t="str">
            <v>Ы</v>
          </cell>
          <cell r="AT1555" t="str">
            <v>Ы</v>
          </cell>
          <cell r="AU1555">
            <v>0</v>
          </cell>
          <cell r="AV1555">
            <v>0</v>
          </cell>
          <cell r="AW1555">
            <v>23</v>
          </cell>
          <cell r="AX1555">
            <v>1</v>
          </cell>
          <cell r="AY1555">
            <v>0</v>
          </cell>
          <cell r="AZ1555">
            <v>0</v>
          </cell>
          <cell r="BA1555">
            <v>0</v>
          </cell>
          <cell r="BB1555">
            <v>0</v>
          </cell>
          <cell r="BC1555">
            <v>38828</v>
          </cell>
        </row>
        <row r="1556">
          <cell r="A1556">
            <v>2006</v>
          </cell>
          <cell r="B1556">
            <v>2</v>
          </cell>
          <cell r="C1556">
            <v>62</v>
          </cell>
          <cell r="D1556">
            <v>21</v>
          </cell>
          <cell r="E1556">
            <v>792020</v>
          </cell>
          <cell r="F1556">
            <v>0</v>
          </cell>
          <cell r="G1556" t="str">
            <v>Затраты по ШПЗ (основные)</v>
          </cell>
          <cell r="H1556">
            <v>2011</v>
          </cell>
          <cell r="I1556">
            <v>7920</v>
          </cell>
          <cell r="J1556">
            <v>61460</v>
          </cell>
          <cell r="K1556">
            <v>1</v>
          </cell>
          <cell r="L1556">
            <v>0</v>
          </cell>
          <cell r="M1556">
            <v>0</v>
          </cell>
          <cell r="N1556">
            <v>0</v>
          </cell>
          <cell r="R1556">
            <v>0</v>
          </cell>
          <cell r="S1556">
            <v>0</v>
          </cell>
          <cell r="T1556">
            <v>0</v>
          </cell>
          <cell r="U1556">
            <v>31</v>
          </cell>
          <cell r="V1556">
            <v>0</v>
          </cell>
          <cell r="W1556">
            <v>0</v>
          </cell>
          <cell r="AA1556">
            <v>0</v>
          </cell>
          <cell r="AB1556">
            <v>0</v>
          </cell>
          <cell r="AC1556">
            <v>0</v>
          </cell>
          <cell r="AD1556">
            <v>31</v>
          </cell>
          <cell r="AE1556">
            <v>430240</v>
          </cell>
          <cell r="AF1556">
            <v>0</v>
          </cell>
          <cell r="AI1556">
            <v>2251</v>
          </cell>
          <cell r="AK1556">
            <v>0</v>
          </cell>
          <cell r="AM1556">
            <v>191</v>
          </cell>
          <cell r="AN1556">
            <v>1</v>
          </cell>
          <cell r="AO1556">
            <v>393216</v>
          </cell>
          <cell r="AQ1556">
            <v>0</v>
          </cell>
          <cell r="AR1556">
            <v>0</v>
          </cell>
          <cell r="AS1556" t="str">
            <v>Ы</v>
          </cell>
          <cell r="AT1556" t="str">
            <v>Ы</v>
          </cell>
          <cell r="AU1556">
            <v>0</v>
          </cell>
          <cell r="AV1556">
            <v>0</v>
          </cell>
          <cell r="AW1556">
            <v>23</v>
          </cell>
          <cell r="AX1556">
            <v>1</v>
          </cell>
          <cell r="AY1556">
            <v>0</v>
          </cell>
          <cell r="AZ1556">
            <v>0</v>
          </cell>
          <cell r="BA1556">
            <v>0</v>
          </cell>
          <cell r="BB1556">
            <v>0</v>
          </cell>
          <cell r="BC1556">
            <v>38828</v>
          </cell>
        </row>
        <row r="1557">
          <cell r="A1557">
            <v>2006</v>
          </cell>
          <cell r="B1557">
            <v>2</v>
          </cell>
          <cell r="C1557">
            <v>63</v>
          </cell>
          <cell r="D1557">
            <v>21</v>
          </cell>
          <cell r="E1557">
            <v>792020</v>
          </cell>
          <cell r="F1557">
            <v>0</v>
          </cell>
          <cell r="G1557" t="str">
            <v>Затраты по ШПЗ (основные)</v>
          </cell>
          <cell r="H1557">
            <v>2011</v>
          </cell>
          <cell r="I1557">
            <v>7920</v>
          </cell>
          <cell r="J1557">
            <v>136219</v>
          </cell>
          <cell r="K1557">
            <v>1</v>
          </cell>
          <cell r="L1557">
            <v>0</v>
          </cell>
          <cell r="M1557">
            <v>0</v>
          </cell>
          <cell r="N1557">
            <v>0</v>
          </cell>
          <cell r="R1557">
            <v>0</v>
          </cell>
          <cell r="S1557">
            <v>0</v>
          </cell>
          <cell r="T1557">
            <v>0</v>
          </cell>
          <cell r="U1557">
            <v>31</v>
          </cell>
          <cell r="V1557">
            <v>0</v>
          </cell>
          <cell r="W1557">
            <v>0</v>
          </cell>
          <cell r="AA1557">
            <v>0</v>
          </cell>
          <cell r="AB1557">
            <v>0</v>
          </cell>
          <cell r="AC1557">
            <v>0</v>
          </cell>
          <cell r="AD1557">
            <v>31</v>
          </cell>
          <cell r="AE1557">
            <v>450000</v>
          </cell>
          <cell r="AF1557">
            <v>0</v>
          </cell>
          <cell r="AI1557">
            <v>2251</v>
          </cell>
          <cell r="AK1557">
            <v>0</v>
          </cell>
          <cell r="AM1557">
            <v>192</v>
          </cell>
          <cell r="AN1557">
            <v>1</v>
          </cell>
          <cell r="AO1557">
            <v>393216</v>
          </cell>
          <cell r="AQ1557">
            <v>0</v>
          </cell>
          <cell r="AR1557">
            <v>0</v>
          </cell>
          <cell r="AS1557" t="str">
            <v>Ы</v>
          </cell>
          <cell r="AT1557" t="str">
            <v>Ы</v>
          </cell>
          <cell r="AU1557">
            <v>0</v>
          </cell>
          <cell r="AV1557">
            <v>0</v>
          </cell>
          <cell r="AW1557">
            <v>23</v>
          </cell>
          <cell r="AX1557">
            <v>1</v>
          </cell>
          <cell r="AY1557">
            <v>0</v>
          </cell>
          <cell r="AZ1557">
            <v>0</v>
          </cell>
          <cell r="BA1557">
            <v>0</v>
          </cell>
          <cell r="BB1557">
            <v>0</v>
          </cell>
          <cell r="BC1557">
            <v>38828</v>
          </cell>
        </row>
        <row r="1558">
          <cell r="A1558">
            <v>2006</v>
          </cell>
          <cell r="B1558">
            <v>2</v>
          </cell>
          <cell r="C1558">
            <v>64</v>
          </cell>
          <cell r="D1558">
            <v>21</v>
          </cell>
          <cell r="E1558">
            <v>792020</v>
          </cell>
          <cell r="F1558">
            <v>0</v>
          </cell>
          <cell r="G1558" t="str">
            <v>Затраты по ШПЗ (основные)</v>
          </cell>
          <cell r="H1558">
            <v>2011</v>
          </cell>
          <cell r="I1558">
            <v>7920</v>
          </cell>
          <cell r="J1558">
            <v>9941</v>
          </cell>
          <cell r="K1558">
            <v>1</v>
          </cell>
          <cell r="L1558">
            <v>0</v>
          </cell>
          <cell r="M1558">
            <v>0</v>
          </cell>
          <cell r="N1558">
            <v>0</v>
          </cell>
          <cell r="R1558">
            <v>0</v>
          </cell>
          <cell r="S1558">
            <v>0</v>
          </cell>
          <cell r="T1558">
            <v>0</v>
          </cell>
          <cell r="U1558">
            <v>31</v>
          </cell>
          <cell r="V1558">
            <v>0</v>
          </cell>
          <cell r="W1558">
            <v>0</v>
          </cell>
          <cell r="AA1558">
            <v>0</v>
          </cell>
          <cell r="AB1558">
            <v>0</v>
          </cell>
          <cell r="AC1558">
            <v>0</v>
          </cell>
          <cell r="AD1558">
            <v>31</v>
          </cell>
          <cell r="AE1558">
            <v>460000</v>
          </cell>
          <cell r="AF1558">
            <v>0</v>
          </cell>
          <cell r="AI1558">
            <v>2251</v>
          </cell>
          <cell r="AK1558">
            <v>0</v>
          </cell>
          <cell r="AM1558">
            <v>193</v>
          </cell>
          <cell r="AN1558">
            <v>1</v>
          </cell>
          <cell r="AO1558">
            <v>393216</v>
          </cell>
          <cell r="AQ1558">
            <v>0</v>
          </cell>
          <cell r="AR1558">
            <v>0</v>
          </cell>
          <cell r="AS1558" t="str">
            <v>Ы</v>
          </cell>
          <cell r="AT1558" t="str">
            <v>Ы</v>
          </cell>
          <cell r="AU1558">
            <v>0</v>
          </cell>
          <cell r="AV1558">
            <v>0</v>
          </cell>
          <cell r="AW1558">
            <v>23</v>
          </cell>
          <cell r="AX1558">
            <v>1</v>
          </cell>
          <cell r="AY1558">
            <v>0</v>
          </cell>
          <cell r="AZ1558">
            <v>0</v>
          </cell>
          <cell r="BA1558">
            <v>0</v>
          </cell>
          <cell r="BB1558">
            <v>0</v>
          </cell>
          <cell r="BC1558">
            <v>38828</v>
          </cell>
        </row>
        <row r="1559">
          <cell r="A1559">
            <v>2006</v>
          </cell>
          <cell r="B1559">
            <v>2</v>
          </cell>
          <cell r="C1559">
            <v>65</v>
          </cell>
          <cell r="D1559">
            <v>21</v>
          </cell>
          <cell r="E1559">
            <v>792020</v>
          </cell>
          <cell r="F1559">
            <v>0</v>
          </cell>
          <cell r="G1559" t="str">
            <v>Затраты по ШПЗ (основные)</v>
          </cell>
          <cell r="H1559">
            <v>2011</v>
          </cell>
          <cell r="I1559">
            <v>7920</v>
          </cell>
          <cell r="J1559">
            <v>991</v>
          </cell>
          <cell r="K1559">
            <v>1</v>
          </cell>
          <cell r="L1559">
            <v>0</v>
          </cell>
          <cell r="M1559">
            <v>0</v>
          </cell>
          <cell r="N1559">
            <v>0</v>
          </cell>
          <cell r="R1559">
            <v>0</v>
          </cell>
          <cell r="S1559">
            <v>0</v>
          </cell>
          <cell r="T1559">
            <v>0</v>
          </cell>
          <cell r="U1559">
            <v>31</v>
          </cell>
          <cell r="V1559">
            <v>0</v>
          </cell>
          <cell r="W1559">
            <v>0</v>
          </cell>
          <cell r="AA1559">
            <v>0</v>
          </cell>
          <cell r="AB1559">
            <v>0</v>
          </cell>
          <cell r="AC1559">
            <v>0</v>
          </cell>
          <cell r="AD1559">
            <v>31</v>
          </cell>
          <cell r="AE1559">
            <v>465000</v>
          </cell>
          <cell r="AF1559">
            <v>0</v>
          </cell>
          <cell r="AI1559">
            <v>2251</v>
          </cell>
          <cell r="AK1559">
            <v>0</v>
          </cell>
          <cell r="AM1559">
            <v>194</v>
          </cell>
          <cell r="AN1559">
            <v>1</v>
          </cell>
          <cell r="AO1559">
            <v>393216</v>
          </cell>
          <cell r="AQ1559">
            <v>0</v>
          </cell>
          <cell r="AR1559">
            <v>0</v>
          </cell>
          <cell r="AS1559" t="str">
            <v>Ы</v>
          </cell>
          <cell r="AT1559" t="str">
            <v>Ы</v>
          </cell>
          <cell r="AU1559">
            <v>0</v>
          </cell>
          <cell r="AV1559">
            <v>0</v>
          </cell>
          <cell r="AW1559">
            <v>23</v>
          </cell>
          <cell r="AX1559">
            <v>1</v>
          </cell>
          <cell r="AY1559">
            <v>0</v>
          </cell>
          <cell r="AZ1559">
            <v>0</v>
          </cell>
          <cell r="BA1559">
            <v>0</v>
          </cell>
          <cell r="BB1559">
            <v>0</v>
          </cell>
          <cell r="BC1559">
            <v>38828</v>
          </cell>
        </row>
        <row r="1560">
          <cell r="A1560">
            <v>2006</v>
          </cell>
          <cell r="B1560">
            <v>2</v>
          </cell>
          <cell r="C1560">
            <v>66</v>
          </cell>
          <cell r="D1560">
            <v>21</v>
          </cell>
          <cell r="E1560">
            <v>792020</v>
          </cell>
          <cell r="F1560">
            <v>0</v>
          </cell>
          <cell r="G1560" t="str">
            <v>Затраты по ШПЗ (основные)</v>
          </cell>
          <cell r="H1560">
            <v>2011</v>
          </cell>
          <cell r="I1560">
            <v>7920</v>
          </cell>
          <cell r="J1560">
            <v>157600</v>
          </cell>
          <cell r="K1560">
            <v>1</v>
          </cell>
          <cell r="L1560">
            <v>0</v>
          </cell>
          <cell r="M1560">
            <v>0</v>
          </cell>
          <cell r="N1560">
            <v>0</v>
          </cell>
          <cell r="R1560">
            <v>0</v>
          </cell>
          <cell r="S1560">
            <v>0</v>
          </cell>
          <cell r="T1560">
            <v>0</v>
          </cell>
          <cell r="U1560">
            <v>31</v>
          </cell>
          <cell r="V1560">
            <v>0</v>
          </cell>
          <cell r="W1560">
            <v>0</v>
          </cell>
          <cell r="AA1560">
            <v>0</v>
          </cell>
          <cell r="AB1560">
            <v>0</v>
          </cell>
          <cell r="AC1560">
            <v>0</v>
          </cell>
          <cell r="AD1560">
            <v>31</v>
          </cell>
          <cell r="AE1560">
            <v>501102</v>
          </cell>
          <cell r="AF1560">
            <v>0</v>
          </cell>
          <cell r="AI1560">
            <v>2251</v>
          </cell>
          <cell r="AK1560">
            <v>0</v>
          </cell>
          <cell r="AM1560">
            <v>195</v>
          </cell>
          <cell r="AN1560">
            <v>1</v>
          </cell>
          <cell r="AO1560">
            <v>393216</v>
          </cell>
          <cell r="AQ1560">
            <v>0</v>
          </cell>
          <cell r="AR1560">
            <v>0</v>
          </cell>
          <cell r="AS1560" t="str">
            <v>Ы</v>
          </cell>
          <cell r="AT1560" t="str">
            <v>Ы</v>
          </cell>
          <cell r="AU1560">
            <v>0</v>
          </cell>
          <cell r="AV1560">
            <v>0</v>
          </cell>
          <cell r="AW1560">
            <v>23</v>
          </cell>
          <cell r="AX1560">
            <v>1</v>
          </cell>
          <cell r="AY1560">
            <v>0</v>
          </cell>
          <cell r="AZ1560">
            <v>0</v>
          </cell>
          <cell r="BA1560">
            <v>0</v>
          </cell>
          <cell r="BB1560">
            <v>0</v>
          </cell>
          <cell r="BC1560">
            <v>38828</v>
          </cell>
        </row>
        <row r="1561">
          <cell r="A1561">
            <v>2006</v>
          </cell>
          <cell r="B1561">
            <v>2</v>
          </cell>
          <cell r="C1561">
            <v>67</v>
          </cell>
          <cell r="D1561">
            <v>21</v>
          </cell>
          <cell r="E1561">
            <v>792020</v>
          </cell>
          <cell r="F1561">
            <v>0</v>
          </cell>
          <cell r="G1561" t="str">
            <v>Затраты по ШПЗ (основные)</v>
          </cell>
          <cell r="H1561">
            <v>2011</v>
          </cell>
          <cell r="I1561">
            <v>7920</v>
          </cell>
          <cell r="J1561">
            <v>10672</v>
          </cell>
          <cell r="K1561">
            <v>1</v>
          </cell>
          <cell r="L1561">
            <v>0</v>
          </cell>
          <cell r="M1561">
            <v>0</v>
          </cell>
          <cell r="N1561">
            <v>0</v>
          </cell>
          <cell r="R1561">
            <v>0</v>
          </cell>
          <cell r="S1561">
            <v>0</v>
          </cell>
          <cell r="T1561">
            <v>0</v>
          </cell>
          <cell r="U1561">
            <v>31</v>
          </cell>
          <cell r="V1561">
            <v>0</v>
          </cell>
          <cell r="W1561">
            <v>0</v>
          </cell>
          <cell r="AA1561">
            <v>0</v>
          </cell>
          <cell r="AB1561">
            <v>0</v>
          </cell>
          <cell r="AC1561">
            <v>0</v>
          </cell>
          <cell r="AD1561">
            <v>31</v>
          </cell>
          <cell r="AE1561">
            <v>502400</v>
          </cell>
          <cell r="AF1561">
            <v>0</v>
          </cell>
          <cell r="AI1561">
            <v>2251</v>
          </cell>
          <cell r="AK1561">
            <v>0</v>
          </cell>
          <cell r="AM1561">
            <v>196</v>
          </cell>
          <cell r="AN1561">
            <v>1</v>
          </cell>
          <cell r="AO1561">
            <v>393216</v>
          </cell>
          <cell r="AQ1561">
            <v>0</v>
          </cell>
          <cell r="AR1561">
            <v>0</v>
          </cell>
          <cell r="AS1561" t="str">
            <v>Ы</v>
          </cell>
          <cell r="AT1561" t="str">
            <v>Ы</v>
          </cell>
          <cell r="AU1561">
            <v>0</v>
          </cell>
          <cell r="AV1561">
            <v>0</v>
          </cell>
          <cell r="AW1561">
            <v>23</v>
          </cell>
          <cell r="AX1561">
            <v>1</v>
          </cell>
          <cell r="AY1561">
            <v>0</v>
          </cell>
          <cell r="AZ1561">
            <v>0</v>
          </cell>
          <cell r="BA1561">
            <v>0</v>
          </cell>
          <cell r="BB1561">
            <v>0</v>
          </cell>
          <cell r="BC1561">
            <v>38828</v>
          </cell>
        </row>
        <row r="1562">
          <cell r="A1562">
            <v>2006</v>
          </cell>
          <cell r="B1562">
            <v>2</v>
          </cell>
          <cell r="C1562">
            <v>68</v>
          </cell>
          <cell r="D1562">
            <v>21</v>
          </cell>
          <cell r="E1562">
            <v>792020</v>
          </cell>
          <cell r="F1562">
            <v>0</v>
          </cell>
          <cell r="G1562" t="str">
            <v>Затраты по ШПЗ (основные)</v>
          </cell>
          <cell r="H1562">
            <v>2011</v>
          </cell>
          <cell r="I1562">
            <v>7920</v>
          </cell>
          <cell r="J1562">
            <v>310008.21999999997</v>
          </cell>
          <cell r="K1562">
            <v>1</v>
          </cell>
          <cell r="L1562">
            <v>0</v>
          </cell>
          <cell r="M1562">
            <v>0</v>
          </cell>
          <cell r="N1562">
            <v>0</v>
          </cell>
          <cell r="R1562">
            <v>0</v>
          </cell>
          <cell r="S1562">
            <v>0</v>
          </cell>
          <cell r="T1562">
            <v>0</v>
          </cell>
          <cell r="U1562">
            <v>31</v>
          </cell>
          <cell r="V1562">
            <v>0</v>
          </cell>
          <cell r="W1562">
            <v>0</v>
          </cell>
          <cell r="AA1562">
            <v>0</v>
          </cell>
          <cell r="AB1562">
            <v>0</v>
          </cell>
          <cell r="AC1562">
            <v>0</v>
          </cell>
          <cell r="AD1562">
            <v>31</v>
          </cell>
          <cell r="AE1562">
            <v>503000</v>
          </cell>
          <cell r="AF1562">
            <v>0</v>
          </cell>
          <cell r="AI1562">
            <v>2251</v>
          </cell>
          <cell r="AK1562">
            <v>0</v>
          </cell>
          <cell r="AM1562">
            <v>197</v>
          </cell>
          <cell r="AN1562">
            <v>1</v>
          </cell>
          <cell r="AO1562">
            <v>393216</v>
          </cell>
          <cell r="AQ1562">
            <v>0</v>
          </cell>
          <cell r="AR1562">
            <v>0</v>
          </cell>
          <cell r="AS1562" t="str">
            <v>Ы</v>
          </cell>
          <cell r="AT1562" t="str">
            <v>Ы</v>
          </cell>
          <cell r="AU1562">
            <v>0</v>
          </cell>
          <cell r="AV1562">
            <v>0</v>
          </cell>
          <cell r="AW1562">
            <v>23</v>
          </cell>
          <cell r="AX1562">
            <v>1</v>
          </cell>
          <cell r="AY1562">
            <v>0</v>
          </cell>
          <cell r="AZ1562">
            <v>0</v>
          </cell>
          <cell r="BA1562">
            <v>0</v>
          </cell>
          <cell r="BB1562">
            <v>0</v>
          </cell>
          <cell r="BC1562">
            <v>38828</v>
          </cell>
        </row>
        <row r="1563">
          <cell r="A1563">
            <v>2006</v>
          </cell>
          <cell r="B1563">
            <v>2</v>
          </cell>
          <cell r="C1563">
            <v>69</v>
          </cell>
          <cell r="D1563">
            <v>21</v>
          </cell>
          <cell r="E1563">
            <v>792020</v>
          </cell>
          <cell r="F1563">
            <v>0</v>
          </cell>
          <cell r="G1563" t="str">
            <v>Затраты по ШПЗ (основные)</v>
          </cell>
          <cell r="H1563">
            <v>2011</v>
          </cell>
          <cell r="I1563">
            <v>7920</v>
          </cell>
          <cell r="J1563">
            <v>30700</v>
          </cell>
          <cell r="K1563">
            <v>1</v>
          </cell>
          <cell r="L1563">
            <v>0</v>
          </cell>
          <cell r="M1563">
            <v>0</v>
          </cell>
          <cell r="N1563">
            <v>0</v>
          </cell>
          <cell r="R1563">
            <v>0</v>
          </cell>
          <cell r="S1563">
            <v>0</v>
          </cell>
          <cell r="T1563">
            <v>0</v>
          </cell>
          <cell r="U1563">
            <v>31</v>
          </cell>
          <cell r="V1563">
            <v>0</v>
          </cell>
          <cell r="W1563">
            <v>0</v>
          </cell>
          <cell r="AA1563">
            <v>0</v>
          </cell>
          <cell r="AB1563">
            <v>0</v>
          </cell>
          <cell r="AC1563">
            <v>0</v>
          </cell>
          <cell r="AD1563">
            <v>31</v>
          </cell>
          <cell r="AE1563">
            <v>504100</v>
          </cell>
          <cell r="AF1563">
            <v>0</v>
          </cell>
          <cell r="AI1563">
            <v>2251</v>
          </cell>
          <cell r="AK1563">
            <v>0</v>
          </cell>
          <cell r="AM1563">
            <v>198</v>
          </cell>
          <cell r="AN1563">
            <v>1</v>
          </cell>
          <cell r="AO1563">
            <v>393216</v>
          </cell>
          <cell r="AQ1563">
            <v>0</v>
          </cell>
          <cell r="AR1563">
            <v>0</v>
          </cell>
          <cell r="AS1563" t="str">
            <v>Ы</v>
          </cell>
          <cell r="AT1563" t="str">
            <v>Ы</v>
          </cell>
          <cell r="AU1563">
            <v>0</v>
          </cell>
          <cell r="AV1563">
            <v>0</v>
          </cell>
          <cell r="AW1563">
            <v>23</v>
          </cell>
          <cell r="AX1563">
            <v>1</v>
          </cell>
          <cell r="AY1563">
            <v>0</v>
          </cell>
          <cell r="AZ1563">
            <v>0</v>
          </cell>
          <cell r="BA1563">
            <v>0</v>
          </cell>
          <cell r="BB1563">
            <v>0</v>
          </cell>
          <cell r="BC1563">
            <v>38828</v>
          </cell>
        </row>
        <row r="1564">
          <cell r="A1564">
            <v>2006</v>
          </cell>
          <cell r="B1564">
            <v>2</v>
          </cell>
          <cell r="C1564">
            <v>70</v>
          </cell>
          <cell r="D1564">
            <v>21</v>
          </cell>
          <cell r="E1564">
            <v>792020</v>
          </cell>
          <cell r="F1564">
            <v>0</v>
          </cell>
          <cell r="G1564" t="str">
            <v>Затраты по ШПЗ (основные)</v>
          </cell>
          <cell r="H1564">
            <v>2011</v>
          </cell>
          <cell r="I1564">
            <v>7920</v>
          </cell>
          <cell r="J1564">
            <v>48586.78</v>
          </cell>
          <cell r="K1564">
            <v>1</v>
          </cell>
          <cell r="L1564">
            <v>0</v>
          </cell>
          <cell r="M1564">
            <v>0</v>
          </cell>
          <cell r="N1564">
            <v>0</v>
          </cell>
          <cell r="R1564">
            <v>0</v>
          </cell>
          <cell r="S1564">
            <v>0</v>
          </cell>
          <cell r="T1564">
            <v>0</v>
          </cell>
          <cell r="U1564">
            <v>31</v>
          </cell>
          <cell r="V1564">
            <v>0</v>
          </cell>
          <cell r="W1564">
            <v>0</v>
          </cell>
          <cell r="AA1564">
            <v>0</v>
          </cell>
          <cell r="AB1564">
            <v>0</v>
          </cell>
          <cell r="AC1564">
            <v>0</v>
          </cell>
          <cell r="AD1564">
            <v>31</v>
          </cell>
          <cell r="AE1564">
            <v>504200</v>
          </cell>
          <cell r="AF1564">
            <v>0</v>
          </cell>
          <cell r="AI1564">
            <v>2251</v>
          </cell>
          <cell r="AK1564">
            <v>0</v>
          </cell>
          <cell r="AM1564">
            <v>199</v>
          </cell>
          <cell r="AN1564">
            <v>1</v>
          </cell>
          <cell r="AO1564">
            <v>393216</v>
          </cell>
          <cell r="AQ1564">
            <v>0</v>
          </cell>
          <cell r="AR1564">
            <v>0</v>
          </cell>
          <cell r="AS1564" t="str">
            <v>Ы</v>
          </cell>
          <cell r="AT1564" t="str">
            <v>Ы</v>
          </cell>
          <cell r="AU1564">
            <v>0</v>
          </cell>
          <cell r="AV1564">
            <v>0</v>
          </cell>
          <cell r="AW1564">
            <v>23</v>
          </cell>
          <cell r="AX1564">
            <v>1</v>
          </cell>
          <cell r="AY1564">
            <v>0</v>
          </cell>
          <cell r="AZ1564">
            <v>0</v>
          </cell>
          <cell r="BA1564">
            <v>0</v>
          </cell>
          <cell r="BB1564">
            <v>0</v>
          </cell>
          <cell r="BC1564">
            <v>38828</v>
          </cell>
        </row>
        <row r="1565">
          <cell r="A1565">
            <v>2006</v>
          </cell>
          <cell r="B1565">
            <v>2</v>
          </cell>
          <cell r="C1565">
            <v>71</v>
          </cell>
          <cell r="D1565">
            <v>21</v>
          </cell>
          <cell r="E1565">
            <v>792020</v>
          </cell>
          <cell r="F1565">
            <v>0</v>
          </cell>
          <cell r="G1565" t="str">
            <v>Затраты по ШПЗ (основные)</v>
          </cell>
          <cell r="H1565">
            <v>2011</v>
          </cell>
          <cell r="I1565">
            <v>7920</v>
          </cell>
          <cell r="J1565">
            <v>2467</v>
          </cell>
          <cell r="K1565">
            <v>1</v>
          </cell>
          <cell r="L1565">
            <v>0</v>
          </cell>
          <cell r="M1565">
            <v>0</v>
          </cell>
          <cell r="N1565">
            <v>0</v>
          </cell>
          <cell r="R1565">
            <v>0</v>
          </cell>
          <cell r="S1565">
            <v>0</v>
          </cell>
          <cell r="T1565">
            <v>0</v>
          </cell>
          <cell r="U1565">
            <v>31</v>
          </cell>
          <cell r="V1565">
            <v>0</v>
          </cell>
          <cell r="W1565">
            <v>0</v>
          </cell>
          <cell r="AA1565">
            <v>0</v>
          </cell>
          <cell r="AB1565">
            <v>0</v>
          </cell>
          <cell r="AC1565">
            <v>0</v>
          </cell>
          <cell r="AD1565">
            <v>31</v>
          </cell>
          <cell r="AE1565">
            <v>504400</v>
          </cell>
          <cell r="AF1565">
            <v>0</v>
          </cell>
          <cell r="AI1565">
            <v>2251</v>
          </cell>
          <cell r="AK1565">
            <v>0</v>
          </cell>
          <cell r="AM1565">
            <v>200</v>
          </cell>
          <cell r="AN1565">
            <v>1</v>
          </cell>
          <cell r="AO1565">
            <v>393216</v>
          </cell>
          <cell r="AQ1565">
            <v>0</v>
          </cell>
          <cell r="AR1565">
            <v>0</v>
          </cell>
          <cell r="AS1565" t="str">
            <v>Ы</v>
          </cell>
          <cell r="AT1565" t="str">
            <v>Ы</v>
          </cell>
          <cell r="AU1565">
            <v>0</v>
          </cell>
          <cell r="AV1565">
            <v>0</v>
          </cell>
          <cell r="AW1565">
            <v>23</v>
          </cell>
          <cell r="AX1565">
            <v>1</v>
          </cell>
          <cell r="AY1565">
            <v>0</v>
          </cell>
          <cell r="AZ1565">
            <v>0</v>
          </cell>
          <cell r="BA1565">
            <v>0</v>
          </cell>
          <cell r="BB1565">
            <v>0</v>
          </cell>
          <cell r="BC1565">
            <v>38828</v>
          </cell>
        </row>
        <row r="1566">
          <cell r="A1566">
            <v>2006</v>
          </cell>
          <cell r="B1566">
            <v>2</v>
          </cell>
          <cell r="C1566">
            <v>72</v>
          </cell>
          <cell r="D1566">
            <v>21</v>
          </cell>
          <cell r="E1566">
            <v>792020</v>
          </cell>
          <cell r="F1566">
            <v>0</v>
          </cell>
          <cell r="G1566" t="str">
            <v>Затраты по ШПЗ (основные)</v>
          </cell>
          <cell r="H1566">
            <v>2011</v>
          </cell>
          <cell r="I1566">
            <v>7920</v>
          </cell>
          <cell r="J1566">
            <v>1960.8</v>
          </cell>
          <cell r="K1566">
            <v>1</v>
          </cell>
          <cell r="L1566">
            <v>0</v>
          </cell>
          <cell r="M1566">
            <v>0</v>
          </cell>
          <cell r="N1566">
            <v>0</v>
          </cell>
          <cell r="R1566">
            <v>0</v>
          </cell>
          <cell r="S1566">
            <v>0</v>
          </cell>
          <cell r="T1566">
            <v>0</v>
          </cell>
          <cell r="U1566">
            <v>31</v>
          </cell>
          <cell r="V1566">
            <v>0</v>
          </cell>
          <cell r="W1566">
            <v>0</v>
          </cell>
          <cell r="AA1566">
            <v>0</v>
          </cell>
          <cell r="AB1566">
            <v>0</v>
          </cell>
          <cell r="AC1566">
            <v>0</v>
          </cell>
          <cell r="AD1566">
            <v>31</v>
          </cell>
          <cell r="AE1566">
            <v>504900</v>
          </cell>
          <cell r="AF1566">
            <v>0</v>
          </cell>
          <cell r="AI1566">
            <v>2251</v>
          </cell>
          <cell r="AK1566">
            <v>0</v>
          </cell>
          <cell r="AM1566">
            <v>201</v>
          </cell>
          <cell r="AN1566">
            <v>1</v>
          </cell>
          <cell r="AO1566">
            <v>393216</v>
          </cell>
          <cell r="AQ1566">
            <v>0</v>
          </cell>
          <cell r="AR1566">
            <v>0</v>
          </cell>
          <cell r="AS1566" t="str">
            <v>Ы</v>
          </cell>
          <cell r="AT1566" t="str">
            <v>Ы</v>
          </cell>
          <cell r="AU1566">
            <v>0</v>
          </cell>
          <cell r="AV1566">
            <v>0</v>
          </cell>
          <cell r="AW1566">
            <v>23</v>
          </cell>
          <cell r="AX1566">
            <v>1</v>
          </cell>
          <cell r="AY1566">
            <v>0</v>
          </cell>
          <cell r="AZ1566">
            <v>0</v>
          </cell>
          <cell r="BA1566">
            <v>0</v>
          </cell>
          <cell r="BB1566">
            <v>0</v>
          </cell>
          <cell r="BC1566">
            <v>38828</v>
          </cell>
        </row>
        <row r="1567">
          <cell r="A1567">
            <v>2006</v>
          </cell>
          <cell r="B1567">
            <v>2</v>
          </cell>
          <cell r="C1567">
            <v>73</v>
          </cell>
          <cell r="D1567">
            <v>21</v>
          </cell>
          <cell r="E1567">
            <v>792020</v>
          </cell>
          <cell r="F1567">
            <v>0</v>
          </cell>
          <cell r="G1567" t="str">
            <v>Затраты по ШПЗ (основные)</v>
          </cell>
          <cell r="H1567">
            <v>2011</v>
          </cell>
          <cell r="I1567">
            <v>7920</v>
          </cell>
          <cell r="J1567">
            <v>1664.65</v>
          </cell>
          <cell r="K1567">
            <v>1</v>
          </cell>
          <cell r="L1567">
            <v>0</v>
          </cell>
          <cell r="M1567">
            <v>0</v>
          </cell>
          <cell r="N1567">
            <v>0</v>
          </cell>
          <cell r="R1567">
            <v>0</v>
          </cell>
          <cell r="S1567">
            <v>0</v>
          </cell>
          <cell r="T1567">
            <v>0</v>
          </cell>
          <cell r="U1567">
            <v>31</v>
          </cell>
          <cell r="V1567">
            <v>0</v>
          </cell>
          <cell r="W1567">
            <v>0</v>
          </cell>
          <cell r="AA1567">
            <v>0</v>
          </cell>
          <cell r="AB1567">
            <v>0</v>
          </cell>
          <cell r="AC1567">
            <v>0</v>
          </cell>
          <cell r="AD1567">
            <v>31</v>
          </cell>
          <cell r="AE1567">
            <v>505100</v>
          </cell>
          <cell r="AF1567">
            <v>0</v>
          </cell>
          <cell r="AI1567">
            <v>2251</v>
          </cell>
          <cell r="AK1567">
            <v>0</v>
          </cell>
          <cell r="AM1567">
            <v>202</v>
          </cell>
          <cell r="AN1567">
            <v>1</v>
          </cell>
          <cell r="AO1567">
            <v>393216</v>
          </cell>
          <cell r="AQ1567">
            <v>0</v>
          </cell>
          <cell r="AR1567">
            <v>0</v>
          </cell>
          <cell r="AS1567" t="str">
            <v>Ы</v>
          </cell>
          <cell r="AT1567" t="str">
            <v>Ы</v>
          </cell>
          <cell r="AU1567">
            <v>0</v>
          </cell>
          <cell r="AV1567">
            <v>0</v>
          </cell>
          <cell r="AW1567">
            <v>23</v>
          </cell>
          <cell r="AX1567">
            <v>1</v>
          </cell>
          <cell r="AY1567">
            <v>0</v>
          </cell>
          <cell r="AZ1567">
            <v>0</v>
          </cell>
          <cell r="BA1567">
            <v>0</v>
          </cell>
          <cell r="BB1567">
            <v>0</v>
          </cell>
          <cell r="BC1567">
            <v>38828</v>
          </cell>
        </row>
        <row r="1568">
          <cell r="A1568">
            <v>2006</v>
          </cell>
          <cell r="B1568">
            <v>2</v>
          </cell>
          <cell r="C1568">
            <v>74</v>
          </cell>
          <cell r="D1568">
            <v>21</v>
          </cell>
          <cell r="E1568">
            <v>792020</v>
          </cell>
          <cell r="F1568">
            <v>0</v>
          </cell>
          <cell r="G1568" t="str">
            <v>Затраты по ШПЗ (основные)</v>
          </cell>
          <cell r="H1568">
            <v>2011</v>
          </cell>
          <cell r="I1568">
            <v>7920</v>
          </cell>
          <cell r="J1568">
            <v>69198.37</v>
          </cell>
          <cell r="K1568">
            <v>1</v>
          </cell>
          <cell r="L1568">
            <v>0</v>
          </cell>
          <cell r="M1568">
            <v>0</v>
          </cell>
          <cell r="N1568">
            <v>0</v>
          </cell>
          <cell r="R1568">
            <v>0</v>
          </cell>
          <cell r="S1568">
            <v>0</v>
          </cell>
          <cell r="T1568">
            <v>0</v>
          </cell>
          <cell r="U1568">
            <v>31</v>
          </cell>
          <cell r="V1568">
            <v>0</v>
          </cell>
          <cell r="W1568">
            <v>0</v>
          </cell>
          <cell r="AA1568">
            <v>0</v>
          </cell>
          <cell r="AB1568">
            <v>0</v>
          </cell>
          <cell r="AC1568">
            <v>0</v>
          </cell>
          <cell r="AD1568">
            <v>31</v>
          </cell>
          <cell r="AE1568">
            <v>505200</v>
          </cell>
          <cell r="AF1568">
            <v>0</v>
          </cell>
          <cell r="AI1568">
            <v>2251</v>
          </cell>
          <cell r="AK1568">
            <v>0</v>
          </cell>
          <cell r="AM1568">
            <v>203</v>
          </cell>
          <cell r="AN1568">
            <v>1</v>
          </cell>
          <cell r="AO1568">
            <v>393216</v>
          </cell>
          <cell r="AQ1568">
            <v>0</v>
          </cell>
          <cell r="AR1568">
            <v>0</v>
          </cell>
          <cell r="AS1568" t="str">
            <v>Ы</v>
          </cell>
          <cell r="AT1568" t="str">
            <v>Ы</v>
          </cell>
          <cell r="AU1568">
            <v>0</v>
          </cell>
          <cell r="AV1568">
            <v>0</v>
          </cell>
          <cell r="AW1568">
            <v>23</v>
          </cell>
          <cell r="AX1568">
            <v>1</v>
          </cell>
          <cell r="AY1568">
            <v>0</v>
          </cell>
          <cell r="AZ1568">
            <v>0</v>
          </cell>
          <cell r="BA1568">
            <v>0</v>
          </cell>
          <cell r="BB1568">
            <v>0</v>
          </cell>
          <cell r="BC1568">
            <v>38828</v>
          </cell>
        </row>
        <row r="1569">
          <cell r="A1569">
            <v>2006</v>
          </cell>
          <cell r="B1569">
            <v>2</v>
          </cell>
          <cell r="C1569">
            <v>75</v>
          </cell>
          <cell r="D1569">
            <v>21</v>
          </cell>
          <cell r="E1569">
            <v>792020</v>
          </cell>
          <cell r="F1569">
            <v>0</v>
          </cell>
          <cell r="G1569" t="str">
            <v>Затраты по ШПЗ (основные)</v>
          </cell>
          <cell r="H1569">
            <v>2011</v>
          </cell>
          <cell r="I1569">
            <v>7920</v>
          </cell>
          <cell r="J1569">
            <v>2977.82</v>
          </cell>
          <cell r="K1569">
            <v>1</v>
          </cell>
          <cell r="L1569">
            <v>0</v>
          </cell>
          <cell r="M1569">
            <v>0</v>
          </cell>
          <cell r="N1569">
            <v>0</v>
          </cell>
          <cell r="R1569">
            <v>0</v>
          </cell>
          <cell r="S1569">
            <v>0</v>
          </cell>
          <cell r="T1569">
            <v>0</v>
          </cell>
          <cell r="U1569">
            <v>31</v>
          </cell>
          <cell r="V1569">
            <v>0</v>
          </cell>
          <cell r="W1569">
            <v>0</v>
          </cell>
          <cell r="AA1569">
            <v>0</v>
          </cell>
          <cell r="AB1569">
            <v>0</v>
          </cell>
          <cell r="AC1569">
            <v>0</v>
          </cell>
          <cell r="AD1569">
            <v>31</v>
          </cell>
          <cell r="AE1569">
            <v>505300</v>
          </cell>
          <cell r="AF1569">
            <v>0</v>
          </cell>
          <cell r="AI1569">
            <v>2251</v>
          </cell>
          <cell r="AK1569">
            <v>0</v>
          </cell>
          <cell r="AM1569">
            <v>204</v>
          </cell>
          <cell r="AN1569">
            <v>1</v>
          </cell>
          <cell r="AO1569">
            <v>393216</v>
          </cell>
          <cell r="AQ1569">
            <v>0</v>
          </cell>
          <cell r="AR1569">
            <v>0</v>
          </cell>
          <cell r="AS1569" t="str">
            <v>Ы</v>
          </cell>
          <cell r="AT1569" t="str">
            <v>Ы</v>
          </cell>
          <cell r="AU1569">
            <v>0</v>
          </cell>
          <cell r="AV1569">
            <v>0</v>
          </cell>
          <cell r="AW1569">
            <v>23</v>
          </cell>
          <cell r="AX1569">
            <v>1</v>
          </cell>
          <cell r="AY1569">
            <v>0</v>
          </cell>
          <cell r="AZ1569">
            <v>0</v>
          </cell>
          <cell r="BA1569">
            <v>0</v>
          </cell>
          <cell r="BB1569">
            <v>0</v>
          </cell>
          <cell r="BC1569">
            <v>38828</v>
          </cell>
        </row>
        <row r="1570">
          <cell r="A1570">
            <v>2006</v>
          </cell>
          <cell r="B1570">
            <v>2</v>
          </cell>
          <cell r="C1570">
            <v>76</v>
          </cell>
          <cell r="D1570">
            <v>21</v>
          </cell>
          <cell r="E1570">
            <v>792020</v>
          </cell>
          <cell r="F1570">
            <v>0</v>
          </cell>
          <cell r="G1570" t="str">
            <v>Затраты по ШПЗ (основные)</v>
          </cell>
          <cell r="H1570">
            <v>2011</v>
          </cell>
          <cell r="I1570">
            <v>7920</v>
          </cell>
          <cell r="J1570">
            <v>2137</v>
          </cell>
          <cell r="K1570">
            <v>1</v>
          </cell>
          <cell r="L1570">
            <v>0</v>
          </cell>
          <cell r="M1570">
            <v>0</v>
          </cell>
          <cell r="N1570">
            <v>0</v>
          </cell>
          <cell r="R1570">
            <v>0</v>
          </cell>
          <cell r="S1570">
            <v>0</v>
          </cell>
          <cell r="T1570">
            <v>0</v>
          </cell>
          <cell r="U1570">
            <v>31</v>
          </cell>
          <cell r="V1570">
            <v>0</v>
          </cell>
          <cell r="W1570">
            <v>0</v>
          </cell>
          <cell r="AA1570">
            <v>0</v>
          </cell>
          <cell r="AB1570">
            <v>0</v>
          </cell>
          <cell r="AC1570">
            <v>0</v>
          </cell>
          <cell r="AD1570">
            <v>31</v>
          </cell>
          <cell r="AE1570">
            <v>505400</v>
          </cell>
          <cell r="AF1570">
            <v>0</v>
          </cell>
          <cell r="AI1570">
            <v>2251</v>
          </cell>
          <cell r="AK1570">
            <v>0</v>
          </cell>
          <cell r="AM1570">
            <v>205</v>
          </cell>
          <cell r="AN1570">
            <v>1</v>
          </cell>
          <cell r="AO1570">
            <v>393216</v>
          </cell>
          <cell r="AQ1570">
            <v>0</v>
          </cell>
          <cell r="AR1570">
            <v>0</v>
          </cell>
          <cell r="AS1570" t="str">
            <v>Ы</v>
          </cell>
          <cell r="AT1570" t="str">
            <v>Ы</v>
          </cell>
          <cell r="AU1570">
            <v>0</v>
          </cell>
          <cell r="AV1570">
            <v>0</v>
          </cell>
          <cell r="AW1570">
            <v>23</v>
          </cell>
          <cell r="AX1570">
            <v>1</v>
          </cell>
          <cell r="AY1570">
            <v>0</v>
          </cell>
          <cell r="AZ1570">
            <v>0</v>
          </cell>
          <cell r="BA1570">
            <v>0</v>
          </cell>
          <cell r="BB1570">
            <v>0</v>
          </cell>
          <cell r="BC1570">
            <v>38828</v>
          </cell>
        </row>
        <row r="1571">
          <cell r="A1571">
            <v>2006</v>
          </cell>
          <cell r="B1571">
            <v>2</v>
          </cell>
          <cell r="C1571">
            <v>77</v>
          </cell>
          <cell r="D1571">
            <v>21</v>
          </cell>
          <cell r="E1571">
            <v>792020</v>
          </cell>
          <cell r="F1571">
            <v>0</v>
          </cell>
          <cell r="G1571" t="str">
            <v>Затраты по ШПЗ (основные)</v>
          </cell>
          <cell r="H1571">
            <v>2011</v>
          </cell>
          <cell r="I1571">
            <v>7920</v>
          </cell>
          <cell r="J1571">
            <v>180</v>
          </cell>
          <cell r="K1571">
            <v>1</v>
          </cell>
          <cell r="L1571">
            <v>0</v>
          </cell>
          <cell r="M1571">
            <v>0</v>
          </cell>
          <cell r="N1571">
            <v>0</v>
          </cell>
          <cell r="R1571">
            <v>0</v>
          </cell>
          <cell r="S1571">
            <v>0</v>
          </cell>
          <cell r="T1571">
            <v>0</v>
          </cell>
          <cell r="U1571">
            <v>31</v>
          </cell>
          <cell r="V1571">
            <v>0</v>
          </cell>
          <cell r="W1571">
            <v>0</v>
          </cell>
          <cell r="AA1571">
            <v>0</v>
          </cell>
          <cell r="AB1571">
            <v>0</v>
          </cell>
          <cell r="AC1571">
            <v>0</v>
          </cell>
          <cell r="AD1571">
            <v>31</v>
          </cell>
          <cell r="AE1571">
            <v>506300</v>
          </cell>
          <cell r="AF1571">
            <v>0</v>
          </cell>
          <cell r="AI1571">
            <v>2251</v>
          </cell>
          <cell r="AK1571">
            <v>0</v>
          </cell>
          <cell r="AM1571">
            <v>206</v>
          </cell>
          <cell r="AN1571">
            <v>1</v>
          </cell>
          <cell r="AO1571">
            <v>393216</v>
          </cell>
          <cell r="AQ1571">
            <v>0</v>
          </cell>
          <cell r="AR1571">
            <v>0</v>
          </cell>
          <cell r="AS1571" t="str">
            <v>Ы</v>
          </cell>
          <cell r="AT1571" t="str">
            <v>Ы</v>
          </cell>
          <cell r="AU1571">
            <v>0</v>
          </cell>
          <cell r="AV1571">
            <v>0</v>
          </cell>
          <cell r="AW1571">
            <v>23</v>
          </cell>
          <cell r="AX1571">
            <v>1</v>
          </cell>
          <cell r="AY1571">
            <v>0</v>
          </cell>
          <cell r="AZ1571">
            <v>0</v>
          </cell>
          <cell r="BA1571">
            <v>0</v>
          </cell>
          <cell r="BB1571">
            <v>0</v>
          </cell>
          <cell r="BC1571">
            <v>38828</v>
          </cell>
        </row>
        <row r="1572">
          <cell r="A1572">
            <v>2006</v>
          </cell>
          <cell r="B1572">
            <v>2</v>
          </cell>
          <cell r="C1572">
            <v>78</v>
          </cell>
          <cell r="D1572">
            <v>21</v>
          </cell>
          <cell r="E1572">
            <v>792020</v>
          </cell>
          <cell r="F1572">
            <v>0</v>
          </cell>
          <cell r="G1572" t="str">
            <v>Затраты по ШПЗ (основные)</v>
          </cell>
          <cell r="H1572">
            <v>2011</v>
          </cell>
          <cell r="I1572">
            <v>7920</v>
          </cell>
          <cell r="J1572">
            <v>890611.45</v>
          </cell>
          <cell r="K1572">
            <v>1</v>
          </cell>
          <cell r="L1572">
            <v>0</v>
          </cell>
          <cell r="M1572">
            <v>0</v>
          </cell>
          <cell r="N1572">
            <v>0</v>
          </cell>
          <cell r="R1572">
            <v>0</v>
          </cell>
          <cell r="S1572">
            <v>0</v>
          </cell>
          <cell r="T1572">
            <v>0</v>
          </cell>
          <cell r="U1572">
            <v>31</v>
          </cell>
          <cell r="V1572">
            <v>0</v>
          </cell>
          <cell r="W1572">
            <v>0</v>
          </cell>
          <cell r="AA1572">
            <v>0</v>
          </cell>
          <cell r="AB1572">
            <v>0</v>
          </cell>
          <cell r="AC1572">
            <v>0</v>
          </cell>
          <cell r="AD1572">
            <v>31</v>
          </cell>
          <cell r="AE1572">
            <v>510100</v>
          </cell>
          <cell r="AF1572">
            <v>0</v>
          </cell>
          <cell r="AI1572">
            <v>2251</v>
          </cell>
          <cell r="AK1572">
            <v>0</v>
          </cell>
          <cell r="AM1572">
            <v>207</v>
          </cell>
          <cell r="AN1572">
            <v>1</v>
          </cell>
          <cell r="AO1572">
            <v>393216</v>
          </cell>
          <cell r="AQ1572">
            <v>0</v>
          </cell>
          <cell r="AR1572">
            <v>0</v>
          </cell>
          <cell r="AS1572" t="str">
            <v>Ы</v>
          </cell>
          <cell r="AT1572" t="str">
            <v>Ы</v>
          </cell>
          <cell r="AU1572">
            <v>0</v>
          </cell>
          <cell r="AV1572">
            <v>0</v>
          </cell>
          <cell r="AW1572">
            <v>23</v>
          </cell>
          <cell r="AX1572">
            <v>1</v>
          </cell>
          <cell r="AY1572">
            <v>0</v>
          </cell>
          <cell r="AZ1572">
            <v>0</v>
          </cell>
          <cell r="BA1572">
            <v>0</v>
          </cell>
          <cell r="BB1572">
            <v>0</v>
          </cell>
          <cell r="BC1572">
            <v>38828</v>
          </cell>
        </row>
        <row r="1573">
          <cell r="A1573">
            <v>2006</v>
          </cell>
          <cell r="B1573">
            <v>2</v>
          </cell>
          <cell r="C1573">
            <v>79</v>
          </cell>
          <cell r="D1573">
            <v>21</v>
          </cell>
          <cell r="E1573">
            <v>792020</v>
          </cell>
          <cell r="F1573">
            <v>0</v>
          </cell>
          <cell r="G1573" t="str">
            <v>Затраты по ШПЗ (основные)</v>
          </cell>
          <cell r="H1573">
            <v>2011</v>
          </cell>
          <cell r="I1573">
            <v>7920</v>
          </cell>
          <cell r="J1573">
            <v>496.6</v>
          </cell>
          <cell r="K1573">
            <v>1</v>
          </cell>
          <cell r="L1573">
            <v>0</v>
          </cell>
          <cell r="M1573">
            <v>0</v>
          </cell>
          <cell r="N1573">
            <v>0</v>
          </cell>
          <cell r="R1573">
            <v>0</v>
          </cell>
          <cell r="S1573">
            <v>0</v>
          </cell>
          <cell r="T1573">
            <v>0</v>
          </cell>
          <cell r="U1573">
            <v>31</v>
          </cell>
          <cell r="V1573">
            <v>0</v>
          </cell>
          <cell r="W1573">
            <v>0</v>
          </cell>
          <cell r="AA1573">
            <v>0</v>
          </cell>
          <cell r="AB1573">
            <v>0</v>
          </cell>
          <cell r="AC1573">
            <v>0</v>
          </cell>
          <cell r="AD1573">
            <v>31</v>
          </cell>
          <cell r="AE1573">
            <v>510200</v>
          </cell>
          <cell r="AF1573">
            <v>0</v>
          </cell>
          <cell r="AI1573">
            <v>2251</v>
          </cell>
          <cell r="AK1573">
            <v>0</v>
          </cell>
          <cell r="AM1573">
            <v>208</v>
          </cell>
          <cell r="AN1573">
            <v>1</v>
          </cell>
          <cell r="AO1573">
            <v>393216</v>
          </cell>
          <cell r="AQ1573">
            <v>0</v>
          </cell>
          <cell r="AR1573">
            <v>0</v>
          </cell>
          <cell r="AS1573" t="str">
            <v>Ы</v>
          </cell>
          <cell r="AT1573" t="str">
            <v>Ы</v>
          </cell>
          <cell r="AU1573">
            <v>0</v>
          </cell>
          <cell r="AV1573">
            <v>0</v>
          </cell>
          <cell r="AW1573">
            <v>23</v>
          </cell>
          <cell r="AX1573">
            <v>1</v>
          </cell>
          <cell r="AY1573">
            <v>0</v>
          </cell>
          <cell r="AZ1573">
            <v>0</v>
          </cell>
          <cell r="BA1573">
            <v>0</v>
          </cell>
          <cell r="BB1573">
            <v>0</v>
          </cell>
          <cell r="BC1573">
            <v>38828</v>
          </cell>
        </row>
        <row r="1574">
          <cell r="A1574">
            <v>2006</v>
          </cell>
          <cell r="B1574">
            <v>2</v>
          </cell>
          <cell r="C1574">
            <v>80</v>
          </cell>
          <cell r="D1574">
            <v>21</v>
          </cell>
          <cell r="E1574">
            <v>792020</v>
          </cell>
          <cell r="F1574">
            <v>0</v>
          </cell>
          <cell r="G1574" t="str">
            <v>Затраты по ШПЗ (основные)</v>
          </cell>
          <cell r="H1574">
            <v>2011</v>
          </cell>
          <cell r="I1574">
            <v>7920</v>
          </cell>
          <cell r="J1574">
            <v>3259.86</v>
          </cell>
          <cell r="K1574">
            <v>1</v>
          </cell>
          <cell r="L1574">
            <v>0</v>
          </cell>
          <cell r="M1574">
            <v>0</v>
          </cell>
          <cell r="N1574">
            <v>0</v>
          </cell>
          <cell r="R1574">
            <v>0</v>
          </cell>
          <cell r="S1574">
            <v>0</v>
          </cell>
          <cell r="T1574">
            <v>0</v>
          </cell>
          <cell r="U1574">
            <v>31</v>
          </cell>
          <cell r="V1574">
            <v>0</v>
          </cell>
          <cell r="W1574">
            <v>0</v>
          </cell>
          <cell r="AA1574">
            <v>0</v>
          </cell>
          <cell r="AB1574">
            <v>0</v>
          </cell>
          <cell r="AC1574">
            <v>0</v>
          </cell>
          <cell r="AD1574">
            <v>31</v>
          </cell>
          <cell r="AE1574">
            <v>510400</v>
          </cell>
          <cell r="AF1574">
            <v>0</v>
          </cell>
          <cell r="AI1574">
            <v>2251</v>
          </cell>
          <cell r="AK1574">
            <v>0</v>
          </cell>
          <cell r="AM1574">
            <v>209</v>
          </cell>
          <cell r="AN1574">
            <v>1</v>
          </cell>
          <cell r="AO1574">
            <v>393216</v>
          </cell>
          <cell r="AQ1574">
            <v>0</v>
          </cell>
          <cell r="AR1574">
            <v>0</v>
          </cell>
          <cell r="AS1574" t="str">
            <v>Ы</v>
          </cell>
          <cell r="AT1574" t="str">
            <v>Ы</v>
          </cell>
          <cell r="AU1574">
            <v>0</v>
          </cell>
          <cell r="AV1574">
            <v>0</v>
          </cell>
          <cell r="AW1574">
            <v>23</v>
          </cell>
          <cell r="AX1574">
            <v>1</v>
          </cell>
          <cell r="AY1574">
            <v>0</v>
          </cell>
          <cell r="AZ1574">
            <v>0</v>
          </cell>
          <cell r="BA1574">
            <v>0</v>
          </cell>
          <cell r="BB1574">
            <v>0</v>
          </cell>
          <cell r="BC1574">
            <v>38828</v>
          </cell>
        </row>
        <row r="1575">
          <cell r="A1575">
            <v>2006</v>
          </cell>
          <cell r="B1575">
            <v>2</v>
          </cell>
          <cell r="C1575">
            <v>81</v>
          </cell>
          <cell r="D1575">
            <v>21</v>
          </cell>
          <cell r="E1575">
            <v>792020</v>
          </cell>
          <cell r="F1575">
            <v>0</v>
          </cell>
          <cell r="G1575" t="str">
            <v>Затраты по ШПЗ (основные)</v>
          </cell>
          <cell r="H1575">
            <v>2011</v>
          </cell>
          <cell r="I1575">
            <v>7920</v>
          </cell>
          <cell r="J1575">
            <v>823710.02</v>
          </cell>
          <cell r="K1575">
            <v>1</v>
          </cell>
          <cell r="L1575">
            <v>0</v>
          </cell>
          <cell r="M1575">
            <v>0</v>
          </cell>
          <cell r="N1575">
            <v>0</v>
          </cell>
          <cell r="R1575">
            <v>0</v>
          </cell>
          <cell r="S1575">
            <v>0</v>
          </cell>
          <cell r="T1575">
            <v>0</v>
          </cell>
          <cell r="U1575">
            <v>31</v>
          </cell>
          <cell r="V1575">
            <v>0</v>
          </cell>
          <cell r="W1575">
            <v>0</v>
          </cell>
          <cell r="AA1575">
            <v>0</v>
          </cell>
          <cell r="AB1575">
            <v>0</v>
          </cell>
          <cell r="AC1575">
            <v>0</v>
          </cell>
          <cell r="AD1575">
            <v>31</v>
          </cell>
          <cell r="AE1575">
            <v>510600</v>
          </cell>
          <cell r="AF1575">
            <v>0</v>
          </cell>
          <cell r="AI1575">
            <v>2251</v>
          </cell>
          <cell r="AK1575">
            <v>0</v>
          </cell>
          <cell r="AM1575">
            <v>210</v>
          </cell>
          <cell r="AN1575">
            <v>1</v>
          </cell>
          <cell r="AO1575">
            <v>393216</v>
          </cell>
          <cell r="AQ1575">
            <v>0</v>
          </cell>
          <cell r="AR1575">
            <v>0</v>
          </cell>
          <cell r="AS1575" t="str">
            <v>Ы</v>
          </cell>
          <cell r="AT1575" t="str">
            <v>Ы</v>
          </cell>
          <cell r="AU1575">
            <v>0</v>
          </cell>
          <cell r="AV1575">
            <v>0</v>
          </cell>
          <cell r="AW1575">
            <v>23</v>
          </cell>
          <cell r="AX1575">
            <v>1</v>
          </cell>
          <cell r="AY1575">
            <v>0</v>
          </cell>
          <cell r="AZ1575">
            <v>0</v>
          </cell>
          <cell r="BA1575">
            <v>0</v>
          </cell>
          <cell r="BB1575">
            <v>0</v>
          </cell>
          <cell r="BC1575">
            <v>38828</v>
          </cell>
        </row>
        <row r="1576">
          <cell r="A1576">
            <v>2006</v>
          </cell>
          <cell r="B1576">
            <v>2</v>
          </cell>
          <cell r="C1576">
            <v>82</v>
          </cell>
          <cell r="D1576">
            <v>21</v>
          </cell>
          <cell r="E1576">
            <v>792020</v>
          </cell>
          <cell r="F1576">
            <v>0</v>
          </cell>
          <cell r="G1576" t="str">
            <v>Затраты по ШПЗ (основные)</v>
          </cell>
          <cell r="H1576">
            <v>2011</v>
          </cell>
          <cell r="I1576">
            <v>7920</v>
          </cell>
          <cell r="J1576">
            <v>16707.490000000002</v>
          </cell>
          <cell r="K1576">
            <v>1</v>
          </cell>
          <cell r="L1576">
            <v>0</v>
          </cell>
          <cell r="M1576">
            <v>0</v>
          </cell>
          <cell r="N1576">
            <v>0</v>
          </cell>
          <cell r="R1576">
            <v>0</v>
          </cell>
          <cell r="S1576">
            <v>0</v>
          </cell>
          <cell r="T1576">
            <v>0</v>
          </cell>
          <cell r="U1576">
            <v>31</v>
          </cell>
          <cell r="V1576">
            <v>0</v>
          </cell>
          <cell r="W1576">
            <v>0</v>
          </cell>
          <cell r="AA1576">
            <v>0</v>
          </cell>
          <cell r="AB1576">
            <v>0</v>
          </cell>
          <cell r="AC1576">
            <v>0</v>
          </cell>
          <cell r="AD1576">
            <v>31</v>
          </cell>
          <cell r="AE1576">
            <v>513600</v>
          </cell>
          <cell r="AF1576">
            <v>0</v>
          </cell>
          <cell r="AI1576">
            <v>2251</v>
          </cell>
          <cell r="AK1576">
            <v>0</v>
          </cell>
          <cell r="AM1576">
            <v>211</v>
          </cell>
          <cell r="AN1576">
            <v>1</v>
          </cell>
          <cell r="AO1576">
            <v>393216</v>
          </cell>
          <cell r="AQ1576">
            <v>0</v>
          </cell>
          <cell r="AR1576">
            <v>0</v>
          </cell>
          <cell r="AS1576" t="str">
            <v>Ы</v>
          </cell>
          <cell r="AT1576" t="str">
            <v>Ы</v>
          </cell>
          <cell r="AU1576">
            <v>0</v>
          </cell>
          <cell r="AV1576">
            <v>0</v>
          </cell>
          <cell r="AW1576">
            <v>23</v>
          </cell>
          <cell r="AX1576">
            <v>1</v>
          </cell>
          <cell r="AY1576">
            <v>0</v>
          </cell>
          <cell r="AZ1576">
            <v>0</v>
          </cell>
          <cell r="BA1576">
            <v>0</v>
          </cell>
          <cell r="BB1576">
            <v>0</v>
          </cell>
          <cell r="BC1576">
            <v>38828</v>
          </cell>
        </row>
        <row r="1577">
          <cell r="A1577">
            <v>2006</v>
          </cell>
          <cell r="B1577">
            <v>2</v>
          </cell>
          <cell r="C1577">
            <v>83</v>
          </cell>
          <cell r="D1577">
            <v>21</v>
          </cell>
          <cell r="E1577">
            <v>792020</v>
          </cell>
          <cell r="F1577">
            <v>0</v>
          </cell>
          <cell r="G1577" t="str">
            <v>Затраты по ШПЗ (основные)</v>
          </cell>
          <cell r="H1577">
            <v>2011</v>
          </cell>
          <cell r="I1577">
            <v>7920</v>
          </cell>
          <cell r="J1577">
            <v>9517.5</v>
          </cell>
          <cell r="K1577">
            <v>1</v>
          </cell>
          <cell r="L1577">
            <v>0</v>
          </cell>
          <cell r="M1577">
            <v>0</v>
          </cell>
          <cell r="N1577">
            <v>0</v>
          </cell>
          <cell r="R1577">
            <v>0</v>
          </cell>
          <cell r="S1577">
            <v>0</v>
          </cell>
          <cell r="T1577">
            <v>0</v>
          </cell>
          <cell r="U1577">
            <v>31</v>
          </cell>
          <cell r="V1577">
            <v>0</v>
          </cell>
          <cell r="W1577">
            <v>0</v>
          </cell>
          <cell r="AA1577">
            <v>0</v>
          </cell>
          <cell r="AB1577">
            <v>0</v>
          </cell>
          <cell r="AC1577">
            <v>0</v>
          </cell>
          <cell r="AD1577">
            <v>31</v>
          </cell>
          <cell r="AE1577">
            <v>530000</v>
          </cell>
          <cell r="AF1577">
            <v>0</v>
          </cell>
          <cell r="AI1577">
            <v>2251</v>
          </cell>
          <cell r="AK1577">
            <v>0</v>
          </cell>
          <cell r="AM1577">
            <v>212</v>
          </cell>
          <cell r="AN1577">
            <v>1</v>
          </cell>
          <cell r="AO1577">
            <v>393216</v>
          </cell>
          <cell r="AQ1577">
            <v>0</v>
          </cell>
          <cell r="AR1577">
            <v>0</v>
          </cell>
          <cell r="AS1577" t="str">
            <v>Ы</v>
          </cell>
          <cell r="AT1577" t="str">
            <v>Ы</v>
          </cell>
          <cell r="AU1577">
            <v>0</v>
          </cell>
          <cell r="AV1577">
            <v>0</v>
          </cell>
          <cell r="AW1577">
            <v>23</v>
          </cell>
          <cell r="AX1577">
            <v>1</v>
          </cell>
          <cell r="AY1577">
            <v>0</v>
          </cell>
          <cell r="AZ1577">
            <v>0</v>
          </cell>
          <cell r="BA1577">
            <v>0</v>
          </cell>
          <cell r="BB1577">
            <v>0</v>
          </cell>
          <cell r="BC1577">
            <v>38828</v>
          </cell>
        </row>
        <row r="1578">
          <cell r="A1578">
            <v>2006</v>
          </cell>
          <cell r="B1578">
            <v>2</v>
          </cell>
          <cell r="C1578">
            <v>110</v>
          </cell>
          <cell r="D1578">
            <v>21</v>
          </cell>
          <cell r="E1578">
            <v>792020</v>
          </cell>
          <cell r="F1578">
            <v>0</v>
          </cell>
          <cell r="G1578" t="str">
            <v>Затраты по ШПЗ (основные)</v>
          </cell>
          <cell r="H1578">
            <v>2011</v>
          </cell>
          <cell r="I1578">
            <v>7920</v>
          </cell>
          <cell r="J1578">
            <v>234779.08</v>
          </cell>
          <cell r="K1578">
            <v>1</v>
          </cell>
          <cell r="L1578">
            <v>0</v>
          </cell>
          <cell r="M1578">
            <v>0</v>
          </cell>
          <cell r="N1578">
            <v>0</v>
          </cell>
          <cell r="R1578">
            <v>0</v>
          </cell>
          <cell r="S1578">
            <v>0</v>
          </cell>
          <cell r="T1578">
            <v>0</v>
          </cell>
          <cell r="U1578">
            <v>32</v>
          </cell>
          <cell r="V1578">
            <v>0</v>
          </cell>
          <cell r="W1578">
            <v>0</v>
          </cell>
          <cell r="AA1578">
            <v>0</v>
          </cell>
          <cell r="AB1578">
            <v>0</v>
          </cell>
          <cell r="AC1578">
            <v>0</v>
          </cell>
          <cell r="AD1578">
            <v>32</v>
          </cell>
          <cell r="AE1578">
            <v>110000</v>
          </cell>
          <cell r="AF1578">
            <v>0</v>
          </cell>
          <cell r="AI1578">
            <v>2251</v>
          </cell>
          <cell r="AK1578">
            <v>0</v>
          </cell>
          <cell r="AM1578">
            <v>239</v>
          </cell>
          <cell r="AN1578">
            <v>1</v>
          </cell>
          <cell r="AO1578">
            <v>393216</v>
          </cell>
          <cell r="AQ1578">
            <v>0</v>
          </cell>
          <cell r="AR1578">
            <v>0</v>
          </cell>
          <cell r="AS1578" t="str">
            <v>Ы</v>
          </cell>
          <cell r="AT1578" t="str">
            <v>Ы</v>
          </cell>
          <cell r="AU1578">
            <v>0</v>
          </cell>
          <cell r="AV1578">
            <v>0</v>
          </cell>
          <cell r="AW1578">
            <v>23</v>
          </cell>
          <cell r="AX1578">
            <v>1</v>
          </cell>
          <cell r="AY1578">
            <v>0</v>
          </cell>
          <cell r="AZ1578">
            <v>0</v>
          </cell>
          <cell r="BA1578">
            <v>0</v>
          </cell>
          <cell r="BB1578">
            <v>0</v>
          </cell>
          <cell r="BC1578">
            <v>38828</v>
          </cell>
        </row>
        <row r="1579">
          <cell r="A1579">
            <v>2006</v>
          </cell>
          <cell r="B1579">
            <v>2</v>
          </cell>
          <cell r="C1579">
            <v>111</v>
          </cell>
          <cell r="D1579">
            <v>21</v>
          </cell>
          <cell r="E1579">
            <v>792020</v>
          </cell>
          <cell r="F1579">
            <v>0</v>
          </cell>
          <cell r="G1579" t="str">
            <v>Затраты по ШПЗ (основные)</v>
          </cell>
          <cell r="H1579">
            <v>2011</v>
          </cell>
          <cell r="I1579">
            <v>7920</v>
          </cell>
          <cell r="J1579">
            <v>3004.16</v>
          </cell>
          <cell r="K1579">
            <v>1</v>
          </cell>
          <cell r="L1579">
            <v>0</v>
          </cell>
          <cell r="M1579">
            <v>0</v>
          </cell>
          <cell r="N1579">
            <v>0</v>
          </cell>
          <cell r="R1579">
            <v>0</v>
          </cell>
          <cell r="S1579">
            <v>0</v>
          </cell>
          <cell r="T1579">
            <v>0</v>
          </cell>
          <cell r="U1579">
            <v>32</v>
          </cell>
          <cell r="V1579">
            <v>0</v>
          </cell>
          <cell r="W1579">
            <v>0</v>
          </cell>
          <cell r="AA1579">
            <v>0</v>
          </cell>
          <cell r="AB1579">
            <v>0</v>
          </cell>
          <cell r="AC1579">
            <v>0</v>
          </cell>
          <cell r="AD1579">
            <v>32</v>
          </cell>
          <cell r="AE1579">
            <v>114020</v>
          </cell>
          <cell r="AF1579">
            <v>0</v>
          </cell>
          <cell r="AI1579">
            <v>2251</v>
          </cell>
          <cell r="AK1579">
            <v>0</v>
          </cell>
          <cell r="AM1579">
            <v>240</v>
          </cell>
          <cell r="AN1579">
            <v>1</v>
          </cell>
          <cell r="AO1579">
            <v>393216</v>
          </cell>
          <cell r="AQ1579">
            <v>0</v>
          </cell>
          <cell r="AR1579">
            <v>0</v>
          </cell>
          <cell r="AS1579" t="str">
            <v>Ы</v>
          </cell>
          <cell r="AT1579" t="str">
            <v>Ы</v>
          </cell>
          <cell r="AU1579">
            <v>0</v>
          </cell>
          <cell r="AV1579">
            <v>0</v>
          </cell>
          <cell r="AW1579">
            <v>23</v>
          </cell>
          <cell r="AX1579">
            <v>1</v>
          </cell>
          <cell r="AY1579">
            <v>0</v>
          </cell>
          <cell r="AZ1579">
            <v>0</v>
          </cell>
          <cell r="BA1579">
            <v>0</v>
          </cell>
          <cell r="BB1579">
            <v>0</v>
          </cell>
          <cell r="BC1579">
            <v>38828</v>
          </cell>
        </row>
        <row r="1580">
          <cell r="A1580">
            <v>2006</v>
          </cell>
          <cell r="B1580">
            <v>2</v>
          </cell>
          <cell r="C1580">
            <v>112</v>
          </cell>
          <cell r="D1580">
            <v>21</v>
          </cell>
          <cell r="E1580">
            <v>792020</v>
          </cell>
          <cell r="F1580">
            <v>0</v>
          </cell>
          <cell r="G1580" t="str">
            <v>Затраты по ШПЗ (основные)</v>
          </cell>
          <cell r="H1580">
            <v>2011</v>
          </cell>
          <cell r="I1580">
            <v>7920</v>
          </cell>
          <cell r="J1580">
            <v>205045.32</v>
          </cell>
          <cell r="K1580">
            <v>1</v>
          </cell>
          <cell r="L1580">
            <v>0</v>
          </cell>
          <cell r="M1580">
            <v>0</v>
          </cell>
          <cell r="N1580">
            <v>0</v>
          </cell>
          <cell r="R1580">
            <v>0</v>
          </cell>
          <cell r="S1580">
            <v>0</v>
          </cell>
          <cell r="T1580">
            <v>0</v>
          </cell>
          <cell r="U1580">
            <v>32</v>
          </cell>
          <cell r="V1580">
            <v>0</v>
          </cell>
          <cell r="W1580">
            <v>0</v>
          </cell>
          <cell r="AA1580">
            <v>0</v>
          </cell>
          <cell r="AB1580">
            <v>0</v>
          </cell>
          <cell r="AC1580">
            <v>0</v>
          </cell>
          <cell r="AD1580">
            <v>32</v>
          </cell>
          <cell r="AE1580">
            <v>116000</v>
          </cell>
          <cell r="AF1580">
            <v>0</v>
          </cell>
          <cell r="AI1580">
            <v>2251</v>
          </cell>
          <cell r="AK1580">
            <v>0</v>
          </cell>
          <cell r="AM1580">
            <v>241</v>
          </cell>
          <cell r="AN1580">
            <v>1</v>
          </cell>
          <cell r="AO1580">
            <v>393216</v>
          </cell>
          <cell r="AQ1580">
            <v>0</v>
          </cell>
          <cell r="AR1580">
            <v>0</v>
          </cell>
          <cell r="AS1580" t="str">
            <v>Ы</v>
          </cell>
          <cell r="AT1580" t="str">
            <v>Ы</v>
          </cell>
          <cell r="AU1580">
            <v>0</v>
          </cell>
          <cell r="AV1580">
            <v>0</v>
          </cell>
          <cell r="AW1580">
            <v>23</v>
          </cell>
          <cell r="AX1580">
            <v>1</v>
          </cell>
          <cell r="AY1580">
            <v>0</v>
          </cell>
          <cell r="AZ1580">
            <v>0</v>
          </cell>
          <cell r="BA1580">
            <v>0</v>
          </cell>
          <cell r="BB1580">
            <v>0</v>
          </cell>
          <cell r="BC1580">
            <v>38828</v>
          </cell>
        </row>
        <row r="1581">
          <cell r="A1581">
            <v>2006</v>
          </cell>
          <cell r="B1581">
            <v>2</v>
          </cell>
          <cell r="C1581">
            <v>113</v>
          </cell>
          <cell r="D1581">
            <v>21</v>
          </cell>
          <cell r="E1581">
            <v>792020</v>
          </cell>
          <cell r="F1581">
            <v>0</v>
          </cell>
          <cell r="G1581" t="str">
            <v>Затраты по ШПЗ (основные)</v>
          </cell>
          <cell r="H1581">
            <v>2011</v>
          </cell>
          <cell r="I1581">
            <v>7920</v>
          </cell>
          <cell r="J1581">
            <v>9277.7900000000009</v>
          </cell>
          <cell r="K1581">
            <v>1</v>
          </cell>
          <cell r="L1581">
            <v>0</v>
          </cell>
          <cell r="M1581">
            <v>0</v>
          </cell>
          <cell r="N1581">
            <v>0</v>
          </cell>
          <cell r="R1581">
            <v>0</v>
          </cell>
          <cell r="S1581">
            <v>0</v>
          </cell>
          <cell r="T1581">
            <v>0</v>
          </cell>
          <cell r="U1581">
            <v>32</v>
          </cell>
          <cell r="V1581">
            <v>0</v>
          </cell>
          <cell r="W1581">
            <v>0</v>
          </cell>
          <cell r="AA1581">
            <v>0</v>
          </cell>
          <cell r="AB1581">
            <v>0</v>
          </cell>
          <cell r="AC1581">
            <v>0</v>
          </cell>
          <cell r="AD1581">
            <v>32</v>
          </cell>
          <cell r="AE1581">
            <v>117000</v>
          </cell>
          <cell r="AF1581">
            <v>0</v>
          </cell>
          <cell r="AI1581">
            <v>2251</v>
          </cell>
          <cell r="AK1581">
            <v>0</v>
          </cell>
          <cell r="AM1581">
            <v>242</v>
          </cell>
          <cell r="AN1581">
            <v>1</v>
          </cell>
          <cell r="AO1581">
            <v>393216</v>
          </cell>
          <cell r="AQ1581">
            <v>0</v>
          </cell>
          <cell r="AR1581">
            <v>0</v>
          </cell>
          <cell r="AS1581" t="str">
            <v>Ы</v>
          </cell>
          <cell r="AT1581" t="str">
            <v>Ы</v>
          </cell>
          <cell r="AU1581">
            <v>0</v>
          </cell>
          <cell r="AV1581">
            <v>0</v>
          </cell>
          <cell r="AW1581">
            <v>23</v>
          </cell>
          <cell r="AX1581">
            <v>1</v>
          </cell>
          <cell r="AY1581">
            <v>0</v>
          </cell>
          <cell r="AZ1581">
            <v>0</v>
          </cell>
          <cell r="BA1581">
            <v>0</v>
          </cell>
          <cell r="BB1581">
            <v>0</v>
          </cell>
          <cell r="BC1581">
            <v>38828</v>
          </cell>
        </row>
        <row r="1582">
          <cell r="A1582">
            <v>2006</v>
          </cell>
          <cell r="B1582">
            <v>2</v>
          </cell>
          <cell r="C1582">
            <v>114</v>
          </cell>
          <cell r="D1582">
            <v>21</v>
          </cell>
          <cell r="E1582">
            <v>792020</v>
          </cell>
          <cell r="F1582">
            <v>0</v>
          </cell>
          <cell r="G1582" t="str">
            <v>Затраты по ШПЗ (основные)</v>
          </cell>
          <cell r="H1582">
            <v>2011</v>
          </cell>
          <cell r="I1582">
            <v>7920</v>
          </cell>
          <cell r="J1582">
            <v>8667.7999999999993</v>
          </cell>
          <cell r="K1582">
            <v>1</v>
          </cell>
          <cell r="L1582">
            <v>0</v>
          </cell>
          <cell r="M1582">
            <v>0</v>
          </cell>
          <cell r="N1582">
            <v>0</v>
          </cell>
          <cell r="R1582">
            <v>0</v>
          </cell>
          <cell r="S1582">
            <v>0</v>
          </cell>
          <cell r="T1582">
            <v>0</v>
          </cell>
          <cell r="U1582">
            <v>32</v>
          </cell>
          <cell r="V1582">
            <v>0</v>
          </cell>
          <cell r="W1582">
            <v>0</v>
          </cell>
          <cell r="AA1582">
            <v>0</v>
          </cell>
          <cell r="AB1582">
            <v>0</v>
          </cell>
          <cell r="AC1582">
            <v>0</v>
          </cell>
          <cell r="AD1582">
            <v>32</v>
          </cell>
          <cell r="AE1582">
            <v>118000</v>
          </cell>
          <cell r="AF1582">
            <v>0</v>
          </cell>
          <cell r="AI1582">
            <v>2251</v>
          </cell>
          <cell r="AK1582">
            <v>0</v>
          </cell>
          <cell r="AM1582">
            <v>243</v>
          </cell>
          <cell r="AN1582">
            <v>1</v>
          </cell>
          <cell r="AO1582">
            <v>393216</v>
          </cell>
          <cell r="AQ1582">
            <v>0</v>
          </cell>
          <cell r="AR1582">
            <v>0</v>
          </cell>
          <cell r="AS1582" t="str">
            <v>Ы</v>
          </cell>
          <cell r="AT1582" t="str">
            <v>Ы</v>
          </cell>
          <cell r="AU1582">
            <v>0</v>
          </cell>
          <cell r="AV1582">
            <v>0</v>
          </cell>
          <cell r="AW1582">
            <v>23</v>
          </cell>
          <cell r="AX1582">
            <v>1</v>
          </cell>
          <cell r="AY1582">
            <v>0</v>
          </cell>
          <cell r="AZ1582">
            <v>0</v>
          </cell>
          <cell r="BA1582">
            <v>0</v>
          </cell>
          <cell r="BB1582">
            <v>0</v>
          </cell>
          <cell r="BC1582">
            <v>38828</v>
          </cell>
        </row>
        <row r="1583">
          <cell r="A1583">
            <v>2006</v>
          </cell>
          <cell r="B1583">
            <v>2</v>
          </cell>
          <cell r="C1583">
            <v>115</v>
          </cell>
          <cell r="D1583">
            <v>21</v>
          </cell>
          <cell r="E1583">
            <v>792020</v>
          </cell>
          <cell r="F1583">
            <v>0</v>
          </cell>
          <cell r="G1583" t="str">
            <v>Затраты по ШПЗ (основные)</v>
          </cell>
          <cell r="H1583">
            <v>2011</v>
          </cell>
          <cell r="I1583">
            <v>7920</v>
          </cell>
          <cell r="J1583">
            <v>382.09</v>
          </cell>
          <cell r="K1583">
            <v>1</v>
          </cell>
          <cell r="L1583">
            <v>0</v>
          </cell>
          <cell r="M1583">
            <v>0</v>
          </cell>
          <cell r="N1583">
            <v>0</v>
          </cell>
          <cell r="R1583">
            <v>0</v>
          </cell>
          <cell r="S1583">
            <v>0</v>
          </cell>
          <cell r="T1583">
            <v>0</v>
          </cell>
          <cell r="U1583">
            <v>32</v>
          </cell>
          <cell r="V1583">
            <v>0</v>
          </cell>
          <cell r="W1583">
            <v>0</v>
          </cell>
          <cell r="AA1583">
            <v>0</v>
          </cell>
          <cell r="AB1583">
            <v>0</v>
          </cell>
          <cell r="AC1583">
            <v>0</v>
          </cell>
          <cell r="AD1583">
            <v>32</v>
          </cell>
          <cell r="AE1583">
            <v>130000</v>
          </cell>
          <cell r="AF1583">
            <v>0</v>
          </cell>
          <cell r="AI1583">
            <v>2251</v>
          </cell>
          <cell r="AK1583">
            <v>0</v>
          </cell>
          <cell r="AM1583">
            <v>244</v>
          </cell>
          <cell r="AN1583">
            <v>1</v>
          </cell>
          <cell r="AO1583">
            <v>393216</v>
          </cell>
          <cell r="AQ1583">
            <v>0</v>
          </cell>
          <cell r="AR1583">
            <v>0</v>
          </cell>
          <cell r="AS1583" t="str">
            <v>Ы</v>
          </cell>
          <cell r="AT1583" t="str">
            <v>Ы</v>
          </cell>
          <cell r="AU1583">
            <v>0</v>
          </cell>
          <cell r="AV1583">
            <v>0</v>
          </cell>
          <cell r="AW1583">
            <v>23</v>
          </cell>
          <cell r="AX1583">
            <v>1</v>
          </cell>
          <cell r="AY1583">
            <v>0</v>
          </cell>
          <cell r="AZ1583">
            <v>0</v>
          </cell>
          <cell r="BA1583">
            <v>0</v>
          </cell>
          <cell r="BB1583">
            <v>0</v>
          </cell>
          <cell r="BC1583">
            <v>38828</v>
          </cell>
        </row>
        <row r="1584">
          <cell r="A1584">
            <v>2006</v>
          </cell>
          <cell r="B1584">
            <v>2</v>
          </cell>
          <cell r="C1584">
            <v>116</v>
          </cell>
          <cell r="D1584">
            <v>21</v>
          </cell>
          <cell r="E1584">
            <v>792020</v>
          </cell>
          <cell r="F1584">
            <v>0</v>
          </cell>
          <cell r="G1584" t="str">
            <v>Затраты по ШПЗ (основные)</v>
          </cell>
          <cell r="H1584">
            <v>2011</v>
          </cell>
          <cell r="I1584">
            <v>7920</v>
          </cell>
          <cell r="J1584">
            <v>15574.62</v>
          </cell>
          <cell r="K1584">
            <v>1</v>
          </cell>
          <cell r="L1584">
            <v>0</v>
          </cell>
          <cell r="M1584">
            <v>0</v>
          </cell>
          <cell r="N1584">
            <v>0</v>
          </cell>
          <cell r="R1584">
            <v>0</v>
          </cell>
          <cell r="S1584">
            <v>0</v>
          </cell>
          <cell r="T1584">
            <v>0</v>
          </cell>
          <cell r="U1584">
            <v>32</v>
          </cell>
          <cell r="V1584">
            <v>0</v>
          </cell>
          <cell r="W1584">
            <v>0</v>
          </cell>
          <cell r="AA1584">
            <v>0</v>
          </cell>
          <cell r="AB1584">
            <v>0</v>
          </cell>
          <cell r="AC1584">
            <v>0</v>
          </cell>
          <cell r="AD1584">
            <v>32</v>
          </cell>
          <cell r="AE1584">
            <v>131000</v>
          </cell>
          <cell r="AF1584">
            <v>0</v>
          </cell>
          <cell r="AI1584">
            <v>2251</v>
          </cell>
          <cell r="AK1584">
            <v>0</v>
          </cell>
          <cell r="AM1584">
            <v>245</v>
          </cell>
          <cell r="AN1584">
            <v>1</v>
          </cell>
          <cell r="AO1584">
            <v>393216</v>
          </cell>
          <cell r="AQ1584">
            <v>0</v>
          </cell>
          <cell r="AR1584">
            <v>0</v>
          </cell>
          <cell r="AS1584" t="str">
            <v>Ы</v>
          </cell>
          <cell r="AT1584" t="str">
            <v>Ы</v>
          </cell>
          <cell r="AU1584">
            <v>0</v>
          </cell>
          <cell r="AV1584">
            <v>0</v>
          </cell>
          <cell r="AW1584">
            <v>23</v>
          </cell>
          <cell r="AX1584">
            <v>1</v>
          </cell>
          <cell r="AY1584">
            <v>0</v>
          </cell>
          <cell r="AZ1584">
            <v>0</v>
          </cell>
          <cell r="BA1584">
            <v>0</v>
          </cell>
          <cell r="BB1584">
            <v>0</v>
          </cell>
          <cell r="BC1584">
            <v>38828</v>
          </cell>
        </row>
        <row r="1585">
          <cell r="A1585">
            <v>2006</v>
          </cell>
          <cell r="B1585">
            <v>2</v>
          </cell>
          <cell r="C1585">
            <v>117</v>
          </cell>
          <cell r="D1585">
            <v>21</v>
          </cell>
          <cell r="E1585">
            <v>792020</v>
          </cell>
          <cell r="F1585">
            <v>0</v>
          </cell>
          <cell r="G1585" t="str">
            <v>Затраты по ШПЗ (основные)</v>
          </cell>
          <cell r="H1585">
            <v>2011</v>
          </cell>
          <cell r="I1585">
            <v>7920</v>
          </cell>
          <cell r="J1585">
            <v>1241.81</v>
          </cell>
          <cell r="K1585">
            <v>1</v>
          </cell>
          <cell r="L1585">
            <v>0</v>
          </cell>
          <cell r="M1585">
            <v>0</v>
          </cell>
          <cell r="N1585">
            <v>0</v>
          </cell>
          <cell r="R1585">
            <v>0</v>
          </cell>
          <cell r="S1585">
            <v>0</v>
          </cell>
          <cell r="T1585">
            <v>0</v>
          </cell>
          <cell r="U1585">
            <v>32</v>
          </cell>
          <cell r="V1585">
            <v>0</v>
          </cell>
          <cell r="W1585">
            <v>0</v>
          </cell>
          <cell r="AA1585">
            <v>0</v>
          </cell>
          <cell r="AB1585">
            <v>0</v>
          </cell>
          <cell r="AC1585">
            <v>0</v>
          </cell>
          <cell r="AD1585">
            <v>32</v>
          </cell>
          <cell r="AE1585">
            <v>132000</v>
          </cell>
          <cell r="AF1585">
            <v>0</v>
          </cell>
          <cell r="AI1585">
            <v>2251</v>
          </cell>
          <cell r="AK1585">
            <v>0</v>
          </cell>
          <cell r="AM1585">
            <v>246</v>
          </cell>
          <cell r="AN1585">
            <v>1</v>
          </cell>
          <cell r="AO1585">
            <v>393216</v>
          </cell>
          <cell r="AQ1585">
            <v>0</v>
          </cell>
          <cell r="AR1585">
            <v>0</v>
          </cell>
          <cell r="AS1585" t="str">
            <v>Ы</v>
          </cell>
          <cell r="AT1585" t="str">
            <v>Ы</v>
          </cell>
          <cell r="AU1585">
            <v>0</v>
          </cell>
          <cell r="AV1585">
            <v>0</v>
          </cell>
          <cell r="AW1585">
            <v>23</v>
          </cell>
          <cell r="AX1585">
            <v>1</v>
          </cell>
          <cell r="AY1585">
            <v>0</v>
          </cell>
          <cell r="AZ1585">
            <v>0</v>
          </cell>
          <cell r="BA1585">
            <v>0</v>
          </cell>
          <cell r="BB1585">
            <v>0</v>
          </cell>
          <cell r="BC1585">
            <v>38828</v>
          </cell>
        </row>
        <row r="1586">
          <cell r="A1586">
            <v>2006</v>
          </cell>
          <cell r="B1586">
            <v>2</v>
          </cell>
          <cell r="C1586">
            <v>118</v>
          </cell>
          <cell r="D1586">
            <v>21</v>
          </cell>
          <cell r="E1586">
            <v>792020</v>
          </cell>
          <cell r="F1586">
            <v>0</v>
          </cell>
          <cell r="G1586" t="str">
            <v>Затраты по ШПЗ (основные)</v>
          </cell>
          <cell r="H1586">
            <v>2011</v>
          </cell>
          <cell r="I1586">
            <v>7920</v>
          </cell>
          <cell r="J1586">
            <v>11295.32</v>
          </cell>
          <cell r="K1586">
            <v>1</v>
          </cell>
          <cell r="L1586">
            <v>0</v>
          </cell>
          <cell r="M1586">
            <v>0</v>
          </cell>
          <cell r="N1586">
            <v>0</v>
          </cell>
          <cell r="R1586">
            <v>0</v>
          </cell>
          <cell r="S1586">
            <v>0</v>
          </cell>
          <cell r="T1586">
            <v>0</v>
          </cell>
          <cell r="U1586">
            <v>32</v>
          </cell>
          <cell r="V1586">
            <v>0</v>
          </cell>
          <cell r="W1586">
            <v>0</v>
          </cell>
          <cell r="AA1586">
            <v>0</v>
          </cell>
          <cell r="AB1586">
            <v>0</v>
          </cell>
          <cell r="AC1586">
            <v>0</v>
          </cell>
          <cell r="AD1586">
            <v>32</v>
          </cell>
          <cell r="AE1586">
            <v>135000</v>
          </cell>
          <cell r="AF1586">
            <v>0</v>
          </cell>
          <cell r="AI1586">
            <v>2251</v>
          </cell>
          <cell r="AK1586">
            <v>0</v>
          </cell>
          <cell r="AM1586">
            <v>247</v>
          </cell>
          <cell r="AN1586">
            <v>1</v>
          </cell>
          <cell r="AO1586">
            <v>393216</v>
          </cell>
          <cell r="AQ1586">
            <v>0</v>
          </cell>
          <cell r="AR1586">
            <v>0</v>
          </cell>
          <cell r="AS1586" t="str">
            <v>Ы</v>
          </cell>
          <cell r="AT1586" t="str">
            <v>Ы</v>
          </cell>
          <cell r="AU1586">
            <v>0</v>
          </cell>
          <cell r="AV1586">
            <v>0</v>
          </cell>
          <cell r="AW1586">
            <v>23</v>
          </cell>
          <cell r="AX1586">
            <v>1</v>
          </cell>
          <cell r="AY1586">
            <v>0</v>
          </cell>
          <cell r="AZ1586">
            <v>0</v>
          </cell>
          <cell r="BA1586">
            <v>0</v>
          </cell>
          <cell r="BB1586">
            <v>0</v>
          </cell>
          <cell r="BC1586">
            <v>38828</v>
          </cell>
        </row>
        <row r="1587">
          <cell r="A1587">
            <v>2006</v>
          </cell>
          <cell r="B1587">
            <v>2</v>
          </cell>
          <cell r="C1587">
            <v>119</v>
          </cell>
          <cell r="D1587">
            <v>21</v>
          </cell>
          <cell r="E1587">
            <v>792020</v>
          </cell>
          <cell r="F1587">
            <v>0</v>
          </cell>
          <cell r="G1587" t="str">
            <v>Затраты по ШПЗ (основные)</v>
          </cell>
          <cell r="H1587">
            <v>2011</v>
          </cell>
          <cell r="I1587">
            <v>7920</v>
          </cell>
          <cell r="J1587">
            <v>437713.35</v>
          </cell>
          <cell r="K1587">
            <v>1</v>
          </cell>
          <cell r="L1587">
            <v>0</v>
          </cell>
          <cell r="M1587">
            <v>0</v>
          </cell>
          <cell r="N1587">
            <v>0</v>
          </cell>
          <cell r="R1587">
            <v>0</v>
          </cell>
          <cell r="S1587">
            <v>0</v>
          </cell>
          <cell r="T1587">
            <v>0</v>
          </cell>
          <cell r="U1587">
            <v>32</v>
          </cell>
          <cell r="V1587">
            <v>0</v>
          </cell>
          <cell r="W1587">
            <v>0</v>
          </cell>
          <cell r="AA1587">
            <v>0</v>
          </cell>
          <cell r="AB1587">
            <v>0</v>
          </cell>
          <cell r="AC1587">
            <v>0</v>
          </cell>
          <cell r="AD1587">
            <v>32</v>
          </cell>
          <cell r="AE1587">
            <v>143000</v>
          </cell>
          <cell r="AF1587">
            <v>0</v>
          </cell>
          <cell r="AI1587">
            <v>2251</v>
          </cell>
          <cell r="AK1587">
            <v>0</v>
          </cell>
          <cell r="AM1587">
            <v>248</v>
          </cell>
          <cell r="AN1587">
            <v>1</v>
          </cell>
          <cell r="AO1587">
            <v>393216</v>
          </cell>
          <cell r="AQ1587">
            <v>0</v>
          </cell>
          <cell r="AR1587">
            <v>0</v>
          </cell>
          <cell r="AS1587" t="str">
            <v>Ы</v>
          </cell>
          <cell r="AT1587" t="str">
            <v>Ы</v>
          </cell>
          <cell r="AU1587">
            <v>0</v>
          </cell>
          <cell r="AV1587">
            <v>0</v>
          </cell>
          <cell r="AW1587">
            <v>23</v>
          </cell>
          <cell r="AX1587">
            <v>1</v>
          </cell>
          <cell r="AY1587">
            <v>0</v>
          </cell>
          <cell r="AZ1587">
            <v>0</v>
          </cell>
          <cell r="BA1587">
            <v>0</v>
          </cell>
          <cell r="BB1587">
            <v>0</v>
          </cell>
          <cell r="BC1587">
            <v>38828</v>
          </cell>
        </row>
        <row r="1588">
          <cell r="A1588">
            <v>2006</v>
          </cell>
          <cell r="B1588">
            <v>2</v>
          </cell>
          <cell r="C1588">
            <v>120</v>
          </cell>
          <cell r="D1588">
            <v>21</v>
          </cell>
          <cell r="E1588">
            <v>792020</v>
          </cell>
          <cell r="F1588">
            <v>0</v>
          </cell>
          <cell r="G1588" t="str">
            <v>Затраты по ШПЗ (основные)</v>
          </cell>
          <cell r="H1588">
            <v>2011</v>
          </cell>
          <cell r="I1588">
            <v>7920</v>
          </cell>
          <cell r="J1588">
            <v>797652.16</v>
          </cell>
          <cell r="K1588">
            <v>1</v>
          </cell>
          <cell r="L1588">
            <v>0</v>
          </cell>
          <cell r="M1588">
            <v>0</v>
          </cell>
          <cell r="N1588">
            <v>0</v>
          </cell>
          <cell r="R1588">
            <v>0</v>
          </cell>
          <cell r="S1588">
            <v>0</v>
          </cell>
          <cell r="T1588">
            <v>0</v>
          </cell>
          <cell r="U1588">
            <v>32</v>
          </cell>
          <cell r="V1588">
            <v>0</v>
          </cell>
          <cell r="W1588">
            <v>0</v>
          </cell>
          <cell r="AA1588">
            <v>0</v>
          </cell>
          <cell r="AB1588">
            <v>0</v>
          </cell>
          <cell r="AC1588">
            <v>0</v>
          </cell>
          <cell r="AD1588">
            <v>32</v>
          </cell>
          <cell r="AE1588">
            <v>151000</v>
          </cell>
          <cell r="AF1588">
            <v>0</v>
          </cell>
          <cell r="AI1588">
            <v>2251</v>
          </cell>
          <cell r="AK1588">
            <v>0</v>
          </cell>
          <cell r="AM1588">
            <v>249</v>
          </cell>
          <cell r="AN1588">
            <v>1</v>
          </cell>
          <cell r="AO1588">
            <v>393216</v>
          </cell>
          <cell r="AQ1588">
            <v>0</v>
          </cell>
          <cell r="AR1588">
            <v>0</v>
          </cell>
          <cell r="AS1588" t="str">
            <v>Ы</v>
          </cell>
          <cell r="AT1588" t="str">
            <v>Ы</v>
          </cell>
          <cell r="AU1588">
            <v>0</v>
          </cell>
          <cell r="AV1588">
            <v>0</v>
          </cell>
          <cell r="AW1588">
            <v>23</v>
          </cell>
          <cell r="AX1588">
            <v>1</v>
          </cell>
          <cell r="AY1588">
            <v>0</v>
          </cell>
          <cell r="AZ1588">
            <v>0</v>
          </cell>
          <cell r="BA1588">
            <v>0</v>
          </cell>
          <cell r="BB1588">
            <v>0</v>
          </cell>
          <cell r="BC1588">
            <v>38828</v>
          </cell>
        </row>
        <row r="1589">
          <cell r="A1589">
            <v>2006</v>
          </cell>
          <cell r="B1589">
            <v>2</v>
          </cell>
          <cell r="C1589">
            <v>121</v>
          </cell>
          <cell r="D1589">
            <v>21</v>
          </cell>
          <cell r="E1589">
            <v>792020</v>
          </cell>
          <cell r="F1589">
            <v>0</v>
          </cell>
          <cell r="G1589" t="str">
            <v>Затраты по ШПЗ (основные)</v>
          </cell>
          <cell r="H1589">
            <v>2011</v>
          </cell>
          <cell r="I1589">
            <v>7920</v>
          </cell>
          <cell r="J1589">
            <v>58517.47</v>
          </cell>
          <cell r="K1589">
            <v>1</v>
          </cell>
          <cell r="L1589">
            <v>0</v>
          </cell>
          <cell r="M1589">
            <v>0</v>
          </cell>
          <cell r="N1589">
            <v>0</v>
          </cell>
          <cell r="R1589">
            <v>0</v>
          </cell>
          <cell r="S1589">
            <v>0</v>
          </cell>
          <cell r="T1589">
            <v>0</v>
          </cell>
          <cell r="U1589">
            <v>32</v>
          </cell>
          <cell r="V1589">
            <v>0</v>
          </cell>
          <cell r="W1589">
            <v>0</v>
          </cell>
          <cell r="AA1589">
            <v>0</v>
          </cell>
          <cell r="AB1589">
            <v>0</v>
          </cell>
          <cell r="AC1589">
            <v>0</v>
          </cell>
          <cell r="AD1589">
            <v>32</v>
          </cell>
          <cell r="AE1589">
            <v>152000</v>
          </cell>
          <cell r="AF1589">
            <v>0</v>
          </cell>
          <cell r="AI1589">
            <v>2251</v>
          </cell>
          <cell r="AK1589">
            <v>0</v>
          </cell>
          <cell r="AM1589">
            <v>250</v>
          </cell>
          <cell r="AN1589">
            <v>1</v>
          </cell>
          <cell r="AO1589">
            <v>393216</v>
          </cell>
          <cell r="AQ1589">
            <v>0</v>
          </cell>
          <cell r="AR1589">
            <v>0</v>
          </cell>
          <cell r="AS1589" t="str">
            <v>Ы</v>
          </cell>
          <cell r="AT1589" t="str">
            <v>Ы</v>
          </cell>
          <cell r="AU1589">
            <v>0</v>
          </cell>
          <cell r="AV1589">
            <v>0</v>
          </cell>
          <cell r="AW1589">
            <v>23</v>
          </cell>
          <cell r="AX1589">
            <v>1</v>
          </cell>
          <cell r="AY1589">
            <v>0</v>
          </cell>
          <cell r="AZ1589">
            <v>0</v>
          </cell>
          <cell r="BA1589">
            <v>0</v>
          </cell>
          <cell r="BB1589">
            <v>0</v>
          </cell>
          <cell r="BC1589">
            <v>38828</v>
          </cell>
        </row>
        <row r="1590">
          <cell r="A1590">
            <v>2006</v>
          </cell>
          <cell r="B1590">
            <v>2</v>
          </cell>
          <cell r="C1590">
            <v>122</v>
          </cell>
          <cell r="D1590">
            <v>21</v>
          </cell>
          <cell r="E1590">
            <v>792020</v>
          </cell>
          <cell r="F1590">
            <v>0</v>
          </cell>
          <cell r="G1590" t="str">
            <v>Затраты по ШПЗ (основные)</v>
          </cell>
          <cell r="H1590">
            <v>2011</v>
          </cell>
          <cell r="I1590">
            <v>7920</v>
          </cell>
          <cell r="J1590">
            <v>3231763.97</v>
          </cell>
          <cell r="K1590">
            <v>1</v>
          </cell>
          <cell r="L1590">
            <v>0</v>
          </cell>
          <cell r="M1590">
            <v>0</v>
          </cell>
          <cell r="N1590">
            <v>0</v>
          </cell>
          <cell r="R1590">
            <v>0</v>
          </cell>
          <cell r="S1590">
            <v>0</v>
          </cell>
          <cell r="T1590">
            <v>0</v>
          </cell>
          <cell r="U1590">
            <v>32</v>
          </cell>
          <cell r="V1590">
            <v>0</v>
          </cell>
          <cell r="W1590">
            <v>0</v>
          </cell>
          <cell r="AA1590">
            <v>0</v>
          </cell>
          <cell r="AB1590">
            <v>0</v>
          </cell>
          <cell r="AC1590">
            <v>0</v>
          </cell>
          <cell r="AD1590">
            <v>32</v>
          </cell>
          <cell r="AE1590">
            <v>220000</v>
          </cell>
          <cell r="AF1590">
            <v>0</v>
          </cell>
          <cell r="AI1590">
            <v>2251</v>
          </cell>
          <cell r="AK1590">
            <v>0</v>
          </cell>
          <cell r="AM1590">
            <v>251</v>
          </cell>
          <cell r="AN1590">
            <v>1</v>
          </cell>
          <cell r="AO1590">
            <v>393216</v>
          </cell>
          <cell r="AQ1590">
            <v>0</v>
          </cell>
          <cell r="AR1590">
            <v>0</v>
          </cell>
          <cell r="AS1590" t="str">
            <v>Ы</v>
          </cell>
          <cell r="AT1590" t="str">
            <v>Ы</v>
          </cell>
          <cell r="AU1590">
            <v>0</v>
          </cell>
          <cell r="AV1590">
            <v>0</v>
          </cell>
          <cell r="AW1590">
            <v>23</v>
          </cell>
          <cell r="AX1590">
            <v>1</v>
          </cell>
          <cell r="AY1590">
            <v>0</v>
          </cell>
          <cell r="AZ1590">
            <v>0</v>
          </cell>
          <cell r="BA1590">
            <v>0</v>
          </cell>
          <cell r="BB1590">
            <v>0</v>
          </cell>
          <cell r="BC1590">
            <v>38828</v>
          </cell>
        </row>
        <row r="1591">
          <cell r="A1591">
            <v>2006</v>
          </cell>
          <cell r="B1591">
            <v>2</v>
          </cell>
          <cell r="C1591">
            <v>123</v>
          </cell>
          <cell r="D1591">
            <v>21</v>
          </cell>
          <cell r="E1591">
            <v>792020</v>
          </cell>
          <cell r="F1591">
            <v>0</v>
          </cell>
          <cell r="G1591" t="str">
            <v>Затраты по ШПЗ (основные)</v>
          </cell>
          <cell r="H1591">
            <v>2011</v>
          </cell>
          <cell r="I1591">
            <v>7920</v>
          </cell>
          <cell r="J1591">
            <v>1799798.77</v>
          </cell>
          <cell r="K1591">
            <v>1</v>
          </cell>
          <cell r="L1591">
            <v>0</v>
          </cell>
          <cell r="M1591">
            <v>0</v>
          </cell>
          <cell r="N1591">
            <v>0</v>
          </cell>
          <cell r="R1591">
            <v>0</v>
          </cell>
          <cell r="S1591">
            <v>0</v>
          </cell>
          <cell r="T1591">
            <v>0</v>
          </cell>
          <cell r="U1591">
            <v>32</v>
          </cell>
          <cell r="V1591">
            <v>0</v>
          </cell>
          <cell r="W1591">
            <v>0</v>
          </cell>
          <cell r="AA1591">
            <v>0</v>
          </cell>
          <cell r="AB1591">
            <v>0</v>
          </cell>
          <cell r="AC1591">
            <v>0</v>
          </cell>
          <cell r="AD1591">
            <v>32</v>
          </cell>
          <cell r="AE1591">
            <v>230000</v>
          </cell>
          <cell r="AF1591">
            <v>0</v>
          </cell>
          <cell r="AI1591">
            <v>2251</v>
          </cell>
          <cell r="AK1591">
            <v>0</v>
          </cell>
          <cell r="AM1591">
            <v>252</v>
          </cell>
          <cell r="AN1591">
            <v>1</v>
          </cell>
          <cell r="AO1591">
            <v>393216</v>
          </cell>
          <cell r="AQ1591">
            <v>0</v>
          </cell>
          <cell r="AR1591">
            <v>0</v>
          </cell>
          <cell r="AS1591" t="str">
            <v>Ы</v>
          </cell>
          <cell r="AT1591" t="str">
            <v>Ы</v>
          </cell>
          <cell r="AU1591">
            <v>0</v>
          </cell>
          <cell r="AV1591">
            <v>0</v>
          </cell>
          <cell r="AW1591">
            <v>23</v>
          </cell>
          <cell r="AX1591">
            <v>1</v>
          </cell>
          <cell r="AY1591">
            <v>0</v>
          </cell>
          <cell r="AZ1591">
            <v>0</v>
          </cell>
          <cell r="BA1591">
            <v>0</v>
          </cell>
          <cell r="BB1591">
            <v>0</v>
          </cell>
          <cell r="BC1591">
            <v>38828</v>
          </cell>
        </row>
        <row r="1592">
          <cell r="A1592">
            <v>2006</v>
          </cell>
          <cell r="B1592">
            <v>2</v>
          </cell>
          <cell r="C1592">
            <v>124</v>
          </cell>
          <cell r="D1592">
            <v>21</v>
          </cell>
          <cell r="E1592">
            <v>792020</v>
          </cell>
          <cell r="F1592">
            <v>0</v>
          </cell>
          <cell r="G1592" t="str">
            <v>Затраты по ШПЗ (основные)</v>
          </cell>
          <cell r="H1592">
            <v>2011</v>
          </cell>
          <cell r="I1592">
            <v>7920</v>
          </cell>
          <cell r="J1592">
            <v>150444.35</v>
          </cell>
          <cell r="K1592">
            <v>1</v>
          </cell>
          <cell r="L1592">
            <v>0</v>
          </cell>
          <cell r="M1592">
            <v>0</v>
          </cell>
          <cell r="N1592">
            <v>0</v>
          </cell>
          <cell r="R1592">
            <v>0</v>
          </cell>
          <cell r="S1592">
            <v>0</v>
          </cell>
          <cell r="T1592">
            <v>0</v>
          </cell>
          <cell r="U1592">
            <v>32</v>
          </cell>
          <cell r="V1592">
            <v>0</v>
          </cell>
          <cell r="W1592">
            <v>0</v>
          </cell>
          <cell r="AA1592">
            <v>0</v>
          </cell>
          <cell r="AB1592">
            <v>0</v>
          </cell>
          <cell r="AC1592">
            <v>0</v>
          </cell>
          <cell r="AD1592">
            <v>32</v>
          </cell>
          <cell r="AE1592">
            <v>260000</v>
          </cell>
          <cell r="AF1592">
            <v>0</v>
          </cell>
          <cell r="AI1592">
            <v>2251</v>
          </cell>
          <cell r="AK1592">
            <v>0</v>
          </cell>
          <cell r="AM1592">
            <v>253</v>
          </cell>
          <cell r="AN1592">
            <v>1</v>
          </cell>
          <cell r="AO1592">
            <v>393216</v>
          </cell>
          <cell r="AQ1592">
            <v>0</v>
          </cell>
          <cell r="AR1592">
            <v>0</v>
          </cell>
          <cell r="AS1592" t="str">
            <v>Ы</v>
          </cell>
          <cell r="AT1592" t="str">
            <v>Ы</v>
          </cell>
          <cell r="AU1592">
            <v>0</v>
          </cell>
          <cell r="AV1592">
            <v>0</v>
          </cell>
          <cell r="AW1592">
            <v>23</v>
          </cell>
          <cell r="AX1592">
            <v>1</v>
          </cell>
          <cell r="AY1592">
            <v>0</v>
          </cell>
          <cell r="AZ1592">
            <v>0</v>
          </cell>
          <cell r="BA1592">
            <v>0</v>
          </cell>
          <cell r="BB1592">
            <v>0</v>
          </cell>
          <cell r="BC1592">
            <v>38828</v>
          </cell>
        </row>
        <row r="1593">
          <cell r="A1593">
            <v>2006</v>
          </cell>
          <cell r="B1593">
            <v>2</v>
          </cell>
          <cell r="C1593">
            <v>125</v>
          </cell>
          <cell r="D1593">
            <v>21</v>
          </cell>
          <cell r="E1593">
            <v>792020</v>
          </cell>
          <cell r="F1593">
            <v>0</v>
          </cell>
          <cell r="G1593" t="str">
            <v>Затраты по ШПЗ (основные)</v>
          </cell>
          <cell r="H1593">
            <v>2011</v>
          </cell>
          <cell r="I1593">
            <v>7920</v>
          </cell>
          <cell r="J1593">
            <v>497700.97</v>
          </cell>
          <cell r="K1593">
            <v>1</v>
          </cell>
          <cell r="L1593">
            <v>0</v>
          </cell>
          <cell r="M1593">
            <v>0</v>
          </cell>
          <cell r="N1593">
            <v>0</v>
          </cell>
          <cell r="R1593">
            <v>0</v>
          </cell>
          <cell r="S1593">
            <v>0</v>
          </cell>
          <cell r="T1593">
            <v>0</v>
          </cell>
          <cell r="U1593">
            <v>32</v>
          </cell>
          <cell r="V1593">
            <v>0</v>
          </cell>
          <cell r="W1593">
            <v>0</v>
          </cell>
          <cell r="AA1593">
            <v>0</v>
          </cell>
          <cell r="AB1593">
            <v>0</v>
          </cell>
          <cell r="AC1593">
            <v>0</v>
          </cell>
          <cell r="AD1593">
            <v>32</v>
          </cell>
          <cell r="AE1593">
            <v>270000</v>
          </cell>
          <cell r="AF1593">
            <v>0</v>
          </cell>
          <cell r="AI1593">
            <v>2251</v>
          </cell>
          <cell r="AK1593">
            <v>0</v>
          </cell>
          <cell r="AM1593">
            <v>254</v>
          </cell>
          <cell r="AN1593">
            <v>1</v>
          </cell>
          <cell r="AO1593">
            <v>393216</v>
          </cell>
          <cell r="AQ1593">
            <v>0</v>
          </cell>
          <cell r="AR1593">
            <v>0</v>
          </cell>
          <cell r="AS1593" t="str">
            <v>Ы</v>
          </cell>
          <cell r="AT1593" t="str">
            <v>Ы</v>
          </cell>
          <cell r="AU1593">
            <v>0</v>
          </cell>
          <cell r="AV1593">
            <v>0</v>
          </cell>
          <cell r="AW1593">
            <v>23</v>
          </cell>
          <cell r="AX1593">
            <v>1</v>
          </cell>
          <cell r="AY1593">
            <v>0</v>
          </cell>
          <cell r="AZ1593">
            <v>0</v>
          </cell>
          <cell r="BA1593">
            <v>0</v>
          </cell>
          <cell r="BB1593">
            <v>0</v>
          </cell>
          <cell r="BC1593">
            <v>38828</v>
          </cell>
        </row>
        <row r="1594">
          <cell r="A1594">
            <v>2006</v>
          </cell>
          <cell r="B1594">
            <v>2</v>
          </cell>
          <cell r="C1594">
            <v>126</v>
          </cell>
          <cell r="D1594">
            <v>21</v>
          </cell>
          <cell r="E1594">
            <v>792020</v>
          </cell>
          <cell r="F1594">
            <v>0</v>
          </cell>
          <cell r="G1594" t="str">
            <v>Затраты по ШПЗ (основные)</v>
          </cell>
          <cell r="H1594">
            <v>2011</v>
          </cell>
          <cell r="I1594">
            <v>7920</v>
          </cell>
          <cell r="J1594">
            <v>19609.39</v>
          </cell>
          <cell r="K1594">
            <v>1</v>
          </cell>
          <cell r="L1594">
            <v>0</v>
          </cell>
          <cell r="M1594">
            <v>0</v>
          </cell>
          <cell r="N1594">
            <v>0</v>
          </cell>
          <cell r="R1594">
            <v>0</v>
          </cell>
          <cell r="S1594">
            <v>0</v>
          </cell>
          <cell r="T1594">
            <v>0</v>
          </cell>
          <cell r="U1594">
            <v>32</v>
          </cell>
          <cell r="V1594">
            <v>0</v>
          </cell>
          <cell r="W1594">
            <v>0</v>
          </cell>
          <cell r="AA1594">
            <v>0</v>
          </cell>
          <cell r="AB1594">
            <v>0</v>
          </cell>
          <cell r="AC1594">
            <v>0</v>
          </cell>
          <cell r="AD1594">
            <v>32</v>
          </cell>
          <cell r="AE1594">
            <v>280000</v>
          </cell>
          <cell r="AF1594">
            <v>0</v>
          </cell>
          <cell r="AI1594">
            <v>2251</v>
          </cell>
          <cell r="AK1594">
            <v>0</v>
          </cell>
          <cell r="AM1594">
            <v>255</v>
          </cell>
          <cell r="AN1594">
            <v>1</v>
          </cell>
          <cell r="AO1594">
            <v>393216</v>
          </cell>
          <cell r="AQ1594">
            <v>0</v>
          </cell>
          <cell r="AR1594">
            <v>0</v>
          </cell>
          <cell r="AS1594" t="str">
            <v>Ы</v>
          </cell>
          <cell r="AT1594" t="str">
            <v>Ы</v>
          </cell>
          <cell r="AU1594">
            <v>0</v>
          </cell>
          <cell r="AV1594">
            <v>0</v>
          </cell>
          <cell r="AW1594">
            <v>23</v>
          </cell>
          <cell r="AX1594">
            <v>1</v>
          </cell>
          <cell r="AY1594">
            <v>0</v>
          </cell>
          <cell r="AZ1594">
            <v>0</v>
          </cell>
          <cell r="BA1594">
            <v>0</v>
          </cell>
          <cell r="BB1594">
            <v>0</v>
          </cell>
          <cell r="BC1594">
            <v>38828</v>
          </cell>
        </row>
        <row r="1595">
          <cell r="A1595">
            <v>2006</v>
          </cell>
          <cell r="B1595">
            <v>2</v>
          </cell>
          <cell r="C1595">
            <v>127</v>
          </cell>
          <cell r="D1595">
            <v>21</v>
          </cell>
          <cell r="E1595">
            <v>792020</v>
          </cell>
          <cell r="F1595">
            <v>0</v>
          </cell>
          <cell r="G1595" t="str">
            <v>Затраты по ШПЗ (основные)</v>
          </cell>
          <cell r="H1595">
            <v>2011</v>
          </cell>
          <cell r="I1595">
            <v>7920</v>
          </cell>
          <cell r="J1595">
            <v>162842.39000000001</v>
          </cell>
          <cell r="K1595">
            <v>1</v>
          </cell>
          <cell r="L1595">
            <v>0</v>
          </cell>
          <cell r="M1595">
            <v>0</v>
          </cell>
          <cell r="N1595">
            <v>0</v>
          </cell>
          <cell r="R1595">
            <v>0</v>
          </cell>
          <cell r="S1595">
            <v>0</v>
          </cell>
          <cell r="T1595">
            <v>0</v>
          </cell>
          <cell r="U1595">
            <v>32</v>
          </cell>
          <cell r="V1595">
            <v>0</v>
          </cell>
          <cell r="W1595">
            <v>0</v>
          </cell>
          <cell r="AA1595">
            <v>0</v>
          </cell>
          <cell r="AB1595">
            <v>0</v>
          </cell>
          <cell r="AC1595">
            <v>0</v>
          </cell>
          <cell r="AD1595">
            <v>32</v>
          </cell>
          <cell r="AE1595">
            <v>280100</v>
          </cell>
          <cell r="AF1595">
            <v>0</v>
          </cell>
          <cell r="AI1595">
            <v>2251</v>
          </cell>
          <cell r="AK1595">
            <v>0</v>
          </cell>
          <cell r="AM1595">
            <v>256</v>
          </cell>
          <cell r="AN1595">
            <v>1</v>
          </cell>
          <cell r="AO1595">
            <v>393216</v>
          </cell>
          <cell r="AQ1595">
            <v>0</v>
          </cell>
          <cell r="AR1595">
            <v>0</v>
          </cell>
          <cell r="AS1595" t="str">
            <v>Ы</v>
          </cell>
          <cell r="AT1595" t="str">
            <v>Ы</v>
          </cell>
          <cell r="AU1595">
            <v>0</v>
          </cell>
          <cell r="AV1595">
            <v>0</v>
          </cell>
          <cell r="AW1595">
            <v>23</v>
          </cell>
          <cell r="AX1595">
            <v>1</v>
          </cell>
          <cell r="AY1595">
            <v>0</v>
          </cell>
          <cell r="AZ1595">
            <v>0</v>
          </cell>
          <cell r="BA1595">
            <v>0</v>
          </cell>
          <cell r="BB1595">
            <v>0</v>
          </cell>
          <cell r="BC1595">
            <v>38828</v>
          </cell>
        </row>
        <row r="1596">
          <cell r="A1596">
            <v>2006</v>
          </cell>
          <cell r="B1596">
            <v>2</v>
          </cell>
          <cell r="C1596">
            <v>128</v>
          </cell>
          <cell r="D1596">
            <v>21</v>
          </cell>
          <cell r="E1596">
            <v>792020</v>
          </cell>
          <cell r="F1596">
            <v>0</v>
          </cell>
          <cell r="G1596" t="str">
            <v>Затраты по ШПЗ (основные)</v>
          </cell>
          <cell r="H1596">
            <v>2011</v>
          </cell>
          <cell r="I1596">
            <v>7920</v>
          </cell>
          <cell r="J1596">
            <v>37712.65</v>
          </cell>
          <cell r="K1596">
            <v>1</v>
          </cell>
          <cell r="L1596">
            <v>0</v>
          </cell>
          <cell r="M1596">
            <v>0</v>
          </cell>
          <cell r="N1596">
            <v>0</v>
          </cell>
          <cell r="R1596">
            <v>0</v>
          </cell>
          <cell r="S1596">
            <v>0</v>
          </cell>
          <cell r="T1596">
            <v>0</v>
          </cell>
          <cell r="U1596">
            <v>32</v>
          </cell>
          <cell r="V1596">
            <v>0</v>
          </cell>
          <cell r="W1596">
            <v>0</v>
          </cell>
          <cell r="AA1596">
            <v>0</v>
          </cell>
          <cell r="AB1596">
            <v>0</v>
          </cell>
          <cell r="AC1596">
            <v>0</v>
          </cell>
          <cell r="AD1596">
            <v>32</v>
          </cell>
          <cell r="AE1596">
            <v>280200</v>
          </cell>
          <cell r="AF1596">
            <v>0</v>
          </cell>
          <cell r="AI1596">
            <v>2251</v>
          </cell>
          <cell r="AK1596">
            <v>0</v>
          </cell>
          <cell r="AM1596">
            <v>257</v>
          </cell>
          <cell r="AN1596">
            <v>1</v>
          </cell>
          <cell r="AO1596">
            <v>393216</v>
          </cell>
          <cell r="AQ1596">
            <v>0</v>
          </cell>
          <cell r="AR1596">
            <v>0</v>
          </cell>
          <cell r="AS1596" t="str">
            <v>Ы</v>
          </cell>
          <cell r="AT1596" t="str">
            <v>Ы</v>
          </cell>
          <cell r="AU1596">
            <v>0</v>
          </cell>
          <cell r="AV1596">
            <v>0</v>
          </cell>
          <cell r="AW1596">
            <v>23</v>
          </cell>
          <cell r="AX1596">
            <v>1</v>
          </cell>
          <cell r="AY1596">
            <v>0</v>
          </cell>
          <cell r="AZ1596">
            <v>0</v>
          </cell>
          <cell r="BA1596">
            <v>0</v>
          </cell>
          <cell r="BB1596">
            <v>0</v>
          </cell>
          <cell r="BC1596">
            <v>38828</v>
          </cell>
        </row>
        <row r="1597">
          <cell r="A1597">
            <v>2006</v>
          </cell>
          <cell r="B1597">
            <v>2</v>
          </cell>
          <cell r="C1597">
            <v>129</v>
          </cell>
          <cell r="D1597">
            <v>21</v>
          </cell>
          <cell r="E1597">
            <v>792020</v>
          </cell>
          <cell r="F1597">
            <v>0</v>
          </cell>
          <cell r="G1597" t="str">
            <v>Затраты по ШПЗ (основные)</v>
          </cell>
          <cell r="H1597">
            <v>2011</v>
          </cell>
          <cell r="I1597">
            <v>7920</v>
          </cell>
          <cell r="J1597">
            <v>2751.2</v>
          </cell>
          <cell r="K1597">
            <v>1</v>
          </cell>
          <cell r="L1597">
            <v>0</v>
          </cell>
          <cell r="M1597">
            <v>0</v>
          </cell>
          <cell r="N1597">
            <v>0</v>
          </cell>
          <cell r="R1597">
            <v>0</v>
          </cell>
          <cell r="S1597">
            <v>0</v>
          </cell>
          <cell r="T1597">
            <v>0</v>
          </cell>
          <cell r="U1597">
            <v>32</v>
          </cell>
          <cell r="V1597">
            <v>0</v>
          </cell>
          <cell r="W1597">
            <v>0</v>
          </cell>
          <cell r="AA1597">
            <v>0</v>
          </cell>
          <cell r="AB1597">
            <v>0</v>
          </cell>
          <cell r="AC1597">
            <v>0</v>
          </cell>
          <cell r="AD1597">
            <v>32</v>
          </cell>
          <cell r="AE1597">
            <v>280300</v>
          </cell>
          <cell r="AF1597">
            <v>0</v>
          </cell>
          <cell r="AI1597">
            <v>2251</v>
          </cell>
          <cell r="AK1597">
            <v>0</v>
          </cell>
          <cell r="AM1597">
            <v>258</v>
          </cell>
          <cell r="AN1597">
            <v>1</v>
          </cell>
          <cell r="AO1597">
            <v>393216</v>
          </cell>
          <cell r="AQ1597">
            <v>0</v>
          </cell>
          <cell r="AR1597">
            <v>0</v>
          </cell>
          <cell r="AS1597" t="str">
            <v>Ы</v>
          </cell>
          <cell r="AT1597" t="str">
            <v>Ы</v>
          </cell>
          <cell r="AU1597">
            <v>0</v>
          </cell>
          <cell r="AV1597">
            <v>0</v>
          </cell>
          <cell r="AW1597">
            <v>23</v>
          </cell>
          <cell r="AX1597">
            <v>1</v>
          </cell>
          <cell r="AY1597">
            <v>0</v>
          </cell>
          <cell r="AZ1597">
            <v>0</v>
          </cell>
          <cell r="BA1597">
            <v>0</v>
          </cell>
          <cell r="BB1597">
            <v>0</v>
          </cell>
          <cell r="BC1597">
            <v>38828</v>
          </cell>
        </row>
        <row r="1598">
          <cell r="A1598">
            <v>2006</v>
          </cell>
          <cell r="B1598">
            <v>2</v>
          </cell>
          <cell r="C1598">
            <v>130</v>
          </cell>
          <cell r="D1598">
            <v>21</v>
          </cell>
          <cell r="E1598">
            <v>792020</v>
          </cell>
          <cell r="F1598">
            <v>0</v>
          </cell>
          <cell r="G1598" t="str">
            <v>Затраты по ШПЗ (основные)</v>
          </cell>
          <cell r="H1598">
            <v>2011</v>
          </cell>
          <cell r="I1598">
            <v>7920</v>
          </cell>
          <cell r="J1598">
            <v>283531.61</v>
          </cell>
          <cell r="K1598">
            <v>1</v>
          </cell>
          <cell r="L1598">
            <v>0</v>
          </cell>
          <cell r="M1598">
            <v>0</v>
          </cell>
          <cell r="N1598">
            <v>0</v>
          </cell>
          <cell r="R1598">
            <v>0</v>
          </cell>
          <cell r="S1598">
            <v>0</v>
          </cell>
          <cell r="T1598">
            <v>0</v>
          </cell>
          <cell r="U1598">
            <v>32</v>
          </cell>
          <cell r="V1598">
            <v>0</v>
          </cell>
          <cell r="W1598">
            <v>0</v>
          </cell>
          <cell r="AA1598">
            <v>0</v>
          </cell>
          <cell r="AB1598">
            <v>0</v>
          </cell>
          <cell r="AC1598">
            <v>0</v>
          </cell>
          <cell r="AD1598">
            <v>32</v>
          </cell>
          <cell r="AE1598">
            <v>280400</v>
          </cell>
          <cell r="AF1598">
            <v>0</v>
          </cell>
          <cell r="AI1598">
            <v>2251</v>
          </cell>
          <cell r="AK1598">
            <v>0</v>
          </cell>
          <cell r="AM1598">
            <v>259</v>
          </cell>
          <cell r="AN1598">
            <v>1</v>
          </cell>
          <cell r="AO1598">
            <v>393216</v>
          </cell>
          <cell r="AQ1598">
            <v>0</v>
          </cell>
          <cell r="AR1598">
            <v>0</v>
          </cell>
          <cell r="AS1598" t="str">
            <v>Ы</v>
          </cell>
          <cell r="AT1598" t="str">
            <v>Ы</v>
          </cell>
          <cell r="AU1598">
            <v>0</v>
          </cell>
          <cell r="AV1598">
            <v>0</v>
          </cell>
          <cell r="AW1598">
            <v>23</v>
          </cell>
          <cell r="AX1598">
            <v>1</v>
          </cell>
          <cell r="AY1598">
            <v>0</v>
          </cell>
          <cell r="AZ1598">
            <v>0</v>
          </cell>
          <cell r="BA1598">
            <v>0</v>
          </cell>
          <cell r="BB1598">
            <v>0</v>
          </cell>
          <cell r="BC1598">
            <v>38828</v>
          </cell>
        </row>
        <row r="1599">
          <cell r="A1599">
            <v>2006</v>
          </cell>
          <cell r="B1599">
            <v>2</v>
          </cell>
          <cell r="C1599">
            <v>131</v>
          </cell>
          <cell r="D1599">
            <v>21</v>
          </cell>
          <cell r="E1599">
            <v>792020</v>
          </cell>
          <cell r="F1599">
            <v>0</v>
          </cell>
          <cell r="G1599" t="str">
            <v>Затраты по ШПЗ (основные)</v>
          </cell>
          <cell r="H1599">
            <v>2011</v>
          </cell>
          <cell r="I1599">
            <v>7920</v>
          </cell>
          <cell r="J1599">
            <v>34651.360000000001</v>
          </cell>
          <cell r="K1599">
            <v>1</v>
          </cell>
          <cell r="L1599">
            <v>0</v>
          </cell>
          <cell r="M1599">
            <v>0</v>
          </cell>
          <cell r="N1599">
            <v>0</v>
          </cell>
          <cell r="R1599">
            <v>0</v>
          </cell>
          <cell r="S1599">
            <v>0</v>
          </cell>
          <cell r="T1599">
            <v>0</v>
          </cell>
          <cell r="U1599">
            <v>32</v>
          </cell>
          <cell r="V1599">
            <v>0</v>
          </cell>
          <cell r="W1599">
            <v>0</v>
          </cell>
          <cell r="AA1599">
            <v>0</v>
          </cell>
          <cell r="AB1599">
            <v>0</v>
          </cell>
          <cell r="AC1599">
            <v>0</v>
          </cell>
          <cell r="AD1599">
            <v>32</v>
          </cell>
          <cell r="AE1599">
            <v>281100</v>
          </cell>
          <cell r="AF1599">
            <v>0</v>
          </cell>
          <cell r="AI1599">
            <v>2251</v>
          </cell>
          <cell r="AK1599">
            <v>0</v>
          </cell>
          <cell r="AM1599">
            <v>260</v>
          </cell>
          <cell r="AN1599">
            <v>1</v>
          </cell>
          <cell r="AO1599">
            <v>393216</v>
          </cell>
          <cell r="AQ1599">
            <v>0</v>
          </cell>
          <cell r="AR1599">
            <v>0</v>
          </cell>
          <cell r="AS1599" t="str">
            <v>Ы</v>
          </cell>
          <cell r="AT1599" t="str">
            <v>Ы</v>
          </cell>
          <cell r="AU1599">
            <v>0</v>
          </cell>
          <cell r="AV1599">
            <v>0</v>
          </cell>
          <cell r="AW1599">
            <v>23</v>
          </cell>
          <cell r="AX1599">
            <v>1</v>
          </cell>
          <cell r="AY1599">
            <v>0</v>
          </cell>
          <cell r="AZ1599">
            <v>0</v>
          </cell>
          <cell r="BA1599">
            <v>0</v>
          </cell>
          <cell r="BB1599">
            <v>0</v>
          </cell>
          <cell r="BC1599">
            <v>38828</v>
          </cell>
        </row>
        <row r="1600">
          <cell r="A1600">
            <v>2006</v>
          </cell>
          <cell r="B1600">
            <v>2</v>
          </cell>
          <cell r="C1600">
            <v>132</v>
          </cell>
          <cell r="D1600">
            <v>21</v>
          </cell>
          <cell r="E1600">
            <v>792020</v>
          </cell>
          <cell r="F1600">
            <v>0</v>
          </cell>
          <cell r="G1600" t="str">
            <v>Затраты по ШПЗ (основные)</v>
          </cell>
          <cell r="H1600">
            <v>2011</v>
          </cell>
          <cell r="I1600">
            <v>7920</v>
          </cell>
          <cell r="J1600">
            <v>9461.17</v>
          </cell>
          <cell r="K1600">
            <v>1</v>
          </cell>
          <cell r="L1600">
            <v>0</v>
          </cell>
          <cell r="M1600">
            <v>0</v>
          </cell>
          <cell r="N1600">
            <v>0</v>
          </cell>
          <cell r="R1600">
            <v>0</v>
          </cell>
          <cell r="S1600">
            <v>0</v>
          </cell>
          <cell r="T1600">
            <v>0</v>
          </cell>
          <cell r="U1600">
            <v>32</v>
          </cell>
          <cell r="V1600">
            <v>0</v>
          </cell>
          <cell r="W1600">
            <v>0</v>
          </cell>
          <cell r="AA1600">
            <v>0</v>
          </cell>
          <cell r="AB1600">
            <v>0</v>
          </cell>
          <cell r="AC1600">
            <v>0</v>
          </cell>
          <cell r="AD1600">
            <v>32</v>
          </cell>
          <cell r="AE1600">
            <v>282200</v>
          </cell>
          <cell r="AF1600">
            <v>0</v>
          </cell>
          <cell r="AI1600">
            <v>2251</v>
          </cell>
          <cell r="AK1600">
            <v>0</v>
          </cell>
          <cell r="AM1600">
            <v>261</v>
          </cell>
          <cell r="AN1600">
            <v>1</v>
          </cell>
          <cell r="AO1600">
            <v>393216</v>
          </cell>
          <cell r="AQ1600">
            <v>0</v>
          </cell>
          <cell r="AR1600">
            <v>0</v>
          </cell>
          <cell r="AS1600" t="str">
            <v>Ы</v>
          </cell>
          <cell r="AT1600" t="str">
            <v>Ы</v>
          </cell>
          <cell r="AU1600">
            <v>0</v>
          </cell>
          <cell r="AV1600">
            <v>0</v>
          </cell>
          <cell r="AW1600">
            <v>23</v>
          </cell>
          <cell r="AX1600">
            <v>1</v>
          </cell>
          <cell r="AY1600">
            <v>0</v>
          </cell>
          <cell r="AZ1600">
            <v>0</v>
          </cell>
          <cell r="BA1600">
            <v>0</v>
          </cell>
          <cell r="BB1600">
            <v>0</v>
          </cell>
          <cell r="BC1600">
            <v>38828</v>
          </cell>
        </row>
        <row r="1601">
          <cell r="A1601">
            <v>2006</v>
          </cell>
          <cell r="B1601">
            <v>2</v>
          </cell>
          <cell r="C1601">
            <v>133</v>
          </cell>
          <cell r="D1601">
            <v>21</v>
          </cell>
          <cell r="E1601">
            <v>792020</v>
          </cell>
          <cell r="F1601">
            <v>0</v>
          </cell>
          <cell r="G1601" t="str">
            <v>Затраты по ШПЗ (основные)</v>
          </cell>
          <cell r="H1601">
            <v>2011</v>
          </cell>
          <cell r="I1601">
            <v>7920</v>
          </cell>
          <cell r="J1601">
            <v>84861.25</v>
          </cell>
          <cell r="K1601">
            <v>1</v>
          </cell>
          <cell r="L1601">
            <v>0</v>
          </cell>
          <cell r="M1601">
            <v>0</v>
          </cell>
          <cell r="N1601">
            <v>0</v>
          </cell>
          <cell r="R1601">
            <v>0</v>
          </cell>
          <cell r="S1601">
            <v>0</v>
          </cell>
          <cell r="T1601">
            <v>0</v>
          </cell>
          <cell r="U1601">
            <v>32</v>
          </cell>
          <cell r="V1601">
            <v>0</v>
          </cell>
          <cell r="W1601">
            <v>0</v>
          </cell>
          <cell r="AA1601">
            <v>0</v>
          </cell>
          <cell r="AB1601">
            <v>0</v>
          </cell>
          <cell r="AC1601">
            <v>0</v>
          </cell>
          <cell r="AD1601">
            <v>32</v>
          </cell>
          <cell r="AE1601">
            <v>283000</v>
          </cell>
          <cell r="AF1601">
            <v>0</v>
          </cell>
          <cell r="AI1601">
            <v>2251</v>
          </cell>
          <cell r="AK1601">
            <v>0</v>
          </cell>
          <cell r="AM1601">
            <v>262</v>
          </cell>
          <cell r="AN1601">
            <v>1</v>
          </cell>
          <cell r="AO1601">
            <v>393216</v>
          </cell>
          <cell r="AQ1601">
            <v>0</v>
          </cell>
          <cell r="AR1601">
            <v>0</v>
          </cell>
          <cell r="AS1601" t="str">
            <v>Ы</v>
          </cell>
          <cell r="AT1601" t="str">
            <v>Ы</v>
          </cell>
          <cell r="AU1601">
            <v>0</v>
          </cell>
          <cell r="AV1601">
            <v>0</v>
          </cell>
          <cell r="AW1601">
            <v>23</v>
          </cell>
          <cell r="AX1601">
            <v>1</v>
          </cell>
          <cell r="AY1601">
            <v>0</v>
          </cell>
          <cell r="AZ1601">
            <v>0</v>
          </cell>
          <cell r="BA1601">
            <v>0</v>
          </cell>
          <cell r="BB1601">
            <v>0</v>
          </cell>
          <cell r="BC1601">
            <v>38828</v>
          </cell>
        </row>
        <row r="1602">
          <cell r="A1602">
            <v>2006</v>
          </cell>
          <cell r="B1602">
            <v>2</v>
          </cell>
          <cell r="C1602">
            <v>134</v>
          </cell>
          <cell r="D1602">
            <v>21</v>
          </cell>
          <cell r="E1602">
            <v>792020</v>
          </cell>
          <cell r="F1602">
            <v>0</v>
          </cell>
          <cell r="G1602" t="str">
            <v>Затраты по ШПЗ (основные)</v>
          </cell>
          <cell r="H1602">
            <v>2011</v>
          </cell>
          <cell r="I1602">
            <v>7920</v>
          </cell>
          <cell r="J1602">
            <v>32282.48</v>
          </cell>
          <cell r="K1602">
            <v>1</v>
          </cell>
          <cell r="L1602">
            <v>0</v>
          </cell>
          <cell r="M1602">
            <v>0</v>
          </cell>
          <cell r="N1602">
            <v>0</v>
          </cell>
          <cell r="R1602">
            <v>0</v>
          </cell>
          <cell r="S1602">
            <v>0</v>
          </cell>
          <cell r="T1602">
            <v>0</v>
          </cell>
          <cell r="U1602">
            <v>32</v>
          </cell>
          <cell r="V1602">
            <v>0</v>
          </cell>
          <cell r="W1602">
            <v>0</v>
          </cell>
          <cell r="AA1602">
            <v>0</v>
          </cell>
          <cell r="AB1602">
            <v>0</v>
          </cell>
          <cell r="AC1602">
            <v>0</v>
          </cell>
          <cell r="AD1602">
            <v>32</v>
          </cell>
          <cell r="AE1602">
            <v>285000</v>
          </cell>
          <cell r="AF1602">
            <v>0</v>
          </cell>
          <cell r="AI1602">
            <v>2251</v>
          </cell>
          <cell r="AK1602">
            <v>0</v>
          </cell>
          <cell r="AM1602">
            <v>263</v>
          </cell>
          <cell r="AN1602">
            <v>1</v>
          </cell>
          <cell r="AO1602">
            <v>393216</v>
          </cell>
          <cell r="AQ1602">
            <v>0</v>
          </cell>
          <cell r="AR1602">
            <v>0</v>
          </cell>
          <cell r="AS1602" t="str">
            <v>Ы</v>
          </cell>
          <cell r="AT1602" t="str">
            <v>Ы</v>
          </cell>
          <cell r="AU1602">
            <v>0</v>
          </cell>
          <cell r="AV1602">
            <v>0</v>
          </cell>
          <cell r="AW1602">
            <v>23</v>
          </cell>
          <cell r="AX1602">
            <v>1</v>
          </cell>
          <cell r="AY1602">
            <v>0</v>
          </cell>
          <cell r="AZ1602">
            <v>0</v>
          </cell>
          <cell r="BA1602">
            <v>0</v>
          </cell>
          <cell r="BB1602">
            <v>0</v>
          </cell>
          <cell r="BC1602">
            <v>38828</v>
          </cell>
        </row>
        <row r="1603">
          <cell r="A1603">
            <v>2006</v>
          </cell>
          <cell r="B1603">
            <v>2</v>
          </cell>
          <cell r="C1603">
            <v>135</v>
          </cell>
          <cell r="D1603">
            <v>21</v>
          </cell>
          <cell r="E1603">
            <v>792020</v>
          </cell>
          <cell r="F1603">
            <v>0</v>
          </cell>
          <cell r="G1603" t="str">
            <v>Затраты по ШПЗ (основные)</v>
          </cell>
          <cell r="H1603">
            <v>2011</v>
          </cell>
          <cell r="I1603">
            <v>7920</v>
          </cell>
          <cell r="J1603">
            <v>180808.98</v>
          </cell>
          <cell r="K1603">
            <v>1</v>
          </cell>
          <cell r="L1603">
            <v>0</v>
          </cell>
          <cell r="M1603">
            <v>0</v>
          </cell>
          <cell r="N1603">
            <v>0</v>
          </cell>
          <cell r="R1603">
            <v>0</v>
          </cell>
          <cell r="S1603">
            <v>0</v>
          </cell>
          <cell r="T1603">
            <v>0</v>
          </cell>
          <cell r="U1603">
            <v>32</v>
          </cell>
          <cell r="V1603">
            <v>0</v>
          </cell>
          <cell r="W1603">
            <v>0</v>
          </cell>
          <cell r="AA1603">
            <v>0</v>
          </cell>
          <cell r="AB1603">
            <v>0</v>
          </cell>
          <cell r="AC1603">
            <v>0</v>
          </cell>
          <cell r="AD1603">
            <v>32</v>
          </cell>
          <cell r="AE1603">
            <v>311000</v>
          </cell>
          <cell r="AF1603">
            <v>0</v>
          </cell>
          <cell r="AI1603">
            <v>2251</v>
          </cell>
          <cell r="AK1603">
            <v>0</v>
          </cell>
          <cell r="AM1603">
            <v>264</v>
          </cell>
          <cell r="AN1603">
            <v>1</v>
          </cell>
          <cell r="AO1603">
            <v>393216</v>
          </cell>
          <cell r="AQ1603">
            <v>0</v>
          </cell>
          <cell r="AR1603">
            <v>0</v>
          </cell>
          <cell r="AS1603" t="str">
            <v>Ы</v>
          </cell>
          <cell r="AT1603" t="str">
            <v>Ы</v>
          </cell>
          <cell r="AU1603">
            <v>0</v>
          </cell>
          <cell r="AV1603">
            <v>0</v>
          </cell>
          <cell r="AW1603">
            <v>23</v>
          </cell>
          <cell r="AX1603">
            <v>1</v>
          </cell>
          <cell r="AY1603">
            <v>0</v>
          </cell>
          <cell r="AZ1603">
            <v>0</v>
          </cell>
          <cell r="BA1603">
            <v>0</v>
          </cell>
          <cell r="BB1603">
            <v>0</v>
          </cell>
          <cell r="BC1603">
            <v>38828</v>
          </cell>
        </row>
        <row r="1604">
          <cell r="A1604">
            <v>2006</v>
          </cell>
          <cell r="B1604">
            <v>2</v>
          </cell>
          <cell r="C1604">
            <v>136</v>
          </cell>
          <cell r="D1604">
            <v>21</v>
          </cell>
          <cell r="E1604">
            <v>792020</v>
          </cell>
          <cell r="F1604">
            <v>0</v>
          </cell>
          <cell r="G1604" t="str">
            <v>Затраты по ШПЗ (основные)</v>
          </cell>
          <cell r="H1604">
            <v>2011</v>
          </cell>
          <cell r="I1604">
            <v>7920</v>
          </cell>
          <cell r="J1604">
            <v>1256881.33</v>
          </cell>
          <cell r="K1604">
            <v>1</v>
          </cell>
          <cell r="L1604">
            <v>0</v>
          </cell>
          <cell r="M1604">
            <v>0</v>
          </cell>
          <cell r="N1604">
            <v>0</v>
          </cell>
          <cell r="R1604">
            <v>0</v>
          </cell>
          <cell r="S1604">
            <v>0</v>
          </cell>
          <cell r="T1604">
            <v>0</v>
          </cell>
          <cell r="U1604">
            <v>32</v>
          </cell>
          <cell r="V1604">
            <v>0</v>
          </cell>
          <cell r="W1604">
            <v>0</v>
          </cell>
          <cell r="AA1604">
            <v>0</v>
          </cell>
          <cell r="AB1604">
            <v>0</v>
          </cell>
          <cell r="AC1604">
            <v>0</v>
          </cell>
          <cell r="AD1604">
            <v>32</v>
          </cell>
          <cell r="AE1604">
            <v>312000</v>
          </cell>
          <cell r="AF1604">
            <v>0</v>
          </cell>
          <cell r="AI1604">
            <v>2251</v>
          </cell>
          <cell r="AK1604">
            <v>0</v>
          </cell>
          <cell r="AM1604">
            <v>265</v>
          </cell>
          <cell r="AN1604">
            <v>1</v>
          </cell>
          <cell r="AO1604">
            <v>393216</v>
          </cell>
          <cell r="AQ1604">
            <v>0</v>
          </cell>
          <cell r="AR1604">
            <v>0</v>
          </cell>
          <cell r="AS1604" t="str">
            <v>Ы</v>
          </cell>
          <cell r="AT1604" t="str">
            <v>Ы</v>
          </cell>
          <cell r="AU1604">
            <v>0</v>
          </cell>
          <cell r="AV1604">
            <v>0</v>
          </cell>
          <cell r="AW1604">
            <v>23</v>
          </cell>
          <cell r="AX1604">
            <v>1</v>
          </cell>
          <cell r="AY1604">
            <v>0</v>
          </cell>
          <cell r="AZ1604">
            <v>0</v>
          </cell>
          <cell r="BA1604">
            <v>0</v>
          </cell>
          <cell r="BB1604">
            <v>0</v>
          </cell>
          <cell r="BC1604">
            <v>38828</v>
          </cell>
        </row>
        <row r="1605">
          <cell r="A1605">
            <v>2006</v>
          </cell>
          <cell r="B1605">
            <v>2</v>
          </cell>
          <cell r="C1605">
            <v>137</v>
          </cell>
          <cell r="D1605">
            <v>21</v>
          </cell>
          <cell r="E1605">
            <v>792020</v>
          </cell>
          <cell r="F1605">
            <v>0</v>
          </cell>
          <cell r="G1605" t="str">
            <v>Затраты по ШПЗ (основные)</v>
          </cell>
          <cell r="H1605">
            <v>2011</v>
          </cell>
          <cell r="I1605">
            <v>7920</v>
          </cell>
          <cell r="J1605">
            <v>68582.87</v>
          </cell>
          <cell r="K1605">
            <v>1</v>
          </cell>
          <cell r="L1605">
            <v>0</v>
          </cell>
          <cell r="M1605">
            <v>0</v>
          </cell>
          <cell r="N1605">
            <v>0</v>
          </cell>
          <cell r="R1605">
            <v>0</v>
          </cell>
          <cell r="S1605">
            <v>0</v>
          </cell>
          <cell r="T1605">
            <v>0</v>
          </cell>
          <cell r="U1605">
            <v>32</v>
          </cell>
          <cell r="V1605">
            <v>0</v>
          </cell>
          <cell r="W1605">
            <v>0</v>
          </cell>
          <cell r="AA1605">
            <v>0</v>
          </cell>
          <cell r="AB1605">
            <v>0</v>
          </cell>
          <cell r="AC1605">
            <v>0</v>
          </cell>
          <cell r="AD1605">
            <v>32</v>
          </cell>
          <cell r="AE1605">
            <v>313000</v>
          </cell>
          <cell r="AF1605">
            <v>0</v>
          </cell>
          <cell r="AI1605">
            <v>2251</v>
          </cell>
          <cell r="AK1605">
            <v>0</v>
          </cell>
          <cell r="AM1605">
            <v>266</v>
          </cell>
          <cell r="AN1605">
            <v>1</v>
          </cell>
          <cell r="AO1605">
            <v>393216</v>
          </cell>
          <cell r="AQ1605">
            <v>0</v>
          </cell>
          <cell r="AR1605">
            <v>0</v>
          </cell>
          <cell r="AS1605" t="str">
            <v>Ы</v>
          </cell>
          <cell r="AT1605" t="str">
            <v>Ы</v>
          </cell>
          <cell r="AU1605">
            <v>0</v>
          </cell>
          <cell r="AV1605">
            <v>0</v>
          </cell>
          <cell r="AW1605">
            <v>23</v>
          </cell>
          <cell r="AX1605">
            <v>1</v>
          </cell>
          <cell r="AY1605">
            <v>0</v>
          </cell>
          <cell r="AZ1605">
            <v>0</v>
          </cell>
          <cell r="BA1605">
            <v>0</v>
          </cell>
          <cell r="BB1605">
            <v>0</v>
          </cell>
          <cell r="BC1605">
            <v>38828</v>
          </cell>
        </row>
        <row r="1606">
          <cell r="A1606">
            <v>2006</v>
          </cell>
          <cell r="B1606">
            <v>2</v>
          </cell>
          <cell r="C1606">
            <v>138</v>
          </cell>
          <cell r="D1606">
            <v>21</v>
          </cell>
          <cell r="E1606">
            <v>792020</v>
          </cell>
          <cell r="F1606">
            <v>0</v>
          </cell>
          <cell r="G1606" t="str">
            <v>Затраты по ШПЗ (основные)</v>
          </cell>
          <cell r="H1606">
            <v>2011</v>
          </cell>
          <cell r="I1606">
            <v>7920</v>
          </cell>
          <cell r="J1606">
            <v>124695.99</v>
          </cell>
          <cell r="K1606">
            <v>1</v>
          </cell>
          <cell r="L1606">
            <v>0</v>
          </cell>
          <cell r="M1606">
            <v>0</v>
          </cell>
          <cell r="N1606">
            <v>0</v>
          </cell>
          <cell r="R1606">
            <v>0</v>
          </cell>
          <cell r="S1606">
            <v>0</v>
          </cell>
          <cell r="T1606">
            <v>0</v>
          </cell>
          <cell r="U1606">
            <v>32</v>
          </cell>
          <cell r="V1606">
            <v>0</v>
          </cell>
          <cell r="W1606">
            <v>0</v>
          </cell>
          <cell r="AA1606">
            <v>0</v>
          </cell>
          <cell r="AB1606">
            <v>0</v>
          </cell>
          <cell r="AC1606">
            <v>0</v>
          </cell>
          <cell r="AD1606">
            <v>32</v>
          </cell>
          <cell r="AE1606">
            <v>314000</v>
          </cell>
          <cell r="AF1606">
            <v>0</v>
          </cell>
          <cell r="AI1606">
            <v>2251</v>
          </cell>
          <cell r="AK1606">
            <v>0</v>
          </cell>
          <cell r="AM1606">
            <v>267</v>
          </cell>
          <cell r="AN1606">
            <v>1</v>
          </cell>
          <cell r="AO1606">
            <v>393216</v>
          </cell>
          <cell r="AQ1606">
            <v>0</v>
          </cell>
          <cell r="AR1606">
            <v>0</v>
          </cell>
          <cell r="AS1606" t="str">
            <v>Ы</v>
          </cell>
          <cell r="AT1606" t="str">
            <v>Ы</v>
          </cell>
          <cell r="AU1606">
            <v>0</v>
          </cell>
          <cell r="AV1606">
            <v>0</v>
          </cell>
          <cell r="AW1606">
            <v>23</v>
          </cell>
          <cell r="AX1606">
            <v>1</v>
          </cell>
          <cell r="AY1606">
            <v>0</v>
          </cell>
          <cell r="AZ1606">
            <v>0</v>
          </cell>
          <cell r="BA1606">
            <v>0</v>
          </cell>
          <cell r="BB1606">
            <v>0</v>
          </cell>
          <cell r="BC1606">
            <v>38828</v>
          </cell>
        </row>
        <row r="1607">
          <cell r="A1607">
            <v>2006</v>
          </cell>
          <cell r="B1607">
            <v>2</v>
          </cell>
          <cell r="C1607">
            <v>139</v>
          </cell>
          <cell r="D1607">
            <v>21</v>
          </cell>
          <cell r="E1607">
            <v>792020</v>
          </cell>
          <cell r="F1607">
            <v>0</v>
          </cell>
          <cell r="G1607" t="str">
            <v>Затраты по ШПЗ (основные)</v>
          </cell>
          <cell r="H1607">
            <v>2011</v>
          </cell>
          <cell r="I1607">
            <v>7920</v>
          </cell>
          <cell r="J1607">
            <v>25109.29</v>
          </cell>
          <cell r="K1607">
            <v>1</v>
          </cell>
          <cell r="L1607">
            <v>0</v>
          </cell>
          <cell r="M1607">
            <v>0</v>
          </cell>
          <cell r="N1607">
            <v>0</v>
          </cell>
          <cell r="R1607">
            <v>0</v>
          </cell>
          <cell r="S1607">
            <v>0</v>
          </cell>
          <cell r="T1607">
            <v>0</v>
          </cell>
          <cell r="U1607">
            <v>32</v>
          </cell>
          <cell r="V1607">
            <v>0</v>
          </cell>
          <cell r="W1607">
            <v>0</v>
          </cell>
          <cell r="AA1607">
            <v>0</v>
          </cell>
          <cell r="AB1607">
            <v>0</v>
          </cell>
          <cell r="AC1607">
            <v>0</v>
          </cell>
          <cell r="AD1607">
            <v>32</v>
          </cell>
          <cell r="AE1607">
            <v>315000</v>
          </cell>
          <cell r="AF1607">
            <v>0</v>
          </cell>
          <cell r="AI1607">
            <v>2251</v>
          </cell>
          <cell r="AK1607">
            <v>0</v>
          </cell>
          <cell r="AM1607">
            <v>268</v>
          </cell>
          <cell r="AN1607">
            <v>1</v>
          </cell>
          <cell r="AO1607">
            <v>393216</v>
          </cell>
          <cell r="AQ1607">
            <v>0</v>
          </cell>
          <cell r="AR1607">
            <v>0</v>
          </cell>
          <cell r="AS1607" t="str">
            <v>Ы</v>
          </cell>
          <cell r="AT1607" t="str">
            <v>Ы</v>
          </cell>
          <cell r="AU1607">
            <v>0</v>
          </cell>
          <cell r="AV1607">
            <v>0</v>
          </cell>
          <cell r="AW1607">
            <v>23</v>
          </cell>
          <cell r="AX1607">
            <v>1</v>
          </cell>
          <cell r="AY1607">
            <v>0</v>
          </cell>
          <cell r="AZ1607">
            <v>0</v>
          </cell>
          <cell r="BA1607">
            <v>0</v>
          </cell>
          <cell r="BB1607">
            <v>0</v>
          </cell>
          <cell r="BC1607">
            <v>38828</v>
          </cell>
        </row>
        <row r="1608">
          <cell r="A1608">
            <v>2006</v>
          </cell>
          <cell r="B1608">
            <v>2</v>
          </cell>
          <cell r="C1608">
            <v>140</v>
          </cell>
          <cell r="D1608">
            <v>21</v>
          </cell>
          <cell r="E1608">
            <v>792020</v>
          </cell>
          <cell r="F1608">
            <v>0</v>
          </cell>
          <cell r="G1608" t="str">
            <v>Затраты по ШПЗ (основные)</v>
          </cell>
          <cell r="H1608">
            <v>2011</v>
          </cell>
          <cell r="I1608">
            <v>7920</v>
          </cell>
          <cell r="J1608">
            <v>1325043.04</v>
          </cell>
          <cell r="K1608">
            <v>1</v>
          </cell>
          <cell r="L1608">
            <v>0</v>
          </cell>
          <cell r="M1608">
            <v>0</v>
          </cell>
          <cell r="N1608">
            <v>0</v>
          </cell>
          <cell r="R1608">
            <v>0</v>
          </cell>
          <cell r="S1608">
            <v>0</v>
          </cell>
          <cell r="T1608">
            <v>0</v>
          </cell>
          <cell r="U1608">
            <v>32</v>
          </cell>
          <cell r="V1608">
            <v>0</v>
          </cell>
          <cell r="W1608">
            <v>0</v>
          </cell>
          <cell r="AA1608">
            <v>0</v>
          </cell>
          <cell r="AB1608">
            <v>0</v>
          </cell>
          <cell r="AC1608">
            <v>0</v>
          </cell>
          <cell r="AD1608">
            <v>32</v>
          </cell>
          <cell r="AE1608">
            <v>410000</v>
          </cell>
          <cell r="AF1608">
            <v>0</v>
          </cell>
          <cell r="AI1608">
            <v>2251</v>
          </cell>
          <cell r="AK1608">
            <v>0</v>
          </cell>
          <cell r="AM1608">
            <v>269</v>
          </cell>
          <cell r="AN1608">
            <v>1</v>
          </cell>
          <cell r="AO1608">
            <v>393216</v>
          </cell>
          <cell r="AQ1608">
            <v>0</v>
          </cell>
          <cell r="AR1608">
            <v>0</v>
          </cell>
          <cell r="AS1608" t="str">
            <v>Ы</v>
          </cell>
          <cell r="AT1608" t="str">
            <v>Ы</v>
          </cell>
          <cell r="AU1608">
            <v>0</v>
          </cell>
          <cell r="AV1608">
            <v>0</v>
          </cell>
          <cell r="AW1608">
            <v>23</v>
          </cell>
          <cell r="AX1608">
            <v>1</v>
          </cell>
          <cell r="AY1608">
            <v>0</v>
          </cell>
          <cell r="AZ1608">
            <v>0</v>
          </cell>
          <cell r="BA1608">
            <v>0</v>
          </cell>
          <cell r="BB1608">
            <v>0</v>
          </cell>
          <cell r="BC1608">
            <v>38828</v>
          </cell>
        </row>
        <row r="1609">
          <cell r="A1609">
            <v>2006</v>
          </cell>
          <cell r="B1609">
            <v>2</v>
          </cell>
          <cell r="C1609">
            <v>141</v>
          </cell>
          <cell r="D1609">
            <v>21</v>
          </cell>
          <cell r="E1609">
            <v>792020</v>
          </cell>
          <cell r="F1609">
            <v>0</v>
          </cell>
          <cell r="G1609" t="str">
            <v>Затраты по ШПЗ (основные)</v>
          </cell>
          <cell r="H1609">
            <v>2011</v>
          </cell>
          <cell r="I1609">
            <v>7920</v>
          </cell>
          <cell r="J1609">
            <v>380167.94</v>
          </cell>
          <cell r="K1609">
            <v>1</v>
          </cell>
          <cell r="L1609">
            <v>0</v>
          </cell>
          <cell r="M1609">
            <v>0</v>
          </cell>
          <cell r="N1609">
            <v>0</v>
          </cell>
          <cell r="R1609">
            <v>0</v>
          </cell>
          <cell r="S1609">
            <v>0</v>
          </cell>
          <cell r="T1609">
            <v>0</v>
          </cell>
          <cell r="U1609">
            <v>32</v>
          </cell>
          <cell r="V1609">
            <v>0</v>
          </cell>
          <cell r="W1609">
            <v>0</v>
          </cell>
          <cell r="AA1609">
            <v>0</v>
          </cell>
          <cell r="AB1609">
            <v>0</v>
          </cell>
          <cell r="AC1609">
            <v>0</v>
          </cell>
          <cell r="AD1609">
            <v>32</v>
          </cell>
          <cell r="AE1609">
            <v>420000</v>
          </cell>
          <cell r="AF1609">
            <v>0</v>
          </cell>
          <cell r="AI1609">
            <v>2251</v>
          </cell>
          <cell r="AK1609">
            <v>0</v>
          </cell>
          <cell r="AM1609">
            <v>270</v>
          </cell>
          <cell r="AN1609">
            <v>1</v>
          </cell>
          <cell r="AO1609">
            <v>393216</v>
          </cell>
          <cell r="AQ1609">
            <v>0</v>
          </cell>
          <cell r="AR1609">
            <v>0</v>
          </cell>
          <cell r="AS1609" t="str">
            <v>Ы</v>
          </cell>
          <cell r="AT1609" t="str">
            <v>Ы</v>
          </cell>
          <cell r="AU1609">
            <v>0</v>
          </cell>
          <cell r="AV1609">
            <v>0</v>
          </cell>
          <cell r="AW1609">
            <v>23</v>
          </cell>
          <cell r="AX1609">
            <v>1</v>
          </cell>
          <cell r="AY1609">
            <v>0</v>
          </cell>
          <cell r="AZ1609">
            <v>0</v>
          </cell>
          <cell r="BA1609">
            <v>0</v>
          </cell>
          <cell r="BB1609">
            <v>0</v>
          </cell>
          <cell r="BC1609">
            <v>38828</v>
          </cell>
        </row>
        <row r="1610">
          <cell r="A1610">
            <v>2006</v>
          </cell>
          <cell r="B1610">
            <v>2</v>
          </cell>
          <cell r="C1610">
            <v>142</v>
          </cell>
          <cell r="D1610">
            <v>21</v>
          </cell>
          <cell r="E1610">
            <v>792020</v>
          </cell>
          <cell r="F1610">
            <v>0</v>
          </cell>
          <cell r="G1610" t="str">
            <v>Затраты по ШПЗ (основные)</v>
          </cell>
          <cell r="H1610">
            <v>2011</v>
          </cell>
          <cell r="I1610">
            <v>7920</v>
          </cell>
          <cell r="J1610">
            <v>155537.76</v>
          </cell>
          <cell r="K1610">
            <v>1</v>
          </cell>
          <cell r="L1610">
            <v>0</v>
          </cell>
          <cell r="M1610">
            <v>0</v>
          </cell>
          <cell r="N1610">
            <v>0</v>
          </cell>
          <cell r="R1610">
            <v>0</v>
          </cell>
          <cell r="S1610">
            <v>0</v>
          </cell>
          <cell r="T1610">
            <v>0</v>
          </cell>
          <cell r="U1610">
            <v>32</v>
          </cell>
          <cell r="V1610">
            <v>0</v>
          </cell>
          <cell r="W1610">
            <v>0</v>
          </cell>
          <cell r="AA1610">
            <v>0</v>
          </cell>
          <cell r="AB1610">
            <v>0</v>
          </cell>
          <cell r="AC1610">
            <v>0</v>
          </cell>
          <cell r="AD1610">
            <v>32</v>
          </cell>
          <cell r="AE1610">
            <v>430000</v>
          </cell>
          <cell r="AF1610">
            <v>0</v>
          </cell>
          <cell r="AI1610">
            <v>2251</v>
          </cell>
          <cell r="AK1610">
            <v>0</v>
          </cell>
          <cell r="AM1610">
            <v>271</v>
          </cell>
          <cell r="AN1610">
            <v>1</v>
          </cell>
          <cell r="AO1610">
            <v>393216</v>
          </cell>
          <cell r="AQ1610">
            <v>0</v>
          </cell>
          <cell r="AR1610">
            <v>0</v>
          </cell>
          <cell r="AS1610" t="str">
            <v>Ы</v>
          </cell>
          <cell r="AT1610" t="str">
            <v>Ы</v>
          </cell>
          <cell r="AU1610">
            <v>0</v>
          </cell>
          <cell r="AV1610">
            <v>0</v>
          </cell>
          <cell r="AW1610">
            <v>23</v>
          </cell>
          <cell r="AX1610">
            <v>1</v>
          </cell>
          <cell r="AY1610">
            <v>0</v>
          </cell>
          <cell r="AZ1610">
            <v>0</v>
          </cell>
          <cell r="BA1610">
            <v>0</v>
          </cell>
          <cell r="BB1610">
            <v>0</v>
          </cell>
          <cell r="BC1610">
            <v>38828</v>
          </cell>
        </row>
        <row r="1611">
          <cell r="A1611">
            <v>2006</v>
          </cell>
          <cell r="B1611">
            <v>2</v>
          </cell>
          <cell r="C1611">
            <v>143</v>
          </cell>
          <cell r="D1611">
            <v>21</v>
          </cell>
          <cell r="E1611">
            <v>792020</v>
          </cell>
          <cell r="F1611">
            <v>0</v>
          </cell>
          <cell r="G1611" t="str">
            <v>Затраты по ШПЗ (основные)</v>
          </cell>
          <cell r="H1611">
            <v>2011</v>
          </cell>
          <cell r="I1611">
            <v>7920</v>
          </cell>
          <cell r="J1611">
            <v>516288</v>
          </cell>
          <cell r="K1611">
            <v>1</v>
          </cell>
          <cell r="L1611">
            <v>0</v>
          </cell>
          <cell r="M1611">
            <v>0</v>
          </cell>
          <cell r="N1611">
            <v>0</v>
          </cell>
          <cell r="R1611">
            <v>0</v>
          </cell>
          <cell r="S1611">
            <v>0</v>
          </cell>
          <cell r="T1611">
            <v>0</v>
          </cell>
          <cell r="U1611">
            <v>32</v>
          </cell>
          <cell r="V1611">
            <v>0</v>
          </cell>
          <cell r="W1611">
            <v>0</v>
          </cell>
          <cell r="AA1611">
            <v>0</v>
          </cell>
          <cell r="AB1611">
            <v>0</v>
          </cell>
          <cell r="AC1611">
            <v>0</v>
          </cell>
          <cell r="AD1611">
            <v>32</v>
          </cell>
          <cell r="AE1611">
            <v>430110</v>
          </cell>
          <cell r="AF1611">
            <v>0</v>
          </cell>
          <cell r="AI1611">
            <v>2251</v>
          </cell>
          <cell r="AK1611">
            <v>0</v>
          </cell>
          <cell r="AM1611">
            <v>272</v>
          </cell>
          <cell r="AN1611">
            <v>1</v>
          </cell>
          <cell r="AO1611">
            <v>393216</v>
          </cell>
          <cell r="AQ1611">
            <v>0</v>
          </cell>
          <cell r="AR1611">
            <v>0</v>
          </cell>
          <cell r="AS1611" t="str">
            <v>Ы</v>
          </cell>
          <cell r="AT1611" t="str">
            <v>Ы</v>
          </cell>
          <cell r="AU1611">
            <v>0</v>
          </cell>
          <cell r="AV1611">
            <v>0</v>
          </cell>
          <cell r="AW1611">
            <v>23</v>
          </cell>
          <cell r="AX1611">
            <v>1</v>
          </cell>
          <cell r="AY1611">
            <v>0</v>
          </cell>
          <cell r="AZ1611">
            <v>0</v>
          </cell>
          <cell r="BA1611">
            <v>0</v>
          </cell>
          <cell r="BB1611">
            <v>0</v>
          </cell>
          <cell r="BC1611">
            <v>38828</v>
          </cell>
        </row>
        <row r="1612">
          <cell r="A1612">
            <v>2006</v>
          </cell>
          <cell r="B1612">
            <v>2</v>
          </cell>
          <cell r="C1612">
            <v>144</v>
          </cell>
          <cell r="D1612">
            <v>21</v>
          </cell>
          <cell r="E1612">
            <v>792020</v>
          </cell>
          <cell r="F1612">
            <v>0</v>
          </cell>
          <cell r="G1612" t="str">
            <v>Затраты по ШПЗ (основные)</v>
          </cell>
          <cell r="H1612">
            <v>2011</v>
          </cell>
          <cell r="I1612">
            <v>7920</v>
          </cell>
          <cell r="J1612">
            <v>255584</v>
          </cell>
          <cell r="K1612">
            <v>1</v>
          </cell>
          <cell r="L1612">
            <v>0</v>
          </cell>
          <cell r="M1612">
            <v>0</v>
          </cell>
          <cell r="N1612">
            <v>0</v>
          </cell>
          <cell r="R1612">
            <v>0</v>
          </cell>
          <cell r="S1612">
            <v>0</v>
          </cell>
          <cell r="T1612">
            <v>0</v>
          </cell>
          <cell r="U1612">
            <v>32</v>
          </cell>
          <cell r="V1612">
            <v>0</v>
          </cell>
          <cell r="W1612">
            <v>0</v>
          </cell>
          <cell r="AA1612">
            <v>0</v>
          </cell>
          <cell r="AB1612">
            <v>0</v>
          </cell>
          <cell r="AC1612">
            <v>0</v>
          </cell>
          <cell r="AD1612">
            <v>32</v>
          </cell>
          <cell r="AE1612">
            <v>430120</v>
          </cell>
          <cell r="AF1612">
            <v>0</v>
          </cell>
          <cell r="AI1612">
            <v>2251</v>
          </cell>
          <cell r="AK1612">
            <v>0</v>
          </cell>
          <cell r="AM1612">
            <v>273</v>
          </cell>
          <cell r="AN1612">
            <v>1</v>
          </cell>
          <cell r="AO1612">
            <v>393216</v>
          </cell>
          <cell r="AQ1612">
            <v>0</v>
          </cell>
          <cell r="AR1612">
            <v>0</v>
          </cell>
          <cell r="AS1612" t="str">
            <v>Ы</v>
          </cell>
          <cell r="AT1612" t="str">
            <v>Ы</v>
          </cell>
          <cell r="AU1612">
            <v>0</v>
          </cell>
          <cell r="AV1612">
            <v>0</v>
          </cell>
          <cell r="AW1612">
            <v>23</v>
          </cell>
          <cell r="AX1612">
            <v>1</v>
          </cell>
          <cell r="AY1612">
            <v>0</v>
          </cell>
          <cell r="AZ1612">
            <v>0</v>
          </cell>
          <cell r="BA1612">
            <v>0</v>
          </cell>
          <cell r="BB1612">
            <v>0</v>
          </cell>
          <cell r="BC1612">
            <v>38828</v>
          </cell>
        </row>
        <row r="1613">
          <cell r="A1613">
            <v>2006</v>
          </cell>
          <cell r="B1613">
            <v>2</v>
          </cell>
          <cell r="C1613">
            <v>145</v>
          </cell>
          <cell r="D1613">
            <v>21</v>
          </cell>
          <cell r="E1613">
            <v>792020</v>
          </cell>
          <cell r="F1613">
            <v>0</v>
          </cell>
          <cell r="G1613" t="str">
            <v>Затраты по ШПЗ (основные)</v>
          </cell>
          <cell r="H1613">
            <v>2011</v>
          </cell>
          <cell r="I1613">
            <v>7920</v>
          </cell>
          <cell r="J1613">
            <v>924998</v>
          </cell>
          <cell r="K1613">
            <v>1</v>
          </cell>
          <cell r="L1613">
            <v>0</v>
          </cell>
          <cell r="M1613">
            <v>0</v>
          </cell>
          <cell r="N1613">
            <v>0</v>
          </cell>
          <cell r="R1613">
            <v>0</v>
          </cell>
          <cell r="S1613">
            <v>0</v>
          </cell>
          <cell r="T1613">
            <v>0</v>
          </cell>
          <cell r="U1613">
            <v>32</v>
          </cell>
          <cell r="V1613">
            <v>0</v>
          </cell>
          <cell r="W1613">
            <v>0</v>
          </cell>
          <cell r="AA1613">
            <v>0</v>
          </cell>
          <cell r="AB1613">
            <v>0</v>
          </cell>
          <cell r="AC1613">
            <v>0</v>
          </cell>
          <cell r="AD1613">
            <v>32</v>
          </cell>
          <cell r="AE1613">
            <v>430130</v>
          </cell>
          <cell r="AF1613">
            <v>0</v>
          </cell>
          <cell r="AI1613">
            <v>2251</v>
          </cell>
          <cell r="AK1613">
            <v>0</v>
          </cell>
          <cell r="AM1613">
            <v>274</v>
          </cell>
          <cell r="AN1613">
            <v>1</v>
          </cell>
          <cell r="AO1613">
            <v>393216</v>
          </cell>
          <cell r="AQ1613">
            <v>0</v>
          </cell>
          <cell r="AR1613">
            <v>0</v>
          </cell>
          <cell r="AS1613" t="str">
            <v>Ы</v>
          </cell>
          <cell r="AT1613" t="str">
            <v>Ы</v>
          </cell>
          <cell r="AU1613">
            <v>0</v>
          </cell>
          <cell r="AV1613">
            <v>0</v>
          </cell>
          <cell r="AW1613">
            <v>23</v>
          </cell>
          <cell r="AX1613">
            <v>1</v>
          </cell>
          <cell r="AY1613">
            <v>0</v>
          </cell>
          <cell r="AZ1613">
            <v>0</v>
          </cell>
          <cell r="BA1613">
            <v>0</v>
          </cell>
          <cell r="BB1613">
            <v>0</v>
          </cell>
          <cell r="BC1613">
            <v>38828</v>
          </cell>
        </row>
        <row r="1614">
          <cell r="A1614">
            <v>2006</v>
          </cell>
          <cell r="B1614">
            <v>2</v>
          </cell>
          <cell r="C1614">
            <v>146</v>
          </cell>
          <cell r="D1614">
            <v>21</v>
          </cell>
          <cell r="E1614">
            <v>792020</v>
          </cell>
          <cell r="F1614">
            <v>0</v>
          </cell>
          <cell r="G1614" t="str">
            <v>Затраты по ШПЗ (основные)</v>
          </cell>
          <cell r="H1614">
            <v>2011</v>
          </cell>
          <cell r="I1614">
            <v>7920</v>
          </cell>
          <cell r="J1614">
            <v>846223</v>
          </cell>
          <cell r="K1614">
            <v>1</v>
          </cell>
          <cell r="L1614">
            <v>0</v>
          </cell>
          <cell r="M1614">
            <v>0</v>
          </cell>
          <cell r="N1614">
            <v>0</v>
          </cell>
          <cell r="R1614">
            <v>0</v>
          </cell>
          <cell r="S1614">
            <v>0</v>
          </cell>
          <cell r="T1614">
            <v>0</v>
          </cell>
          <cell r="U1614">
            <v>32</v>
          </cell>
          <cell r="V1614">
            <v>0</v>
          </cell>
          <cell r="W1614">
            <v>0</v>
          </cell>
          <cell r="AA1614">
            <v>0</v>
          </cell>
          <cell r="AB1614">
            <v>0</v>
          </cell>
          <cell r="AC1614">
            <v>0</v>
          </cell>
          <cell r="AD1614">
            <v>32</v>
          </cell>
          <cell r="AE1614">
            <v>430140</v>
          </cell>
          <cell r="AF1614">
            <v>0</v>
          </cell>
          <cell r="AI1614">
            <v>2251</v>
          </cell>
          <cell r="AK1614">
            <v>0</v>
          </cell>
          <cell r="AM1614">
            <v>275</v>
          </cell>
          <cell r="AN1614">
            <v>1</v>
          </cell>
          <cell r="AO1614">
            <v>393216</v>
          </cell>
          <cell r="AQ1614">
            <v>0</v>
          </cell>
          <cell r="AR1614">
            <v>0</v>
          </cell>
          <cell r="AS1614" t="str">
            <v>Ы</v>
          </cell>
          <cell r="AT1614" t="str">
            <v>Ы</v>
          </cell>
          <cell r="AU1614">
            <v>0</v>
          </cell>
          <cell r="AV1614">
            <v>0</v>
          </cell>
          <cell r="AW1614">
            <v>23</v>
          </cell>
          <cell r="AX1614">
            <v>1</v>
          </cell>
          <cell r="AY1614">
            <v>0</v>
          </cell>
          <cell r="AZ1614">
            <v>0</v>
          </cell>
          <cell r="BA1614">
            <v>0</v>
          </cell>
          <cell r="BB1614">
            <v>0</v>
          </cell>
          <cell r="BC1614">
            <v>38828</v>
          </cell>
        </row>
        <row r="1615">
          <cell r="A1615">
            <v>2006</v>
          </cell>
          <cell r="B1615">
            <v>2</v>
          </cell>
          <cell r="C1615">
            <v>147</v>
          </cell>
          <cell r="D1615">
            <v>21</v>
          </cell>
          <cell r="E1615">
            <v>792020</v>
          </cell>
          <cell r="F1615">
            <v>0</v>
          </cell>
          <cell r="G1615" t="str">
            <v>Затраты по ШПЗ (основные)</v>
          </cell>
          <cell r="H1615">
            <v>2011</v>
          </cell>
          <cell r="I1615">
            <v>7920</v>
          </cell>
          <cell r="J1615">
            <v>213824</v>
          </cell>
          <cell r="K1615">
            <v>1</v>
          </cell>
          <cell r="L1615">
            <v>0</v>
          </cell>
          <cell r="M1615">
            <v>0</v>
          </cell>
          <cell r="N1615">
            <v>0</v>
          </cell>
          <cell r="R1615">
            <v>0</v>
          </cell>
          <cell r="S1615">
            <v>0</v>
          </cell>
          <cell r="T1615">
            <v>0</v>
          </cell>
          <cell r="U1615">
            <v>32</v>
          </cell>
          <cell r="V1615">
            <v>0</v>
          </cell>
          <cell r="W1615">
            <v>0</v>
          </cell>
          <cell r="AA1615">
            <v>0</v>
          </cell>
          <cell r="AB1615">
            <v>0</v>
          </cell>
          <cell r="AC1615">
            <v>0</v>
          </cell>
          <cell r="AD1615">
            <v>32</v>
          </cell>
          <cell r="AE1615">
            <v>430230</v>
          </cell>
          <cell r="AF1615">
            <v>0</v>
          </cell>
          <cell r="AI1615">
            <v>2251</v>
          </cell>
          <cell r="AK1615">
            <v>0</v>
          </cell>
          <cell r="AM1615">
            <v>276</v>
          </cell>
          <cell r="AN1615">
            <v>1</v>
          </cell>
          <cell r="AO1615">
            <v>393216</v>
          </cell>
          <cell r="AQ1615">
            <v>0</v>
          </cell>
          <cell r="AR1615">
            <v>0</v>
          </cell>
          <cell r="AS1615" t="str">
            <v>Ы</v>
          </cell>
          <cell r="AT1615" t="str">
            <v>Ы</v>
          </cell>
          <cell r="AU1615">
            <v>0</v>
          </cell>
          <cell r="AV1615">
            <v>0</v>
          </cell>
          <cell r="AW1615">
            <v>23</v>
          </cell>
          <cell r="AX1615">
            <v>1</v>
          </cell>
          <cell r="AY1615">
            <v>0</v>
          </cell>
          <cell r="AZ1615">
            <v>0</v>
          </cell>
          <cell r="BA1615">
            <v>0</v>
          </cell>
          <cell r="BB1615">
            <v>0</v>
          </cell>
          <cell r="BC1615">
            <v>38828</v>
          </cell>
        </row>
        <row r="1616">
          <cell r="A1616">
            <v>2006</v>
          </cell>
          <cell r="B1616">
            <v>2</v>
          </cell>
          <cell r="C1616">
            <v>148</v>
          </cell>
          <cell r="D1616">
            <v>21</v>
          </cell>
          <cell r="E1616">
            <v>792020</v>
          </cell>
          <cell r="F1616">
            <v>0</v>
          </cell>
          <cell r="G1616" t="str">
            <v>Затраты по ШПЗ (основные)</v>
          </cell>
          <cell r="H1616">
            <v>2011</v>
          </cell>
          <cell r="I1616">
            <v>7920</v>
          </cell>
          <cell r="J1616">
            <v>229608</v>
          </cell>
          <cell r="K1616">
            <v>1</v>
          </cell>
          <cell r="L1616">
            <v>0</v>
          </cell>
          <cell r="M1616">
            <v>0</v>
          </cell>
          <cell r="N1616">
            <v>0</v>
          </cell>
          <cell r="R1616">
            <v>0</v>
          </cell>
          <cell r="S1616">
            <v>0</v>
          </cell>
          <cell r="T1616">
            <v>0</v>
          </cell>
          <cell r="U1616">
            <v>32</v>
          </cell>
          <cell r="V1616">
            <v>0</v>
          </cell>
          <cell r="W1616">
            <v>0</v>
          </cell>
          <cell r="AA1616">
            <v>0</v>
          </cell>
          <cell r="AB1616">
            <v>0</v>
          </cell>
          <cell r="AC1616">
            <v>0</v>
          </cell>
          <cell r="AD1616">
            <v>32</v>
          </cell>
          <cell r="AE1616">
            <v>430240</v>
          </cell>
          <cell r="AF1616">
            <v>0</v>
          </cell>
          <cell r="AI1616">
            <v>2251</v>
          </cell>
          <cell r="AK1616">
            <v>0</v>
          </cell>
          <cell r="AM1616">
            <v>277</v>
          </cell>
          <cell r="AN1616">
            <v>1</v>
          </cell>
          <cell r="AO1616">
            <v>393216</v>
          </cell>
          <cell r="AQ1616">
            <v>0</v>
          </cell>
          <cell r="AR1616">
            <v>0</v>
          </cell>
          <cell r="AS1616" t="str">
            <v>Ы</v>
          </cell>
          <cell r="AT1616" t="str">
            <v>Ы</v>
          </cell>
          <cell r="AU1616">
            <v>0</v>
          </cell>
          <cell r="AV1616">
            <v>0</v>
          </cell>
          <cell r="AW1616">
            <v>23</v>
          </cell>
          <cell r="AX1616">
            <v>1</v>
          </cell>
          <cell r="AY1616">
            <v>0</v>
          </cell>
          <cell r="AZ1616">
            <v>0</v>
          </cell>
          <cell r="BA1616">
            <v>0</v>
          </cell>
          <cell r="BB1616">
            <v>0</v>
          </cell>
          <cell r="BC1616">
            <v>38828</v>
          </cell>
        </row>
        <row r="1617">
          <cell r="A1617">
            <v>2006</v>
          </cell>
          <cell r="B1617">
            <v>2</v>
          </cell>
          <cell r="C1617">
            <v>149</v>
          </cell>
          <cell r="D1617">
            <v>21</v>
          </cell>
          <cell r="E1617">
            <v>792020</v>
          </cell>
          <cell r="F1617">
            <v>0</v>
          </cell>
          <cell r="G1617" t="str">
            <v>Затраты по ШПЗ (основные)</v>
          </cell>
          <cell r="H1617">
            <v>2011</v>
          </cell>
          <cell r="I1617">
            <v>7920</v>
          </cell>
          <cell r="J1617">
            <v>106103.44</v>
          </cell>
          <cell r="K1617">
            <v>1</v>
          </cell>
          <cell r="L1617">
            <v>0</v>
          </cell>
          <cell r="M1617">
            <v>0</v>
          </cell>
          <cell r="N1617">
            <v>0</v>
          </cell>
          <cell r="R1617">
            <v>0</v>
          </cell>
          <cell r="S1617">
            <v>0</v>
          </cell>
          <cell r="T1617">
            <v>0</v>
          </cell>
          <cell r="U1617">
            <v>32</v>
          </cell>
          <cell r="V1617">
            <v>0</v>
          </cell>
          <cell r="W1617">
            <v>0</v>
          </cell>
          <cell r="AA1617">
            <v>0</v>
          </cell>
          <cell r="AB1617">
            <v>0</v>
          </cell>
          <cell r="AC1617">
            <v>0</v>
          </cell>
          <cell r="AD1617">
            <v>32</v>
          </cell>
          <cell r="AE1617">
            <v>450000</v>
          </cell>
          <cell r="AF1617">
            <v>0</v>
          </cell>
          <cell r="AI1617">
            <v>2251</v>
          </cell>
          <cell r="AK1617">
            <v>0</v>
          </cell>
          <cell r="AM1617">
            <v>278</v>
          </cell>
          <cell r="AN1617">
            <v>1</v>
          </cell>
          <cell r="AO1617">
            <v>393216</v>
          </cell>
          <cell r="AQ1617">
            <v>0</v>
          </cell>
          <cell r="AR1617">
            <v>0</v>
          </cell>
          <cell r="AS1617" t="str">
            <v>Ы</v>
          </cell>
          <cell r="AT1617" t="str">
            <v>Ы</v>
          </cell>
          <cell r="AU1617">
            <v>0</v>
          </cell>
          <cell r="AV1617">
            <v>0</v>
          </cell>
          <cell r="AW1617">
            <v>23</v>
          </cell>
          <cell r="AX1617">
            <v>1</v>
          </cell>
          <cell r="AY1617">
            <v>0</v>
          </cell>
          <cell r="AZ1617">
            <v>0</v>
          </cell>
          <cell r="BA1617">
            <v>0</v>
          </cell>
          <cell r="BB1617">
            <v>0</v>
          </cell>
          <cell r="BC1617">
            <v>38828</v>
          </cell>
        </row>
        <row r="1618">
          <cell r="A1618">
            <v>2006</v>
          </cell>
          <cell r="B1618">
            <v>2</v>
          </cell>
          <cell r="C1618">
            <v>150</v>
          </cell>
          <cell r="D1618">
            <v>21</v>
          </cell>
          <cell r="E1618">
            <v>792020</v>
          </cell>
          <cell r="F1618">
            <v>0</v>
          </cell>
          <cell r="G1618" t="str">
            <v>Затраты по ШПЗ (основные)</v>
          </cell>
          <cell r="H1618">
            <v>2011</v>
          </cell>
          <cell r="I1618">
            <v>7920</v>
          </cell>
          <cell r="J1618">
            <v>19989.77</v>
          </cell>
          <cell r="K1618">
            <v>1</v>
          </cell>
          <cell r="L1618">
            <v>0</v>
          </cell>
          <cell r="M1618">
            <v>0</v>
          </cell>
          <cell r="N1618">
            <v>0</v>
          </cell>
          <cell r="R1618">
            <v>0</v>
          </cell>
          <cell r="S1618">
            <v>0</v>
          </cell>
          <cell r="T1618">
            <v>0</v>
          </cell>
          <cell r="U1618">
            <v>32</v>
          </cell>
          <cell r="V1618">
            <v>0</v>
          </cell>
          <cell r="W1618">
            <v>0</v>
          </cell>
          <cell r="AA1618">
            <v>0</v>
          </cell>
          <cell r="AB1618">
            <v>0</v>
          </cell>
          <cell r="AC1618">
            <v>0</v>
          </cell>
          <cell r="AD1618">
            <v>32</v>
          </cell>
          <cell r="AE1618">
            <v>460000</v>
          </cell>
          <cell r="AF1618">
            <v>0</v>
          </cell>
          <cell r="AI1618">
            <v>2251</v>
          </cell>
          <cell r="AK1618">
            <v>0</v>
          </cell>
          <cell r="AM1618">
            <v>279</v>
          </cell>
          <cell r="AN1618">
            <v>1</v>
          </cell>
          <cell r="AO1618">
            <v>393216</v>
          </cell>
          <cell r="AQ1618">
            <v>0</v>
          </cell>
          <cell r="AR1618">
            <v>0</v>
          </cell>
          <cell r="AS1618" t="str">
            <v>Ы</v>
          </cell>
          <cell r="AT1618" t="str">
            <v>Ы</v>
          </cell>
          <cell r="AU1618">
            <v>0</v>
          </cell>
          <cell r="AV1618">
            <v>0</v>
          </cell>
          <cell r="AW1618">
            <v>23</v>
          </cell>
          <cell r="AX1618">
            <v>1</v>
          </cell>
          <cell r="AY1618">
            <v>0</v>
          </cell>
          <cell r="AZ1618">
            <v>0</v>
          </cell>
          <cell r="BA1618">
            <v>0</v>
          </cell>
          <cell r="BB1618">
            <v>0</v>
          </cell>
          <cell r="BC1618">
            <v>38828</v>
          </cell>
        </row>
        <row r="1619">
          <cell r="A1619">
            <v>2006</v>
          </cell>
          <cell r="B1619">
            <v>2</v>
          </cell>
          <cell r="C1619">
            <v>151</v>
          </cell>
          <cell r="D1619">
            <v>21</v>
          </cell>
          <cell r="E1619">
            <v>792020</v>
          </cell>
          <cell r="F1619">
            <v>0</v>
          </cell>
          <cell r="G1619" t="str">
            <v>Затраты по ШПЗ (основные)</v>
          </cell>
          <cell r="H1619">
            <v>2011</v>
          </cell>
          <cell r="I1619">
            <v>7920</v>
          </cell>
          <cell r="J1619">
            <v>25117.59</v>
          </cell>
          <cell r="K1619">
            <v>1</v>
          </cell>
          <cell r="L1619">
            <v>0</v>
          </cell>
          <cell r="M1619">
            <v>0</v>
          </cell>
          <cell r="N1619">
            <v>0</v>
          </cell>
          <cell r="R1619">
            <v>0</v>
          </cell>
          <cell r="S1619">
            <v>0</v>
          </cell>
          <cell r="T1619">
            <v>0</v>
          </cell>
          <cell r="U1619">
            <v>32</v>
          </cell>
          <cell r="V1619">
            <v>0</v>
          </cell>
          <cell r="W1619">
            <v>0</v>
          </cell>
          <cell r="AA1619">
            <v>0</v>
          </cell>
          <cell r="AB1619">
            <v>0</v>
          </cell>
          <cell r="AC1619">
            <v>0</v>
          </cell>
          <cell r="AD1619">
            <v>32</v>
          </cell>
          <cell r="AE1619">
            <v>465000</v>
          </cell>
          <cell r="AF1619">
            <v>0</v>
          </cell>
          <cell r="AI1619">
            <v>2251</v>
          </cell>
          <cell r="AK1619">
            <v>0</v>
          </cell>
          <cell r="AM1619">
            <v>280</v>
          </cell>
          <cell r="AN1619">
            <v>1</v>
          </cell>
          <cell r="AO1619">
            <v>393216</v>
          </cell>
          <cell r="AQ1619">
            <v>0</v>
          </cell>
          <cell r="AR1619">
            <v>0</v>
          </cell>
          <cell r="AS1619" t="str">
            <v>Ы</v>
          </cell>
          <cell r="AT1619" t="str">
            <v>Ы</v>
          </cell>
          <cell r="AU1619">
            <v>0</v>
          </cell>
          <cell r="AV1619">
            <v>0</v>
          </cell>
          <cell r="AW1619">
            <v>23</v>
          </cell>
          <cell r="AX1619">
            <v>1</v>
          </cell>
          <cell r="AY1619">
            <v>0</v>
          </cell>
          <cell r="AZ1619">
            <v>0</v>
          </cell>
          <cell r="BA1619">
            <v>0</v>
          </cell>
          <cell r="BB1619">
            <v>0</v>
          </cell>
          <cell r="BC1619">
            <v>38828</v>
          </cell>
        </row>
        <row r="1620">
          <cell r="A1620">
            <v>2006</v>
          </cell>
          <cell r="B1620">
            <v>2</v>
          </cell>
          <cell r="C1620">
            <v>152</v>
          </cell>
          <cell r="D1620">
            <v>21</v>
          </cell>
          <cell r="E1620">
            <v>792020</v>
          </cell>
          <cell r="F1620">
            <v>0</v>
          </cell>
          <cell r="G1620" t="str">
            <v>Затраты по ШПЗ (основные)</v>
          </cell>
          <cell r="H1620">
            <v>2011</v>
          </cell>
          <cell r="I1620">
            <v>7920</v>
          </cell>
          <cell r="J1620">
            <v>8969.02</v>
          </cell>
          <cell r="K1620">
            <v>1</v>
          </cell>
          <cell r="L1620">
            <v>0</v>
          </cell>
          <cell r="M1620">
            <v>0</v>
          </cell>
          <cell r="N1620">
            <v>0</v>
          </cell>
          <cell r="R1620">
            <v>0</v>
          </cell>
          <cell r="S1620">
            <v>0</v>
          </cell>
          <cell r="T1620">
            <v>0</v>
          </cell>
          <cell r="U1620">
            <v>32</v>
          </cell>
          <cell r="V1620">
            <v>0</v>
          </cell>
          <cell r="W1620">
            <v>0</v>
          </cell>
          <cell r="AA1620">
            <v>0</v>
          </cell>
          <cell r="AB1620">
            <v>0</v>
          </cell>
          <cell r="AC1620">
            <v>0</v>
          </cell>
          <cell r="AD1620">
            <v>32</v>
          </cell>
          <cell r="AE1620">
            <v>502100</v>
          </cell>
          <cell r="AF1620">
            <v>0</v>
          </cell>
          <cell r="AI1620">
            <v>2251</v>
          </cell>
          <cell r="AK1620">
            <v>0</v>
          </cell>
          <cell r="AM1620">
            <v>281</v>
          </cell>
          <cell r="AN1620">
            <v>1</v>
          </cell>
          <cell r="AO1620">
            <v>393216</v>
          </cell>
          <cell r="AQ1620">
            <v>0</v>
          </cell>
          <cell r="AR1620">
            <v>0</v>
          </cell>
          <cell r="AS1620" t="str">
            <v>Ы</v>
          </cell>
          <cell r="AT1620" t="str">
            <v>Ы</v>
          </cell>
          <cell r="AU1620">
            <v>0</v>
          </cell>
          <cell r="AV1620">
            <v>0</v>
          </cell>
          <cell r="AW1620">
            <v>23</v>
          </cell>
          <cell r="AX1620">
            <v>1</v>
          </cell>
          <cell r="AY1620">
            <v>0</v>
          </cell>
          <cell r="AZ1620">
            <v>0</v>
          </cell>
          <cell r="BA1620">
            <v>0</v>
          </cell>
          <cell r="BB1620">
            <v>0</v>
          </cell>
          <cell r="BC1620">
            <v>38828</v>
          </cell>
        </row>
        <row r="1621">
          <cell r="A1621">
            <v>2006</v>
          </cell>
          <cell r="B1621">
            <v>2</v>
          </cell>
          <cell r="C1621">
            <v>153</v>
          </cell>
          <cell r="D1621">
            <v>21</v>
          </cell>
          <cell r="E1621">
            <v>792020</v>
          </cell>
          <cell r="F1621">
            <v>0</v>
          </cell>
          <cell r="G1621" t="str">
            <v>Затраты по ШПЗ (основные)</v>
          </cell>
          <cell r="H1621">
            <v>2011</v>
          </cell>
          <cell r="I1621">
            <v>7920</v>
          </cell>
          <cell r="J1621">
            <v>1435953.61</v>
          </cell>
          <cell r="K1621">
            <v>1</v>
          </cell>
          <cell r="L1621">
            <v>0</v>
          </cell>
          <cell r="M1621">
            <v>0</v>
          </cell>
          <cell r="N1621">
            <v>0</v>
          </cell>
          <cell r="R1621">
            <v>0</v>
          </cell>
          <cell r="S1621">
            <v>0</v>
          </cell>
          <cell r="T1621">
            <v>0</v>
          </cell>
          <cell r="U1621">
            <v>32</v>
          </cell>
          <cell r="V1621">
            <v>0</v>
          </cell>
          <cell r="W1621">
            <v>0</v>
          </cell>
          <cell r="AA1621">
            <v>0</v>
          </cell>
          <cell r="AB1621">
            <v>0</v>
          </cell>
          <cell r="AC1621">
            <v>0</v>
          </cell>
          <cell r="AD1621">
            <v>32</v>
          </cell>
          <cell r="AE1621">
            <v>503000</v>
          </cell>
          <cell r="AF1621">
            <v>0</v>
          </cell>
          <cell r="AI1621">
            <v>2251</v>
          </cell>
          <cell r="AK1621">
            <v>0</v>
          </cell>
          <cell r="AM1621">
            <v>282</v>
          </cell>
          <cell r="AN1621">
            <v>1</v>
          </cell>
          <cell r="AO1621">
            <v>393216</v>
          </cell>
          <cell r="AQ1621">
            <v>0</v>
          </cell>
          <cell r="AR1621">
            <v>0</v>
          </cell>
          <cell r="AS1621" t="str">
            <v>Ы</v>
          </cell>
          <cell r="AT1621" t="str">
            <v>Ы</v>
          </cell>
          <cell r="AU1621">
            <v>0</v>
          </cell>
          <cell r="AV1621">
            <v>0</v>
          </cell>
          <cell r="AW1621">
            <v>23</v>
          </cell>
          <cell r="AX1621">
            <v>1</v>
          </cell>
          <cell r="AY1621">
            <v>0</v>
          </cell>
          <cell r="AZ1621">
            <v>0</v>
          </cell>
          <cell r="BA1621">
            <v>0</v>
          </cell>
          <cell r="BB1621">
            <v>0</v>
          </cell>
          <cell r="BC1621">
            <v>38828</v>
          </cell>
        </row>
        <row r="1622">
          <cell r="A1622">
            <v>2006</v>
          </cell>
          <cell r="B1622">
            <v>2</v>
          </cell>
          <cell r="C1622">
            <v>154</v>
          </cell>
          <cell r="D1622">
            <v>21</v>
          </cell>
          <cell r="E1622">
            <v>792020</v>
          </cell>
          <cell r="F1622">
            <v>0</v>
          </cell>
          <cell r="G1622" t="str">
            <v>Затраты по ШПЗ (основные)</v>
          </cell>
          <cell r="H1622">
            <v>2011</v>
          </cell>
          <cell r="I1622">
            <v>7920</v>
          </cell>
          <cell r="J1622">
            <v>6097.88</v>
          </cell>
          <cell r="K1622">
            <v>1</v>
          </cell>
          <cell r="L1622">
            <v>0</v>
          </cell>
          <cell r="M1622">
            <v>0</v>
          </cell>
          <cell r="N1622">
            <v>0</v>
          </cell>
          <cell r="R1622">
            <v>0</v>
          </cell>
          <cell r="S1622">
            <v>0</v>
          </cell>
          <cell r="T1622">
            <v>0</v>
          </cell>
          <cell r="U1622">
            <v>32</v>
          </cell>
          <cell r="V1622">
            <v>0</v>
          </cell>
          <cell r="W1622">
            <v>0</v>
          </cell>
          <cell r="AA1622">
            <v>0</v>
          </cell>
          <cell r="AB1622">
            <v>0</v>
          </cell>
          <cell r="AC1622">
            <v>0</v>
          </cell>
          <cell r="AD1622">
            <v>32</v>
          </cell>
          <cell r="AE1622">
            <v>504100</v>
          </cell>
          <cell r="AF1622">
            <v>0</v>
          </cell>
          <cell r="AI1622">
            <v>2251</v>
          </cell>
          <cell r="AK1622">
            <v>0</v>
          </cell>
          <cell r="AM1622">
            <v>283</v>
          </cell>
          <cell r="AN1622">
            <v>1</v>
          </cell>
          <cell r="AO1622">
            <v>393216</v>
          </cell>
          <cell r="AQ1622">
            <v>0</v>
          </cell>
          <cell r="AR1622">
            <v>0</v>
          </cell>
          <cell r="AS1622" t="str">
            <v>Ы</v>
          </cell>
          <cell r="AT1622" t="str">
            <v>Ы</v>
          </cell>
          <cell r="AU1622">
            <v>0</v>
          </cell>
          <cell r="AV1622">
            <v>0</v>
          </cell>
          <cell r="AW1622">
            <v>23</v>
          </cell>
          <cell r="AX1622">
            <v>1</v>
          </cell>
          <cell r="AY1622">
            <v>0</v>
          </cell>
          <cell r="AZ1622">
            <v>0</v>
          </cell>
          <cell r="BA1622">
            <v>0</v>
          </cell>
          <cell r="BB1622">
            <v>0</v>
          </cell>
          <cell r="BC1622">
            <v>38828</v>
          </cell>
        </row>
        <row r="1623">
          <cell r="A1623">
            <v>2006</v>
          </cell>
          <cell r="B1623">
            <v>2</v>
          </cell>
          <cell r="C1623">
            <v>155</v>
          </cell>
          <cell r="D1623">
            <v>21</v>
          </cell>
          <cell r="E1623">
            <v>792020</v>
          </cell>
          <cell r="F1623">
            <v>0</v>
          </cell>
          <cell r="G1623" t="str">
            <v>Затраты по ШПЗ (основные)</v>
          </cell>
          <cell r="H1623">
            <v>2011</v>
          </cell>
          <cell r="I1623">
            <v>7920</v>
          </cell>
          <cell r="J1623">
            <v>5533.15</v>
          </cell>
          <cell r="K1623">
            <v>1</v>
          </cell>
          <cell r="L1623">
            <v>0</v>
          </cell>
          <cell r="M1623">
            <v>0</v>
          </cell>
          <cell r="N1623">
            <v>0</v>
          </cell>
          <cell r="R1623">
            <v>0</v>
          </cell>
          <cell r="S1623">
            <v>0</v>
          </cell>
          <cell r="T1623">
            <v>0</v>
          </cell>
          <cell r="U1623">
            <v>32</v>
          </cell>
          <cell r="V1623">
            <v>0</v>
          </cell>
          <cell r="W1623">
            <v>0</v>
          </cell>
          <cell r="AA1623">
            <v>0</v>
          </cell>
          <cell r="AB1623">
            <v>0</v>
          </cell>
          <cell r="AC1623">
            <v>0</v>
          </cell>
          <cell r="AD1623">
            <v>32</v>
          </cell>
          <cell r="AE1623">
            <v>504900</v>
          </cell>
          <cell r="AF1623">
            <v>0</v>
          </cell>
          <cell r="AI1623">
            <v>2251</v>
          </cell>
          <cell r="AK1623">
            <v>0</v>
          </cell>
          <cell r="AM1623">
            <v>284</v>
          </cell>
          <cell r="AN1623">
            <v>1</v>
          </cell>
          <cell r="AO1623">
            <v>393216</v>
          </cell>
          <cell r="AQ1623">
            <v>0</v>
          </cell>
          <cell r="AR1623">
            <v>0</v>
          </cell>
          <cell r="AS1623" t="str">
            <v>Ы</v>
          </cell>
          <cell r="AT1623" t="str">
            <v>Ы</v>
          </cell>
          <cell r="AU1623">
            <v>0</v>
          </cell>
          <cell r="AV1623">
            <v>0</v>
          </cell>
          <cell r="AW1623">
            <v>23</v>
          </cell>
          <cell r="AX1623">
            <v>1</v>
          </cell>
          <cell r="AY1623">
            <v>0</v>
          </cell>
          <cell r="AZ1623">
            <v>0</v>
          </cell>
          <cell r="BA1623">
            <v>0</v>
          </cell>
          <cell r="BB1623">
            <v>0</v>
          </cell>
          <cell r="BC1623">
            <v>38828</v>
          </cell>
        </row>
        <row r="1624">
          <cell r="A1624">
            <v>2006</v>
          </cell>
          <cell r="B1624">
            <v>2</v>
          </cell>
          <cell r="C1624">
            <v>156</v>
          </cell>
          <cell r="D1624">
            <v>21</v>
          </cell>
          <cell r="E1624">
            <v>792020</v>
          </cell>
          <cell r="F1624">
            <v>0</v>
          </cell>
          <cell r="G1624" t="str">
            <v>Затраты по ШПЗ (основные)</v>
          </cell>
          <cell r="H1624">
            <v>2011</v>
          </cell>
          <cell r="I1624">
            <v>7920</v>
          </cell>
          <cell r="J1624">
            <v>14182.04</v>
          </cell>
          <cell r="K1624">
            <v>1</v>
          </cell>
          <cell r="L1624">
            <v>0</v>
          </cell>
          <cell r="M1624">
            <v>0</v>
          </cell>
          <cell r="N1624">
            <v>0</v>
          </cell>
          <cell r="R1624">
            <v>0</v>
          </cell>
          <cell r="S1624">
            <v>0</v>
          </cell>
          <cell r="T1624">
            <v>0</v>
          </cell>
          <cell r="U1624">
            <v>32</v>
          </cell>
          <cell r="V1624">
            <v>0</v>
          </cell>
          <cell r="W1624">
            <v>0</v>
          </cell>
          <cell r="AA1624">
            <v>0</v>
          </cell>
          <cell r="AB1624">
            <v>0</v>
          </cell>
          <cell r="AC1624">
            <v>0</v>
          </cell>
          <cell r="AD1624">
            <v>32</v>
          </cell>
          <cell r="AE1624">
            <v>505100</v>
          </cell>
          <cell r="AF1624">
            <v>0</v>
          </cell>
          <cell r="AI1624">
            <v>2251</v>
          </cell>
          <cell r="AK1624">
            <v>0</v>
          </cell>
          <cell r="AM1624">
            <v>285</v>
          </cell>
          <cell r="AN1624">
            <v>1</v>
          </cell>
          <cell r="AO1624">
            <v>393216</v>
          </cell>
          <cell r="AQ1624">
            <v>0</v>
          </cell>
          <cell r="AR1624">
            <v>0</v>
          </cell>
          <cell r="AS1624" t="str">
            <v>Ы</v>
          </cell>
          <cell r="AT1624" t="str">
            <v>Ы</v>
          </cell>
          <cell r="AU1624">
            <v>0</v>
          </cell>
          <cell r="AV1624">
            <v>0</v>
          </cell>
          <cell r="AW1624">
            <v>23</v>
          </cell>
          <cell r="AX1624">
            <v>1</v>
          </cell>
          <cell r="AY1624">
            <v>0</v>
          </cell>
          <cell r="AZ1624">
            <v>0</v>
          </cell>
          <cell r="BA1624">
            <v>0</v>
          </cell>
          <cell r="BB1624">
            <v>0</v>
          </cell>
          <cell r="BC1624">
            <v>38828</v>
          </cell>
        </row>
        <row r="1625">
          <cell r="A1625">
            <v>2006</v>
          </cell>
          <cell r="B1625">
            <v>2</v>
          </cell>
          <cell r="C1625">
            <v>157</v>
          </cell>
          <cell r="D1625">
            <v>21</v>
          </cell>
          <cell r="E1625">
            <v>792020</v>
          </cell>
          <cell r="F1625">
            <v>0</v>
          </cell>
          <cell r="G1625" t="str">
            <v>Затраты по ШПЗ (основные)</v>
          </cell>
          <cell r="H1625">
            <v>2011</v>
          </cell>
          <cell r="I1625">
            <v>7920</v>
          </cell>
          <cell r="J1625">
            <v>188908.74</v>
          </cell>
          <cell r="K1625">
            <v>1</v>
          </cell>
          <cell r="L1625">
            <v>0</v>
          </cell>
          <cell r="M1625">
            <v>0</v>
          </cell>
          <cell r="N1625">
            <v>0</v>
          </cell>
          <cell r="R1625">
            <v>0</v>
          </cell>
          <cell r="S1625">
            <v>0</v>
          </cell>
          <cell r="T1625">
            <v>0</v>
          </cell>
          <cell r="U1625">
            <v>32</v>
          </cell>
          <cell r="V1625">
            <v>0</v>
          </cell>
          <cell r="W1625">
            <v>0</v>
          </cell>
          <cell r="AA1625">
            <v>0</v>
          </cell>
          <cell r="AB1625">
            <v>0</v>
          </cell>
          <cell r="AC1625">
            <v>0</v>
          </cell>
          <cell r="AD1625">
            <v>32</v>
          </cell>
          <cell r="AE1625">
            <v>505200</v>
          </cell>
          <cell r="AF1625">
            <v>0</v>
          </cell>
          <cell r="AI1625">
            <v>2251</v>
          </cell>
          <cell r="AK1625">
            <v>0</v>
          </cell>
          <cell r="AM1625">
            <v>286</v>
          </cell>
          <cell r="AN1625">
            <v>1</v>
          </cell>
          <cell r="AO1625">
            <v>393216</v>
          </cell>
          <cell r="AQ1625">
            <v>0</v>
          </cell>
          <cell r="AR1625">
            <v>0</v>
          </cell>
          <cell r="AS1625" t="str">
            <v>Ы</v>
          </cell>
          <cell r="AT1625" t="str">
            <v>Ы</v>
          </cell>
          <cell r="AU1625">
            <v>0</v>
          </cell>
          <cell r="AV1625">
            <v>0</v>
          </cell>
          <cell r="AW1625">
            <v>23</v>
          </cell>
          <cell r="AX1625">
            <v>1</v>
          </cell>
          <cell r="AY1625">
            <v>0</v>
          </cell>
          <cell r="AZ1625">
            <v>0</v>
          </cell>
          <cell r="BA1625">
            <v>0</v>
          </cell>
          <cell r="BB1625">
            <v>0</v>
          </cell>
          <cell r="BC1625">
            <v>38828</v>
          </cell>
        </row>
        <row r="1626">
          <cell r="A1626">
            <v>2006</v>
          </cell>
          <cell r="B1626">
            <v>2</v>
          </cell>
          <cell r="C1626">
            <v>158</v>
          </cell>
          <cell r="D1626">
            <v>21</v>
          </cell>
          <cell r="E1626">
            <v>792020</v>
          </cell>
          <cell r="F1626">
            <v>0</v>
          </cell>
          <cell r="G1626" t="str">
            <v>Затраты по ШПЗ (основные)</v>
          </cell>
          <cell r="H1626">
            <v>2011</v>
          </cell>
          <cell r="I1626">
            <v>7920</v>
          </cell>
          <cell r="J1626">
            <v>7199.03</v>
          </cell>
          <cell r="K1626">
            <v>1</v>
          </cell>
          <cell r="L1626">
            <v>0</v>
          </cell>
          <cell r="M1626">
            <v>0</v>
          </cell>
          <cell r="N1626">
            <v>0</v>
          </cell>
          <cell r="R1626">
            <v>0</v>
          </cell>
          <cell r="S1626">
            <v>0</v>
          </cell>
          <cell r="T1626">
            <v>0</v>
          </cell>
          <cell r="U1626">
            <v>32</v>
          </cell>
          <cell r="V1626">
            <v>0</v>
          </cell>
          <cell r="W1626">
            <v>0</v>
          </cell>
          <cell r="AA1626">
            <v>0</v>
          </cell>
          <cell r="AB1626">
            <v>0</v>
          </cell>
          <cell r="AC1626">
            <v>0</v>
          </cell>
          <cell r="AD1626">
            <v>32</v>
          </cell>
          <cell r="AE1626">
            <v>505300</v>
          </cell>
          <cell r="AF1626">
            <v>0</v>
          </cell>
          <cell r="AI1626">
            <v>2251</v>
          </cell>
          <cell r="AK1626">
            <v>0</v>
          </cell>
          <cell r="AM1626">
            <v>287</v>
          </cell>
          <cell r="AN1626">
            <v>1</v>
          </cell>
          <cell r="AO1626">
            <v>393216</v>
          </cell>
          <cell r="AQ1626">
            <v>0</v>
          </cell>
          <cell r="AR1626">
            <v>0</v>
          </cell>
          <cell r="AS1626" t="str">
            <v>Ы</v>
          </cell>
          <cell r="AT1626" t="str">
            <v>Ы</v>
          </cell>
          <cell r="AU1626">
            <v>0</v>
          </cell>
          <cell r="AV1626">
            <v>0</v>
          </cell>
          <cell r="AW1626">
            <v>23</v>
          </cell>
          <cell r="AX1626">
            <v>1</v>
          </cell>
          <cell r="AY1626">
            <v>0</v>
          </cell>
          <cell r="AZ1626">
            <v>0</v>
          </cell>
          <cell r="BA1626">
            <v>0</v>
          </cell>
          <cell r="BB1626">
            <v>0</v>
          </cell>
          <cell r="BC1626">
            <v>38828</v>
          </cell>
        </row>
        <row r="1627">
          <cell r="A1627">
            <v>2006</v>
          </cell>
          <cell r="B1627">
            <v>2</v>
          </cell>
          <cell r="C1627">
            <v>159</v>
          </cell>
          <cell r="D1627">
            <v>21</v>
          </cell>
          <cell r="E1627">
            <v>792020</v>
          </cell>
          <cell r="F1627">
            <v>0</v>
          </cell>
          <cell r="G1627" t="str">
            <v>Затраты по ШПЗ (основные)</v>
          </cell>
          <cell r="H1627">
            <v>2011</v>
          </cell>
          <cell r="I1627">
            <v>7920</v>
          </cell>
          <cell r="J1627">
            <v>5323.42</v>
          </cell>
          <cell r="K1627">
            <v>1</v>
          </cell>
          <cell r="L1627">
            <v>0</v>
          </cell>
          <cell r="M1627">
            <v>0</v>
          </cell>
          <cell r="N1627">
            <v>0</v>
          </cell>
          <cell r="R1627">
            <v>0</v>
          </cell>
          <cell r="S1627">
            <v>0</v>
          </cell>
          <cell r="T1627">
            <v>0</v>
          </cell>
          <cell r="U1627">
            <v>32</v>
          </cell>
          <cell r="V1627">
            <v>0</v>
          </cell>
          <cell r="W1627">
            <v>0</v>
          </cell>
          <cell r="AA1627">
            <v>0</v>
          </cell>
          <cell r="AB1627">
            <v>0</v>
          </cell>
          <cell r="AC1627">
            <v>0</v>
          </cell>
          <cell r="AD1627">
            <v>32</v>
          </cell>
          <cell r="AE1627">
            <v>507000</v>
          </cell>
          <cell r="AF1627">
            <v>0</v>
          </cell>
          <cell r="AI1627">
            <v>2251</v>
          </cell>
          <cell r="AK1627">
            <v>0</v>
          </cell>
          <cell r="AM1627">
            <v>288</v>
          </cell>
          <cell r="AN1627">
            <v>1</v>
          </cell>
          <cell r="AO1627">
            <v>393216</v>
          </cell>
          <cell r="AQ1627">
            <v>0</v>
          </cell>
          <cell r="AR1627">
            <v>0</v>
          </cell>
          <cell r="AS1627" t="str">
            <v>Ы</v>
          </cell>
          <cell r="AT1627" t="str">
            <v>Ы</v>
          </cell>
          <cell r="AU1627">
            <v>0</v>
          </cell>
          <cell r="AV1627">
            <v>0</v>
          </cell>
          <cell r="AW1627">
            <v>23</v>
          </cell>
          <cell r="AX1627">
            <v>1</v>
          </cell>
          <cell r="AY1627">
            <v>0</v>
          </cell>
          <cell r="AZ1627">
            <v>0</v>
          </cell>
          <cell r="BA1627">
            <v>0</v>
          </cell>
          <cell r="BB1627">
            <v>0</v>
          </cell>
          <cell r="BC1627">
            <v>38828</v>
          </cell>
        </row>
        <row r="1628">
          <cell r="A1628">
            <v>2006</v>
          </cell>
          <cell r="B1628">
            <v>2</v>
          </cell>
          <cell r="C1628">
            <v>160</v>
          </cell>
          <cell r="D1628">
            <v>21</v>
          </cell>
          <cell r="E1628">
            <v>792020</v>
          </cell>
          <cell r="F1628">
            <v>0</v>
          </cell>
          <cell r="G1628" t="str">
            <v>Затраты по ШПЗ (основные)</v>
          </cell>
          <cell r="H1628">
            <v>2011</v>
          </cell>
          <cell r="I1628">
            <v>7920</v>
          </cell>
          <cell r="J1628">
            <v>569603.19999999995</v>
          </cell>
          <cell r="K1628">
            <v>1</v>
          </cell>
          <cell r="L1628">
            <v>0</v>
          </cell>
          <cell r="M1628">
            <v>0</v>
          </cell>
          <cell r="N1628">
            <v>0</v>
          </cell>
          <cell r="R1628">
            <v>0</v>
          </cell>
          <cell r="S1628">
            <v>0</v>
          </cell>
          <cell r="T1628">
            <v>0</v>
          </cell>
          <cell r="U1628">
            <v>32</v>
          </cell>
          <cell r="V1628">
            <v>0</v>
          </cell>
          <cell r="W1628">
            <v>0</v>
          </cell>
          <cell r="AA1628">
            <v>0</v>
          </cell>
          <cell r="AB1628">
            <v>0</v>
          </cell>
          <cell r="AC1628">
            <v>0</v>
          </cell>
          <cell r="AD1628">
            <v>32</v>
          </cell>
          <cell r="AE1628">
            <v>510100</v>
          </cell>
          <cell r="AF1628">
            <v>0</v>
          </cell>
          <cell r="AI1628">
            <v>2251</v>
          </cell>
          <cell r="AK1628">
            <v>0</v>
          </cell>
          <cell r="AM1628">
            <v>289</v>
          </cell>
          <cell r="AN1628">
            <v>1</v>
          </cell>
          <cell r="AO1628">
            <v>393216</v>
          </cell>
          <cell r="AQ1628">
            <v>0</v>
          </cell>
          <cell r="AR1628">
            <v>0</v>
          </cell>
          <cell r="AS1628" t="str">
            <v>Ы</v>
          </cell>
          <cell r="AT1628" t="str">
            <v>Ы</v>
          </cell>
          <cell r="AU1628">
            <v>0</v>
          </cell>
          <cell r="AV1628">
            <v>0</v>
          </cell>
          <cell r="AW1628">
            <v>23</v>
          </cell>
          <cell r="AX1628">
            <v>1</v>
          </cell>
          <cell r="AY1628">
            <v>0</v>
          </cell>
          <cell r="AZ1628">
            <v>0</v>
          </cell>
          <cell r="BA1628">
            <v>0</v>
          </cell>
          <cell r="BB1628">
            <v>0</v>
          </cell>
          <cell r="BC1628">
            <v>38828</v>
          </cell>
        </row>
        <row r="1629">
          <cell r="A1629">
            <v>2006</v>
          </cell>
          <cell r="B1629">
            <v>2</v>
          </cell>
          <cell r="C1629">
            <v>161</v>
          </cell>
          <cell r="D1629">
            <v>21</v>
          </cell>
          <cell r="E1629">
            <v>792020</v>
          </cell>
          <cell r="F1629">
            <v>0</v>
          </cell>
          <cell r="G1629" t="str">
            <v>Затраты по ШПЗ (основные)</v>
          </cell>
          <cell r="H1629">
            <v>2011</v>
          </cell>
          <cell r="I1629">
            <v>7920</v>
          </cell>
          <cell r="J1629">
            <v>2888.07</v>
          </cell>
          <cell r="K1629">
            <v>1</v>
          </cell>
          <cell r="L1629">
            <v>0</v>
          </cell>
          <cell r="M1629">
            <v>0</v>
          </cell>
          <cell r="N1629">
            <v>0</v>
          </cell>
          <cell r="R1629">
            <v>0</v>
          </cell>
          <cell r="S1629">
            <v>0</v>
          </cell>
          <cell r="T1629">
            <v>0</v>
          </cell>
          <cell r="U1629">
            <v>32</v>
          </cell>
          <cell r="V1629">
            <v>0</v>
          </cell>
          <cell r="W1629">
            <v>0</v>
          </cell>
          <cell r="AA1629">
            <v>0</v>
          </cell>
          <cell r="AB1629">
            <v>0</v>
          </cell>
          <cell r="AC1629">
            <v>0</v>
          </cell>
          <cell r="AD1629">
            <v>32</v>
          </cell>
          <cell r="AE1629">
            <v>510400</v>
          </cell>
          <cell r="AF1629">
            <v>0</v>
          </cell>
          <cell r="AI1629">
            <v>2251</v>
          </cell>
          <cell r="AK1629">
            <v>0</v>
          </cell>
          <cell r="AM1629">
            <v>290</v>
          </cell>
          <cell r="AN1629">
            <v>1</v>
          </cell>
          <cell r="AO1629">
            <v>393216</v>
          </cell>
          <cell r="AQ1629">
            <v>0</v>
          </cell>
          <cell r="AR1629">
            <v>0</v>
          </cell>
          <cell r="AS1629" t="str">
            <v>Ы</v>
          </cell>
          <cell r="AT1629" t="str">
            <v>Ы</v>
          </cell>
          <cell r="AU1629">
            <v>0</v>
          </cell>
          <cell r="AV1629">
            <v>0</v>
          </cell>
          <cell r="AW1629">
            <v>23</v>
          </cell>
          <cell r="AX1629">
            <v>1</v>
          </cell>
          <cell r="AY1629">
            <v>0</v>
          </cell>
          <cell r="AZ1629">
            <v>0</v>
          </cell>
          <cell r="BA1629">
            <v>0</v>
          </cell>
          <cell r="BB1629">
            <v>0</v>
          </cell>
          <cell r="BC1629">
            <v>38828</v>
          </cell>
        </row>
        <row r="1630">
          <cell r="A1630">
            <v>2006</v>
          </cell>
          <cell r="B1630">
            <v>2</v>
          </cell>
          <cell r="C1630">
            <v>162</v>
          </cell>
          <cell r="D1630">
            <v>21</v>
          </cell>
          <cell r="E1630">
            <v>792020</v>
          </cell>
          <cell r="F1630">
            <v>0</v>
          </cell>
          <cell r="G1630" t="str">
            <v>Затраты по ШПЗ (основные)</v>
          </cell>
          <cell r="H1630">
            <v>2011</v>
          </cell>
          <cell r="I1630">
            <v>7920</v>
          </cell>
          <cell r="J1630">
            <v>3851.58</v>
          </cell>
          <cell r="K1630">
            <v>1</v>
          </cell>
          <cell r="L1630">
            <v>0</v>
          </cell>
          <cell r="M1630">
            <v>0</v>
          </cell>
          <cell r="N1630">
            <v>0</v>
          </cell>
          <cell r="R1630">
            <v>0</v>
          </cell>
          <cell r="S1630">
            <v>0</v>
          </cell>
          <cell r="T1630">
            <v>0</v>
          </cell>
          <cell r="U1630">
            <v>32</v>
          </cell>
          <cell r="V1630">
            <v>0</v>
          </cell>
          <cell r="W1630">
            <v>0</v>
          </cell>
          <cell r="AA1630">
            <v>0</v>
          </cell>
          <cell r="AB1630">
            <v>0</v>
          </cell>
          <cell r="AC1630">
            <v>0</v>
          </cell>
          <cell r="AD1630">
            <v>32</v>
          </cell>
          <cell r="AE1630">
            <v>510500</v>
          </cell>
          <cell r="AF1630">
            <v>0</v>
          </cell>
          <cell r="AI1630">
            <v>2251</v>
          </cell>
          <cell r="AK1630">
            <v>0</v>
          </cell>
          <cell r="AM1630">
            <v>291</v>
          </cell>
          <cell r="AN1630">
            <v>1</v>
          </cell>
          <cell r="AO1630">
            <v>393216</v>
          </cell>
          <cell r="AQ1630">
            <v>0</v>
          </cell>
          <cell r="AR1630">
            <v>0</v>
          </cell>
          <cell r="AS1630" t="str">
            <v>Ы</v>
          </cell>
          <cell r="AT1630" t="str">
            <v>Ы</v>
          </cell>
          <cell r="AU1630">
            <v>0</v>
          </cell>
          <cell r="AV1630">
            <v>0</v>
          </cell>
          <cell r="AW1630">
            <v>23</v>
          </cell>
          <cell r="AX1630">
            <v>1</v>
          </cell>
          <cell r="AY1630">
            <v>0</v>
          </cell>
          <cell r="AZ1630">
            <v>0</v>
          </cell>
          <cell r="BA1630">
            <v>0</v>
          </cell>
          <cell r="BB1630">
            <v>0</v>
          </cell>
          <cell r="BC1630">
            <v>38828</v>
          </cell>
        </row>
        <row r="1631">
          <cell r="A1631">
            <v>2006</v>
          </cell>
          <cell r="B1631">
            <v>2</v>
          </cell>
          <cell r="C1631">
            <v>163</v>
          </cell>
          <cell r="D1631">
            <v>21</v>
          </cell>
          <cell r="E1631">
            <v>792020</v>
          </cell>
          <cell r="F1631">
            <v>0</v>
          </cell>
          <cell r="G1631" t="str">
            <v>Затраты по ШПЗ (основные)</v>
          </cell>
          <cell r="H1631">
            <v>2011</v>
          </cell>
          <cell r="I1631">
            <v>7920</v>
          </cell>
          <cell r="J1631">
            <v>658795.07999999996</v>
          </cell>
          <cell r="K1631">
            <v>1</v>
          </cell>
          <cell r="L1631">
            <v>0</v>
          </cell>
          <cell r="M1631">
            <v>0</v>
          </cell>
          <cell r="N1631">
            <v>0</v>
          </cell>
          <cell r="R1631">
            <v>0</v>
          </cell>
          <cell r="S1631">
            <v>0</v>
          </cell>
          <cell r="T1631">
            <v>0</v>
          </cell>
          <cell r="U1631">
            <v>32</v>
          </cell>
          <cell r="V1631">
            <v>0</v>
          </cell>
          <cell r="W1631">
            <v>0</v>
          </cell>
          <cell r="AA1631">
            <v>0</v>
          </cell>
          <cell r="AB1631">
            <v>0</v>
          </cell>
          <cell r="AC1631">
            <v>0</v>
          </cell>
          <cell r="AD1631">
            <v>32</v>
          </cell>
          <cell r="AE1631">
            <v>510600</v>
          </cell>
          <cell r="AF1631">
            <v>0</v>
          </cell>
          <cell r="AI1631">
            <v>2251</v>
          </cell>
          <cell r="AK1631">
            <v>0</v>
          </cell>
          <cell r="AM1631">
            <v>292</v>
          </cell>
          <cell r="AN1631">
            <v>1</v>
          </cell>
          <cell r="AO1631">
            <v>393216</v>
          </cell>
          <cell r="AQ1631">
            <v>0</v>
          </cell>
          <cell r="AR1631">
            <v>0</v>
          </cell>
          <cell r="AS1631" t="str">
            <v>Ы</v>
          </cell>
          <cell r="AT1631" t="str">
            <v>Ы</v>
          </cell>
          <cell r="AU1631">
            <v>0</v>
          </cell>
          <cell r="AV1631">
            <v>0</v>
          </cell>
          <cell r="AW1631">
            <v>23</v>
          </cell>
          <cell r="AX1631">
            <v>1</v>
          </cell>
          <cell r="AY1631">
            <v>0</v>
          </cell>
          <cell r="AZ1631">
            <v>0</v>
          </cell>
          <cell r="BA1631">
            <v>0</v>
          </cell>
          <cell r="BB1631">
            <v>0</v>
          </cell>
          <cell r="BC1631">
            <v>38828</v>
          </cell>
        </row>
        <row r="1632">
          <cell r="A1632">
            <v>2006</v>
          </cell>
          <cell r="B1632">
            <v>2</v>
          </cell>
          <cell r="C1632">
            <v>164</v>
          </cell>
          <cell r="D1632">
            <v>21</v>
          </cell>
          <cell r="E1632">
            <v>792020</v>
          </cell>
          <cell r="F1632">
            <v>0</v>
          </cell>
          <cell r="G1632" t="str">
            <v>Затраты по ШПЗ (основные)</v>
          </cell>
          <cell r="H1632">
            <v>2011</v>
          </cell>
          <cell r="I1632">
            <v>7920</v>
          </cell>
          <cell r="J1632">
            <v>1200</v>
          </cell>
          <cell r="K1632">
            <v>1</v>
          </cell>
          <cell r="L1632">
            <v>0</v>
          </cell>
          <cell r="M1632">
            <v>0</v>
          </cell>
          <cell r="N1632">
            <v>0</v>
          </cell>
          <cell r="R1632">
            <v>0</v>
          </cell>
          <cell r="S1632">
            <v>0</v>
          </cell>
          <cell r="T1632">
            <v>0</v>
          </cell>
          <cell r="U1632">
            <v>32</v>
          </cell>
          <cell r="V1632">
            <v>0</v>
          </cell>
          <cell r="W1632">
            <v>0</v>
          </cell>
          <cell r="AA1632">
            <v>0</v>
          </cell>
          <cell r="AB1632">
            <v>0</v>
          </cell>
          <cell r="AC1632">
            <v>0</v>
          </cell>
          <cell r="AD1632">
            <v>32</v>
          </cell>
          <cell r="AE1632">
            <v>522100</v>
          </cell>
          <cell r="AF1632">
            <v>0</v>
          </cell>
          <cell r="AI1632">
            <v>2251</v>
          </cell>
          <cell r="AK1632">
            <v>0</v>
          </cell>
          <cell r="AM1632">
            <v>293</v>
          </cell>
          <cell r="AN1632">
            <v>1</v>
          </cell>
          <cell r="AO1632">
            <v>393216</v>
          </cell>
          <cell r="AQ1632">
            <v>0</v>
          </cell>
          <cell r="AR1632">
            <v>0</v>
          </cell>
          <cell r="AS1632" t="str">
            <v>Ы</v>
          </cell>
          <cell r="AT1632" t="str">
            <v>Ы</v>
          </cell>
          <cell r="AU1632">
            <v>0</v>
          </cell>
          <cell r="AV1632">
            <v>0</v>
          </cell>
          <cell r="AW1632">
            <v>23</v>
          </cell>
          <cell r="AX1632">
            <v>1</v>
          </cell>
          <cell r="AY1632">
            <v>0</v>
          </cell>
          <cell r="AZ1632">
            <v>0</v>
          </cell>
          <cell r="BA1632">
            <v>0</v>
          </cell>
          <cell r="BB1632">
            <v>0</v>
          </cell>
          <cell r="BC1632">
            <v>38828</v>
          </cell>
        </row>
        <row r="1633">
          <cell r="A1633">
            <v>2006</v>
          </cell>
          <cell r="B1633">
            <v>2</v>
          </cell>
          <cell r="C1633">
            <v>168</v>
          </cell>
          <cell r="D1633">
            <v>21</v>
          </cell>
          <cell r="E1633">
            <v>792020</v>
          </cell>
          <cell r="F1633">
            <v>0</v>
          </cell>
          <cell r="G1633" t="str">
            <v>Затраты по ШПЗ (основные)</v>
          </cell>
          <cell r="H1633">
            <v>2011</v>
          </cell>
          <cell r="I1633">
            <v>7920</v>
          </cell>
          <cell r="J1633">
            <v>17457.91</v>
          </cell>
          <cell r="K1633">
            <v>1</v>
          </cell>
          <cell r="L1633">
            <v>0</v>
          </cell>
          <cell r="M1633">
            <v>0</v>
          </cell>
          <cell r="N1633">
            <v>0</v>
          </cell>
          <cell r="R1633">
            <v>0</v>
          </cell>
          <cell r="S1633">
            <v>0</v>
          </cell>
          <cell r="T1633">
            <v>0</v>
          </cell>
          <cell r="U1633">
            <v>33</v>
          </cell>
          <cell r="V1633">
            <v>0</v>
          </cell>
          <cell r="W1633">
            <v>0</v>
          </cell>
          <cell r="AA1633">
            <v>0</v>
          </cell>
          <cell r="AB1633">
            <v>0</v>
          </cell>
          <cell r="AC1633">
            <v>0</v>
          </cell>
          <cell r="AD1633">
            <v>33</v>
          </cell>
          <cell r="AE1633">
            <v>110000</v>
          </cell>
          <cell r="AF1633">
            <v>0</v>
          </cell>
          <cell r="AI1633">
            <v>2251</v>
          </cell>
          <cell r="AK1633">
            <v>0</v>
          </cell>
          <cell r="AM1633">
            <v>297</v>
          </cell>
          <cell r="AN1633">
            <v>1</v>
          </cell>
          <cell r="AO1633">
            <v>393216</v>
          </cell>
          <cell r="AQ1633">
            <v>0</v>
          </cell>
          <cell r="AR1633">
            <v>0</v>
          </cell>
          <cell r="AS1633" t="str">
            <v>Ы</v>
          </cell>
          <cell r="AT1633" t="str">
            <v>Ы</v>
          </cell>
          <cell r="AU1633">
            <v>0</v>
          </cell>
          <cell r="AV1633">
            <v>0</v>
          </cell>
          <cell r="AW1633">
            <v>23</v>
          </cell>
          <cell r="AX1633">
            <v>1</v>
          </cell>
          <cell r="AY1633">
            <v>0</v>
          </cell>
          <cell r="AZ1633">
            <v>0</v>
          </cell>
          <cell r="BA1633">
            <v>0</v>
          </cell>
          <cell r="BB1633">
            <v>0</v>
          </cell>
          <cell r="BC1633">
            <v>38828</v>
          </cell>
        </row>
        <row r="1634">
          <cell r="A1634">
            <v>2006</v>
          </cell>
          <cell r="B1634">
            <v>2</v>
          </cell>
          <cell r="C1634">
            <v>169</v>
          </cell>
          <cell r="D1634">
            <v>21</v>
          </cell>
          <cell r="E1634">
            <v>792020</v>
          </cell>
          <cell r="F1634">
            <v>0</v>
          </cell>
          <cell r="G1634" t="str">
            <v>Затраты по ШПЗ (основные)</v>
          </cell>
          <cell r="H1634">
            <v>2011</v>
          </cell>
          <cell r="I1634">
            <v>7920</v>
          </cell>
          <cell r="J1634">
            <v>1996.86</v>
          </cell>
          <cell r="K1634">
            <v>1</v>
          </cell>
          <cell r="L1634">
            <v>0</v>
          </cell>
          <cell r="M1634">
            <v>0</v>
          </cell>
          <cell r="N1634">
            <v>0</v>
          </cell>
          <cell r="R1634">
            <v>0</v>
          </cell>
          <cell r="S1634">
            <v>0</v>
          </cell>
          <cell r="T1634">
            <v>0</v>
          </cell>
          <cell r="U1634">
            <v>33</v>
          </cell>
          <cell r="V1634">
            <v>0</v>
          </cell>
          <cell r="W1634">
            <v>0</v>
          </cell>
          <cell r="AA1634">
            <v>0</v>
          </cell>
          <cell r="AB1634">
            <v>0</v>
          </cell>
          <cell r="AC1634">
            <v>0</v>
          </cell>
          <cell r="AD1634">
            <v>33</v>
          </cell>
          <cell r="AE1634">
            <v>114020</v>
          </cell>
          <cell r="AF1634">
            <v>0</v>
          </cell>
          <cell r="AI1634">
            <v>2251</v>
          </cell>
          <cell r="AK1634">
            <v>0</v>
          </cell>
          <cell r="AM1634">
            <v>298</v>
          </cell>
          <cell r="AN1634">
            <v>1</v>
          </cell>
          <cell r="AO1634">
            <v>393216</v>
          </cell>
          <cell r="AQ1634">
            <v>0</v>
          </cell>
          <cell r="AR1634">
            <v>0</v>
          </cell>
          <cell r="AS1634" t="str">
            <v>Ы</v>
          </cell>
          <cell r="AT1634" t="str">
            <v>Ы</v>
          </cell>
          <cell r="AU1634">
            <v>0</v>
          </cell>
          <cell r="AV1634">
            <v>0</v>
          </cell>
          <cell r="AW1634">
            <v>23</v>
          </cell>
          <cell r="AX1634">
            <v>1</v>
          </cell>
          <cell r="AY1634">
            <v>0</v>
          </cell>
          <cell r="AZ1634">
            <v>0</v>
          </cell>
          <cell r="BA1634">
            <v>0</v>
          </cell>
          <cell r="BB1634">
            <v>0</v>
          </cell>
          <cell r="BC1634">
            <v>38828</v>
          </cell>
        </row>
        <row r="1635">
          <cell r="A1635">
            <v>2006</v>
          </cell>
          <cell r="B1635">
            <v>2</v>
          </cell>
          <cell r="C1635">
            <v>170</v>
          </cell>
          <cell r="D1635">
            <v>21</v>
          </cell>
          <cell r="E1635">
            <v>792020</v>
          </cell>
          <cell r="F1635">
            <v>0</v>
          </cell>
          <cell r="G1635" t="str">
            <v>Затраты по ШПЗ (основные)</v>
          </cell>
          <cell r="H1635">
            <v>2011</v>
          </cell>
          <cell r="I1635">
            <v>7920</v>
          </cell>
          <cell r="J1635">
            <v>218301.71</v>
          </cell>
          <cell r="K1635">
            <v>1</v>
          </cell>
          <cell r="L1635">
            <v>0</v>
          </cell>
          <cell r="M1635">
            <v>0</v>
          </cell>
          <cell r="N1635">
            <v>0</v>
          </cell>
          <cell r="R1635">
            <v>0</v>
          </cell>
          <cell r="S1635">
            <v>0</v>
          </cell>
          <cell r="T1635">
            <v>0</v>
          </cell>
          <cell r="U1635">
            <v>33</v>
          </cell>
          <cell r="V1635">
            <v>0</v>
          </cell>
          <cell r="W1635">
            <v>0</v>
          </cell>
          <cell r="AA1635">
            <v>0</v>
          </cell>
          <cell r="AB1635">
            <v>0</v>
          </cell>
          <cell r="AC1635">
            <v>0</v>
          </cell>
          <cell r="AD1635">
            <v>33</v>
          </cell>
          <cell r="AE1635">
            <v>116000</v>
          </cell>
          <cell r="AF1635">
            <v>0</v>
          </cell>
          <cell r="AI1635">
            <v>2251</v>
          </cell>
          <cell r="AK1635">
            <v>0</v>
          </cell>
          <cell r="AM1635">
            <v>299</v>
          </cell>
          <cell r="AN1635">
            <v>1</v>
          </cell>
          <cell r="AO1635">
            <v>393216</v>
          </cell>
          <cell r="AQ1635">
            <v>0</v>
          </cell>
          <cell r="AR1635">
            <v>0</v>
          </cell>
          <cell r="AS1635" t="str">
            <v>Ы</v>
          </cell>
          <cell r="AT1635" t="str">
            <v>Ы</v>
          </cell>
          <cell r="AU1635">
            <v>0</v>
          </cell>
          <cell r="AV1635">
            <v>0</v>
          </cell>
          <cell r="AW1635">
            <v>23</v>
          </cell>
          <cell r="AX1635">
            <v>1</v>
          </cell>
          <cell r="AY1635">
            <v>0</v>
          </cell>
          <cell r="AZ1635">
            <v>0</v>
          </cell>
          <cell r="BA1635">
            <v>0</v>
          </cell>
          <cell r="BB1635">
            <v>0</v>
          </cell>
          <cell r="BC1635">
            <v>38828</v>
          </cell>
        </row>
        <row r="1636">
          <cell r="A1636">
            <v>2006</v>
          </cell>
          <cell r="B1636">
            <v>2</v>
          </cell>
          <cell r="C1636">
            <v>171</v>
          </cell>
          <cell r="D1636">
            <v>21</v>
          </cell>
          <cell r="E1636">
            <v>792020</v>
          </cell>
          <cell r="F1636">
            <v>0</v>
          </cell>
          <cell r="G1636" t="str">
            <v>Затраты по ШПЗ (основные)</v>
          </cell>
          <cell r="H1636">
            <v>2011</v>
          </cell>
          <cell r="I1636">
            <v>7920</v>
          </cell>
          <cell r="J1636">
            <v>4929.1000000000004</v>
          </cell>
          <cell r="K1636">
            <v>1</v>
          </cell>
          <cell r="L1636">
            <v>0</v>
          </cell>
          <cell r="M1636">
            <v>0</v>
          </cell>
          <cell r="N1636">
            <v>0</v>
          </cell>
          <cell r="R1636">
            <v>0</v>
          </cell>
          <cell r="S1636">
            <v>0</v>
          </cell>
          <cell r="T1636">
            <v>0</v>
          </cell>
          <cell r="U1636">
            <v>33</v>
          </cell>
          <cell r="V1636">
            <v>0</v>
          </cell>
          <cell r="W1636">
            <v>0</v>
          </cell>
          <cell r="AA1636">
            <v>0</v>
          </cell>
          <cell r="AB1636">
            <v>0</v>
          </cell>
          <cell r="AC1636">
            <v>0</v>
          </cell>
          <cell r="AD1636">
            <v>33</v>
          </cell>
          <cell r="AE1636">
            <v>117000</v>
          </cell>
          <cell r="AF1636">
            <v>0</v>
          </cell>
          <cell r="AI1636">
            <v>2251</v>
          </cell>
          <cell r="AK1636">
            <v>0</v>
          </cell>
          <cell r="AM1636">
            <v>300</v>
          </cell>
          <cell r="AN1636">
            <v>1</v>
          </cell>
          <cell r="AO1636">
            <v>393216</v>
          </cell>
          <cell r="AQ1636">
            <v>0</v>
          </cell>
          <cell r="AR1636">
            <v>0</v>
          </cell>
          <cell r="AS1636" t="str">
            <v>Ы</v>
          </cell>
          <cell r="AT1636" t="str">
            <v>Ы</v>
          </cell>
          <cell r="AU1636">
            <v>0</v>
          </cell>
          <cell r="AV1636">
            <v>0</v>
          </cell>
          <cell r="AW1636">
            <v>23</v>
          </cell>
          <cell r="AX1636">
            <v>1</v>
          </cell>
          <cell r="AY1636">
            <v>0</v>
          </cell>
          <cell r="AZ1636">
            <v>0</v>
          </cell>
          <cell r="BA1636">
            <v>0</v>
          </cell>
          <cell r="BB1636">
            <v>0</v>
          </cell>
          <cell r="BC1636">
            <v>38828</v>
          </cell>
        </row>
        <row r="1637">
          <cell r="A1637">
            <v>2006</v>
          </cell>
          <cell r="B1637">
            <v>2</v>
          </cell>
          <cell r="C1637">
            <v>172</v>
          </cell>
          <cell r="D1637">
            <v>21</v>
          </cell>
          <cell r="E1637">
            <v>792020</v>
          </cell>
          <cell r="F1637">
            <v>0</v>
          </cell>
          <cell r="G1637" t="str">
            <v>Затраты по ШПЗ (основные)</v>
          </cell>
          <cell r="H1637">
            <v>2011</v>
          </cell>
          <cell r="I1637">
            <v>7920</v>
          </cell>
          <cell r="J1637">
            <v>16570</v>
          </cell>
          <cell r="K1637">
            <v>1</v>
          </cell>
          <cell r="L1637">
            <v>0</v>
          </cell>
          <cell r="M1637">
            <v>0</v>
          </cell>
          <cell r="N1637">
            <v>0</v>
          </cell>
          <cell r="R1637">
            <v>0</v>
          </cell>
          <cell r="S1637">
            <v>0</v>
          </cell>
          <cell r="T1637">
            <v>0</v>
          </cell>
          <cell r="U1637">
            <v>33</v>
          </cell>
          <cell r="V1637">
            <v>0</v>
          </cell>
          <cell r="W1637">
            <v>0</v>
          </cell>
          <cell r="AA1637">
            <v>0</v>
          </cell>
          <cell r="AB1637">
            <v>0</v>
          </cell>
          <cell r="AC1637">
            <v>0</v>
          </cell>
          <cell r="AD1637">
            <v>33</v>
          </cell>
          <cell r="AE1637">
            <v>118000</v>
          </cell>
          <cell r="AF1637">
            <v>0</v>
          </cell>
          <cell r="AI1637">
            <v>2251</v>
          </cell>
          <cell r="AK1637">
            <v>0</v>
          </cell>
          <cell r="AM1637">
            <v>301</v>
          </cell>
          <cell r="AN1637">
            <v>1</v>
          </cell>
          <cell r="AO1637">
            <v>393216</v>
          </cell>
          <cell r="AQ1637">
            <v>0</v>
          </cell>
          <cell r="AR1637">
            <v>0</v>
          </cell>
          <cell r="AS1637" t="str">
            <v>Ы</v>
          </cell>
          <cell r="AT1637" t="str">
            <v>Ы</v>
          </cell>
          <cell r="AU1637">
            <v>0</v>
          </cell>
          <cell r="AV1637">
            <v>0</v>
          </cell>
          <cell r="AW1637">
            <v>23</v>
          </cell>
          <cell r="AX1637">
            <v>1</v>
          </cell>
          <cell r="AY1637">
            <v>0</v>
          </cell>
          <cell r="AZ1637">
            <v>0</v>
          </cell>
          <cell r="BA1637">
            <v>0</v>
          </cell>
          <cell r="BB1637">
            <v>0</v>
          </cell>
          <cell r="BC1637">
            <v>38828</v>
          </cell>
        </row>
        <row r="1638">
          <cell r="A1638">
            <v>2006</v>
          </cell>
          <cell r="B1638">
            <v>2</v>
          </cell>
          <cell r="C1638">
            <v>173</v>
          </cell>
          <cell r="D1638">
            <v>21</v>
          </cell>
          <cell r="E1638">
            <v>792020</v>
          </cell>
          <cell r="F1638">
            <v>0</v>
          </cell>
          <cell r="G1638" t="str">
            <v>Затраты по ШПЗ (основные)</v>
          </cell>
          <cell r="H1638">
            <v>2011</v>
          </cell>
          <cell r="I1638">
            <v>7920</v>
          </cell>
          <cell r="J1638">
            <v>9208.5</v>
          </cell>
          <cell r="K1638">
            <v>1</v>
          </cell>
          <cell r="L1638">
            <v>0</v>
          </cell>
          <cell r="M1638">
            <v>0</v>
          </cell>
          <cell r="N1638">
            <v>0</v>
          </cell>
          <cell r="R1638">
            <v>0</v>
          </cell>
          <cell r="S1638">
            <v>0</v>
          </cell>
          <cell r="T1638">
            <v>0</v>
          </cell>
          <cell r="U1638">
            <v>33</v>
          </cell>
          <cell r="V1638">
            <v>0</v>
          </cell>
          <cell r="W1638">
            <v>0</v>
          </cell>
          <cell r="AA1638">
            <v>0</v>
          </cell>
          <cell r="AB1638">
            <v>0</v>
          </cell>
          <cell r="AC1638">
            <v>0</v>
          </cell>
          <cell r="AD1638">
            <v>33</v>
          </cell>
          <cell r="AE1638">
            <v>130100</v>
          </cell>
          <cell r="AF1638">
            <v>0</v>
          </cell>
          <cell r="AI1638">
            <v>2251</v>
          </cell>
          <cell r="AK1638">
            <v>0</v>
          </cell>
          <cell r="AM1638">
            <v>302</v>
          </cell>
          <cell r="AN1638">
            <v>1</v>
          </cell>
          <cell r="AO1638">
            <v>393216</v>
          </cell>
          <cell r="AQ1638">
            <v>0</v>
          </cell>
          <cell r="AR1638">
            <v>0</v>
          </cell>
          <cell r="AS1638" t="str">
            <v>Ы</v>
          </cell>
          <cell r="AT1638" t="str">
            <v>Ы</v>
          </cell>
          <cell r="AU1638">
            <v>0</v>
          </cell>
          <cell r="AV1638">
            <v>0</v>
          </cell>
          <cell r="AW1638">
            <v>23</v>
          </cell>
          <cell r="AX1638">
            <v>1</v>
          </cell>
          <cell r="AY1638">
            <v>0</v>
          </cell>
          <cell r="AZ1638">
            <v>0</v>
          </cell>
          <cell r="BA1638">
            <v>0</v>
          </cell>
          <cell r="BB1638">
            <v>0</v>
          </cell>
          <cell r="BC1638">
            <v>38828</v>
          </cell>
        </row>
        <row r="1639">
          <cell r="A1639">
            <v>2006</v>
          </cell>
          <cell r="B1639">
            <v>2</v>
          </cell>
          <cell r="C1639">
            <v>174</v>
          </cell>
          <cell r="D1639">
            <v>21</v>
          </cell>
          <cell r="E1639">
            <v>792020</v>
          </cell>
          <cell r="F1639">
            <v>0</v>
          </cell>
          <cell r="G1639" t="str">
            <v>Затраты по ШПЗ (основные)</v>
          </cell>
          <cell r="H1639">
            <v>2011</v>
          </cell>
          <cell r="I1639">
            <v>7920</v>
          </cell>
          <cell r="J1639">
            <v>274700</v>
          </cell>
          <cell r="K1639">
            <v>1</v>
          </cell>
          <cell r="L1639">
            <v>0</v>
          </cell>
          <cell r="M1639">
            <v>0</v>
          </cell>
          <cell r="N1639">
            <v>0</v>
          </cell>
          <cell r="R1639">
            <v>0</v>
          </cell>
          <cell r="S1639">
            <v>0</v>
          </cell>
          <cell r="T1639">
            <v>0</v>
          </cell>
          <cell r="U1639">
            <v>33</v>
          </cell>
          <cell r="V1639">
            <v>0</v>
          </cell>
          <cell r="W1639">
            <v>0</v>
          </cell>
          <cell r="AA1639">
            <v>0</v>
          </cell>
          <cell r="AB1639">
            <v>0</v>
          </cell>
          <cell r="AC1639">
            <v>0</v>
          </cell>
          <cell r="AD1639">
            <v>33</v>
          </cell>
          <cell r="AE1639">
            <v>132000</v>
          </cell>
          <cell r="AF1639">
            <v>0</v>
          </cell>
          <cell r="AI1639">
            <v>2251</v>
          </cell>
          <cell r="AK1639">
            <v>0</v>
          </cell>
          <cell r="AM1639">
            <v>303</v>
          </cell>
          <cell r="AN1639">
            <v>1</v>
          </cell>
          <cell r="AO1639">
            <v>393216</v>
          </cell>
          <cell r="AQ1639">
            <v>0</v>
          </cell>
          <cell r="AR1639">
            <v>0</v>
          </cell>
          <cell r="AS1639" t="str">
            <v>Ы</v>
          </cell>
          <cell r="AT1639" t="str">
            <v>Ы</v>
          </cell>
          <cell r="AU1639">
            <v>0</v>
          </cell>
          <cell r="AV1639">
            <v>0</v>
          </cell>
          <cell r="AW1639">
            <v>23</v>
          </cell>
          <cell r="AX1639">
            <v>1</v>
          </cell>
          <cell r="AY1639">
            <v>0</v>
          </cell>
          <cell r="AZ1639">
            <v>0</v>
          </cell>
          <cell r="BA1639">
            <v>0</v>
          </cell>
          <cell r="BB1639">
            <v>0</v>
          </cell>
          <cell r="BC1639">
            <v>38828</v>
          </cell>
        </row>
        <row r="1640">
          <cell r="A1640">
            <v>2006</v>
          </cell>
          <cell r="B1640">
            <v>2</v>
          </cell>
          <cell r="C1640">
            <v>175</v>
          </cell>
          <cell r="D1640">
            <v>21</v>
          </cell>
          <cell r="E1640">
            <v>792020</v>
          </cell>
          <cell r="F1640">
            <v>0</v>
          </cell>
          <cell r="G1640" t="str">
            <v>Затраты по ШПЗ (основные)</v>
          </cell>
          <cell r="H1640">
            <v>2011</v>
          </cell>
          <cell r="I1640">
            <v>7920</v>
          </cell>
          <cell r="J1640">
            <v>198.29</v>
          </cell>
          <cell r="K1640">
            <v>1</v>
          </cell>
          <cell r="L1640">
            <v>0</v>
          </cell>
          <cell r="M1640">
            <v>0</v>
          </cell>
          <cell r="N1640">
            <v>0</v>
          </cell>
          <cell r="R1640">
            <v>0</v>
          </cell>
          <cell r="S1640">
            <v>0</v>
          </cell>
          <cell r="T1640">
            <v>0</v>
          </cell>
          <cell r="U1640">
            <v>33</v>
          </cell>
          <cell r="V1640">
            <v>0</v>
          </cell>
          <cell r="W1640">
            <v>0</v>
          </cell>
          <cell r="AA1640">
            <v>0</v>
          </cell>
          <cell r="AB1640">
            <v>0</v>
          </cell>
          <cell r="AC1640">
            <v>0</v>
          </cell>
          <cell r="AD1640">
            <v>33</v>
          </cell>
          <cell r="AE1640">
            <v>133100</v>
          </cell>
          <cell r="AF1640">
            <v>0</v>
          </cell>
          <cell r="AI1640">
            <v>2251</v>
          </cell>
          <cell r="AK1640">
            <v>0</v>
          </cell>
          <cell r="AM1640">
            <v>304</v>
          </cell>
          <cell r="AN1640">
            <v>1</v>
          </cell>
          <cell r="AO1640">
            <v>393216</v>
          </cell>
          <cell r="AQ1640">
            <v>0</v>
          </cell>
          <cell r="AR1640">
            <v>0</v>
          </cell>
          <cell r="AS1640" t="str">
            <v>Ы</v>
          </cell>
          <cell r="AT1640" t="str">
            <v>Ы</v>
          </cell>
          <cell r="AU1640">
            <v>0</v>
          </cell>
          <cell r="AV1640">
            <v>0</v>
          </cell>
          <cell r="AW1640">
            <v>23</v>
          </cell>
          <cell r="AX1640">
            <v>1</v>
          </cell>
          <cell r="AY1640">
            <v>0</v>
          </cell>
          <cell r="AZ1640">
            <v>0</v>
          </cell>
          <cell r="BA1640">
            <v>0</v>
          </cell>
          <cell r="BB1640">
            <v>0</v>
          </cell>
          <cell r="BC1640">
            <v>38828</v>
          </cell>
        </row>
        <row r="1641">
          <cell r="A1641">
            <v>2006</v>
          </cell>
          <cell r="B1641">
            <v>2</v>
          </cell>
          <cell r="C1641">
            <v>176</v>
          </cell>
          <cell r="D1641">
            <v>21</v>
          </cell>
          <cell r="E1641">
            <v>792020</v>
          </cell>
          <cell r="F1641">
            <v>0</v>
          </cell>
          <cell r="G1641" t="str">
            <v>Затраты по ШПЗ (основные)</v>
          </cell>
          <cell r="H1641">
            <v>2011</v>
          </cell>
          <cell r="I1641">
            <v>7920</v>
          </cell>
          <cell r="J1641">
            <v>1488</v>
          </cell>
          <cell r="K1641">
            <v>1</v>
          </cell>
          <cell r="L1641">
            <v>0</v>
          </cell>
          <cell r="M1641">
            <v>0</v>
          </cell>
          <cell r="N1641">
            <v>0</v>
          </cell>
          <cell r="R1641">
            <v>0</v>
          </cell>
          <cell r="S1641">
            <v>0</v>
          </cell>
          <cell r="T1641">
            <v>0</v>
          </cell>
          <cell r="U1641">
            <v>33</v>
          </cell>
          <cell r="V1641">
            <v>0</v>
          </cell>
          <cell r="W1641">
            <v>0</v>
          </cell>
          <cell r="AA1641">
            <v>0</v>
          </cell>
          <cell r="AB1641">
            <v>0</v>
          </cell>
          <cell r="AC1641">
            <v>0</v>
          </cell>
          <cell r="AD1641">
            <v>33</v>
          </cell>
          <cell r="AE1641">
            <v>135000</v>
          </cell>
          <cell r="AF1641">
            <v>0</v>
          </cell>
          <cell r="AI1641">
            <v>2251</v>
          </cell>
          <cell r="AK1641">
            <v>0</v>
          </cell>
          <cell r="AM1641">
            <v>305</v>
          </cell>
          <cell r="AN1641">
            <v>1</v>
          </cell>
          <cell r="AO1641">
            <v>393216</v>
          </cell>
          <cell r="AQ1641">
            <v>0</v>
          </cell>
          <cell r="AR1641">
            <v>0</v>
          </cell>
          <cell r="AS1641" t="str">
            <v>Ы</v>
          </cell>
          <cell r="AT1641" t="str">
            <v>Ы</v>
          </cell>
          <cell r="AU1641">
            <v>0</v>
          </cell>
          <cell r="AV1641">
            <v>0</v>
          </cell>
          <cell r="AW1641">
            <v>23</v>
          </cell>
          <cell r="AX1641">
            <v>1</v>
          </cell>
          <cell r="AY1641">
            <v>0</v>
          </cell>
          <cell r="AZ1641">
            <v>0</v>
          </cell>
          <cell r="BA1641">
            <v>0</v>
          </cell>
          <cell r="BB1641">
            <v>0</v>
          </cell>
          <cell r="BC1641">
            <v>38828</v>
          </cell>
        </row>
        <row r="1642">
          <cell r="A1642">
            <v>2006</v>
          </cell>
          <cell r="B1642">
            <v>2</v>
          </cell>
          <cell r="C1642">
            <v>177</v>
          </cell>
          <cell r="D1642">
            <v>21</v>
          </cell>
          <cell r="E1642">
            <v>792020</v>
          </cell>
          <cell r="F1642">
            <v>0</v>
          </cell>
          <cell r="G1642" t="str">
            <v>Затраты по ШПЗ (основные)</v>
          </cell>
          <cell r="H1642">
            <v>2011</v>
          </cell>
          <cell r="I1642">
            <v>7920</v>
          </cell>
          <cell r="J1642">
            <v>304544.15999999997</v>
          </cell>
          <cell r="K1642">
            <v>1</v>
          </cell>
          <cell r="L1642">
            <v>0</v>
          </cell>
          <cell r="M1642">
            <v>0</v>
          </cell>
          <cell r="N1642">
            <v>0</v>
          </cell>
          <cell r="R1642">
            <v>0</v>
          </cell>
          <cell r="S1642">
            <v>0</v>
          </cell>
          <cell r="T1642">
            <v>0</v>
          </cell>
          <cell r="U1642">
            <v>33</v>
          </cell>
          <cell r="V1642">
            <v>0</v>
          </cell>
          <cell r="W1642">
            <v>0</v>
          </cell>
          <cell r="AA1642">
            <v>0</v>
          </cell>
          <cell r="AB1642">
            <v>0</v>
          </cell>
          <cell r="AC1642">
            <v>0</v>
          </cell>
          <cell r="AD1642">
            <v>33</v>
          </cell>
          <cell r="AE1642">
            <v>143000</v>
          </cell>
          <cell r="AF1642">
            <v>0</v>
          </cell>
          <cell r="AI1642">
            <v>2251</v>
          </cell>
          <cell r="AK1642">
            <v>0</v>
          </cell>
          <cell r="AM1642">
            <v>306</v>
          </cell>
          <cell r="AN1642">
            <v>1</v>
          </cell>
          <cell r="AO1642">
            <v>393216</v>
          </cell>
          <cell r="AQ1642">
            <v>0</v>
          </cell>
          <cell r="AR1642">
            <v>0</v>
          </cell>
          <cell r="AS1642" t="str">
            <v>Ы</v>
          </cell>
          <cell r="AT1642" t="str">
            <v>Ы</v>
          </cell>
          <cell r="AU1642">
            <v>0</v>
          </cell>
          <cell r="AV1642">
            <v>0</v>
          </cell>
          <cell r="AW1642">
            <v>23</v>
          </cell>
          <cell r="AX1642">
            <v>1</v>
          </cell>
          <cell r="AY1642">
            <v>0</v>
          </cell>
          <cell r="AZ1642">
            <v>0</v>
          </cell>
          <cell r="BA1642">
            <v>0</v>
          </cell>
          <cell r="BB1642">
            <v>0</v>
          </cell>
          <cell r="BC1642">
            <v>38828</v>
          </cell>
        </row>
        <row r="1643">
          <cell r="A1643">
            <v>2006</v>
          </cell>
          <cell r="B1643">
            <v>2</v>
          </cell>
          <cell r="C1643">
            <v>178</v>
          </cell>
          <cell r="D1643">
            <v>21</v>
          </cell>
          <cell r="E1643">
            <v>792020</v>
          </cell>
          <cell r="F1643">
            <v>0</v>
          </cell>
          <cell r="G1643" t="str">
            <v>Затраты по ШПЗ (основные)</v>
          </cell>
          <cell r="H1643">
            <v>2011</v>
          </cell>
          <cell r="I1643">
            <v>7920</v>
          </cell>
          <cell r="J1643">
            <v>531190.4</v>
          </cell>
          <cell r="K1643">
            <v>1</v>
          </cell>
          <cell r="L1643">
            <v>0</v>
          </cell>
          <cell r="M1643">
            <v>0</v>
          </cell>
          <cell r="N1643">
            <v>0</v>
          </cell>
          <cell r="R1643">
            <v>0</v>
          </cell>
          <cell r="S1643">
            <v>0</v>
          </cell>
          <cell r="T1643">
            <v>0</v>
          </cell>
          <cell r="U1643">
            <v>33</v>
          </cell>
          <cell r="V1643">
            <v>0</v>
          </cell>
          <cell r="W1643">
            <v>0</v>
          </cell>
          <cell r="AA1643">
            <v>0</v>
          </cell>
          <cell r="AB1643">
            <v>0</v>
          </cell>
          <cell r="AC1643">
            <v>0</v>
          </cell>
          <cell r="AD1643">
            <v>33</v>
          </cell>
          <cell r="AE1643">
            <v>151000</v>
          </cell>
          <cell r="AF1643">
            <v>0</v>
          </cell>
          <cell r="AI1643">
            <v>2251</v>
          </cell>
          <cell r="AK1643">
            <v>0</v>
          </cell>
          <cell r="AM1643">
            <v>307</v>
          </cell>
          <cell r="AN1643">
            <v>1</v>
          </cell>
          <cell r="AO1643">
            <v>393216</v>
          </cell>
          <cell r="AQ1643">
            <v>0</v>
          </cell>
          <cell r="AR1643">
            <v>0</v>
          </cell>
          <cell r="AS1643" t="str">
            <v>Ы</v>
          </cell>
          <cell r="AT1643" t="str">
            <v>Ы</v>
          </cell>
          <cell r="AU1643">
            <v>0</v>
          </cell>
          <cell r="AV1643">
            <v>0</v>
          </cell>
          <cell r="AW1643">
            <v>23</v>
          </cell>
          <cell r="AX1643">
            <v>1</v>
          </cell>
          <cell r="AY1643">
            <v>0</v>
          </cell>
          <cell r="AZ1643">
            <v>0</v>
          </cell>
          <cell r="BA1643">
            <v>0</v>
          </cell>
          <cell r="BB1643">
            <v>0</v>
          </cell>
          <cell r="BC1643">
            <v>38828</v>
          </cell>
        </row>
        <row r="1644">
          <cell r="A1644">
            <v>2006</v>
          </cell>
          <cell r="B1644">
            <v>2</v>
          </cell>
          <cell r="C1644">
            <v>179</v>
          </cell>
          <cell r="D1644">
            <v>21</v>
          </cell>
          <cell r="E1644">
            <v>792020</v>
          </cell>
          <cell r="F1644">
            <v>0</v>
          </cell>
          <cell r="G1644" t="str">
            <v>Затраты по ШПЗ (основные)</v>
          </cell>
          <cell r="H1644">
            <v>2011</v>
          </cell>
          <cell r="I1644">
            <v>7920</v>
          </cell>
          <cell r="J1644">
            <v>51959.07</v>
          </cell>
          <cell r="K1644">
            <v>1</v>
          </cell>
          <cell r="L1644">
            <v>0</v>
          </cell>
          <cell r="M1644">
            <v>0</v>
          </cell>
          <cell r="N1644">
            <v>0</v>
          </cell>
          <cell r="R1644">
            <v>0</v>
          </cell>
          <cell r="S1644">
            <v>0</v>
          </cell>
          <cell r="T1644">
            <v>0</v>
          </cell>
          <cell r="U1644">
            <v>33</v>
          </cell>
          <cell r="V1644">
            <v>0</v>
          </cell>
          <cell r="W1644">
            <v>0</v>
          </cell>
          <cell r="AA1644">
            <v>0</v>
          </cell>
          <cell r="AB1644">
            <v>0</v>
          </cell>
          <cell r="AC1644">
            <v>0</v>
          </cell>
          <cell r="AD1644">
            <v>33</v>
          </cell>
          <cell r="AE1644">
            <v>152000</v>
          </cell>
          <cell r="AF1644">
            <v>0</v>
          </cell>
          <cell r="AI1644">
            <v>2251</v>
          </cell>
          <cell r="AK1644">
            <v>0</v>
          </cell>
          <cell r="AM1644">
            <v>308</v>
          </cell>
          <cell r="AN1644">
            <v>1</v>
          </cell>
          <cell r="AO1644">
            <v>393216</v>
          </cell>
          <cell r="AQ1644">
            <v>0</v>
          </cell>
          <cell r="AR1644">
            <v>0</v>
          </cell>
          <cell r="AS1644" t="str">
            <v>Ы</v>
          </cell>
          <cell r="AT1644" t="str">
            <v>Ы</v>
          </cell>
          <cell r="AU1644">
            <v>0</v>
          </cell>
          <cell r="AV1644">
            <v>0</v>
          </cell>
          <cell r="AW1644">
            <v>23</v>
          </cell>
          <cell r="AX1644">
            <v>1</v>
          </cell>
          <cell r="AY1644">
            <v>0</v>
          </cell>
          <cell r="AZ1644">
            <v>0</v>
          </cell>
          <cell r="BA1644">
            <v>0</v>
          </cell>
          <cell r="BB1644">
            <v>0</v>
          </cell>
          <cell r="BC1644">
            <v>38828</v>
          </cell>
        </row>
        <row r="1645">
          <cell r="A1645">
            <v>2006</v>
          </cell>
          <cell r="B1645">
            <v>2</v>
          </cell>
          <cell r="C1645">
            <v>180</v>
          </cell>
          <cell r="D1645">
            <v>21</v>
          </cell>
          <cell r="E1645">
            <v>792020</v>
          </cell>
          <cell r="F1645">
            <v>0</v>
          </cell>
          <cell r="G1645" t="str">
            <v>Затраты по ШПЗ (основные)</v>
          </cell>
          <cell r="H1645">
            <v>2011</v>
          </cell>
          <cell r="I1645">
            <v>7920</v>
          </cell>
          <cell r="J1645">
            <v>1702355.67</v>
          </cell>
          <cell r="K1645">
            <v>1</v>
          </cell>
          <cell r="L1645">
            <v>0</v>
          </cell>
          <cell r="M1645">
            <v>0</v>
          </cell>
          <cell r="N1645">
            <v>0</v>
          </cell>
          <cell r="R1645">
            <v>0</v>
          </cell>
          <cell r="S1645">
            <v>0</v>
          </cell>
          <cell r="T1645">
            <v>0</v>
          </cell>
          <cell r="U1645">
            <v>33</v>
          </cell>
          <cell r="V1645">
            <v>0</v>
          </cell>
          <cell r="W1645">
            <v>0</v>
          </cell>
          <cell r="AA1645">
            <v>0</v>
          </cell>
          <cell r="AB1645">
            <v>0</v>
          </cell>
          <cell r="AC1645">
            <v>0</v>
          </cell>
          <cell r="AD1645">
            <v>33</v>
          </cell>
          <cell r="AE1645">
            <v>220000</v>
          </cell>
          <cell r="AF1645">
            <v>0</v>
          </cell>
          <cell r="AI1645">
            <v>2251</v>
          </cell>
          <cell r="AK1645">
            <v>0</v>
          </cell>
          <cell r="AM1645">
            <v>309</v>
          </cell>
          <cell r="AN1645">
            <v>1</v>
          </cell>
          <cell r="AO1645">
            <v>393216</v>
          </cell>
          <cell r="AQ1645">
            <v>0</v>
          </cell>
          <cell r="AR1645">
            <v>0</v>
          </cell>
          <cell r="AS1645" t="str">
            <v>Ы</v>
          </cell>
          <cell r="AT1645" t="str">
            <v>Ы</v>
          </cell>
          <cell r="AU1645">
            <v>0</v>
          </cell>
          <cell r="AV1645">
            <v>0</v>
          </cell>
          <cell r="AW1645">
            <v>23</v>
          </cell>
          <cell r="AX1645">
            <v>1</v>
          </cell>
          <cell r="AY1645">
            <v>0</v>
          </cell>
          <cell r="AZ1645">
            <v>0</v>
          </cell>
          <cell r="BA1645">
            <v>0</v>
          </cell>
          <cell r="BB1645">
            <v>0</v>
          </cell>
          <cell r="BC1645">
            <v>38828</v>
          </cell>
        </row>
        <row r="1646">
          <cell r="A1646">
            <v>2006</v>
          </cell>
          <cell r="B1646">
            <v>2</v>
          </cell>
          <cell r="C1646">
            <v>181</v>
          </cell>
          <cell r="D1646">
            <v>21</v>
          </cell>
          <cell r="E1646">
            <v>792020</v>
          </cell>
          <cell r="F1646">
            <v>0</v>
          </cell>
          <cell r="G1646" t="str">
            <v>Затраты по ШПЗ (основные)</v>
          </cell>
          <cell r="H1646">
            <v>2011</v>
          </cell>
          <cell r="I1646">
            <v>7920</v>
          </cell>
          <cell r="J1646">
            <v>919141.98</v>
          </cell>
          <cell r="K1646">
            <v>1</v>
          </cell>
          <cell r="L1646">
            <v>0</v>
          </cell>
          <cell r="M1646">
            <v>0</v>
          </cell>
          <cell r="N1646">
            <v>0</v>
          </cell>
          <cell r="R1646">
            <v>0</v>
          </cell>
          <cell r="S1646">
            <v>0</v>
          </cell>
          <cell r="T1646">
            <v>0</v>
          </cell>
          <cell r="U1646">
            <v>33</v>
          </cell>
          <cell r="V1646">
            <v>0</v>
          </cell>
          <cell r="W1646">
            <v>0</v>
          </cell>
          <cell r="AA1646">
            <v>0</v>
          </cell>
          <cell r="AB1646">
            <v>0</v>
          </cell>
          <cell r="AC1646">
            <v>0</v>
          </cell>
          <cell r="AD1646">
            <v>33</v>
          </cell>
          <cell r="AE1646">
            <v>230000</v>
          </cell>
          <cell r="AF1646">
            <v>0</v>
          </cell>
          <cell r="AI1646">
            <v>2251</v>
          </cell>
          <cell r="AK1646">
            <v>0</v>
          </cell>
          <cell r="AM1646">
            <v>310</v>
          </cell>
          <cell r="AN1646">
            <v>1</v>
          </cell>
          <cell r="AO1646">
            <v>393216</v>
          </cell>
          <cell r="AQ1646">
            <v>0</v>
          </cell>
          <cell r="AR1646">
            <v>0</v>
          </cell>
          <cell r="AS1646" t="str">
            <v>Ы</v>
          </cell>
          <cell r="AT1646" t="str">
            <v>Ы</v>
          </cell>
          <cell r="AU1646">
            <v>0</v>
          </cell>
          <cell r="AV1646">
            <v>0</v>
          </cell>
          <cell r="AW1646">
            <v>23</v>
          </cell>
          <cell r="AX1646">
            <v>1</v>
          </cell>
          <cell r="AY1646">
            <v>0</v>
          </cell>
          <cell r="AZ1646">
            <v>0</v>
          </cell>
          <cell r="BA1646">
            <v>0</v>
          </cell>
          <cell r="BB1646">
            <v>0</v>
          </cell>
          <cell r="BC1646">
            <v>38828</v>
          </cell>
        </row>
        <row r="1647">
          <cell r="A1647">
            <v>2006</v>
          </cell>
          <cell r="B1647">
            <v>2</v>
          </cell>
          <cell r="C1647">
            <v>182</v>
          </cell>
          <cell r="D1647">
            <v>21</v>
          </cell>
          <cell r="E1647">
            <v>792020</v>
          </cell>
          <cell r="F1647">
            <v>0</v>
          </cell>
          <cell r="G1647" t="str">
            <v>Затраты по ШПЗ (основные)</v>
          </cell>
          <cell r="H1647">
            <v>2011</v>
          </cell>
          <cell r="I1647">
            <v>7920</v>
          </cell>
          <cell r="J1647">
            <v>145312.95000000001</v>
          </cell>
          <cell r="K1647">
            <v>1</v>
          </cell>
          <cell r="L1647">
            <v>0</v>
          </cell>
          <cell r="M1647">
            <v>0</v>
          </cell>
          <cell r="N1647">
            <v>0</v>
          </cell>
          <cell r="R1647">
            <v>0</v>
          </cell>
          <cell r="S1647">
            <v>0</v>
          </cell>
          <cell r="T1647">
            <v>0</v>
          </cell>
          <cell r="U1647">
            <v>33</v>
          </cell>
          <cell r="V1647">
            <v>0</v>
          </cell>
          <cell r="W1647">
            <v>0</v>
          </cell>
          <cell r="AA1647">
            <v>0</v>
          </cell>
          <cell r="AB1647">
            <v>0</v>
          </cell>
          <cell r="AC1647">
            <v>0</v>
          </cell>
          <cell r="AD1647">
            <v>33</v>
          </cell>
          <cell r="AE1647">
            <v>260000</v>
          </cell>
          <cell r="AF1647">
            <v>0</v>
          </cell>
          <cell r="AI1647">
            <v>2251</v>
          </cell>
          <cell r="AK1647">
            <v>0</v>
          </cell>
          <cell r="AM1647">
            <v>311</v>
          </cell>
          <cell r="AN1647">
            <v>1</v>
          </cell>
          <cell r="AO1647">
            <v>393216</v>
          </cell>
          <cell r="AQ1647">
            <v>0</v>
          </cell>
          <cell r="AR1647">
            <v>0</v>
          </cell>
          <cell r="AS1647" t="str">
            <v>Ы</v>
          </cell>
          <cell r="AT1647" t="str">
            <v>Ы</v>
          </cell>
          <cell r="AU1647">
            <v>0</v>
          </cell>
          <cell r="AV1647">
            <v>0</v>
          </cell>
          <cell r="AW1647">
            <v>23</v>
          </cell>
          <cell r="AX1647">
            <v>1</v>
          </cell>
          <cell r="AY1647">
            <v>0</v>
          </cell>
          <cell r="AZ1647">
            <v>0</v>
          </cell>
          <cell r="BA1647">
            <v>0</v>
          </cell>
          <cell r="BB1647">
            <v>0</v>
          </cell>
          <cell r="BC1647">
            <v>38828</v>
          </cell>
        </row>
        <row r="1648">
          <cell r="A1648">
            <v>2006</v>
          </cell>
          <cell r="B1648">
            <v>2</v>
          </cell>
          <cell r="C1648">
            <v>183</v>
          </cell>
          <cell r="D1648">
            <v>21</v>
          </cell>
          <cell r="E1648">
            <v>792020</v>
          </cell>
          <cell r="F1648">
            <v>0</v>
          </cell>
          <cell r="G1648" t="str">
            <v>Затраты по ШПЗ (основные)</v>
          </cell>
          <cell r="H1648">
            <v>2011</v>
          </cell>
          <cell r="I1648">
            <v>7920</v>
          </cell>
          <cell r="J1648">
            <v>238487.53</v>
          </cell>
          <cell r="K1648">
            <v>1</v>
          </cell>
          <cell r="L1648">
            <v>0</v>
          </cell>
          <cell r="M1648">
            <v>0</v>
          </cell>
          <cell r="N1648">
            <v>0</v>
          </cell>
          <cell r="R1648">
            <v>0</v>
          </cell>
          <cell r="S1648">
            <v>0</v>
          </cell>
          <cell r="T1648">
            <v>0</v>
          </cell>
          <cell r="U1648">
            <v>33</v>
          </cell>
          <cell r="V1648">
            <v>0</v>
          </cell>
          <cell r="W1648">
            <v>0</v>
          </cell>
          <cell r="AA1648">
            <v>0</v>
          </cell>
          <cell r="AB1648">
            <v>0</v>
          </cell>
          <cell r="AC1648">
            <v>0</v>
          </cell>
          <cell r="AD1648">
            <v>33</v>
          </cell>
          <cell r="AE1648">
            <v>270000</v>
          </cell>
          <cell r="AF1648">
            <v>0</v>
          </cell>
          <cell r="AI1648">
            <v>2251</v>
          </cell>
          <cell r="AK1648">
            <v>0</v>
          </cell>
          <cell r="AM1648">
            <v>312</v>
          </cell>
          <cell r="AN1648">
            <v>1</v>
          </cell>
          <cell r="AO1648">
            <v>393216</v>
          </cell>
          <cell r="AQ1648">
            <v>0</v>
          </cell>
          <cell r="AR1648">
            <v>0</v>
          </cell>
          <cell r="AS1648" t="str">
            <v>Ы</v>
          </cell>
          <cell r="AT1648" t="str">
            <v>Ы</v>
          </cell>
          <cell r="AU1648">
            <v>0</v>
          </cell>
          <cell r="AV1648">
            <v>0</v>
          </cell>
          <cell r="AW1648">
            <v>23</v>
          </cell>
          <cell r="AX1648">
            <v>1</v>
          </cell>
          <cell r="AY1648">
            <v>0</v>
          </cell>
          <cell r="AZ1648">
            <v>0</v>
          </cell>
          <cell r="BA1648">
            <v>0</v>
          </cell>
          <cell r="BB1648">
            <v>0</v>
          </cell>
          <cell r="BC1648">
            <v>38828</v>
          </cell>
        </row>
        <row r="1649">
          <cell r="A1649">
            <v>2006</v>
          </cell>
          <cell r="B1649">
            <v>2</v>
          </cell>
          <cell r="C1649">
            <v>184</v>
          </cell>
          <cell r="D1649">
            <v>21</v>
          </cell>
          <cell r="E1649">
            <v>792020</v>
          </cell>
          <cell r="F1649">
            <v>0</v>
          </cell>
          <cell r="G1649" t="str">
            <v>Затраты по ШПЗ (основные)</v>
          </cell>
          <cell r="H1649">
            <v>2011</v>
          </cell>
          <cell r="I1649">
            <v>7920</v>
          </cell>
          <cell r="J1649">
            <v>8344.5300000000007</v>
          </cell>
          <cell r="K1649">
            <v>1</v>
          </cell>
          <cell r="L1649">
            <v>0</v>
          </cell>
          <cell r="M1649">
            <v>0</v>
          </cell>
          <cell r="N1649">
            <v>0</v>
          </cell>
          <cell r="R1649">
            <v>0</v>
          </cell>
          <cell r="S1649">
            <v>0</v>
          </cell>
          <cell r="T1649">
            <v>0</v>
          </cell>
          <cell r="U1649">
            <v>33</v>
          </cell>
          <cell r="V1649">
            <v>0</v>
          </cell>
          <cell r="W1649">
            <v>0</v>
          </cell>
          <cell r="AA1649">
            <v>0</v>
          </cell>
          <cell r="AB1649">
            <v>0</v>
          </cell>
          <cell r="AC1649">
            <v>0</v>
          </cell>
          <cell r="AD1649">
            <v>33</v>
          </cell>
          <cell r="AE1649">
            <v>280000</v>
          </cell>
          <cell r="AF1649">
            <v>0</v>
          </cell>
          <cell r="AI1649">
            <v>2251</v>
          </cell>
          <cell r="AK1649">
            <v>0</v>
          </cell>
          <cell r="AM1649">
            <v>313</v>
          </cell>
          <cell r="AN1649">
            <v>1</v>
          </cell>
          <cell r="AO1649">
            <v>393216</v>
          </cell>
          <cell r="AQ1649">
            <v>0</v>
          </cell>
          <cell r="AR1649">
            <v>0</v>
          </cell>
          <cell r="AS1649" t="str">
            <v>Ы</v>
          </cell>
          <cell r="AT1649" t="str">
            <v>Ы</v>
          </cell>
          <cell r="AU1649">
            <v>0</v>
          </cell>
          <cell r="AV1649">
            <v>0</v>
          </cell>
          <cell r="AW1649">
            <v>23</v>
          </cell>
          <cell r="AX1649">
            <v>1</v>
          </cell>
          <cell r="AY1649">
            <v>0</v>
          </cell>
          <cell r="AZ1649">
            <v>0</v>
          </cell>
          <cell r="BA1649">
            <v>0</v>
          </cell>
          <cell r="BB1649">
            <v>0</v>
          </cell>
          <cell r="BC1649">
            <v>38828</v>
          </cell>
        </row>
        <row r="1650">
          <cell r="A1650">
            <v>2006</v>
          </cell>
          <cell r="B1650">
            <v>2</v>
          </cell>
          <cell r="C1650">
            <v>185</v>
          </cell>
          <cell r="D1650">
            <v>21</v>
          </cell>
          <cell r="E1650">
            <v>792020</v>
          </cell>
          <cell r="F1650">
            <v>0</v>
          </cell>
          <cell r="G1650" t="str">
            <v>Затраты по ШПЗ (основные)</v>
          </cell>
          <cell r="H1650">
            <v>2011</v>
          </cell>
          <cell r="I1650">
            <v>7920</v>
          </cell>
          <cell r="J1650">
            <v>57791.34</v>
          </cell>
          <cell r="K1650">
            <v>1</v>
          </cell>
          <cell r="L1650">
            <v>0</v>
          </cell>
          <cell r="M1650">
            <v>0</v>
          </cell>
          <cell r="N1650">
            <v>0</v>
          </cell>
          <cell r="R1650">
            <v>0</v>
          </cell>
          <cell r="S1650">
            <v>0</v>
          </cell>
          <cell r="T1650">
            <v>0</v>
          </cell>
          <cell r="U1650">
            <v>33</v>
          </cell>
          <cell r="V1650">
            <v>0</v>
          </cell>
          <cell r="W1650">
            <v>0</v>
          </cell>
          <cell r="AA1650">
            <v>0</v>
          </cell>
          <cell r="AB1650">
            <v>0</v>
          </cell>
          <cell r="AC1650">
            <v>0</v>
          </cell>
          <cell r="AD1650">
            <v>33</v>
          </cell>
          <cell r="AE1650">
            <v>280100</v>
          </cell>
          <cell r="AF1650">
            <v>0</v>
          </cell>
          <cell r="AI1650">
            <v>2251</v>
          </cell>
          <cell r="AK1650">
            <v>0</v>
          </cell>
          <cell r="AM1650">
            <v>314</v>
          </cell>
          <cell r="AN1650">
            <v>1</v>
          </cell>
          <cell r="AO1650">
            <v>393216</v>
          </cell>
          <cell r="AQ1650">
            <v>0</v>
          </cell>
          <cell r="AR1650">
            <v>0</v>
          </cell>
          <cell r="AS1650" t="str">
            <v>Ы</v>
          </cell>
          <cell r="AT1650" t="str">
            <v>Ы</v>
          </cell>
          <cell r="AU1650">
            <v>0</v>
          </cell>
          <cell r="AV1650">
            <v>0</v>
          </cell>
          <cell r="AW1650">
            <v>23</v>
          </cell>
          <cell r="AX1650">
            <v>1</v>
          </cell>
          <cell r="AY1650">
            <v>0</v>
          </cell>
          <cell r="AZ1650">
            <v>0</v>
          </cell>
          <cell r="BA1650">
            <v>0</v>
          </cell>
          <cell r="BB1650">
            <v>0</v>
          </cell>
          <cell r="BC1650">
            <v>38828</v>
          </cell>
        </row>
        <row r="1651">
          <cell r="A1651">
            <v>2006</v>
          </cell>
          <cell r="B1651">
            <v>2</v>
          </cell>
          <cell r="C1651">
            <v>186</v>
          </cell>
          <cell r="D1651">
            <v>21</v>
          </cell>
          <cell r="E1651">
            <v>792020</v>
          </cell>
          <cell r="F1651">
            <v>0</v>
          </cell>
          <cell r="G1651" t="str">
            <v>Затраты по ШПЗ (основные)</v>
          </cell>
          <cell r="H1651">
            <v>2011</v>
          </cell>
          <cell r="I1651">
            <v>7920</v>
          </cell>
          <cell r="J1651">
            <v>53140.23</v>
          </cell>
          <cell r="K1651">
            <v>1</v>
          </cell>
          <cell r="L1651">
            <v>0</v>
          </cell>
          <cell r="M1651">
            <v>0</v>
          </cell>
          <cell r="N1651">
            <v>0</v>
          </cell>
          <cell r="R1651">
            <v>0</v>
          </cell>
          <cell r="S1651">
            <v>0</v>
          </cell>
          <cell r="T1651">
            <v>0</v>
          </cell>
          <cell r="U1651">
            <v>33</v>
          </cell>
          <cell r="V1651">
            <v>0</v>
          </cell>
          <cell r="W1651">
            <v>0</v>
          </cell>
          <cell r="AA1651">
            <v>0</v>
          </cell>
          <cell r="AB1651">
            <v>0</v>
          </cell>
          <cell r="AC1651">
            <v>0</v>
          </cell>
          <cell r="AD1651">
            <v>33</v>
          </cell>
          <cell r="AE1651">
            <v>280200</v>
          </cell>
          <cell r="AF1651">
            <v>0</v>
          </cell>
          <cell r="AI1651">
            <v>2251</v>
          </cell>
          <cell r="AK1651">
            <v>0</v>
          </cell>
          <cell r="AM1651">
            <v>315</v>
          </cell>
          <cell r="AN1651">
            <v>1</v>
          </cell>
          <cell r="AO1651">
            <v>393216</v>
          </cell>
          <cell r="AQ1651">
            <v>0</v>
          </cell>
          <cell r="AR1651">
            <v>0</v>
          </cell>
          <cell r="AS1651" t="str">
            <v>Ы</v>
          </cell>
          <cell r="AT1651" t="str">
            <v>Ы</v>
          </cell>
          <cell r="AU1651">
            <v>0</v>
          </cell>
          <cell r="AV1651">
            <v>0</v>
          </cell>
          <cell r="AW1651">
            <v>23</v>
          </cell>
          <cell r="AX1651">
            <v>1</v>
          </cell>
          <cell r="AY1651">
            <v>0</v>
          </cell>
          <cell r="AZ1651">
            <v>0</v>
          </cell>
          <cell r="BA1651">
            <v>0</v>
          </cell>
          <cell r="BB1651">
            <v>0</v>
          </cell>
          <cell r="BC1651">
            <v>38828</v>
          </cell>
        </row>
        <row r="1652">
          <cell r="A1652">
            <v>2006</v>
          </cell>
          <cell r="B1652">
            <v>2</v>
          </cell>
          <cell r="C1652">
            <v>187</v>
          </cell>
          <cell r="D1652">
            <v>21</v>
          </cell>
          <cell r="E1652">
            <v>792020</v>
          </cell>
          <cell r="F1652">
            <v>0</v>
          </cell>
          <cell r="G1652" t="str">
            <v>Затраты по ШПЗ (основные)</v>
          </cell>
          <cell r="H1652">
            <v>2011</v>
          </cell>
          <cell r="I1652">
            <v>7920</v>
          </cell>
          <cell r="J1652">
            <v>6089.4</v>
          </cell>
          <cell r="K1652">
            <v>1</v>
          </cell>
          <cell r="L1652">
            <v>0</v>
          </cell>
          <cell r="M1652">
            <v>0</v>
          </cell>
          <cell r="N1652">
            <v>0</v>
          </cell>
          <cell r="R1652">
            <v>0</v>
          </cell>
          <cell r="S1652">
            <v>0</v>
          </cell>
          <cell r="T1652">
            <v>0</v>
          </cell>
          <cell r="U1652">
            <v>33</v>
          </cell>
          <cell r="V1652">
            <v>0</v>
          </cell>
          <cell r="W1652">
            <v>0</v>
          </cell>
          <cell r="AA1652">
            <v>0</v>
          </cell>
          <cell r="AB1652">
            <v>0</v>
          </cell>
          <cell r="AC1652">
            <v>0</v>
          </cell>
          <cell r="AD1652">
            <v>33</v>
          </cell>
          <cell r="AE1652">
            <v>280300</v>
          </cell>
          <cell r="AF1652">
            <v>0</v>
          </cell>
          <cell r="AI1652">
            <v>2251</v>
          </cell>
          <cell r="AK1652">
            <v>0</v>
          </cell>
          <cell r="AM1652">
            <v>316</v>
          </cell>
          <cell r="AN1652">
            <v>1</v>
          </cell>
          <cell r="AO1652">
            <v>393216</v>
          </cell>
          <cell r="AQ1652">
            <v>0</v>
          </cell>
          <cell r="AR1652">
            <v>0</v>
          </cell>
          <cell r="AS1652" t="str">
            <v>Ы</v>
          </cell>
          <cell r="AT1652" t="str">
            <v>Ы</v>
          </cell>
          <cell r="AU1652">
            <v>0</v>
          </cell>
          <cell r="AV1652">
            <v>0</v>
          </cell>
          <cell r="AW1652">
            <v>23</v>
          </cell>
          <cell r="AX1652">
            <v>1</v>
          </cell>
          <cell r="AY1652">
            <v>0</v>
          </cell>
          <cell r="AZ1652">
            <v>0</v>
          </cell>
          <cell r="BA1652">
            <v>0</v>
          </cell>
          <cell r="BB1652">
            <v>0</v>
          </cell>
          <cell r="BC1652">
            <v>38828</v>
          </cell>
        </row>
        <row r="1653">
          <cell r="A1653">
            <v>2006</v>
          </cell>
          <cell r="B1653">
            <v>2</v>
          </cell>
          <cell r="C1653">
            <v>188</v>
          </cell>
          <cell r="D1653">
            <v>21</v>
          </cell>
          <cell r="E1653">
            <v>792020</v>
          </cell>
          <cell r="F1653">
            <v>0</v>
          </cell>
          <cell r="G1653" t="str">
            <v>Затраты по ШПЗ (основные)</v>
          </cell>
          <cell r="H1653">
            <v>2011</v>
          </cell>
          <cell r="I1653">
            <v>7920</v>
          </cell>
          <cell r="J1653">
            <v>158797.51</v>
          </cell>
          <cell r="K1653">
            <v>1</v>
          </cell>
          <cell r="L1653">
            <v>0</v>
          </cell>
          <cell r="M1653">
            <v>0</v>
          </cell>
          <cell r="N1653">
            <v>0</v>
          </cell>
          <cell r="R1653">
            <v>0</v>
          </cell>
          <cell r="S1653">
            <v>0</v>
          </cell>
          <cell r="T1653">
            <v>0</v>
          </cell>
          <cell r="U1653">
            <v>33</v>
          </cell>
          <cell r="V1653">
            <v>0</v>
          </cell>
          <cell r="W1653">
            <v>0</v>
          </cell>
          <cell r="AA1653">
            <v>0</v>
          </cell>
          <cell r="AB1653">
            <v>0</v>
          </cell>
          <cell r="AC1653">
            <v>0</v>
          </cell>
          <cell r="AD1653">
            <v>33</v>
          </cell>
          <cell r="AE1653">
            <v>280400</v>
          </cell>
          <cell r="AF1653">
            <v>0</v>
          </cell>
          <cell r="AI1653">
            <v>2251</v>
          </cell>
          <cell r="AK1653">
            <v>0</v>
          </cell>
          <cell r="AM1653">
            <v>317</v>
          </cell>
          <cell r="AN1653">
            <v>1</v>
          </cell>
          <cell r="AO1653">
            <v>393216</v>
          </cell>
          <cell r="AQ1653">
            <v>0</v>
          </cell>
          <cell r="AR1653">
            <v>0</v>
          </cell>
          <cell r="AS1653" t="str">
            <v>Ы</v>
          </cell>
          <cell r="AT1653" t="str">
            <v>Ы</v>
          </cell>
          <cell r="AU1653">
            <v>0</v>
          </cell>
          <cell r="AV1653">
            <v>0</v>
          </cell>
          <cell r="AW1653">
            <v>23</v>
          </cell>
          <cell r="AX1653">
            <v>1</v>
          </cell>
          <cell r="AY1653">
            <v>0</v>
          </cell>
          <cell r="AZ1653">
            <v>0</v>
          </cell>
          <cell r="BA1653">
            <v>0</v>
          </cell>
          <cell r="BB1653">
            <v>0</v>
          </cell>
          <cell r="BC1653">
            <v>38828</v>
          </cell>
        </row>
        <row r="1654">
          <cell r="A1654">
            <v>2006</v>
          </cell>
          <cell r="B1654">
            <v>2</v>
          </cell>
          <cell r="C1654">
            <v>189</v>
          </cell>
          <cell r="D1654">
            <v>21</v>
          </cell>
          <cell r="E1654">
            <v>792020</v>
          </cell>
          <cell r="F1654">
            <v>0</v>
          </cell>
          <cell r="G1654" t="str">
            <v>Затраты по ШПЗ (основные)</v>
          </cell>
          <cell r="H1654">
            <v>2011</v>
          </cell>
          <cell r="I1654">
            <v>7920</v>
          </cell>
          <cell r="J1654">
            <v>17312.189999999999</v>
          </cell>
          <cell r="K1654">
            <v>1</v>
          </cell>
          <cell r="L1654">
            <v>0</v>
          </cell>
          <cell r="M1654">
            <v>0</v>
          </cell>
          <cell r="N1654">
            <v>0</v>
          </cell>
          <cell r="R1654">
            <v>0</v>
          </cell>
          <cell r="S1654">
            <v>0</v>
          </cell>
          <cell r="T1654">
            <v>0</v>
          </cell>
          <cell r="U1654">
            <v>33</v>
          </cell>
          <cell r="V1654">
            <v>0</v>
          </cell>
          <cell r="W1654">
            <v>0</v>
          </cell>
          <cell r="AA1654">
            <v>0</v>
          </cell>
          <cell r="AB1654">
            <v>0</v>
          </cell>
          <cell r="AC1654">
            <v>0</v>
          </cell>
          <cell r="AD1654">
            <v>33</v>
          </cell>
          <cell r="AE1654">
            <v>281000</v>
          </cell>
          <cell r="AF1654">
            <v>0</v>
          </cell>
          <cell r="AI1654">
            <v>2251</v>
          </cell>
          <cell r="AK1654">
            <v>0</v>
          </cell>
          <cell r="AM1654">
            <v>318</v>
          </cell>
          <cell r="AN1654">
            <v>1</v>
          </cell>
          <cell r="AO1654">
            <v>393216</v>
          </cell>
          <cell r="AQ1654">
            <v>0</v>
          </cell>
          <cell r="AR1654">
            <v>0</v>
          </cell>
          <cell r="AS1654" t="str">
            <v>Ы</v>
          </cell>
          <cell r="AT1654" t="str">
            <v>Ы</v>
          </cell>
          <cell r="AU1654">
            <v>0</v>
          </cell>
          <cell r="AV1654">
            <v>0</v>
          </cell>
          <cell r="AW1654">
            <v>23</v>
          </cell>
          <cell r="AX1654">
            <v>1</v>
          </cell>
          <cell r="AY1654">
            <v>0</v>
          </cell>
          <cell r="AZ1654">
            <v>0</v>
          </cell>
          <cell r="BA1654">
            <v>0</v>
          </cell>
          <cell r="BB1654">
            <v>0</v>
          </cell>
          <cell r="BC1654">
            <v>38828</v>
          </cell>
        </row>
        <row r="1655">
          <cell r="A1655">
            <v>2006</v>
          </cell>
          <cell r="B1655">
            <v>2</v>
          </cell>
          <cell r="C1655">
            <v>190</v>
          </cell>
          <cell r="D1655">
            <v>21</v>
          </cell>
          <cell r="E1655">
            <v>792020</v>
          </cell>
          <cell r="F1655">
            <v>0</v>
          </cell>
          <cell r="G1655" t="str">
            <v>Затраты по ШПЗ (основные)</v>
          </cell>
          <cell r="H1655">
            <v>2011</v>
          </cell>
          <cell r="I1655">
            <v>7920</v>
          </cell>
          <cell r="J1655">
            <v>13045.15</v>
          </cell>
          <cell r="K1655">
            <v>1</v>
          </cell>
          <cell r="L1655">
            <v>0</v>
          </cell>
          <cell r="M1655">
            <v>0</v>
          </cell>
          <cell r="N1655">
            <v>0</v>
          </cell>
          <cell r="R1655">
            <v>0</v>
          </cell>
          <cell r="S1655">
            <v>0</v>
          </cell>
          <cell r="T1655">
            <v>0</v>
          </cell>
          <cell r="U1655">
            <v>33</v>
          </cell>
          <cell r="V1655">
            <v>0</v>
          </cell>
          <cell r="W1655">
            <v>0</v>
          </cell>
          <cell r="AA1655">
            <v>0</v>
          </cell>
          <cell r="AB1655">
            <v>0</v>
          </cell>
          <cell r="AC1655">
            <v>0</v>
          </cell>
          <cell r="AD1655">
            <v>33</v>
          </cell>
          <cell r="AE1655">
            <v>282200</v>
          </cell>
          <cell r="AF1655">
            <v>0</v>
          </cell>
          <cell r="AI1655">
            <v>2251</v>
          </cell>
          <cell r="AK1655">
            <v>0</v>
          </cell>
          <cell r="AM1655">
            <v>319</v>
          </cell>
          <cell r="AN1655">
            <v>1</v>
          </cell>
          <cell r="AO1655">
            <v>393216</v>
          </cell>
          <cell r="AQ1655">
            <v>0</v>
          </cell>
          <cell r="AR1655">
            <v>0</v>
          </cell>
          <cell r="AS1655" t="str">
            <v>Ы</v>
          </cell>
          <cell r="AT1655" t="str">
            <v>Ы</v>
          </cell>
          <cell r="AU1655">
            <v>0</v>
          </cell>
          <cell r="AV1655">
            <v>0</v>
          </cell>
          <cell r="AW1655">
            <v>23</v>
          </cell>
          <cell r="AX1655">
            <v>1</v>
          </cell>
          <cell r="AY1655">
            <v>0</v>
          </cell>
          <cell r="AZ1655">
            <v>0</v>
          </cell>
          <cell r="BA1655">
            <v>0</v>
          </cell>
          <cell r="BB1655">
            <v>0</v>
          </cell>
          <cell r="BC1655">
            <v>38828</v>
          </cell>
        </row>
        <row r="1656">
          <cell r="A1656">
            <v>2006</v>
          </cell>
          <cell r="B1656">
            <v>2</v>
          </cell>
          <cell r="C1656">
            <v>191</v>
          </cell>
          <cell r="D1656">
            <v>21</v>
          </cell>
          <cell r="E1656">
            <v>792020</v>
          </cell>
          <cell r="F1656">
            <v>0</v>
          </cell>
          <cell r="G1656" t="str">
            <v>Затраты по ШПЗ (основные)</v>
          </cell>
          <cell r="H1656">
            <v>2011</v>
          </cell>
          <cell r="I1656">
            <v>7920</v>
          </cell>
          <cell r="J1656">
            <v>37720</v>
          </cell>
          <cell r="K1656">
            <v>1</v>
          </cell>
          <cell r="L1656">
            <v>0</v>
          </cell>
          <cell r="M1656">
            <v>0</v>
          </cell>
          <cell r="N1656">
            <v>0</v>
          </cell>
          <cell r="R1656">
            <v>0</v>
          </cell>
          <cell r="S1656">
            <v>0</v>
          </cell>
          <cell r="T1656">
            <v>0</v>
          </cell>
          <cell r="U1656">
            <v>33</v>
          </cell>
          <cell r="V1656">
            <v>0</v>
          </cell>
          <cell r="W1656">
            <v>0</v>
          </cell>
          <cell r="AA1656">
            <v>0</v>
          </cell>
          <cell r="AB1656">
            <v>0</v>
          </cell>
          <cell r="AC1656">
            <v>0</v>
          </cell>
          <cell r="AD1656">
            <v>33</v>
          </cell>
          <cell r="AE1656">
            <v>283000</v>
          </cell>
          <cell r="AF1656">
            <v>0</v>
          </cell>
          <cell r="AI1656">
            <v>2251</v>
          </cell>
          <cell r="AK1656">
            <v>0</v>
          </cell>
          <cell r="AM1656">
            <v>320</v>
          </cell>
          <cell r="AN1656">
            <v>1</v>
          </cell>
          <cell r="AO1656">
            <v>393216</v>
          </cell>
          <cell r="AQ1656">
            <v>0</v>
          </cell>
          <cell r="AR1656">
            <v>0</v>
          </cell>
          <cell r="AS1656" t="str">
            <v>Ы</v>
          </cell>
          <cell r="AT1656" t="str">
            <v>Ы</v>
          </cell>
          <cell r="AU1656">
            <v>0</v>
          </cell>
          <cell r="AV1656">
            <v>0</v>
          </cell>
          <cell r="AW1656">
            <v>23</v>
          </cell>
          <cell r="AX1656">
            <v>1</v>
          </cell>
          <cell r="AY1656">
            <v>0</v>
          </cell>
          <cell r="AZ1656">
            <v>0</v>
          </cell>
          <cell r="BA1656">
            <v>0</v>
          </cell>
          <cell r="BB1656">
            <v>0</v>
          </cell>
          <cell r="BC1656">
            <v>38828</v>
          </cell>
        </row>
        <row r="1657">
          <cell r="A1657">
            <v>2006</v>
          </cell>
          <cell r="B1657">
            <v>2</v>
          </cell>
          <cell r="C1657">
            <v>192</v>
          </cell>
          <cell r="D1657">
            <v>21</v>
          </cell>
          <cell r="E1657">
            <v>792020</v>
          </cell>
          <cell r="F1657">
            <v>0</v>
          </cell>
          <cell r="G1657" t="str">
            <v>Затраты по ШПЗ (основные)</v>
          </cell>
          <cell r="H1657">
            <v>2011</v>
          </cell>
          <cell r="I1657">
            <v>7920</v>
          </cell>
          <cell r="J1657">
            <v>14206.09</v>
          </cell>
          <cell r="K1657">
            <v>1</v>
          </cell>
          <cell r="L1657">
            <v>0</v>
          </cell>
          <cell r="M1657">
            <v>0</v>
          </cell>
          <cell r="N1657">
            <v>0</v>
          </cell>
          <cell r="R1657">
            <v>0</v>
          </cell>
          <cell r="S1657">
            <v>0</v>
          </cell>
          <cell r="T1657">
            <v>0</v>
          </cell>
          <cell r="U1657">
            <v>33</v>
          </cell>
          <cell r="V1657">
            <v>0</v>
          </cell>
          <cell r="W1657">
            <v>0</v>
          </cell>
          <cell r="AA1657">
            <v>0</v>
          </cell>
          <cell r="AB1657">
            <v>0</v>
          </cell>
          <cell r="AC1657">
            <v>0</v>
          </cell>
          <cell r="AD1657">
            <v>33</v>
          </cell>
          <cell r="AE1657">
            <v>285000</v>
          </cell>
          <cell r="AF1657">
            <v>0</v>
          </cell>
          <cell r="AI1657">
            <v>2251</v>
          </cell>
          <cell r="AK1657">
            <v>0</v>
          </cell>
          <cell r="AM1657">
            <v>321</v>
          </cell>
          <cell r="AN1657">
            <v>1</v>
          </cell>
          <cell r="AO1657">
            <v>393216</v>
          </cell>
          <cell r="AQ1657">
            <v>0</v>
          </cell>
          <cell r="AR1657">
            <v>0</v>
          </cell>
          <cell r="AS1657" t="str">
            <v>Ы</v>
          </cell>
          <cell r="AT1657" t="str">
            <v>Ы</v>
          </cell>
          <cell r="AU1657">
            <v>0</v>
          </cell>
          <cell r="AV1657">
            <v>0</v>
          </cell>
          <cell r="AW1657">
            <v>23</v>
          </cell>
          <cell r="AX1657">
            <v>1</v>
          </cell>
          <cell r="AY1657">
            <v>0</v>
          </cell>
          <cell r="AZ1657">
            <v>0</v>
          </cell>
          <cell r="BA1657">
            <v>0</v>
          </cell>
          <cell r="BB1657">
            <v>0</v>
          </cell>
          <cell r="BC1657">
            <v>38828</v>
          </cell>
        </row>
        <row r="1658">
          <cell r="A1658">
            <v>2006</v>
          </cell>
          <cell r="B1658">
            <v>2</v>
          </cell>
          <cell r="C1658">
            <v>193</v>
          </cell>
          <cell r="D1658">
            <v>21</v>
          </cell>
          <cell r="E1658">
            <v>792020</v>
          </cell>
          <cell r="F1658">
            <v>0</v>
          </cell>
          <cell r="G1658" t="str">
            <v>Затраты по ШПЗ (основные)</v>
          </cell>
          <cell r="H1658">
            <v>2011</v>
          </cell>
          <cell r="I1658">
            <v>7920</v>
          </cell>
          <cell r="J1658">
            <v>96536.25</v>
          </cell>
          <cell r="K1658">
            <v>1</v>
          </cell>
          <cell r="L1658">
            <v>0</v>
          </cell>
          <cell r="M1658">
            <v>0</v>
          </cell>
          <cell r="N1658">
            <v>0</v>
          </cell>
          <cell r="R1658">
            <v>0</v>
          </cell>
          <cell r="S1658">
            <v>0</v>
          </cell>
          <cell r="T1658">
            <v>0</v>
          </cell>
          <cell r="U1658">
            <v>33</v>
          </cell>
          <cell r="V1658">
            <v>0</v>
          </cell>
          <cell r="W1658">
            <v>0</v>
          </cell>
          <cell r="AA1658">
            <v>0</v>
          </cell>
          <cell r="AB1658">
            <v>0</v>
          </cell>
          <cell r="AC1658">
            <v>0</v>
          </cell>
          <cell r="AD1658">
            <v>33</v>
          </cell>
          <cell r="AE1658">
            <v>311000</v>
          </cell>
          <cell r="AF1658">
            <v>0</v>
          </cell>
          <cell r="AI1658">
            <v>2251</v>
          </cell>
          <cell r="AK1658">
            <v>0</v>
          </cell>
          <cell r="AM1658">
            <v>322</v>
          </cell>
          <cell r="AN1658">
            <v>1</v>
          </cell>
          <cell r="AO1658">
            <v>393216</v>
          </cell>
          <cell r="AQ1658">
            <v>0</v>
          </cell>
          <cell r="AR1658">
            <v>0</v>
          </cell>
          <cell r="AS1658" t="str">
            <v>Ы</v>
          </cell>
          <cell r="AT1658" t="str">
            <v>Ы</v>
          </cell>
          <cell r="AU1658">
            <v>0</v>
          </cell>
          <cell r="AV1658">
            <v>0</v>
          </cell>
          <cell r="AW1658">
            <v>23</v>
          </cell>
          <cell r="AX1658">
            <v>1</v>
          </cell>
          <cell r="AY1658">
            <v>0</v>
          </cell>
          <cell r="AZ1658">
            <v>0</v>
          </cell>
          <cell r="BA1658">
            <v>0</v>
          </cell>
          <cell r="BB1658">
            <v>0</v>
          </cell>
          <cell r="BC1658">
            <v>38828</v>
          </cell>
        </row>
        <row r="1659">
          <cell r="A1659">
            <v>2006</v>
          </cell>
          <cell r="B1659">
            <v>2</v>
          </cell>
          <cell r="C1659">
            <v>194</v>
          </cell>
          <cell r="D1659">
            <v>21</v>
          </cell>
          <cell r="E1659">
            <v>792020</v>
          </cell>
          <cell r="F1659">
            <v>0</v>
          </cell>
          <cell r="G1659" t="str">
            <v>Затраты по ШПЗ (основные)</v>
          </cell>
          <cell r="H1659">
            <v>2011</v>
          </cell>
          <cell r="I1659">
            <v>7920</v>
          </cell>
          <cell r="J1659">
            <v>199692.78</v>
          </cell>
          <cell r="K1659">
            <v>1</v>
          </cell>
          <cell r="L1659">
            <v>0</v>
          </cell>
          <cell r="M1659">
            <v>0</v>
          </cell>
          <cell r="N1659">
            <v>0</v>
          </cell>
          <cell r="R1659">
            <v>0</v>
          </cell>
          <cell r="S1659">
            <v>0</v>
          </cell>
          <cell r="T1659">
            <v>0</v>
          </cell>
          <cell r="U1659">
            <v>33</v>
          </cell>
          <cell r="V1659">
            <v>0</v>
          </cell>
          <cell r="W1659">
            <v>0</v>
          </cell>
          <cell r="AA1659">
            <v>0</v>
          </cell>
          <cell r="AB1659">
            <v>0</v>
          </cell>
          <cell r="AC1659">
            <v>0</v>
          </cell>
          <cell r="AD1659">
            <v>33</v>
          </cell>
          <cell r="AE1659">
            <v>312000</v>
          </cell>
          <cell r="AF1659">
            <v>0</v>
          </cell>
          <cell r="AI1659">
            <v>2251</v>
          </cell>
          <cell r="AK1659">
            <v>0</v>
          </cell>
          <cell r="AM1659">
            <v>323</v>
          </cell>
          <cell r="AN1659">
            <v>1</v>
          </cell>
          <cell r="AO1659">
            <v>393216</v>
          </cell>
          <cell r="AQ1659">
            <v>0</v>
          </cell>
          <cell r="AR1659">
            <v>0</v>
          </cell>
          <cell r="AS1659" t="str">
            <v>Ы</v>
          </cell>
          <cell r="AT1659" t="str">
            <v>Ы</v>
          </cell>
          <cell r="AU1659">
            <v>0</v>
          </cell>
          <cell r="AV1659">
            <v>0</v>
          </cell>
          <cell r="AW1659">
            <v>23</v>
          </cell>
          <cell r="AX1659">
            <v>1</v>
          </cell>
          <cell r="AY1659">
            <v>0</v>
          </cell>
          <cell r="AZ1659">
            <v>0</v>
          </cell>
          <cell r="BA1659">
            <v>0</v>
          </cell>
          <cell r="BB1659">
            <v>0</v>
          </cell>
          <cell r="BC1659">
            <v>38828</v>
          </cell>
        </row>
        <row r="1660">
          <cell r="A1660">
            <v>2006</v>
          </cell>
          <cell r="B1660">
            <v>2</v>
          </cell>
          <cell r="C1660">
            <v>195</v>
          </cell>
          <cell r="D1660">
            <v>21</v>
          </cell>
          <cell r="E1660">
            <v>792020</v>
          </cell>
          <cell r="F1660">
            <v>0</v>
          </cell>
          <cell r="G1660" t="str">
            <v>Затраты по ШПЗ (основные)</v>
          </cell>
          <cell r="H1660">
            <v>2011</v>
          </cell>
          <cell r="I1660">
            <v>7920</v>
          </cell>
          <cell r="J1660">
            <v>32783.54</v>
          </cell>
          <cell r="K1660">
            <v>1</v>
          </cell>
          <cell r="L1660">
            <v>0</v>
          </cell>
          <cell r="M1660">
            <v>0</v>
          </cell>
          <cell r="N1660">
            <v>0</v>
          </cell>
          <cell r="R1660">
            <v>0</v>
          </cell>
          <cell r="S1660">
            <v>0</v>
          </cell>
          <cell r="T1660">
            <v>0</v>
          </cell>
          <cell r="U1660">
            <v>33</v>
          </cell>
          <cell r="V1660">
            <v>0</v>
          </cell>
          <cell r="W1660">
            <v>0</v>
          </cell>
          <cell r="AA1660">
            <v>0</v>
          </cell>
          <cell r="AB1660">
            <v>0</v>
          </cell>
          <cell r="AC1660">
            <v>0</v>
          </cell>
          <cell r="AD1660">
            <v>33</v>
          </cell>
          <cell r="AE1660">
            <v>312100</v>
          </cell>
          <cell r="AF1660">
            <v>0</v>
          </cell>
          <cell r="AI1660">
            <v>2251</v>
          </cell>
          <cell r="AK1660">
            <v>0</v>
          </cell>
          <cell r="AM1660">
            <v>324</v>
          </cell>
          <cell r="AN1660">
            <v>1</v>
          </cell>
          <cell r="AO1660">
            <v>393216</v>
          </cell>
          <cell r="AQ1660">
            <v>0</v>
          </cell>
          <cell r="AR1660">
            <v>0</v>
          </cell>
          <cell r="AS1660" t="str">
            <v>Ы</v>
          </cell>
          <cell r="AT1660" t="str">
            <v>Ы</v>
          </cell>
          <cell r="AU1660">
            <v>0</v>
          </cell>
          <cell r="AV1660">
            <v>0</v>
          </cell>
          <cell r="AW1660">
            <v>23</v>
          </cell>
          <cell r="AX1660">
            <v>1</v>
          </cell>
          <cell r="AY1660">
            <v>0</v>
          </cell>
          <cell r="AZ1660">
            <v>0</v>
          </cell>
          <cell r="BA1660">
            <v>0</v>
          </cell>
          <cell r="BB1660">
            <v>0</v>
          </cell>
          <cell r="BC1660">
            <v>38828</v>
          </cell>
        </row>
        <row r="1661">
          <cell r="A1661">
            <v>2006</v>
          </cell>
          <cell r="B1661">
            <v>2</v>
          </cell>
          <cell r="C1661">
            <v>196</v>
          </cell>
          <cell r="D1661">
            <v>21</v>
          </cell>
          <cell r="E1661">
            <v>792020</v>
          </cell>
          <cell r="F1661">
            <v>0</v>
          </cell>
          <cell r="G1661" t="str">
            <v>Затраты по ШПЗ (основные)</v>
          </cell>
          <cell r="H1661">
            <v>2011</v>
          </cell>
          <cell r="I1661">
            <v>7920</v>
          </cell>
          <cell r="J1661">
            <v>435445.47</v>
          </cell>
          <cell r="K1661">
            <v>1</v>
          </cell>
          <cell r="L1661">
            <v>0</v>
          </cell>
          <cell r="M1661">
            <v>0</v>
          </cell>
          <cell r="N1661">
            <v>0</v>
          </cell>
          <cell r="R1661">
            <v>0</v>
          </cell>
          <cell r="S1661">
            <v>0</v>
          </cell>
          <cell r="T1661">
            <v>0</v>
          </cell>
          <cell r="U1661">
            <v>33</v>
          </cell>
          <cell r="V1661">
            <v>0</v>
          </cell>
          <cell r="W1661">
            <v>0</v>
          </cell>
          <cell r="AA1661">
            <v>0</v>
          </cell>
          <cell r="AB1661">
            <v>0</v>
          </cell>
          <cell r="AC1661">
            <v>0</v>
          </cell>
          <cell r="AD1661">
            <v>33</v>
          </cell>
          <cell r="AE1661">
            <v>312200</v>
          </cell>
          <cell r="AF1661">
            <v>0</v>
          </cell>
          <cell r="AI1661">
            <v>2251</v>
          </cell>
          <cell r="AK1661">
            <v>0</v>
          </cell>
          <cell r="AM1661">
            <v>325</v>
          </cell>
          <cell r="AN1661">
            <v>1</v>
          </cell>
          <cell r="AO1661">
            <v>393216</v>
          </cell>
          <cell r="AQ1661">
            <v>0</v>
          </cell>
          <cell r="AR1661">
            <v>0</v>
          </cell>
          <cell r="AS1661" t="str">
            <v>Ы</v>
          </cell>
          <cell r="AT1661" t="str">
            <v>Ы</v>
          </cell>
          <cell r="AU1661">
            <v>0</v>
          </cell>
          <cell r="AV1661">
            <v>0</v>
          </cell>
          <cell r="AW1661">
            <v>23</v>
          </cell>
          <cell r="AX1661">
            <v>1</v>
          </cell>
          <cell r="AY1661">
            <v>0</v>
          </cell>
          <cell r="AZ1661">
            <v>0</v>
          </cell>
          <cell r="BA1661">
            <v>0</v>
          </cell>
          <cell r="BB1661">
            <v>0</v>
          </cell>
          <cell r="BC1661">
            <v>38828</v>
          </cell>
        </row>
        <row r="1662">
          <cell r="A1662">
            <v>2006</v>
          </cell>
          <cell r="B1662">
            <v>2</v>
          </cell>
          <cell r="C1662">
            <v>197</v>
          </cell>
          <cell r="D1662">
            <v>21</v>
          </cell>
          <cell r="E1662">
            <v>792020</v>
          </cell>
          <cell r="F1662">
            <v>0</v>
          </cell>
          <cell r="G1662" t="str">
            <v>Затраты по ШПЗ (основные)</v>
          </cell>
          <cell r="H1662">
            <v>2011</v>
          </cell>
          <cell r="I1662">
            <v>7920</v>
          </cell>
          <cell r="J1662">
            <v>36592.36</v>
          </cell>
          <cell r="K1662">
            <v>1</v>
          </cell>
          <cell r="L1662">
            <v>0</v>
          </cell>
          <cell r="M1662">
            <v>0</v>
          </cell>
          <cell r="N1662">
            <v>0</v>
          </cell>
          <cell r="R1662">
            <v>0</v>
          </cell>
          <cell r="S1662">
            <v>0</v>
          </cell>
          <cell r="T1662">
            <v>0</v>
          </cell>
          <cell r="U1662">
            <v>33</v>
          </cell>
          <cell r="V1662">
            <v>0</v>
          </cell>
          <cell r="W1662">
            <v>0</v>
          </cell>
          <cell r="AA1662">
            <v>0</v>
          </cell>
          <cell r="AB1662">
            <v>0</v>
          </cell>
          <cell r="AC1662">
            <v>0</v>
          </cell>
          <cell r="AD1662">
            <v>33</v>
          </cell>
          <cell r="AE1662">
            <v>313000</v>
          </cell>
          <cell r="AF1662">
            <v>0</v>
          </cell>
          <cell r="AI1662">
            <v>2251</v>
          </cell>
          <cell r="AK1662">
            <v>0</v>
          </cell>
          <cell r="AM1662">
            <v>326</v>
          </cell>
          <cell r="AN1662">
            <v>1</v>
          </cell>
          <cell r="AO1662">
            <v>393216</v>
          </cell>
          <cell r="AQ1662">
            <v>0</v>
          </cell>
          <cell r="AR1662">
            <v>0</v>
          </cell>
          <cell r="AS1662" t="str">
            <v>Ы</v>
          </cell>
          <cell r="AT1662" t="str">
            <v>Ы</v>
          </cell>
          <cell r="AU1662">
            <v>0</v>
          </cell>
          <cell r="AV1662">
            <v>0</v>
          </cell>
          <cell r="AW1662">
            <v>23</v>
          </cell>
          <cell r="AX1662">
            <v>1</v>
          </cell>
          <cell r="AY1662">
            <v>0</v>
          </cell>
          <cell r="AZ1662">
            <v>0</v>
          </cell>
          <cell r="BA1662">
            <v>0</v>
          </cell>
          <cell r="BB1662">
            <v>0</v>
          </cell>
          <cell r="BC1662">
            <v>38828</v>
          </cell>
        </row>
        <row r="1663">
          <cell r="A1663">
            <v>2006</v>
          </cell>
          <cell r="B1663">
            <v>2</v>
          </cell>
          <cell r="C1663">
            <v>198</v>
          </cell>
          <cell r="D1663">
            <v>21</v>
          </cell>
          <cell r="E1663">
            <v>792020</v>
          </cell>
          <cell r="F1663">
            <v>0</v>
          </cell>
          <cell r="G1663" t="str">
            <v>Затраты по ШПЗ (основные)</v>
          </cell>
          <cell r="H1663">
            <v>2011</v>
          </cell>
          <cell r="I1663">
            <v>7920</v>
          </cell>
          <cell r="J1663">
            <v>66564.25</v>
          </cell>
          <cell r="K1663">
            <v>1</v>
          </cell>
          <cell r="L1663">
            <v>0</v>
          </cell>
          <cell r="M1663">
            <v>0</v>
          </cell>
          <cell r="N1663">
            <v>0</v>
          </cell>
          <cell r="R1663">
            <v>0</v>
          </cell>
          <cell r="S1663">
            <v>0</v>
          </cell>
          <cell r="T1663">
            <v>0</v>
          </cell>
          <cell r="U1663">
            <v>33</v>
          </cell>
          <cell r="V1663">
            <v>0</v>
          </cell>
          <cell r="W1663">
            <v>0</v>
          </cell>
          <cell r="AA1663">
            <v>0</v>
          </cell>
          <cell r="AB1663">
            <v>0</v>
          </cell>
          <cell r="AC1663">
            <v>0</v>
          </cell>
          <cell r="AD1663">
            <v>33</v>
          </cell>
          <cell r="AE1663">
            <v>314000</v>
          </cell>
          <cell r="AF1663">
            <v>0</v>
          </cell>
          <cell r="AI1663">
            <v>2251</v>
          </cell>
          <cell r="AK1663">
            <v>0</v>
          </cell>
          <cell r="AM1663">
            <v>327</v>
          </cell>
          <cell r="AN1663">
            <v>1</v>
          </cell>
          <cell r="AO1663">
            <v>393216</v>
          </cell>
          <cell r="AQ1663">
            <v>0</v>
          </cell>
          <cell r="AR1663">
            <v>0</v>
          </cell>
          <cell r="AS1663" t="str">
            <v>Ы</v>
          </cell>
          <cell r="AT1663" t="str">
            <v>Ы</v>
          </cell>
          <cell r="AU1663">
            <v>0</v>
          </cell>
          <cell r="AV1663">
            <v>0</v>
          </cell>
          <cell r="AW1663">
            <v>23</v>
          </cell>
          <cell r="AX1663">
            <v>1</v>
          </cell>
          <cell r="AY1663">
            <v>0</v>
          </cell>
          <cell r="AZ1663">
            <v>0</v>
          </cell>
          <cell r="BA1663">
            <v>0</v>
          </cell>
          <cell r="BB1663">
            <v>0</v>
          </cell>
          <cell r="BC1663">
            <v>38828</v>
          </cell>
        </row>
        <row r="1664">
          <cell r="A1664">
            <v>2006</v>
          </cell>
          <cell r="B1664">
            <v>2</v>
          </cell>
          <cell r="C1664">
            <v>199</v>
          </cell>
          <cell r="D1664">
            <v>21</v>
          </cell>
          <cell r="E1664">
            <v>792020</v>
          </cell>
          <cell r="F1664">
            <v>0</v>
          </cell>
          <cell r="G1664" t="str">
            <v>Затраты по ШПЗ (основные)</v>
          </cell>
          <cell r="H1664">
            <v>2011</v>
          </cell>
          <cell r="I1664">
            <v>7920</v>
          </cell>
          <cell r="J1664">
            <v>13336.3</v>
          </cell>
          <cell r="K1664">
            <v>1</v>
          </cell>
          <cell r="L1664">
            <v>0</v>
          </cell>
          <cell r="M1664">
            <v>0</v>
          </cell>
          <cell r="N1664">
            <v>0</v>
          </cell>
          <cell r="R1664">
            <v>0</v>
          </cell>
          <cell r="S1664">
            <v>0</v>
          </cell>
          <cell r="T1664">
            <v>0</v>
          </cell>
          <cell r="U1664">
            <v>33</v>
          </cell>
          <cell r="V1664">
            <v>0</v>
          </cell>
          <cell r="W1664">
            <v>0</v>
          </cell>
          <cell r="AA1664">
            <v>0</v>
          </cell>
          <cell r="AB1664">
            <v>0</v>
          </cell>
          <cell r="AC1664">
            <v>0</v>
          </cell>
          <cell r="AD1664">
            <v>33</v>
          </cell>
          <cell r="AE1664">
            <v>315000</v>
          </cell>
          <cell r="AF1664">
            <v>0</v>
          </cell>
          <cell r="AI1664">
            <v>2251</v>
          </cell>
          <cell r="AK1664">
            <v>0</v>
          </cell>
          <cell r="AM1664">
            <v>328</v>
          </cell>
          <cell r="AN1664">
            <v>1</v>
          </cell>
          <cell r="AO1664">
            <v>393216</v>
          </cell>
          <cell r="AQ1664">
            <v>0</v>
          </cell>
          <cell r="AR1664">
            <v>0</v>
          </cell>
          <cell r="AS1664" t="str">
            <v>Ы</v>
          </cell>
          <cell r="AT1664" t="str">
            <v>Ы</v>
          </cell>
          <cell r="AU1664">
            <v>0</v>
          </cell>
          <cell r="AV1664">
            <v>0</v>
          </cell>
          <cell r="AW1664">
            <v>23</v>
          </cell>
          <cell r="AX1664">
            <v>1</v>
          </cell>
          <cell r="AY1664">
            <v>0</v>
          </cell>
          <cell r="AZ1664">
            <v>0</v>
          </cell>
          <cell r="BA1664">
            <v>0</v>
          </cell>
          <cell r="BB1664">
            <v>0</v>
          </cell>
          <cell r="BC1664">
            <v>38828</v>
          </cell>
        </row>
        <row r="1665">
          <cell r="A1665">
            <v>2006</v>
          </cell>
          <cell r="B1665">
            <v>2</v>
          </cell>
          <cell r="C1665">
            <v>200</v>
          </cell>
          <cell r="D1665">
            <v>21</v>
          </cell>
          <cell r="E1665">
            <v>792020</v>
          </cell>
          <cell r="F1665">
            <v>0</v>
          </cell>
          <cell r="G1665" t="str">
            <v>Затраты по ШПЗ (основные)</v>
          </cell>
          <cell r="H1665">
            <v>2011</v>
          </cell>
          <cell r="I1665">
            <v>7920</v>
          </cell>
          <cell r="J1665">
            <v>690773</v>
          </cell>
          <cell r="K1665">
            <v>1</v>
          </cell>
          <cell r="L1665">
            <v>0</v>
          </cell>
          <cell r="M1665">
            <v>0</v>
          </cell>
          <cell r="N1665">
            <v>0</v>
          </cell>
          <cell r="R1665">
            <v>0</v>
          </cell>
          <cell r="S1665">
            <v>0</v>
          </cell>
          <cell r="T1665">
            <v>0</v>
          </cell>
          <cell r="U1665">
            <v>33</v>
          </cell>
          <cell r="V1665">
            <v>0</v>
          </cell>
          <cell r="W1665">
            <v>0</v>
          </cell>
          <cell r="AA1665">
            <v>0</v>
          </cell>
          <cell r="AB1665">
            <v>0</v>
          </cell>
          <cell r="AC1665">
            <v>0</v>
          </cell>
          <cell r="AD1665">
            <v>33</v>
          </cell>
          <cell r="AE1665">
            <v>410000</v>
          </cell>
          <cell r="AF1665">
            <v>0</v>
          </cell>
          <cell r="AI1665">
            <v>2251</v>
          </cell>
          <cell r="AK1665">
            <v>0</v>
          </cell>
          <cell r="AM1665">
            <v>329</v>
          </cell>
          <cell r="AN1665">
            <v>1</v>
          </cell>
          <cell r="AO1665">
            <v>393216</v>
          </cell>
          <cell r="AQ1665">
            <v>0</v>
          </cell>
          <cell r="AR1665">
            <v>0</v>
          </cell>
          <cell r="AS1665" t="str">
            <v>Ы</v>
          </cell>
          <cell r="AT1665" t="str">
            <v>Ы</v>
          </cell>
          <cell r="AU1665">
            <v>0</v>
          </cell>
          <cell r="AV1665">
            <v>0</v>
          </cell>
          <cell r="AW1665">
            <v>23</v>
          </cell>
          <cell r="AX1665">
            <v>1</v>
          </cell>
          <cell r="AY1665">
            <v>0</v>
          </cell>
          <cell r="AZ1665">
            <v>0</v>
          </cell>
          <cell r="BA1665">
            <v>0</v>
          </cell>
          <cell r="BB1665">
            <v>0</v>
          </cell>
          <cell r="BC1665">
            <v>38828</v>
          </cell>
        </row>
        <row r="1666">
          <cell r="A1666">
            <v>2006</v>
          </cell>
          <cell r="B1666">
            <v>2</v>
          </cell>
          <cell r="C1666">
            <v>201</v>
          </cell>
          <cell r="D1666">
            <v>21</v>
          </cell>
          <cell r="E1666">
            <v>792020</v>
          </cell>
          <cell r="F1666">
            <v>0</v>
          </cell>
          <cell r="G1666" t="str">
            <v>Затраты по ШПЗ (основные)</v>
          </cell>
          <cell r="H1666">
            <v>2011</v>
          </cell>
          <cell r="I1666">
            <v>7920</v>
          </cell>
          <cell r="J1666">
            <v>164818</v>
          </cell>
          <cell r="K1666">
            <v>1</v>
          </cell>
          <cell r="L1666">
            <v>0</v>
          </cell>
          <cell r="M1666">
            <v>0</v>
          </cell>
          <cell r="N1666">
            <v>0</v>
          </cell>
          <cell r="R1666">
            <v>0</v>
          </cell>
          <cell r="S1666">
            <v>0</v>
          </cell>
          <cell r="T1666">
            <v>0</v>
          </cell>
          <cell r="U1666">
            <v>33</v>
          </cell>
          <cell r="V1666">
            <v>0</v>
          </cell>
          <cell r="W1666">
            <v>0</v>
          </cell>
          <cell r="AA1666">
            <v>0</v>
          </cell>
          <cell r="AB1666">
            <v>0</v>
          </cell>
          <cell r="AC1666">
            <v>0</v>
          </cell>
          <cell r="AD1666">
            <v>33</v>
          </cell>
          <cell r="AE1666">
            <v>410100</v>
          </cell>
          <cell r="AF1666">
            <v>0</v>
          </cell>
          <cell r="AI1666">
            <v>2251</v>
          </cell>
          <cell r="AK1666">
            <v>0</v>
          </cell>
          <cell r="AM1666">
            <v>330</v>
          </cell>
          <cell r="AN1666">
            <v>1</v>
          </cell>
          <cell r="AO1666">
            <v>393216</v>
          </cell>
          <cell r="AQ1666">
            <v>0</v>
          </cell>
          <cell r="AR1666">
            <v>0</v>
          </cell>
          <cell r="AS1666" t="str">
            <v>Ы</v>
          </cell>
          <cell r="AT1666" t="str">
            <v>Ы</v>
          </cell>
          <cell r="AU1666">
            <v>0</v>
          </cell>
          <cell r="AV1666">
            <v>0</v>
          </cell>
          <cell r="AW1666">
            <v>23</v>
          </cell>
          <cell r="AX1666">
            <v>1</v>
          </cell>
          <cell r="AY1666">
            <v>0</v>
          </cell>
          <cell r="AZ1666">
            <v>0</v>
          </cell>
          <cell r="BA1666">
            <v>0</v>
          </cell>
          <cell r="BB1666">
            <v>0</v>
          </cell>
          <cell r="BC1666">
            <v>38828</v>
          </cell>
        </row>
        <row r="1667">
          <cell r="A1667">
            <v>2006</v>
          </cell>
          <cell r="B1667">
            <v>2</v>
          </cell>
          <cell r="C1667">
            <v>202</v>
          </cell>
          <cell r="D1667">
            <v>21</v>
          </cell>
          <cell r="E1667">
            <v>792020</v>
          </cell>
          <cell r="F1667">
            <v>0</v>
          </cell>
          <cell r="G1667" t="str">
            <v>Затраты по ШПЗ (основные)</v>
          </cell>
          <cell r="H1667">
            <v>2011</v>
          </cell>
          <cell r="I1667">
            <v>7920</v>
          </cell>
          <cell r="J1667">
            <v>102</v>
          </cell>
          <cell r="K1667">
            <v>1</v>
          </cell>
          <cell r="L1667">
            <v>0</v>
          </cell>
          <cell r="M1667">
            <v>0</v>
          </cell>
          <cell r="N1667">
            <v>0</v>
          </cell>
          <cell r="R1667">
            <v>0</v>
          </cell>
          <cell r="S1667">
            <v>0</v>
          </cell>
          <cell r="T1667">
            <v>0</v>
          </cell>
          <cell r="U1667">
            <v>33</v>
          </cell>
          <cell r="V1667">
            <v>0</v>
          </cell>
          <cell r="W1667">
            <v>0</v>
          </cell>
          <cell r="AA1667">
            <v>0</v>
          </cell>
          <cell r="AB1667">
            <v>0</v>
          </cell>
          <cell r="AC1667">
            <v>0</v>
          </cell>
          <cell r="AD1667">
            <v>33</v>
          </cell>
          <cell r="AE1667">
            <v>410200</v>
          </cell>
          <cell r="AF1667">
            <v>0</v>
          </cell>
          <cell r="AI1667">
            <v>2251</v>
          </cell>
          <cell r="AK1667">
            <v>0</v>
          </cell>
          <cell r="AM1667">
            <v>331</v>
          </cell>
          <cell r="AN1667">
            <v>1</v>
          </cell>
          <cell r="AO1667">
            <v>393216</v>
          </cell>
          <cell r="AQ1667">
            <v>0</v>
          </cell>
          <cell r="AR1667">
            <v>0</v>
          </cell>
          <cell r="AS1667" t="str">
            <v>Ы</v>
          </cell>
          <cell r="AT1667" t="str">
            <v>Ы</v>
          </cell>
          <cell r="AU1667">
            <v>0</v>
          </cell>
          <cell r="AV1667">
            <v>0</v>
          </cell>
          <cell r="AW1667">
            <v>23</v>
          </cell>
          <cell r="AX1667">
            <v>1</v>
          </cell>
          <cell r="AY1667">
            <v>0</v>
          </cell>
          <cell r="AZ1667">
            <v>0</v>
          </cell>
          <cell r="BA1667">
            <v>0</v>
          </cell>
          <cell r="BB1667">
            <v>0</v>
          </cell>
          <cell r="BC1667">
            <v>38828</v>
          </cell>
        </row>
        <row r="1668">
          <cell r="A1668">
            <v>2006</v>
          </cell>
          <cell r="B1668">
            <v>2</v>
          </cell>
          <cell r="C1668">
            <v>203</v>
          </cell>
          <cell r="D1668">
            <v>21</v>
          </cell>
          <cell r="E1668">
            <v>792020</v>
          </cell>
          <cell r="F1668">
            <v>0</v>
          </cell>
          <cell r="G1668" t="str">
            <v>Затраты по ШПЗ (основные)</v>
          </cell>
          <cell r="H1668">
            <v>2011</v>
          </cell>
          <cell r="I1668">
            <v>7920</v>
          </cell>
          <cell r="J1668">
            <v>198679</v>
          </cell>
          <cell r="K1668">
            <v>1</v>
          </cell>
          <cell r="L1668">
            <v>0</v>
          </cell>
          <cell r="M1668">
            <v>0</v>
          </cell>
          <cell r="N1668">
            <v>0</v>
          </cell>
          <cell r="R1668">
            <v>0</v>
          </cell>
          <cell r="S1668">
            <v>0</v>
          </cell>
          <cell r="T1668">
            <v>0</v>
          </cell>
          <cell r="U1668">
            <v>33</v>
          </cell>
          <cell r="V1668">
            <v>0</v>
          </cell>
          <cell r="W1668">
            <v>0</v>
          </cell>
          <cell r="AA1668">
            <v>0</v>
          </cell>
          <cell r="AB1668">
            <v>0</v>
          </cell>
          <cell r="AC1668">
            <v>0</v>
          </cell>
          <cell r="AD1668">
            <v>33</v>
          </cell>
          <cell r="AE1668">
            <v>420000</v>
          </cell>
          <cell r="AF1668">
            <v>0</v>
          </cell>
          <cell r="AI1668">
            <v>2251</v>
          </cell>
          <cell r="AK1668">
            <v>0</v>
          </cell>
          <cell r="AM1668">
            <v>332</v>
          </cell>
          <cell r="AN1668">
            <v>1</v>
          </cell>
          <cell r="AO1668">
            <v>393216</v>
          </cell>
          <cell r="AQ1668">
            <v>0</v>
          </cell>
          <cell r="AR1668">
            <v>0</v>
          </cell>
          <cell r="AS1668" t="str">
            <v>Ы</v>
          </cell>
          <cell r="AT1668" t="str">
            <v>Ы</v>
          </cell>
          <cell r="AU1668">
            <v>0</v>
          </cell>
          <cell r="AV1668">
            <v>0</v>
          </cell>
          <cell r="AW1668">
            <v>23</v>
          </cell>
          <cell r="AX1668">
            <v>1</v>
          </cell>
          <cell r="AY1668">
            <v>0</v>
          </cell>
          <cell r="AZ1668">
            <v>0</v>
          </cell>
          <cell r="BA1668">
            <v>0</v>
          </cell>
          <cell r="BB1668">
            <v>0</v>
          </cell>
          <cell r="BC1668">
            <v>38828</v>
          </cell>
        </row>
        <row r="1669">
          <cell r="A1669">
            <v>2006</v>
          </cell>
          <cell r="B1669">
            <v>2</v>
          </cell>
          <cell r="C1669">
            <v>204</v>
          </cell>
          <cell r="D1669">
            <v>21</v>
          </cell>
          <cell r="E1669">
            <v>792020</v>
          </cell>
          <cell r="F1669">
            <v>0</v>
          </cell>
          <cell r="G1669" t="str">
            <v>Затраты по ШПЗ (основные)</v>
          </cell>
          <cell r="H1669">
            <v>2011</v>
          </cell>
          <cell r="I1669">
            <v>7920</v>
          </cell>
          <cell r="J1669">
            <v>650412</v>
          </cell>
          <cell r="K1669">
            <v>1</v>
          </cell>
          <cell r="L1669">
            <v>0</v>
          </cell>
          <cell r="M1669">
            <v>0</v>
          </cell>
          <cell r="N1669">
            <v>0</v>
          </cell>
          <cell r="R1669">
            <v>0</v>
          </cell>
          <cell r="S1669">
            <v>0</v>
          </cell>
          <cell r="T1669">
            <v>0</v>
          </cell>
          <cell r="U1669">
            <v>33</v>
          </cell>
          <cell r="V1669">
            <v>0</v>
          </cell>
          <cell r="W1669">
            <v>0</v>
          </cell>
          <cell r="AA1669">
            <v>0</v>
          </cell>
          <cell r="AB1669">
            <v>0</v>
          </cell>
          <cell r="AC1669">
            <v>0</v>
          </cell>
          <cell r="AD1669">
            <v>33</v>
          </cell>
          <cell r="AE1669">
            <v>430000</v>
          </cell>
          <cell r="AF1669">
            <v>0</v>
          </cell>
          <cell r="AI1669">
            <v>2251</v>
          </cell>
          <cell r="AK1669">
            <v>0</v>
          </cell>
          <cell r="AM1669">
            <v>333</v>
          </cell>
          <cell r="AN1669">
            <v>1</v>
          </cell>
          <cell r="AO1669">
            <v>393216</v>
          </cell>
          <cell r="AQ1669">
            <v>0</v>
          </cell>
          <cell r="AR1669">
            <v>0</v>
          </cell>
          <cell r="AS1669" t="str">
            <v>Ы</v>
          </cell>
          <cell r="AT1669" t="str">
            <v>Ы</v>
          </cell>
          <cell r="AU1669">
            <v>0</v>
          </cell>
          <cell r="AV1669">
            <v>0</v>
          </cell>
          <cell r="AW1669">
            <v>23</v>
          </cell>
          <cell r="AX1669">
            <v>1</v>
          </cell>
          <cell r="AY1669">
            <v>0</v>
          </cell>
          <cell r="AZ1669">
            <v>0</v>
          </cell>
          <cell r="BA1669">
            <v>0</v>
          </cell>
          <cell r="BB1669">
            <v>0</v>
          </cell>
          <cell r="BC1669">
            <v>38828</v>
          </cell>
        </row>
        <row r="1670">
          <cell r="A1670">
            <v>2006</v>
          </cell>
          <cell r="B1670">
            <v>2</v>
          </cell>
          <cell r="C1670">
            <v>205</v>
          </cell>
          <cell r="D1670">
            <v>21</v>
          </cell>
          <cell r="E1670">
            <v>792020</v>
          </cell>
          <cell r="F1670">
            <v>0</v>
          </cell>
          <cell r="G1670" t="str">
            <v>Затраты по ШПЗ (основные)</v>
          </cell>
          <cell r="H1670">
            <v>2011</v>
          </cell>
          <cell r="I1670">
            <v>7920</v>
          </cell>
          <cell r="J1670">
            <v>2073896</v>
          </cell>
          <cell r="K1670">
            <v>1</v>
          </cell>
          <cell r="L1670">
            <v>0</v>
          </cell>
          <cell r="M1670">
            <v>0</v>
          </cell>
          <cell r="N1670">
            <v>0</v>
          </cell>
          <cell r="R1670">
            <v>0</v>
          </cell>
          <cell r="S1670">
            <v>0</v>
          </cell>
          <cell r="T1670">
            <v>0</v>
          </cell>
          <cell r="U1670">
            <v>33</v>
          </cell>
          <cell r="V1670">
            <v>0</v>
          </cell>
          <cell r="W1670">
            <v>0</v>
          </cell>
          <cell r="AA1670">
            <v>0</v>
          </cell>
          <cell r="AB1670">
            <v>0</v>
          </cell>
          <cell r="AC1670">
            <v>0</v>
          </cell>
          <cell r="AD1670">
            <v>33</v>
          </cell>
          <cell r="AE1670">
            <v>430110</v>
          </cell>
          <cell r="AF1670">
            <v>0</v>
          </cell>
          <cell r="AI1670">
            <v>2251</v>
          </cell>
          <cell r="AK1670">
            <v>0</v>
          </cell>
          <cell r="AM1670">
            <v>334</v>
          </cell>
          <cell r="AN1670">
            <v>1</v>
          </cell>
          <cell r="AO1670">
            <v>393216</v>
          </cell>
          <cell r="AQ1670">
            <v>0</v>
          </cell>
          <cell r="AR1670">
            <v>0</v>
          </cell>
          <cell r="AS1670" t="str">
            <v>Ы</v>
          </cell>
          <cell r="AT1670" t="str">
            <v>Ы</v>
          </cell>
          <cell r="AU1670">
            <v>0</v>
          </cell>
          <cell r="AV1670">
            <v>0</v>
          </cell>
          <cell r="AW1670">
            <v>23</v>
          </cell>
          <cell r="AX1670">
            <v>1</v>
          </cell>
          <cell r="AY1670">
            <v>0</v>
          </cell>
          <cell r="AZ1670">
            <v>0</v>
          </cell>
          <cell r="BA1670">
            <v>0</v>
          </cell>
          <cell r="BB1670">
            <v>0</v>
          </cell>
          <cell r="BC1670">
            <v>38828</v>
          </cell>
        </row>
        <row r="1671">
          <cell r="A1671">
            <v>2006</v>
          </cell>
          <cell r="B1671">
            <v>2</v>
          </cell>
          <cell r="C1671">
            <v>206</v>
          </cell>
          <cell r="D1671">
            <v>21</v>
          </cell>
          <cell r="E1671">
            <v>792020</v>
          </cell>
          <cell r="F1671">
            <v>0</v>
          </cell>
          <cell r="G1671" t="str">
            <v>Затраты по ШПЗ (основные)</v>
          </cell>
          <cell r="H1671">
            <v>2011</v>
          </cell>
          <cell r="I1671">
            <v>7920</v>
          </cell>
          <cell r="J1671">
            <v>164885</v>
          </cell>
          <cell r="K1671">
            <v>1</v>
          </cell>
          <cell r="L1671">
            <v>0</v>
          </cell>
          <cell r="M1671">
            <v>0</v>
          </cell>
          <cell r="N1671">
            <v>0</v>
          </cell>
          <cell r="R1671">
            <v>0</v>
          </cell>
          <cell r="S1671">
            <v>0</v>
          </cell>
          <cell r="T1671">
            <v>0</v>
          </cell>
          <cell r="U1671">
            <v>33</v>
          </cell>
          <cell r="V1671">
            <v>0</v>
          </cell>
          <cell r="W1671">
            <v>0</v>
          </cell>
          <cell r="AA1671">
            <v>0</v>
          </cell>
          <cell r="AB1671">
            <v>0</v>
          </cell>
          <cell r="AC1671">
            <v>0</v>
          </cell>
          <cell r="AD1671">
            <v>33</v>
          </cell>
          <cell r="AE1671">
            <v>430120</v>
          </cell>
          <cell r="AF1671">
            <v>0</v>
          </cell>
          <cell r="AI1671">
            <v>2251</v>
          </cell>
          <cell r="AK1671">
            <v>0</v>
          </cell>
          <cell r="AM1671">
            <v>335</v>
          </cell>
          <cell r="AN1671">
            <v>1</v>
          </cell>
          <cell r="AO1671">
            <v>393216</v>
          </cell>
          <cell r="AQ1671">
            <v>0</v>
          </cell>
          <cell r="AR1671">
            <v>0</v>
          </cell>
          <cell r="AS1671" t="str">
            <v>Ы</v>
          </cell>
          <cell r="AT1671" t="str">
            <v>Ы</v>
          </cell>
          <cell r="AU1671">
            <v>0</v>
          </cell>
          <cell r="AV1671">
            <v>0</v>
          </cell>
          <cell r="AW1671">
            <v>23</v>
          </cell>
          <cell r="AX1671">
            <v>1</v>
          </cell>
          <cell r="AY1671">
            <v>0</v>
          </cell>
          <cell r="AZ1671">
            <v>0</v>
          </cell>
          <cell r="BA1671">
            <v>0</v>
          </cell>
          <cell r="BB1671">
            <v>0</v>
          </cell>
          <cell r="BC1671">
            <v>38828</v>
          </cell>
        </row>
        <row r="1672">
          <cell r="A1672">
            <v>2006</v>
          </cell>
          <cell r="B1672">
            <v>2</v>
          </cell>
          <cell r="C1672">
            <v>207</v>
          </cell>
          <cell r="D1672">
            <v>21</v>
          </cell>
          <cell r="E1672">
            <v>792020</v>
          </cell>
          <cell r="F1672">
            <v>0</v>
          </cell>
          <cell r="G1672" t="str">
            <v>Затраты по ШПЗ (основные)</v>
          </cell>
          <cell r="H1672">
            <v>2011</v>
          </cell>
          <cell r="I1672">
            <v>7920</v>
          </cell>
          <cell r="J1672">
            <v>996205</v>
          </cell>
          <cell r="K1672">
            <v>1</v>
          </cell>
          <cell r="L1672">
            <v>0</v>
          </cell>
          <cell r="M1672">
            <v>0</v>
          </cell>
          <cell r="N1672">
            <v>0</v>
          </cell>
          <cell r="R1672">
            <v>0</v>
          </cell>
          <cell r="S1672">
            <v>0</v>
          </cell>
          <cell r="T1672">
            <v>0</v>
          </cell>
          <cell r="U1672">
            <v>33</v>
          </cell>
          <cell r="V1672">
            <v>0</v>
          </cell>
          <cell r="W1672">
            <v>0</v>
          </cell>
          <cell r="AA1672">
            <v>0</v>
          </cell>
          <cell r="AB1672">
            <v>0</v>
          </cell>
          <cell r="AC1672">
            <v>0</v>
          </cell>
          <cell r="AD1672">
            <v>33</v>
          </cell>
          <cell r="AE1672">
            <v>430130</v>
          </cell>
          <cell r="AF1672">
            <v>0</v>
          </cell>
          <cell r="AI1672">
            <v>2251</v>
          </cell>
          <cell r="AK1672">
            <v>0</v>
          </cell>
          <cell r="AM1672">
            <v>336</v>
          </cell>
          <cell r="AN1672">
            <v>1</v>
          </cell>
          <cell r="AO1672">
            <v>393216</v>
          </cell>
          <cell r="AQ1672">
            <v>0</v>
          </cell>
          <cell r="AR1672">
            <v>0</v>
          </cell>
          <cell r="AS1672" t="str">
            <v>Ы</v>
          </cell>
          <cell r="AT1672" t="str">
            <v>Ы</v>
          </cell>
          <cell r="AU1672">
            <v>0</v>
          </cell>
          <cell r="AV1672">
            <v>0</v>
          </cell>
          <cell r="AW1672">
            <v>23</v>
          </cell>
          <cell r="AX1672">
            <v>1</v>
          </cell>
          <cell r="AY1672">
            <v>0</v>
          </cell>
          <cell r="AZ1672">
            <v>0</v>
          </cell>
          <cell r="BA1672">
            <v>0</v>
          </cell>
          <cell r="BB1672">
            <v>0</v>
          </cell>
          <cell r="BC1672">
            <v>38828</v>
          </cell>
        </row>
        <row r="1673">
          <cell r="A1673">
            <v>2006</v>
          </cell>
          <cell r="B1673">
            <v>2</v>
          </cell>
          <cell r="C1673">
            <v>208</v>
          </cell>
          <cell r="D1673">
            <v>21</v>
          </cell>
          <cell r="E1673">
            <v>792020</v>
          </cell>
          <cell r="F1673">
            <v>0</v>
          </cell>
          <cell r="G1673" t="str">
            <v>Затраты по ШПЗ (основные)</v>
          </cell>
          <cell r="H1673">
            <v>2011</v>
          </cell>
          <cell r="I1673">
            <v>7920</v>
          </cell>
          <cell r="J1673">
            <v>680589</v>
          </cell>
          <cell r="K1673">
            <v>1</v>
          </cell>
          <cell r="L1673">
            <v>0</v>
          </cell>
          <cell r="M1673">
            <v>0</v>
          </cell>
          <cell r="N1673">
            <v>0</v>
          </cell>
          <cell r="R1673">
            <v>0</v>
          </cell>
          <cell r="S1673">
            <v>0</v>
          </cell>
          <cell r="T1673">
            <v>0</v>
          </cell>
          <cell r="U1673">
            <v>33</v>
          </cell>
          <cell r="V1673">
            <v>0</v>
          </cell>
          <cell r="W1673">
            <v>0</v>
          </cell>
          <cell r="AA1673">
            <v>0</v>
          </cell>
          <cell r="AB1673">
            <v>0</v>
          </cell>
          <cell r="AC1673">
            <v>0</v>
          </cell>
          <cell r="AD1673">
            <v>33</v>
          </cell>
          <cell r="AE1673">
            <v>430140</v>
          </cell>
          <cell r="AF1673">
            <v>0</v>
          </cell>
          <cell r="AI1673">
            <v>2251</v>
          </cell>
          <cell r="AK1673">
            <v>0</v>
          </cell>
          <cell r="AM1673">
            <v>337</v>
          </cell>
          <cell r="AN1673">
            <v>1</v>
          </cell>
          <cell r="AO1673">
            <v>393216</v>
          </cell>
          <cell r="AQ1673">
            <v>0</v>
          </cell>
          <cell r="AR1673">
            <v>0</v>
          </cell>
          <cell r="AS1673" t="str">
            <v>Ы</v>
          </cell>
          <cell r="AT1673" t="str">
            <v>Ы</v>
          </cell>
          <cell r="AU1673">
            <v>0</v>
          </cell>
          <cell r="AV1673">
            <v>0</v>
          </cell>
          <cell r="AW1673">
            <v>23</v>
          </cell>
          <cell r="AX1673">
            <v>1</v>
          </cell>
          <cell r="AY1673">
            <v>0</v>
          </cell>
          <cell r="AZ1673">
            <v>0</v>
          </cell>
          <cell r="BA1673">
            <v>0</v>
          </cell>
          <cell r="BB1673">
            <v>0</v>
          </cell>
          <cell r="BC1673">
            <v>38828</v>
          </cell>
        </row>
        <row r="1674">
          <cell r="A1674">
            <v>2006</v>
          </cell>
          <cell r="B1674">
            <v>2</v>
          </cell>
          <cell r="C1674">
            <v>209</v>
          </cell>
          <cell r="D1674">
            <v>21</v>
          </cell>
          <cell r="E1674">
            <v>792020</v>
          </cell>
          <cell r="F1674">
            <v>0</v>
          </cell>
          <cell r="G1674" t="str">
            <v>Затраты по ШПЗ (основные)</v>
          </cell>
          <cell r="H1674">
            <v>2011</v>
          </cell>
          <cell r="I1674">
            <v>7920</v>
          </cell>
          <cell r="J1674">
            <v>942</v>
          </cell>
          <cell r="K1674">
            <v>1</v>
          </cell>
          <cell r="L1674">
            <v>0</v>
          </cell>
          <cell r="M1674">
            <v>0</v>
          </cell>
          <cell r="N1674">
            <v>0</v>
          </cell>
          <cell r="R1674">
            <v>0</v>
          </cell>
          <cell r="S1674">
            <v>0</v>
          </cell>
          <cell r="T1674">
            <v>0</v>
          </cell>
          <cell r="U1674">
            <v>33</v>
          </cell>
          <cell r="V1674">
            <v>0</v>
          </cell>
          <cell r="W1674">
            <v>0</v>
          </cell>
          <cell r="AA1674">
            <v>0</v>
          </cell>
          <cell r="AB1674">
            <v>0</v>
          </cell>
          <cell r="AC1674">
            <v>0</v>
          </cell>
          <cell r="AD1674">
            <v>33</v>
          </cell>
          <cell r="AE1674">
            <v>430210</v>
          </cell>
          <cell r="AF1674">
            <v>0</v>
          </cell>
          <cell r="AI1674">
            <v>2251</v>
          </cell>
          <cell r="AK1674">
            <v>0</v>
          </cell>
          <cell r="AM1674">
            <v>338</v>
          </cell>
          <cell r="AN1674">
            <v>1</v>
          </cell>
          <cell r="AO1674">
            <v>393216</v>
          </cell>
          <cell r="AQ1674">
            <v>0</v>
          </cell>
          <cell r="AR1674">
            <v>0</v>
          </cell>
          <cell r="AS1674" t="str">
            <v>Ы</v>
          </cell>
          <cell r="AT1674" t="str">
            <v>Ы</v>
          </cell>
          <cell r="AU1674">
            <v>0</v>
          </cell>
          <cell r="AV1674">
            <v>0</v>
          </cell>
          <cell r="AW1674">
            <v>23</v>
          </cell>
          <cell r="AX1674">
            <v>1</v>
          </cell>
          <cell r="AY1674">
            <v>0</v>
          </cell>
          <cell r="AZ1674">
            <v>0</v>
          </cell>
          <cell r="BA1674">
            <v>0</v>
          </cell>
          <cell r="BB1674">
            <v>0</v>
          </cell>
          <cell r="BC1674">
            <v>38828</v>
          </cell>
        </row>
        <row r="1675">
          <cell r="A1675">
            <v>2006</v>
          </cell>
          <cell r="B1675">
            <v>2</v>
          </cell>
          <cell r="C1675">
            <v>210</v>
          </cell>
          <cell r="D1675">
            <v>21</v>
          </cell>
          <cell r="E1675">
            <v>792020</v>
          </cell>
          <cell r="F1675">
            <v>0</v>
          </cell>
          <cell r="G1675" t="str">
            <v>Затраты по ШПЗ (основные)</v>
          </cell>
          <cell r="H1675">
            <v>2011</v>
          </cell>
          <cell r="I1675">
            <v>7920</v>
          </cell>
          <cell r="J1675">
            <v>4010</v>
          </cell>
          <cell r="K1675">
            <v>1</v>
          </cell>
          <cell r="L1675">
            <v>0</v>
          </cell>
          <cell r="M1675">
            <v>0</v>
          </cell>
          <cell r="N1675">
            <v>0</v>
          </cell>
          <cell r="R1675">
            <v>0</v>
          </cell>
          <cell r="S1675">
            <v>0</v>
          </cell>
          <cell r="T1675">
            <v>0</v>
          </cell>
          <cell r="U1675">
            <v>33</v>
          </cell>
          <cell r="V1675">
            <v>0</v>
          </cell>
          <cell r="W1675">
            <v>0</v>
          </cell>
          <cell r="AA1675">
            <v>0</v>
          </cell>
          <cell r="AB1675">
            <v>0</v>
          </cell>
          <cell r="AC1675">
            <v>0</v>
          </cell>
          <cell r="AD1675">
            <v>33</v>
          </cell>
          <cell r="AE1675">
            <v>430230</v>
          </cell>
          <cell r="AF1675">
            <v>0</v>
          </cell>
          <cell r="AI1675">
            <v>2251</v>
          </cell>
          <cell r="AK1675">
            <v>0</v>
          </cell>
          <cell r="AM1675">
            <v>339</v>
          </cell>
          <cell r="AN1675">
            <v>1</v>
          </cell>
          <cell r="AO1675">
            <v>393216</v>
          </cell>
          <cell r="AQ1675">
            <v>0</v>
          </cell>
          <cell r="AR1675">
            <v>0</v>
          </cell>
          <cell r="AS1675" t="str">
            <v>Ы</v>
          </cell>
          <cell r="AT1675" t="str">
            <v>Ы</v>
          </cell>
          <cell r="AU1675">
            <v>0</v>
          </cell>
          <cell r="AV1675">
            <v>0</v>
          </cell>
          <cell r="AW1675">
            <v>23</v>
          </cell>
          <cell r="AX1675">
            <v>1</v>
          </cell>
          <cell r="AY1675">
            <v>0</v>
          </cell>
          <cell r="AZ1675">
            <v>0</v>
          </cell>
          <cell r="BA1675">
            <v>0</v>
          </cell>
          <cell r="BB1675">
            <v>0</v>
          </cell>
          <cell r="BC1675">
            <v>38828</v>
          </cell>
        </row>
        <row r="1676">
          <cell r="A1676">
            <v>2006</v>
          </cell>
          <cell r="B1676">
            <v>2</v>
          </cell>
          <cell r="C1676">
            <v>211</v>
          </cell>
          <cell r="D1676">
            <v>21</v>
          </cell>
          <cell r="E1676">
            <v>792020</v>
          </cell>
          <cell r="F1676">
            <v>0</v>
          </cell>
          <cell r="G1676" t="str">
            <v>Затраты по ШПЗ (основные)</v>
          </cell>
          <cell r="H1676">
            <v>2011</v>
          </cell>
          <cell r="I1676">
            <v>7920</v>
          </cell>
          <cell r="J1676">
            <v>32628</v>
          </cell>
          <cell r="K1676">
            <v>1</v>
          </cell>
          <cell r="L1676">
            <v>0</v>
          </cell>
          <cell r="M1676">
            <v>0</v>
          </cell>
          <cell r="N1676">
            <v>0</v>
          </cell>
          <cell r="R1676">
            <v>0</v>
          </cell>
          <cell r="S1676">
            <v>0</v>
          </cell>
          <cell r="T1676">
            <v>0</v>
          </cell>
          <cell r="U1676">
            <v>33</v>
          </cell>
          <cell r="V1676">
            <v>0</v>
          </cell>
          <cell r="W1676">
            <v>0</v>
          </cell>
          <cell r="AA1676">
            <v>0</v>
          </cell>
          <cell r="AB1676">
            <v>0</v>
          </cell>
          <cell r="AC1676">
            <v>0</v>
          </cell>
          <cell r="AD1676">
            <v>33</v>
          </cell>
          <cell r="AE1676">
            <v>430240</v>
          </cell>
          <cell r="AF1676">
            <v>0</v>
          </cell>
          <cell r="AI1676">
            <v>2251</v>
          </cell>
          <cell r="AK1676">
            <v>0</v>
          </cell>
          <cell r="AM1676">
            <v>340</v>
          </cell>
          <cell r="AN1676">
            <v>1</v>
          </cell>
          <cell r="AO1676">
            <v>393216</v>
          </cell>
          <cell r="AQ1676">
            <v>0</v>
          </cell>
          <cell r="AR1676">
            <v>0</v>
          </cell>
          <cell r="AS1676" t="str">
            <v>Ы</v>
          </cell>
          <cell r="AT1676" t="str">
            <v>Ы</v>
          </cell>
          <cell r="AU1676">
            <v>0</v>
          </cell>
          <cell r="AV1676">
            <v>0</v>
          </cell>
          <cell r="AW1676">
            <v>23</v>
          </cell>
          <cell r="AX1676">
            <v>1</v>
          </cell>
          <cell r="AY1676">
            <v>0</v>
          </cell>
          <cell r="AZ1676">
            <v>0</v>
          </cell>
          <cell r="BA1676">
            <v>0</v>
          </cell>
          <cell r="BB1676">
            <v>0</v>
          </cell>
          <cell r="BC1676">
            <v>38828</v>
          </cell>
        </row>
        <row r="1677">
          <cell r="A1677">
            <v>2006</v>
          </cell>
          <cell r="B1677">
            <v>2</v>
          </cell>
          <cell r="C1677">
            <v>212</v>
          </cell>
          <cell r="D1677">
            <v>21</v>
          </cell>
          <cell r="E1677">
            <v>792020</v>
          </cell>
          <cell r="F1677">
            <v>0</v>
          </cell>
          <cell r="G1677" t="str">
            <v>Затраты по ШПЗ (основные)</v>
          </cell>
          <cell r="H1677">
            <v>2011</v>
          </cell>
          <cell r="I1677">
            <v>7920</v>
          </cell>
          <cell r="J1677">
            <v>76617</v>
          </cell>
          <cell r="K1677">
            <v>1</v>
          </cell>
          <cell r="L1677">
            <v>0</v>
          </cell>
          <cell r="M1677">
            <v>0</v>
          </cell>
          <cell r="N1677">
            <v>0</v>
          </cell>
          <cell r="R1677">
            <v>0</v>
          </cell>
          <cell r="S1677">
            <v>0</v>
          </cell>
          <cell r="T1677">
            <v>0</v>
          </cell>
          <cell r="U1677">
            <v>33</v>
          </cell>
          <cell r="V1677">
            <v>0</v>
          </cell>
          <cell r="W1677">
            <v>0</v>
          </cell>
          <cell r="AA1677">
            <v>0</v>
          </cell>
          <cell r="AB1677">
            <v>0</v>
          </cell>
          <cell r="AC1677">
            <v>0</v>
          </cell>
          <cell r="AD1677">
            <v>33</v>
          </cell>
          <cell r="AE1677">
            <v>450000</v>
          </cell>
          <cell r="AF1677">
            <v>0</v>
          </cell>
          <cell r="AI1677">
            <v>2251</v>
          </cell>
          <cell r="AK1677">
            <v>0</v>
          </cell>
          <cell r="AM1677">
            <v>341</v>
          </cell>
          <cell r="AN1677">
            <v>1</v>
          </cell>
          <cell r="AO1677">
            <v>393216</v>
          </cell>
          <cell r="AQ1677">
            <v>0</v>
          </cell>
          <cell r="AR1677">
            <v>0</v>
          </cell>
          <cell r="AS1677" t="str">
            <v>Ы</v>
          </cell>
          <cell r="AT1677" t="str">
            <v>Ы</v>
          </cell>
          <cell r="AU1677">
            <v>0</v>
          </cell>
          <cell r="AV1677">
            <v>0</v>
          </cell>
          <cell r="AW1677">
            <v>23</v>
          </cell>
          <cell r="AX1677">
            <v>1</v>
          </cell>
          <cell r="AY1677">
            <v>0</v>
          </cell>
          <cell r="AZ1677">
            <v>0</v>
          </cell>
          <cell r="BA1677">
            <v>0</v>
          </cell>
          <cell r="BB1677">
            <v>0</v>
          </cell>
          <cell r="BC1677">
            <v>38828</v>
          </cell>
        </row>
        <row r="1678">
          <cell r="A1678">
            <v>2006</v>
          </cell>
          <cell r="B1678">
            <v>2</v>
          </cell>
          <cell r="C1678">
            <v>213</v>
          </cell>
          <cell r="D1678">
            <v>21</v>
          </cell>
          <cell r="E1678">
            <v>792020</v>
          </cell>
          <cell r="F1678">
            <v>0</v>
          </cell>
          <cell r="G1678" t="str">
            <v>Затраты по ШПЗ (основные)</v>
          </cell>
          <cell r="H1678">
            <v>2011</v>
          </cell>
          <cell r="I1678">
            <v>7920</v>
          </cell>
          <cell r="J1678">
            <v>23617</v>
          </cell>
          <cell r="K1678">
            <v>1</v>
          </cell>
          <cell r="L1678">
            <v>0</v>
          </cell>
          <cell r="M1678">
            <v>0</v>
          </cell>
          <cell r="N1678">
            <v>0</v>
          </cell>
          <cell r="R1678">
            <v>0</v>
          </cell>
          <cell r="S1678">
            <v>0</v>
          </cell>
          <cell r="T1678">
            <v>0</v>
          </cell>
          <cell r="U1678">
            <v>33</v>
          </cell>
          <cell r="V1678">
            <v>0</v>
          </cell>
          <cell r="W1678">
            <v>0</v>
          </cell>
          <cell r="AA1678">
            <v>0</v>
          </cell>
          <cell r="AB1678">
            <v>0</v>
          </cell>
          <cell r="AC1678">
            <v>0</v>
          </cell>
          <cell r="AD1678">
            <v>33</v>
          </cell>
          <cell r="AE1678">
            <v>460000</v>
          </cell>
          <cell r="AF1678">
            <v>0</v>
          </cell>
          <cell r="AI1678">
            <v>2251</v>
          </cell>
          <cell r="AK1678">
            <v>0</v>
          </cell>
          <cell r="AM1678">
            <v>342</v>
          </cell>
          <cell r="AN1678">
            <v>1</v>
          </cell>
          <cell r="AO1678">
            <v>393216</v>
          </cell>
          <cell r="AQ1678">
            <v>0</v>
          </cell>
          <cell r="AR1678">
            <v>0</v>
          </cell>
          <cell r="AS1678" t="str">
            <v>Ы</v>
          </cell>
          <cell r="AT1678" t="str">
            <v>Ы</v>
          </cell>
          <cell r="AU1678">
            <v>0</v>
          </cell>
          <cell r="AV1678">
            <v>0</v>
          </cell>
          <cell r="AW1678">
            <v>23</v>
          </cell>
          <cell r="AX1678">
            <v>1</v>
          </cell>
          <cell r="AY1678">
            <v>0</v>
          </cell>
          <cell r="AZ1678">
            <v>0</v>
          </cell>
          <cell r="BA1678">
            <v>0</v>
          </cell>
          <cell r="BB1678">
            <v>0</v>
          </cell>
          <cell r="BC1678">
            <v>38828</v>
          </cell>
        </row>
        <row r="1679">
          <cell r="A1679">
            <v>2006</v>
          </cell>
          <cell r="B1679">
            <v>2</v>
          </cell>
          <cell r="C1679">
            <v>214</v>
          </cell>
          <cell r="D1679">
            <v>21</v>
          </cell>
          <cell r="E1679">
            <v>792020</v>
          </cell>
          <cell r="F1679">
            <v>0</v>
          </cell>
          <cell r="G1679" t="str">
            <v>Затраты по ШПЗ (основные)</v>
          </cell>
          <cell r="H1679">
            <v>2011</v>
          </cell>
          <cell r="I1679">
            <v>7920</v>
          </cell>
          <cell r="J1679">
            <v>391453.36</v>
          </cell>
          <cell r="K1679">
            <v>1</v>
          </cell>
          <cell r="L1679">
            <v>0</v>
          </cell>
          <cell r="M1679">
            <v>0</v>
          </cell>
          <cell r="N1679">
            <v>0</v>
          </cell>
          <cell r="R1679">
            <v>0</v>
          </cell>
          <cell r="S1679">
            <v>0</v>
          </cell>
          <cell r="T1679">
            <v>0</v>
          </cell>
          <cell r="U1679">
            <v>33</v>
          </cell>
          <cell r="V1679">
            <v>0</v>
          </cell>
          <cell r="W1679">
            <v>0</v>
          </cell>
          <cell r="AA1679">
            <v>0</v>
          </cell>
          <cell r="AB1679">
            <v>0</v>
          </cell>
          <cell r="AC1679">
            <v>0</v>
          </cell>
          <cell r="AD1679">
            <v>33</v>
          </cell>
          <cell r="AE1679">
            <v>503000</v>
          </cell>
          <cell r="AF1679">
            <v>0</v>
          </cell>
          <cell r="AI1679">
            <v>2251</v>
          </cell>
          <cell r="AK1679">
            <v>0</v>
          </cell>
          <cell r="AM1679">
            <v>343</v>
          </cell>
          <cell r="AN1679">
            <v>1</v>
          </cell>
          <cell r="AO1679">
            <v>393216</v>
          </cell>
          <cell r="AQ1679">
            <v>0</v>
          </cell>
          <cell r="AR1679">
            <v>0</v>
          </cell>
          <cell r="AS1679" t="str">
            <v>Ы</v>
          </cell>
          <cell r="AT1679" t="str">
            <v>Ы</v>
          </cell>
          <cell r="AU1679">
            <v>0</v>
          </cell>
          <cell r="AV1679">
            <v>0</v>
          </cell>
          <cell r="AW1679">
            <v>23</v>
          </cell>
          <cell r="AX1679">
            <v>1</v>
          </cell>
          <cell r="AY1679">
            <v>0</v>
          </cell>
          <cell r="AZ1679">
            <v>0</v>
          </cell>
          <cell r="BA1679">
            <v>0</v>
          </cell>
          <cell r="BB1679">
            <v>0</v>
          </cell>
          <cell r="BC1679">
            <v>38828</v>
          </cell>
        </row>
        <row r="1680">
          <cell r="A1680">
            <v>2006</v>
          </cell>
          <cell r="B1680">
            <v>2</v>
          </cell>
          <cell r="C1680">
            <v>215</v>
          </cell>
          <cell r="D1680">
            <v>21</v>
          </cell>
          <cell r="E1680">
            <v>792020</v>
          </cell>
          <cell r="F1680">
            <v>0</v>
          </cell>
          <cell r="G1680" t="str">
            <v>Затраты по ШПЗ (основные)</v>
          </cell>
          <cell r="H1680">
            <v>2011</v>
          </cell>
          <cell r="I1680">
            <v>7920</v>
          </cell>
          <cell r="J1680">
            <v>30200</v>
          </cell>
          <cell r="K1680">
            <v>1</v>
          </cell>
          <cell r="L1680">
            <v>0</v>
          </cell>
          <cell r="M1680">
            <v>0</v>
          </cell>
          <cell r="N1680">
            <v>0</v>
          </cell>
          <cell r="R1680">
            <v>0</v>
          </cell>
          <cell r="S1680">
            <v>0</v>
          </cell>
          <cell r="T1680">
            <v>0</v>
          </cell>
          <cell r="U1680">
            <v>33</v>
          </cell>
          <cell r="V1680">
            <v>0</v>
          </cell>
          <cell r="W1680">
            <v>0</v>
          </cell>
          <cell r="AA1680">
            <v>0</v>
          </cell>
          <cell r="AB1680">
            <v>0</v>
          </cell>
          <cell r="AC1680">
            <v>0</v>
          </cell>
          <cell r="AD1680">
            <v>33</v>
          </cell>
          <cell r="AE1680">
            <v>504100</v>
          </cell>
          <cell r="AF1680">
            <v>0</v>
          </cell>
          <cell r="AI1680">
            <v>2251</v>
          </cell>
          <cell r="AK1680">
            <v>0</v>
          </cell>
          <cell r="AM1680">
            <v>344</v>
          </cell>
          <cell r="AN1680">
            <v>1</v>
          </cell>
          <cell r="AO1680">
            <v>393216</v>
          </cell>
          <cell r="AQ1680">
            <v>0</v>
          </cell>
          <cell r="AR1680">
            <v>0</v>
          </cell>
          <cell r="AS1680" t="str">
            <v>Ы</v>
          </cell>
          <cell r="AT1680" t="str">
            <v>Ы</v>
          </cell>
          <cell r="AU1680">
            <v>0</v>
          </cell>
          <cell r="AV1680">
            <v>0</v>
          </cell>
          <cell r="AW1680">
            <v>23</v>
          </cell>
          <cell r="AX1680">
            <v>1</v>
          </cell>
          <cell r="AY1680">
            <v>0</v>
          </cell>
          <cell r="AZ1680">
            <v>0</v>
          </cell>
          <cell r="BA1680">
            <v>0</v>
          </cell>
          <cell r="BB1680">
            <v>0</v>
          </cell>
          <cell r="BC1680">
            <v>38828</v>
          </cell>
        </row>
        <row r="1681">
          <cell r="A1681">
            <v>2006</v>
          </cell>
          <cell r="B1681">
            <v>2</v>
          </cell>
          <cell r="C1681">
            <v>216</v>
          </cell>
          <cell r="D1681">
            <v>21</v>
          </cell>
          <cell r="E1681">
            <v>792020</v>
          </cell>
          <cell r="F1681">
            <v>0</v>
          </cell>
          <cell r="G1681" t="str">
            <v>Затраты по ШПЗ (основные)</v>
          </cell>
          <cell r="H1681">
            <v>2011</v>
          </cell>
          <cell r="I1681">
            <v>7920</v>
          </cell>
          <cell r="J1681">
            <v>14796.64</v>
          </cell>
          <cell r="K1681">
            <v>1</v>
          </cell>
          <cell r="L1681">
            <v>0</v>
          </cell>
          <cell r="M1681">
            <v>0</v>
          </cell>
          <cell r="N1681">
            <v>0</v>
          </cell>
          <cell r="R1681">
            <v>0</v>
          </cell>
          <cell r="S1681">
            <v>0</v>
          </cell>
          <cell r="T1681">
            <v>0</v>
          </cell>
          <cell r="U1681">
            <v>33</v>
          </cell>
          <cell r="V1681">
            <v>0</v>
          </cell>
          <cell r="W1681">
            <v>0</v>
          </cell>
          <cell r="AA1681">
            <v>0</v>
          </cell>
          <cell r="AB1681">
            <v>0</v>
          </cell>
          <cell r="AC1681">
            <v>0</v>
          </cell>
          <cell r="AD1681">
            <v>33</v>
          </cell>
          <cell r="AE1681">
            <v>504200</v>
          </cell>
          <cell r="AF1681">
            <v>0</v>
          </cell>
          <cell r="AI1681">
            <v>2251</v>
          </cell>
          <cell r="AK1681">
            <v>0</v>
          </cell>
          <cell r="AM1681">
            <v>345</v>
          </cell>
          <cell r="AN1681">
            <v>1</v>
          </cell>
          <cell r="AO1681">
            <v>393216</v>
          </cell>
          <cell r="AQ1681">
            <v>0</v>
          </cell>
          <cell r="AR1681">
            <v>0</v>
          </cell>
          <cell r="AS1681" t="str">
            <v>Ы</v>
          </cell>
          <cell r="AT1681" t="str">
            <v>Ы</v>
          </cell>
          <cell r="AU1681">
            <v>0</v>
          </cell>
          <cell r="AV1681">
            <v>0</v>
          </cell>
          <cell r="AW1681">
            <v>23</v>
          </cell>
          <cell r="AX1681">
            <v>1</v>
          </cell>
          <cell r="AY1681">
            <v>0</v>
          </cell>
          <cell r="AZ1681">
            <v>0</v>
          </cell>
          <cell r="BA1681">
            <v>0</v>
          </cell>
          <cell r="BB1681">
            <v>0</v>
          </cell>
          <cell r="BC1681">
            <v>38828</v>
          </cell>
        </row>
        <row r="1682">
          <cell r="A1682">
            <v>2006</v>
          </cell>
          <cell r="B1682">
            <v>2</v>
          </cell>
          <cell r="C1682">
            <v>217</v>
          </cell>
          <cell r="D1682">
            <v>21</v>
          </cell>
          <cell r="E1682">
            <v>792020</v>
          </cell>
          <cell r="F1682">
            <v>0</v>
          </cell>
          <cell r="G1682" t="str">
            <v>Затраты по ШПЗ (основные)</v>
          </cell>
          <cell r="H1682">
            <v>2011</v>
          </cell>
          <cell r="I1682">
            <v>7920</v>
          </cell>
          <cell r="J1682">
            <v>1720</v>
          </cell>
          <cell r="K1682">
            <v>1</v>
          </cell>
          <cell r="L1682">
            <v>0</v>
          </cell>
          <cell r="M1682">
            <v>0</v>
          </cell>
          <cell r="N1682">
            <v>0</v>
          </cell>
          <cell r="R1682">
            <v>0</v>
          </cell>
          <cell r="S1682">
            <v>0</v>
          </cell>
          <cell r="T1682">
            <v>0</v>
          </cell>
          <cell r="U1682">
            <v>33</v>
          </cell>
          <cell r="V1682">
            <v>0</v>
          </cell>
          <cell r="W1682">
            <v>0</v>
          </cell>
          <cell r="AA1682">
            <v>0</v>
          </cell>
          <cell r="AB1682">
            <v>0</v>
          </cell>
          <cell r="AC1682">
            <v>0</v>
          </cell>
          <cell r="AD1682">
            <v>33</v>
          </cell>
          <cell r="AE1682">
            <v>504900</v>
          </cell>
          <cell r="AF1682">
            <v>0</v>
          </cell>
          <cell r="AI1682">
            <v>2251</v>
          </cell>
          <cell r="AK1682">
            <v>0</v>
          </cell>
          <cell r="AM1682">
            <v>346</v>
          </cell>
          <cell r="AN1682">
            <v>1</v>
          </cell>
          <cell r="AO1682">
            <v>393216</v>
          </cell>
          <cell r="AQ1682">
            <v>0</v>
          </cell>
          <cell r="AR1682">
            <v>0</v>
          </cell>
          <cell r="AS1682" t="str">
            <v>Ы</v>
          </cell>
          <cell r="AT1682" t="str">
            <v>Ы</v>
          </cell>
          <cell r="AU1682">
            <v>0</v>
          </cell>
          <cell r="AV1682">
            <v>0</v>
          </cell>
          <cell r="AW1682">
            <v>23</v>
          </cell>
          <cell r="AX1682">
            <v>1</v>
          </cell>
          <cell r="AY1682">
            <v>0</v>
          </cell>
          <cell r="AZ1682">
            <v>0</v>
          </cell>
          <cell r="BA1682">
            <v>0</v>
          </cell>
          <cell r="BB1682">
            <v>0</v>
          </cell>
          <cell r="BC1682">
            <v>38828</v>
          </cell>
        </row>
        <row r="1683">
          <cell r="A1683">
            <v>2006</v>
          </cell>
          <cell r="B1683">
            <v>2</v>
          </cell>
          <cell r="C1683">
            <v>218</v>
          </cell>
          <cell r="D1683">
            <v>21</v>
          </cell>
          <cell r="E1683">
            <v>792020</v>
          </cell>
          <cell r="F1683">
            <v>0</v>
          </cell>
          <cell r="G1683" t="str">
            <v>Затраты по ШПЗ (основные)</v>
          </cell>
          <cell r="H1683">
            <v>2011</v>
          </cell>
          <cell r="I1683">
            <v>7920</v>
          </cell>
          <cell r="J1683">
            <v>5686.79</v>
          </cell>
          <cell r="K1683">
            <v>1</v>
          </cell>
          <cell r="L1683">
            <v>0</v>
          </cell>
          <cell r="M1683">
            <v>0</v>
          </cell>
          <cell r="N1683">
            <v>0</v>
          </cell>
          <cell r="R1683">
            <v>0</v>
          </cell>
          <cell r="S1683">
            <v>0</v>
          </cell>
          <cell r="T1683">
            <v>0</v>
          </cell>
          <cell r="U1683">
            <v>33</v>
          </cell>
          <cell r="V1683">
            <v>0</v>
          </cell>
          <cell r="W1683">
            <v>0</v>
          </cell>
          <cell r="AA1683">
            <v>0</v>
          </cell>
          <cell r="AB1683">
            <v>0</v>
          </cell>
          <cell r="AC1683">
            <v>0</v>
          </cell>
          <cell r="AD1683">
            <v>33</v>
          </cell>
          <cell r="AE1683">
            <v>505100</v>
          </cell>
          <cell r="AF1683">
            <v>0</v>
          </cell>
          <cell r="AI1683">
            <v>2251</v>
          </cell>
          <cell r="AK1683">
            <v>0</v>
          </cell>
          <cell r="AM1683">
            <v>347</v>
          </cell>
          <cell r="AN1683">
            <v>1</v>
          </cell>
          <cell r="AO1683">
            <v>393216</v>
          </cell>
          <cell r="AQ1683">
            <v>0</v>
          </cell>
          <cell r="AR1683">
            <v>0</v>
          </cell>
          <cell r="AS1683" t="str">
            <v>Ы</v>
          </cell>
          <cell r="AT1683" t="str">
            <v>Ы</v>
          </cell>
          <cell r="AU1683">
            <v>0</v>
          </cell>
          <cell r="AV1683">
            <v>0</v>
          </cell>
          <cell r="AW1683">
            <v>23</v>
          </cell>
          <cell r="AX1683">
            <v>1</v>
          </cell>
          <cell r="AY1683">
            <v>0</v>
          </cell>
          <cell r="AZ1683">
            <v>0</v>
          </cell>
          <cell r="BA1683">
            <v>0</v>
          </cell>
          <cell r="BB1683">
            <v>0</v>
          </cell>
          <cell r="BC1683">
            <v>38828</v>
          </cell>
        </row>
        <row r="1684">
          <cell r="A1684">
            <v>2006</v>
          </cell>
          <cell r="B1684">
            <v>2</v>
          </cell>
          <cell r="C1684">
            <v>219</v>
          </cell>
          <cell r="D1684">
            <v>21</v>
          </cell>
          <cell r="E1684">
            <v>792020</v>
          </cell>
          <cell r="F1684">
            <v>0</v>
          </cell>
          <cell r="G1684" t="str">
            <v>Затраты по ШПЗ (основные)</v>
          </cell>
          <cell r="H1684">
            <v>2011</v>
          </cell>
          <cell r="I1684">
            <v>7920</v>
          </cell>
          <cell r="J1684">
            <v>151753.79999999999</v>
          </cell>
          <cell r="K1684">
            <v>1</v>
          </cell>
          <cell r="L1684">
            <v>0</v>
          </cell>
          <cell r="M1684">
            <v>0</v>
          </cell>
          <cell r="N1684">
            <v>0</v>
          </cell>
          <cell r="R1684">
            <v>0</v>
          </cell>
          <cell r="S1684">
            <v>0</v>
          </cell>
          <cell r="T1684">
            <v>0</v>
          </cell>
          <cell r="U1684">
            <v>33</v>
          </cell>
          <cell r="V1684">
            <v>0</v>
          </cell>
          <cell r="W1684">
            <v>0</v>
          </cell>
          <cell r="AA1684">
            <v>0</v>
          </cell>
          <cell r="AB1684">
            <v>0</v>
          </cell>
          <cell r="AC1684">
            <v>0</v>
          </cell>
          <cell r="AD1684">
            <v>33</v>
          </cell>
          <cell r="AE1684">
            <v>505200</v>
          </cell>
          <cell r="AF1684">
            <v>0</v>
          </cell>
          <cell r="AI1684">
            <v>2251</v>
          </cell>
          <cell r="AK1684">
            <v>0</v>
          </cell>
          <cell r="AM1684">
            <v>348</v>
          </cell>
          <cell r="AN1684">
            <v>1</v>
          </cell>
          <cell r="AO1684">
            <v>393216</v>
          </cell>
          <cell r="AQ1684">
            <v>0</v>
          </cell>
          <cell r="AR1684">
            <v>0</v>
          </cell>
          <cell r="AS1684" t="str">
            <v>Ы</v>
          </cell>
          <cell r="AT1684" t="str">
            <v>Ы</v>
          </cell>
          <cell r="AU1684">
            <v>0</v>
          </cell>
          <cell r="AV1684">
            <v>0</v>
          </cell>
          <cell r="AW1684">
            <v>23</v>
          </cell>
          <cell r="AX1684">
            <v>1</v>
          </cell>
          <cell r="AY1684">
            <v>0</v>
          </cell>
          <cell r="AZ1684">
            <v>0</v>
          </cell>
          <cell r="BA1684">
            <v>0</v>
          </cell>
          <cell r="BB1684">
            <v>0</v>
          </cell>
          <cell r="BC1684">
            <v>38828</v>
          </cell>
        </row>
        <row r="1685">
          <cell r="A1685">
            <v>2006</v>
          </cell>
          <cell r="B1685">
            <v>2</v>
          </cell>
          <cell r="C1685">
            <v>220</v>
          </cell>
          <cell r="D1685">
            <v>21</v>
          </cell>
          <cell r="E1685">
            <v>792020</v>
          </cell>
          <cell r="F1685">
            <v>0</v>
          </cell>
          <cell r="G1685" t="str">
            <v>Затраты по ШПЗ (основные)</v>
          </cell>
          <cell r="H1685">
            <v>2011</v>
          </cell>
          <cell r="I1685">
            <v>7920</v>
          </cell>
          <cell r="J1685">
            <v>9967.6</v>
          </cell>
          <cell r="K1685">
            <v>1</v>
          </cell>
          <cell r="L1685">
            <v>0</v>
          </cell>
          <cell r="M1685">
            <v>0</v>
          </cell>
          <cell r="N1685">
            <v>0</v>
          </cell>
          <cell r="R1685">
            <v>0</v>
          </cell>
          <cell r="S1685">
            <v>0</v>
          </cell>
          <cell r="T1685">
            <v>0</v>
          </cell>
          <cell r="U1685">
            <v>33</v>
          </cell>
          <cell r="V1685">
            <v>0</v>
          </cell>
          <cell r="W1685">
            <v>0</v>
          </cell>
          <cell r="AA1685">
            <v>0</v>
          </cell>
          <cell r="AB1685">
            <v>0</v>
          </cell>
          <cell r="AC1685">
            <v>0</v>
          </cell>
          <cell r="AD1685">
            <v>33</v>
          </cell>
          <cell r="AE1685">
            <v>505300</v>
          </cell>
          <cell r="AF1685">
            <v>0</v>
          </cell>
          <cell r="AI1685">
            <v>2251</v>
          </cell>
          <cell r="AK1685">
            <v>0</v>
          </cell>
          <cell r="AM1685">
            <v>349</v>
          </cell>
          <cell r="AN1685">
            <v>1</v>
          </cell>
          <cell r="AO1685">
            <v>393216</v>
          </cell>
          <cell r="AQ1685">
            <v>0</v>
          </cell>
          <cell r="AR1685">
            <v>0</v>
          </cell>
          <cell r="AS1685" t="str">
            <v>Ы</v>
          </cell>
          <cell r="AT1685" t="str">
            <v>Ы</v>
          </cell>
          <cell r="AU1685">
            <v>0</v>
          </cell>
          <cell r="AV1685">
            <v>0</v>
          </cell>
          <cell r="AW1685">
            <v>23</v>
          </cell>
          <cell r="AX1685">
            <v>1</v>
          </cell>
          <cell r="AY1685">
            <v>0</v>
          </cell>
          <cell r="AZ1685">
            <v>0</v>
          </cell>
          <cell r="BA1685">
            <v>0</v>
          </cell>
          <cell r="BB1685">
            <v>0</v>
          </cell>
          <cell r="BC1685">
            <v>38828</v>
          </cell>
        </row>
        <row r="1686">
          <cell r="A1686">
            <v>2006</v>
          </cell>
          <cell r="B1686">
            <v>2</v>
          </cell>
          <cell r="C1686">
            <v>221</v>
          </cell>
          <cell r="D1686">
            <v>21</v>
          </cell>
          <cell r="E1686">
            <v>792020</v>
          </cell>
          <cell r="F1686">
            <v>0</v>
          </cell>
          <cell r="G1686" t="str">
            <v>Затраты по ШПЗ (основные)</v>
          </cell>
          <cell r="H1686">
            <v>2011</v>
          </cell>
          <cell r="I1686">
            <v>7920</v>
          </cell>
          <cell r="J1686">
            <v>397109.51</v>
          </cell>
          <cell r="K1686">
            <v>1</v>
          </cell>
          <cell r="L1686">
            <v>0</v>
          </cell>
          <cell r="M1686">
            <v>0</v>
          </cell>
          <cell r="N1686">
            <v>0</v>
          </cell>
          <cell r="R1686">
            <v>0</v>
          </cell>
          <cell r="S1686">
            <v>0</v>
          </cell>
          <cell r="T1686">
            <v>0</v>
          </cell>
          <cell r="U1686">
            <v>33</v>
          </cell>
          <cell r="V1686">
            <v>0</v>
          </cell>
          <cell r="W1686">
            <v>0</v>
          </cell>
          <cell r="AA1686">
            <v>0</v>
          </cell>
          <cell r="AB1686">
            <v>0</v>
          </cell>
          <cell r="AC1686">
            <v>0</v>
          </cell>
          <cell r="AD1686">
            <v>33</v>
          </cell>
          <cell r="AE1686">
            <v>510100</v>
          </cell>
          <cell r="AF1686">
            <v>0</v>
          </cell>
          <cell r="AI1686">
            <v>2251</v>
          </cell>
          <cell r="AK1686">
            <v>0</v>
          </cell>
          <cell r="AM1686">
            <v>350</v>
          </cell>
          <cell r="AN1686">
            <v>1</v>
          </cell>
          <cell r="AO1686">
            <v>393216</v>
          </cell>
          <cell r="AQ1686">
            <v>0</v>
          </cell>
          <cell r="AR1686">
            <v>0</v>
          </cell>
          <cell r="AS1686" t="str">
            <v>Ы</v>
          </cell>
          <cell r="AT1686" t="str">
            <v>Ы</v>
          </cell>
          <cell r="AU1686">
            <v>0</v>
          </cell>
          <cell r="AV1686">
            <v>0</v>
          </cell>
          <cell r="AW1686">
            <v>23</v>
          </cell>
          <cell r="AX1686">
            <v>1</v>
          </cell>
          <cell r="AY1686">
            <v>0</v>
          </cell>
          <cell r="AZ1686">
            <v>0</v>
          </cell>
          <cell r="BA1686">
            <v>0</v>
          </cell>
          <cell r="BB1686">
            <v>0</v>
          </cell>
          <cell r="BC1686">
            <v>38828</v>
          </cell>
        </row>
        <row r="1687">
          <cell r="A1687">
            <v>2006</v>
          </cell>
          <cell r="B1687">
            <v>2</v>
          </cell>
          <cell r="C1687">
            <v>222</v>
          </cell>
          <cell r="D1687">
            <v>21</v>
          </cell>
          <cell r="E1687">
            <v>792020</v>
          </cell>
          <cell r="F1687">
            <v>0</v>
          </cell>
          <cell r="G1687" t="str">
            <v>Затраты по ШПЗ (основные)</v>
          </cell>
          <cell r="H1687">
            <v>2011</v>
          </cell>
          <cell r="I1687">
            <v>7920</v>
          </cell>
          <cell r="J1687">
            <v>7160.58</v>
          </cell>
          <cell r="K1687">
            <v>1</v>
          </cell>
          <cell r="L1687">
            <v>0</v>
          </cell>
          <cell r="M1687">
            <v>0</v>
          </cell>
          <cell r="N1687">
            <v>0</v>
          </cell>
          <cell r="R1687">
            <v>0</v>
          </cell>
          <cell r="S1687">
            <v>0</v>
          </cell>
          <cell r="T1687">
            <v>0</v>
          </cell>
          <cell r="U1687">
            <v>33</v>
          </cell>
          <cell r="V1687">
            <v>0</v>
          </cell>
          <cell r="W1687">
            <v>0</v>
          </cell>
          <cell r="AA1687">
            <v>0</v>
          </cell>
          <cell r="AB1687">
            <v>0</v>
          </cell>
          <cell r="AC1687">
            <v>0</v>
          </cell>
          <cell r="AD1687">
            <v>33</v>
          </cell>
          <cell r="AE1687">
            <v>510400</v>
          </cell>
          <cell r="AF1687">
            <v>0</v>
          </cell>
          <cell r="AI1687">
            <v>2251</v>
          </cell>
          <cell r="AK1687">
            <v>0</v>
          </cell>
          <cell r="AM1687">
            <v>351</v>
          </cell>
          <cell r="AN1687">
            <v>1</v>
          </cell>
          <cell r="AO1687">
            <v>393216</v>
          </cell>
          <cell r="AQ1687">
            <v>0</v>
          </cell>
          <cell r="AR1687">
            <v>0</v>
          </cell>
          <cell r="AS1687" t="str">
            <v>Ы</v>
          </cell>
          <cell r="AT1687" t="str">
            <v>Ы</v>
          </cell>
          <cell r="AU1687">
            <v>0</v>
          </cell>
          <cell r="AV1687">
            <v>0</v>
          </cell>
          <cell r="AW1687">
            <v>23</v>
          </cell>
          <cell r="AX1687">
            <v>1</v>
          </cell>
          <cell r="AY1687">
            <v>0</v>
          </cell>
          <cell r="AZ1687">
            <v>0</v>
          </cell>
          <cell r="BA1687">
            <v>0</v>
          </cell>
          <cell r="BB1687">
            <v>0</v>
          </cell>
          <cell r="BC1687">
            <v>38828</v>
          </cell>
        </row>
        <row r="1688">
          <cell r="A1688">
            <v>2006</v>
          </cell>
          <cell r="B1688">
            <v>2</v>
          </cell>
          <cell r="C1688">
            <v>223</v>
          </cell>
          <cell r="D1688">
            <v>21</v>
          </cell>
          <cell r="E1688">
            <v>792020</v>
          </cell>
          <cell r="F1688">
            <v>0</v>
          </cell>
          <cell r="G1688" t="str">
            <v>Затраты по ШПЗ (основные)</v>
          </cell>
          <cell r="H1688">
            <v>2011</v>
          </cell>
          <cell r="I1688">
            <v>7920</v>
          </cell>
          <cell r="J1688">
            <v>347592</v>
          </cell>
          <cell r="K1688">
            <v>1</v>
          </cell>
          <cell r="L1688">
            <v>0</v>
          </cell>
          <cell r="M1688">
            <v>0</v>
          </cell>
          <cell r="N1688">
            <v>0</v>
          </cell>
          <cell r="R1688">
            <v>0</v>
          </cell>
          <cell r="S1688">
            <v>0</v>
          </cell>
          <cell r="T1688">
            <v>0</v>
          </cell>
          <cell r="U1688">
            <v>33</v>
          </cell>
          <cell r="V1688">
            <v>0</v>
          </cell>
          <cell r="W1688">
            <v>0</v>
          </cell>
          <cell r="AA1688">
            <v>0</v>
          </cell>
          <cell r="AB1688">
            <v>0</v>
          </cell>
          <cell r="AC1688">
            <v>0</v>
          </cell>
          <cell r="AD1688">
            <v>33</v>
          </cell>
          <cell r="AE1688">
            <v>510600</v>
          </cell>
          <cell r="AF1688">
            <v>0</v>
          </cell>
          <cell r="AI1688">
            <v>2251</v>
          </cell>
          <cell r="AK1688">
            <v>0</v>
          </cell>
          <cell r="AM1688">
            <v>352</v>
          </cell>
          <cell r="AN1688">
            <v>1</v>
          </cell>
          <cell r="AO1688">
            <v>393216</v>
          </cell>
          <cell r="AQ1688">
            <v>0</v>
          </cell>
          <cell r="AR1688">
            <v>0</v>
          </cell>
          <cell r="AS1688" t="str">
            <v>Ы</v>
          </cell>
          <cell r="AT1688" t="str">
            <v>Ы</v>
          </cell>
          <cell r="AU1688">
            <v>0</v>
          </cell>
          <cell r="AV1688">
            <v>0</v>
          </cell>
          <cell r="AW1688">
            <v>23</v>
          </cell>
          <cell r="AX1688">
            <v>1</v>
          </cell>
          <cell r="AY1688">
            <v>0</v>
          </cell>
          <cell r="AZ1688">
            <v>0</v>
          </cell>
          <cell r="BA1688">
            <v>0</v>
          </cell>
          <cell r="BB1688">
            <v>0</v>
          </cell>
          <cell r="BC1688">
            <v>38828</v>
          </cell>
        </row>
        <row r="1689">
          <cell r="A1689">
            <v>2006</v>
          </cell>
          <cell r="B1689">
            <v>2</v>
          </cell>
          <cell r="C1689">
            <v>224</v>
          </cell>
          <cell r="D1689">
            <v>21</v>
          </cell>
          <cell r="E1689">
            <v>792020</v>
          </cell>
          <cell r="F1689">
            <v>0</v>
          </cell>
          <cell r="G1689" t="str">
            <v>Затраты по ШПЗ (основные)</v>
          </cell>
          <cell r="H1689">
            <v>2011</v>
          </cell>
          <cell r="I1689">
            <v>7920</v>
          </cell>
          <cell r="J1689">
            <v>388.42</v>
          </cell>
          <cell r="K1689">
            <v>1</v>
          </cell>
          <cell r="L1689">
            <v>0</v>
          </cell>
          <cell r="M1689">
            <v>0</v>
          </cell>
          <cell r="N1689">
            <v>0</v>
          </cell>
          <cell r="R1689">
            <v>0</v>
          </cell>
          <cell r="S1689">
            <v>0</v>
          </cell>
          <cell r="T1689">
            <v>0</v>
          </cell>
          <cell r="U1689">
            <v>33</v>
          </cell>
          <cell r="V1689">
            <v>0</v>
          </cell>
          <cell r="W1689">
            <v>0</v>
          </cell>
          <cell r="AA1689">
            <v>0</v>
          </cell>
          <cell r="AB1689">
            <v>0</v>
          </cell>
          <cell r="AC1689">
            <v>0</v>
          </cell>
          <cell r="AD1689">
            <v>33</v>
          </cell>
          <cell r="AE1689">
            <v>512000</v>
          </cell>
          <cell r="AF1689">
            <v>0</v>
          </cell>
          <cell r="AI1689">
            <v>2251</v>
          </cell>
          <cell r="AK1689">
            <v>0</v>
          </cell>
          <cell r="AM1689">
            <v>353</v>
          </cell>
          <cell r="AN1689">
            <v>1</v>
          </cell>
          <cell r="AO1689">
            <v>393216</v>
          </cell>
          <cell r="AQ1689">
            <v>0</v>
          </cell>
          <cell r="AR1689">
            <v>0</v>
          </cell>
          <cell r="AS1689" t="str">
            <v>Ы</v>
          </cell>
          <cell r="AT1689" t="str">
            <v>Ы</v>
          </cell>
          <cell r="AU1689">
            <v>0</v>
          </cell>
          <cell r="AV1689">
            <v>0</v>
          </cell>
          <cell r="AW1689">
            <v>23</v>
          </cell>
          <cell r="AX1689">
            <v>1</v>
          </cell>
          <cell r="AY1689">
            <v>0</v>
          </cell>
          <cell r="AZ1689">
            <v>0</v>
          </cell>
          <cell r="BA1689">
            <v>0</v>
          </cell>
          <cell r="BB1689">
            <v>0</v>
          </cell>
          <cell r="BC1689">
            <v>38828</v>
          </cell>
        </row>
        <row r="1690">
          <cell r="A1690">
            <v>2006</v>
          </cell>
          <cell r="B1690">
            <v>2</v>
          </cell>
          <cell r="C1690">
            <v>225</v>
          </cell>
          <cell r="D1690">
            <v>21</v>
          </cell>
          <cell r="E1690">
            <v>792020</v>
          </cell>
          <cell r="F1690">
            <v>0</v>
          </cell>
          <cell r="G1690" t="str">
            <v>Затраты по ШПЗ (основные)</v>
          </cell>
          <cell r="H1690">
            <v>2011</v>
          </cell>
          <cell r="I1690">
            <v>7920</v>
          </cell>
          <cell r="J1690">
            <v>10498.48</v>
          </cell>
          <cell r="K1690">
            <v>1</v>
          </cell>
          <cell r="L1690">
            <v>0</v>
          </cell>
          <cell r="M1690">
            <v>0</v>
          </cell>
          <cell r="N1690">
            <v>0</v>
          </cell>
          <cell r="R1690">
            <v>0</v>
          </cell>
          <cell r="S1690">
            <v>0</v>
          </cell>
          <cell r="T1690">
            <v>0</v>
          </cell>
          <cell r="U1690">
            <v>33</v>
          </cell>
          <cell r="V1690">
            <v>0</v>
          </cell>
          <cell r="W1690">
            <v>0</v>
          </cell>
          <cell r="AA1690">
            <v>0</v>
          </cell>
          <cell r="AB1690">
            <v>0</v>
          </cell>
          <cell r="AC1690">
            <v>0</v>
          </cell>
          <cell r="AD1690">
            <v>33</v>
          </cell>
          <cell r="AE1690">
            <v>513100</v>
          </cell>
          <cell r="AF1690">
            <v>0</v>
          </cell>
          <cell r="AI1690">
            <v>2251</v>
          </cell>
          <cell r="AK1690">
            <v>0</v>
          </cell>
          <cell r="AM1690">
            <v>354</v>
          </cell>
          <cell r="AN1690">
            <v>1</v>
          </cell>
          <cell r="AO1690">
            <v>393216</v>
          </cell>
          <cell r="AQ1690">
            <v>0</v>
          </cell>
          <cell r="AR1690">
            <v>0</v>
          </cell>
          <cell r="AS1690" t="str">
            <v>Ы</v>
          </cell>
          <cell r="AT1690" t="str">
            <v>Ы</v>
          </cell>
          <cell r="AU1690">
            <v>0</v>
          </cell>
          <cell r="AV1690">
            <v>0</v>
          </cell>
          <cell r="AW1690">
            <v>23</v>
          </cell>
          <cell r="AX1690">
            <v>1</v>
          </cell>
          <cell r="AY1690">
            <v>0</v>
          </cell>
          <cell r="AZ1690">
            <v>0</v>
          </cell>
          <cell r="BA1690">
            <v>0</v>
          </cell>
          <cell r="BB1690">
            <v>0</v>
          </cell>
          <cell r="BC1690">
            <v>38828</v>
          </cell>
        </row>
        <row r="1691">
          <cell r="A1691">
            <v>2006</v>
          </cell>
          <cell r="B1691">
            <v>2</v>
          </cell>
          <cell r="C1691">
            <v>227</v>
          </cell>
          <cell r="D1691">
            <v>21</v>
          </cell>
          <cell r="E1691">
            <v>792020</v>
          </cell>
          <cell r="F1691">
            <v>0</v>
          </cell>
          <cell r="G1691" t="str">
            <v>Затраты по ШПЗ (основные)</v>
          </cell>
          <cell r="H1691">
            <v>2011</v>
          </cell>
          <cell r="I1691">
            <v>7920</v>
          </cell>
          <cell r="J1691">
            <v>199734.84</v>
          </cell>
          <cell r="K1691">
            <v>1</v>
          </cell>
          <cell r="L1691">
            <v>0</v>
          </cell>
          <cell r="M1691">
            <v>0</v>
          </cell>
          <cell r="N1691">
            <v>0</v>
          </cell>
          <cell r="R1691">
            <v>0</v>
          </cell>
          <cell r="S1691">
            <v>0</v>
          </cell>
          <cell r="T1691">
            <v>0</v>
          </cell>
          <cell r="U1691">
            <v>34</v>
          </cell>
          <cell r="V1691">
            <v>0</v>
          </cell>
          <cell r="W1691">
            <v>0</v>
          </cell>
          <cell r="AA1691">
            <v>0</v>
          </cell>
          <cell r="AB1691">
            <v>0</v>
          </cell>
          <cell r="AC1691">
            <v>0</v>
          </cell>
          <cell r="AD1691">
            <v>34</v>
          </cell>
          <cell r="AE1691">
            <v>110000</v>
          </cell>
          <cell r="AF1691">
            <v>0</v>
          </cell>
          <cell r="AI1691">
            <v>2251</v>
          </cell>
          <cell r="AK1691">
            <v>0</v>
          </cell>
          <cell r="AM1691">
            <v>356</v>
          </cell>
          <cell r="AN1691">
            <v>1</v>
          </cell>
          <cell r="AO1691">
            <v>393216</v>
          </cell>
          <cell r="AQ1691">
            <v>0</v>
          </cell>
          <cell r="AR1691">
            <v>0</v>
          </cell>
          <cell r="AS1691" t="str">
            <v>Ы</v>
          </cell>
          <cell r="AT1691" t="str">
            <v>Ы</v>
          </cell>
          <cell r="AU1691">
            <v>0</v>
          </cell>
          <cell r="AV1691">
            <v>0</v>
          </cell>
          <cell r="AW1691">
            <v>23</v>
          </cell>
          <cell r="AX1691">
            <v>1</v>
          </cell>
          <cell r="AY1691">
            <v>0</v>
          </cell>
          <cell r="AZ1691">
            <v>0</v>
          </cell>
          <cell r="BA1691">
            <v>0</v>
          </cell>
          <cell r="BB1691">
            <v>0</v>
          </cell>
          <cell r="BC1691">
            <v>38828</v>
          </cell>
        </row>
        <row r="1692">
          <cell r="A1692">
            <v>2006</v>
          </cell>
          <cell r="B1692">
            <v>2</v>
          </cell>
          <cell r="C1692">
            <v>228</v>
          </cell>
          <cell r="D1692">
            <v>21</v>
          </cell>
          <cell r="E1692">
            <v>792020</v>
          </cell>
          <cell r="F1692">
            <v>0</v>
          </cell>
          <cell r="G1692" t="str">
            <v>Затраты по ШПЗ (основные)</v>
          </cell>
          <cell r="H1692">
            <v>2011</v>
          </cell>
          <cell r="I1692">
            <v>7920</v>
          </cell>
          <cell r="J1692">
            <v>2706.29</v>
          </cell>
          <cell r="K1692">
            <v>1</v>
          </cell>
          <cell r="L1692">
            <v>0</v>
          </cell>
          <cell r="M1692">
            <v>0</v>
          </cell>
          <cell r="N1692">
            <v>0</v>
          </cell>
          <cell r="R1692">
            <v>0</v>
          </cell>
          <cell r="S1692">
            <v>0</v>
          </cell>
          <cell r="T1692">
            <v>0</v>
          </cell>
          <cell r="U1692">
            <v>34</v>
          </cell>
          <cell r="V1692">
            <v>0</v>
          </cell>
          <cell r="W1692">
            <v>0</v>
          </cell>
          <cell r="AA1692">
            <v>0</v>
          </cell>
          <cell r="AB1692">
            <v>0</v>
          </cell>
          <cell r="AC1692">
            <v>0</v>
          </cell>
          <cell r="AD1692">
            <v>34</v>
          </cell>
          <cell r="AE1692">
            <v>114020</v>
          </cell>
          <cell r="AF1692">
            <v>0</v>
          </cell>
          <cell r="AI1692">
            <v>2251</v>
          </cell>
          <cell r="AK1692">
            <v>0</v>
          </cell>
          <cell r="AM1692">
            <v>357</v>
          </cell>
          <cell r="AN1692">
            <v>1</v>
          </cell>
          <cell r="AO1692">
            <v>393216</v>
          </cell>
          <cell r="AQ1692">
            <v>0</v>
          </cell>
          <cell r="AR1692">
            <v>0</v>
          </cell>
          <cell r="AS1692" t="str">
            <v>Ы</v>
          </cell>
          <cell r="AT1692" t="str">
            <v>Ы</v>
          </cell>
          <cell r="AU1692">
            <v>0</v>
          </cell>
          <cell r="AV1692">
            <v>0</v>
          </cell>
          <cell r="AW1692">
            <v>23</v>
          </cell>
          <cell r="AX1692">
            <v>1</v>
          </cell>
          <cell r="AY1692">
            <v>0</v>
          </cell>
          <cell r="AZ1692">
            <v>0</v>
          </cell>
          <cell r="BA1692">
            <v>0</v>
          </cell>
          <cell r="BB1692">
            <v>0</v>
          </cell>
          <cell r="BC1692">
            <v>38828</v>
          </cell>
        </row>
        <row r="1693">
          <cell r="A1693">
            <v>2006</v>
          </cell>
          <cell r="B1693">
            <v>2</v>
          </cell>
          <cell r="C1693">
            <v>229</v>
          </cell>
          <cell r="D1693">
            <v>21</v>
          </cell>
          <cell r="E1693">
            <v>792020</v>
          </cell>
          <cell r="F1693">
            <v>0</v>
          </cell>
          <cell r="G1693" t="str">
            <v>Затраты по ШПЗ (основные)</v>
          </cell>
          <cell r="H1693">
            <v>2011</v>
          </cell>
          <cell r="I1693">
            <v>7920</v>
          </cell>
          <cell r="J1693">
            <v>57386.69</v>
          </cell>
          <cell r="K1693">
            <v>1</v>
          </cell>
          <cell r="L1693">
            <v>0</v>
          </cell>
          <cell r="M1693">
            <v>0</v>
          </cell>
          <cell r="N1693">
            <v>0</v>
          </cell>
          <cell r="R1693">
            <v>0</v>
          </cell>
          <cell r="S1693">
            <v>0</v>
          </cell>
          <cell r="T1693">
            <v>0</v>
          </cell>
          <cell r="U1693">
            <v>34</v>
          </cell>
          <cell r="V1693">
            <v>0</v>
          </cell>
          <cell r="W1693">
            <v>0</v>
          </cell>
          <cell r="AA1693">
            <v>0</v>
          </cell>
          <cell r="AB1693">
            <v>0</v>
          </cell>
          <cell r="AC1693">
            <v>0</v>
          </cell>
          <cell r="AD1693">
            <v>34</v>
          </cell>
          <cell r="AE1693">
            <v>116000</v>
          </cell>
          <cell r="AF1693">
            <v>0</v>
          </cell>
          <cell r="AI1693">
            <v>2251</v>
          </cell>
          <cell r="AK1693">
            <v>0</v>
          </cell>
          <cell r="AM1693">
            <v>358</v>
          </cell>
          <cell r="AN1693">
            <v>1</v>
          </cell>
          <cell r="AO1693">
            <v>393216</v>
          </cell>
          <cell r="AQ1693">
            <v>0</v>
          </cell>
          <cell r="AR1693">
            <v>0</v>
          </cell>
          <cell r="AS1693" t="str">
            <v>Ы</v>
          </cell>
          <cell r="AT1693" t="str">
            <v>Ы</v>
          </cell>
          <cell r="AU1693">
            <v>0</v>
          </cell>
          <cell r="AV1693">
            <v>0</v>
          </cell>
          <cell r="AW1693">
            <v>23</v>
          </cell>
          <cell r="AX1693">
            <v>1</v>
          </cell>
          <cell r="AY1693">
            <v>0</v>
          </cell>
          <cell r="AZ1693">
            <v>0</v>
          </cell>
          <cell r="BA1693">
            <v>0</v>
          </cell>
          <cell r="BB1693">
            <v>0</v>
          </cell>
          <cell r="BC1693">
            <v>38828</v>
          </cell>
        </row>
        <row r="1694">
          <cell r="A1694">
            <v>2006</v>
          </cell>
          <cell r="B1694">
            <v>2</v>
          </cell>
          <cell r="C1694">
            <v>230</v>
          </cell>
          <cell r="D1694">
            <v>21</v>
          </cell>
          <cell r="E1694">
            <v>792020</v>
          </cell>
          <cell r="F1694">
            <v>0</v>
          </cell>
          <cell r="G1694" t="str">
            <v>Затраты по ШПЗ (основные)</v>
          </cell>
          <cell r="H1694">
            <v>2011</v>
          </cell>
          <cell r="I1694">
            <v>7920</v>
          </cell>
          <cell r="J1694">
            <v>6989.2</v>
          </cell>
          <cell r="K1694">
            <v>1</v>
          </cell>
          <cell r="L1694">
            <v>0</v>
          </cell>
          <cell r="M1694">
            <v>0</v>
          </cell>
          <cell r="N1694">
            <v>0</v>
          </cell>
          <cell r="R1694">
            <v>0</v>
          </cell>
          <cell r="S1694">
            <v>0</v>
          </cell>
          <cell r="T1694">
            <v>0</v>
          </cell>
          <cell r="U1694">
            <v>34</v>
          </cell>
          <cell r="V1694">
            <v>0</v>
          </cell>
          <cell r="W1694">
            <v>0</v>
          </cell>
          <cell r="AA1694">
            <v>0</v>
          </cell>
          <cell r="AB1694">
            <v>0</v>
          </cell>
          <cell r="AC1694">
            <v>0</v>
          </cell>
          <cell r="AD1694">
            <v>34</v>
          </cell>
          <cell r="AE1694">
            <v>117000</v>
          </cell>
          <cell r="AF1694">
            <v>0</v>
          </cell>
          <cell r="AI1694">
            <v>2251</v>
          </cell>
          <cell r="AK1694">
            <v>0</v>
          </cell>
          <cell r="AM1694">
            <v>359</v>
          </cell>
          <cell r="AN1694">
            <v>1</v>
          </cell>
          <cell r="AO1694">
            <v>393216</v>
          </cell>
          <cell r="AQ1694">
            <v>0</v>
          </cell>
          <cell r="AR1694">
            <v>0</v>
          </cell>
          <cell r="AS1694" t="str">
            <v>Ы</v>
          </cell>
          <cell r="AT1694" t="str">
            <v>Ы</v>
          </cell>
          <cell r="AU1694">
            <v>0</v>
          </cell>
          <cell r="AV1694">
            <v>0</v>
          </cell>
          <cell r="AW1694">
            <v>23</v>
          </cell>
          <cell r="AX1694">
            <v>1</v>
          </cell>
          <cell r="AY1694">
            <v>0</v>
          </cell>
          <cell r="AZ1694">
            <v>0</v>
          </cell>
          <cell r="BA1694">
            <v>0</v>
          </cell>
          <cell r="BB1694">
            <v>0</v>
          </cell>
          <cell r="BC1694">
            <v>38828</v>
          </cell>
        </row>
        <row r="1695">
          <cell r="A1695">
            <v>2006</v>
          </cell>
          <cell r="B1695">
            <v>2</v>
          </cell>
          <cell r="C1695">
            <v>231</v>
          </cell>
          <cell r="D1695">
            <v>21</v>
          </cell>
          <cell r="E1695">
            <v>792020</v>
          </cell>
          <cell r="F1695">
            <v>0</v>
          </cell>
          <cell r="G1695" t="str">
            <v>Затраты по ШПЗ (основные)</v>
          </cell>
          <cell r="H1695">
            <v>2011</v>
          </cell>
          <cell r="I1695">
            <v>7920</v>
          </cell>
          <cell r="J1695">
            <v>4949.72</v>
          </cell>
          <cell r="K1695">
            <v>1</v>
          </cell>
          <cell r="L1695">
            <v>0</v>
          </cell>
          <cell r="M1695">
            <v>0</v>
          </cell>
          <cell r="N1695">
            <v>0</v>
          </cell>
          <cell r="R1695">
            <v>0</v>
          </cell>
          <cell r="S1695">
            <v>0</v>
          </cell>
          <cell r="T1695">
            <v>0</v>
          </cell>
          <cell r="U1695">
            <v>34</v>
          </cell>
          <cell r="V1695">
            <v>0</v>
          </cell>
          <cell r="W1695">
            <v>0</v>
          </cell>
          <cell r="AA1695">
            <v>0</v>
          </cell>
          <cell r="AB1695">
            <v>0</v>
          </cell>
          <cell r="AC1695">
            <v>0</v>
          </cell>
          <cell r="AD1695">
            <v>34</v>
          </cell>
          <cell r="AE1695">
            <v>130100</v>
          </cell>
          <cell r="AF1695">
            <v>0</v>
          </cell>
          <cell r="AI1695">
            <v>2251</v>
          </cell>
          <cell r="AK1695">
            <v>0</v>
          </cell>
          <cell r="AM1695">
            <v>360</v>
          </cell>
          <cell r="AN1695">
            <v>1</v>
          </cell>
          <cell r="AO1695">
            <v>393216</v>
          </cell>
          <cell r="AQ1695">
            <v>0</v>
          </cell>
          <cell r="AR1695">
            <v>0</v>
          </cell>
          <cell r="AS1695" t="str">
            <v>Ы</v>
          </cell>
          <cell r="AT1695" t="str">
            <v>Ы</v>
          </cell>
          <cell r="AU1695">
            <v>0</v>
          </cell>
          <cell r="AV1695">
            <v>0</v>
          </cell>
          <cell r="AW1695">
            <v>23</v>
          </cell>
          <cell r="AX1695">
            <v>1</v>
          </cell>
          <cell r="AY1695">
            <v>0</v>
          </cell>
          <cell r="AZ1695">
            <v>0</v>
          </cell>
          <cell r="BA1695">
            <v>0</v>
          </cell>
          <cell r="BB1695">
            <v>0</v>
          </cell>
          <cell r="BC1695">
            <v>38828</v>
          </cell>
        </row>
        <row r="1696">
          <cell r="A1696">
            <v>2006</v>
          </cell>
          <cell r="B1696">
            <v>2</v>
          </cell>
          <cell r="C1696">
            <v>232</v>
          </cell>
          <cell r="D1696">
            <v>21</v>
          </cell>
          <cell r="E1696">
            <v>792020</v>
          </cell>
          <cell r="F1696">
            <v>0</v>
          </cell>
          <cell r="G1696" t="str">
            <v>Затраты по ШПЗ (основные)</v>
          </cell>
          <cell r="H1696">
            <v>2011</v>
          </cell>
          <cell r="I1696">
            <v>7920</v>
          </cell>
          <cell r="J1696">
            <v>497242.84</v>
          </cell>
          <cell r="K1696">
            <v>1</v>
          </cell>
          <cell r="L1696">
            <v>0</v>
          </cell>
          <cell r="M1696">
            <v>0</v>
          </cell>
          <cell r="N1696">
            <v>0</v>
          </cell>
          <cell r="R1696">
            <v>0</v>
          </cell>
          <cell r="S1696">
            <v>0</v>
          </cell>
          <cell r="T1696">
            <v>0</v>
          </cell>
          <cell r="U1696">
            <v>34</v>
          </cell>
          <cell r="V1696">
            <v>0</v>
          </cell>
          <cell r="W1696">
            <v>0</v>
          </cell>
          <cell r="AA1696">
            <v>0</v>
          </cell>
          <cell r="AB1696">
            <v>0</v>
          </cell>
          <cell r="AC1696">
            <v>0</v>
          </cell>
          <cell r="AD1696">
            <v>34</v>
          </cell>
          <cell r="AE1696">
            <v>151000</v>
          </cell>
          <cell r="AF1696">
            <v>0</v>
          </cell>
          <cell r="AI1696">
            <v>2251</v>
          </cell>
          <cell r="AK1696">
            <v>0</v>
          </cell>
          <cell r="AM1696">
            <v>361</v>
          </cell>
          <cell r="AN1696">
            <v>1</v>
          </cell>
          <cell r="AO1696">
            <v>393216</v>
          </cell>
          <cell r="AQ1696">
            <v>0</v>
          </cell>
          <cell r="AR1696">
            <v>0</v>
          </cell>
          <cell r="AS1696" t="str">
            <v>Ы</v>
          </cell>
          <cell r="AT1696" t="str">
            <v>Ы</v>
          </cell>
          <cell r="AU1696">
            <v>0</v>
          </cell>
          <cell r="AV1696">
            <v>0</v>
          </cell>
          <cell r="AW1696">
            <v>23</v>
          </cell>
          <cell r="AX1696">
            <v>1</v>
          </cell>
          <cell r="AY1696">
            <v>0</v>
          </cell>
          <cell r="AZ1696">
            <v>0</v>
          </cell>
          <cell r="BA1696">
            <v>0</v>
          </cell>
          <cell r="BB1696">
            <v>0</v>
          </cell>
          <cell r="BC1696">
            <v>38828</v>
          </cell>
        </row>
        <row r="1697">
          <cell r="A1697">
            <v>2006</v>
          </cell>
          <cell r="B1697">
            <v>2</v>
          </cell>
          <cell r="C1697">
            <v>233</v>
          </cell>
          <cell r="D1697">
            <v>21</v>
          </cell>
          <cell r="E1697">
            <v>792020</v>
          </cell>
          <cell r="F1697">
            <v>0</v>
          </cell>
          <cell r="G1697" t="str">
            <v>Затраты по ШПЗ (основные)</v>
          </cell>
          <cell r="H1697">
            <v>2011</v>
          </cell>
          <cell r="I1697">
            <v>7920</v>
          </cell>
          <cell r="J1697">
            <v>928941</v>
          </cell>
          <cell r="K1697">
            <v>1</v>
          </cell>
          <cell r="L1697">
            <v>0</v>
          </cell>
          <cell r="M1697">
            <v>0</v>
          </cell>
          <cell r="N1697">
            <v>0</v>
          </cell>
          <cell r="R1697">
            <v>0</v>
          </cell>
          <cell r="S1697">
            <v>0</v>
          </cell>
          <cell r="T1697">
            <v>0</v>
          </cell>
          <cell r="U1697">
            <v>34</v>
          </cell>
          <cell r="V1697">
            <v>0</v>
          </cell>
          <cell r="W1697">
            <v>0</v>
          </cell>
          <cell r="AA1697">
            <v>0</v>
          </cell>
          <cell r="AB1697">
            <v>0</v>
          </cell>
          <cell r="AC1697">
            <v>0</v>
          </cell>
          <cell r="AD1697">
            <v>34</v>
          </cell>
          <cell r="AE1697">
            <v>220000</v>
          </cell>
          <cell r="AF1697">
            <v>0</v>
          </cell>
          <cell r="AI1697">
            <v>2251</v>
          </cell>
          <cell r="AK1697">
            <v>0</v>
          </cell>
          <cell r="AM1697">
            <v>362</v>
          </cell>
          <cell r="AN1697">
            <v>1</v>
          </cell>
          <cell r="AO1697">
            <v>393216</v>
          </cell>
          <cell r="AQ1697">
            <v>0</v>
          </cell>
          <cell r="AR1697">
            <v>0</v>
          </cell>
          <cell r="AS1697" t="str">
            <v>Ы</v>
          </cell>
          <cell r="AT1697" t="str">
            <v>Ы</v>
          </cell>
          <cell r="AU1697">
            <v>0</v>
          </cell>
          <cell r="AV1697">
            <v>0</v>
          </cell>
          <cell r="AW1697">
            <v>23</v>
          </cell>
          <cell r="AX1697">
            <v>1</v>
          </cell>
          <cell r="AY1697">
            <v>0</v>
          </cell>
          <cell r="AZ1697">
            <v>0</v>
          </cell>
          <cell r="BA1697">
            <v>0</v>
          </cell>
          <cell r="BB1697">
            <v>0</v>
          </cell>
          <cell r="BC1697">
            <v>38828</v>
          </cell>
        </row>
        <row r="1698">
          <cell r="A1698">
            <v>2006</v>
          </cell>
          <cell r="B1698">
            <v>2</v>
          </cell>
          <cell r="C1698">
            <v>234</v>
          </cell>
          <cell r="D1698">
            <v>21</v>
          </cell>
          <cell r="E1698">
            <v>792020</v>
          </cell>
          <cell r="F1698">
            <v>0</v>
          </cell>
          <cell r="G1698" t="str">
            <v>Затраты по ШПЗ (основные)</v>
          </cell>
          <cell r="H1698">
            <v>2011</v>
          </cell>
          <cell r="I1698">
            <v>7920</v>
          </cell>
          <cell r="J1698">
            <v>483170.24</v>
          </cell>
          <cell r="K1698">
            <v>1</v>
          </cell>
          <cell r="L1698">
            <v>0</v>
          </cell>
          <cell r="M1698">
            <v>0</v>
          </cell>
          <cell r="N1698">
            <v>0</v>
          </cell>
          <cell r="R1698">
            <v>0</v>
          </cell>
          <cell r="S1698">
            <v>0</v>
          </cell>
          <cell r="T1698">
            <v>0</v>
          </cell>
          <cell r="U1698">
            <v>34</v>
          </cell>
          <cell r="V1698">
            <v>0</v>
          </cell>
          <cell r="W1698">
            <v>0</v>
          </cell>
          <cell r="AA1698">
            <v>0</v>
          </cell>
          <cell r="AB1698">
            <v>0</v>
          </cell>
          <cell r="AC1698">
            <v>0</v>
          </cell>
          <cell r="AD1698">
            <v>34</v>
          </cell>
          <cell r="AE1698">
            <v>230000</v>
          </cell>
          <cell r="AF1698">
            <v>0</v>
          </cell>
          <cell r="AI1698">
            <v>2251</v>
          </cell>
          <cell r="AK1698">
            <v>0</v>
          </cell>
          <cell r="AM1698">
            <v>363</v>
          </cell>
          <cell r="AN1698">
            <v>1</v>
          </cell>
          <cell r="AO1698">
            <v>393216</v>
          </cell>
          <cell r="AQ1698">
            <v>0</v>
          </cell>
          <cell r="AR1698">
            <v>0</v>
          </cell>
          <cell r="AS1698" t="str">
            <v>Ы</v>
          </cell>
          <cell r="AT1698" t="str">
            <v>Ы</v>
          </cell>
          <cell r="AU1698">
            <v>0</v>
          </cell>
          <cell r="AV1698">
            <v>0</v>
          </cell>
          <cell r="AW1698">
            <v>23</v>
          </cell>
          <cell r="AX1698">
            <v>1</v>
          </cell>
          <cell r="AY1698">
            <v>0</v>
          </cell>
          <cell r="AZ1698">
            <v>0</v>
          </cell>
          <cell r="BA1698">
            <v>0</v>
          </cell>
          <cell r="BB1698">
            <v>0</v>
          </cell>
          <cell r="BC1698">
            <v>38828</v>
          </cell>
        </row>
        <row r="1699">
          <cell r="A1699">
            <v>2006</v>
          </cell>
          <cell r="B1699">
            <v>2</v>
          </cell>
          <cell r="C1699">
            <v>235</v>
          </cell>
          <cell r="D1699">
            <v>21</v>
          </cell>
          <cell r="E1699">
            <v>792020</v>
          </cell>
          <cell r="F1699">
            <v>0</v>
          </cell>
          <cell r="G1699" t="str">
            <v>Затраты по ШПЗ (основные)</v>
          </cell>
          <cell r="H1699">
            <v>2011</v>
          </cell>
          <cell r="I1699">
            <v>7920</v>
          </cell>
          <cell r="J1699">
            <v>28972</v>
          </cell>
          <cell r="K1699">
            <v>1</v>
          </cell>
          <cell r="L1699">
            <v>0</v>
          </cell>
          <cell r="M1699">
            <v>0</v>
          </cell>
          <cell r="N1699">
            <v>0</v>
          </cell>
          <cell r="R1699">
            <v>0</v>
          </cell>
          <cell r="S1699">
            <v>0</v>
          </cell>
          <cell r="T1699">
            <v>0</v>
          </cell>
          <cell r="U1699">
            <v>34</v>
          </cell>
          <cell r="V1699">
            <v>0</v>
          </cell>
          <cell r="W1699">
            <v>0</v>
          </cell>
          <cell r="AA1699">
            <v>0</v>
          </cell>
          <cell r="AB1699">
            <v>0</v>
          </cell>
          <cell r="AC1699">
            <v>0</v>
          </cell>
          <cell r="AD1699">
            <v>34</v>
          </cell>
          <cell r="AE1699">
            <v>240000</v>
          </cell>
          <cell r="AF1699">
            <v>0</v>
          </cell>
          <cell r="AI1699">
            <v>2251</v>
          </cell>
          <cell r="AK1699">
            <v>0</v>
          </cell>
          <cell r="AM1699">
            <v>364</v>
          </cell>
          <cell r="AN1699">
            <v>1</v>
          </cell>
          <cell r="AO1699">
            <v>393216</v>
          </cell>
          <cell r="AQ1699">
            <v>0</v>
          </cell>
          <cell r="AR1699">
            <v>0</v>
          </cell>
          <cell r="AS1699" t="str">
            <v>Ы</v>
          </cell>
          <cell r="AT1699" t="str">
            <v>Ы</v>
          </cell>
          <cell r="AU1699">
            <v>0</v>
          </cell>
          <cell r="AV1699">
            <v>0</v>
          </cell>
          <cell r="AW1699">
            <v>23</v>
          </cell>
          <cell r="AX1699">
            <v>1</v>
          </cell>
          <cell r="AY1699">
            <v>0</v>
          </cell>
          <cell r="AZ1699">
            <v>0</v>
          </cell>
          <cell r="BA1699">
            <v>0</v>
          </cell>
          <cell r="BB1699">
            <v>0</v>
          </cell>
          <cell r="BC1699">
            <v>38828</v>
          </cell>
        </row>
        <row r="1700">
          <cell r="A1700">
            <v>2006</v>
          </cell>
          <cell r="B1700">
            <v>2</v>
          </cell>
          <cell r="C1700">
            <v>236</v>
          </cell>
          <cell r="D1700">
            <v>21</v>
          </cell>
          <cell r="E1700">
            <v>792020</v>
          </cell>
          <cell r="F1700">
            <v>0</v>
          </cell>
          <cell r="G1700" t="str">
            <v>Затраты по ШПЗ (основные)</v>
          </cell>
          <cell r="H1700">
            <v>2011</v>
          </cell>
          <cell r="I1700">
            <v>7920</v>
          </cell>
          <cell r="J1700">
            <v>4252</v>
          </cell>
          <cell r="K1700">
            <v>1</v>
          </cell>
          <cell r="L1700">
            <v>0</v>
          </cell>
          <cell r="M1700">
            <v>0</v>
          </cell>
          <cell r="N1700">
            <v>0</v>
          </cell>
          <cell r="R1700">
            <v>0</v>
          </cell>
          <cell r="S1700">
            <v>0</v>
          </cell>
          <cell r="T1700">
            <v>0</v>
          </cell>
          <cell r="U1700">
            <v>34</v>
          </cell>
          <cell r="V1700">
            <v>0</v>
          </cell>
          <cell r="W1700">
            <v>0</v>
          </cell>
          <cell r="AA1700">
            <v>0</v>
          </cell>
          <cell r="AB1700">
            <v>0</v>
          </cell>
          <cell r="AC1700">
            <v>0</v>
          </cell>
          <cell r="AD1700">
            <v>34</v>
          </cell>
          <cell r="AE1700">
            <v>250000</v>
          </cell>
          <cell r="AF1700">
            <v>0</v>
          </cell>
          <cell r="AI1700">
            <v>2251</v>
          </cell>
          <cell r="AK1700">
            <v>0</v>
          </cell>
          <cell r="AM1700">
            <v>365</v>
          </cell>
          <cell r="AN1700">
            <v>1</v>
          </cell>
          <cell r="AO1700">
            <v>393216</v>
          </cell>
          <cell r="AQ1700">
            <v>0</v>
          </cell>
          <cell r="AR1700">
            <v>0</v>
          </cell>
          <cell r="AS1700" t="str">
            <v>Ы</v>
          </cell>
          <cell r="AT1700" t="str">
            <v>Ы</v>
          </cell>
          <cell r="AU1700">
            <v>0</v>
          </cell>
          <cell r="AV1700">
            <v>0</v>
          </cell>
          <cell r="AW1700">
            <v>23</v>
          </cell>
          <cell r="AX1700">
            <v>1</v>
          </cell>
          <cell r="AY1700">
            <v>0</v>
          </cell>
          <cell r="AZ1700">
            <v>0</v>
          </cell>
          <cell r="BA1700">
            <v>0</v>
          </cell>
          <cell r="BB1700">
            <v>0</v>
          </cell>
          <cell r="BC1700">
            <v>38828</v>
          </cell>
        </row>
        <row r="1701">
          <cell r="A1701">
            <v>2006</v>
          </cell>
          <cell r="B1701">
            <v>2</v>
          </cell>
          <cell r="C1701">
            <v>237</v>
          </cell>
          <cell r="D1701">
            <v>21</v>
          </cell>
          <cell r="E1701">
            <v>792020</v>
          </cell>
          <cell r="F1701">
            <v>0</v>
          </cell>
          <cell r="G1701" t="str">
            <v>Затраты по ШПЗ (основные)</v>
          </cell>
          <cell r="H1701">
            <v>2011</v>
          </cell>
          <cell r="I1701">
            <v>7920</v>
          </cell>
          <cell r="J1701">
            <v>74515.11</v>
          </cell>
          <cell r="K1701">
            <v>1</v>
          </cell>
          <cell r="L1701">
            <v>0</v>
          </cell>
          <cell r="M1701">
            <v>0</v>
          </cell>
          <cell r="N1701">
            <v>0</v>
          </cell>
          <cell r="R1701">
            <v>0</v>
          </cell>
          <cell r="S1701">
            <v>0</v>
          </cell>
          <cell r="T1701">
            <v>0</v>
          </cell>
          <cell r="U1701">
            <v>34</v>
          </cell>
          <cell r="V1701">
            <v>0</v>
          </cell>
          <cell r="W1701">
            <v>0</v>
          </cell>
          <cell r="AA1701">
            <v>0</v>
          </cell>
          <cell r="AB1701">
            <v>0</v>
          </cell>
          <cell r="AC1701">
            <v>0</v>
          </cell>
          <cell r="AD1701">
            <v>34</v>
          </cell>
          <cell r="AE1701">
            <v>260000</v>
          </cell>
          <cell r="AF1701">
            <v>0</v>
          </cell>
          <cell r="AI1701">
            <v>2251</v>
          </cell>
          <cell r="AK1701">
            <v>0</v>
          </cell>
          <cell r="AM1701">
            <v>366</v>
          </cell>
          <cell r="AN1701">
            <v>1</v>
          </cell>
          <cell r="AO1701">
            <v>393216</v>
          </cell>
          <cell r="AQ1701">
            <v>0</v>
          </cell>
          <cell r="AR1701">
            <v>0</v>
          </cell>
          <cell r="AS1701" t="str">
            <v>Ы</v>
          </cell>
          <cell r="AT1701" t="str">
            <v>Ы</v>
          </cell>
          <cell r="AU1701">
            <v>0</v>
          </cell>
          <cell r="AV1701">
            <v>0</v>
          </cell>
          <cell r="AW1701">
            <v>23</v>
          </cell>
          <cell r="AX1701">
            <v>1</v>
          </cell>
          <cell r="AY1701">
            <v>0</v>
          </cell>
          <cell r="AZ1701">
            <v>0</v>
          </cell>
          <cell r="BA1701">
            <v>0</v>
          </cell>
          <cell r="BB1701">
            <v>0</v>
          </cell>
          <cell r="BC1701">
            <v>38828</v>
          </cell>
        </row>
        <row r="1702">
          <cell r="A1702">
            <v>2006</v>
          </cell>
          <cell r="B1702">
            <v>2</v>
          </cell>
          <cell r="C1702">
            <v>238</v>
          </cell>
          <cell r="D1702">
            <v>21</v>
          </cell>
          <cell r="E1702">
            <v>792020</v>
          </cell>
          <cell r="F1702">
            <v>0</v>
          </cell>
          <cell r="G1702" t="str">
            <v>Затраты по ШПЗ (основные)</v>
          </cell>
          <cell r="H1702">
            <v>2011</v>
          </cell>
          <cell r="I1702">
            <v>7920</v>
          </cell>
          <cell r="J1702">
            <v>147793.72</v>
          </cell>
          <cell r="K1702">
            <v>1</v>
          </cell>
          <cell r="L1702">
            <v>0</v>
          </cell>
          <cell r="M1702">
            <v>0</v>
          </cell>
          <cell r="N1702">
            <v>0</v>
          </cell>
          <cell r="R1702">
            <v>0</v>
          </cell>
          <cell r="S1702">
            <v>0</v>
          </cell>
          <cell r="T1702">
            <v>0</v>
          </cell>
          <cell r="U1702">
            <v>34</v>
          </cell>
          <cell r="V1702">
            <v>0</v>
          </cell>
          <cell r="W1702">
            <v>0</v>
          </cell>
          <cell r="AA1702">
            <v>0</v>
          </cell>
          <cell r="AB1702">
            <v>0</v>
          </cell>
          <cell r="AC1702">
            <v>0</v>
          </cell>
          <cell r="AD1702">
            <v>34</v>
          </cell>
          <cell r="AE1702">
            <v>270000</v>
          </cell>
          <cell r="AF1702">
            <v>0</v>
          </cell>
          <cell r="AI1702">
            <v>2251</v>
          </cell>
          <cell r="AK1702">
            <v>0</v>
          </cell>
          <cell r="AM1702">
            <v>367</v>
          </cell>
          <cell r="AN1702">
            <v>1</v>
          </cell>
          <cell r="AO1702">
            <v>393216</v>
          </cell>
          <cell r="AQ1702">
            <v>0</v>
          </cell>
          <cell r="AR1702">
            <v>0</v>
          </cell>
          <cell r="AS1702" t="str">
            <v>Ы</v>
          </cell>
          <cell r="AT1702" t="str">
            <v>Ы</v>
          </cell>
          <cell r="AU1702">
            <v>0</v>
          </cell>
          <cell r="AV1702">
            <v>0</v>
          </cell>
          <cell r="AW1702">
            <v>23</v>
          </cell>
          <cell r="AX1702">
            <v>1</v>
          </cell>
          <cell r="AY1702">
            <v>0</v>
          </cell>
          <cell r="AZ1702">
            <v>0</v>
          </cell>
          <cell r="BA1702">
            <v>0</v>
          </cell>
          <cell r="BB1702">
            <v>0</v>
          </cell>
          <cell r="BC1702">
            <v>38828</v>
          </cell>
        </row>
        <row r="1703">
          <cell r="A1703">
            <v>2006</v>
          </cell>
          <cell r="B1703">
            <v>2</v>
          </cell>
          <cell r="C1703">
            <v>239</v>
          </cell>
          <cell r="D1703">
            <v>21</v>
          </cell>
          <cell r="E1703">
            <v>792020</v>
          </cell>
          <cell r="F1703">
            <v>0</v>
          </cell>
          <cell r="G1703" t="str">
            <v>Затраты по ШПЗ (основные)</v>
          </cell>
          <cell r="H1703">
            <v>2011</v>
          </cell>
          <cell r="I1703">
            <v>7920</v>
          </cell>
          <cell r="J1703">
            <v>42928.32</v>
          </cell>
          <cell r="K1703">
            <v>1</v>
          </cell>
          <cell r="L1703">
            <v>0</v>
          </cell>
          <cell r="M1703">
            <v>0</v>
          </cell>
          <cell r="N1703">
            <v>0</v>
          </cell>
          <cell r="R1703">
            <v>0</v>
          </cell>
          <cell r="S1703">
            <v>0</v>
          </cell>
          <cell r="T1703">
            <v>0</v>
          </cell>
          <cell r="U1703">
            <v>34</v>
          </cell>
          <cell r="V1703">
            <v>0</v>
          </cell>
          <cell r="W1703">
            <v>0</v>
          </cell>
          <cell r="AA1703">
            <v>0</v>
          </cell>
          <cell r="AB1703">
            <v>0</v>
          </cell>
          <cell r="AC1703">
            <v>0</v>
          </cell>
          <cell r="AD1703">
            <v>34</v>
          </cell>
          <cell r="AE1703">
            <v>280100</v>
          </cell>
          <cell r="AF1703">
            <v>0</v>
          </cell>
          <cell r="AI1703">
            <v>2251</v>
          </cell>
          <cell r="AK1703">
            <v>0</v>
          </cell>
          <cell r="AM1703">
            <v>368</v>
          </cell>
          <cell r="AN1703">
            <v>1</v>
          </cell>
          <cell r="AO1703">
            <v>393216</v>
          </cell>
          <cell r="AQ1703">
            <v>0</v>
          </cell>
          <cell r="AR1703">
            <v>0</v>
          </cell>
          <cell r="AS1703" t="str">
            <v>Ы</v>
          </cell>
          <cell r="AT1703" t="str">
            <v>Ы</v>
          </cell>
          <cell r="AU1703">
            <v>0</v>
          </cell>
          <cell r="AV1703">
            <v>0</v>
          </cell>
          <cell r="AW1703">
            <v>23</v>
          </cell>
          <cell r="AX1703">
            <v>1</v>
          </cell>
          <cell r="AY1703">
            <v>0</v>
          </cell>
          <cell r="AZ1703">
            <v>0</v>
          </cell>
          <cell r="BA1703">
            <v>0</v>
          </cell>
          <cell r="BB1703">
            <v>0</v>
          </cell>
          <cell r="BC1703">
            <v>38828</v>
          </cell>
        </row>
        <row r="1704">
          <cell r="A1704">
            <v>2006</v>
          </cell>
          <cell r="B1704">
            <v>2</v>
          </cell>
          <cell r="C1704">
            <v>240</v>
          </cell>
          <cell r="D1704">
            <v>21</v>
          </cell>
          <cell r="E1704">
            <v>792020</v>
          </cell>
          <cell r="F1704">
            <v>0</v>
          </cell>
          <cell r="G1704" t="str">
            <v>Затраты по ШПЗ (основные)</v>
          </cell>
          <cell r="H1704">
            <v>2011</v>
          </cell>
          <cell r="I1704">
            <v>7920</v>
          </cell>
          <cell r="J1704">
            <v>6494.85</v>
          </cell>
          <cell r="K1704">
            <v>1</v>
          </cell>
          <cell r="L1704">
            <v>0</v>
          </cell>
          <cell r="M1704">
            <v>0</v>
          </cell>
          <cell r="N1704">
            <v>0</v>
          </cell>
          <cell r="R1704">
            <v>0</v>
          </cell>
          <cell r="S1704">
            <v>0</v>
          </cell>
          <cell r="T1704">
            <v>0</v>
          </cell>
          <cell r="U1704">
            <v>34</v>
          </cell>
          <cell r="V1704">
            <v>0</v>
          </cell>
          <cell r="W1704">
            <v>0</v>
          </cell>
          <cell r="AA1704">
            <v>0</v>
          </cell>
          <cell r="AB1704">
            <v>0</v>
          </cell>
          <cell r="AC1704">
            <v>0</v>
          </cell>
          <cell r="AD1704">
            <v>34</v>
          </cell>
          <cell r="AE1704">
            <v>280200</v>
          </cell>
          <cell r="AF1704">
            <v>0</v>
          </cell>
          <cell r="AI1704">
            <v>2251</v>
          </cell>
          <cell r="AK1704">
            <v>0</v>
          </cell>
          <cell r="AM1704">
            <v>369</v>
          </cell>
          <cell r="AN1704">
            <v>1</v>
          </cell>
          <cell r="AO1704">
            <v>393216</v>
          </cell>
          <cell r="AQ1704">
            <v>0</v>
          </cell>
          <cell r="AR1704">
            <v>0</v>
          </cell>
          <cell r="AS1704" t="str">
            <v>Ы</v>
          </cell>
          <cell r="AT1704" t="str">
            <v>Ы</v>
          </cell>
          <cell r="AU1704">
            <v>0</v>
          </cell>
          <cell r="AV1704">
            <v>0</v>
          </cell>
          <cell r="AW1704">
            <v>23</v>
          </cell>
          <cell r="AX1704">
            <v>1</v>
          </cell>
          <cell r="AY1704">
            <v>0</v>
          </cell>
          <cell r="AZ1704">
            <v>0</v>
          </cell>
          <cell r="BA1704">
            <v>0</v>
          </cell>
          <cell r="BB1704">
            <v>0</v>
          </cell>
          <cell r="BC1704">
            <v>38828</v>
          </cell>
        </row>
        <row r="1705">
          <cell r="A1705">
            <v>2006</v>
          </cell>
          <cell r="B1705">
            <v>2</v>
          </cell>
          <cell r="C1705">
            <v>241</v>
          </cell>
          <cell r="D1705">
            <v>21</v>
          </cell>
          <cell r="E1705">
            <v>792020</v>
          </cell>
          <cell r="F1705">
            <v>0</v>
          </cell>
          <cell r="G1705" t="str">
            <v>Затраты по ШПЗ (основные)</v>
          </cell>
          <cell r="H1705">
            <v>2011</v>
          </cell>
          <cell r="I1705">
            <v>7920</v>
          </cell>
          <cell r="J1705">
            <v>7686.3</v>
          </cell>
          <cell r="K1705">
            <v>1</v>
          </cell>
          <cell r="L1705">
            <v>0</v>
          </cell>
          <cell r="M1705">
            <v>0</v>
          </cell>
          <cell r="N1705">
            <v>0</v>
          </cell>
          <cell r="R1705">
            <v>0</v>
          </cell>
          <cell r="S1705">
            <v>0</v>
          </cell>
          <cell r="T1705">
            <v>0</v>
          </cell>
          <cell r="U1705">
            <v>34</v>
          </cell>
          <cell r="V1705">
            <v>0</v>
          </cell>
          <cell r="W1705">
            <v>0</v>
          </cell>
          <cell r="AA1705">
            <v>0</v>
          </cell>
          <cell r="AB1705">
            <v>0</v>
          </cell>
          <cell r="AC1705">
            <v>0</v>
          </cell>
          <cell r="AD1705">
            <v>34</v>
          </cell>
          <cell r="AE1705">
            <v>280300</v>
          </cell>
          <cell r="AF1705">
            <v>0</v>
          </cell>
          <cell r="AI1705">
            <v>2251</v>
          </cell>
          <cell r="AK1705">
            <v>0</v>
          </cell>
          <cell r="AM1705">
            <v>370</v>
          </cell>
          <cell r="AN1705">
            <v>1</v>
          </cell>
          <cell r="AO1705">
            <v>393216</v>
          </cell>
          <cell r="AQ1705">
            <v>0</v>
          </cell>
          <cell r="AR1705">
            <v>0</v>
          </cell>
          <cell r="AS1705" t="str">
            <v>Ы</v>
          </cell>
          <cell r="AT1705" t="str">
            <v>Ы</v>
          </cell>
          <cell r="AU1705">
            <v>0</v>
          </cell>
          <cell r="AV1705">
            <v>0</v>
          </cell>
          <cell r="AW1705">
            <v>23</v>
          </cell>
          <cell r="AX1705">
            <v>1</v>
          </cell>
          <cell r="AY1705">
            <v>0</v>
          </cell>
          <cell r="AZ1705">
            <v>0</v>
          </cell>
          <cell r="BA1705">
            <v>0</v>
          </cell>
          <cell r="BB1705">
            <v>0</v>
          </cell>
          <cell r="BC1705">
            <v>38828</v>
          </cell>
        </row>
        <row r="1706">
          <cell r="A1706">
            <v>2006</v>
          </cell>
          <cell r="B1706">
            <v>2</v>
          </cell>
          <cell r="C1706">
            <v>242</v>
          </cell>
          <cell r="D1706">
            <v>21</v>
          </cell>
          <cell r="E1706">
            <v>792020</v>
          </cell>
          <cell r="F1706">
            <v>0</v>
          </cell>
          <cell r="G1706" t="str">
            <v>Затраты по ШПЗ (основные)</v>
          </cell>
          <cell r="H1706">
            <v>2011</v>
          </cell>
          <cell r="I1706">
            <v>7920</v>
          </cell>
          <cell r="J1706">
            <v>2845.9</v>
          </cell>
          <cell r="K1706">
            <v>1</v>
          </cell>
          <cell r="L1706">
            <v>0</v>
          </cell>
          <cell r="M1706">
            <v>0</v>
          </cell>
          <cell r="N1706">
            <v>0</v>
          </cell>
          <cell r="R1706">
            <v>0</v>
          </cell>
          <cell r="S1706">
            <v>0</v>
          </cell>
          <cell r="T1706">
            <v>0</v>
          </cell>
          <cell r="U1706">
            <v>34</v>
          </cell>
          <cell r="V1706">
            <v>0</v>
          </cell>
          <cell r="W1706">
            <v>0</v>
          </cell>
          <cell r="AA1706">
            <v>0</v>
          </cell>
          <cell r="AB1706">
            <v>0</v>
          </cell>
          <cell r="AC1706">
            <v>0</v>
          </cell>
          <cell r="AD1706">
            <v>34</v>
          </cell>
          <cell r="AE1706">
            <v>280400</v>
          </cell>
          <cell r="AF1706">
            <v>0</v>
          </cell>
          <cell r="AI1706">
            <v>2251</v>
          </cell>
          <cell r="AK1706">
            <v>0</v>
          </cell>
          <cell r="AM1706">
            <v>371</v>
          </cell>
          <cell r="AN1706">
            <v>1</v>
          </cell>
          <cell r="AO1706">
            <v>393216</v>
          </cell>
          <cell r="AQ1706">
            <v>0</v>
          </cell>
          <cell r="AR1706">
            <v>0</v>
          </cell>
          <cell r="AS1706" t="str">
            <v>Ы</v>
          </cell>
          <cell r="AT1706" t="str">
            <v>Ы</v>
          </cell>
          <cell r="AU1706">
            <v>0</v>
          </cell>
          <cell r="AV1706">
            <v>0</v>
          </cell>
          <cell r="AW1706">
            <v>23</v>
          </cell>
          <cell r="AX1706">
            <v>1</v>
          </cell>
          <cell r="AY1706">
            <v>0</v>
          </cell>
          <cell r="AZ1706">
            <v>0</v>
          </cell>
          <cell r="BA1706">
            <v>0</v>
          </cell>
          <cell r="BB1706">
            <v>0</v>
          </cell>
          <cell r="BC1706">
            <v>38828</v>
          </cell>
        </row>
        <row r="1707">
          <cell r="A1707">
            <v>2006</v>
          </cell>
          <cell r="B1707">
            <v>2</v>
          </cell>
          <cell r="C1707">
            <v>243</v>
          </cell>
          <cell r="D1707">
            <v>21</v>
          </cell>
          <cell r="E1707">
            <v>792020</v>
          </cell>
          <cell r="F1707">
            <v>0</v>
          </cell>
          <cell r="G1707" t="str">
            <v>Затраты по ШПЗ (основные)</v>
          </cell>
          <cell r="H1707">
            <v>2011</v>
          </cell>
          <cell r="I1707">
            <v>7920</v>
          </cell>
          <cell r="J1707">
            <v>1383.39</v>
          </cell>
          <cell r="K1707">
            <v>1</v>
          </cell>
          <cell r="L1707">
            <v>0</v>
          </cell>
          <cell r="M1707">
            <v>0</v>
          </cell>
          <cell r="N1707">
            <v>0</v>
          </cell>
          <cell r="R1707">
            <v>0</v>
          </cell>
          <cell r="S1707">
            <v>0</v>
          </cell>
          <cell r="T1707">
            <v>0</v>
          </cell>
          <cell r="U1707">
            <v>34</v>
          </cell>
          <cell r="V1707">
            <v>0</v>
          </cell>
          <cell r="W1707">
            <v>0</v>
          </cell>
          <cell r="AA1707">
            <v>0</v>
          </cell>
          <cell r="AB1707">
            <v>0</v>
          </cell>
          <cell r="AC1707">
            <v>0</v>
          </cell>
          <cell r="AD1707">
            <v>34</v>
          </cell>
          <cell r="AE1707">
            <v>281100</v>
          </cell>
          <cell r="AF1707">
            <v>0</v>
          </cell>
          <cell r="AI1707">
            <v>2251</v>
          </cell>
          <cell r="AK1707">
            <v>0</v>
          </cell>
          <cell r="AM1707">
            <v>372</v>
          </cell>
          <cell r="AN1707">
            <v>1</v>
          </cell>
          <cell r="AO1707">
            <v>393216</v>
          </cell>
          <cell r="AQ1707">
            <v>0</v>
          </cell>
          <cell r="AR1707">
            <v>0</v>
          </cell>
          <cell r="AS1707" t="str">
            <v>Ы</v>
          </cell>
          <cell r="AT1707" t="str">
            <v>Ы</v>
          </cell>
          <cell r="AU1707">
            <v>0</v>
          </cell>
          <cell r="AV1707">
            <v>0</v>
          </cell>
          <cell r="AW1707">
            <v>23</v>
          </cell>
          <cell r="AX1707">
            <v>1</v>
          </cell>
          <cell r="AY1707">
            <v>0</v>
          </cell>
          <cell r="AZ1707">
            <v>0</v>
          </cell>
          <cell r="BA1707">
            <v>0</v>
          </cell>
          <cell r="BB1707">
            <v>0</v>
          </cell>
          <cell r="BC1707">
            <v>38828</v>
          </cell>
        </row>
        <row r="1708">
          <cell r="A1708">
            <v>2006</v>
          </cell>
          <cell r="B1708">
            <v>2</v>
          </cell>
          <cell r="C1708">
            <v>244</v>
          </cell>
          <cell r="D1708">
            <v>21</v>
          </cell>
          <cell r="E1708">
            <v>792020</v>
          </cell>
          <cell r="F1708">
            <v>0</v>
          </cell>
          <cell r="G1708" t="str">
            <v>Затраты по ШПЗ (основные)</v>
          </cell>
          <cell r="H1708">
            <v>2011</v>
          </cell>
          <cell r="I1708">
            <v>7920</v>
          </cell>
          <cell r="J1708">
            <v>35295.11</v>
          </cell>
          <cell r="K1708">
            <v>1</v>
          </cell>
          <cell r="L1708">
            <v>0</v>
          </cell>
          <cell r="M1708">
            <v>0</v>
          </cell>
          <cell r="N1708">
            <v>0</v>
          </cell>
          <cell r="R1708">
            <v>0</v>
          </cell>
          <cell r="S1708">
            <v>0</v>
          </cell>
          <cell r="T1708">
            <v>0</v>
          </cell>
          <cell r="U1708">
            <v>34</v>
          </cell>
          <cell r="V1708">
            <v>0</v>
          </cell>
          <cell r="W1708">
            <v>0</v>
          </cell>
          <cell r="AA1708">
            <v>0</v>
          </cell>
          <cell r="AB1708">
            <v>0</v>
          </cell>
          <cell r="AC1708">
            <v>0</v>
          </cell>
          <cell r="AD1708">
            <v>34</v>
          </cell>
          <cell r="AE1708">
            <v>282200</v>
          </cell>
          <cell r="AF1708">
            <v>0</v>
          </cell>
          <cell r="AI1708">
            <v>2251</v>
          </cell>
          <cell r="AK1708">
            <v>0</v>
          </cell>
          <cell r="AM1708">
            <v>373</v>
          </cell>
          <cell r="AN1708">
            <v>1</v>
          </cell>
          <cell r="AO1708">
            <v>393216</v>
          </cell>
          <cell r="AQ1708">
            <v>0</v>
          </cell>
          <cell r="AR1708">
            <v>0</v>
          </cell>
          <cell r="AS1708" t="str">
            <v>Ы</v>
          </cell>
          <cell r="AT1708" t="str">
            <v>Ы</v>
          </cell>
          <cell r="AU1708">
            <v>0</v>
          </cell>
          <cell r="AV1708">
            <v>0</v>
          </cell>
          <cell r="AW1708">
            <v>23</v>
          </cell>
          <cell r="AX1708">
            <v>1</v>
          </cell>
          <cell r="AY1708">
            <v>0</v>
          </cell>
          <cell r="AZ1708">
            <v>0</v>
          </cell>
          <cell r="BA1708">
            <v>0</v>
          </cell>
          <cell r="BB1708">
            <v>0</v>
          </cell>
          <cell r="BC1708">
            <v>38828</v>
          </cell>
        </row>
        <row r="1709">
          <cell r="A1709">
            <v>2006</v>
          </cell>
          <cell r="B1709">
            <v>2</v>
          </cell>
          <cell r="C1709">
            <v>245</v>
          </cell>
          <cell r="D1709">
            <v>21</v>
          </cell>
          <cell r="E1709">
            <v>792020</v>
          </cell>
          <cell r="F1709">
            <v>0</v>
          </cell>
          <cell r="G1709" t="str">
            <v>Затраты по ШПЗ (основные)</v>
          </cell>
          <cell r="H1709">
            <v>2011</v>
          </cell>
          <cell r="I1709">
            <v>7920</v>
          </cell>
          <cell r="J1709">
            <v>74569.2</v>
          </cell>
          <cell r="K1709">
            <v>1</v>
          </cell>
          <cell r="L1709">
            <v>0</v>
          </cell>
          <cell r="M1709">
            <v>0</v>
          </cell>
          <cell r="N1709">
            <v>0</v>
          </cell>
          <cell r="R1709">
            <v>0</v>
          </cell>
          <cell r="S1709">
            <v>0</v>
          </cell>
          <cell r="T1709">
            <v>0</v>
          </cell>
          <cell r="U1709">
            <v>34</v>
          </cell>
          <cell r="V1709">
            <v>0</v>
          </cell>
          <cell r="W1709">
            <v>0</v>
          </cell>
          <cell r="AA1709">
            <v>0</v>
          </cell>
          <cell r="AB1709">
            <v>0</v>
          </cell>
          <cell r="AC1709">
            <v>0</v>
          </cell>
          <cell r="AD1709">
            <v>34</v>
          </cell>
          <cell r="AE1709">
            <v>285000</v>
          </cell>
          <cell r="AF1709">
            <v>0</v>
          </cell>
          <cell r="AI1709">
            <v>2251</v>
          </cell>
          <cell r="AK1709">
            <v>0</v>
          </cell>
          <cell r="AM1709">
            <v>374</v>
          </cell>
          <cell r="AN1709">
            <v>1</v>
          </cell>
          <cell r="AO1709">
            <v>393216</v>
          </cell>
          <cell r="AQ1709">
            <v>0</v>
          </cell>
          <cell r="AR1709">
            <v>0</v>
          </cell>
          <cell r="AS1709" t="str">
            <v>Ы</v>
          </cell>
          <cell r="AT1709" t="str">
            <v>Ы</v>
          </cell>
          <cell r="AU1709">
            <v>0</v>
          </cell>
          <cell r="AV1709">
            <v>0</v>
          </cell>
          <cell r="AW1709">
            <v>23</v>
          </cell>
          <cell r="AX1709">
            <v>1</v>
          </cell>
          <cell r="AY1709">
            <v>0</v>
          </cell>
          <cell r="AZ1709">
            <v>0</v>
          </cell>
          <cell r="BA1709">
            <v>0</v>
          </cell>
          <cell r="BB1709">
            <v>0</v>
          </cell>
          <cell r="BC1709">
            <v>38828</v>
          </cell>
        </row>
        <row r="1710">
          <cell r="A1710">
            <v>2006</v>
          </cell>
          <cell r="B1710">
            <v>2</v>
          </cell>
          <cell r="C1710">
            <v>246</v>
          </cell>
          <cell r="D1710">
            <v>21</v>
          </cell>
          <cell r="E1710">
            <v>792020</v>
          </cell>
          <cell r="F1710">
            <v>0</v>
          </cell>
          <cell r="G1710" t="str">
            <v>Затраты по ШПЗ (основные)</v>
          </cell>
          <cell r="H1710">
            <v>2011</v>
          </cell>
          <cell r="I1710">
            <v>7920</v>
          </cell>
          <cell r="J1710">
            <v>52056.57</v>
          </cell>
          <cell r="K1710">
            <v>1</v>
          </cell>
          <cell r="L1710">
            <v>0</v>
          </cell>
          <cell r="M1710">
            <v>0</v>
          </cell>
          <cell r="N1710">
            <v>0</v>
          </cell>
          <cell r="R1710">
            <v>0</v>
          </cell>
          <cell r="S1710">
            <v>0</v>
          </cell>
          <cell r="T1710">
            <v>0</v>
          </cell>
          <cell r="U1710">
            <v>34</v>
          </cell>
          <cell r="V1710">
            <v>0</v>
          </cell>
          <cell r="W1710">
            <v>0</v>
          </cell>
          <cell r="AA1710">
            <v>0</v>
          </cell>
          <cell r="AB1710">
            <v>0</v>
          </cell>
          <cell r="AC1710">
            <v>0</v>
          </cell>
          <cell r="AD1710">
            <v>34</v>
          </cell>
          <cell r="AE1710">
            <v>311000</v>
          </cell>
          <cell r="AF1710">
            <v>0</v>
          </cell>
          <cell r="AI1710">
            <v>2251</v>
          </cell>
          <cell r="AK1710">
            <v>0</v>
          </cell>
          <cell r="AM1710">
            <v>375</v>
          </cell>
          <cell r="AN1710">
            <v>1</v>
          </cell>
          <cell r="AO1710">
            <v>393216</v>
          </cell>
          <cell r="AQ1710">
            <v>0</v>
          </cell>
          <cell r="AR1710">
            <v>0</v>
          </cell>
          <cell r="AS1710" t="str">
            <v>Ы</v>
          </cell>
          <cell r="AT1710" t="str">
            <v>Ы</v>
          </cell>
          <cell r="AU1710">
            <v>0</v>
          </cell>
          <cell r="AV1710">
            <v>0</v>
          </cell>
          <cell r="AW1710">
            <v>23</v>
          </cell>
          <cell r="AX1710">
            <v>1</v>
          </cell>
          <cell r="AY1710">
            <v>0</v>
          </cell>
          <cell r="AZ1710">
            <v>0</v>
          </cell>
          <cell r="BA1710">
            <v>0</v>
          </cell>
          <cell r="BB1710">
            <v>0</v>
          </cell>
          <cell r="BC1710">
            <v>38828</v>
          </cell>
        </row>
        <row r="1711">
          <cell r="A1711">
            <v>2006</v>
          </cell>
          <cell r="B1711">
            <v>2</v>
          </cell>
          <cell r="C1711">
            <v>247</v>
          </cell>
          <cell r="D1711">
            <v>21</v>
          </cell>
          <cell r="E1711">
            <v>792020</v>
          </cell>
          <cell r="F1711">
            <v>0</v>
          </cell>
          <cell r="G1711" t="str">
            <v>Затраты по ШПЗ (основные)</v>
          </cell>
          <cell r="H1711">
            <v>2011</v>
          </cell>
          <cell r="I1711">
            <v>7920</v>
          </cell>
          <cell r="J1711">
            <v>107703.23</v>
          </cell>
          <cell r="K1711">
            <v>1</v>
          </cell>
          <cell r="L1711">
            <v>0</v>
          </cell>
          <cell r="M1711">
            <v>0</v>
          </cell>
          <cell r="N1711">
            <v>0</v>
          </cell>
          <cell r="R1711">
            <v>0</v>
          </cell>
          <cell r="S1711">
            <v>0</v>
          </cell>
          <cell r="T1711">
            <v>0</v>
          </cell>
          <cell r="U1711">
            <v>34</v>
          </cell>
          <cell r="V1711">
            <v>0</v>
          </cell>
          <cell r="W1711">
            <v>0</v>
          </cell>
          <cell r="AA1711">
            <v>0</v>
          </cell>
          <cell r="AB1711">
            <v>0</v>
          </cell>
          <cell r="AC1711">
            <v>0</v>
          </cell>
          <cell r="AD1711">
            <v>34</v>
          </cell>
          <cell r="AE1711">
            <v>312000</v>
          </cell>
          <cell r="AF1711">
            <v>0</v>
          </cell>
          <cell r="AI1711">
            <v>2251</v>
          </cell>
          <cell r="AK1711">
            <v>0</v>
          </cell>
          <cell r="AM1711">
            <v>376</v>
          </cell>
          <cell r="AN1711">
            <v>1</v>
          </cell>
          <cell r="AO1711">
            <v>393216</v>
          </cell>
          <cell r="AQ1711">
            <v>0</v>
          </cell>
          <cell r="AR1711">
            <v>0</v>
          </cell>
          <cell r="AS1711" t="str">
            <v>Ы</v>
          </cell>
          <cell r="AT1711" t="str">
            <v>Ы</v>
          </cell>
          <cell r="AU1711">
            <v>0</v>
          </cell>
          <cell r="AV1711">
            <v>0</v>
          </cell>
          <cell r="AW1711">
            <v>23</v>
          </cell>
          <cell r="AX1711">
            <v>1</v>
          </cell>
          <cell r="AY1711">
            <v>0</v>
          </cell>
          <cell r="AZ1711">
            <v>0</v>
          </cell>
          <cell r="BA1711">
            <v>0</v>
          </cell>
          <cell r="BB1711">
            <v>0</v>
          </cell>
          <cell r="BC1711">
            <v>38828</v>
          </cell>
        </row>
        <row r="1712">
          <cell r="A1712">
            <v>2006</v>
          </cell>
          <cell r="B1712">
            <v>2</v>
          </cell>
          <cell r="C1712">
            <v>248</v>
          </cell>
          <cell r="D1712">
            <v>21</v>
          </cell>
          <cell r="E1712">
            <v>792020</v>
          </cell>
          <cell r="F1712">
            <v>0</v>
          </cell>
          <cell r="G1712" t="str">
            <v>Затраты по ШПЗ (основные)</v>
          </cell>
          <cell r="H1712">
            <v>2011</v>
          </cell>
          <cell r="I1712">
            <v>7920</v>
          </cell>
          <cell r="J1712">
            <v>21899.66</v>
          </cell>
          <cell r="K1712">
            <v>1</v>
          </cell>
          <cell r="L1712">
            <v>0</v>
          </cell>
          <cell r="M1712">
            <v>0</v>
          </cell>
          <cell r="N1712">
            <v>0</v>
          </cell>
          <cell r="R1712">
            <v>0</v>
          </cell>
          <cell r="S1712">
            <v>0</v>
          </cell>
          <cell r="T1712">
            <v>0</v>
          </cell>
          <cell r="U1712">
            <v>34</v>
          </cell>
          <cell r="V1712">
            <v>0</v>
          </cell>
          <cell r="W1712">
            <v>0</v>
          </cell>
          <cell r="AA1712">
            <v>0</v>
          </cell>
          <cell r="AB1712">
            <v>0</v>
          </cell>
          <cell r="AC1712">
            <v>0</v>
          </cell>
          <cell r="AD1712">
            <v>34</v>
          </cell>
          <cell r="AE1712">
            <v>312100</v>
          </cell>
          <cell r="AF1712">
            <v>0</v>
          </cell>
          <cell r="AI1712">
            <v>2251</v>
          </cell>
          <cell r="AK1712">
            <v>0</v>
          </cell>
          <cell r="AM1712">
            <v>377</v>
          </cell>
          <cell r="AN1712">
            <v>1</v>
          </cell>
          <cell r="AO1712">
            <v>393216</v>
          </cell>
          <cell r="AQ1712">
            <v>0</v>
          </cell>
          <cell r="AR1712">
            <v>0</v>
          </cell>
          <cell r="AS1712" t="str">
            <v>Ы</v>
          </cell>
          <cell r="AT1712" t="str">
            <v>Ы</v>
          </cell>
          <cell r="AU1712">
            <v>0</v>
          </cell>
          <cell r="AV1712">
            <v>0</v>
          </cell>
          <cell r="AW1712">
            <v>23</v>
          </cell>
          <cell r="AX1712">
            <v>1</v>
          </cell>
          <cell r="AY1712">
            <v>0</v>
          </cell>
          <cell r="AZ1712">
            <v>0</v>
          </cell>
          <cell r="BA1712">
            <v>0</v>
          </cell>
          <cell r="BB1712">
            <v>0</v>
          </cell>
          <cell r="BC1712">
            <v>38828</v>
          </cell>
        </row>
        <row r="1713">
          <cell r="A1713">
            <v>2006</v>
          </cell>
          <cell r="B1713">
            <v>2</v>
          </cell>
          <cell r="C1713">
            <v>249</v>
          </cell>
          <cell r="D1713">
            <v>21</v>
          </cell>
          <cell r="E1713">
            <v>792020</v>
          </cell>
          <cell r="F1713">
            <v>0</v>
          </cell>
          <cell r="G1713" t="str">
            <v>Затраты по ШПЗ (основные)</v>
          </cell>
          <cell r="H1713">
            <v>2011</v>
          </cell>
          <cell r="I1713">
            <v>7920</v>
          </cell>
          <cell r="J1713">
            <v>229407.89</v>
          </cell>
          <cell r="K1713">
            <v>1</v>
          </cell>
          <cell r="L1713">
            <v>0</v>
          </cell>
          <cell r="M1713">
            <v>0</v>
          </cell>
          <cell r="N1713">
            <v>0</v>
          </cell>
          <cell r="R1713">
            <v>0</v>
          </cell>
          <cell r="S1713">
            <v>0</v>
          </cell>
          <cell r="T1713">
            <v>0</v>
          </cell>
          <cell r="U1713">
            <v>34</v>
          </cell>
          <cell r="V1713">
            <v>0</v>
          </cell>
          <cell r="W1713">
            <v>0</v>
          </cell>
          <cell r="AA1713">
            <v>0</v>
          </cell>
          <cell r="AB1713">
            <v>0</v>
          </cell>
          <cell r="AC1713">
            <v>0</v>
          </cell>
          <cell r="AD1713">
            <v>34</v>
          </cell>
          <cell r="AE1713">
            <v>312200</v>
          </cell>
          <cell r="AF1713">
            <v>0</v>
          </cell>
          <cell r="AI1713">
            <v>2251</v>
          </cell>
          <cell r="AK1713">
            <v>0</v>
          </cell>
          <cell r="AM1713">
            <v>378</v>
          </cell>
          <cell r="AN1713">
            <v>1</v>
          </cell>
          <cell r="AO1713">
            <v>393216</v>
          </cell>
          <cell r="AQ1713">
            <v>0</v>
          </cell>
          <cell r="AR1713">
            <v>0</v>
          </cell>
          <cell r="AS1713" t="str">
            <v>Ы</v>
          </cell>
          <cell r="AT1713" t="str">
            <v>Ы</v>
          </cell>
          <cell r="AU1713">
            <v>0</v>
          </cell>
          <cell r="AV1713">
            <v>0</v>
          </cell>
          <cell r="AW1713">
            <v>23</v>
          </cell>
          <cell r="AX1713">
            <v>1</v>
          </cell>
          <cell r="AY1713">
            <v>0</v>
          </cell>
          <cell r="AZ1713">
            <v>0</v>
          </cell>
          <cell r="BA1713">
            <v>0</v>
          </cell>
          <cell r="BB1713">
            <v>0</v>
          </cell>
          <cell r="BC1713">
            <v>38828</v>
          </cell>
        </row>
        <row r="1714">
          <cell r="A1714">
            <v>2006</v>
          </cell>
          <cell r="B1714">
            <v>2</v>
          </cell>
          <cell r="C1714">
            <v>250</v>
          </cell>
          <cell r="D1714">
            <v>21</v>
          </cell>
          <cell r="E1714">
            <v>792020</v>
          </cell>
          <cell r="F1714">
            <v>0</v>
          </cell>
          <cell r="G1714" t="str">
            <v>Затраты по ШПЗ (основные)</v>
          </cell>
          <cell r="H1714">
            <v>2011</v>
          </cell>
          <cell r="I1714">
            <v>7920</v>
          </cell>
          <cell r="J1714">
            <v>19745.59</v>
          </cell>
          <cell r="K1714">
            <v>1</v>
          </cell>
          <cell r="L1714">
            <v>0</v>
          </cell>
          <cell r="M1714">
            <v>0</v>
          </cell>
          <cell r="N1714">
            <v>0</v>
          </cell>
          <cell r="R1714">
            <v>0</v>
          </cell>
          <cell r="S1714">
            <v>0</v>
          </cell>
          <cell r="T1714">
            <v>0</v>
          </cell>
          <cell r="U1714">
            <v>34</v>
          </cell>
          <cell r="V1714">
            <v>0</v>
          </cell>
          <cell r="W1714">
            <v>0</v>
          </cell>
          <cell r="AA1714">
            <v>0</v>
          </cell>
          <cell r="AB1714">
            <v>0</v>
          </cell>
          <cell r="AC1714">
            <v>0</v>
          </cell>
          <cell r="AD1714">
            <v>34</v>
          </cell>
          <cell r="AE1714">
            <v>313000</v>
          </cell>
          <cell r="AF1714">
            <v>0</v>
          </cell>
          <cell r="AI1714">
            <v>2251</v>
          </cell>
          <cell r="AK1714">
            <v>0</v>
          </cell>
          <cell r="AM1714">
            <v>379</v>
          </cell>
          <cell r="AN1714">
            <v>1</v>
          </cell>
          <cell r="AO1714">
            <v>393216</v>
          </cell>
          <cell r="AQ1714">
            <v>0</v>
          </cell>
          <cell r="AR1714">
            <v>0</v>
          </cell>
          <cell r="AS1714" t="str">
            <v>Ы</v>
          </cell>
          <cell r="AT1714" t="str">
            <v>Ы</v>
          </cell>
          <cell r="AU1714">
            <v>0</v>
          </cell>
          <cell r="AV1714">
            <v>0</v>
          </cell>
          <cell r="AW1714">
            <v>23</v>
          </cell>
          <cell r="AX1714">
            <v>1</v>
          </cell>
          <cell r="AY1714">
            <v>0</v>
          </cell>
          <cell r="AZ1714">
            <v>0</v>
          </cell>
          <cell r="BA1714">
            <v>0</v>
          </cell>
          <cell r="BB1714">
            <v>0</v>
          </cell>
          <cell r="BC1714">
            <v>38828</v>
          </cell>
        </row>
        <row r="1715">
          <cell r="A1715">
            <v>2006</v>
          </cell>
          <cell r="B1715">
            <v>2</v>
          </cell>
          <cell r="C1715">
            <v>251</v>
          </cell>
          <cell r="D1715">
            <v>21</v>
          </cell>
          <cell r="E1715">
            <v>792020</v>
          </cell>
          <cell r="F1715">
            <v>0</v>
          </cell>
          <cell r="G1715" t="str">
            <v>Затраты по ШПЗ (основные)</v>
          </cell>
          <cell r="H1715">
            <v>2011</v>
          </cell>
          <cell r="I1715">
            <v>7920</v>
          </cell>
          <cell r="J1715">
            <v>35901.08</v>
          </cell>
          <cell r="K1715">
            <v>1</v>
          </cell>
          <cell r="L1715">
            <v>0</v>
          </cell>
          <cell r="M1715">
            <v>0</v>
          </cell>
          <cell r="N1715">
            <v>0</v>
          </cell>
          <cell r="R1715">
            <v>0</v>
          </cell>
          <cell r="S1715">
            <v>0</v>
          </cell>
          <cell r="T1715">
            <v>0</v>
          </cell>
          <cell r="U1715">
            <v>34</v>
          </cell>
          <cell r="V1715">
            <v>0</v>
          </cell>
          <cell r="W1715">
            <v>0</v>
          </cell>
          <cell r="AA1715">
            <v>0</v>
          </cell>
          <cell r="AB1715">
            <v>0</v>
          </cell>
          <cell r="AC1715">
            <v>0</v>
          </cell>
          <cell r="AD1715">
            <v>34</v>
          </cell>
          <cell r="AE1715">
            <v>314000</v>
          </cell>
          <cell r="AF1715">
            <v>0</v>
          </cell>
          <cell r="AI1715">
            <v>2251</v>
          </cell>
          <cell r="AK1715">
            <v>0</v>
          </cell>
          <cell r="AM1715">
            <v>380</v>
          </cell>
          <cell r="AN1715">
            <v>1</v>
          </cell>
          <cell r="AO1715">
            <v>393216</v>
          </cell>
          <cell r="AQ1715">
            <v>0</v>
          </cell>
          <cell r="AR1715">
            <v>0</v>
          </cell>
          <cell r="AS1715" t="str">
            <v>Ы</v>
          </cell>
          <cell r="AT1715" t="str">
            <v>Ы</v>
          </cell>
          <cell r="AU1715">
            <v>0</v>
          </cell>
          <cell r="AV1715">
            <v>0</v>
          </cell>
          <cell r="AW1715">
            <v>23</v>
          </cell>
          <cell r="AX1715">
            <v>1</v>
          </cell>
          <cell r="AY1715">
            <v>0</v>
          </cell>
          <cell r="AZ1715">
            <v>0</v>
          </cell>
          <cell r="BA1715">
            <v>0</v>
          </cell>
          <cell r="BB1715">
            <v>0</v>
          </cell>
          <cell r="BC1715">
            <v>38828</v>
          </cell>
        </row>
        <row r="1716">
          <cell r="A1716">
            <v>2006</v>
          </cell>
          <cell r="B1716">
            <v>2</v>
          </cell>
          <cell r="C1716">
            <v>252</v>
          </cell>
          <cell r="D1716">
            <v>21</v>
          </cell>
          <cell r="E1716">
            <v>792020</v>
          </cell>
          <cell r="F1716">
            <v>0</v>
          </cell>
          <cell r="G1716" t="str">
            <v>Затраты по ШПЗ (основные)</v>
          </cell>
          <cell r="H1716">
            <v>2011</v>
          </cell>
          <cell r="I1716">
            <v>7920</v>
          </cell>
          <cell r="J1716">
            <v>7180.23</v>
          </cell>
          <cell r="K1716">
            <v>1</v>
          </cell>
          <cell r="L1716">
            <v>0</v>
          </cell>
          <cell r="M1716">
            <v>0</v>
          </cell>
          <cell r="N1716">
            <v>0</v>
          </cell>
          <cell r="R1716">
            <v>0</v>
          </cell>
          <cell r="S1716">
            <v>0</v>
          </cell>
          <cell r="T1716">
            <v>0</v>
          </cell>
          <cell r="U1716">
            <v>34</v>
          </cell>
          <cell r="V1716">
            <v>0</v>
          </cell>
          <cell r="W1716">
            <v>0</v>
          </cell>
          <cell r="AA1716">
            <v>0</v>
          </cell>
          <cell r="AB1716">
            <v>0</v>
          </cell>
          <cell r="AC1716">
            <v>0</v>
          </cell>
          <cell r="AD1716">
            <v>34</v>
          </cell>
          <cell r="AE1716">
            <v>315000</v>
          </cell>
          <cell r="AF1716">
            <v>0</v>
          </cell>
          <cell r="AI1716">
            <v>2251</v>
          </cell>
          <cell r="AK1716">
            <v>0</v>
          </cell>
          <cell r="AM1716">
            <v>381</v>
          </cell>
          <cell r="AN1716">
            <v>1</v>
          </cell>
          <cell r="AO1716">
            <v>393216</v>
          </cell>
          <cell r="AQ1716">
            <v>0</v>
          </cell>
          <cell r="AR1716">
            <v>0</v>
          </cell>
          <cell r="AS1716" t="str">
            <v>Ы</v>
          </cell>
          <cell r="AT1716" t="str">
            <v>Ы</v>
          </cell>
          <cell r="AU1716">
            <v>0</v>
          </cell>
          <cell r="AV1716">
            <v>0</v>
          </cell>
          <cell r="AW1716">
            <v>23</v>
          </cell>
          <cell r="AX1716">
            <v>1</v>
          </cell>
          <cell r="AY1716">
            <v>0</v>
          </cell>
          <cell r="AZ1716">
            <v>0</v>
          </cell>
          <cell r="BA1716">
            <v>0</v>
          </cell>
          <cell r="BB1716">
            <v>0</v>
          </cell>
          <cell r="BC1716">
            <v>38828</v>
          </cell>
        </row>
        <row r="1717">
          <cell r="A1717">
            <v>2006</v>
          </cell>
          <cell r="B1717">
            <v>2</v>
          </cell>
          <cell r="C1717">
            <v>253</v>
          </cell>
          <cell r="D1717">
            <v>21</v>
          </cell>
          <cell r="E1717">
            <v>792020</v>
          </cell>
          <cell r="F1717">
            <v>0</v>
          </cell>
          <cell r="G1717" t="str">
            <v>Затраты по ШПЗ (основные)</v>
          </cell>
          <cell r="H1717">
            <v>2011</v>
          </cell>
          <cell r="I1717">
            <v>7920</v>
          </cell>
          <cell r="J1717">
            <v>628510</v>
          </cell>
          <cell r="K1717">
            <v>1</v>
          </cell>
          <cell r="L1717">
            <v>0</v>
          </cell>
          <cell r="M1717">
            <v>0</v>
          </cell>
          <cell r="N1717">
            <v>0</v>
          </cell>
          <cell r="R1717">
            <v>0</v>
          </cell>
          <cell r="S1717">
            <v>0</v>
          </cell>
          <cell r="T1717">
            <v>0</v>
          </cell>
          <cell r="U1717">
            <v>34</v>
          </cell>
          <cell r="V1717">
            <v>0</v>
          </cell>
          <cell r="W1717">
            <v>0</v>
          </cell>
          <cell r="AA1717">
            <v>0</v>
          </cell>
          <cell r="AB1717">
            <v>0</v>
          </cell>
          <cell r="AC1717">
            <v>0</v>
          </cell>
          <cell r="AD1717">
            <v>34</v>
          </cell>
          <cell r="AE1717">
            <v>410000</v>
          </cell>
          <cell r="AF1717">
            <v>0</v>
          </cell>
          <cell r="AI1717">
            <v>2251</v>
          </cell>
          <cell r="AK1717">
            <v>0</v>
          </cell>
          <cell r="AM1717">
            <v>382</v>
          </cell>
          <cell r="AN1717">
            <v>1</v>
          </cell>
          <cell r="AO1717">
            <v>393216</v>
          </cell>
          <cell r="AQ1717">
            <v>0</v>
          </cell>
          <cell r="AR1717">
            <v>0</v>
          </cell>
          <cell r="AS1717" t="str">
            <v>Ы</v>
          </cell>
          <cell r="AT1717" t="str">
            <v>Ы</v>
          </cell>
          <cell r="AU1717">
            <v>0</v>
          </cell>
          <cell r="AV1717">
            <v>0</v>
          </cell>
          <cell r="AW1717">
            <v>23</v>
          </cell>
          <cell r="AX1717">
            <v>1</v>
          </cell>
          <cell r="AY1717">
            <v>0</v>
          </cell>
          <cell r="AZ1717">
            <v>0</v>
          </cell>
          <cell r="BA1717">
            <v>0</v>
          </cell>
          <cell r="BB1717">
            <v>0</v>
          </cell>
          <cell r="BC1717">
            <v>38828</v>
          </cell>
        </row>
        <row r="1718">
          <cell r="A1718">
            <v>2006</v>
          </cell>
          <cell r="B1718">
            <v>2</v>
          </cell>
          <cell r="C1718">
            <v>254</v>
          </cell>
          <cell r="D1718">
            <v>21</v>
          </cell>
          <cell r="E1718">
            <v>792020</v>
          </cell>
          <cell r="F1718">
            <v>0</v>
          </cell>
          <cell r="G1718" t="str">
            <v>Затраты по ШПЗ (основные)</v>
          </cell>
          <cell r="H1718">
            <v>2011</v>
          </cell>
          <cell r="I1718">
            <v>7920</v>
          </cell>
          <cell r="J1718">
            <v>58042</v>
          </cell>
          <cell r="K1718">
            <v>1</v>
          </cell>
          <cell r="L1718">
            <v>0</v>
          </cell>
          <cell r="M1718">
            <v>0</v>
          </cell>
          <cell r="N1718">
            <v>0</v>
          </cell>
          <cell r="R1718">
            <v>0</v>
          </cell>
          <cell r="S1718">
            <v>0</v>
          </cell>
          <cell r="T1718">
            <v>0</v>
          </cell>
          <cell r="U1718">
            <v>34</v>
          </cell>
          <cell r="V1718">
            <v>0</v>
          </cell>
          <cell r="W1718">
            <v>0</v>
          </cell>
          <cell r="AA1718">
            <v>0</v>
          </cell>
          <cell r="AB1718">
            <v>0</v>
          </cell>
          <cell r="AC1718">
            <v>0</v>
          </cell>
          <cell r="AD1718">
            <v>34</v>
          </cell>
          <cell r="AE1718">
            <v>420000</v>
          </cell>
          <cell r="AF1718">
            <v>0</v>
          </cell>
          <cell r="AI1718">
            <v>2251</v>
          </cell>
          <cell r="AK1718">
            <v>0</v>
          </cell>
          <cell r="AM1718">
            <v>383</v>
          </cell>
          <cell r="AN1718">
            <v>1</v>
          </cell>
          <cell r="AO1718">
            <v>393216</v>
          </cell>
          <cell r="AQ1718">
            <v>0</v>
          </cell>
          <cell r="AR1718">
            <v>0</v>
          </cell>
          <cell r="AS1718" t="str">
            <v>Ы</v>
          </cell>
          <cell r="AT1718" t="str">
            <v>Ы</v>
          </cell>
          <cell r="AU1718">
            <v>0</v>
          </cell>
          <cell r="AV1718">
            <v>0</v>
          </cell>
          <cell r="AW1718">
            <v>23</v>
          </cell>
          <cell r="AX1718">
            <v>1</v>
          </cell>
          <cell r="AY1718">
            <v>0</v>
          </cell>
          <cell r="AZ1718">
            <v>0</v>
          </cell>
          <cell r="BA1718">
            <v>0</v>
          </cell>
          <cell r="BB1718">
            <v>0</v>
          </cell>
          <cell r="BC1718">
            <v>38828</v>
          </cell>
        </row>
        <row r="1719">
          <cell r="A1719">
            <v>2006</v>
          </cell>
          <cell r="B1719">
            <v>2</v>
          </cell>
          <cell r="C1719">
            <v>255</v>
          </cell>
          <cell r="D1719">
            <v>21</v>
          </cell>
          <cell r="E1719">
            <v>792020</v>
          </cell>
          <cell r="F1719">
            <v>0</v>
          </cell>
          <cell r="G1719" t="str">
            <v>Затраты по ШПЗ (основные)</v>
          </cell>
          <cell r="H1719">
            <v>2011</v>
          </cell>
          <cell r="I1719">
            <v>7920</v>
          </cell>
          <cell r="J1719">
            <v>81551</v>
          </cell>
          <cell r="K1719">
            <v>1</v>
          </cell>
          <cell r="L1719">
            <v>0</v>
          </cell>
          <cell r="M1719">
            <v>0</v>
          </cell>
          <cell r="N1719">
            <v>0</v>
          </cell>
          <cell r="R1719">
            <v>0</v>
          </cell>
          <cell r="S1719">
            <v>0</v>
          </cell>
          <cell r="T1719">
            <v>0</v>
          </cell>
          <cell r="U1719">
            <v>34</v>
          </cell>
          <cell r="V1719">
            <v>0</v>
          </cell>
          <cell r="W1719">
            <v>0</v>
          </cell>
          <cell r="AA1719">
            <v>0</v>
          </cell>
          <cell r="AB1719">
            <v>0</v>
          </cell>
          <cell r="AC1719">
            <v>0</v>
          </cell>
          <cell r="AD1719">
            <v>34</v>
          </cell>
          <cell r="AE1719">
            <v>430000</v>
          </cell>
          <cell r="AF1719">
            <v>0</v>
          </cell>
          <cell r="AI1719">
            <v>2251</v>
          </cell>
          <cell r="AK1719">
            <v>0</v>
          </cell>
          <cell r="AM1719">
            <v>384</v>
          </cell>
          <cell r="AN1719">
            <v>1</v>
          </cell>
          <cell r="AO1719">
            <v>393216</v>
          </cell>
          <cell r="AQ1719">
            <v>0</v>
          </cell>
          <cell r="AR1719">
            <v>0</v>
          </cell>
          <cell r="AS1719" t="str">
            <v>Ы</v>
          </cell>
          <cell r="AT1719" t="str">
            <v>Ы</v>
          </cell>
          <cell r="AU1719">
            <v>0</v>
          </cell>
          <cell r="AV1719">
            <v>0</v>
          </cell>
          <cell r="AW1719">
            <v>23</v>
          </cell>
          <cell r="AX1719">
            <v>1</v>
          </cell>
          <cell r="AY1719">
            <v>0</v>
          </cell>
          <cell r="AZ1719">
            <v>0</v>
          </cell>
          <cell r="BA1719">
            <v>0</v>
          </cell>
          <cell r="BB1719">
            <v>0</v>
          </cell>
          <cell r="BC1719">
            <v>38828</v>
          </cell>
        </row>
        <row r="1720">
          <cell r="A1720">
            <v>2006</v>
          </cell>
          <cell r="B1720">
            <v>2</v>
          </cell>
          <cell r="C1720">
            <v>256</v>
          </cell>
          <cell r="D1720">
            <v>21</v>
          </cell>
          <cell r="E1720">
            <v>792020</v>
          </cell>
          <cell r="F1720">
            <v>0</v>
          </cell>
          <cell r="G1720" t="str">
            <v>Затраты по ШПЗ (основные)</v>
          </cell>
          <cell r="H1720">
            <v>2011</v>
          </cell>
          <cell r="I1720">
            <v>7920</v>
          </cell>
          <cell r="J1720">
            <v>2009290</v>
          </cell>
          <cell r="K1720">
            <v>1</v>
          </cell>
          <cell r="L1720">
            <v>0</v>
          </cell>
          <cell r="M1720">
            <v>0</v>
          </cell>
          <cell r="N1720">
            <v>0</v>
          </cell>
          <cell r="R1720">
            <v>0</v>
          </cell>
          <cell r="S1720">
            <v>0</v>
          </cell>
          <cell r="T1720">
            <v>0</v>
          </cell>
          <cell r="U1720">
            <v>34</v>
          </cell>
          <cell r="V1720">
            <v>0</v>
          </cell>
          <cell r="W1720">
            <v>0</v>
          </cell>
          <cell r="AA1720">
            <v>0</v>
          </cell>
          <cell r="AB1720">
            <v>0</v>
          </cell>
          <cell r="AC1720">
            <v>0</v>
          </cell>
          <cell r="AD1720">
            <v>34</v>
          </cell>
          <cell r="AE1720">
            <v>430110</v>
          </cell>
          <cell r="AF1720">
            <v>0</v>
          </cell>
          <cell r="AI1720">
            <v>2251</v>
          </cell>
          <cell r="AK1720">
            <v>0</v>
          </cell>
          <cell r="AM1720">
            <v>385</v>
          </cell>
          <cell r="AN1720">
            <v>1</v>
          </cell>
          <cell r="AO1720">
            <v>393216</v>
          </cell>
          <cell r="AQ1720">
            <v>0</v>
          </cell>
          <cell r="AR1720">
            <v>0</v>
          </cell>
          <cell r="AS1720" t="str">
            <v>Ы</v>
          </cell>
          <cell r="AT1720" t="str">
            <v>Ы</v>
          </cell>
          <cell r="AU1720">
            <v>0</v>
          </cell>
          <cell r="AV1720">
            <v>0</v>
          </cell>
          <cell r="AW1720">
            <v>23</v>
          </cell>
          <cell r="AX1720">
            <v>1</v>
          </cell>
          <cell r="AY1720">
            <v>0</v>
          </cell>
          <cell r="AZ1720">
            <v>0</v>
          </cell>
          <cell r="BA1720">
            <v>0</v>
          </cell>
          <cell r="BB1720">
            <v>0</v>
          </cell>
          <cell r="BC1720">
            <v>38828</v>
          </cell>
        </row>
        <row r="1721">
          <cell r="A1721">
            <v>2006</v>
          </cell>
          <cell r="B1721">
            <v>2</v>
          </cell>
          <cell r="C1721">
            <v>257</v>
          </cell>
          <cell r="D1721">
            <v>21</v>
          </cell>
          <cell r="E1721">
            <v>792020</v>
          </cell>
          <cell r="F1721">
            <v>0</v>
          </cell>
          <cell r="G1721" t="str">
            <v>Затраты по ШПЗ (основные)</v>
          </cell>
          <cell r="H1721">
            <v>2011</v>
          </cell>
          <cell r="I1721">
            <v>7920</v>
          </cell>
          <cell r="J1721">
            <v>56335</v>
          </cell>
          <cell r="K1721">
            <v>1</v>
          </cell>
          <cell r="L1721">
            <v>0</v>
          </cell>
          <cell r="M1721">
            <v>0</v>
          </cell>
          <cell r="N1721">
            <v>0</v>
          </cell>
          <cell r="R1721">
            <v>0</v>
          </cell>
          <cell r="S1721">
            <v>0</v>
          </cell>
          <cell r="T1721">
            <v>0</v>
          </cell>
          <cell r="U1721">
            <v>34</v>
          </cell>
          <cell r="V1721">
            <v>0</v>
          </cell>
          <cell r="W1721">
            <v>0</v>
          </cell>
          <cell r="AA1721">
            <v>0</v>
          </cell>
          <cell r="AB1721">
            <v>0</v>
          </cell>
          <cell r="AC1721">
            <v>0</v>
          </cell>
          <cell r="AD1721">
            <v>34</v>
          </cell>
          <cell r="AE1721">
            <v>450000</v>
          </cell>
          <cell r="AF1721">
            <v>0</v>
          </cell>
          <cell r="AI1721">
            <v>2251</v>
          </cell>
          <cell r="AK1721">
            <v>0</v>
          </cell>
          <cell r="AM1721">
            <v>386</v>
          </cell>
          <cell r="AN1721">
            <v>1</v>
          </cell>
          <cell r="AO1721">
            <v>393216</v>
          </cell>
          <cell r="AQ1721">
            <v>0</v>
          </cell>
          <cell r="AR1721">
            <v>0</v>
          </cell>
          <cell r="AS1721" t="str">
            <v>Ы</v>
          </cell>
          <cell r="AT1721" t="str">
            <v>Ы</v>
          </cell>
          <cell r="AU1721">
            <v>0</v>
          </cell>
          <cell r="AV1721">
            <v>0</v>
          </cell>
          <cell r="AW1721">
            <v>23</v>
          </cell>
          <cell r="AX1721">
            <v>1</v>
          </cell>
          <cell r="AY1721">
            <v>0</v>
          </cell>
          <cell r="AZ1721">
            <v>0</v>
          </cell>
          <cell r="BA1721">
            <v>0</v>
          </cell>
          <cell r="BB1721">
            <v>0</v>
          </cell>
          <cell r="BC1721">
            <v>38828</v>
          </cell>
        </row>
        <row r="1722">
          <cell r="A1722">
            <v>2006</v>
          </cell>
          <cell r="B1722">
            <v>2</v>
          </cell>
          <cell r="C1722">
            <v>258</v>
          </cell>
          <cell r="D1722">
            <v>21</v>
          </cell>
          <cell r="E1722">
            <v>792020</v>
          </cell>
          <cell r="F1722">
            <v>0</v>
          </cell>
          <cell r="G1722" t="str">
            <v>Затраты по ШПЗ (основные)</v>
          </cell>
          <cell r="H1722">
            <v>2011</v>
          </cell>
          <cell r="I1722">
            <v>7920</v>
          </cell>
          <cell r="J1722">
            <v>861</v>
          </cell>
          <cell r="K1722">
            <v>1</v>
          </cell>
          <cell r="L1722">
            <v>0</v>
          </cell>
          <cell r="M1722">
            <v>0</v>
          </cell>
          <cell r="N1722">
            <v>0</v>
          </cell>
          <cell r="R1722">
            <v>0</v>
          </cell>
          <cell r="S1722">
            <v>0</v>
          </cell>
          <cell r="T1722">
            <v>0</v>
          </cell>
          <cell r="U1722">
            <v>34</v>
          </cell>
          <cell r="V1722">
            <v>0</v>
          </cell>
          <cell r="W1722">
            <v>0</v>
          </cell>
          <cell r="AA1722">
            <v>0</v>
          </cell>
          <cell r="AB1722">
            <v>0</v>
          </cell>
          <cell r="AC1722">
            <v>0</v>
          </cell>
          <cell r="AD1722">
            <v>34</v>
          </cell>
          <cell r="AE1722">
            <v>460000</v>
          </cell>
          <cell r="AF1722">
            <v>0</v>
          </cell>
          <cell r="AI1722">
            <v>2251</v>
          </cell>
          <cell r="AK1722">
            <v>0</v>
          </cell>
          <cell r="AM1722">
            <v>387</v>
          </cell>
          <cell r="AN1722">
            <v>1</v>
          </cell>
          <cell r="AO1722">
            <v>393216</v>
          </cell>
          <cell r="AQ1722">
            <v>0</v>
          </cell>
          <cell r="AR1722">
            <v>0</v>
          </cell>
          <cell r="AS1722" t="str">
            <v>Ы</v>
          </cell>
          <cell r="AT1722" t="str">
            <v>Ы</v>
          </cell>
          <cell r="AU1722">
            <v>0</v>
          </cell>
          <cell r="AV1722">
            <v>0</v>
          </cell>
          <cell r="AW1722">
            <v>23</v>
          </cell>
          <cell r="AX1722">
            <v>1</v>
          </cell>
          <cell r="AY1722">
            <v>0</v>
          </cell>
          <cell r="AZ1722">
            <v>0</v>
          </cell>
          <cell r="BA1722">
            <v>0</v>
          </cell>
          <cell r="BB1722">
            <v>0</v>
          </cell>
          <cell r="BC1722">
            <v>38828</v>
          </cell>
        </row>
        <row r="1723">
          <cell r="A1723">
            <v>2006</v>
          </cell>
          <cell r="B1723">
            <v>2</v>
          </cell>
          <cell r="C1723">
            <v>259</v>
          </cell>
          <cell r="D1723">
            <v>21</v>
          </cell>
          <cell r="E1723">
            <v>792020</v>
          </cell>
          <cell r="F1723">
            <v>0</v>
          </cell>
          <cell r="G1723" t="str">
            <v>Затраты по ШПЗ (основные)</v>
          </cell>
          <cell r="H1723">
            <v>2011</v>
          </cell>
          <cell r="I1723">
            <v>7920</v>
          </cell>
          <cell r="J1723">
            <v>14000</v>
          </cell>
          <cell r="K1723">
            <v>1</v>
          </cell>
          <cell r="L1723">
            <v>0</v>
          </cell>
          <cell r="M1723">
            <v>0</v>
          </cell>
          <cell r="N1723">
            <v>0</v>
          </cell>
          <cell r="R1723">
            <v>0</v>
          </cell>
          <cell r="S1723">
            <v>0</v>
          </cell>
          <cell r="T1723">
            <v>0</v>
          </cell>
          <cell r="U1723">
            <v>34</v>
          </cell>
          <cell r="V1723">
            <v>0</v>
          </cell>
          <cell r="W1723">
            <v>0</v>
          </cell>
          <cell r="AA1723">
            <v>0</v>
          </cell>
          <cell r="AB1723">
            <v>0</v>
          </cell>
          <cell r="AC1723">
            <v>0</v>
          </cell>
          <cell r="AD1723">
            <v>34</v>
          </cell>
          <cell r="AE1723">
            <v>501105</v>
          </cell>
          <cell r="AF1723">
            <v>0</v>
          </cell>
          <cell r="AI1723">
            <v>2251</v>
          </cell>
          <cell r="AK1723">
            <v>0</v>
          </cell>
          <cell r="AM1723">
            <v>388</v>
          </cell>
          <cell r="AN1723">
            <v>1</v>
          </cell>
          <cell r="AO1723">
            <v>393216</v>
          </cell>
          <cell r="AQ1723">
            <v>0</v>
          </cell>
          <cell r="AR1723">
            <v>0</v>
          </cell>
          <cell r="AS1723" t="str">
            <v>Ы</v>
          </cell>
          <cell r="AT1723" t="str">
            <v>Ы</v>
          </cell>
          <cell r="AU1723">
            <v>0</v>
          </cell>
          <cell r="AV1723">
            <v>0</v>
          </cell>
          <cell r="AW1723">
            <v>23</v>
          </cell>
          <cell r="AX1723">
            <v>1</v>
          </cell>
          <cell r="AY1723">
            <v>0</v>
          </cell>
          <cell r="AZ1723">
            <v>0</v>
          </cell>
          <cell r="BA1723">
            <v>0</v>
          </cell>
          <cell r="BB1723">
            <v>0</v>
          </cell>
          <cell r="BC1723">
            <v>38828</v>
          </cell>
        </row>
        <row r="1724">
          <cell r="A1724">
            <v>2006</v>
          </cell>
          <cell r="B1724">
            <v>2</v>
          </cell>
          <cell r="C1724">
            <v>260</v>
          </cell>
          <cell r="D1724">
            <v>21</v>
          </cell>
          <cell r="E1724">
            <v>792020</v>
          </cell>
          <cell r="F1724">
            <v>0</v>
          </cell>
          <cell r="G1724" t="str">
            <v>Затраты по ШПЗ (основные)</v>
          </cell>
          <cell r="H1724">
            <v>2011</v>
          </cell>
          <cell r="I1724">
            <v>7920</v>
          </cell>
          <cell r="J1724">
            <v>7792.48</v>
          </cell>
          <cell r="K1724">
            <v>1</v>
          </cell>
          <cell r="L1724">
            <v>0</v>
          </cell>
          <cell r="M1724">
            <v>0</v>
          </cell>
          <cell r="N1724">
            <v>0</v>
          </cell>
          <cell r="R1724">
            <v>0</v>
          </cell>
          <cell r="S1724">
            <v>0</v>
          </cell>
          <cell r="T1724">
            <v>0</v>
          </cell>
          <cell r="U1724">
            <v>34</v>
          </cell>
          <cell r="V1724">
            <v>0</v>
          </cell>
          <cell r="W1724">
            <v>0</v>
          </cell>
          <cell r="AA1724">
            <v>0</v>
          </cell>
          <cell r="AB1724">
            <v>0</v>
          </cell>
          <cell r="AC1724">
            <v>0</v>
          </cell>
          <cell r="AD1724">
            <v>34</v>
          </cell>
          <cell r="AE1724">
            <v>503000</v>
          </cell>
          <cell r="AF1724">
            <v>0</v>
          </cell>
          <cell r="AI1724">
            <v>2251</v>
          </cell>
          <cell r="AK1724">
            <v>0</v>
          </cell>
          <cell r="AM1724">
            <v>389</v>
          </cell>
          <cell r="AN1724">
            <v>1</v>
          </cell>
          <cell r="AO1724">
            <v>393216</v>
          </cell>
          <cell r="AQ1724">
            <v>0</v>
          </cell>
          <cell r="AR1724">
            <v>0</v>
          </cell>
          <cell r="AS1724" t="str">
            <v>Ы</v>
          </cell>
          <cell r="AT1724" t="str">
            <v>Ы</v>
          </cell>
          <cell r="AU1724">
            <v>0</v>
          </cell>
          <cell r="AV1724">
            <v>0</v>
          </cell>
          <cell r="AW1724">
            <v>23</v>
          </cell>
          <cell r="AX1724">
            <v>1</v>
          </cell>
          <cell r="AY1724">
            <v>0</v>
          </cell>
          <cell r="AZ1724">
            <v>0</v>
          </cell>
          <cell r="BA1724">
            <v>0</v>
          </cell>
          <cell r="BB1724">
            <v>0</v>
          </cell>
          <cell r="BC1724">
            <v>38828</v>
          </cell>
        </row>
        <row r="1725">
          <cell r="A1725">
            <v>2006</v>
          </cell>
          <cell r="B1725">
            <v>2</v>
          </cell>
          <cell r="C1725">
            <v>261</v>
          </cell>
          <cell r="D1725">
            <v>21</v>
          </cell>
          <cell r="E1725">
            <v>792020</v>
          </cell>
          <cell r="F1725">
            <v>0</v>
          </cell>
          <cell r="G1725" t="str">
            <v>Затраты по ШПЗ (основные)</v>
          </cell>
          <cell r="H1725">
            <v>2011</v>
          </cell>
          <cell r="I1725">
            <v>7920</v>
          </cell>
          <cell r="J1725">
            <v>12100</v>
          </cell>
          <cell r="K1725">
            <v>1</v>
          </cell>
          <cell r="L1725">
            <v>0</v>
          </cell>
          <cell r="M1725">
            <v>0</v>
          </cell>
          <cell r="N1725">
            <v>0</v>
          </cell>
          <cell r="R1725">
            <v>0</v>
          </cell>
          <cell r="S1725">
            <v>0</v>
          </cell>
          <cell r="T1725">
            <v>0</v>
          </cell>
          <cell r="U1725">
            <v>34</v>
          </cell>
          <cell r="V1725">
            <v>0</v>
          </cell>
          <cell r="W1725">
            <v>0</v>
          </cell>
          <cell r="AA1725">
            <v>0</v>
          </cell>
          <cell r="AB1725">
            <v>0</v>
          </cell>
          <cell r="AC1725">
            <v>0</v>
          </cell>
          <cell r="AD1725">
            <v>34</v>
          </cell>
          <cell r="AE1725">
            <v>504100</v>
          </cell>
          <cell r="AF1725">
            <v>0</v>
          </cell>
          <cell r="AI1725">
            <v>2251</v>
          </cell>
          <cell r="AK1725">
            <v>0</v>
          </cell>
          <cell r="AM1725">
            <v>390</v>
          </cell>
          <cell r="AN1725">
            <v>1</v>
          </cell>
          <cell r="AO1725">
            <v>393216</v>
          </cell>
          <cell r="AQ1725">
            <v>0</v>
          </cell>
          <cell r="AR1725">
            <v>0</v>
          </cell>
          <cell r="AS1725" t="str">
            <v>Ы</v>
          </cell>
          <cell r="AT1725" t="str">
            <v>Ы</v>
          </cell>
          <cell r="AU1725">
            <v>0</v>
          </cell>
          <cell r="AV1725">
            <v>0</v>
          </cell>
          <cell r="AW1725">
            <v>23</v>
          </cell>
          <cell r="AX1725">
            <v>1</v>
          </cell>
          <cell r="AY1725">
            <v>0</v>
          </cell>
          <cell r="AZ1725">
            <v>0</v>
          </cell>
          <cell r="BA1725">
            <v>0</v>
          </cell>
          <cell r="BB1725">
            <v>0</v>
          </cell>
          <cell r="BC1725">
            <v>38828</v>
          </cell>
        </row>
        <row r="1726">
          <cell r="A1726">
            <v>2006</v>
          </cell>
          <cell r="B1726">
            <v>2</v>
          </cell>
          <cell r="C1726">
            <v>262</v>
          </cell>
          <cell r="D1726">
            <v>21</v>
          </cell>
          <cell r="E1726">
            <v>792020</v>
          </cell>
          <cell r="F1726">
            <v>0</v>
          </cell>
          <cell r="G1726" t="str">
            <v>Затраты по ШПЗ (основные)</v>
          </cell>
          <cell r="H1726">
            <v>2011</v>
          </cell>
          <cell r="I1726">
            <v>7920</v>
          </cell>
          <cell r="J1726">
            <v>641.37</v>
          </cell>
          <cell r="K1726">
            <v>1</v>
          </cell>
          <cell r="L1726">
            <v>0</v>
          </cell>
          <cell r="M1726">
            <v>0</v>
          </cell>
          <cell r="N1726">
            <v>0</v>
          </cell>
          <cell r="R1726">
            <v>0</v>
          </cell>
          <cell r="S1726">
            <v>0</v>
          </cell>
          <cell r="T1726">
            <v>0</v>
          </cell>
          <cell r="U1726">
            <v>34</v>
          </cell>
          <cell r="V1726">
            <v>0</v>
          </cell>
          <cell r="W1726">
            <v>0</v>
          </cell>
          <cell r="AA1726">
            <v>0</v>
          </cell>
          <cell r="AB1726">
            <v>0</v>
          </cell>
          <cell r="AC1726">
            <v>0</v>
          </cell>
          <cell r="AD1726">
            <v>34</v>
          </cell>
          <cell r="AE1726">
            <v>504400</v>
          </cell>
          <cell r="AF1726">
            <v>0</v>
          </cell>
          <cell r="AI1726">
            <v>2251</v>
          </cell>
          <cell r="AK1726">
            <v>0</v>
          </cell>
          <cell r="AM1726">
            <v>391</v>
          </cell>
          <cell r="AN1726">
            <v>1</v>
          </cell>
          <cell r="AO1726">
            <v>393216</v>
          </cell>
          <cell r="AQ1726">
            <v>0</v>
          </cell>
          <cell r="AR1726">
            <v>0</v>
          </cell>
          <cell r="AS1726" t="str">
            <v>Ы</v>
          </cell>
          <cell r="AT1726" t="str">
            <v>Ы</v>
          </cell>
          <cell r="AU1726">
            <v>0</v>
          </cell>
          <cell r="AV1726">
            <v>0</v>
          </cell>
          <cell r="AW1726">
            <v>23</v>
          </cell>
          <cell r="AX1726">
            <v>1</v>
          </cell>
          <cell r="AY1726">
            <v>0</v>
          </cell>
          <cell r="AZ1726">
            <v>0</v>
          </cell>
          <cell r="BA1726">
            <v>0</v>
          </cell>
          <cell r="BB1726">
            <v>0</v>
          </cell>
          <cell r="BC1726">
            <v>38828</v>
          </cell>
        </row>
        <row r="1727">
          <cell r="A1727">
            <v>2006</v>
          </cell>
          <cell r="B1727">
            <v>2</v>
          </cell>
          <cell r="C1727">
            <v>263</v>
          </cell>
          <cell r="D1727">
            <v>21</v>
          </cell>
          <cell r="E1727">
            <v>792020</v>
          </cell>
          <cell r="F1727">
            <v>0</v>
          </cell>
          <cell r="G1727" t="str">
            <v>Затраты по ШПЗ (основные)</v>
          </cell>
          <cell r="H1727">
            <v>2011</v>
          </cell>
          <cell r="I1727">
            <v>7920</v>
          </cell>
          <cell r="J1727">
            <v>37</v>
          </cell>
          <cell r="K1727">
            <v>1</v>
          </cell>
          <cell r="L1727">
            <v>0</v>
          </cell>
          <cell r="M1727">
            <v>0</v>
          </cell>
          <cell r="N1727">
            <v>0</v>
          </cell>
          <cell r="R1727">
            <v>0</v>
          </cell>
          <cell r="S1727">
            <v>0</v>
          </cell>
          <cell r="T1727">
            <v>0</v>
          </cell>
          <cell r="U1727">
            <v>34</v>
          </cell>
          <cell r="V1727">
            <v>0</v>
          </cell>
          <cell r="W1727">
            <v>0</v>
          </cell>
          <cell r="AA1727">
            <v>0</v>
          </cell>
          <cell r="AB1727">
            <v>0</v>
          </cell>
          <cell r="AC1727">
            <v>0</v>
          </cell>
          <cell r="AD1727">
            <v>34</v>
          </cell>
          <cell r="AE1727">
            <v>505100</v>
          </cell>
          <cell r="AF1727">
            <v>0</v>
          </cell>
          <cell r="AI1727">
            <v>2251</v>
          </cell>
          <cell r="AK1727">
            <v>0</v>
          </cell>
          <cell r="AM1727">
            <v>392</v>
          </cell>
          <cell r="AN1727">
            <v>1</v>
          </cell>
          <cell r="AO1727">
            <v>393216</v>
          </cell>
          <cell r="AQ1727">
            <v>0</v>
          </cell>
          <cell r="AR1727">
            <v>0</v>
          </cell>
          <cell r="AS1727" t="str">
            <v>Ы</v>
          </cell>
          <cell r="AT1727" t="str">
            <v>Ы</v>
          </cell>
          <cell r="AU1727">
            <v>0</v>
          </cell>
          <cell r="AV1727">
            <v>0</v>
          </cell>
          <cell r="AW1727">
            <v>23</v>
          </cell>
          <cell r="AX1727">
            <v>1</v>
          </cell>
          <cell r="AY1727">
            <v>0</v>
          </cell>
          <cell r="AZ1727">
            <v>0</v>
          </cell>
          <cell r="BA1727">
            <v>0</v>
          </cell>
          <cell r="BB1727">
            <v>0</v>
          </cell>
          <cell r="BC1727">
            <v>38828</v>
          </cell>
        </row>
        <row r="1728">
          <cell r="A1728">
            <v>2006</v>
          </cell>
          <cell r="B1728">
            <v>2</v>
          </cell>
          <cell r="C1728">
            <v>264</v>
          </cell>
          <cell r="D1728">
            <v>21</v>
          </cell>
          <cell r="E1728">
            <v>792020</v>
          </cell>
          <cell r="F1728">
            <v>0</v>
          </cell>
          <cell r="G1728" t="str">
            <v>Затраты по ШПЗ (основные)</v>
          </cell>
          <cell r="H1728">
            <v>2011</v>
          </cell>
          <cell r="I1728">
            <v>7920</v>
          </cell>
          <cell r="J1728">
            <v>86601.29</v>
          </cell>
          <cell r="K1728">
            <v>1</v>
          </cell>
          <cell r="L1728">
            <v>0</v>
          </cell>
          <cell r="M1728">
            <v>0</v>
          </cell>
          <cell r="N1728">
            <v>0</v>
          </cell>
          <cell r="R1728">
            <v>0</v>
          </cell>
          <cell r="S1728">
            <v>0</v>
          </cell>
          <cell r="T1728">
            <v>0</v>
          </cell>
          <cell r="U1728">
            <v>34</v>
          </cell>
          <cell r="V1728">
            <v>0</v>
          </cell>
          <cell r="W1728">
            <v>0</v>
          </cell>
          <cell r="AA1728">
            <v>0</v>
          </cell>
          <cell r="AB1728">
            <v>0</v>
          </cell>
          <cell r="AC1728">
            <v>0</v>
          </cell>
          <cell r="AD1728">
            <v>34</v>
          </cell>
          <cell r="AE1728">
            <v>505200</v>
          </cell>
          <cell r="AF1728">
            <v>0</v>
          </cell>
          <cell r="AI1728">
            <v>2251</v>
          </cell>
          <cell r="AK1728">
            <v>0</v>
          </cell>
          <cell r="AM1728">
            <v>393</v>
          </cell>
          <cell r="AN1728">
            <v>1</v>
          </cell>
          <cell r="AO1728">
            <v>393216</v>
          </cell>
          <cell r="AQ1728">
            <v>0</v>
          </cell>
          <cell r="AR1728">
            <v>0</v>
          </cell>
          <cell r="AS1728" t="str">
            <v>Ы</v>
          </cell>
          <cell r="AT1728" t="str">
            <v>Ы</v>
          </cell>
          <cell r="AU1728">
            <v>0</v>
          </cell>
          <cell r="AV1728">
            <v>0</v>
          </cell>
          <cell r="AW1728">
            <v>23</v>
          </cell>
          <cell r="AX1728">
            <v>1</v>
          </cell>
          <cell r="AY1728">
            <v>0</v>
          </cell>
          <cell r="AZ1728">
            <v>0</v>
          </cell>
          <cell r="BA1728">
            <v>0</v>
          </cell>
          <cell r="BB1728">
            <v>0</v>
          </cell>
          <cell r="BC1728">
            <v>38828</v>
          </cell>
        </row>
        <row r="1729">
          <cell r="A1729">
            <v>2006</v>
          </cell>
          <cell r="B1729">
            <v>2</v>
          </cell>
          <cell r="C1729">
            <v>265</v>
          </cell>
          <cell r="D1729">
            <v>21</v>
          </cell>
          <cell r="E1729">
            <v>792020</v>
          </cell>
          <cell r="F1729">
            <v>0</v>
          </cell>
          <cell r="G1729" t="str">
            <v>Затраты по ШПЗ (основные)</v>
          </cell>
          <cell r="H1729">
            <v>2011</v>
          </cell>
          <cell r="I1729">
            <v>7920</v>
          </cell>
          <cell r="J1729">
            <v>699.7</v>
          </cell>
          <cell r="K1729">
            <v>1</v>
          </cell>
          <cell r="L1729">
            <v>0</v>
          </cell>
          <cell r="M1729">
            <v>0</v>
          </cell>
          <cell r="N1729">
            <v>0</v>
          </cell>
          <cell r="R1729">
            <v>0</v>
          </cell>
          <cell r="S1729">
            <v>0</v>
          </cell>
          <cell r="T1729">
            <v>0</v>
          </cell>
          <cell r="U1729">
            <v>34</v>
          </cell>
          <cell r="V1729">
            <v>0</v>
          </cell>
          <cell r="W1729">
            <v>0</v>
          </cell>
          <cell r="AA1729">
            <v>0</v>
          </cell>
          <cell r="AB1729">
            <v>0</v>
          </cell>
          <cell r="AC1729">
            <v>0</v>
          </cell>
          <cell r="AD1729">
            <v>34</v>
          </cell>
          <cell r="AE1729">
            <v>505300</v>
          </cell>
          <cell r="AF1729">
            <v>0</v>
          </cell>
          <cell r="AI1729">
            <v>2251</v>
          </cell>
          <cell r="AK1729">
            <v>0</v>
          </cell>
          <cell r="AM1729">
            <v>394</v>
          </cell>
          <cell r="AN1729">
            <v>1</v>
          </cell>
          <cell r="AO1729">
            <v>393216</v>
          </cell>
          <cell r="AQ1729">
            <v>0</v>
          </cell>
          <cell r="AR1729">
            <v>0</v>
          </cell>
          <cell r="AS1729" t="str">
            <v>Ы</v>
          </cell>
          <cell r="AT1729" t="str">
            <v>Ы</v>
          </cell>
          <cell r="AU1729">
            <v>0</v>
          </cell>
          <cell r="AV1729">
            <v>0</v>
          </cell>
          <cell r="AW1729">
            <v>23</v>
          </cell>
          <cell r="AX1729">
            <v>1</v>
          </cell>
          <cell r="AY1729">
            <v>0</v>
          </cell>
          <cell r="AZ1729">
            <v>0</v>
          </cell>
          <cell r="BA1729">
            <v>0</v>
          </cell>
          <cell r="BB1729">
            <v>0</v>
          </cell>
          <cell r="BC1729">
            <v>38828</v>
          </cell>
        </row>
        <row r="1730">
          <cell r="A1730">
            <v>2006</v>
          </cell>
          <cell r="B1730">
            <v>2</v>
          </cell>
          <cell r="C1730">
            <v>266</v>
          </cell>
          <cell r="D1730">
            <v>21</v>
          </cell>
          <cell r="E1730">
            <v>792020</v>
          </cell>
          <cell r="F1730">
            <v>0</v>
          </cell>
          <cell r="G1730" t="str">
            <v>Затраты по ШПЗ (основные)</v>
          </cell>
          <cell r="H1730">
            <v>2011</v>
          </cell>
          <cell r="I1730">
            <v>7920</v>
          </cell>
          <cell r="J1730">
            <v>6480</v>
          </cell>
          <cell r="K1730">
            <v>1</v>
          </cell>
          <cell r="L1730">
            <v>0</v>
          </cell>
          <cell r="M1730">
            <v>0</v>
          </cell>
          <cell r="N1730">
            <v>0</v>
          </cell>
          <cell r="R1730">
            <v>0</v>
          </cell>
          <cell r="S1730">
            <v>0</v>
          </cell>
          <cell r="T1730">
            <v>0</v>
          </cell>
          <cell r="U1730">
            <v>34</v>
          </cell>
          <cell r="V1730">
            <v>0</v>
          </cell>
          <cell r="W1730">
            <v>0</v>
          </cell>
          <cell r="AA1730">
            <v>0</v>
          </cell>
          <cell r="AB1730">
            <v>0</v>
          </cell>
          <cell r="AC1730">
            <v>0</v>
          </cell>
          <cell r="AD1730">
            <v>34</v>
          </cell>
          <cell r="AE1730">
            <v>505400</v>
          </cell>
          <cell r="AF1730">
            <v>0</v>
          </cell>
          <cell r="AI1730">
            <v>2251</v>
          </cell>
          <cell r="AK1730">
            <v>0</v>
          </cell>
          <cell r="AM1730">
            <v>395</v>
          </cell>
          <cell r="AN1730">
            <v>1</v>
          </cell>
          <cell r="AO1730">
            <v>393216</v>
          </cell>
          <cell r="AQ1730">
            <v>0</v>
          </cell>
          <cell r="AR1730">
            <v>0</v>
          </cell>
          <cell r="AS1730" t="str">
            <v>Ы</v>
          </cell>
          <cell r="AT1730" t="str">
            <v>Ы</v>
          </cell>
          <cell r="AU1730">
            <v>0</v>
          </cell>
          <cell r="AV1730">
            <v>0</v>
          </cell>
          <cell r="AW1730">
            <v>23</v>
          </cell>
          <cell r="AX1730">
            <v>1</v>
          </cell>
          <cell r="AY1730">
            <v>0</v>
          </cell>
          <cell r="AZ1730">
            <v>0</v>
          </cell>
          <cell r="BA1730">
            <v>0</v>
          </cell>
          <cell r="BB1730">
            <v>0</v>
          </cell>
          <cell r="BC1730">
            <v>38828</v>
          </cell>
        </row>
        <row r="1731">
          <cell r="A1731">
            <v>2006</v>
          </cell>
          <cell r="B1731">
            <v>2</v>
          </cell>
          <cell r="C1731">
            <v>267</v>
          </cell>
          <cell r="D1731">
            <v>21</v>
          </cell>
          <cell r="E1731">
            <v>792020</v>
          </cell>
          <cell r="F1731">
            <v>0</v>
          </cell>
          <cell r="G1731" t="str">
            <v>Затраты по ШПЗ (основные)</v>
          </cell>
          <cell r="H1731">
            <v>2011</v>
          </cell>
          <cell r="I1731">
            <v>7920</v>
          </cell>
          <cell r="J1731">
            <v>242396.77</v>
          </cell>
          <cell r="K1731">
            <v>1</v>
          </cell>
          <cell r="L1731">
            <v>0</v>
          </cell>
          <cell r="M1731">
            <v>0</v>
          </cell>
          <cell r="N1731">
            <v>0</v>
          </cell>
          <cell r="R1731">
            <v>0</v>
          </cell>
          <cell r="S1731">
            <v>0</v>
          </cell>
          <cell r="T1731">
            <v>0</v>
          </cell>
          <cell r="U1731">
            <v>34</v>
          </cell>
          <cell r="V1731">
            <v>0</v>
          </cell>
          <cell r="W1731">
            <v>0</v>
          </cell>
          <cell r="AA1731">
            <v>0</v>
          </cell>
          <cell r="AB1731">
            <v>0</v>
          </cell>
          <cell r="AC1731">
            <v>0</v>
          </cell>
          <cell r="AD1731">
            <v>34</v>
          </cell>
          <cell r="AE1731">
            <v>510100</v>
          </cell>
          <cell r="AF1731">
            <v>0</v>
          </cell>
          <cell r="AI1731">
            <v>2251</v>
          </cell>
          <cell r="AK1731">
            <v>0</v>
          </cell>
          <cell r="AM1731">
            <v>396</v>
          </cell>
          <cell r="AN1731">
            <v>1</v>
          </cell>
          <cell r="AO1731">
            <v>393216</v>
          </cell>
          <cell r="AQ1731">
            <v>0</v>
          </cell>
          <cell r="AR1731">
            <v>0</v>
          </cell>
          <cell r="AS1731" t="str">
            <v>Ы</v>
          </cell>
          <cell r="AT1731" t="str">
            <v>Ы</v>
          </cell>
          <cell r="AU1731">
            <v>0</v>
          </cell>
          <cell r="AV1731">
            <v>0</v>
          </cell>
          <cell r="AW1731">
            <v>23</v>
          </cell>
          <cell r="AX1731">
            <v>1</v>
          </cell>
          <cell r="AY1731">
            <v>0</v>
          </cell>
          <cell r="AZ1731">
            <v>0</v>
          </cell>
          <cell r="BA1731">
            <v>0</v>
          </cell>
          <cell r="BB1731">
            <v>0</v>
          </cell>
          <cell r="BC1731">
            <v>38828</v>
          </cell>
        </row>
        <row r="1732">
          <cell r="A1732">
            <v>2006</v>
          </cell>
          <cell r="B1732">
            <v>2</v>
          </cell>
          <cell r="C1732">
            <v>268</v>
          </cell>
          <cell r="D1732">
            <v>21</v>
          </cell>
          <cell r="E1732">
            <v>792020</v>
          </cell>
          <cell r="F1732">
            <v>0</v>
          </cell>
          <cell r="G1732" t="str">
            <v>Затраты по ШПЗ (основные)</v>
          </cell>
          <cell r="H1732">
            <v>2011</v>
          </cell>
          <cell r="I1732">
            <v>7920</v>
          </cell>
          <cell r="J1732">
            <v>435.75</v>
          </cell>
          <cell r="K1732">
            <v>1</v>
          </cell>
          <cell r="L1732">
            <v>0</v>
          </cell>
          <cell r="M1732">
            <v>0</v>
          </cell>
          <cell r="N1732">
            <v>0</v>
          </cell>
          <cell r="R1732">
            <v>0</v>
          </cell>
          <cell r="S1732">
            <v>0</v>
          </cell>
          <cell r="T1732">
            <v>0</v>
          </cell>
          <cell r="U1732">
            <v>34</v>
          </cell>
          <cell r="V1732">
            <v>0</v>
          </cell>
          <cell r="W1732">
            <v>0</v>
          </cell>
          <cell r="AA1732">
            <v>0</v>
          </cell>
          <cell r="AB1732">
            <v>0</v>
          </cell>
          <cell r="AC1732">
            <v>0</v>
          </cell>
          <cell r="AD1732">
            <v>34</v>
          </cell>
          <cell r="AE1732">
            <v>510200</v>
          </cell>
          <cell r="AF1732">
            <v>0</v>
          </cell>
          <cell r="AI1732">
            <v>2251</v>
          </cell>
          <cell r="AK1732">
            <v>0</v>
          </cell>
          <cell r="AM1732">
            <v>397</v>
          </cell>
          <cell r="AN1732">
            <v>1</v>
          </cell>
          <cell r="AO1732">
            <v>393216</v>
          </cell>
          <cell r="AQ1732">
            <v>0</v>
          </cell>
          <cell r="AR1732">
            <v>0</v>
          </cell>
          <cell r="AS1732" t="str">
            <v>Ы</v>
          </cell>
          <cell r="AT1732" t="str">
            <v>Ы</v>
          </cell>
          <cell r="AU1732">
            <v>0</v>
          </cell>
          <cell r="AV1732">
            <v>0</v>
          </cell>
          <cell r="AW1732">
            <v>23</v>
          </cell>
          <cell r="AX1732">
            <v>1</v>
          </cell>
          <cell r="AY1732">
            <v>0</v>
          </cell>
          <cell r="AZ1732">
            <v>0</v>
          </cell>
          <cell r="BA1732">
            <v>0</v>
          </cell>
          <cell r="BB1732">
            <v>0</v>
          </cell>
          <cell r="BC1732">
            <v>38828</v>
          </cell>
        </row>
        <row r="1733">
          <cell r="A1733">
            <v>2006</v>
          </cell>
          <cell r="B1733">
            <v>2</v>
          </cell>
          <cell r="C1733">
            <v>269</v>
          </cell>
          <cell r="D1733">
            <v>21</v>
          </cell>
          <cell r="E1733">
            <v>792020</v>
          </cell>
          <cell r="F1733">
            <v>0</v>
          </cell>
          <cell r="G1733" t="str">
            <v>Затраты по ШПЗ (основные)</v>
          </cell>
          <cell r="H1733">
            <v>2011</v>
          </cell>
          <cell r="I1733">
            <v>7920</v>
          </cell>
          <cell r="J1733">
            <v>374</v>
          </cell>
          <cell r="K1733">
            <v>1</v>
          </cell>
          <cell r="L1733">
            <v>0</v>
          </cell>
          <cell r="M1733">
            <v>0</v>
          </cell>
          <cell r="N1733">
            <v>0</v>
          </cell>
          <cell r="R1733">
            <v>0</v>
          </cell>
          <cell r="S1733">
            <v>0</v>
          </cell>
          <cell r="T1733">
            <v>0</v>
          </cell>
          <cell r="U1733">
            <v>34</v>
          </cell>
          <cell r="V1733">
            <v>0</v>
          </cell>
          <cell r="W1733">
            <v>0</v>
          </cell>
          <cell r="AA1733">
            <v>0</v>
          </cell>
          <cell r="AB1733">
            <v>0</v>
          </cell>
          <cell r="AC1733">
            <v>0</v>
          </cell>
          <cell r="AD1733">
            <v>34</v>
          </cell>
          <cell r="AE1733">
            <v>510300</v>
          </cell>
          <cell r="AF1733">
            <v>0</v>
          </cell>
          <cell r="AI1733">
            <v>2251</v>
          </cell>
          <cell r="AK1733">
            <v>0</v>
          </cell>
          <cell r="AM1733">
            <v>398</v>
          </cell>
          <cell r="AN1733">
            <v>1</v>
          </cell>
          <cell r="AO1733">
            <v>393216</v>
          </cell>
          <cell r="AQ1733">
            <v>0</v>
          </cell>
          <cell r="AR1733">
            <v>0</v>
          </cell>
          <cell r="AS1733" t="str">
            <v>Ы</v>
          </cell>
          <cell r="AT1733" t="str">
            <v>Ы</v>
          </cell>
          <cell r="AU1733">
            <v>0</v>
          </cell>
          <cell r="AV1733">
            <v>0</v>
          </cell>
          <cell r="AW1733">
            <v>23</v>
          </cell>
          <cell r="AX1733">
            <v>1</v>
          </cell>
          <cell r="AY1733">
            <v>0</v>
          </cell>
          <cell r="AZ1733">
            <v>0</v>
          </cell>
          <cell r="BA1733">
            <v>0</v>
          </cell>
          <cell r="BB1733">
            <v>0</v>
          </cell>
          <cell r="BC1733">
            <v>38828</v>
          </cell>
        </row>
        <row r="1734">
          <cell r="A1734">
            <v>2006</v>
          </cell>
          <cell r="B1734">
            <v>2</v>
          </cell>
          <cell r="C1734">
            <v>270</v>
          </cell>
          <cell r="D1734">
            <v>21</v>
          </cell>
          <cell r="E1734">
            <v>792020</v>
          </cell>
          <cell r="F1734">
            <v>0</v>
          </cell>
          <cell r="G1734" t="str">
            <v>Затраты по ШПЗ (основные)</v>
          </cell>
          <cell r="H1734">
            <v>2011</v>
          </cell>
          <cell r="I1734">
            <v>7920</v>
          </cell>
          <cell r="J1734">
            <v>1565.29</v>
          </cell>
          <cell r="K1734">
            <v>1</v>
          </cell>
          <cell r="L1734">
            <v>0</v>
          </cell>
          <cell r="M1734">
            <v>0</v>
          </cell>
          <cell r="N1734">
            <v>0</v>
          </cell>
          <cell r="R1734">
            <v>0</v>
          </cell>
          <cell r="S1734">
            <v>0</v>
          </cell>
          <cell r="T1734">
            <v>0</v>
          </cell>
          <cell r="U1734">
            <v>34</v>
          </cell>
          <cell r="V1734">
            <v>0</v>
          </cell>
          <cell r="W1734">
            <v>0</v>
          </cell>
          <cell r="AA1734">
            <v>0</v>
          </cell>
          <cell r="AB1734">
            <v>0</v>
          </cell>
          <cell r="AC1734">
            <v>0</v>
          </cell>
          <cell r="AD1734">
            <v>34</v>
          </cell>
          <cell r="AE1734">
            <v>510400</v>
          </cell>
          <cell r="AF1734">
            <v>0</v>
          </cell>
          <cell r="AI1734">
            <v>2251</v>
          </cell>
          <cell r="AK1734">
            <v>0</v>
          </cell>
          <cell r="AM1734">
            <v>399</v>
          </cell>
          <cell r="AN1734">
            <v>1</v>
          </cell>
          <cell r="AO1734">
            <v>393216</v>
          </cell>
          <cell r="AQ1734">
            <v>0</v>
          </cell>
          <cell r="AR1734">
            <v>0</v>
          </cell>
          <cell r="AS1734" t="str">
            <v>Ы</v>
          </cell>
          <cell r="AT1734" t="str">
            <v>Ы</v>
          </cell>
          <cell r="AU1734">
            <v>0</v>
          </cell>
          <cell r="AV1734">
            <v>0</v>
          </cell>
          <cell r="AW1734">
            <v>23</v>
          </cell>
          <cell r="AX1734">
            <v>1</v>
          </cell>
          <cell r="AY1734">
            <v>0</v>
          </cell>
          <cell r="AZ1734">
            <v>0</v>
          </cell>
          <cell r="BA1734">
            <v>0</v>
          </cell>
          <cell r="BB1734">
            <v>0</v>
          </cell>
          <cell r="BC1734">
            <v>38828</v>
          </cell>
        </row>
        <row r="1735">
          <cell r="A1735">
            <v>2006</v>
          </cell>
          <cell r="B1735">
            <v>2</v>
          </cell>
          <cell r="C1735">
            <v>271</v>
          </cell>
          <cell r="D1735">
            <v>21</v>
          </cell>
          <cell r="E1735">
            <v>792020</v>
          </cell>
          <cell r="F1735">
            <v>0</v>
          </cell>
          <cell r="G1735" t="str">
            <v>Затраты по ШПЗ (основные)</v>
          </cell>
          <cell r="H1735">
            <v>2011</v>
          </cell>
          <cell r="I1735">
            <v>7920</v>
          </cell>
          <cell r="J1735">
            <v>199144</v>
          </cell>
          <cell r="K1735">
            <v>1</v>
          </cell>
          <cell r="L1735">
            <v>0</v>
          </cell>
          <cell r="M1735">
            <v>0</v>
          </cell>
          <cell r="N1735">
            <v>0</v>
          </cell>
          <cell r="R1735">
            <v>0</v>
          </cell>
          <cell r="S1735">
            <v>0</v>
          </cell>
          <cell r="T1735">
            <v>0</v>
          </cell>
          <cell r="U1735">
            <v>34</v>
          </cell>
          <cell r="V1735">
            <v>0</v>
          </cell>
          <cell r="W1735">
            <v>0</v>
          </cell>
          <cell r="AA1735">
            <v>0</v>
          </cell>
          <cell r="AB1735">
            <v>0</v>
          </cell>
          <cell r="AC1735">
            <v>0</v>
          </cell>
          <cell r="AD1735">
            <v>34</v>
          </cell>
          <cell r="AE1735">
            <v>510600</v>
          </cell>
          <cell r="AF1735">
            <v>0</v>
          </cell>
          <cell r="AI1735">
            <v>2251</v>
          </cell>
          <cell r="AK1735">
            <v>0</v>
          </cell>
          <cell r="AM1735">
            <v>400</v>
          </cell>
          <cell r="AN1735">
            <v>1</v>
          </cell>
          <cell r="AO1735">
            <v>393216</v>
          </cell>
          <cell r="AQ1735">
            <v>0</v>
          </cell>
          <cell r="AR1735">
            <v>0</v>
          </cell>
          <cell r="AS1735" t="str">
            <v>Ы</v>
          </cell>
          <cell r="AT1735" t="str">
            <v>Ы</v>
          </cell>
          <cell r="AU1735">
            <v>0</v>
          </cell>
          <cell r="AV1735">
            <v>0</v>
          </cell>
          <cell r="AW1735">
            <v>23</v>
          </cell>
          <cell r="AX1735">
            <v>1</v>
          </cell>
          <cell r="AY1735">
            <v>0</v>
          </cell>
          <cell r="AZ1735">
            <v>0</v>
          </cell>
          <cell r="BA1735">
            <v>0</v>
          </cell>
          <cell r="BB1735">
            <v>0</v>
          </cell>
          <cell r="BC1735">
            <v>38828</v>
          </cell>
        </row>
        <row r="1736">
          <cell r="A1736">
            <v>2006</v>
          </cell>
          <cell r="B1736">
            <v>2</v>
          </cell>
          <cell r="C1736">
            <v>272</v>
          </cell>
          <cell r="D1736">
            <v>21</v>
          </cell>
          <cell r="E1736">
            <v>792020</v>
          </cell>
          <cell r="F1736">
            <v>0</v>
          </cell>
          <cell r="G1736" t="str">
            <v>Затраты по ШПЗ (основные)</v>
          </cell>
          <cell r="H1736">
            <v>2011</v>
          </cell>
          <cell r="I1736">
            <v>7920</v>
          </cell>
          <cell r="J1736">
            <v>8665.9699999999993</v>
          </cell>
          <cell r="K1736">
            <v>1</v>
          </cell>
          <cell r="L1736">
            <v>0</v>
          </cell>
          <cell r="M1736">
            <v>0</v>
          </cell>
          <cell r="N1736">
            <v>0</v>
          </cell>
          <cell r="R1736">
            <v>0</v>
          </cell>
          <cell r="S1736">
            <v>0</v>
          </cell>
          <cell r="T1736">
            <v>0</v>
          </cell>
          <cell r="U1736">
            <v>34</v>
          </cell>
          <cell r="V1736">
            <v>0</v>
          </cell>
          <cell r="W1736">
            <v>0</v>
          </cell>
          <cell r="AA1736">
            <v>0</v>
          </cell>
          <cell r="AB1736">
            <v>0</v>
          </cell>
          <cell r="AC1736">
            <v>0</v>
          </cell>
          <cell r="AD1736">
            <v>34</v>
          </cell>
          <cell r="AE1736">
            <v>513600</v>
          </cell>
          <cell r="AF1736">
            <v>0</v>
          </cell>
          <cell r="AI1736">
            <v>2251</v>
          </cell>
          <cell r="AK1736">
            <v>0</v>
          </cell>
          <cell r="AM1736">
            <v>401</v>
          </cell>
          <cell r="AN1736">
            <v>1</v>
          </cell>
          <cell r="AO1736">
            <v>393216</v>
          </cell>
          <cell r="AQ1736">
            <v>0</v>
          </cell>
          <cell r="AR1736">
            <v>0</v>
          </cell>
          <cell r="AS1736" t="str">
            <v>Ы</v>
          </cell>
          <cell r="AT1736" t="str">
            <v>Ы</v>
          </cell>
          <cell r="AU1736">
            <v>0</v>
          </cell>
          <cell r="AV1736">
            <v>0</v>
          </cell>
          <cell r="AW1736">
            <v>23</v>
          </cell>
          <cell r="AX1736">
            <v>1</v>
          </cell>
          <cell r="AY1736">
            <v>0</v>
          </cell>
          <cell r="AZ1736">
            <v>0</v>
          </cell>
          <cell r="BA1736">
            <v>0</v>
          </cell>
          <cell r="BB1736">
            <v>0</v>
          </cell>
          <cell r="BC1736">
            <v>38828</v>
          </cell>
        </row>
        <row r="1737">
          <cell r="A1737">
            <v>2006</v>
          </cell>
          <cell r="B1737">
            <v>2</v>
          </cell>
          <cell r="C1737">
            <v>273</v>
          </cell>
          <cell r="D1737">
            <v>21</v>
          </cell>
          <cell r="E1737">
            <v>792020</v>
          </cell>
          <cell r="F1737">
            <v>0</v>
          </cell>
          <cell r="G1737" t="str">
            <v>Затраты по ШПЗ (основные)</v>
          </cell>
          <cell r="H1737">
            <v>2011</v>
          </cell>
          <cell r="I1737">
            <v>7920</v>
          </cell>
          <cell r="J1737">
            <v>5280.6</v>
          </cell>
          <cell r="K1737">
            <v>1</v>
          </cell>
          <cell r="L1737">
            <v>0</v>
          </cell>
          <cell r="M1737">
            <v>0</v>
          </cell>
          <cell r="N1737">
            <v>0</v>
          </cell>
          <cell r="R1737">
            <v>0</v>
          </cell>
          <cell r="S1737">
            <v>0</v>
          </cell>
          <cell r="T1737">
            <v>0</v>
          </cell>
          <cell r="U1737">
            <v>34</v>
          </cell>
          <cell r="V1737">
            <v>0</v>
          </cell>
          <cell r="W1737">
            <v>0</v>
          </cell>
          <cell r="AA1737">
            <v>0</v>
          </cell>
          <cell r="AB1737">
            <v>0</v>
          </cell>
          <cell r="AC1737">
            <v>0</v>
          </cell>
          <cell r="AD1737">
            <v>34</v>
          </cell>
          <cell r="AE1737">
            <v>530000</v>
          </cell>
          <cell r="AF1737">
            <v>0</v>
          </cell>
          <cell r="AI1737">
            <v>2251</v>
          </cell>
          <cell r="AK1737">
            <v>0</v>
          </cell>
          <cell r="AM1737">
            <v>402</v>
          </cell>
          <cell r="AN1737">
            <v>1</v>
          </cell>
          <cell r="AO1737">
            <v>393216</v>
          </cell>
          <cell r="AQ1737">
            <v>0</v>
          </cell>
          <cell r="AR1737">
            <v>0</v>
          </cell>
          <cell r="AS1737" t="str">
            <v>Ы</v>
          </cell>
          <cell r="AT1737" t="str">
            <v>Ы</v>
          </cell>
          <cell r="AU1737">
            <v>0</v>
          </cell>
          <cell r="AV1737">
            <v>0</v>
          </cell>
          <cell r="AW1737">
            <v>23</v>
          </cell>
          <cell r="AX1737">
            <v>1</v>
          </cell>
          <cell r="AY1737">
            <v>0</v>
          </cell>
          <cell r="AZ1737">
            <v>0</v>
          </cell>
          <cell r="BA1737">
            <v>0</v>
          </cell>
          <cell r="BB1737">
            <v>0</v>
          </cell>
          <cell r="BC1737">
            <v>38828</v>
          </cell>
        </row>
        <row r="1738">
          <cell r="A1738">
            <v>2006</v>
          </cell>
          <cell r="B1738">
            <v>2</v>
          </cell>
          <cell r="C1738">
            <v>275</v>
          </cell>
          <cell r="D1738">
            <v>21</v>
          </cell>
          <cell r="E1738">
            <v>792020</v>
          </cell>
          <cell r="F1738">
            <v>0</v>
          </cell>
          <cell r="G1738" t="str">
            <v>Затраты по ШПЗ (основные)</v>
          </cell>
          <cell r="H1738">
            <v>2011</v>
          </cell>
          <cell r="I1738">
            <v>7920</v>
          </cell>
          <cell r="J1738">
            <v>42968.05</v>
          </cell>
          <cell r="K1738">
            <v>1</v>
          </cell>
          <cell r="L1738">
            <v>0</v>
          </cell>
          <cell r="M1738">
            <v>0</v>
          </cell>
          <cell r="N1738">
            <v>0</v>
          </cell>
          <cell r="R1738">
            <v>0</v>
          </cell>
          <cell r="S1738">
            <v>0</v>
          </cell>
          <cell r="T1738">
            <v>0</v>
          </cell>
          <cell r="U1738">
            <v>36</v>
          </cell>
          <cell r="V1738">
            <v>0</v>
          </cell>
          <cell r="W1738">
            <v>0</v>
          </cell>
          <cell r="AA1738">
            <v>0</v>
          </cell>
          <cell r="AB1738">
            <v>0</v>
          </cell>
          <cell r="AC1738">
            <v>0</v>
          </cell>
          <cell r="AD1738">
            <v>36</v>
          </cell>
          <cell r="AE1738">
            <v>110000</v>
          </cell>
          <cell r="AF1738">
            <v>0</v>
          </cell>
          <cell r="AI1738">
            <v>2251</v>
          </cell>
          <cell r="AK1738">
            <v>0</v>
          </cell>
          <cell r="AM1738">
            <v>404</v>
          </cell>
          <cell r="AN1738">
            <v>1</v>
          </cell>
          <cell r="AO1738">
            <v>393216</v>
          </cell>
          <cell r="AQ1738">
            <v>0</v>
          </cell>
          <cell r="AR1738">
            <v>0</v>
          </cell>
          <cell r="AS1738" t="str">
            <v>Ы</v>
          </cell>
          <cell r="AT1738" t="str">
            <v>Ы</v>
          </cell>
          <cell r="AU1738">
            <v>0</v>
          </cell>
          <cell r="AV1738">
            <v>0</v>
          </cell>
          <cell r="AW1738">
            <v>23</v>
          </cell>
          <cell r="AX1738">
            <v>1</v>
          </cell>
          <cell r="AY1738">
            <v>0</v>
          </cell>
          <cell r="AZ1738">
            <v>0</v>
          </cell>
          <cell r="BA1738">
            <v>0</v>
          </cell>
          <cell r="BB1738">
            <v>0</v>
          </cell>
          <cell r="BC1738">
            <v>38828</v>
          </cell>
        </row>
        <row r="1739">
          <cell r="A1739">
            <v>2006</v>
          </cell>
          <cell r="B1739">
            <v>2</v>
          </cell>
          <cell r="C1739">
            <v>276</v>
          </cell>
          <cell r="D1739">
            <v>21</v>
          </cell>
          <cell r="E1739">
            <v>792020</v>
          </cell>
          <cell r="F1739">
            <v>0</v>
          </cell>
          <cell r="G1739" t="str">
            <v>Затраты по ШПЗ (основные)</v>
          </cell>
          <cell r="H1739">
            <v>2011</v>
          </cell>
          <cell r="I1739">
            <v>7920</v>
          </cell>
          <cell r="J1739">
            <v>10145.51</v>
          </cell>
          <cell r="K1739">
            <v>1</v>
          </cell>
          <cell r="L1739">
            <v>0</v>
          </cell>
          <cell r="M1739">
            <v>0</v>
          </cell>
          <cell r="N1739">
            <v>0</v>
          </cell>
          <cell r="R1739">
            <v>0</v>
          </cell>
          <cell r="S1739">
            <v>0</v>
          </cell>
          <cell r="T1739">
            <v>0</v>
          </cell>
          <cell r="U1739">
            <v>36</v>
          </cell>
          <cell r="V1739">
            <v>0</v>
          </cell>
          <cell r="W1739">
            <v>0</v>
          </cell>
          <cell r="AA1739">
            <v>0</v>
          </cell>
          <cell r="AB1739">
            <v>0</v>
          </cell>
          <cell r="AC1739">
            <v>0</v>
          </cell>
          <cell r="AD1739">
            <v>36</v>
          </cell>
          <cell r="AE1739">
            <v>114020</v>
          </cell>
          <cell r="AF1739">
            <v>0</v>
          </cell>
          <cell r="AI1739">
            <v>2251</v>
          </cell>
          <cell r="AK1739">
            <v>0</v>
          </cell>
          <cell r="AM1739">
            <v>405</v>
          </cell>
          <cell r="AN1739">
            <v>1</v>
          </cell>
          <cell r="AO1739">
            <v>393216</v>
          </cell>
          <cell r="AQ1739">
            <v>0</v>
          </cell>
          <cell r="AR1739">
            <v>0</v>
          </cell>
          <cell r="AS1739" t="str">
            <v>Ы</v>
          </cell>
          <cell r="AT1739" t="str">
            <v>Ы</v>
          </cell>
          <cell r="AU1739">
            <v>0</v>
          </cell>
          <cell r="AV1739">
            <v>0</v>
          </cell>
          <cell r="AW1739">
            <v>23</v>
          </cell>
          <cell r="AX1739">
            <v>1</v>
          </cell>
          <cell r="AY1739">
            <v>0</v>
          </cell>
          <cell r="AZ1739">
            <v>0</v>
          </cell>
          <cell r="BA1739">
            <v>0</v>
          </cell>
          <cell r="BB1739">
            <v>0</v>
          </cell>
          <cell r="BC1739">
            <v>38828</v>
          </cell>
        </row>
        <row r="1740">
          <cell r="A1740">
            <v>2006</v>
          </cell>
          <cell r="B1740">
            <v>2</v>
          </cell>
          <cell r="C1740">
            <v>277</v>
          </cell>
          <cell r="D1740">
            <v>21</v>
          </cell>
          <cell r="E1740">
            <v>792020</v>
          </cell>
          <cell r="F1740">
            <v>0</v>
          </cell>
          <cell r="G1740" t="str">
            <v>Затраты по ШПЗ (основные)</v>
          </cell>
          <cell r="H1740">
            <v>2011</v>
          </cell>
          <cell r="I1740">
            <v>7920</v>
          </cell>
          <cell r="J1740">
            <v>131375.18</v>
          </cell>
          <cell r="K1740">
            <v>1</v>
          </cell>
          <cell r="L1740">
            <v>0</v>
          </cell>
          <cell r="M1740">
            <v>0</v>
          </cell>
          <cell r="N1740">
            <v>0</v>
          </cell>
          <cell r="R1740">
            <v>0</v>
          </cell>
          <cell r="S1740">
            <v>0</v>
          </cell>
          <cell r="T1740">
            <v>0</v>
          </cell>
          <cell r="U1740">
            <v>36</v>
          </cell>
          <cell r="V1740">
            <v>0</v>
          </cell>
          <cell r="W1740">
            <v>0</v>
          </cell>
          <cell r="AA1740">
            <v>0</v>
          </cell>
          <cell r="AB1740">
            <v>0</v>
          </cell>
          <cell r="AC1740">
            <v>0</v>
          </cell>
          <cell r="AD1740">
            <v>36</v>
          </cell>
          <cell r="AE1740">
            <v>116000</v>
          </cell>
          <cell r="AF1740">
            <v>0</v>
          </cell>
          <cell r="AI1740">
            <v>2251</v>
          </cell>
          <cell r="AK1740">
            <v>0</v>
          </cell>
          <cell r="AM1740">
            <v>406</v>
          </cell>
          <cell r="AN1740">
            <v>1</v>
          </cell>
          <cell r="AO1740">
            <v>393216</v>
          </cell>
          <cell r="AQ1740">
            <v>0</v>
          </cell>
          <cell r="AR1740">
            <v>0</v>
          </cell>
          <cell r="AS1740" t="str">
            <v>Ы</v>
          </cell>
          <cell r="AT1740" t="str">
            <v>Ы</v>
          </cell>
          <cell r="AU1740">
            <v>0</v>
          </cell>
          <cell r="AV1740">
            <v>0</v>
          </cell>
          <cell r="AW1740">
            <v>23</v>
          </cell>
          <cell r="AX1740">
            <v>1</v>
          </cell>
          <cell r="AY1740">
            <v>0</v>
          </cell>
          <cell r="AZ1740">
            <v>0</v>
          </cell>
          <cell r="BA1740">
            <v>0</v>
          </cell>
          <cell r="BB1740">
            <v>0</v>
          </cell>
          <cell r="BC1740">
            <v>38828</v>
          </cell>
        </row>
        <row r="1741">
          <cell r="A1741">
            <v>2006</v>
          </cell>
          <cell r="B1741">
            <v>2</v>
          </cell>
          <cell r="C1741">
            <v>278</v>
          </cell>
          <cell r="D1741">
            <v>21</v>
          </cell>
          <cell r="E1741">
            <v>792020</v>
          </cell>
          <cell r="F1741">
            <v>0</v>
          </cell>
          <cell r="G1741" t="str">
            <v>Затраты по ШПЗ (основные)</v>
          </cell>
          <cell r="H1741">
            <v>2011</v>
          </cell>
          <cell r="I1741">
            <v>7920</v>
          </cell>
          <cell r="J1741">
            <v>67154.259999999995</v>
          </cell>
          <cell r="K1741">
            <v>1</v>
          </cell>
          <cell r="L1741">
            <v>0</v>
          </cell>
          <cell r="M1741">
            <v>0</v>
          </cell>
          <cell r="N1741">
            <v>0</v>
          </cell>
          <cell r="R1741">
            <v>0</v>
          </cell>
          <cell r="S1741">
            <v>0</v>
          </cell>
          <cell r="T1741">
            <v>0</v>
          </cell>
          <cell r="U1741">
            <v>36</v>
          </cell>
          <cell r="V1741">
            <v>0</v>
          </cell>
          <cell r="W1741">
            <v>0</v>
          </cell>
          <cell r="AA1741">
            <v>0</v>
          </cell>
          <cell r="AB1741">
            <v>0</v>
          </cell>
          <cell r="AC1741">
            <v>0</v>
          </cell>
          <cell r="AD1741">
            <v>36</v>
          </cell>
          <cell r="AE1741">
            <v>117000</v>
          </cell>
          <cell r="AF1741">
            <v>0</v>
          </cell>
          <cell r="AI1741">
            <v>2251</v>
          </cell>
          <cell r="AK1741">
            <v>0</v>
          </cell>
          <cell r="AM1741">
            <v>407</v>
          </cell>
          <cell r="AN1741">
            <v>1</v>
          </cell>
          <cell r="AO1741">
            <v>393216</v>
          </cell>
          <cell r="AQ1741">
            <v>0</v>
          </cell>
          <cell r="AR1741">
            <v>0</v>
          </cell>
          <cell r="AS1741" t="str">
            <v>Ы</v>
          </cell>
          <cell r="AT1741" t="str">
            <v>Ы</v>
          </cell>
          <cell r="AU1741">
            <v>0</v>
          </cell>
          <cell r="AV1741">
            <v>0</v>
          </cell>
          <cell r="AW1741">
            <v>23</v>
          </cell>
          <cell r="AX1741">
            <v>1</v>
          </cell>
          <cell r="AY1741">
            <v>0</v>
          </cell>
          <cell r="AZ1741">
            <v>0</v>
          </cell>
          <cell r="BA1741">
            <v>0</v>
          </cell>
          <cell r="BB1741">
            <v>0</v>
          </cell>
          <cell r="BC1741">
            <v>38828</v>
          </cell>
        </row>
        <row r="1742">
          <cell r="A1742">
            <v>2006</v>
          </cell>
          <cell r="B1742">
            <v>2</v>
          </cell>
          <cell r="C1742">
            <v>279</v>
          </cell>
          <cell r="D1742">
            <v>21</v>
          </cell>
          <cell r="E1742">
            <v>792020</v>
          </cell>
          <cell r="F1742">
            <v>0</v>
          </cell>
          <cell r="G1742" t="str">
            <v>Затраты по ШПЗ (основные)</v>
          </cell>
          <cell r="H1742">
            <v>2011</v>
          </cell>
          <cell r="I1742">
            <v>7920</v>
          </cell>
          <cell r="J1742">
            <v>763</v>
          </cell>
          <cell r="K1742">
            <v>1</v>
          </cell>
          <cell r="L1742">
            <v>0</v>
          </cell>
          <cell r="M1742">
            <v>0</v>
          </cell>
          <cell r="N1742">
            <v>0</v>
          </cell>
          <cell r="R1742">
            <v>0</v>
          </cell>
          <cell r="S1742">
            <v>0</v>
          </cell>
          <cell r="T1742">
            <v>0</v>
          </cell>
          <cell r="U1742">
            <v>36</v>
          </cell>
          <cell r="V1742">
            <v>0</v>
          </cell>
          <cell r="W1742">
            <v>0</v>
          </cell>
          <cell r="AA1742">
            <v>0</v>
          </cell>
          <cell r="AB1742">
            <v>0</v>
          </cell>
          <cell r="AC1742">
            <v>0</v>
          </cell>
          <cell r="AD1742">
            <v>36</v>
          </cell>
          <cell r="AE1742">
            <v>118000</v>
          </cell>
          <cell r="AF1742">
            <v>0</v>
          </cell>
          <cell r="AI1742">
            <v>2251</v>
          </cell>
          <cell r="AK1742">
            <v>0</v>
          </cell>
          <cell r="AM1742">
            <v>408</v>
          </cell>
          <cell r="AN1742">
            <v>1</v>
          </cell>
          <cell r="AO1742">
            <v>393216</v>
          </cell>
          <cell r="AQ1742">
            <v>0</v>
          </cell>
          <cell r="AR1742">
            <v>0</v>
          </cell>
          <cell r="AS1742" t="str">
            <v>Ы</v>
          </cell>
          <cell r="AT1742" t="str">
            <v>Ы</v>
          </cell>
          <cell r="AU1742">
            <v>0</v>
          </cell>
          <cell r="AV1742">
            <v>0</v>
          </cell>
          <cell r="AW1742">
            <v>23</v>
          </cell>
          <cell r="AX1742">
            <v>1</v>
          </cell>
          <cell r="AY1742">
            <v>0</v>
          </cell>
          <cell r="AZ1742">
            <v>0</v>
          </cell>
          <cell r="BA1742">
            <v>0</v>
          </cell>
          <cell r="BB1742">
            <v>0</v>
          </cell>
          <cell r="BC1742">
            <v>38828</v>
          </cell>
        </row>
        <row r="1743">
          <cell r="A1743">
            <v>2006</v>
          </cell>
          <cell r="B1743">
            <v>2</v>
          </cell>
          <cell r="C1743">
            <v>280</v>
          </cell>
          <cell r="D1743">
            <v>21</v>
          </cell>
          <cell r="E1743">
            <v>792020</v>
          </cell>
          <cell r="F1743">
            <v>0</v>
          </cell>
          <cell r="G1743" t="str">
            <v>Затраты по ШПЗ (основные)</v>
          </cell>
          <cell r="H1743">
            <v>2011</v>
          </cell>
          <cell r="I1743">
            <v>7920</v>
          </cell>
          <cell r="J1743">
            <v>1669.49</v>
          </cell>
          <cell r="K1743">
            <v>1</v>
          </cell>
          <cell r="L1743">
            <v>0</v>
          </cell>
          <cell r="M1743">
            <v>0</v>
          </cell>
          <cell r="N1743">
            <v>0</v>
          </cell>
          <cell r="R1743">
            <v>0</v>
          </cell>
          <cell r="S1743">
            <v>0</v>
          </cell>
          <cell r="T1743">
            <v>0</v>
          </cell>
          <cell r="U1743">
            <v>36</v>
          </cell>
          <cell r="V1743">
            <v>0</v>
          </cell>
          <cell r="W1743">
            <v>0</v>
          </cell>
          <cell r="AA1743">
            <v>0</v>
          </cell>
          <cell r="AB1743">
            <v>0</v>
          </cell>
          <cell r="AC1743">
            <v>0</v>
          </cell>
          <cell r="AD1743">
            <v>36</v>
          </cell>
          <cell r="AE1743">
            <v>130000</v>
          </cell>
          <cell r="AF1743">
            <v>0</v>
          </cell>
          <cell r="AI1743">
            <v>2251</v>
          </cell>
          <cell r="AK1743">
            <v>0</v>
          </cell>
          <cell r="AM1743">
            <v>409</v>
          </cell>
          <cell r="AN1743">
            <v>1</v>
          </cell>
          <cell r="AO1743">
            <v>393216</v>
          </cell>
          <cell r="AQ1743">
            <v>0</v>
          </cell>
          <cell r="AR1743">
            <v>0</v>
          </cell>
          <cell r="AS1743" t="str">
            <v>Ы</v>
          </cell>
          <cell r="AT1743" t="str">
            <v>Ы</v>
          </cell>
          <cell r="AU1743">
            <v>0</v>
          </cell>
          <cell r="AV1743">
            <v>0</v>
          </cell>
          <cell r="AW1743">
            <v>23</v>
          </cell>
          <cell r="AX1743">
            <v>1</v>
          </cell>
          <cell r="AY1743">
            <v>0</v>
          </cell>
          <cell r="AZ1743">
            <v>0</v>
          </cell>
          <cell r="BA1743">
            <v>0</v>
          </cell>
          <cell r="BB1743">
            <v>0</v>
          </cell>
          <cell r="BC1743">
            <v>38828</v>
          </cell>
        </row>
        <row r="1744">
          <cell r="A1744">
            <v>2006</v>
          </cell>
          <cell r="B1744">
            <v>2</v>
          </cell>
          <cell r="C1744">
            <v>281</v>
          </cell>
          <cell r="D1744">
            <v>21</v>
          </cell>
          <cell r="E1744">
            <v>792020</v>
          </cell>
          <cell r="F1744">
            <v>0</v>
          </cell>
          <cell r="G1744" t="str">
            <v>Затраты по ШПЗ (основные)</v>
          </cell>
          <cell r="H1744">
            <v>2011</v>
          </cell>
          <cell r="I1744">
            <v>7920</v>
          </cell>
          <cell r="J1744">
            <v>8950.8799999999992</v>
          </cell>
          <cell r="K1744">
            <v>1</v>
          </cell>
          <cell r="L1744">
            <v>0</v>
          </cell>
          <cell r="M1744">
            <v>0</v>
          </cell>
          <cell r="N1744">
            <v>0</v>
          </cell>
          <cell r="R1744">
            <v>0</v>
          </cell>
          <cell r="S1744">
            <v>0</v>
          </cell>
          <cell r="T1744">
            <v>0</v>
          </cell>
          <cell r="U1744">
            <v>36</v>
          </cell>
          <cell r="V1744">
            <v>0</v>
          </cell>
          <cell r="W1744">
            <v>0</v>
          </cell>
          <cell r="AA1744">
            <v>0</v>
          </cell>
          <cell r="AB1744">
            <v>0</v>
          </cell>
          <cell r="AC1744">
            <v>0</v>
          </cell>
          <cell r="AD1744">
            <v>36</v>
          </cell>
          <cell r="AE1744">
            <v>132000</v>
          </cell>
          <cell r="AF1744">
            <v>0</v>
          </cell>
          <cell r="AI1744">
            <v>2251</v>
          </cell>
          <cell r="AK1744">
            <v>0</v>
          </cell>
          <cell r="AM1744">
            <v>410</v>
          </cell>
          <cell r="AN1744">
            <v>1</v>
          </cell>
          <cell r="AO1744">
            <v>393216</v>
          </cell>
          <cell r="AQ1744">
            <v>0</v>
          </cell>
          <cell r="AR1744">
            <v>0</v>
          </cell>
          <cell r="AS1744" t="str">
            <v>Ы</v>
          </cell>
          <cell r="AT1744" t="str">
            <v>Ы</v>
          </cell>
          <cell r="AU1744">
            <v>0</v>
          </cell>
          <cell r="AV1744">
            <v>0</v>
          </cell>
          <cell r="AW1744">
            <v>23</v>
          </cell>
          <cell r="AX1744">
            <v>1</v>
          </cell>
          <cell r="AY1744">
            <v>0</v>
          </cell>
          <cell r="AZ1744">
            <v>0</v>
          </cell>
          <cell r="BA1744">
            <v>0</v>
          </cell>
          <cell r="BB1744">
            <v>0</v>
          </cell>
          <cell r="BC1744">
            <v>38828</v>
          </cell>
        </row>
        <row r="1745">
          <cell r="A1745">
            <v>2006</v>
          </cell>
          <cell r="B1745">
            <v>2</v>
          </cell>
          <cell r="C1745">
            <v>282</v>
          </cell>
          <cell r="D1745">
            <v>21</v>
          </cell>
          <cell r="E1745">
            <v>792020</v>
          </cell>
          <cell r="F1745">
            <v>0</v>
          </cell>
          <cell r="G1745" t="str">
            <v>Затраты по ШПЗ (основные)</v>
          </cell>
          <cell r="H1745">
            <v>2011</v>
          </cell>
          <cell r="I1745">
            <v>7920</v>
          </cell>
          <cell r="J1745">
            <v>7168.36</v>
          </cell>
          <cell r="K1745">
            <v>1</v>
          </cell>
          <cell r="L1745">
            <v>0</v>
          </cell>
          <cell r="M1745">
            <v>0</v>
          </cell>
          <cell r="N1745">
            <v>0</v>
          </cell>
          <cell r="R1745">
            <v>0</v>
          </cell>
          <cell r="S1745">
            <v>0</v>
          </cell>
          <cell r="T1745">
            <v>0</v>
          </cell>
          <cell r="U1745">
            <v>36</v>
          </cell>
          <cell r="V1745">
            <v>0</v>
          </cell>
          <cell r="W1745">
            <v>0</v>
          </cell>
          <cell r="AA1745">
            <v>0</v>
          </cell>
          <cell r="AB1745">
            <v>0</v>
          </cell>
          <cell r="AC1745">
            <v>0</v>
          </cell>
          <cell r="AD1745">
            <v>36</v>
          </cell>
          <cell r="AE1745">
            <v>135000</v>
          </cell>
          <cell r="AF1745">
            <v>0</v>
          </cell>
          <cell r="AI1745">
            <v>2251</v>
          </cell>
          <cell r="AK1745">
            <v>0</v>
          </cell>
          <cell r="AM1745">
            <v>411</v>
          </cell>
          <cell r="AN1745">
            <v>1</v>
          </cell>
          <cell r="AO1745">
            <v>393216</v>
          </cell>
          <cell r="AQ1745">
            <v>0</v>
          </cell>
          <cell r="AR1745">
            <v>0</v>
          </cell>
          <cell r="AS1745" t="str">
            <v>Ы</v>
          </cell>
          <cell r="AT1745" t="str">
            <v>Ы</v>
          </cell>
          <cell r="AU1745">
            <v>0</v>
          </cell>
          <cell r="AV1745">
            <v>0</v>
          </cell>
          <cell r="AW1745">
            <v>23</v>
          </cell>
          <cell r="AX1745">
            <v>1</v>
          </cell>
          <cell r="AY1745">
            <v>0</v>
          </cell>
          <cell r="AZ1745">
            <v>0</v>
          </cell>
          <cell r="BA1745">
            <v>0</v>
          </cell>
          <cell r="BB1745">
            <v>0</v>
          </cell>
          <cell r="BC1745">
            <v>38828</v>
          </cell>
        </row>
        <row r="1746">
          <cell r="A1746">
            <v>2006</v>
          </cell>
          <cell r="B1746">
            <v>2</v>
          </cell>
          <cell r="C1746">
            <v>283</v>
          </cell>
          <cell r="D1746">
            <v>21</v>
          </cell>
          <cell r="E1746">
            <v>792020</v>
          </cell>
          <cell r="F1746">
            <v>0</v>
          </cell>
          <cell r="G1746" t="str">
            <v>Затраты по ШПЗ (основные)</v>
          </cell>
          <cell r="H1746">
            <v>2011</v>
          </cell>
          <cell r="I1746">
            <v>7920</v>
          </cell>
          <cell r="J1746">
            <v>228362.59</v>
          </cell>
          <cell r="K1746">
            <v>1</v>
          </cell>
          <cell r="L1746">
            <v>0</v>
          </cell>
          <cell r="M1746">
            <v>0</v>
          </cell>
          <cell r="N1746">
            <v>0</v>
          </cell>
          <cell r="R1746">
            <v>0</v>
          </cell>
          <cell r="S1746">
            <v>0</v>
          </cell>
          <cell r="T1746">
            <v>0</v>
          </cell>
          <cell r="U1746">
            <v>36</v>
          </cell>
          <cell r="V1746">
            <v>0</v>
          </cell>
          <cell r="W1746">
            <v>0</v>
          </cell>
          <cell r="AA1746">
            <v>0</v>
          </cell>
          <cell r="AB1746">
            <v>0</v>
          </cell>
          <cell r="AC1746">
            <v>0</v>
          </cell>
          <cell r="AD1746">
            <v>36</v>
          </cell>
          <cell r="AE1746">
            <v>143000</v>
          </cell>
          <cell r="AF1746">
            <v>0</v>
          </cell>
          <cell r="AI1746">
            <v>2251</v>
          </cell>
          <cell r="AK1746">
            <v>0</v>
          </cell>
          <cell r="AM1746">
            <v>412</v>
          </cell>
          <cell r="AN1746">
            <v>1</v>
          </cell>
          <cell r="AO1746">
            <v>393216</v>
          </cell>
          <cell r="AQ1746">
            <v>0</v>
          </cell>
          <cell r="AR1746">
            <v>0</v>
          </cell>
          <cell r="AS1746" t="str">
            <v>Ы</v>
          </cell>
          <cell r="AT1746" t="str">
            <v>Ы</v>
          </cell>
          <cell r="AU1746">
            <v>0</v>
          </cell>
          <cell r="AV1746">
            <v>0</v>
          </cell>
          <cell r="AW1746">
            <v>23</v>
          </cell>
          <cell r="AX1746">
            <v>1</v>
          </cell>
          <cell r="AY1746">
            <v>0</v>
          </cell>
          <cell r="AZ1746">
            <v>0</v>
          </cell>
          <cell r="BA1746">
            <v>0</v>
          </cell>
          <cell r="BB1746">
            <v>0</v>
          </cell>
          <cell r="BC1746">
            <v>38828</v>
          </cell>
        </row>
        <row r="1747">
          <cell r="A1747">
            <v>2006</v>
          </cell>
          <cell r="B1747">
            <v>2</v>
          </cell>
          <cell r="C1747">
            <v>284</v>
          </cell>
          <cell r="D1747">
            <v>21</v>
          </cell>
          <cell r="E1747">
            <v>792020</v>
          </cell>
          <cell r="F1747">
            <v>0</v>
          </cell>
          <cell r="G1747" t="str">
            <v>Затраты по ШПЗ (основные)</v>
          </cell>
          <cell r="H1747">
            <v>2011</v>
          </cell>
          <cell r="I1747">
            <v>7920</v>
          </cell>
          <cell r="J1747">
            <v>177232.14</v>
          </cell>
          <cell r="K1747">
            <v>1</v>
          </cell>
          <cell r="L1747">
            <v>0</v>
          </cell>
          <cell r="M1747">
            <v>0</v>
          </cell>
          <cell r="N1747">
            <v>0</v>
          </cell>
          <cell r="R1747">
            <v>0</v>
          </cell>
          <cell r="S1747">
            <v>0</v>
          </cell>
          <cell r="T1747">
            <v>0</v>
          </cell>
          <cell r="U1747">
            <v>36</v>
          </cell>
          <cell r="V1747">
            <v>0</v>
          </cell>
          <cell r="W1747">
            <v>0</v>
          </cell>
          <cell r="AA1747">
            <v>0</v>
          </cell>
          <cell r="AB1747">
            <v>0</v>
          </cell>
          <cell r="AC1747">
            <v>0</v>
          </cell>
          <cell r="AD1747">
            <v>36</v>
          </cell>
          <cell r="AE1747">
            <v>151000</v>
          </cell>
          <cell r="AF1747">
            <v>0</v>
          </cell>
          <cell r="AI1747">
            <v>2251</v>
          </cell>
          <cell r="AK1747">
            <v>0</v>
          </cell>
          <cell r="AM1747">
            <v>413</v>
          </cell>
          <cell r="AN1747">
            <v>1</v>
          </cell>
          <cell r="AO1747">
            <v>393216</v>
          </cell>
          <cell r="AQ1747">
            <v>0</v>
          </cell>
          <cell r="AR1747">
            <v>0</v>
          </cell>
          <cell r="AS1747" t="str">
            <v>Ы</v>
          </cell>
          <cell r="AT1747" t="str">
            <v>Ы</v>
          </cell>
          <cell r="AU1747">
            <v>0</v>
          </cell>
          <cell r="AV1747">
            <v>0</v>
          </cell>
          <cell r="AW1747">
            <v>23</v>
          </cell>
          <cell r="AX1747">
            <v>1</v>
          </cell>
          <cell r="AY1747">
            <v>0</v>
          </cell>
          <cell r="AZ1747">
            <v>0</v>
          </cell>
          <cell r="BA1747">
            <v>0</v>
          </cell>
          <cell r="BB1747">
            <v>0</v>
          </cell>
          <cell r="BC1747">
            <v>38828</v>
          </cell>
        </row>
        <row r="1748">
          <cell r="A1748">
            <v>2006</v>
          </cell>
          <cell r="B1748">
            <v>2</v>
          </cell>
          <cell r="C1748">
            <v>285</v>
          </cell>
          <cell r="D1748">
            <v>21</v>
          </cell>
          <cell r="E1748">
            <v>792020</v>
          </cell>
          <cell r="F1748">
            <v>0</v>
          </cell>
          <cell r="G1748" t="str">
            <v>Затраты по ШПЗ (основные)</v>
          </cell>
          <cell r="H1748">
            <v>2011</v>
          </cell>
          <cell r="I1748">
            <v>7920</v>
          </cell>
          <cell r="J1748">
            <v>171049.59</v>
          </cell>
          <cell r="K1748">
            <v>1</v>
          </cell>
          <cell r="L1748">
            <v>0</v>
          </cell>
          <cell r="M1748">
            <v>0</v>
          </cell>
          <cell r="N1748">
            <v>0</v>
          </cell>
          <cell r="R1748">
            <v>0</v>
          </cell>
          <cell r="S1748">
            <v>0</v>
          </cell>
          <cell r="T1748">
            <v>0</v>
          </cell>
          <cell r="U1748">
            <v>36</v>
          </cell>
          <cell r="V1748">
            <v>0</v>
          </cell>
          <cell r="W1748">
            <v>0</v>
          </cell>
          <cell r="AA1748">
            <v>0</v>
          </cell>
          <cell r="AB1748">
            <v>0</v>
          </cell>
          <cell r="AC1748">
            <v>0</v>
          </cell>
          <cell r="AD1748">
            <v>36</v>
          </cell>
          <cell r="AE1748">
            <v>152000</v>
          </cell>
          <cell r="AF1748">
            <v>0</v>
          </cell>
          <cell r="AI1748">
            <v>2251</v>
          </cell>
          <cell r="AK1748">
            <v>0</v>
          </cell>
          <cell r="AM1748">
            <v>414</v>
          </cell>
          <cell r="AN1748">
            <v>1</v>
          </cell>
          <cell r="AO1748">
            <v>393216</v>
          </cell>
          <cell r="AQ1748">
            <v>0</v>
          </cell>
          <cell r="AR1748">
            <v>0</v>
          </cell>
          <cell r="AS1748" t="str">
            <v>Ы</v>
          </cell>
          <cell r="AT1748" t="str">
            <v>Ы</v>
          </cell>
          <cell r="AU1748">
            <v>0</v>
          </cell>
          <cell r="AV1748">
            <v>0</v>
          </cell>
          <cell r="AW1748">
            <v>23</v>
          </cell>
          <cell r="AX1748">
            <v>1</v>
          </cell>
          <cell r="AY1748">
            <v>0</v>
          </cell>
          <cell r="AZ1748">
            <v>0</v>
          </cell>
          <cell r="BA1748">
            <v>0</v>
          </cell>
          <cell r="BB1748">
            <v>0</v>
          </cell>
          <cell r="BC1748">
            <v>38828</v>
          </cell>
        </row>
        <row r="1749">
          <cell r="A1749">
            <v>2006</v>
          </cell>
          <cell r="B1749">
            <v>2</v>
          </cell>
          <cell r="C1749">
            <v>286</v>
          </cell>
          <cell r="D1749">
            <v>21</v>
          </cell>
          <cell r="E1749">
            <v>792020</v>
          </cell>
          <cell r="F1749">
            <v>0</v>
          </cell>
          <cell r="G1749" t="str">
            <v>Затраты по ШПЗ (основные)</v>
          </cell>
          <cell r="H1749">
            <v>2011</v>
          </cell>
          <cell r="I1749">
            <v>7920</v>
          </cell>
          <cell r="J1749">
            <v>1462144.29</v>
          </cell>
          <cell r="K1749">
            <v>1</v>
          </cell>
          <cell r="L1749">
            <v>0</v>
          </cell>
          <cell r="M1749">
            <v>0</v>
          </cell>
          <cell r="N1749">
            <v>0</v>
          </cell>
          <cell r="R1749">
            <v>0</v>
          </cell>
          <cell r="S1749">
            <v>0</v>
          </cell>
          <cell r="T1749">
            <v>0</v>
          </cell>
          <cell r="U1749">
            <v>36</v>
          </cell>
          <cell r="V1749">
            <v>0</v>
          </cell>
          <cell r="W1749">
            <v>0</v>
          </cell>
          <cell r="AA1749">
            <v>0</v>
          </cell>
          <cell r="AB1749">
            <v>0</v>
          </cell>
          <cell r="AC1749">
            <v>0</v>
          </cell>
          <cell r="AD1749">
            <v>36</v>
          </cell>
          <cell r="AE1749">
            <v>220000</v>
          </cell>
          <cell r="AF1749">
            <v>0</v>
          </cell>
          <cell r="AI1749">
            <v>2251</v>
          </cell>
          <cell r="AK1749">
            <v>0</v>
          </cell>
          <cell r="AM1749">
            <v>415</v>
          </cell>
          <cell r="AN1749">
            <v>1</v>
          </cell>
          <cell r="AO1749">
            <v>393216</v>
          </cell>
          <cell r="AQ1749">
            <v>0</v>
          </cell>
          <cell r="AR1749">
            <v>0</v>
          </cell>
          <cell r="AS1749" t="str">
            <v>Ы</v>
          </cell>
          <cell r="AT1749" t="str">
            <v>Ы</v>
          </cell>
          <cell r="AU1749">
            <v>0</v>
          </cell>
          <cell r="AV1749">
            <v>0</v>
          </cell>
          <cell r="AW1749">
            <v>23</v>
          </cell>
          <cell r="AX1749">
            <v>1</v>
          </cell>
          <cell r="AY1749">
            <v>0</v>
          </cell>
          <cell r="AZ1749">
            <v>0</v>
          </cell>
          <cell r="BA1749">
            <v>0</v>
          </cell>
          <cell r="BB1749">
            <v>0</v>
          </cell>
          <cell r="BC1749">
            <v>38828</v>
          </cell>
        </row>
        <row r="1750">
          <cell r="A1750">
            <v>2006</v>
          </cell>
          <cell r="B1750">
            <v>2</v>
          </cell>
          <cell r="C1750">
            <v>287</v>
          </cell>
          <cell r="D1750">
            <v>21</v>
          </cell>
          <cell r="E1750">
            <v>792020</v>
          </cell>
          <cell r="F1750">
            <v>0</v>
          </cell>
          <cell r="G1750" t="str">
            <v>Затраты по ШПЗ (основные)</v>
          </cell>
          <cell r="H1750">
            <v>2011</v>
          </cell>
          <cell r="I1750">
            <v>7920</v>
          </cell>
          <cell r="J1750">
            <v>788365.98</v>
          </cell>
          <cell r="K1750">
            <v>1</v>
          </cell>
          <cell r="L1750">
            <v>0</v>
          </cell>
          <cell r="M1750">
            <v>0</v>
          </cell>
          <cell r="N1750">
            <v>0</v>
          </cell>
          <cell r="R1750">
            <v>0</v>
          </cell>
          <cell r="S1750">
            <v>0</v>
          </cell>
          <cell r="T1750">
            <v>0</v>
          </cell>
          <cell r="U1750">
            <v>36</v>
          </cell>
          <cell r="V1750">
            <v>0</v>
          </cell>
          <cell r="W1750">
            <v>0</v>
          </cell>
          <cell r="AA1750">
            <v>0</v>
          </cell>
          <cell r="AB1750">
            <v>0</v>
          </cell>
          <cell r="AC1750">
            <v>0</v>
          </cell>
          <cell r="AD1750">
            <v>36</v>
          </cell>
          <cell r="AE1750">
            <v>230000</v>
          </cell>
          <cell r="AF1750">
            <v>0</v>
          </cell>
          <cell r="AI1750">
            <v>2251</v>
          </cell>
          <cell r="AK1750">
            <v>0</v>
          </cell>
          <cell r="AM1750">
            <v>416</v>
          </cell>
          <cell r="AN1750">
            <v>1</v>
          </cell>
          <cell r="AO1750">
            <v>393216</v>
          </cell>
          <cell r="AQ1750">
            <v>0</v>
          </cell>
          <cell r="AR1750">
            <v>0</v>
          </cell>
          <cell r="AS1750" t="str">
            <v>Ы</v>
          </cell>
          <cell r="AT1750" t="str">
            <v>Ы</v>
          </cell>
          <cell r="AU1750">
            <v>0</v>
          </cell>
          <cell r="AV1750">
            <v>0</v>
          </cell>
          <cell r="AW1750">
            <v>23</v>
          </cell>
          <cell r="AX1750">
            <v>1</v>
          </cell>
          <cell r="AY1750">
            <v>0</v>
          </cell>
          <cell r="AZ1750">
            <v>0</v>
          </cell>
          <cell r="BA1750">
            <v>0</v>
          </cell>
          <cell r="BB1750">
            <v>0</v>
          </cell>
          <cell r="BC1750">
            <v>38828</v>
          </cell>
        </row>
        <row r="1751">
          <cell r="A1751">
            <v>2006</v>
          </cell>
          <cell r="B1751">
            <v>2</v>
          </cell>
          <cell r="C1751">
            <v>288</v>
          </cell>
          <cell r="D1751">
            <v>21</v>
          </cell>
          <cell r="E1751">
            <v>792020</v>
          </cell>
          <cell r="F1751">
            <v>0</v>
          </cell>
          <cell r="G1751" t="str">
            <v>Затраты по ШПЗ (основные)</v>
          </cell>
          <cell r="H1751">
            <v>2011</v>
          </cell>
          <cell r="I1751">
            <v>7920</v>
          </cell>
          <cell r="J1751">
            <v>38378.74</v>
          </cell>
          <cell r="K1751">
            <v>1</v>
          </cell>
          <cell r="L1751">
            <v>0</v>
          </cell>
          <cell r="M1751">
            <v>0</v>
          </cell>
          <cell r="N1751">
            <v>0</v>
          </cell>
          <cell r="R1751">
            <v>0</v>
          </cell>
          <cell r="S1751">
            <v>0</v>
          </cell>
          <cell r="T1751">
            <v>0</v>
          </cell>
          <cell r="U1751">
            <v>36</v>
          </cell>
          <cell r="V1751">
            <v>0</v>
          </cell>
          <cell r="W1751">
            <v>0</v>
          </cell>
          <cell r="AA1751">
            <v>0</v>
          </cell>
          <cell r="AB1751">
            <v>0</v>
          </cell>
          <cell r="AC1751">
            <v>0</v>
          </cell>
          <cell r="AD1751">
            <v>36</v>
          </cell>
          <cell r="AE1751">
            <v>260000</v>
          </cell>
          <cell r="AF1751">
            <v>0</v>
          </cell>
          <cell r="AI1751">
            <v>2251</v>
          </cell>
          <cell r="AK1751">
            <v>0</v>
          </cell>
          <cell r="AM1751">
            <v>417</v>
          </cell>
          <cell r="AN1751">
            <v>1</v>
          </cell>
          <cell r="AO1751">
            <v>393216</v>
          </cell>
          <cell r="AQ1751">
            <v>0</v>
          </cell>
          <cell r="AR1751">
            <v>0</v>
          </cell>
          <cell r="AS1751" t="str">
            <v>Ы</v>
          </cell>
          <cell r="AT1751" t="str">
            <v>Ы</v>
          </cell>
          <cell r="AU1751">
            <v>0</v>
          </cell>
          <cell r="AV1751">
            <v>0</v>
          </cell>
          <cell r="AW1751">
            <v>23</v>
          </cell>
          <cell r="AX1751">
            <v>1</v>
          </cell>
          <cell r="AY1751">
            <v>0</v>
          </cell>
          <cell r="AZ1751">
            <v>0</v>
          </cell>
          <cell r="BA1751">
            <v>0</v>
          </cell>
          <cell r="BB1751">
            <v>0</v>
          </cell>
          <cell r="BC1751">
            <v>38828</v>
          </cell>
        </row>
        <row r="1752">
          <cell r="A1752">
            <v>2006</v>
          </cell>
          <cell r="B1752">
            <v>2</v>
          </cell>
          <cell r="C1752">
            <v>289</v>
          </cell>
          <cell r="D1752">
            <v>21</v>
          </cell>
          <cell r="E1752">
            <v>792020</v>
          </cell>
          <cell r="F1752">
            <v>0</v>
          </cell>
          <cell r="G1752" t="str">
            <v>Затраты по ШПЗ (основные)</v>
          </cell>
          <cell r="H1752">
            <v>2011</v>
          </cell>
          <cell r="I1752">
            <v>7920</v>
          </cell>
          <cell r="J1752">
            <v>197465.84</v>
          </cell>
          <cell r="K1752">
            <v>1</v>
          </cell>
          <cell r="L1752">
            <v>0</v>
          </cell>
          <cell r="M1752">
            <v>0</v>
          </cell>
          <cell r="N1752">
            <v>0</v>
          </cell>
          <cell r="R1752">
            <v>0</v>
          </cell>
          <cell r="S1752">
            <v>0</v>
          </cell>
          <cell r="T1752">
            <v>0</v>
          </cell>
          <cell r="U1752">
            <v>36</v>
          </cell>
          <cell r="V1752">
            <v>0</v>
          </cell>
          <cell r="W1752">
            <v>0</v>
          </cell>
          <cell r="AA1752">
            <v>0</v>
          </cell>
          <cell r="AB1752">
            <v>0</v>
          </cell>
          <cell r="AC1752">
            <v>0</v>
          </cell>
          <cell r="AD1752">
            <v>36</v>
          </cell>
          <cell r="AE1752">
            <v>270000</v>
          </cell>
          <cell r="AF1752">
            <v>0</v>
          </cell>
          <cell r="AI1752">
            <v>2251</v>
          </cell>
          <cell r="AK1752">
            <v>0</v>
          </cell>
          <cell r="AM1752">
            <v>418</v>
          </cell>
          <cell r="AN1752">
            <v>1</v>
          </cell>
          <cell r="AO1752">
            <v>393216</v>
          </cell>
          <cell r="AQ1752">
            <v>0</v>
          </cell>
          <cell r="AR1752">
            <v>0</v>
          </cell>
          <cell r="AS1752" t="str">
            <v>Ы</v>
          </cell>
          <cell r="AT1752" t="str">
            <v>Ы</v>
          </cell>
          <cell r="AU1752">
            <v>0</v>
          </cell>
          <cell r="AV1752">
            <v>0</v>
          </cell>
          <cell r="AW1752">
            <v>23</v>
          </cell>
          <cell r="AX1752">
            <v>1</v>
          </cell>
          <cell r="AY1752">
            <v>0</v>
          </cell>
          <cell r="AZ1752">
            <v>0</v>
          </cell>
          <cell r="BA1752">
            <v>0</v>
          </cell>
          <cell r="BB1752">
            <v>0</v>
          </cell>
          <cell r="BC1752">
            <v>38828</v>
          </cell>
        </row>
        <row r="1753">
          <cell r="A1753">
            <v>2006</v>
          </cell>
          <cell r="B1753">
            <v>2</v>
          </cell>
          <cell r="C1753">
            <v>290</v>
          </cell>
          <cell r="D1753">
            <v>21</v>
          </cell>
          <cell r="E1753">
            <v>792020</v>
          </cell>
          <cell r="F1753">
            <v>0</v>
          </cell>
          <cell r="G1753" t="str">
            <v>Затраты по ШПЗ (основные)</v>
          </cell>
          <cell r="H1753">
            <v>2011</v>
          </cell>
          <cell r="I1753">
            <v>7920</v>
          </cell>
          <cell r="J1753">
            <v>5490.28</v>
          </cell>
          <cell r="K1753">
            <v>1</v>
          </cell>
          <cell r="L1753">
            <v>0</v>
          </cell>
          <cell r="M1753">
            <v>0</v>
          </cell>
          <cell r="N1753">
            <v>0</v>
          </cell>
          <cell r="R1753">
            <v>0</v>
          </cell>
          <cell r="S1753">
            <v>0</v>
          </cell>
          <cell r="T1753">
            <v>0</v>
          </cell>
          <cell r="U1753">
            <v>36</v>
          </cell>
          <cell r="V1753">
            <v>0</v>
          </cell>
          <cell r="W1753">
            <v>0</v>
          </cell>
          <cell r="AA1753">
            <v>0</v>
          </cell>
          <cell r="AB1753">
            <v>0</v>
          </cell>
          <cell r="AC1753">
            <v>0</v>
          </cell>
          <cell r="AD1753">
            <v>36</v>
          </cell>
          <cell r="AE1753">
            <v>280000</v>
          </cell>
          <cell r="AF1753">
            <v>0</v>
          </cell>
          <cell r="AI1753">
            <v>2251</v>
          </cell>
          <cell r="AK1753">
            <v>0</v>
          </cell>
          <cell r="AM1753">
            <v>419</v>
          </cell>
          <cell r="AN1753">
            <v>1</v>
          </cell>
          <cell r="AO1753">
            <v>393216</v>
          </cell>
          <cell r="AQ1753">
            <v>0</v>
          </cell>
          <cell r="AR1753">
            <v>0</v>
          </cell>
          <cell r="AS1753" t="str">
            <v>Ы</v>
          </cell>
          <cell r="AT1753" t="str">
            <v>Ы</v>
          </cell>
          <cell r="AU1753">
            <v>0</v>
          </cell>
          <cell r="AV1753">
            <v>0</v>
          </cell>
          <cell r="AW1753">
            <v>23</v>
          </cell>
          <cell r="AX1753">
            <v>1</v>
          </cell>
          <cell r="AY1753">
            <v>0</v>
          </cell>
          <cell r="AZ1753">
            <v>0</v>
          </cell>
          <cell r="BA1753">
            <v>0</v>
          </cell>
          <cell r="BB1753">
            <v>0</v>
          </cell>
          <cell r="BC1753">
            <v>38828</v>
          </cell>
        </row>
        <row r="1754">
          <cell r="A1754">
            <v>2006</v>
          </cell>
          <cell r="B1754">
            <v>2</v>
          </cell>
          <cell r="C1754">
            <v>291</v>
          </cell>
          <cell r="D1754">
            <v>21</v>
          </cell>
          <cell r="E1754">
            <v>792020</v>
          </cell>
          <cell r="F1754">
            <v>0</v>
          </cell>
          <cell r="G1754" t="str">
            <v>Затраты по ШПЗ (основные)</v>
          </cell>
          <cell r="H1754">
            <v>2011</v>
          </cell>
          <cell r="I1754">
            <v>7920</v>
          </cell>
          <cell r="J1754">
            <v>80888.37</v>
          </cell>
          <cell r="K1754">
            <v>1</v>
          </cell>
          <cell r="L1754">
            <v>0</v>
          </cell>
          <cell r="M1754">
            <v>0</v>
          </cell>
          <cell r="N1754">
            <v>0</v>
          </cell>
          <cell r="R1754">
            <v>0</v>
          </cell>
          <cell r="S1754">
            <v>0</v>
          </cell>
          <cell r="T1754">
            <v>0</v>
          </cell>
          <cell r="U1754">
            <v>36</v>
          </cell>
          <cell r="V1754">
            <v>0</v>
          </cell>
          <cell r="W1754">
            <v>0</v>
          </cell>
          <cell r="AA1754">
            <v>0</v>
          </cell>
          <cell r="AB1754">
            <v>0</v>
          </cell>
          <cell r="AC1754">
            <v>0</v>
          </cell>
          <cell r="AD1754">
            <v>36</v>
          </cell>
          <cell r="AE1754">
            <v>280100</v>
          </cell>
          <cell r="AF1754">
            <v>0</v>
          </cell>
          <cell r="AI1754">
            <v>2251</v>
          </cell>
          <cell r="AK1754">
            <v>0</v>
          </cell>
          <cell r="AM1754">
            <v>420</v>
          </cell>
          <cell r="AN1754">
            <v>1</v>
          </cell>
          <cell r="AO1754">
            <v>393216</v>
          </cell>
          <cell r="AQ1754">
            <v>0</v>
          </cell>
          <cell r="AR1754">
            <v>0</v>
          </cell>
          <cell r="AS1754" t="str">
            <v>Ы</v>
          </cell>
          <cell r="AT1754" t="str">
            <v>Ы</v>
          </cell>
          <cell r="AU1754">
            <v>0</v>
          </cell>
          <cell r="AV1754">
            <v>0</v>
          </cell>
          <cell r="AW1754">
            <v>23</v>
          </cell>
          <cell r="AX1754">
            <v>1</v>
          </cell>
          <cell r="AY1754">
            <v>0</v>
          </cell>
          <cell r="AZ1754">
            <v>0</v>
          </cell>
          <cell r="BA1754">
            <v>0</v>
          </cell>
          <cell r="BB1754">
            <v>0</v>
          </cell>
          <cell r="BC1754">
            <v>38828</v>
          </cell>
        </row>
        <row r="1755">
          <cell r="A1755">
            <v>2006</v>
          </cell>
          <cell r="B1755">
            <v>2</v>
          </cell>
          <cell r="C1755">
            <v>292</v>
          </cell>
          <cell r="D1755">
            <v>21</v>
          </cell>
          <cell r="E1755">
            <v>792020</v>
          </cell>
          <cell r="F1755">
            <v>0</v>
          </cell>
          <cell r="G1755" t="str">
            <v>Затраты по ШПЗ (основные)</v>
          </cell>
          <cell r="H1755">
            <v>2011</v>
          </cell>
          <cell r="I1755">
            <v>7920</v>
          </cell>
          <cell r="J1755">
            <v>1735.41</v>
          </cell>
          <cell r="K1755">
            <v>1</v>
          </cell>
          <cell r="L1755">
            <v>0</v>
          </cell>
          <cell r="M1755">
            <v>0</v>
          </cell>
          <cell r="N1755">
            <v>0</v>
          </cell>
          <cell r="R1755">
            <v>0</v>
          </cell>
          <cell r="S1755">
            <v>0</v>
          </cell>
          <cell r="T1755">
            <v>0</v>
          </cell>
          <cell r="U1755">
            <v>36</v>
          </cell>
          <cell r="V1755">
            <v>0</v>
          </cell>
          <cell r="W1755">
            <v>0</v>
          </cell>
          <cell r="AA1755">
            <v>0</v>
          </cell>
          <cell r="AB1755">
            <v>0</v>
          </cell>
          <cell r="AC1755">
            <v>0</v>
          </cell>
          <cell r="AD1755">
            <v>36</v>
          </cell>
          <cell r="AE1755">
            <v>280200</v>
          </cell>
          <cell r="AF1755">
            <v>0</v>
          </cell>
          <cell r="AI1755">
            <v>2251</v>
          </cell>
          <cell r="AK1755">
            <v>0</v>
          </cell>
          <cell r="AM1755">
            <v>421</v>
          </cell>
          <cell r="AN1755">
            <v>1</v>
          </cell>
          <cell r="AO1755">
            <v>393216</v>
          </cell>
          <cell r="AQ1755">
            <v>0</v>
          </cell>
          <cell r="AR1755">
            <v>0</v>
          </cell>
          <cell r="AS1755" t="str">
            <v>Ы</v>
          </cell>
          <cell r="AT1755" t="str">
            <v>Ы</v>
          </cell>
          <cell r="AU1755">
            <v>0</v>
          </cell>
          <cell r="AV1755">
            <v>0</v>
          </cell>
          <cell r="AW1755">
            <v>23</v>
          </cell>
          <cell r="AX1755">
            <v>1</v>
          </cell>
          <cell r="AY1755">
            <v>0</v>
          </cell>
          <cell r="AZ1755">
            <v>0</v>
          </cell>
          <cell r="BA1755">
            <v>0</v>
          </cell>
          <cell r="BB1755">
            <v>0</v>
          </cell>
          <cell r="BC1755">
            <v>38828</v>
          </cell>
        </row>
        <row r="1756">
          <cell r="A1756">
            <v>2006</v>
          </cell>
          <cell r="B1756">
            <v>2</v>
          </cell>
          <cell r="C1756">
            <v>293</v>
          </cell>
          <cell r="D1756">
            <v>21</v>
          </cell>
          <cell r="E1756">
            <v>792020</v>
          </cell>
          <cell r="F1756">
            <v>0</v>
          </cell>
          <cell r="G1756" t="str">
            <v>Затраты по ШПЗ (основные)</v>
          </cell>
          <cell r="H1756">
            <v>2011</v>
          </cell>
          <cell r="I1756">
            <v>7920</v>
          </cell>
          <cell r="J1756">
            <v>16254.04</v>
          </cell>
          <cell r="K1756">
            <v>1</v>
          </cell>
          <cell r="L1756">
            <v>0</v>
          </cell>
          <cell r="M1756">
            <v>0</v>
          </cell>
          <cell r="N1756">
            <v>0</v>
          </cell>
          <cell r="R1756">
            <v>0</v>
          </cell>
          <cell r="S1756">
            <v>0</v>
          </cell>
          <cell r="T1756">
            <v>0</v>
          </cell>
          <cell r="U1756">
            <v>36</v>
          </cell>
          <cell r="V1756">
            <v>0</v>
          </cell>
          <cell r="W1756">
            <v>0</v>
          </cell>
          <cell r="AA1756">
            <v>0</v>
          </cell>
          <cell r="AB1756">
            <v>0</v>
          </cell>
          <cell r="AC1756">
            <v>0</v>
          </cell>
          <cell r="AD1756">
            <v>36</v>
          </cell>
          <cell r="AE1756">
            <v>280300</v>
          </cell>
          <cell r="AF1756">
            <v>0</v>
          </cell>
          <cell r="AI1756">
            <v>2251</v>
          </cell>
          <cell r="AK1756">
            <v>0</v>
          </cell>
          <cell r="AM1756">
            <v>422</v>
          </cell>
          <cell r="AN1756">
            <v>1</v>
          </cell>
          <cell r="AO1756">
            <v>393216</v>
          </cell>
          <cell r="AQ1756">
            <v>0</v>
          </cell>
          <cell r="AR1756">
            <v>0</v>
          </cell>
          <cell r="AS1756" t="str">
            <v>Ы</v>
          </cell>
          <cell r="AT1756" t="str">
            <v>Ы</v>
          </cell>
          <cell r="AU1756">
            <v>0</v>
          </cell>
          <cell r="AV1756">
            <v>0</v>
          </cell>
          <cell r="AW1756">
            <v>23</v>
          </cell>
          <cell r="AX1756">
            <v>1</v>
          </cell>
          <cell r="AY1756">
            <v>0</v>
          </cell>
          <cell r="AZ1756">
            <v>0</v>
          </cell>
          <cell r="BA1756">
            <v>0</v>
          </cell>
          <cell r="BB1756">
            <v>0</v>
          </cell>
          <cell r="BC1756">
            <v>38828</v>
          </cell>
        </row>
        <row r="1757">
          <cell r="A1757">
            <v>2006</v>
          </cell>
          <cell r="B1757">
            <v>2</v>
          </cell>
          <cell r="C1757">
            <v>294</v>
          </cell>
          <cell r="D1757">
            <v>21</v>
          </cell>
          <cell r="E1757">
            <v>792020</v>
          </cell>
          <cell r="F1757">
            <v>0</v>
          </cell>
          <cell r="G1757" t="str">
            <v>Затраты по ШПЗ (основные)</v>
          </cell>
          <cell r="H1757">
            <v>2011</v>
          </cell>
          <cell r="I1757">
            <v>7920</v>
          </cell>
          <cell r="J1757">
            <v>130064.51</v>
          </cell>
          <cell r="K1757">
            <v>1</v>
          </cell>
          <cell r="L1757">
            <v>0</v>
          </cell>
          <cell r="M1757">
            <v>0</v>
          </cell>
          <cell r="N1757">
            <v>0</v>
          </cell>
          <cell r="R1757">
            <v>0</v>
          </cell>
          <cell r="S1757">
            <v>0</v>
          </cell>
          <cell r="T1757">
            <v>0</v>
          </cell>
          <cell r="U1757">
            <v>36</v>
          </cell>
          <cell r="V1757">
            <v>0</v>
          </cell>
          <cell r="W1757">
            <v>0</v>
          </cell>
          <cell r="AA1757">
            <v>0</v>
          </cell>
          <cell r="AB1757">
            <v>0</v>
          </cell>
          <cell r="AC1757">
            <v>0</v>
          </cell>
          <cell r="AD1757">
            <v>36</v>
          </cell>
          <cell r="AE1757">
            <v>280400</v>
          </cell>
          <cell r="AF1757">
            <v>0</v>
          </cell>
          <cell r="AI1757">
            <v>2251</v>
          </cell>
          <cell r="AK1757">
            <v>0</v>
          </cell>
          <cell r="AM1757">
            <v>423</v>
          </cell>
          <cell r="AN1757">
            <v>1</v>
          </cell>
          <cell r="AO1757">
            <v>393216</v>
          </cell>
          <cell r="AQ1757">
            <v>0</v>
          </cell>
          <cell r="AR1757">
            <v>0</v>
          </cell>
          <cell r="AS1757" t="str">
            <v>Ы</v>
          </cell>
          <cell r="AT1757" t="str">
            <v>Ы</v>
          </cell>
          <cell r="AU1757">
            <v>0</v>
          </cell>
          <cell r="AV1757">
            <v>0</v>
          </cell>
          <cell r="AW1757">
            <v>23</v>
          </cell>
          <cell r="AX1757">
            <v>1</v>
          </cell>
          <cell r="AY1757">
            <v>0</v>
          </cell>
          <cell r="AZ1757">
            <v>0</v>
          </cell>
          <cell r="BA1757">
            <v>0</v>
          </cell>
          <cell r="BB1757">
            <v>0</v>
          </cell>
          <cell r="BC1757">
            <v>38828</v>
          </cell>
        </row>
        <row r="1758">
          <cell r="A1758">
            <v>2006</v>
          </cell>
          <cell r="B1758">
            <v>2</v>
          </cell>
          <cell r="C1758">
            <v>295</v>
          </cell>
          <cell r="D1758">
            <v>21</v>
          </cell>
          <cell r="E1758">
            <v>792020</v>
          </cell>
          <cell r="F1758">
            <v>0</v>
          </cell>
          <cell r="G1758" t="str">
            <v>Затраты по ШПЗ (основные)</v>
          </cell>
          <cell r="H1758">
            <v>2011</v>
          </cell>
          <cell r="I1758">
            <v>7920</v>
          </cell>
          <cell r="J1758">
            <v>16911.759999999998</v>
          </cell>
          <cell r="K1758">
            <v>1</v>
          </cell>
          <cell r="L1758">
            <v>0</v>
          </cell>
          <cell r="M1758">
            <v>0</v>
          </cell>
          <cell r="N1758">
            <v>0</v>
          </cell>
          <cell r="R1758">
            <v>0</v>
          </cell>
          <cell r="S1758">
            <v>0</v>
          </cell>
          <cell r="T1758">
            <v>0</v>
          </cell>
          <cell r="U1758">
            <v>36</v>
          </cell>
          <cell r="V1758">
            <v>0</v>
          </cell>
          <cell r="W1758">
            <v>0</v>
          </cell>
          <cell r="AA1758">
            <v>0</v>
          </cell>
          <cell r="AB1758">
            <v>0</v>
          </cell>
          <cell r="AC1758">
            <v>0</v>
          </cell>
          <cell r="AD1758">
            <v>36</v>
          </cell>
          <cell r="AE1758">
            <v>281000</v>
          </cell>
          <cell r="AF1758">
            <v>0</v>
          </cell>
          <cell r="AI1758">
            <v>2251</v>
          </cell>
          <cell r="AK1758">
            <v>0</v>
          </cell>
          <cell r="AM1758">
            <v>424</v>
          </cell>
          <cell r="AN1758">
            <v>1</v>
          </cell>
          <cell r="AO1758">
            <v>393216</v>
          </cell>
          <cell r="AQ1758">
            <v>0</v>
          </cell>
          <cell r="AR1758">
            <v>0</v>
          </cell>
          <cell r="AS1758" t="str">
            <v>Ы</v>
          </cell>
          <cell r="AT1758" t="str">
            <v>Ы</v>
          </cell>
          <cell r="AU1758">
            <v>0</v>
          </cell>
          <cell r="AV1758">
            <v>0</v>
          </cell>
          <cell r="AW1758">
            <v>23</v>
          </cell>
          <cell r="AX1758">
            <v>1</v>
          </cell>
          <cell r="AY1758">
            <v>0</v>
          </cell>
          <cell r="AZ1758">
            <v>0</v>
          </cell>
          <cell r="BA1758">
            <v>0</v>
          </cell>
          <cell r="BB1758">
            <v>0</v>
          </cell>
          <cell r="BC1758">
            <v>38828</v>
          </cell>
        </row>
        <row r="1759">
          <cell r="A1759">
            <v>2006</v>
          </cell>
          <cell r="B1759">
            <v>2</v>
          </cell>
          <cell r="C1759">
            <v>296</v>
          </cell>
          <cell r="D1759">
            <v>21</v>
          </cell>
          <cell r="E1759">
            <v>792020</v>
          </cell>
          <cell r="F1759">
            <v>0</v>
          </cell>
          <cell r="G1759" t="str">
            <v>Затраты по ШПЗ (основные)</v>
          </cell>
          <cell r="H1759">
            <v>2011</v>
          </cell>
          <cell r="I1759">
            <v>7920</v>
          </cell>
          <cell r="J1759">
            <v>5297.06</v>
          </cell>
          <cell r="K1759">
            <v>1</v>
          </cell>
          <cell r="L1759">
            <v>0</v>
          </cell>
          <cell r="M1759">
            <v>0</v>
          </cell>
          <cell r="N1759">
            <v>0</v>
          </cell>
          <cell r="R1759">
            <v>0</v>
          </cell>
          <cell r="S1759">
            <v>0</v>
          </cell>
          <cell r="T1759">
            <v>0</v>
          </cell>
          <cell r="U1759">
            <v>36</v>
          </cell>
          <cell r="V1759">
            <v>0</v>
          </cell>
          <cell r="W1759">
            <v>0</v>
          </cell>
          <cell r="AA1759">
            <v>0</v>
          </cell>
          <cell r="AB1759">
            <v>0</v>
          </cell>
          <cell r="AC1759">
            <v>0</v>
          </cell>
          <cell r="AD1759">
            <v>36</v>
          </cell>
          <cell r="AE1759">
            <v>281100</v>
          </cell>
          <cell r="AF1759">
            <v>0</v>
          </cell>
          <cell r="AI1759">
            <v>2251</v>
          </cell>
          <cell r="AK1759">
            <v>0</v>
          </cell>
          <cell r="AM1759">
            <v>425</v>
          </cell>
          <cell r="AN1759">
            <v>1</v>
          </cell>
          <cell r="AO1759">
            <v>393216</v>
          </cell>
          <cell r="AQ1759">
            <v>0</v>
          </cell>
          <cell r="AR1759">
            <v>0</v>
          </cell>
          <cell r="AS1759" t="str">
            <v>Ы</v>
          </cell>
          <cell r="AT1759" t="str">
            <v>Ы</v>
          </cell>
          <cell r="AU1759">
            <v>0</v>
          </cell>
          <cell r="AV1759">
            <v>0</v>
          </cell>
          <cell r="AW1759">
            <v>23</v>
          </cell>
          <cell r="AX1759">
            <v>1</v>
          </cell>
          <cell r="AY1759">
            <v>0</v>
          </cell>
          <cell r="AZ1759">
            <v>0</v>
          </cell>
          <cell r="BA1759">
            <v>0</v>
          </cell>
          <cell r="BB1759">
            <v>0</v>
          </cell>
          <cell r="BC1759">
            <v>38828</v>
          </cell>
        </row>
        <row r="1760">
          <cell r="A1760">
            <v>2006</v>
          </cell>
          <cell r="B1760">
            <v>2</v>
          </cell>
          <cell r="C1760">
            <v>297</v>
          </cell>
          <cell r="D1760">
            <v>21</v>
          </cell>
          <cell r="E1760">
            <v>792020</v>
          </cell>
          <cell r="F1760">
            <v>0</v>
          </cell>
          <cell r="G1760" t="str">
            <v>Затраты по ШПЗ (основные)</v>
          </cell>
          <cell r="H1760">
            <v>2011</v>
          </cell>
          <cell r="I1760">
            <v>7920</v>
          </cell>
          <cell r="J1760">
            <v>12890.73</v>
          </cell>
          <cell r="K1760">
            <v>1</v>
          </cell>
          <cell r="L1760">
            <v>0</v>
          </cell>
          <cell r="M1760">
            <v>0</v>
          </cell>
          <cell r="N1760">
            <v>0</v>
          </cell>
          <cell r="R1760">
            <v>0</v>
          </cell>
          <cell r="S1760">
            <v>0</v>
          </cell>
          <cell r="T1760">
            <v>0</v>
          </cell>
          <cell r="U1760">
            <v>36</v>
          </cell>
          <cell r="V1760">
            <v>0</v>
          </cell>
          <cell r="W1760">
            <v>0</v>
          </cell>
          <cell r="AA1760">
            <v>0</v>
          </cell>
          <cell r="AB1760">
            <v>0</v>
          </cell>
          <cell r="AC1760">
            <v>0</v>
          </cell>
          <cell r="AD1760">
            <v>36</v>
          </cell>
          <cell r="AE1760">
            <v>281200</v>
          </cell>
          <cell r="AF1760">
            <v>0</v>
          </cell>
          <cell r="AI1760">
            <v>2251</v>
          </cell>
          <cell r="AK1760">
            <v>0</v>
          </cell>
          <cell r="AM1760">
            <v>426</v>
          </cell>
          <cell r="AN1760">
            <v>1</v>
          </cell>
          <cell r="AO1760">
            <v>393216</v>
          </cell>
          <cell r="AQ1760">
            <v>0</v>
          </cell>
          <cell r="AR1760">
            <v>0</v>
          </cell>
          <cell r="AS1760" t="str">
            <v>Ы</v>
          </cell>
          <cell r="AT1760" t="str">
            <v>Ы</v>
          </cell>
          <cell r="AU1760">
            <v>0</v>
          </cell>
          <cell r="AV1760">
            <v>0</v>
          </cell>
          <cell r="AW1760">
            <v>23</v>
          </cell>
          <cell r="AX1760">
            <v>1</v>
          </cell>
          <cell r="AY1760">
            <v>0</v>
          </cell>
          <cell r="AZ1760">
            <v>0</v>
          </cell>
          <cell r="BA1760">
            <v>0</v>
          </cell>
          <cell r="BB1760">
            <v>0</v>
          </cell>
          <cell r="BC1760">
            <v>38828</v>
          </cell>
        </row>
        <row r="1761">
          <cell r="A1761">
            <v>2006</v>
          </cell>
          <cell r="B1761">
            <v>2</v>
          </cell>
          <cell r="C1761">
            <v>298</v>
          </cell>
          <cell r="D1761">
            <v>21</v>
          </cell>
          <cell r="E1761">
            <v>792020</v>
          </cell>
          <cell r="F1761">
            <v>0</v>
          </cell>
          <cell r="G1761" t="str">
            <v>Затраты по ШПЗ (основные)</v>
          </cell>
          <cell r="H1761">
            <v>2011</v>
          </cell>
          <cell r="I1761">
            <v>7920</v>
          </cell>
          <cell r="J1761">
            <v>100</v>
          </cell>
          <cell r="K1761">
            <v>1</v>
          </cell>
          <cell r="L1761">
            <v>0</v>
          </cell>
          <cell r="M1761">
            <v>0</v>
          </cell>
          <cell r="N1761">
            <v>0</v>
          </cell>
          <cell r="R1761">
            <v>0</v>
          </cell>
          <cell r="S1761">
            <v>0</v>
          </cell>
          <cell r="T1761">
            <v>0</v>
          </cell>
          <cell r="U1761">
            <v>36</v>
          </cell>
          <cell r="V1761">
            <v>0</v>
          </cell>
          <cell r="W1761">
            <v>0</v>
          </cell>
          <cell r="AA1761">
            <v>0</v>
          </cell>
          <cell r="AB1761">
            <v>0</v>
          </cell>
          <cell r="AC1761">
            <v>0</v>
          </cell>
          <cell r="AD1761">
            <v>36</v>
          </cell>
          <cell r="AE1761">
            <v>282000</v>
          </cell>
          <cell r="AF1761">
            <v>0</v>
          </cell>
          <cell r="AI1761">
            <v>2251</v>
          </cell>
          <cell r="AK1761">
            <v>0</v>
          </cell>
          <cell r="AM1761">
            <v>427</v>
          </cell>
          <cell r="AN1761">
            <v>1</v>
          </cell>
          <cell r="AO1761">
            <v>393216</v>
          </cell>
          <cell r="AQ1761">
            <v>0</v>
          </cell>
          <cell r="AR1761">
            <v>0</v>
          </cell>
          <cell r="AS1761" t="str">
            <v>Ы</v>
          </cell>
          <cell r="AT1761" t="str">
            <v>Ы</v>
          </cell>
          <cell r="AU1761">
            <v>0</v>
          </cell>
          <cell r="AV1761">
            <v>0</v>
          </cell>
          <cell r="AW1761">
            <v>23</v>
          </cell>
          <cell r="AX1761">
            <v>1</v>
          </cell>
          <cell r="AY1761">
            <v>0</v>
          </cell>
          <cell r="AZ1761">
            <v>0</v>
          </cell>
          <cell r="BA1761">
            <v>0</v>
          </cell>
          <cell r="BB1761">
            <v>0</v>
          </cell>
          <cell r="BC1761">
            <v>38828</v>
          </cell>
        </row>
        <row r="1762">
          <cell r="A1762">
            <v>2006</v>
          </cell>
          <cell r="B1762">
            <v>2</v>
          </cell>
          <cell r="C1762">
            <v>299</v>
          </cell>
          <cell r="D1762">
            <v>21</v>
          </cell>
          <cell r="E1762">
            <v>792020</v>
          </cell>
          <cell r="F1762">
            <v>0</v>
          </cell>
          <cell r="G1762" t="str">
            <v>Затраты по ШПЗ (основные)</v>
          </cell>
          <cell r="H1762">
            <v>2011</v>
          </cell>
          <cell r="I1762">
            <v>7920</v>
          </cell>
          <cell r="J1762">
            <v>12595.42</v>
          </cell>
          <cell r="K1762">
            <v>1</v>
          </cell>
          <cell r="L1762">
            <v>0</v>
          </cell>
          <cell r="M1762">
            <v>0</v>
          </cell>
          <cell r="N1762">
            <v>0</v>
          </cell>
          <cell r="R1762">
            <v>0</v>
          </cell>
          <cell r="S1762">
            <v>0</v>
          </cell>
          <cell r="T1762">
            <v>0</v>
          </cell>
          <cell r="U1762">
            <v>36</v>
          </cell>
          <cell r="V1762">
            <v>0</v>
          </cell>
          <cell r="W1762">
            <v>0</v>
          </cell>
          <cell r="AA1762">
            <v>0</v>
          </cell>
          <cell r="AB1762">
            <v>0</v>
          </cell>
          <cell r="AC1762">
            <v>0</v>
          </cell>
          <cell r="AD1762">
            <v>36</v>
          </cell>
          <cell r="AE1762">
            <v>282200</v>
          </cell>
          <cell r="AF1762">
            <v>0</v>
          </cell>
          <cell r="AI1762">
            <v>2251</v>
          </cell>
          <cell r="AK1762">
            <v>0</v>
          </cell>
          <cell r="AM1762">
            <v>428</v>
          </cell>
          <cell r="AN1762">
            <v>1</v>
          </cell>
          <cell r="AO1762">
            <v>393216</v>
          </cell>
          <cell r="AQ1762">
            <v>0</v>
          </cell>
          <cell r="AR1762">
            <v>0</v>
          </cell>
          <cell r="AS1762" t="str">
            <v>Ы</v>
          </cell>
          <cell r="AT1762" t="str">
            <v>Ы</v>
          </cell>
          <cell r="AU1762">
            <v>0</v>
          </cell>
          <cell r="AV1762">
            <v>0</v>
          </cell>
          <cell r="AW1762">
            <v>23</v>
          </cell>
          <cell r="AX1762">
            <v>1</v>
          </cell>
          <cell r="AY1762">
            <v>0</v>
          </cell>
          <cell r="AZ1762">
            <v>0</v>
          </cell>
          <cell r="BA1762">
            <v>0</v>
          </cell>
          <cell r="BB1762">
            <v>0</v>
          </cell>
          <cell r="BC1762">
            <v>38828</v>
          </cell>
        </row>
        <row r="1763">
          <cell r="A1763">
            <v>2006</v>
          </cell>
          <cell r="B1763">
            <v>2</v>
          </cell>
          <cell r="C1763">
            <v>300</v>
          </cell>
          <cell r="D1763">
            <v>21</v>
          </cell>
          <cell r="E1763">
            <v>792020</v>
          </cell>
          <cell r="F1763">
            <v>0</v>
          </cell>
          <cell r="G1763" t="str">
            <v>Затраты по ШПЗ (основные)</v>
          </cell>
          <cell r="H1763">
            <v>2011</v>
          </cell>
          <cell r="I1763">
            <v>7920</v>
          </cell>
          <cell r="J1763">
            <v>8426.9</v>
          </cell>
          <cell r="K1763">
            <v>1</v>
          </cell>
          <cell r="L1763">
            <v>0</v>
          </cell>
          <cell r="M1763">
            <v>0</v>
          </cell>
          <cell r="N1763">
            <v>0</v>
          </cell>
          <cell r="R1763">
            <v>0</v>
          </cell>
          <cell r="S1763">
            <v>0</v>
          </cell>
          <cell r="T1763">
            <v>0</v>
          </cell>
          <cell r="U1763">
            <v>36</v>
          </cell>
          <cell r="V1763">
            <v>0</v>
          </cell>
          <cell r="W1763">
            <v>0</v>
          </cell>
          <cell r="AA1763">
            <v>0</v>
          </cell>
          <cell r="AB1763">
            <v>0</v>
          </cell>
          <cell r="AC1763">
            <v>0</v>
          </cell>
          <cell r="AD1763">
            <v>36</v>
          </cell>
          <cell r="AE1763">
            <v>282300</v>
          </cell>
          <cell r="AF1763">
            <v>0</v>
          </cell>
          <cell r="AI1763">
            <v>2251</v>
          </cell>
          <cell r="AK1763">
            <v>0</v>
          </cell>
          <cell r="AM1763">
            <v>429</v>
          </cell>
          <cell r="AN1763">
            <v>1</v>
          </cell>
          <cell r="AO1763">
            <v>393216</v>
          </cell>
          <cell r="AQ1763">
            <v>0</v>
          </cell>
          <cell r="AR1763">
            <v>0</v>
          </cell>
          <cell r="AS1763" t="str">
            <v>Ы</v>
          </cell>
          <cell r="AT1763" t="str">
            <v>Ы</v>
          </cell>
          <cell r="AU1763">
            <v>0</v>
          </cell>
          <cell r="AV1763">
            <v>0</v>
          </cell>
          <cell r="AW1763">
            <v>23</v>
          </cell>
          <cell r="AX1763">
            <v>1</v>
          </cell>
          <cell r="AY1763">
            <v>0</v>
          </cell>
          <cell r="AZ1763">
            <v>0</v>
          </cell>
          <cell r="BA1763">
            <v>0</v>
          </cell>
          <cell r="BB1763">
            <v>0</v>
          </cell>
          <cell r="BC1763">
            <v>38828</v>
          </cell>
        </row>
        <row r="1764">
          <cell r="A1764">
            <v>2006</v>
          </cell>
          <cell r="B1764">
            <v>2</v>
          </cell>
          <cell r="C1764">
            <v>301</v>
          </cell>
          <cell r="D1764">
            <v>21</v>
          </cell>
          <cell r="E1764">
            <v>792020</v>
          </cell>
          <cell r="F1764">
            <v>0</v>
          </cell>
          <cell r="G1764" t="str">
            <v>Затраты по ШПЗ (основные)</v>
          </cell>
          <cell r="H1764">
            <v>2011</v>
          </cell>
          <cell r="I1764">
            <v>7920</v>
          </cell>
          <cell r="J1764">
            <v>16174</v>
          </cell>
          <cell r="K1764">
            <v>1</v>
          </cell>
          <cell r="L1764">
            <v>0</v>
          </cell>
          <cell r="M1764">
            <v>0</v>
          </cell>
          <cell r="N1764">
            <v>0</v>
          </cell>
          <cell r="R1764">
            <v>0</v>
          </cell>
          <cell r="S1764">
            <v>0</v>
          </cell>
          <cell r="T1764">
            <v>0</v>
          </cell>
          <cell r="U1764">
            <v>36</v>
          </cell>
          <cell r="V1764">
            <v>0</v>
          </cell>
          <cell r="W1764">
            <v>0</v>
          </cell>
          <cell r="AA1764">
            <v>0</v>
          </cell>
          <cell r="AB1764">
            <v>0</v>
          </cell>
          <cell r="AC1764">
            <v>0</v>
          </cell>
          <cell r="AD1764">
            <v>36</v>
          </cell>
          <cell r="AE1764">
            <v>283000</v>
          </cell>
          <cell r="AF1764">
            <v>0</v>
          </cell>
          <cell r="AI1764">
            <v>2251</v>
          </cell>
          <cell r="AK1764">
            <v>0</v>
          </cell>
          <cell r="AM1764">
            <v>430</v>
          </cell>
          <cell r="AN1764">
            <v>1</v>
          </cell>
          <cell r="AO1764">
            <v>393216</v>
          </cell>
          <cell r="AQ1764">
            <v>0</v>
          </cell>
          <cell r="AR1764">
            <v>0</v>
          </cell>
          <cell r="AS1764" t="str">
            <v>Ы</v>
          </cell>
          <cell r="AT1764" t="str">
            <v>Ы</v>
          </cell>
          <cell r="AU1764">
            <v>0</v>
          </cell>
          <cell r="AV1764">
            <v>0</v>
          </cell>
          <cell r="AW1764">
            <v>23</v>
          </cell>
          <cell r="AX1764">
            <v>1</v>
          </cell>
          <cell r="AY1764">
            <v>0</v>
          </cell>
          <cell r="AZ1764">
            <v>0</v>
          </cell>
          <cell r="BA1764">
            <v>0</v>
          </cell>
          <cell r="BB1764">
            <v>0</v>
          </cell>
          <cell r="BC1764">
            <v>38828</v>
          </cell>
        </row>
        <row r="1765">
          <cell r="A1765">
            <v>2006</v>
          </cell>
          <cell r="B1765">
            <v>2</v>
          </cell>
          <cell r="C1765">
            <v>302</v>
          </cell>
          <cell r="D1765">
            <v>21</v>
          </cell>
          <cell r="E1765">
            <v>792020</v>
          </cell>
          <cell r="F1765">
            <v>0</v>
          </cell>
          <cell r="G1765" t="str">
            <v>Затраты по ШПЗ (основные)</v>
          </cell>
          <cell r="H1765">
            <v>2011</v>
          </cell>
          <cell r="I1765">
            <v>7920</v>
          </cell>
          <cell r="J1765">
            <v>11992.1</v>
          </cell>
          <cell r="K1765">
            <v>1</v>
          </cell>
          <cell r="L1765">
            <v>0</v>
          </cell>
          <cell r="M1765">
            <v>0</v>
          </cell>
          <cell r="N1765">
            <v>0</v>
          </cell>
          <cell r="R1765">
            <v>0</v>
          </cell>
          <cell r="S1765">
            <v>0</v>
          </cell>
          <cell r="T1765">
            <v>0</v>
          </cell>
          <cell r="U1765">
            <v>36</v>
          </cell>
          <cell r="V1765">
            <v>0</v>
          </cell>
          <cell r="W1765">
            <v>0</v>
          </cell>
          <cell r="AA1765">
            <v>0</v>
          </cell>
          <cell r="AB1765">
            <v>0</v>
          </cell>
          <cell r="AC1765">
            <v>0</v>
          </cell>
          <cell r="AD1765">
            <v>36</v>
          </cell>
          <cell r="AE1765">
            <v>285000</v>
          </cell>
          <cell r="AF1765">
            <v>0</v>
          </cell>
          <cell r="AI1765">
            <v>2251</v>
          </cell>
          <cell r="AK1765">
            <v>0</v>
          </cell>
          <cell r="AM1765">
            <v>431</v>
          </cell>
          <cell r="AN1765">
            <v>1</v>
          </cell>
          <cell r="AO1765">
            <v>393216</v>
          </cell>
          <cell r="AQ1765">
            <v>0</v>
          </cell>
          <cell r="AR1765">
            <v>0</v>
          </cell>
          <cell r="AS1765" t="str">
            <v>Ы</v>
          </cell>
          <cell r="AT1765" t="str">
            <v>Ы</v>
          </cell>
          <cell r="AU1765">
            <v>0</v>
          </cell>
          <cell r="AV1765">
            <v>0</v>
          </cell>
          <cell r="AW1765">
            <v>23</v>
          </cell>
          <cell r="AX1765">
            <v>1</v>
          </cell>
          <cell r="AY1765">
            <v>0</v>
          </cell>
          <cell r="AZ1765">
            <v>0</v>
          </cell>
          <cell r="BA1765">
            <v>0</v>
          </cell>
          <cell r="BB1765">
            <v>0</v>
          </cell>
          <cell r="BC1765">
            <v>38828</v>
          </cell>
        </row>
        <row r="1766">
          <cell r="A1766">
            <v>2006</v>
          </cell>
          <cell r="B1766">
            <v>2</v>
          </cell>
          <cell r="C1766">
            <v>303</v>
          </cell>
          <cell r="D1766">
            <v>21</v>
          </cell>
          <cell r="E1766">
            <v>792020</v>
          </cell>
          <cell r="F1766">
            <v>0</v>
          </cell>
          <cell r="G1766" t="str">
            <v>Затраты по ШПЗ (основные)</v>
          </cell>
          <cell r="H1766">
            <v>2011</v>
          </cell>
          <cell r="I1766">
            <v>7920</v>
          </cell>
          <cell r="J1766">
            <v>80225.53</v>
          </cell>
          <cell r="K1766">
            <v>1</v>
          </cell>
          <cell r="L1766">
            <v>0</v>
          </cell>
          <cell r="M1766">
            <v>0</v>
          </cell>
          <cell r="N1766">
            <v>0</v>
          </cell>
          <cell r="R1766">
            <v>0</v>
          </cell>
          <cell r="S1766">
            <v>0</v>
          </cell>
          <cell r="T1766">
            <v>0</v>
          </cell>
          <cell r="U1766">
            <v>36</v>
          </cell>
          <cell r="V1766">
            <v>0</v>
          </cell>
          <cell r="W1766">
            <v>0</v>
          </cell>
          <cell r="AA1766">
            <v>0</v>
          </cell>
          <cell r="AB1766">
            <v>0</v>
          </cell>
          <cell r="AC1766">
            <v>0</v>
          </cell>
          <cell r="AD1766">
            <v>36</v>
          </cell>
          <cell r="AE1766">
            <v>311000</v>
          </cell>
          <cell r="AF1766">
            <v>0</v>
          </cell>
          <cell r="AI1766">
            <v>2251</v>
          </cell>
          <cell r="AK1766">
            <v>0</v>
          </cell>
          <cell r="AM1766">
            <v>432</v>
          </cell>
          <cell r="AN1766">
            <v>1</v>
          </cell>
          <cell r="AO1766">
            <v>393216</v>
          </cell>
          <cell r="AQ1766">
            <v>0</v>
          </cell>
          <cell r="AR1766">
            <v>0</v>
          </cell>
          <cell r="AS1766" t="str">
            <v>Ы</v>
          </cell>
          <cell r="AT1766" t="str">
            <v>Ы</v>
          </cell>
          <cell r="AU1766">
            <v>0</v>
          </cell>
          <cell r="AV1766">
            <v>0</v>
          </cell>
          <cell r="AW1766">
            <v>23</v>
          </cell>
          <cell r="AX1766">
            <v>1</v>
          </cell>
          <cell r="AY1766">
            <v>0</v>
          </cell>
          <cell r="AZ1766">
            <v>0</v>
          </cell>
          <cell r="BA1766">
            <v>0</v>
          </cell>
          <cell r="BB1766">
            <v>0</v>
          </cell>
          <cell r="BC1766">
            <v>38828</v>
          </cell>
        </row>
        <row r="1767">
          <cell r="A1767">
            <v>2006</v>
          </cell>
          <cell r="B1767">
            <v>2</v>
          </cell>
          <cell r="C1767">
            <v>304</v>
          </cell>
          <cell r="D1767">
            <v>21</v>
          </cell>
          <cell r="E1767">
            <v>792020</v>
          </cell>
          <cell r="F1767">
            <v>0</v>
          </cell>
          <cell r="G1767" t="str">
            <v>Затраты по ШПЗ (основные)</v>
          </cell>
          <cell r="H1767">
            <v>2011</v>
          </cell>
          <cell r="I1767">
            <v>7920</v>
          </cell>
          <cell r="J1767">
            <v>276639.71999999997</v>
          </cell>
          <cell r="K1767">
            <v>1</v>
          </cell>
          <cell r="L1767">
            <v>0</v>
          </cell>
          <cell r="M1767">
            <v>0</v>
          </cell>
          <cell r="N1767">
            <v>0</v>
          </cell>
          <cell r="R1767">
            <v>0</v>
          </cell>
          <cell r="S1767">
            <v>0</v>
          </cell>
          <cell r="T1767">
            <v>0</v>
          </cell>
          <cell r="U1767">
            <v>36</v>
          </cell>
          <cell r="V1767">
            <v>0</v>
          </cell>
          <cell r="W1767">
            <v>0</v>
          </cell>
          <cell r="AA1767">
            <v>0</v>
          </cell>
          <cell r="AB1767">
            <v>0</v>
          </cell>
          <cell r="AC1767">
            <v>0</v>
          </cell>
          <cell r="AD1767">
            <v>36</v>
          </cell>
          <cell r="AE1767">
            <v>312000</v>
          </cell>
          <cell r="AF1767">
            <v>0</v>
          </cell>
          <cell r="AI1767">
            <v>2251</v>
          </cell>
          <cell r="AK1767">
            <v>0</v>
          </cell>
          <cell r="AM1767">
            <v>433</v>
          </cell>
          <cell r="AN1767">
            <v>1</v>
          </cell>
          <cell r="AO1767">
            <v>393216</v>
          </cell>
          <cell r="AQ1767">
            <v>0</v>
          </cell>
          <cell r="AR1767">
            <v>0</v>
          </cell>
          <cell r="AS1767" t="str">
            <v>Ы</v>
          </cell>
          <cell r="AT1767" t="str">
            <v>Ы</v>
          </cell>
          <cell r="AU1767">
            <v>0</v>
          </cell>
          <cell r="AV1767">
            <v>0</v>
          </cell>
          <cell r="AW1767">
            <v>23</v>
          </cell>
          <cell r="AX1767">
            <v>1</v>
          </cell>
          <cell r="AY1767">
            <v>0</v>
          </cell>
          <cell r="AZ1767">
            <v>0</v>
          </cell>
          <cell r="BA1767">
            <v>0</v>
          </cell>
          <cell r="BB1767">
            <v>0</v>
          </cell>
          <cell r="BC1767">
            <v>38828</v>
          </cell>
        </row>
        <row r="1768">
          <cell r="A1768">
            <v>2006</v>
          </cell>
          <cell r="B1768">
            <v>2</v>
          </cell>
          <cell r="C1768">
            <v>305</v>
          </cell>
          <cell r="D1768">
            <v>21</v>
          </cell>
          <cell r="E1768">
            <v>792020</v>
          </cell>
          <cell r="F1768">
            <v>0</v>
          </cell>
          <cell r="G1768" t="str">
            <v>Затраты по ШПЗ (основные)</v>
          </cell>
          <cell r="H1768">
            <v>2011</v>
          </cell>
          <cell r="I1768">
            <v>7920</v>
          </cell>
          <cell r="J1768">
            <v>31276.99</v>
          </cell>
          <cell r="K1768">
            <v>1</v>
          </cell>
          <cell r="L1768">
            <v>0</v>
          </cell>
          <cell r="M1768">
            <v>0</v>
          </cell>
          <cell r="N1768">
            <v>0</v>
          </cell>
          <cell r="R1768">
            <v>0</v>
          </cell>
          <cell r="S1768">
            <v>0</v>
          </cell>
          <cell r="T1768">
            <v>0</v>
          </cell>
          <cell r="U1768">
            <v>36</v>
          </cell>
          <cell r="V1768">
            <v>0</v>
          </cell>
          <cell r="W1768">
            <v>0</v>
          </cell>
          <cell r="AA1768">
            <v>0</v>
          </cell>
          <cell r="AB1768">
            <v>0</v>
          </cell>
          <cell r="AC1768">
            <v>0</v>
          </cell>
          <cell r="AD1768">
            <v>36</v>
          </cell>
          <cell r="AE1768">
            <v>312100</v>
          </cell>
          <cell r="AF1768">
            <v>0</v>
          </cell>
          <cell r="AI1768">
            <v>2251</v>
          </cell>
          <cell r="AK1768">
            <v>0</v>
          </cell>
          <cell r="AM1768">
            <v>434</v>
          </cell>
          <cell r="AN1768">
            <v>1</v>
          </cell>
          <cell r="AO1768">
            <v>393216</v>
          </cell>
          <cell r="AQ1768">
            <v>0</v>
          </cell>
          <cell r="AR1768">
            <v>0</v>
          </cell>
          <cell r="AS1768" t="str">
            <v>Ы</v>
          </cell>
          <cell r="AT1768" t="str">
            <v>Ы</v>
          </cell>
          <cell r="AU1768">
            <v>0</v>
          </cell>
          <cell r="AV1768">
            <v>0</v>
          </cell>
          <cell r="AW1768">
            <v>23</v>
          </cell>
          <cell r="AX1768">
            <v>1</v>
          </cell>
          <cell r="AY1768">
            <v>0</v>
          </cell>
          <cell r="AZ1768">
            <v>0</v>
          </cell>
          <cell r="BA1768">
            <v>0</v>
          </cell>
          <cell r="BB1768">
            <v>0</v>
          </cell>
          <cell r="BC1768">
            <v>38828</v>
          </cell>
        </row>
        <row r="1769">
          <cell r="A1769">
            <v>2006</v>
          </cell>
          <cell r="B1769">
            <v>2</v>
          </cell>
          <cell r="C1769">
            <v>306</v>
          </cell>
          <cell r="D1769">
            <v>21</v>
          </cell>
          <cell r="E1769">
            <v>792020</v>
          </cell>
          <cell r="F1769">
            <v>0</v>
          </cell>
          <cell r="G1769" t="str">
            <v>Затраты по ШПЗ (основные)</v>
          </cell>
          <cell r="H1769">
            <v>2011</v>
          </cell>
          <cell r="I1769">
            <v>7920</v>
          </cell>
          <cell r="J1769">
            <v>245362.73</v>
          </cell>
          <cell r="K1769">
            <v>1</v>
          </cell>
          <cell r="L1769">
            <v>0</v>
          </cell>
          <cell r="M1769">
            <v>0</v>
          </cell>
          <cell r="N1769">
            <v>0</v>
          </cell>
          <cell r="R1769">
            <v>0</v>
          </cell>
          <cell r="S1769">
            <v>0</v>
          </cell>
          <cell r="T1769">
            <v>0</v>
          </cell>
          <cell r="U1769">
            <v>36</v>
          </cell>
          <cell r="V1769">
            <v>0</v>
          </cell>
          <cell r="W1769">
            <v>0</v>
          </cell>
          <cell r="AA1769">
            <v>0</v>
          </cell>
          <cell r="AB1769">
            <v>0</v>
          </cell>
          <cell r="AC1769">
            <v>0</v>
          </cell>
          <cell r="AD1769">
            <v>36</v>
          </cell>
          <cell r="AE1769">
            <v>312200</v>
          </cell>
          <cell r="AF1769">
            <v>0</v>
          </cell>
          <cell r="AI1769">
            <v>2251</v>
          </cell>
          <cell r="AK1769">
            <v>0</v>
          </cell>
          <cell r="AM1769">
            <v>435</v>
          </cell>
          <cell r="AN1769">
            <v>1</v>
          </cell>
          <cell r="AO1769">
            <v>393216</v>
          </cell>
          <cell r="AQ1769">
            <v>0</v>
          </cell>
          <cell r="AR1769">
            <v>0</v>
          </cell>
          <cell r="AS1769" t="str">
            <v>Ы</v>
          </cell>
          <cell r="AT1769" t="str">
            <v>Ы</v>
          </cell>
          <cell r="AU1769">
            <v>0</v>
          </cell>
          <cell r="AV1769">
            <v>0</v>
          </cell>
          <cell r="AW1769">
            <v>23</v>
          </cell>
          <cell r="AX1769">
            <v>1</v>
          </cell>
          <cell r="AY1769">
            <v>0</v>
          </cell>
          <cell r="AZ1769">
            <v>0</v>
          </cell>
          <cell r="BA1769">
            <v>0</v>
          </cell>
          <cell r="BB1769">
            <v>0</v>
          </cell>
          <cell r="BC1769">
            <v>38828</v>
          </cell>
        </row>
        <row r="1770">
          <cell r="A1770">
            <v>2006</v>
          </cell>
          <cell r="B1770">
            <v>2</v>
          </cell>
          <cell r="C1770">
            <v>307</v>
          </cell>
          <cell r="D1770">
            <v>21</v>
          </cell>
          <cell r="E1770">
            <v>792020</v>
          </cell>
          <cell r="F1770">
            <v>0</v>
          </cell>
          <cell r="G1770" t="str">
            <v>Затраты по ШПЗ (основные)</v>
          </cell>
          <cell r="H1770">
            <v>2011</v>
          </cell>
          <cell r="I1770">
            <v>7920</v>
          </cell>
          <cell r="J1770">
            <v>30430.37</v>
          </cell>
          <cell r="K1770">
            <v>1</v>
          </cell>
          <cell r="L1770">
            <v>0</v>
          </cell>
          <cell r="M1770">
            <v>0</v>
          </cell>
          <cell r="N1770">
            <v>0</v>
          </cell>
          <cell r="R1770">
            <v>0</v>
          </cell>
          <cell r="S1770">
            <v>0</v>
          </cell>
          <cell r="T1770">
            <v>0</v>
          </cell>
          <cell r="U1770">
            <v>36</v>
          </cell>
          <cell r="V1770">
            <v>0</v>
          </cell>
          <cell r="W1770">
            <v>0</v>
          </cell>
          <cell r="AA1770">
            <v>0</v>
          </cell>
          <cell r="AB1770">
            <v>0</v>
          </cell>
          <cell r="AC1770">
            <v>0</v>
          </cell>
          <cell r="AD1770">
            <v>36</v>
          </cell>
          <cell r="AE1770">
            <v>313000</v>
          </cell>
          <cell r="AF1770">
            <v>0</v>
          </cell>
          <cell r="AI1770">
            <v>2251</v>
          </cell>
          <cell r="AK1770">
            <v>0</v>
          </cell>
          <cell r="AM1770">
            <v>436</v>
          </cell>
          <cell r="AN1770">
            <v>1</v>
          </cell>
          <cell r="AO1770">
            <v>393216</v>
          </cell>
          <cell r="AQ1770">
            <v>0</v>
          </cell>
          <cell r="AR1770">
            <v>0</v>
          </cell>
          <cell r="AS1770" t="str">
            <v>Ы</v>
          </cell>
          <cell r="AT1770" t="str">
            <v>Ы</v>
          </cell>
          <cell r="AU1770">
            <v>0</v>
          </cell>
          <cell r="AV1770">
            <v>0</v>
          </cell>
          <cell r="AW1770">
            <v>23</v>
          </cell>
          <cell r="AX1770">
            <v>1</v>
          </cell>
          <cell r="AY1770">
            <v>0</v>
          </cell>
          <cell r="AZ1770">
            <v>0</v>
          </cell>
          <cell r="BA1770">
            <v>0</v>
          </cell>
          <cell r="BB1770">
            <v>0</v>
          </cell>
          <cell r="BC1770">
            <v>38828</v>
          </cell>
        </row>
        <row r="1771">
          <cell r="A1771">
            <v>2006</v>
          </cell>
          <cell r="B1771">
            <v>2</v>
          </cell>
          <cell r="C1771">
            <v>308</v>
          </cell>
          <cell r="D1771">
            <v>21</v>
          </cell>
          <cell r="E1771">
            <v>792020</v>
          </cell>
          <cell r="F1771">
            <v>0</v>
          </cell>
          <cell r="G1771" t="str">
            <v>Затраты по ШПЗ (основные)</v>
          </cell>
          <cell r="H1771">
            <v>2011</v>
          </cell>
          <cell r="I1771">
            <v>7920</v>
          </cell>
          <cell r="J1771">
            <v>55327.94</v>
          </cell>
          <cell r="K1771">
            <v>1</v>
          </cell>
          <cell r="L1771">
            <v>0</v>
          </cell>
          <cell r="M1771">
            <v>0</v>
          </cell>
          <cell r="N1771">
            <v>0</v>
          </cell>
          <cell r="R1771">
            <v>0</v>
          </cell>
          <cell r="S1771">
            <v>0</v>
          </cell>
          <cell r="T1771">
            <v>0</v>
          </cell>
          <cell r="U1771">
            <v>36</v>
          </cell>
          <cell r="V1771">
            <v>0</v>
          </cell>
          <cell r="W1771">
            <v>0</v>
          </cell>
          <cell r="AA1771">
            <v>0</v>
          </cell>
          <cell r="AB1771">
            <v>0</v>
          </cell>
          <cell r="AC1771">
            <v>0</v>
          </cell>
          <cell r="AD1771">
            <v>36</v>
          </cell>
          <cell r="AE1771">
            <v>314000</v>
          </cell>
          <cell r="AF1771">
            <v>0</v>
          </cell>
          <cell r="AI1771">
            <v>2251</v>
          </cell>
          <cell r="AK1771">
            <v>0</v>
          </cell>
          <cell r="AM1771">
            <v>437</v>
          </cell>
          <cell r="AN1771">
            <v>1</v>
          </cell>
          <cell r="AO1771">
            <v>393216</v>
          </cell>
          <cell r="AQ1771">
            <v>0</v>
          </cell>
          <cell r="AR1771">
            <v>0</v>
          </cell>
          <cell r="AS1771" t="str">
            <v>Ы</v>
          </cell>
          <cell r="AT1771" t="str">
            <v>Ы</v>
          </cell>
          <cell r="AU1771">
            <v>0</v>
          </cell>
          <cell r="AV1771">
            <v>0</v>
          </cell>
          <cell r="AW1771">
            <v>23</v>
          </cell>
          <cell r="AX1771">
            <v>1</v>
          </cell>
          <cell r="AY1771">
            <v>0</v>
          </cell>
          <cell r="AZ1771">
            <v>0</v>
          </cell>
          <cell r="BA1771">
            <v>0</v>
          </cell>
          <cell r="BB1771">
            <v>0</v>
          </cell>
          <cell r="BC1771">
            <v>38828</v>
          </cell>
        </row>
        <row r="1772">
          <cell r="A1772">
            <v>2006</v>
          </cell>
          <cell r="B1772">
            <v>2</v>
          </cell>
          <cell r="C1772">
            <v>309</v>
          </cell>
          <cell r="D1772">
            <v>21</v>
          </cell>
          <cell r="E1772">
            <v>792020</v>
          </cell>
          <cell r="F1772">
            <v>0</v>
          </cell>
          <cell r="G1772" t="str">
            <v>Затраты по ШПЗ (основные)</v>
          </cell>
          <cell r="H1772">
            <v>2011</v>
          </cell>
          <cell r="I1772">
            <v>7920</v>
          </cell>
          <cell r="J1772">
            <v>11065.59</v>
          </cell>
          <cell r="K1772">
            <v>1</v>
          </cell>
          <cell r="L1772">
            <v>0</v>
          </cell>
          <cell r="M1772">
            <v>0</v>
          </cell>
          <cell r="N1772">
            <v>0</v>
          </cell>
          <cell r="R1772">
            <v>0</v>
          </cell>
          <cell r="S1772">
            <v>0</v>
          </cell>
          <cell r="T1772">
            <v>0</v>
          </cell>
          <cell r="U1772">
            <v>36</v>
          </cell>
          <cell r="V1772">
            <v>0</v>
          </cell>
          <cell r="W1772">
            <v>0</v>
          </cell>
          <cell r="AA1772">
            <v>0</v>
          </cell>
          <cell r="AB1772">
            <v>0</v>
          </cell>
          <cell r="AC1772">
            <v>0</v>
          </cell>
          <cell r="AD1772">
            <v>36</v>
          </cell>
          <cell r="AE1772">
            <v>315000</v>
          </cell>
          <cell r="AF1772">
            <v>0</v>
          </cell>
          <cell r="AI1772">
            <v>2251</v>
          </cell>
          <cell r="AK1772">
            <v>0</v>
          </cell>
          <cell r="AM1772">
            <v>438</v>
          </cell>
          <cell r="AN1772">
            <v>1</v>
          </cell>
          <cell r="AO1772">
            <v>393216</v>
          </cell>
          <cell r="AQ1772">
            <v>0</v>
          </cell>
          <cell r="AR1772">
            <v>0</v>
          </cell>
          <cell r="AS1772" t="str">
            <v>Ы</v>
          </cell>
          <cell r="AT1772" t="str">
            <v>Ы</v>
          </cell>
          <cell r="AU1772">
            <v>0</v>
          </cell>
          <cell r="AV1772">
            <v>0</v>
          </cell>
          <cell r="AW1772">
            <v>23</v>
          </cell>
          <cell r="AX1772">
            <v>1</v>
          </cell>
          <cell r="AY1772">
            <v>0</v>
          </cell>
          <cell r="AZ1772">
            <v>0</v>
          </cell>
          <cell r="BA1772">
            <v>0</v>
          </cell>
          <cell r="BB1772">
            <v>0</v>
          </cell>
          <cell r="BC1772">
            <v>38828</v>
          </cell>
        </row>
        <row r="1773">
          <cell r="A1773">
            <v>2006</v>
          </cell>
          <cell r="B1773">
            <v>2</v>
          </cell>
          <cell r="C1773">
            <v>310</v>
          </cell>
          <cell r="D1773">
            <v>21</v>
          </cell>
          <cell r="E1773">
            <v>792020</v>
          </cell>
          <cell r="F1773">
            <v>0</v>
          </cell>
          <cell r="G1773" t="str">
            <v>Затраты по ШПЗ (основные)</v>
          </cell>
          <cell r="H1773">
            <v>2011</v>
          </cell>
          <cell r="I1773">
            <v>7920</v>
          </cell>
          <cell r="J1773">
            <v>510058</v>
          </cell>
          <cell r="K1773">
            <v>1</v>
          </cell>
          <cell r="L1773">
            <v>0</v>
          </cell>
          <cell r="M1773">
            <v>0</v>
          </cell>
          <cell r="N1773">
            <v>0</v>
          </cell>
          <cell r="R1773">
            <v>0</v>
          </cell>
          <cell r="S1773">
            <v>0</v>
          </cell>
          <cell r="T1773">
            <v>0</v>
          </cell>
          <cell r="U1773">
            <v>36</v>
          </cell>
          <cell r="V1773">
            <v>0</v>
          </cell>
          <cell r="W1773">
            <v>0</v>
          </cell>
          <cell r="AA1773">
            <v>0</v>
          </cell>
          <cell r="AB1773">
            <v>0</v>
          </cell>
          <cell r="AC1773">
            <v>0</v>
          </cell>
          <cell r="AD1773">
            <v>36</v>
          </cell>
          <cell r="AE1773">
            <v>410000</v>
          </cell>
          <cell r="AF1773">
            <v>0</v>
          </cell>
          <cell r="AI1773">
            <v>2251</v>
          </cell>
          <cell r="AK1773">
            <v>0</v>
          </cell>
          <cell r="AM1773">
            <v>439</v>
          </cell>
          <cell r="AN1773">
            <v>1</v>
          </cell>
          <cell r="AO1773">
            <v>393216</v>
          </cell>
          <cell r="AQ1773">
            <v>0</v>
          </cell>
          <cell r="AR1773">
            <v>0</v>
          </cell>
          <cell r="AS1773" t="str">
            <v>Ы</v>
          </cell>
          <cell r="AT1773" t="str">
            <v>Ы</v>
          </cell>
          <cell r="AU1773">
            <v>0</v>
          </cell>
          <cell r="AV1773">
            <v>0</v>
          </cell>
          <cell r="AW1773">
            <v>23</v>
          </cell>
          <cell r="AX1773">
            <v>1</v>
          </cell>
          <cell r="AY1773">
            <v>0</v>
          </cell>
          <cell r="AZ1773">
            <v>0</v>
          </cell>
          <cell r="BA1773">
            <v>0</v>
          </cell>
          <cell r="BB1773">
            <v>0</v>
          </cell>
          <cell r="BC1773">
            <v>38828</v>
          </cell>
        </row>
        <row r="1774">
          <cell r="A1774">
            <v>2006</v>
          </cell>
          <cell r="B1774">
            <v>2</v>
          </cell>
          <cell r="C1774">
            <v>311</v>
          </cell>
          <cell r="D1774">
            <v>21</v>
          </cell>
          <cell r="E1774">
            <v>792020</v>
          </cell>
          <cell r="F1774">
            <v>0</v>
          </cell>
          <cell r="G1774" t="str">
            <v>Затраты по ШПЗ (основные)</v>
          </cell>
          <cell r="H1774">
            <v>2011</v>
          </cell>
          <cell r="I1774">
            <v>7920</v>
          </cell>
          <cell r="J1774">
            <v>12454</v>
          </cell>
          <cell r="K1774">
            <v>1</v>
          </cell>
          <cell r="L1774">
            <v>0</v>
          </cell>
          <cell r="M1774">
            <v>0</v>
          </cell>
          <cell r="N1774">
            <v>0</v>
          </cell>
          <cell r="R1774">
            <v>0</v>
          </cell>
          <cell r="S1774">
            <v>0</v>
          </cell>
          <cell r="T1774">
            <v>0</v>
          </cell>
          <cell r="U1774">
            <v>36</v>
          </cell>
          <cell r="V1774">
            <v>0</v>
          </cell>
          <cell r="W1774">
            <v>0</v>
          </cell>
          <cell r="AA1774">
            <v>0</v>
          </cell>
          <cell r="AB1774">
            <v>0</v>
          </cell>
          <cell r="AC1774">
            <v>0</v>
          </cell>
          <cell r="AD1774">
            <v>36</v>
          </cell>
          <cell r="AE1774">
            <v>410200</v>
          </cell>
          <cell r="AF1774">
            <v>0</v>
          </cell>
          <cell r="AI1774">
            <v>2251</v>
          </cell>
          <cell r="AK1774">
            <v>0</v>
          </cell>
          <cell r="AM1774">
            <v>440</v>
          </cell>
          <cell r="AN1774">
            <v>1</v>
          </cell>
          <cell r="AO1774">
            <v>393216</v>
          </cell>
          <cell r="AQ1774">
            <v>0</v>
          </cell>
          <cell r="AR1774">
            <v>0</v>
          </cell>
          <cell r="AS1774" t="str">
            <v>Ы</v>
          </cell>
          <cell r="AT1774" t="str">
            <v>Ы</v>
          </cell>
          <cell r="AU1774">
            <v>0</v>
          </cell>
          <cell r="AV1774">
            <v>0</v>
          </cell>
          <cell r="AW1774">
            <v>23</v>
          </cell>
          <cell r="AX1774">
            <v>1</v>
          </cell>
          <cell r="AY1774">
            <v>0</v>
          </cell>
          <cell r="AZ1774">
            <v>0</v>
          </cell>
          <cell r="BA1774">
            <v>0</v>
          </cell>
          <cell r="BB1774">
            <v>0</v>
          </cell>
          <cell r="BC1774">
            <v>38828</v>
          </cell>
        </row>
        <row r="1775">
          <cell r="A1775">
            <v>2006</v>
          </cell>
          <cell r="B1775">
            <v>2</v>
          </cell>
          <cell r="C1775">
            <v>312</v>
          </cell>
          <cell r="D1775">
            <v>21</v>
          </cell>
          <cell r="E1775">
            <v>792020</v>
          </cell>
          <cell r="F1775">
            <v>0</v>
          </cell>
          <cell r="G1775" t="str">
            <v>Затраты по ШПЗ (основные)</v>
          </cell>
          <cell r="H1775">
            <v>2011</v>
          </cell>
          <cell r="I1775">
            <v>7920</v>
          </cell>
          <cell r="J1775">
            <v>82321</v>
          </cell>
          <cell r="K1775">
            <v>1</v>
          </cell>
          <cell r="L1775">
            <v>0</v>
          </cell>
          <cell r="M1775">
            <v>0</v>
          </cell>
          <cell r="N1775">
            <v>0</v>
          </cell>
          <cell r="R1775">
            <v>0</v>
          </cell>
          <cell r="S1775">
            <v>0</v>
          </cell>
          <cell r="T1775">
            <v>0</v>
          </cell>
          <cell r="U1775">
            <v>36</v>
          </cell>
          <cell r="V1775">
            <v>0</v>
          </cell>
          <cell r="W1775">
            <v>0</v>
          </cell>
          <cell r="AA1775">
            <v>0</v>
          </cell>
          <cell r="AB1775">
            <v>0</v>
          </cell>
          <cell r="AC1775">
            <v>0</v>
          </cell>
          <cell r="AD1775">
            <v>36</v>
          </cell>
          <cell r="AE1775">
            <v>420000</v>
          </cell>
          <cell r="AF1775">
            <v>0</v>
          </cell>
          <cell r="AI1775">
            <v>2251</v>
          </cell>
          <cell r="AK1775">
            <v>0</v>
          </cell>
          <cell r="AM1775">
            <v>441</v>
          </cell>
          <cell r="AN1775">
            <v>1</v>
          </cell>
          <cell r="AO1775">
            <v>393216</v>
          </cell>
          <cell r="AQ1775">
            <v>0</v>
          </cell>
          <cell r="AR1775">
            <v>0</v>
          </cell>
          <cell r="AS1775" t="str">
            <v>Ы</v>
          </cell>
          <cell r="AT1775" t="str">
            <v>Ы</v>
          </cell>
          <cell r="AU1775">
            <v>0</v>
          </cell>
          <cell r="AV1775">
            <v>0</v>
          </cell>
          <cell r="AW1775">
            <v>23</v>
          </cell>
          <cell r="AX1775">
            <v>1</v>
          </cell>
          <cell r="AY1775">
            <v>0</v>
          </cell>
          <cell r="AZ1775">
            <v>0</v>
          </cell>
          <cell r="BA1775">
            <v>0</v>
          </cell>
          <cell r="BB1775">
            <v>0</v>
          </cell>
          <cell r="BC1775">
            <v>38828</v>
          </cell>
        </row>
        <row r="1776">
          <cell r="A1776">
            <v>2006</v>
          </cell>
          <cell r="B1776">
            <v>2</v>
          </cell>
          <cell r="C1776">
            <v>313</v>
          </cell>
          <cell r="D1776">
            <v>21</v>
          </cell>
          <cell r="E1776">
            <v>792020</v>
          </cell>
          <cell r="F1776">
            <v>0</v>
          </cell>
          <cell r="G1776" t="str">
            <v>Затраты по ШПЗ (основные)</v>
          </cell>
          <cell r="H1776">
            <v>2011</v>
          </cell>
          <cell r="I1776">
            <v>7920</v>
          </cell>
          <cell r="J1776">
            <v>81203</v>
          </cell>
          <cell r="K1776">
            <v>1</v>
          </cell>
          <cell r="L1776">
            <v>0</v>
          </cell>
          <cell r="M1776">
            <v>0</v>
          </cell>
          <cell r="N1776">
            <v>0</v>
          </cell>
          <cell r="R1776">
            <v>0</v>
          </cell>
          <cell r="S1776">
            <v>0</v>
          </cell>
          <cell r="T1776">
            <v>0</v>
          </cell>
          <cell r="U1776">
            <v>36</v>
          </cell>
          <cell r="V1776">
            <v>0</v>
          </cell>
          <cell r="W1776">
            <v>0</v>
          </cell>
          <cell r="AA1776">
            <v>0</v>
          </cell>
          <cell r="AB1776">
            <v>0</v>
          </cell>
          <cell r="AC1776">
            <v>0</v>
          </cell>
          <cell r="AD1776">
            <v>36</v>
          </cell>
          <cell r="AE1776">
            <v>430000</v>
          </cell>
          <cell r="AF1776">
            <v>0</v>
          </cell>
          <cell r="AI1776">
            <v>2251</v>
          </cell>
          <cell r="AK1776">
            <v>0</v>
          </cell>
          <cell r="AM1776">
            <v>442</v>
          </cell>
          <cell r="AN1776">
            <v>1</v>
          </cell>
          <cell r="AO1776">
            <v>393216</v>
          </cell>
          <cell r="AQ1776">
            <v>0</v>
          </cell>
          <cell r="AR1776">
            <v>0</v>
          </cell>
          <cell r="AS1776" t="str">
            <v>Ы</v>
          </cell>
          <cell r="AT1776" t="str">
            <v>Ы</v>
          </cell>
          <cell r="AU1776">
            <v>0</v>
          </cell>
          <cell r="AV1776">
            <v>0</v>
          </cell>
          <cell r="AW1776">
            <v>23</v>
          </cell>
          <cell r="AX1776">
            <v>1</v>
          </cell>
          <cell r="AY1776">
            <v>0</v>
          </cell>
          <cell r="AZ1776">
            <v>0</v>
          </cell>
          <cell r="BA1776">
            <v>0</v>
          </cell>
          <cell r="BB1776">
            <v>0</v>
          </cell>
          <cell r="BC1776">
            <v>38828</v>
          </cell>
        </row>
        <row r="1777">
          <cell r="A1777">
            <v>2006</v>
          </cell>
          <cell r="B1777">
            <v>2</v>
          </cell>
          <cell r="C1777">
            <v>314</v>
          </cell>
          <cell r="D1777">
            <v>21</v>
          </cell>
          <cell r="E1777">
            <v>792020</v>
          </cell>
          <cell r="F1777">
            <v>0</v>
          </cell>
          <cell r="G1777" t="str">
            <v>Затраты по ШПЗ (основные)</v>
          </cell>
          <cell r="H1777">
            <v>2011</v>
          </cell>
          <cell r="I1777">
            <v>7920</v>
          </cell>
          <cell r="J1777">
            <v>568482</v>
          </cell>
          <cell r="K1777">
            <v>1</v>
          </cell>
          <cell r="L1777">
            <v>0</v>
          </cell>
          <cell r="M1777">
            <v>0</v>
          </cell>
          <cell r="N1777">
            <v>0</v>
          </cell>
          <cell r="R1777">
            <v>0</v>
          </cell>
          <cell r="S1777">
            <v>0</v>
          </cell>
          <cell r="T1777">
            <v>0</v>
          </cell>
          <cell r="U1777">
            <v>36</v>
          </cell>
          <cell r="V1777">
            <v>0</v>
          </cell>
          <cell r="W1777">
            <v>0</v>
          </cell>
          <cell r="AA1777">
            <v>0</v>
          </cell>
          <cell r="AB1777">
            <v>0</v>
          </cell>
          <cell r="AC1777">
            <v>0</v>
          </cell>
          <cell r="AD1777">
            <v>36</v>
          </cell>
          <cell r="AE1777">
            <v>430110</v>
          </cell>
          <cell r="AF1777">
            <v>0</v>
          </cell>
          <cell r="AI1777">
            <v>2251</v>
          </cell>
          <cell r="AK1777">
            <v>0</v>
          </cell>
          <cell r="AM1777">
            <v>443</v>
          </cell>
          <cell r="AN1777">
            <v>1</v>
          </cell>
          <cell r="AO1777">
            <v>393216</v>
          </cell>
          <cell r="AQ1777">
            <v>0</v>
          </cell>
          <cell r="AR1777">
            <v>0</v>
          </cell>
          <cell r="AS1777" t="str">
            <v>Ы</v>
          </cell>
          <cell r="AT1777" t="str">
            <v>Ы</v>
          </cell>
          <cell r="AU1777">
            <v>0</v>
          </cell>
          <cell r="AV1777">
            <v>0</v>
          </cell>
          <cell r="AW1777">
            <v>23</v>
          </cell>
          <cell r="AX1777">
            <v>1</v>
          </cell>
          <cell r="AY1777">
            <v>0</v>
          </cell>
          <cell r="AZ1777">
            <v>0</v>
          </cell>
          <cell r="BA1777">
            <v>0</v>
          </cell>
          <cell r="BB1777">
            <v>0</v>
          </cell>
          <cell r="BC1777">
            <v>38828</v>
          </cell>
        </row>
        <row r="1778">
          <cell r="A1778">
            <v>2006</v>
          </cell>
          <cell r="B1778">
            <v>2</v>
          </cell>
          <cell r="C1778">
            <v>315</v>
          </cell>
          <cell r="D1778">
            <v>21</v>
          </cell>
          <cell r="E1778">
            <v>792020</v>
          </cell>
          <cell r="F1778">
            <v>0</v>
          </cell>
          <cell r="G1778" t="str">
            <v>Затраты по ШПЗ (основные)</v>
          </cell>
          <cell r="H1778">
            <v>2011</v>
          </cell>
          <cell r="I1778">
            <v>7920</v>
          </cell>
          <cell r="J1778">
            <v>207765</v>
          </cell>
          <cell r="K1778">
            <v>1</v>
          </cell>
          <cell r="L1778">
            <v>0</v>
          </cell>
          <cell r="M1778">
            <v>0</v>
          </cell>
          <cell r="N1778">
            <v>0</v>
          </cell>
          <cell r="R1778">
            <v>0</v>
          </cell>
          <cell r="S1778">
            <v>0</v>
          </cell>
          <cell r="T1778">
            <v>0</v>
          </cell>
          <cell r="U1778">
            <v>36</v>
          </cell>
          <cell r="V1778">
            <v>0</v>
          </cell>
          <cell r="W1778">
            <v>0</v>
          </cell>
          <cell r="AA1778">
            <v>0</v>
          </cell>
          <cell r="AB1778">
            <v>0</v>
          </cell>
          <cell r="AC1778">
            <v>0</v>
          </cell>
          <cell r="AD1778">
            <v>36</v>
          </cell>
          <cell r="AE1778">
            <v>430120</v>
          </cell>
          <cell r="AF1778">
            <v>0</v>
          </cell>
          <cell r="AI1778">
            <v>2251</v>
          </cell>
          <cell r="AK1778">
            <v>0</v>
          </cell>
          <cell r="AM1778">
            <v>444</v>
          </cell>
          <cell r="AN1778">
            <v>1</v>
          </cell>
          <cell r="AO1778">
            <v>393216</v>
          </cell>
          <cell r="AQ1778">
            <v>0</v>
          </cell>
          <cell r="AR1778">
            <v>0</v>
          </cell>
          <cell r="AS1778" t="str">
            <v>Ы</v>
          </cell>
          <cell r="AT1778" t="str">
            <v>Ы</v>
          </cell>
          <cell r="AU1778">
            <v>0</v>
          </cell>
          <cell r="AV1778">
            <v>0</v>
          </cell>
          <cell r="AW1778">
            <v>23</v>
          </cell>
          <cell r="AX1778">
            <v>1</v>
          </cell>
          <cell r="AY1778">
            <v>0</v>
          </cell>
          <cell r="AZ1778">
            <v>0</v>
          </cell>
          <cell r="BA1778">
            <v>0</v>
          </cell>
          <cell r="BB1778">
            <v>0</v>
          </cell>
          <cell r="BC1778">
            <v>38828</v>
          </cell>
        </row>
        <row r="1779">
          <cell r="A1779">
            <v>2006</v>
          </cell>
          <cell r="B1779">
            <v>2</v>
          </cell>
          <cell r="C1779">
            <v>316</v>
          </cell>
          <cell r="D1779">
            <v>21</v>
          </cell>
          <cell r="E1779">
            <v>792020</v>
          </cell>
          <cell r="F1779">
            <v>0</v>
          </cell>
          <cell r="G1779" t="str">
            <v>Затраты по ШПЗ (основные)</v>
          </cell>
          <cell r="H1779">
            <v>2011</v>
          </cell>
          <cell r="I1779">
            <v>7920</v>
          </cell>
          <cell r="J1779">
            <v>652096</v>
          </cell>
          <cell r="K1779">
            <v>1</v>
          </cell>
          <cell r="L1779">
            <v>0</v>
          </cell>
          <cell r="M1779">
            <v>0</v>
          </cell>
          <cell r="N1779">
            <v>0</v>
          </cell>
          <cell r="R1779">
            <v>0</v>
          </cell>
          <cell r="S1779">
            <v>0</v>
          </cell>
          <cell r="T1779">
            <v>0</v>
          </cell>
          <cell r="U1779">
            <v>36</v>
          </cell>
          <cell r="V1779">
            <v>0</v>
          </cell>
          <cell r="W1779">
            <v>0</v>
          </cell>
          <cell r="AA1779">
            <v>0</v>
          </cell>
          <cell r="AB1779">
            <v>0</v>
          </cell>
          <cell r="AC1779">
            <v>0</v>
          </cell>
          <cell r="AD1779">
            <v>36</v>
          </cell>
          <cell r="AE1779">
            <v>430130</v>
          </cell>
          <cell r="AF1779">
            <v>0</v>
          </cell>
          <cell r="AI1779">
            <v>2251</v>
          </cell>
          <cell r="AK1779">
            <v>0</v>
          </cell>
          <cell r="AM1779">
            <v>445</v>
          </cell>
          <cell r="AN1779">
            <v>1</v>
          </cell>
          <cell r="AO1779">
            <v>393216</v>
          </cell>
          <cell r="AQ1779">
            <v>0</v>
          </cell>
          <cell r="AR1779">
            <v>0</v>
          </cell>
          <cell r="AS1779" t="str">
            <v>Ы</v>
          </cell>
          <cell r="AT1779" t="str">
            <v>Ы</v>
          </cell>
          <cell r="AU1779">
            <v>0</v>
          </cell>
          <cell r="AV1779">
            <v>0</v>
          </cell>
          <cell r="AW1779">
            <v>23</v>
          </cell>
          <cell r="AX1779">
            <v>1</v>
          </cell>
          <cell r="AY1779">
            <v>0</v>
          </cell>
          <cell r="AZ1779">
            <v>0</v>
          </cell>
          <cell r="BA1779">
            <v>0</v>
          </cell>
          <cell r="BB1779">
            <v>0</v>
          </cell>
          <cell r="BC1779">
            <v>38828</v>
          </cell>
        </row>
        <row r="1780">
          <cell r="A1780">
            <v>2006</v>
          </cell>
          <cell r="B1780">
            <v>2</v>
          </cell>
          <cell r="C1780">
            <v>317</v>
          </cell>
          <cell r="D1780">
            <v>21</v>
          </cell>
          <cell r="E1780">
            <v>792020</v>
          </cell>
          <cell r="F1780">
            <v>0</v>
          </cell>
          <cell r="G1780" t="str">
            <v>Затраты по ШПЗ (основные)</v>
          </cell>
          <cell r="H1780">
            <v>2011</v>
          </cell>
          <cell r="I1780">
            <v>7920</v>
          </cell>
          <cell r="J1780">
            <v>560633</v>
          </cell>
          <cell r="K1780">
            <v>1</v>
          </cell>
          <cell r="L1780">
            <v>0</v>
          </cell>
          <cell r="M1780">
            <v>0</v>
          </cell>
          <cell r="N1780">
            <v>0</v>
          </cell>
          <cell r="R1780">
            <v>0</v>
          </cell>
          <cell r="S1780">
            <v>0</v>
          </cell>
          <cell r="T1780">
            <v>0</v>
          </cell>
          <cell r="U1780">
            <v>36</v>
          </cell>
          <cell r="V1780">
            <v>0</v>
          </cell>
          <cell r="W1780">
            <v>0</v>
          </cell>
          <cell r="AA1780">
            <v>0</v>
          </cell>
          <cell r="AB1780">
            <v>0</v>
          </cell>
          <cell r="AC1780">
            <v>0</v>
          </cell>
          <cell r="AD1780">
            <v>36</v>
          </cell>
          <cell r="AE1780">
            <v>430140</v>
          </cell>
          <cell r="AF1780">
            <v>0</v>
          </cell>
          <cell r="AI1780">
            <v>2251</v>
          </cell>
          <cell r="AK1780">
            <v>0</v>
          </cell>
          <cell r="AM1780">
            <v>446</v>
          </cell>
          <cell r="AN1780">
            <v>1</v>
          </cell>
          <cell r="AO1780">
            <v>393216</v>
          </cell>
          <cell r="AQ1780">
            <v>0</v>
          </cell>
          <cell r="AR1780">
            <v>0</v>
          </cell>
          <cell r="AS1780" t="str">
            <v>Ы</v>
          </cell>
          <cell r="AT1780" t="str">
            <v>Ы</v>
          </cell>
          <cell r="AU1780">
            <v>0</v>
          </cell>
          <cell r="AV1780">
            <v>0</v>
          </cell>
          <cell r="AW1780">
            <v>23</v>
          </cell>
          <cell r="AX1780">
            <v>1</v>
          </cell>
          <cell r="AY1780">
            <v>0</v>
          </cell>
          <cell r="AZ1780">
            <v>0</v>
          </cell>
          <cell r="BA1780">
            <v>0</v>
          </cell>
          <cell r="BB1780">
            <v>0</v>
          </cell>
          <cell r="BC1780">
            <v>38828</v>
          </cell>
        </row>
        <row r="1781">
          <cell r="A1781">
            <v>2006</v>
          </cell>
          <cell r="B1781">
            <v>2</v>
          </cell>
          <cell r="C1781">
            <v>318</v>
          </cell>
          <cell r="D1781">
            <v>21</v>
          </cell>
          <cell r="E1781">
            <v>792020</v>
          </cell>
          <cell r="F1781">
            <v>0</v>
          </cell>
          <cell r="G1781" t="str">
            <v>Затраты по ШПЗ (основные)</v>
          </cell>
          <cell r="H1781">
            <v>2011</v>
          </cell>
          <cell r="I1781">
            <v>7920</v>
          </cell>
          <cell r="J1781">
            <v>90406</v>
          </cell>
          <cell r="K1781">
            <v>1</v>
          </cell>
          <cell r="L1781">
            <v>0</v>
          </cell>
          <cell r="M1781">
            <v>0</v>
          </cell>
          <cell r="N1781">
            <v>0</v>
          </cell>
          <cell r="R1781">
            <v>0</v>
          </cell>
          <cell r="S1781">
            <v>0</v>
          </cell>
          <cell r="T1781">
            <v>0</v>
          </cell>
          <cell r="U1781">
            <v>36</v>
          </cell>
          <cell r="V1781">
            <v>0</v>
          </cell>
          <cell r="W1781">
            <v>0</v>
          </cell>
          <cell r="AA1781">
            <v>0</v>
          </cell>
          <cell r="AB1781">
            <v>0</v>
          </cell>
          <cell r="AC1781">
            <v>0</v>
          </cell>
          <cell r="AD1781">
            <v>36</v>
          </cell>
          <cell r="AE1781">
            <v>430230</v>
          </cell>
          <cell r="AF1781">
            <v>0</v>
          </cell>
          <cell r="AI1781">
            <v>2251</v>
          </cell>
          <cell r="AK1781">
            <v>0</v>
          </cell>
          <cell r="AM1781">
            <v>447</v>
          </cell>
          <cell r="AN1781">
            <v>1</v>
          </cell>
          <cell r="AO1781">
            <v>393216</v>
          </cell>
          <cell r="AQ1781">
            <v>0</v>
          </cell>
          <cell r="AR1781">
            <v>0</v>
          </cell>
          <cell r="AS1781" t="str">
            <v>Ы</v>
          </cell>
          <cell r="AT1781" t="str">
            <v>Ы</v>
          </cell>
          <cell r="AU1781">
            <v>0</v>
          </cell>
          <cell r="AV1781">
            <v>0</v>
          </cell>
          <cell r="AW1781">
            <v>23</v>
          </cell>
          <cell r="AX1781">
            <v>1</v>
          </cell>
          <cell r="AY1781">
            <v>0</v>
          </cell>
          <cell r="AZ1781">
            <v>0</v>
          </cell>
          <cell r="BA1781">
            <v>0</v>
          </cell>
          <cell r="BB1781">
            <v>0</v>
          </cell>
          <cell r="BC1781">
            <v>38828</v>
          </cell>
        </row>
        <row r="1782">
          <cell r="A1782">
            <v>2006</v>
          </cell>
          <cell r="B1782">
            <v>2</v>
          </cell>
          <cell r="C1782">
            <v>319</v>
          </cell>
          <cell r="D1782">
            <v>21</v>
          </cell>
          <cell r="E1782">
            <v>792020</v>
          </cell>
          <cell r="F1782">
            <v>0</v>
          </cell>
          <cell r="G1782" t="str">
            <v>Затраты по ШПЗ (основные)</v>
          </cell>
          <cell r="H1782">
            <v>2011</v>
          </cell>
          <cell r="I1782">
            <v>7920</v>
          </cell>
          <cell r="J1782">
            <v>18540</v>
          </cell>
          <cell r="K1782">
            <v>1</v>
          </cell>
          <cell r="L1782">
            <v>0</v>
          </cell>
          <cell r="M1782">
            <v>0</v>
          </cell>
          <cell r="N1782">
            <v>0</v>
          </cell>
          <cell r="R1782">
            <v>0</v>
          </cell>
          <cell r="S1782">
            <v>0</v>
          </cell>
          <cell r="T1782">
            <v>0</v>
          </cell>
          <cell r="U1782">
            <v>36</v>
          </cell>
          <cell r="V1782">
            <v>0</v>
          </cell>
          <cell r="W1782">
            <v>0</v>
          </cell>
          <cell r="AA1782">
            <v>0</v>
          </cell>
          <cell r="AB1782">
            <v>0</v>
          </cell>
          <cell r="AC1782">
            <v>0</v>
          </cell>
          <cell r="AD1782">
            <v>36</v>
          </cell>
          <cell r="AE1782">
            <v>430240</v>
          </cell>
          <cell r="AF1782">
            <v>0</v>
          </cell>
          <cell r="AI1782">
            <v>2251</v>
          </cell>
          <cell r="AK1782">
            <v>0</v>
          </cell>
          <cell r="AM1782">
            <v>448</v>
          </cell>
          <cell r="AN1782">
            <v>1</v>
          </cell>
          <cell r="AO1782">
            <v>393216</v>
          </cell>
          <cell r="AQ1782">
            <v>0</v>
          </cell>
          <cell r="AR1782">
            <v>0</v>
          </cell>
          <cell r="AS1782" t="str">
            <v>Ы</v>
          </cell>
          <cell r="AT1782" t="str">
            <v>Ы</v>
          </cell>
          <cell r="AU1782">
            <v>0</v>
          </cell>
          <cell r="AV1782">
            <v>0</v>
          </cell>
          <cell r="AW1782">
            <v>23</v>
          </cell>
          <cell r="AX1782">
            <v>1</v>
          </cell>
          <cell r="AY1782">
            <v>0</v>
          </cell>
          <cell r="AZ1782">
            <v>0</v>
          </cell>
          <cell r="BA1782">
            <v>0</v>
          </cell>
          <cell r="BB1782">
            <v>0</v>
          </cell>
          <cell r="BC1782">
            <v>38828</v>
          </cell>
        </row>
        <row r="1783">
          <cell r="A1783">
            <v>2006</v>
          </cell>
          <cell r="B1783">
            <v>2</v>
          </cell>
          <cell r="C1783">
            <v>320</v>
          </cell>
          <cell r="D1783">
            <v>21</v>
          </cell>
          <cell r="E1783">
            <v>792020</v>
          </cell>
          <cell r="F1783">
            <v>0</v>
          </cell>
          <cell r="G1783" t="str">
            <v>Затраты по ШПЗ (основные)</v>
          </cell>
          <cell r="H1783">
            <v>2011</v>
          </cell>
          <cell r="I1783">
            <v>7920</v>
          </cell>
          <cell r="J1783">
            <v>41465</v>
          </cell>
          <cell r="K1783">
            <v>1</v>
          </cell>
          <cell r="L1783">
            <v>0</v>
          </cell>
          <cell r="M1783">
            <v>0</v>
          </cell>
          <cell r="N1783">
            <v>0</v>
          </cell>
          <cell r="R1783">
            <v>0</v>
          </cell>
          <cell r="S1783">
            <v>0</v>
          </cell>
          <cell r="T1783">
            <v>0</v>
          </cell>
          <cell r="U1783">
            <v>36</v>
          </cell>
          <cell r="V1783">
            <v>0</v>
          </cell>
          <cell r="W1783">
            <v>0</v>
          </cell>
          <cell r="AA1783">
            <v>0</v>
          </cell>
          <cell r="AB1783">
            <v>0</v>
          </cell>
          <cell r="AC1783">
            <v>0</v>
          </cell>
          <cell r="AD1783">
            <v>36</v>
          </cell>
          <cell r="AE1783">
            <v>450000</v>
          </cell>
          <cell r="AF1783">
            <v>0</v>
          </cell>
          <cell r="AI1783">
            <v>2251</v>
          </cell>
          <cell r="AK1783">
            <v>0</v>
          </cell>
          <cell r="AM1783">
            <v>449</v>
          </cell>
          <cell r="AN1783">
            <v>1</v>
          </cell>
          <cell r="AO1783">
            <v>393216</v>
          </cell>
          <cell r="AQ1783">
            <v>0</v>
          </cell>
          <cell r="AR1783">
            <v>0</v>
          </cell>
          <cell r="AS1783" t="str">
            <v>Ы</v>
          </cell>
          <cell r="AT1783" t="str">
            <v>Ы</v>
          </cell>
          <cell r="AU1783">
            <v>0</v>
          </cell>
          <cell r="AV1783">
            <v>0</v>
          </cell>
          <cell r="AW1783">
            <v>23</v>
          </cell>
          <cell r="AX1783">
            <v>1</v>
          </cell>
          <cell r="AY1783">
            <v>0</v>
          </cell>
          <cell r="AZ1783">
            <v>0</v>
          </cell>
          <cell r="BA1783">
            <v>0</v>
          </cell>
          <cell r="BB1783">
            <v>0</v>
          </cell>
          <cell r="BC1783">
            <v>38828</v>
          </cell>
        </row>
        <row r="1784">
          <cell r="A1784">
            <v>2006</v>
          </cell>
          <cell r="B1784">
            <v>2</v>
          </cell>
          <cell r="C1784">
            <v>321</v>
          </cell>
          <cell r="D1784">
            <v>21</v>
          </cell>
          <cell r="E1784">
            <v>792020</v>
          </cell>
          <cell r="F1784">
            <v>0</v>
          </cell>
          <cell r="G1784" t="str">
            <v>Затраты по ШПЗ (основные)</v>
          </cell>
          <cell r="H1784">
            <v>2011</v>
          </cell>
          <cell r="I1784">
            <v>7920</v>
          </cell>
          <cell r="J1784">
            <v>19411</v>
          </cell>
          <cell r="K1784">
            <v>1</v>
          </cell>
          <cell r="L1784">
            <v>0</v>
          </cell>
          <cell r="M1784">
            <v>0</v>
          </cell>
          <cell r="N1784">
            <v>0</v>
          </cell>
          <cell r="R1784">
            <v>0</v>
          </cell>
          <cell r="S1784">
            <v>0</v>
          </cell>
          <cell r="T1784">
            <v>0</v>
          </cell>
          <cell r="U1784">
            <v>36</v>
          </cell>
          <cell r="V1784">
            <v>0</v>
          </cell>
          <cell r="W1784">
            <v>0</v>
          </cell>
          <cell r="AA1784">
            <v>0</v>
          </cell>
          <cell r="AB1784">
            <v>0</v>
          </cell>
          <cell r="AC1784">
            <v>0</v>
          </cell>
          <cell r="AD1784">
            <v>36</v>
          </cell>
          <cell r="AE1784">
            <v>460000</v>
          </cell>
          <cell r="AF1784">
            <v>0</v>
          </cell>
          <cell r="AI1784">
            <v>2251</v>
          </cell>
          <cell r="AK1784">
            <v>0</v>
          </cell>
          <cell r="AM1784">
            <v>450</v>
          </cell>
          <cell r="AN1784">
            <v>1</v>
          </cell>
          <cell r="AO1784">
            <v>393216</v>
          </cell>
          <cell r="AQ1784">
            <v>0</v>
          </cell>
          <cell r="AR1784">
            <v>0</v>
          </cell>
          <cell r="AS1784" t="str">
            <v>Ы</v>
          </cell>
          <cell r="AT1784" t="str">
            <v>Ы</v>
          </cell>
          <cell r="AU1784">
            <v>0</v>
          </cell>
          <cell r="AV1784">
            <v>0</v>
          </cell>
          <cell r="AW1784">
            <v>23</v>
          </cell>
          <cell r="AX1784">
            <v>1</v>
          </cell>
          <cell r="AY1784">
            <v>0</v>
          </cell>
          <cell r="AZ1784">
            <v>0</v>
          </cell>
          <cell r="BA1784">
            <v>0</v>
          </cell>
          <cell r="BB1784">
            <v>0</v>
          </cell>
          <cell r="BC1784">
            <v>38828</v>
          </cell>
        </row>
        <row r="1785">
          <cell r="A1785">
            <v>2006</v>
          </cell>
          <cell r="B1785">
            <v>2</v>
          </cell>
          <cell r="C1785">
            <v>322</v>
          </cell>
          <cell r="D1785">
            <v>21</v>
          </cell>
          <cell r="E1785">
            <v>792020</v>
          </cell>
          <cell r="F1785">
            <v>0</v>
          </cell>
          <cell r="G1785" t="str">
            <v>Затраты по ШПЗ (основные)</v>
          </cell>
          <cell r="H1785">
            <v>2011</v>
          </cell>
          <cell r="I1785">
            <v>7920</v>
          </cell>
          <cell r="J1785">
            <v>2708</v>
          </cell>
          <cell r="K1785">
            <v>1</v>
          </cell>
          <cell r="L1785">
            <v>0</v>
          </cell>
          <cell r="M1785">
            <v>0</v>
          </cell>
          <cell r="N1785">
            <v>0</v>
          </cell>
          <cell r="R1785">
            <v>0</v>
          </cell>
          <cell r="S1785">
            <v>0</v>
          </cell>
          <cell r="T1785">
            <v>0</v>
          </cell>
          <cell r="U1785">
            <v>36</v>
          </cell>
          <cell r="V1785">
            <v>0</v>
          </cell>
          <cell r="W1785">
            <v>0</v>
          </cell>
          <cell r="AA1785">
            <v>0</v>
          </cell>
          <cell r="AB1785">
            <v>0</v>
          </cell>
          <cell r="AC1785">
            <v>0</v>
          </cell>
          <cell r="AD1785">
            <v>36</v>
          </cell>
          <cell r="AE1785">
            <v>465000</v>
          </cell>
          <cell r="AF1785">
            <v>0</v>
          </cell>
          <cell r="AI1785">
            <v>2251</v>
          </cell>
          <cell r="AK1785">
            <v>0</v>
          </cell>
          <cell r="AM1785">
            <v>451</v>
          </cell>
          <cell r="AN1785">
            <v>1</v>
          </cell>
          <cell r="AO1785">
            <v>393216</v>
          </cell>
          <cell r="AQ1785">
            <v>0</v>
          </cell>
          <cell r="AR1785">
            <v>0</v>
          </cell>
          <cell r="AS1785" t="str">
            <v>Ы</v>
          </cell>
          <cell r="AT1785" t="str">
            <v>Ы</v>
          </cell>
          <cell r="AU1785">
            <v>0</v>
          </cell>
          <cell r="AV1785">
            <v>0</v>
          </cell>
          <cell r="AW1785">
            <v>23</v>
          </cell>
          <cell r="AX1785">
            <v>1</v>
          </cell>
          <cell r="AY1785">
            <v>0</v>
          </cell>
          <cell r="AZ1785">
            <v>0</v>
          </cell>
          <cell r="BA1785">
            <v>0</v>
          </cell>
          <cell r="BB1785">
            <v>0</v>
          </cell>
          <cell r="BC1785">
            <v>38828</v>
          </cell>
        </row>
        <row r="1786">
          <cell r="A1786">
            <v>2006</v>
          </cell>
          <cell r="B1786">
            <v>2</v>
          </cell>
          <cell r="C1786">
            <v>323</v>
          </cell>
          <cell r="D1786">
            <v>21</v>
          </cell>
          <cell r="E1786">
            <v>792020</v>
          </cell>
          <cell r="F1786">
            <v>0</v>
          </cell>
          <cell r="G1786" t="str">
            <v>Затраты по ШПЗ (основные)</v>
          </cell>
          <cell r="H1786">
            <v>2011</v>
          </cell>
          <cell r="I1786">
            <v>7920</v>
          </cell>
          <cell r="J1786">
            <v>273843.15999999997</v>
          </cell>
          <cell r="K1786">
            <v>1</v>
          </cell>
          <cell r="L1786">
            <v>0</v>
          </cell>
          <cell r="M1786">
            <v>0</v>
          </cell>
          <cell r="N1786">
            <v>0</v>
          </cell>
          <cell r="R1786">
            <v>0</v>
          </cell>
          <cell r="S1786">
            <v>0</v>
          </cell>
          <cell r="T1786">
            <v>0</v>
          </cell>
          <cell r="U1786">
            <v>36</v>
          </cell>
          <cell r="V1786">
            <v>0</v>
          </cell>
          <cell r="W1786">
            <v>0</v>
          </cell>
          <cell r="AA1786">
            <v>0</v>
          </cell>
          <cell r="AB1786">
            <v>0</v>
          </cell>
          <cell r="AC1786">
            <v>0</v>
          </cell>
          <cell r="AD1786">
            <v>36</v>
          </cell>
          <cell r="AE1786">
            <v>501103</v>
          </cell>
          <cell r="AF1786">
            <v>0</v>
          </cell>
          <cell r="AI1786">
            <v>2251</v>
          </cell>
          <cell r="AK1786">
            <v>0</v>
          </cell>
          <cell r="AM1786">
            <v>452</v>
          </cell>
          <cell r="AN1786">
            <v>1</v>
          </cell>
          <cell r="AO1786">
            <v>393216</v>
          </cell>
          <cell r="AQ1786">
            <v>0</v>
          </cell>
          <cell r="AR1786">
            <v>0</v>
          </cell>
          <cell r="AS1786" t="str">
            <v>Ы</v>
          </cell>
          <cell r="AT1786" t="str">
            <v>Ы</v>
          </cell>
          <cell r="AU1786">
            <v>0</v>
          </cell>
          <cell r="AV1786">
            <v>0</v>
          </cell>
          <cell r="AW1786">
            <v>23</v>
          </cell>
          <cell r="AX1786">
            <v>1</v>
          </cell>
          <cell r="AY1786">
            <v>0</v>
          </cell>
          <cell r="AZ1786">
            <v>0</v>
          </cell>
          <cell r="BA1786">
            <v>0</v>
          </cell>
          <cell r="BB1786">
            <v>0</v>
          </cell>
          <cell r="BC1786">
            <v>38828</v>
          </cell>
        </row>
        <row r="1787">
          <cell r="A1787">
            <v>2006</v>
          </cell>
          <cell r="B1787">
            <v>2</v>
          </cell>
          <cell r="C1787">
            <v>324</v>
          </cell>
          <cell r="D1787">
            <v>21</v>
          </cell>
          <cell r="E1787">
            <v>792020</v>
          </cell>
          <cell r="F1787">
            <v>0</v>
          </cell>
          <cell r="G1787" t="str">
            <v>Затраты по ШПЗ (основные)</v>
          </cell>
          <cell r="H1787">
            <v>2011</v>
          </cell>
          <cell r="I1787">
            <v>7920</v>
          </cell>
          <cell r="J1787">
            <v>24600</v>
          </cell>
          <cell r="K1787">
            <v>1</v>
          </cell>
          <cell r="L1787">
            <v>0</v>
          </cell>
          <cell r="M1787">
            <v>0</v>
          </cell>
          <cell r="N1787">
            <v>0</v>
          </cell>
          <cell r="R1787">
            <v>0</v>
          </cell>
          <cell r="S1787">
            <v>0</v>
          </cell>
          <cell r="T1787">
            <v>0</v>
          </cell>
          <cell r="U1787">
            <v>36</v>
          </cell>
          <cell r="V1787">
            <v>0</v>
          </cell>
          <cell r="W1787">
            <v>0</v>
          </cell>
          <cell r="AA1787">
            <v>0</v>
          </cell>
          <cell r="AB1787">
            <v>0</v>
          </cell>
          <cell r="AC1787">
            <v>0</v>
          </cell>
          <cell r="AD1787">
            <v>36</v>
          </cell>
          <cell r="AE1787">
            <v>504100</v>
          </cell>
          <cell r="AF1787">
            <v>0</v>
          </cell>
          <cell r="AI1787">
            <v>2251</v>
          </cell>
          <cell r="AK1787">
            <v>0</v>
          </cell>
          <cell r="AM1787">
            <v>453</v>
          </cell>
          <cell r="AN1787">
            <v>1</v>
          </cell>
          <cell r="AO1787">
            <v>393216</v>
          </cell>
          <cell r="AQ1787">
            <v>0</v>
          </cell>
          <cell r="AR1787">
            <v>0</v>
          </cell>
          <cell r="AS1787" t="str">
            <v>Ы</v>
          </cell>
          <cell r="AT1787" t="str">
            <v>Ы</v>
          </cell>
          <cell r="AU1787">
            <v>0</v>
          </cell>
          <cell r="AV1787">
            <v>0</v>
          </cell>
          <cell r="AW1787">
            <v>23</v>
          </cell>
          <cell r="AX1787">
            <v>1</v>
          </cell>
          <cell r="AY1787">
            <v>0</v>
          </cell>
          <cell r="AZ1787">
            <v>0</v>
          </cell>
          <cell r="BA1787">
            <v>0</v>
          </cell>
          <cell r="BB1787">
            <v>0</v>
          </cell>
          <cell r="BC1787">
            <v>38828</v>
          </cell>
        </row>
        <row r="1788">
          <cell r="A1788">
            <v>2006</v>
          </cell>
          <cell r="B1788">
            <v>2</v>
          </cell>
          <cell r="C1788">
            <v>325</v>
          </cell>
          <cell r="D1788">
            <v>21</v>
          </cell>
          <cell r="E1788">
            <v>792020</v>
          </cell>
          <cell r="F1788">
            <v>0</v>
          </cell>
          <cell r="G1788" t="str">
            <v>Затраты по ШПЗ (основные)</v>
          </cell>
          <cell r="H1788">
            <v>2011</v>
          </cell>
          <cell r="I1788">
            <v>7920</v>
          </cell>
          <cell r="J1788">
            <v>22330.51</v>
          </cell>
          <cell r="K1788">
            <v>1</v>
          </cell>
          <cell r="L1788">
            <v>0</v>
          </cell>
          <cell r="M1788">
            <v>0</v>
          </cell>
          <cell r="N1788">
            <v>0</v>
          </cell>
          <cell r="R1788">
            <v>0</v>
          </cell>
          <cell r="S1788">
            <v>0</v>
          </cell>
          <cell r="T1788">
            <v>0</v>
          </cell>
          <cell r="U1788">
            <v>36</v>
          </cell>
          <cell r="V1788">
            <v>0</v>
          </cell>
          <cell r="W1788">
            <v>0</v>
          </cell>
          <cell r="AA1788">
            <v>0</v>
          </cell>
          <cell r="AB1788">
            <v>0</v>
          </cell>
          <cell r="AC1788">
            <v>0</v>
          </cell>
          <cell r="AD1788">
            <v>36</v>
          </cell>
          <cell r="AE1788">
            <v>504200</v>
          </cell>
          <cell r="AF1788">
            <v>0</v>
          </cell>
          <cell r="AI1788">
            <v>2251</v>
          </cell>
          <cell r="AK1788">
            <v>0</v>
          </cell>
          <cell r="AM1788">
            <v>454</v>
          </cell>
          <cell r="AN1788">
            <v>1</v>
          </cell>
          <cell r="AO1788">
            <v>393216</v>
          </cell>
          <cell r="AQ1788">
            <v>0</v>
          </cell>
          <cell r="AR1788">
            <v>0</v>
          </cell>
          <cell r="AS1788" t="str">
            <v>Ы</v>
          </cell>
          <cell r="AT1788" t="str">
            <v>Ы</v>
          </cell>
          <cell r="AU1788">
            <v>0</v>
          </cell>
          <cell r="AV1788">
            <v>0</v>
          </cell>
          <cell r="AW1788">
            <v>23</v>
          </cell>
          <cell r="AX1788">
            <v>1</v>
          </cell>
          <cell r="AY1788">
            <v>0</v>
          </cell>
          <cell r="AZ1788">
            <v>0</v>
          </cell>
          <cell r="BA1788">
            <v>0</v>
          </cell>
          <cell r="BB1788">
            <v>0</v>
          </cell>
          <cell r="BC1788">
            <v>38828</v>
          </cell>
        </row>
        <row r="1789">
          <cell r="A1789">
            <v>2006</v>
          </cell>
          <cell r="B1789">
            <v>2</v>
          </cell>
          <cell r="C1789">
            <v>326</v>
          </cell>
          <cell r="D1789">
            <v>21</v>
          </cell>
          <cell r="E1789">
            <v>792020</v>
          </cell>
          <cell r="F1789">
            <v>0</v>
          </cell>
          <cell r="G1789" t="str">
            <v>Затраты по ШПЗ (основные)</v>
          </cell>
          <cell r="H1789">
            <v>2011</v>
          </cell>
          <cell r="I1789">
            <v>7920</v>
          </cell>
          <cell r="J1789">
            <v>117</v>
          </cell>
          <cell r="K1789">
            <v>1</v>
          </cell>
          <cell r="L1789">
            <v>0</v>
          </cell>
          <cell r="M1789">
            <v>0</v>
          </cell>
          <cell r="N1789">
            <v>0</v>
          </cell>
          <cell r="R1789">
            <v>0</v>
          </cell>
          <cell r="S1789">
            <v>0</v>
          </cell>
          <cell r="T1789">
            <v>0</v>
          </cell>
          <cell r="U1789">
            <v>36</v>
          </cell>
          <cell r="V1789">
            <v>0</v>
          </cell>
          <cell r="W1789">
            <v>0</v>
          </cell>
          <cell r="AA1789">
            <v>0</v>
          </cell>
          <cell r="AB1789">
            <v>0</v>
          </cell>
          <cell r="AC1789">
            <v>0</v>
          </cell>
          <cell r="AD1789">
            <v>36</v>
          </cell>
          <cell r="AE1789">
            <v>504400</v>
          </cell>
          <cell r="AF1789">
            <v>0</v>
          </cell>
          <cell r="AI1789">
            <v>2251</v>
          </cell>
          <cell r="AK1789">
            <v>0</v>
          </cell>
          <cell r="AM1789">
            <v>455</v>
          </cell>
          <cell r="AN1789">
            <v>1</v>
          </cell>
          <cell r="AO1789">
            <v>393216</v>
          </cell>
          <cell r="AQ1789">
            <v>0</v>
          </cell>
          <cell r="AR1789">
            <v>0</v>
          </cell>
          <cell r="AS1789" t="str">
            <v>Ы</v>
          </cell>
          <cell r="AT1789" t="str">
            <v>Ы</v>
          </cell>
          <cell r="AU1789">
            <v>0</v>
          </cell>
          <cell r="AV1789">
            <v>0</v>
          </cell>
          <cell r="AW1789">
            <v>23</v>
          </cell>
          <cell r="AX1789">
            <v>1</v>
          </cell>
          <cell r="AY1789">
            <v>0</v>
          </cell>
          <cell r="AZ1789">
            <v>0</v>
          </cell>
          <cell r="BA1789">
            <v>0</v>
          </cell>
          <cell r="BB1789">
            <v>0</v>
          </cell>
          <cell r="BC1789">
            <v>38828</v>
          </cell>
        </row>
        <row r="1790">
          <cell r="A1790">
            <v>2006</v>
          </cell>
          <cell r="B1790">
            <v>2</v>
          </cell>
          <cell r="C1790">
            <v>327</v>
          </cell>
          <cell r="D1790">
            <v>21</v>
          </cell>
          <cell r="E1790">
            <v>792020</v>
          </cell>
          <cell r="F1790">
            <v>0</v>
          </cell>
          <cell r="G1790" t="str">
            <v>Затраты по ШПЗ (основные)</v>
          </cell>
          <cell r="H1790">
            <v>2011</v>
          </cell>
          <cell r="I1790">
            <v>7920</v>
          </cell>
          <cell r="J1790">
            <v>538</v>
          </cell>
          <cell r="K1790">
            <v>1</v>
          </cell>
          <cell r="L1790">
            <v>0</v>
          </cell>
          <cell r="M1790">
            <v>0</v>
          </cell>
          <cell r="N1790">
            <v>0</v>
          </cell>
          <cell r="R1790">
            <v>0</v>
          </cell>
          <cell r="S1790">
            <v>0</v>
          </cell>
          <cell r="T1790">
            <v>0</v>
          </cell>
          <cell r="U1790">
            <v>36</v>
          </cell>
          <cell r="V1790">
            <v>0</v>
          </cell>
          <cell r="W1790">
            <v>0</v>
          </cell>
          <cell r="AA1790">
            <v>0</v>
          </cell>
          <cell r="AB1790">
            <v>0</v>
          </cell>
          <cell r="AC1790">
            <v>0</v>
          </cell>
          <cell r="AD1790">
            <v>36</v>
          </cell>
          <cell r="AE1790">
            <v>504900</v>
          </cell>
          <cell r="AF1790">
            <v>0</v>
          </cell>
          <cell r="AI1790">
            <v>2251</v>
          </cell>
          <cell r="AK1790">
            <v>0</v>
          </cell>
          <cell r="AM1790">
            <v>456</v>
          </cell>
          <cell r="AN1790">
            <v>1</v>
          </cell>
          <cell r="AO1790">
            <v>393216</v>
          </cell>
          <cell r="AQ1790">
            <v>0</v>
          </cell>
          <cell r="AR1790">
            <v>0</v>
          </cell>
          <cell r="AS1790" t="str">
            <v>Ы</v>
          </cell>
          <cell r="AT1790" t="str">
            <v>Ы</v>
          </cell>
          <cell r="AU1790">
            <v>0</v>
          </cell>
          <cell r="AV1790">
            <v>0</v>
          </cell>
          <cell r="AW1790">
            <v>23</v>
          </cell>
          <cell r="AX1790">
            <v>1</v>
          </cell>
          <cell r="AY1790">
            <v>0</v>
          </cell>
          <cell r="AZ1790">
            <v>0</v>
          </cell>
          <cell r="BA1790">
            <v>0</v>
          </cell>
          <cell r="BB1790">
            <v>0</v>
          </cell>
          <cell r="BC1790">
            <v>38828</v>
          </cell>
        </row>
        <row r="1791">
          <cell r="A1791">
            <v>2006</v>
          </cell>
          <cell r="B1791">
            <v>2</v>
          </cell>
          <cell r="C1791">
            <v>328</v>
          </cell>
          <cell r="D1791">
            <v>21</v>
          </cell>
          <cell r="E1791">
            <v>792020</v>
          </cell>
          <cell r="F1791">
            <v>0</v>
          </cell>
          <cell r="G1791" t="str">
            <v>Затраты по ШПЗ (основные)</v>
          </cell>
          <cell r="H1791">
            <v>2011</v>
          </cell>
          <cell r="I1791">
            <v>7920</v>
          </cell>
          <cell r="J1791">
            <v>11214.53</v>
          </cell>
          <cell r="K1791">
            <v>1</v>
          </cell>
          <cell r="L1791">
            <v>0</v>
          </cell>
          <cell r="M1791">
            <v>0</v>
          </cell>
          <cell r="N1791">
            <v>0</v>
          </cell>
          <cell r="R1791">
            <v>0</v>
          </cell>
          <cell r="S1791">
            <v>0</v>
          </cell>
          <cell r="T1791">
            <v>0</v>
          </cell>
          <cell r="U1791">
            <v>36</v>
          </cell>
          <cell r="V1791">
            <v>0</v>
          </cell>
          <cell r="W1791">
            <v>0</v>
          </cell>
          <cell r="AA1791">
            <v>0</v>
          </cell>
          <cell r="AB1791">
            <v>0</v>
          </cell>
          <cell r="AC1791">
            <v>0</v>
          </cell>
          <cell r="AD1791">
            <v>36</v>
          </cell>
          <cell r="AE1791">
            <v>505100</v>
          </cell>
          <cell r="AF1791">
            <v>0</v>
          </cell>
          <cell r="AI1791">
            <v>2251</v>
          </cell>
          <cell r="AK1791">
            <v>0</v>
          </cell>
          <cell r="AM1791">
            <v>457</v>
          </cell>
          <cell r="AN1791">
            <v>1</v>
          </cell>
          <cell r="AO1791">
            <v>393216</v>
          </cell>
          <cell r="AQ1791">
            <v>0</v>
          </cell>
          <cell r="AR1791">
            <v>0</v>
          </cell>
          <cell r="AS1791" t="str">
            <v>Ы</v>
          </cell>
          <cell r="AT1791" t="str">
            <v>Ы</v>
          </cell>
          <cell r="AU1791">
            <v>0</v>
          </cell>
          <cell r="AV1791">
            <v>0</v>
          </cell>
          <cell r="AW1791">
            <v>23</v>
          </cell>
          <cell r="AX1791">
            <v>1</v>
          </cell>
          <cell r="AY1791">
            <v>0</v>
          </cell>
          <cell r="AZ1791">
            <v>0</v>
          </cell>
          <cell r="BA1791">
            <v>0</v>
          </cell>
          <cell r="BB1791">
            <v>0</v>
          </cell>
          <cell r="BC1791">
            <v>38828</v>
          </cell>
        </row>
        <row r="1792">
          <cell r="A1792">
            <v>2006</v>
          </cell>
          <cell r="B1792">
            <v>2</v>
          </cell>
          <cell r="C1792">
            <v>329</v>
          </cell>
          <cell r="D1792">
            <v>21</v>
          </cell>
          <cell r="E1792">
            <v>792020</v>
          </cell>
          <cell r="F1792">
            <v>0</v>
          </cell>
          <cell r="G1792" t="str">
            <v>Затраты по ШПЗ (основные)</v>
          </cell>
          <cell r="H1792">
            <v>2011</v>
          </cell>
          <cell r="I1792">
            <v>7920</v>
          </cell>
          <cell r="J1792">
            <v>150151.34</v>
          </cell>
          <cell r="K1792">
            <v>1</v>
          </cell>
          <cell r="L1792">
            <v>0</v>
          </cell>
          <cell r="M1792">
            <v>0</v>
          </cell>
          <cell r="N1792">
            <v>0</v>
          </cell>
          <cell r="R1792">
            <v>0</v>
          </cell>
          <cell r="S1792">
            <v>0</v>
          </cell>
          <cell r="T1792">
            <v>0</v>
          </cell>
          <cell r="U1792">
            <v>36</v>
          </cell>
          <cell r="V1792">
            <v>0</v>
          </cell>
          <cell r="W1792">
            <v>0</v>
          </cell>
          <cell r="AA1792">
            <v>0</v>
          </cell>
          <cell r="AB1792">
            <v>0</v>
          </cell>
          <cell r="AC1792">
            <v>0</v>
          </cell>
          <cell r="AD1792">
            <v>36</v>
          </cell>
          <cell r="AE1792">
            <v>505200</v>
          </cell>
          <cell r="AF1792">
            <v>0</v>
          </cell>
          <cell r="AI1792">
            <v>2251</v>
          </cell>
          <cell r="AK1792">
            <v>0</v>
          </cell>
          <cell r="AM1792">
            <v>458</v>
          </cell>
          <cell r="AN1792">
            <v>1</v>
          </cell>
          <cell r="AO1792">
            <v>393216</v>
          </cell>
          <cell r="AQ1792">
            <v>0</v>
          </cell>
          <cell r="AR1792">
            <v>0</v>
          </cell>
          <cell r="AS1792" t="str">
            <v>Ы</v>
          </cell>
          <cell r="AT1792" t="str">
            <v>Ы</v>
          </cell>
          <cell r="AU1792">
            <v>0</v>
          </cell>
          <cell r="AV1792">
            <v>0</v>
          </cell>
          <cell r="AW1792">
            <v>23</v>
          </cell>
          <cell r="AX1792">
            <v>1</v>
          </cell>
          <cell r="AY1792">
            <v>0</v>
          </cell>
          <cell r="AZ1792">
            <v>0</v>
          </cell>
          <cell r="BA1792">
            <v>0</v>
          </cell>
          <cell r="BB1792">
            <v>0</v>
          </cell>
          <cell r="BC1792">
            <v>38828</v>
          </cell>
        </row>
        <row r="1793">
          <cell r="A1793">
            <v>2006</v>
          </cell>
          <cell r="B1793">
            <v>2</v>
          </cell>
          <cell r="C1793">
            <v>330</v>
          </cell>
          <cell r="D1793">
            <v>21</v>
          </cell>
          <cell r="E1793">
            <v>792020</v>
          </cell>
          <cell r="F1793">
            <v>0</v>
          </cell>
          <cell r="G1793" t="str">
            <v>Затраты по ШПЗ (основные)</v>
          </cell>
          <cell r="H1793">
            <v>2011</v>
          </cell>
          <cell r="I1793">
            <v>7920</v>
          </cell>
          <cell r="J1793">
            <v>523.26</v>
          </cell>
          <cell r="K1793">
            <v>1</v>
          </cell>
          <cell r="L1793">
            <v>0</v>
          </cell>
          <cell r="M1793">
            <v>0</v>
          </cell>
          <cell r="N1793">
            <v>0</v>
          </cell>
          <cell r="R1793">
            <v>0</v>
          </cell>
          <cell r="S1793">
            <v>0</v>
          </cell>
          <cell r="T1793">
            <v>0</v>
          </cell>
          <cell r="U1793">
            <v>36</v>
          </cell>
          <cell r="V1793">
            <v>0</v>
          </cell>
          <cell r="W1793">
            <v>0</v>
          </cell>
          <cell r="AA1793">
            <v>0</v>
          </cell>
          <cell r="AB1793">
            <v>0</v>
          </cell>
          <cell r="AC1793">
            <v>0</v>
          </cell>
          <cell r="AD1793">
            <v>36</v>
          </cell>
          <cell r="AE1793">
            <v>505300</v>
          </cell>
          <cell r="AF1793">
            <v>0</v>
          </cell>
          <cell r="AI1793">
            <v>2251</v>
          </cell>
          <cell r="AK1793">
            <v>0</v>
          </cell>
          <cell r="AM1793">
            <v>459</v>
          </cell>
          <cell r="AN1793">
            <v>1</v>
          </cell>
          <cell r="AO1793">
            <v>393216</v>
          </cell>
          <cell r="AQ1793">
            <v>0</v>
          </cell>
          <cell r="AR1793">
            <v>0</v>
          </cell>
          <cell r="AS1793" t="str">
            <v>Ы</v>
          </cell>
          <cell r="AT1793" t="str">
            <v>Ы</v>
          </cell>
          <cell r="AU1793">
            <v>0</v>
          </cell>
          <cell r="AV1793">
            <v>0</v>
          </cell>
          <cell r="AW1793">
            <v>23</v>
          </cell>
          <cell r="AX1793">
            <v>1</v>
          </cell>
          <cell r="AY1793">
            <v>0</v>
          </cell>
          <cell r="AZ1793">
            <v>0</v>
          </cell>
          <cell r="BA1793">
            <v>0</v>
          </cell>
          <cell r="BB1793">
            <v>0</v>
          </cell>
          <cell r="BC1793">
            <v>38828</v>
          </cell>
        </row>
        <row r="1794">
          <cell r="A1794">
            <v>2006</v>
          </cell>
          <cell r="B1794">
            <v>2</v>
          </cell>
          <cell r="C1794">
            <v>331</v>
          </cell>
          <cell r="D1794">
            <v>21</v>
          </cell>
          <cell r="E1794">
            <v>792020</v>
          </cell>
          <cell r="F1794">
            <v>0</v>
          </cell>
          <cell r="G1794" t="str">
            <v>Затраты по ШПЗ (основные)</v>
          </cell>
          <cell r="H1794">
            <v>2011</v>
          </cell>
          <cell r="I1794">
            <v>7920</v>
          </cell>
          <cell r="J1794">
            <v>1510</v>
          </cell>
          <cell r="K1794">
            <v>1</v>
          </cell>
          <cell r="L1794">
            <v>0</v>
          </cell>
          <cell r="M1794">
            <v>0</v>
          </cell>
          <cell r="N1794">
            <v>0</v>
          </cell>
          <cell r="R1794">
            <v>0</v>
          </cell>
          <cell r="S1794">
            <v>0</v>
          </cell>
          <cell r="T1794">
            <v>0</v>
          </cell>
          <cell r="U1794">
            <v>36</v>
          </cell>
          <cell r="V1794">
            <v>0</v>
          </cell>
          <cell r="W1794">
            <v>0</v>
          </cell>
          <cell r="AA1794">
            <v>0</v>
          </cell>
          <cell r="AB1794">
            <v>0</v>
          </cell>
          <cell r="AC1794">
            <v>0</v>
          </cell>
          <cell r="AD1794">
            <v>36</v>
          </cell>
          <cell r="AE1794">
            <v>505400</v>
          </cell>
          <cell r="AF1794">
            <v>0</v>
          </cell>
          <cell r="AI1794">
            <v>2251</v>
          </cell>
          <cell r="AK1794">
            <v>0</v>
          </cell>
          <cell r="AM1794">
            <v>460</v>
          </cell>
          <cell r="AN1794">
            <v>1</v>
          </cell>
          <cell r="AO1794">
            <v>393216</v>
          </cell>
          <cell r="AQ1794">
            <v>0</v>
          </cell>
          <cell r="AR1794">
            <v>0</v>
          </cell>
          <cell r="AS1794" t="str">
            <v>Ы</v>
          </cell>
          <cell r="AT1794" t="str">
            <v>Ы</v>
          </cell>
          <cell r="AU1794">
            <v>0</v>
          </cell>
          <cell r="AV1794">
            <v>0</v>
          </cell>
          <cell r="AW1794">
            <v>23</v>
          </cell>
          <cell r="AX1794">
            <v>1</v>
          </cell>
          <cell r="AY1794">
            <v>0</v>
          </cell>
          <cell r="AZ1794">
            <v>0</v>
          </cell>
          <cell r="BA1794">
            <v>0</v>
          </cell>
          <cell r="BB1794">
            <v>0</v>
          </cell>
          <cell r="BC1794">
            <v>38828</v>
          </cell>
        </row>
        <row r="1795">
          <cell r="A1795">
            <v>2006</v>
          </cell>
          <cell r="B1795">
            <v>2</v>
          </cell>
          <cell r="C1795">
            <v>332</v>
          </cell>
          <cell r="D1795">
            <v>21</v>
          </cell>
          <cell r="E1795">
            <v>792020</v>
          </cell>
          <cell r="F1795">
            <v>0</v>
          </cell>
          <cell r="G1795" t="str">
            <v>Затраты по ШПЗ (основные)</v>
          </cell>
          <cell r="H1795">
            <v>2011</v>
          </cell>
          <cell r="I1795">
            <v>7920</v>
          </cell>
          <cell r="J1795">
            <v>684450.28</v>
          </cell>
          <cell r="K1795">
            <v>1</v>
          </cell>
          <cell r="L1795">
            <v>0</v>
          </cell>
          <cell r="M1795">
            <v>0</v>
          </cell>
          <cell r="N1795">
            <v>0</v>
          </cell>
          <cell r="R1795">
            <v>0</v>
          </cell>
          <cell r="S1795">
            <v>0</v>
          </cell>
          <cell r="T1795">
            <v>0</v>
          </cell>
          <cell r="U1795">
            <v>36</v>
          </cell>
          <cell r="V1795">
            <v>0</v>
          </cell>
          <cell r="W1795">
            <v>0</v>
          </cell>
          <cell r="AA1795">
            <v>0</v>
          </cell>
          <cell r="AB1795">
            <v>0</v>
          </cell>
          <cell r="AC1795">
            <v>0</v>
          </cell>
          <cell r="AD1795">
            <v>36</v>
          </cell>
          <cell r="AE1795">
            <v>510100</v>
          </cell>
          <cell r="AF1795">
            <v>0</v>
          </cell>
          <cell r="AI1795">
            <v>2251</v>
          </cell>
          <cell r="AK1795">
            <v>0</v>
          </cell>
          <cell r="AM1795">
            <v>461</v>
          </cell>
          <cell r="AN1795">
            <v>1</v>
          </cell>
          <cell r="AO1795">
            <v>393216</v>
          </cell>
          <cell r="AQ1795">
            <v>0</v>
          </cell>
          <cell r="AR1795">
            <v>0</v>
          </cell>
          <cell r="AS1795" t="str">
            <v>Ы</v>
          </cell>
          <cell r="AT1795" t="str">
            <v>Ы</v>
          </cell>
          <cell r="AU1795">
            <v>0</v>
          </cell>
          <cell r="AV1795">
            <v>0</v>
          </cell>
          <cell r="AW1795">
            <v>23</v>
          </cell>
          <cell r="AX1795">
            <v>1</v>
          </cell>
          <cell r="AY1795">
            <v>0</v>
          </cell>
          <cell r="AZ1795">
            <v>0</v>
          </cell>
          <cell r="BA1795">
            <v>0</v>
          </cell>
          <cell r="BB1795">
            <v>0</v>
          </cell>
          <cell r="BC1795">
            <v>38828</v>
          </cell>
        </row>
        <row r="1796">
          <cell r="A1796">
            <v>2006</v>
          </cell>
          <cell r="B1796">
            <v>2</v>
          </cell>
          <cell r="C1796">
            <v>333</v>
          </cell>
          <cell r="D1796">
            <v>21</v>
          </cell>
          <cell r="E1796">
            <v>792020</v>
          </cell>
          <cell r="F1796">
            <v>0</v>
          </cell>
          <cell r="G1796" t="str">
            <v>Затраты по ШПЗ (основные)</v>
          </cell>
          <cell r="H1796">
            <v>2011</v>
          </cell>
          <cell r="I1796">
            <v>7920</v>
          </cell>
          <cell r="J1796">
            <v>4905</v>
          </cell>
          <cell r="K1796">
            <v>1</v>
          </cell>
          <cell r="L1796">
            <v>0</v>
          </cell>
          <cell r="M1796">
            <v>0</v>
          </cell>
          <cell r="N1796">
            <v>0</v>
          </cell>
          <cell r="R1796">
            <v>0</v>
          </cell>
          <cell r="S1796">
            <v>0</v>
          </cell>
          <cell r="T1796">
            <v>0</v>
          </cell>
          <cell r="U1796">
            <v>36</v>
          </cell>
          <cell r="V1796">
            <v>0</v>
          </cell>
          <cell r="W1796">
            <v>0</v>
          </cell>
          <cell r="AA1796">
            <v>0</v>
          </cell>
          <cell r="AB1796">
            <v>0</v>
          </cell>
          <cell r="AC1796">
            <v>0</v>
          </cell>
          <cell r="AD1796">
            <v>36</v>
          </cell>
          <cell r="AE1796">
            <v>510400</v>
          </cell>
          <cell r="AF1796">
            <v>0</v>
          </cell>
          <cell r="AI1796">
            <v>2251</v>
          </cell>
          <cell r="AK1796">
            <v>0</v>
          </cell>
          <cell r="AM1796">
            <v>462</v>
          </cell>
          <cell r="AN1796">
            <v>1</v>
          </cell>
          <cell r="AO1796">
            <v>393216</v>
          </cell>
          <cell r="AQ1796">
            <v>0</v>
          </cell>
          <cell r="AR1796">
            <v>0</v>
          </cell>
          <cell r="AS1796" t="str">
            <v>Ы</v>
          </cell>
          <cell r="AT1796" t="str">
            <v>Ы</v>
          </cell>
          <cell r="AU1796">
            <v>0</v>
          </cell>
          <cell r="AV1796">
            <v>0</v>
          </cell>
          <cell r="AW1796">
            <v>23</v>
          </cell>
          <cell r="AX1796">
            <v>1</v>
          </cell>
          <cell r="AY1796">
            <v>0</v>
          </cell>
          <cell r="AZ1796">
            <v>0</v>
          </cell>
          <cell r="BA1796">
            <v>0</v>
          </cell>
          <cell r="BB1796">
            <v>0</v>
          </cell>
          <cell r="BC1796">
            <v>38828</v>
          </cell>
        </row>
        <row r="1797">
          <cell r="A1797">
            <v>2006</v>
          </cell>
          <cell r="B1797">
            <v>2</v>
          </cell>
          <cell r="C1797">
            <v>334</v>
          </cell>
          <cell r="D1797">
            <v>21</v>
          </cell>
          <cell r="E1797">
            <v>792020</v>
          </cell>
          <cell r="F1797">
            <v>0</v>
          </cell>
          <cell r="G1797" t="str">
            <v>Затраты по ШПЗ (основные)</v>
          </cell>
          <cell r="H1797">
            <v>2011</v>
          </cell>
          <cell r="I1797">
            <v>7920</v>
          </cell>
          <cell r="J1797">
            <v>561490</v>
          </cell>
          <cell r="K1797">
            <v>1</v>
          </cell>
          <cell r="L1797">
            <v>0</v>
          </cell>
          <cell r="M1797">
            <v>0</v>
          </cell>
          <cell r="N1797">
            <v>0</v>
          </cell>
          <cell r="R1797">
            <v>0</v>
          </cell>
          <cell r="S1797">
            <v>0</v>
          </cell>
          <cell r="T1797">
            <v>0</v>
          </cell>
          <cell r="U1797">
            <v>36</v>
          </cell>
          <cell r="V1797">
            <v>0</v>
          </cell>
          <cell r="W1797">
            <v>0</v>
          </cell>
          <cell r="AA1797">
            <v>0</v>
          </cell>
          <cell r="AB1797">
            <v>0</v>
          </cell>
          <cell r="AC1797">
            <v>0</v>
          </cell>
          <cell r="AD1797">
            <v>36</v>
          </cell>
          <cell r="AE1797">
            <v>510600</v>
          </cell>
          <cell r="AF1797">
            <v>0</v>
          </cell>
          <cell r="AI1797">
            <v>2251</v>
          </cell>
          <cell r="AK1797">
            <v>0</v>
          </cell>
          <cell r="AM1797">
            <v>463</v>
          </cell>
          <cell r="AN1797">
            <v>1</v>
          </cell>
          <cell r="AO1797">
            <v>393216</v>
          </cell>
          <cell r="AQ1797">
            <v>0</v>
          </cell>
          <cell r="AR1797">
            <v>0</v>
          </cell>
          <cell r="AS1797" t="str">
            <v>Ы</v>
          </cell>
          <cell r="AT1797" t="str">
            <v>Ы</v>
          </cell>
          <cell r="AU1797">
            <v>0</v>
          </cell>
          <cell r="AV1797">
            <v>0</v>
          </cell>
          <cell r="AW1797">
            <v>23</v>
          </cell>
          <cell r="AX1797">
            <v>1</v>
          </cell>
          <cell r="AY1797">
            <v>0</v>
          </cell>
          <cell r="AZ1797">
            <v>0</v>
          </cell>
          <cell r="BA1797">
            <v>0</v>
          </cell>
          <cell r="BB1797">
            <v>0</v>
          </cell>
          <cell r="BC1797">
            <v>38828</v>
          </cell>
        </row>
        <row r="1798">
          <cell r="A1798">
            <v>2006</v>
          </cell>
          <cell r="B1798">
            <v>2</v>
          </cell>
          <cell r="C1798">
            <v>335</v>
          </cell>
          <cell r="D1798">
            <v>21</v>
          </cell>
          <cell r="E1798">
            <v>792020</v>
          </cell>
          <cell r="F1798">
            <v>0</v>
          </cell>
          <cell r="G1798" t="str">
            <v>Затраты по ШПЗ (основные)</v>
          </cell>
          <cell r="H1798">
            <v>2011</v>
          </cell>
          <cell r="I1798">
            <v>7920</v>
          </cell>
          <cell r="J1798">
            <v>3613</v>
          </cell>
          <cell r="K1798">
            <v>1</v>
          </cell>
          <cell r="L1798">
            <v>0</v>
          </cell>
          <cell r="M1798">
            <v>0</v>
          </cell>
          <cell r="N1798">
            <v>0</v>
          </cell>
          <cell r="R1798">
            <v>0</v>
          </cell>
          <cell r="S1798">
            <v>0</v>
          </cell>
          <cell r="T1798">
            <v>0</v>
          </cell>
          <cell r="U1798">
            <v>36</v>
          </cell>
          <cell r="V1798">
            <v>0</v>
          </cell>
          <cell r="W1798">
            <v>0</v>
          </cell>
          <cell r="AA1798">
            <v>0</v>
          </cell>
          <cell r="AB1798">
            <v>0</v>
          </cell>
          <cell r="AC1798">
            <v>0</v>
          </cell>
          <cell r="AD1798">
            <v>36</v>
          </cell>
          <cell r="AE1798">
            <v>510630</v>
          </cell>
          <cell r="AF1798">
            <v>0</v>
          </cell>
          <cell r="AI1798">
            <v>2251</v>
          </cell>
          <cell r="AK1798">
            <v>0</v>
          </cell>
          <cell r="AM1798">
            <v>464</v>
          </cell>
          <cell r="AN1798">
            <v>1</v>
          </cell>
          <cell r="AO1798">
            <v>393216</v>
          </cell>
          <cell r="AQ1798">
            <v>0</v>
          </cell>
          <cell r="AR1798">
            <v>0</v>
          </cell>
          <cell r="AS1798" t="str">
            <v>Ы</v>
          </cell>
          <cell r="AT1798" t="str">
            <v>Ы</v>
          </cell>
          <cell r="AU1798">
            <v>0</v>
          </cell>
          <cell r="AV1798">
            <v>0</v>
          </cell>
          <cell r="AW1798">
            <v>23</v>
          </cell>
          <cell r="AX1798">
            <v>1</v>
          </cell>
          <cell r="AY1798">
            <v>0</v>
          </cell>
          <cell r="AZ1798">
            <v>0</v>
          </cell>
          <cell r="BA1798">
            <v>0</v>
          </cell>
          <cell r="BB1798">
            <v>0</v>
          </cell>
          <cell r="BC1798">
            <v>38828</v>
          </cell>
        </row>
        <row r="1799">
          <cell r="A1799">
            <v>2006</v>
          </cell>
          <cell r="B1799">
            <v>2</v>
          </cell>
          <cell r="C1799">
            <v>336</v>
          </cell>
          <cell r="D1799">
            <v>21</v>
          </cell>
          <cell r="E1799">
            <v>792020</v>
          </cell>
          <cell r="F1799">
            <v>0</v>
          </cell>
          <cell r="G1799" t="str">
            <v>Затраты по ШПЗ (основные)</v>
          </cell>
          <cell r="H1799">
            <v>2011</v>
          </cell>
          <cell r="I1799">
            <v>7920</v>
          </cell>
          <cell r="J1799">
            <v>15225</v>
          </cell>
          <cell r="K1799">
            <v>1</v>
          </cell>
          <cell r="L1799">
            <v>0</v>
          </cell>
          <cell r="M1799">
            <v>0</v>
          </cell>
          <cell r="N1799">
            <v>0</v>
          </cell>
          <cell r="R1799">
            <v>0</v>
          </cell>
          <cell r="S1799">
            <v>0</v>
          </cell>
          <cell r="T1799">
            <v>0</v>
          </cell>
          <cell r="U1799">
            <v>36</v>
          </cell>
          <cell r="V1799">
            <v>0</v>
          </cell>
          <cell r="W1799">
            <v>0</v>
          </cell>
          <cell r="AA1799">
            <v>0</v>
          </cell>
          <cell r="AB1799">
            <v>0</v>
          </cell>
          <cell r="AC1799">
            <v>0</v>
          </cell>
          <cell r="AD1799">
            <v>36</v>
          </cell>
          <cell r="AE1799">
            <v>513600</v>
          </cell>
          <cell r="AF1799">
            <v>0</v>
          </cell>
          <cell r="AI1799">
            <v>2251</v>
          </cell>
          <cell r="AK1799">
            <v>0</v>
          </cell>
          <cell r="AM1799">
            <v>465</v>
          </cell>
          <cell r="AN1799">
            <v>1</v>
          </cell>
          <cell r="AO1799">
            <v>393216</v>
          </cell>
          <cell r="AQ1799">
            <v>0</v>
          </cell>
          <cell r="AR1799">
            <v>0</v>
          </cell>
          <cell r="AS1799" t="str">
            <v>Ы</v>
          </cell>
          <cell r="AT1799" t="str">
            <v>Ы</v>
          </cell>
          <cell r="AU1799">
            <v>0</v>
          </cell>
          <cell r="AV1799">
            <v>0</v>
          </cell>
          <cell r="AW1799">
            <v>23</v>
          </cell>
          <cell r="AX1799">
            <v>1</v>
          </cell>
          <cell r="AY1799">
            <v>0</v>
          </cell>
          <cell r="AZ1799">
            <v>0</v>
          </cell>
          <cell r="BA1799">
            <v>0</v>
          </cell>
          <cell r="BB1799">
            <v>0</v>
          </cell>
          <cell r="BC1799">
            <v>38828</v>
          </cell>
        </row>
        <row r="1800">
          <cell r="A1800">
            <v>2006</v>
          </cell>
          <cell r="B1800">
            <v>2</v>
          </cell>
          <cell r="C1800">
            <v>337</v>
          </cell>
          <cell r="D1800">
            <v>21</v>
          </cell>
          <cell r="E1800">
            <v>792020</v>
          </cell>
          <cell r="F1800">
            <v>0</v>
          </cell>
          <cell r="G1800" t="str">
            <v>Затраты по ШПЗ (основные)</v>
          </cell>
          <cell r="H1800">
            <v>2011</v>
          </cell>
          <cell r="I1800">
            <v>7920</v>
          </cell>
          <cell r="J1800">
            <v>36303.71</v>
          </cell>
          <cell r="K1800">
            <v>1</v>
          </cell>
          <cell r="L1800">
            <v>0</v>
          </cell>
          <cell r="M1800">
            <v>0</v>
          </cell>
          <cell r="N1800">
            <v>0</v>
          </cell>
          <cell r="R1800">
            <v>0</v>
          </cell>
          <cell r="S1800">
            <v>0</v>
          </cell>
          <cell r="T1800">
            <v>0</v>
          </cell>
          <cell r="U1800">
            <v>36</v>
          </cell>
          <cell r="V1800">
            <v>0</v>
          </cell>
          <cell r="W1800">
            <v>0</v>
          </cell>
          <cell r="AA1800">
            <v>0</v>
          </cell>
          <cell r="AB1800">
            <v>0</v>
          </cell>
          <cell r="AC1800">
            <v>0</v>
          </cell>
          <cell r="AD1800">
            <v>36</v>
          </cell>
          <cell r="AE1800">
            <v>530000</v>
          </cell>
          <cell r="AF1800">
            <v>0</v>
          </cell>
          <cell r="AI1800">
            <v>2251</v>
          </cell>
          <cell r="AK1800">
            <v>0</v>
          </cell>
          <cell r="AM1800">
            <v>466</v>
          </cell>
          <cell r="AN1800">
            <v>1</v>
          </cell>
          <cell r="AO1800">
            <v>393216</v>
          </cell>
          <cell r="AQ1800">
            <v>0</v>
          </cell>
          <cell r="AR1800">
            <v>0</v>
          </cell>
          <cell r="AS1800" t="str">
            <v>Ы</v>
          </cell>
          <cell r="AT1800" t="str">
            <v>Ы</v>
          </cell>
          <cell r="AU1800">
            <v>0</v>
          </cell>
          <cell r="AV1800">
            <v>0</v>
          </cell>
          <cell r="AW1800">
            <v>23</v>
          </cell>
          <cell r="AX1800">
            <v>1</v>
          </cell>
          <cell r="AY1800">
            <v>0</v>
          </cell>
          <cell r="AZ1800">
            <v>0</v>
          </cell>
          <cell r="BA1800">
            <v>0</v>
          </cell>
          <cell r="BB1800">
            <v>0</v>
          </cell>
          <cell r="BC1800">
            <v>38828</v>
          </cell>
        </row>
        <row r="1801">
          <cell r="A1801">
            <v>2006</v>
          </cell>
          <cell r="B1801">
            <v>2</v>
          </cell>
          <cell r="C1801">
            <v>378</v>
          </cell>
          <cell r="D1801">
            <v>21</v>
          </cell>
          <cell r="E1801">
            <v>792020</v>
          </cell>
          <cell r="F1801">
            <v>0</v>
          </cell>
          <cell r="G1801" t="str">
            <v>Затраты по ШПЗ (основные)</v>
          </cell>
          <cell r="H1801">
            <v>2011</v>
          </cell>
          <cell r="I1801">
            <v>7920</v>
          </cell>
          <cell r="J1801">
            <v>75906.929999999993</v>
          </cell>
          <cell r="K1801">
            <v>1</v>
          </cell>
          <cell r="L1801">
            <v>0</v>
          </cell>
          <cell r="M1801">
            <v>0</v>
          </cell>
          <cell r="N1801">
            <v>0</v>
          </cell>
          <cell r="R1801">
            <v>0</v>
          </cell>
          <cell r="S1801">
            <v>0</v>
          </cell>
          <cell r="T1801">
            <v>0</v>
          </cell>
          <cell r="U1801">
            <v>35</v>
          </cell>
          <cell r="V1801">
            <v>0</v>
          </cell>
          <cell r="W1801">
            <v>0</v>
          </cell>
          <cell r="AA1801">
            <v>0</v>
          </cell>
          <cell r="AB1801">
            <v>0</v>
          </cell>
          <cell r="AC1801">
            <v>0</v>
          </cell>
          <cell r="AD1801">
            <v>35</v>
          </cell>
          <cell r="AE1801">
            <v>110000</v>
          </cell>
          <cell r="AF1801">
            <v>0</v>
          </cell>
          <cell r="AI1801">
            <v>2251</v>
          </cell>
          <cell r="AK1801">
            <v>0</v>
          </cell>
          <cell r="AM1801">
            <v>507</v>
          </cell>
          <cell r="AN1801">
            <v>1</v>
          </cell>
          <cell r="AO1801">
            <v>393216</v>
          </cell>
          <cell r="AQ1801">
            <v>0</v>
          </cell>
          <cell r="AR1801">
            <v>0</v>
          </cell>
          <cell r="AS1801" t="str">
            <v>Ы</v>
          </cell>
          <cell r="AT1801" t="str">
            <v>Ы</v>
          </cell>
          <cell r="AU1801">
            <v>0</v>
          </cell>
          <cell r="AV1801">
            <v>0</v>
          </cell>
          <cell r="AW1801">
            <v>23</v>
          </cell>
          <cell r="AX1801">
            <v>1</v>
          </cell>
          <cell r="AY1801">
            <v>0</v>
          </cell>
          <cell r="AZ1801">
            <v>0</v>
          </cell>
          <cell r="BA1801">
            <v>0</v>
          </cell>
          <cell r="BB1801">
            <v>0</v>
          </cell>
          <cell r="BC1801">
            <v>38828</v>
          </cell>
        </row>
        <row r="1802">
          <cell r="A1802">
            <v>2006</v>
          </cell>
          <cell r="B1802">
            <v>2</v>
          </cell>
          <cell r="C1802">
            <v>379</v>
          </cell>
          <cell r="D1802">
            <v>21</v>
          </cell>
          <cell r="E1802">
            <v>792020</v>
          </cell>
          <cell r="F1802">
            <v>0</v>
          </cell>
          <cell r="G1802" t="str">
            <v>Затраты по ШПЗ (основные)</v>
          </cell>
          <cell r="H1802">
            <v>2011</v>
          </cell>
          <cell r="I1802">
            <v>7920</v>
          </cell>
          <cell r="J1802">
            <v>2279.69</v>
          </cell>
          <cell r="K1802">
            <v>1</v>
          </cell>
          <cell r="L1802">
            <v>0</v>
          </cell>
          <cell r="M1802">
            <v>0</v>
          </cell>
          <cell r="N1802">
            <v>0</v>
          </cell>
          <cell r="R1802">
            <v>0</v>
          </cell>
          <cell r="S1802">
            <v>0</v>
          </cell>
          <cell r="T1802">
            <v>0</v>
          </cell>
          <cell r="U1802">
            <v>35</v>
          </cell>
          <cell r="V1802">
            <v>0</v>
          </cell>
          <cell r="W1802">
            <v>0</v>
          </cell>
          <cell r="AA1802">
            <v>0</v>
          </cell>
          <cell r="AB1802">
            <v>0</v>
          </cell>
          <cell r="AC1802">
            <v>0</v>
          </cell>
          <cell r="AD1802">
            <v>35</v>
          </cell>
          <cell r="AE1802">
            <v>114020</v>
          </cell>
          <cell r="AF1802">
            <v>0</v>
          </cell>
          <cell r="AI1802">
            <v>2251</v>
          </cell>
          <cell r="AK1802">
            <v>0</v>
          </cell>
          <cell r="AM1802">
            <v>508</v>
          </cell>
          <cell r="AN1802">
            <v>1</v>
          </cell>
          <cell r="AO1802">
            <v>393216</v>
          </cell>
          <cell r="AQ1802">
            <v>0</v>
          </cell>
          <cell r="AR1802">
            <v>0</v>
          </cell>
          <cell r="AS1802" t="str">
            <v>Ы</v>
          </cell>
          <cell r="AT1802" t="str">
            <v>Ы</v>
          </cell>
          <cell r="AU1802">
            <v>0</v>
          </cell>
          <cell r="AV1802">
            <v>0</v>
          </cell>
          <cell r="AW1802">
            <v>23</v>
          </cell>
          <cell r="AX1802">
            <v>1</v>
          </cell>
          <cell r="AY1802">
            <v>0</v>
          </cell>
          <cell r="AZ1802">
            <v>0</v>
          </cell>
          <cell r="BA1802">
            <v>0</v>
          </cell>
          <cell r="BB1802">
            <v>0</v>
          </cell>
          <cell r="BC1802">
            <v>38828</v>
          </cell>
        </row>
        <row r="1803">
          <cell r="A1803">
            <v>2006</v>
          </cell>
          <cell r="B1803">
            <v>2</v>
          </cell>
          <cell r="C1803">
            <v>380</v>
          </cell>
          <cell r="D1803">
            <v>21</v>
          </cell>
          <cell r="E1803">
            <v>792020</v>
          </cell>
          <cell r="F1803">
            <v>0</v>
          </cell>
          <cell r="G1803" t="str">
            <v>Затраты по ШПЗ (основные)</v>
          </cell>
          <cell r="H1803">
            <v>2011</v>
          </cell>
          <cell r="I1803">
            <v>7920</v>
          </cell>
          <cell r="J1803">
            <v>87957.7</v>
          </cell>
          <cell r="K1803">
            <v>1</v>
          </cell>
          <cell r="L1803">
            <v>0</v>
          </cell>
          <cell r="M1803">
            <v>0</v>
          </cell>
          <cell r="N1803">
            <v>0</v>
          </cell>
          <cell r="R1803">
            <v>0</v>
          </cell>
          <cell r="S1803">
            <v>0</v>
          </cell>
          <cell r="T1803">
            <v>0</v>
          </cell>
          <cell r="U1803">
            <v>35</v>
          </cell>
          <cell r="V1803">
            <v>0</v>
          </cell>
          <cell r="W1803">
            <v>0</v>
          </cell>
          <cell r="AA1803">
            <v>0</v>
          </cell>
          <cell r="AB1803">
            <v>0</v>
          </cell>
          <cell r="AC1803">
            <v>0</v>
          </cell>
          <cell r="AD1803">
            <v>35</v>
          </cell>
          <cell r="AE1803">
            <v>116000</v>
          </cell>
          <cell r="AF1803">
            <v>0</v>
          </cell>
          <cell r="AI1803">
            <v>2251</v>
          </cell>
          <cell r="AK1803">
            <v>0</v>
          </cell>
          <cell r="AM1803">
            <v>509</v>
          </cell>
          <cell r="AN1803">
            <v>1</v>
          </cell>
          <cell r="AO1803">
            <v>393216</v>
          </cell>
          <cell r="AQ1803">
            <v>0</v>
          </cell>
          <cell r="AR1803">
            <v>0</v>
          </cell>
          <cell r="AS1803" t="str">
            <v>Ы</v>
          </cell>
          <cell r="AT1803" t="str">
            <v>Ы</v>
          </cell>
          <cell r="AU1803">
            <v>0</v>
          </cell>
          <cell r="AV1803">
            <v>0</v>
          </cell>
          <cell r="AW1803">
            <v>23</v>
          </cell>
          <cell r="AX1803">
            <v>1</v>
          </cell>
          <cell r="AY1803">
            <v>0</v>
          </cell>
          <cell r="AZ1803">
            <v>0</v>
          </cell>
          <cell r="BA1803">
            <v>0</v>
          </cell>
          <cell r="BB1803">
            <v>0</v>
          </cell>
          <cell r="BC1803">
            <v>38828</v>
          </cell>
        </row>
        <row r="1804">
          <cell r="A1804">
            <v>2006</v>
          </cell>
          <cell r="B1804">
            <v>2</v>
          </cell>
          <cell r="C1804">
            <v>381</v>
          </cell>
          <cell r="D1804">
            <v>21</v>
          </cell>
          <cell r="E1804">
            <v>792020</v>
          </cell>
          <cell r="F1804">
            <v>0</v>
          </cell>
          <cell r="G1804" t="str">
            <v>Затраты по ШПЗ (основные)</v>
          </cell>
          <cell r="H1804">
            <v>2011</v>
          </cell>
          <cell r="I1804">
            <v>7920</v>
          </cell>
          <cell r="J1804">
            <v>17678.8</v>
          </cell>
          <cell r="K1804">
            <v>1</v>
          </cell>
          <cell r="L1804">
            <v>0</v>
          </cell>
          <cell r="M1804">
            <v>0</v>
          </cell>
          <cell r="N1804">
            <v>0</v>
          </cell>
          <cell r="R1804">
            <v>0</v>
          </cell>
          <cell r="S1804">
            <v>0</v>
          </cell>
          <cell r="T1804">
            <v>0</v>
          </cell>
          <cell r="U1804">
            <v>35</v>
          </cell>
          <cell r="V1804">
            <v>0</v>
          </cell>
          <cell r="W1804">
            <v>0</v>
          </cell>
          <cell r="AA1804">
            <v>0</v>
          </cell>
          <cell r="AB1804">
            <v>0</v>
          </cell>
          <cell r="AC1804">
            <v>0</v>
          </cell>
          <cell r="AD1804">
            <v>35</v>
          </cell>
          <cell r="AE1804">
            <v>117000</v>
          </cell>
          <cell r="AF1804">
            <v>0</v>
          </cell>
          <cell r="AI1804">
            <v>2251</v>
          </cell>
          <cell r="AK1804">
            <v>0</v>
          </cell>
          <cell r="AM1804">
            <v>510</v>
          </cell>
          <cell r="AN1804">
            <v>1</v>
          </cell>
          <cell r="AO1804">
            <v>393216</v>
          </cell>
          <cell r="AQ1804">
            <v>0</v>
          </cell>
          <cell r="AR1804">
            <v>0</v>
          </cell>
          <cell r="AS1804" t="str">
            <v>Ы</v>
          </cell>
          <cell r="AT1804" t="str">
            <v>Ы</v>
          </cell>
          <cell r="AU1804">
            <v>0</v>
          </cell>
          <cell r="AV1804">
            <v>0</v>
          </cell>
          <cell r="AW1804">
            <v>23</v>
          </cell>
          <cell r="AX1804">
            <v>1</v>
          </cell>
          <cell r="AY1804">
            <v>0</v>
          </cell>
          <cell r="AZ1804">
            <v>0</v>
          </cell>
          <cell r="BA1804">
            <v>0</v>
          </cell>
          <cell r="BB1804">
            <v>0</v>
          </cell>
          <cell r="BC1804">
            <v>38828</v>
          </cell>
        </row>
        <row r="1805">
          <cell r="A1805">
            <v>2006</v>
          </cell>
          <cell r="B1805">
            <v>2</v>
          </cell>
          <cell r="C1805">
            <v>382</v>
          </cell>
          <cell r="D1805">
            <v>21</v>
          </cell>
          <cell r="E1805">
            <v>792020</v>
          </cell>
          <cell r="F1805">
            <v>0</v>
          </cell>
          <cell r="G1805" t="str">
            <v>Затраты по ШПЗ (основные)</v>
          </cell>
          <cell r="H1805">
            <v>2011</v>
          </cell>
          <cell r="I1805">
            <v>7920</v>
          </cell>
          <cell r="J1805">
            <v>50853.440000000002</v>
          </cell>
          <cell r="K1805">
            <v>1</v>
          </cell>
          <cell r="L1805">
            <v>0</v>
          </cell>
          <cell r="M1805">
            <v>0</v>
          </cell>
          <cell r="N1805">
            <v>0</v>
          </cell>
          <cell r="R1805">
            <v>0</v>
          </cell>
          <cell r="S1805">
            <v>0</v>
          </cell>
          <cell r="T1805">
            <v>0</v>
          </cell>
          <cell r="U1805">
            <v>35</v>
          </cell>
          <cell r="V1805">
            <v>0</v>
          </cell>
          <cell r="W1805">
            <v>0</v>
          </cell>
          <cell r="AA1805">
            <v>0</v>
          </cell>
          <cell r="AB1805">
            <v>0</v>
          </cell>
          <cell r="AC1805">
            <v>0</v>
          </cell>
          <cell r="AD1805">
            <v>35</v>
          </cell>
          <cell r="AE1805">
            <v>118000</v>
          </cell>
          <cell r="AF1805">
            <v>0</v>
          </cell>
          <cell r="AI1805">
            <v>2251</v>
          </cell>
          <cell r="AK1805">
            <v>0</v>
          </cell>
          <cell r="AM1805">
            <v>511</v>
          </cell>
          <cell r="AN1805">
            <v>1</v>
          </cell>
          <cell r="AO1805">
            <v>393216</v>
          </cell>
          <cell r="AQ1805">
            <v>0</v>
          </cell>
          <cell r="AR1805">
            <v>0</v>
          </cell>
          <cell r="AS1805" t="str">
            <v>Ы</v>
          </cell>
          <cell r="AT1805" t="str">
            <v>Ы</v>
          </cell>
          <cell r="AU1805">
            <v>0</v>
          </cell>
          <cell r="AV1805">
            <v>0</v>
          </cell>
          <cell r="AW1805">
            <v>23</v>
          </cell>
          <cell r="AX1805">
            <v>1</v>
          </cell>
          <cell r="AY1805">
            <v>0</v>
          </cell>
          <cell r="AZ1805">
            <v>0</v>
          </cell>
          <cell r="BA1805">
            <v>0</v>
          </cell>
          <cell r="BB1805">
            <v>0</v>
          </cell>
          <cell r="BC1805">
            <v>38828</v>
          </cell>
        </row>
        <row r="1806">
          <cell r="A1806">
            <v>2006</v>
          </cell>
          <cell r="B1806">
            <v>2</v>
          </cell>
          <cell r="C1806">
            <v>383</v>
          </cell>
          <cell r="D1806">
            <v>21</v>
          </cell>
          <cell r="E1806">
            <v>792020</v>
          </cell>
          <cell r="F1806">
            <v>0</v>
          </cell>
          <cell r="G1806" t="str">
            <v>Затраты по ШПЗ (основные)</v>
          </cell>
          <cell r="H1806">
            <v>2011</v>
          </cell>
          <cell r="I1806">
            <v>7920</v>
          </cell>
          <cell r="J1806">
            <v>486.91</v>
          </cell>
          <cell r="K1806">
            <v>1</v>
          </cell>
          <cell r="L1806">
            <v>0</v>
          </cell>
          <cell r="M1806">
            <v>0</v>
          </cell>
          <cell r="N1806">
            <v>0</v>
          </cell>
          <cell r="R1806">
            <v>0</v>
          </cell>
          <cell r="S1806">
            <v>0</v>
          </cell>
          <cell r="T1806">
            <v>0</v>
          </cell>
          <cell r="U1806">
            <v>35</v>
          </cell>
          <cell r="V1806">
            <v>0</v>
          </cell>
          <cell r="W1806">
            <v>0</v>
          </cell>
          <cell r="AA1806">
            <v>0</v>
          </cell>
          <cell r="AB1806">
            <v>0</v>
          </cell>
          <cell r="AC1806">
            <v>0</v>
          </cell>
          <cell r="AD1806">
            <v>35</v>
          </cell>
          <cell r="AE1806">
            <v>131000</v>
          </cell>
          <cell r="AF1806">
            <v>0</v>
          </cell>
          <cell r="AI1806">
            <v>2251</v>
          </cell>
          <cell r="AK1806">
            <v>0</v>
          </cell>
          <cell r="AM1806">
            <v>512</v>
          </cell>
          <cell r="AN1806">
            <v>1</v>
          </cell>
          <cell r="AO1806">
            <v>393216</v>
          </cell>
          <cell r="AQ1806">
            <v>0</v>
          </cell>
          <cell r="AR1806">
            <v>0</v>
          </cell>
          <cell r="AS1806" t="str">
            <v>Ы</v>
          </cell>
          <cell r="AT1806" t="str">
            <v>Ы</v>
          </cell>
          <cell r="AU1806">
            <v>0</v>
          </cell>
          <cell r="AV1806">
            <v>0</v>
          </cell>
          <cell r="AW1806">
            <v>23</v>
          </cell>
          <cell r="AX1806">
            <v>1</v>
          </cell>
          <cell r="AY1806">
            <v>0</v>
          </cell>
          <cell r="AZ1806">
            <v>0</v>
          </cell>
          <cell r="BA1806">
            <v>0</v>
          </cell>
          <cell r="BB1806">
            <v>0</v>
          </cell>
          <cell r="BC1806">
            <v>38828</v>
          </cell>
        </row>
        <row r="1807">
          <cell r="A1807">
            <v>2006</v>
          </cell>
          <cell r="B1807">
            <v>2</v>
          </cell>
          <cell r="C1807">
            <v>384</v>
          </cell>
          <cell r="D1807">
            <v>21</v>
          </cell>
          <cell r="E1807">
            <v>792020</v>
          </cell>
          <cell r="F1807">
            <v>0</v>
          </cell>
          <cell r="G1807" t="str">
            <v>Затраты по ШПЗ (основные)</v>
          </cell>
          <cell r="H1807">
            <v>2011</v>
          </cell>
          <cell r="I1807">
            <v>7920</v>
          </cell>
          <cell r="J1807">
            <v>42750.52</v>
          </cell>
          <cell r="K1807">
            <v>1</v>
          </cell>
          <cell r="L1807">
            <v>0</v>
          </cell>
          <cell r="M1807">
            <v>0</v>
          </cell>
          <cell r="N1807">
            <v>0</v>
          </cell>
          <cell r="R1807">
            <v>0</v>
          </cell>
          <cell r="S1807">
            <v>0</v>
          </cell>
          <cell r="T1807">
            <v>0</v>
          </cell>
          <cell r="U1807">
            <v>35</v>
          </cell>
          <cell r="V1807">
            <v>0</v>
          </cell>
          <cell r="W1807">
            <v>0</v>
          </cell>
          <cell r="AA1807">
            <v>0</v>
          </cell>
          <cell r="AB1807">
            <v>0</v>
          </cell>
          <cell r="AC1807">
            <v>0</v>
          </cell>
          <cell r="AD1807">
            <v>35</v>
          </cell>
          <cell r="AE1807">
            <v>131100</v>
          </cell>
          <cell r="AF1807">
            <v>0</v>
          </cell>
          <cell r="AI1807">
            <v>2251</v>
          </cell>
          <cell r="AK1807">
            <v>0</v>
          </cell>
          <cell r="AM1807">
            <v>513</v>
          </cell>
          <cell r="AN1807">
            <v>1</v>
          </cell>
          <cell r="AO1807">
            <v>393216</v>
          </cell>
          <cell r="AQ1807">
            <v>0</v>
          </cell>
          <cell r="AR1807">
            <v>0</v>
          </cell>
          <cell r="AS1807" t="str">
            <v>Ы</v>
          </cell>
          <cell r="AT1807" t="str">
            <v>Ы</v>
          </cell>
          <cell r="AU1807">
            <v>0</v>
          </cell>
          <cell r="AV1807">
            <v>0</v>
          </cell>
          <cell r="AW1807">
            <v>23</v>
          </cell>
          <cell r="AX1807">
            <v>1</v>
          </cell>
          <cell r="AY1807">
            <v>0</v>
          </cell>
          <cell r="AZ1807">
            <v>0</v>
          </cell>
          <cell r="BA1807">
            <v>0</v>
          </cell>
          <cell r="BB1807">
            <v>0</v>
          </cell>
          <cell r="BC1807">
            <v>38828</v>
          </cell>
        </row>
        <row r="1808">
          <cell r="A1808">
            <v>2006</v>
          </cell>
          <cell r="B1808">
            <v>2</v>
          </cell>
          <cell r="C1808">
            <v>385</v>
          </cell>
          <cell r="D1808">
            <v>21</v>
          </cell>
          <cell r="E1808">
            <v>792020</v>
          </cell>
          <cell r="F1808">
            <v>0</v>
          </cell>
          <cell r="G1808" t="str">
            <v>Затраты по ШПЗ (основные)</v>
          </cell>
          <cell r="H1808">
            <v>2011</v>
          </cell>
          <cell r="I1808">
            <v>7920</v>
          </cell>
          <cell r="J1808">
            <v>20557.57</v>
          </cell>
          <cell r="K1808">
            <v>1</v>
          </cell>
          <cell r="L1808">
            <v>0</v>
          </cell>
          <cell r="M1808">
            <v>0</v>
          </cell>
          <cell r="N1808">
            <v>0</v>
          </cell>
          <cell r="R1808">
            <v>0</v>
          </cell>
          <cell r="S1808">
            <v>0</v>
          </cell>
          <cell r="T1808">
            <v>0</v>
          </cell>
          <cell r="U1808">
            <v>35</v>
          </cell>
          <cell r="V1808">
            <v>0</v>
          </cell>
          <cell r="W1808">
            <v>0</v>
          </cell>
          <cell r="AA1808">
            <v>0</v>
          </cell>
          <cell r="AB1808">
            <v>0</v>
          </cell>
          <cell r="AC1808">
            <v>0</v>
          </cell>
          <cell r="AD1808">
            <v>35</v>
          </cell>
          <cell r="AE1808">
            <v>132000</v>
          </cell>
          <cell r="AF1808">
            <v>0</v>
          </cell>
          <cell r="AI1808">
            <v>2251</v>
          </cell>
          <cell r="AK1808">
            <v>0</v>
          </cell>
          <cell r="AM1808">
            <v>514</v>
          </cell>
          <cell r="AN1808">
            <v>1</v>
          </cell>
          <cell r="AO1808">
            <v>393216</v>
          </cell>
          <cell r="AQ1808">
            <v>0</v>
          </cell>
          <cell r="AR1808">
            <v>0</v>
          </cell>
          <cell r="AS1808" t="str">
            <v>Ы</v>
          </cell>
          <cell r="AT1808" t="str">
            <v>Ы</v>
          </cell>
          <cell r="AU1808">
            <v>0</v>
          </cell>
          <cell r="AV1808">
            <v>0</v>
          </cell>
          <cell r="AW1808">
            <v>23</v>
          </cell>
          <cell r="AX1808">
            <v>1</v>
          </cell>
          <cell r="AY1808">
            <v>0</v>
          </cell>
          <cell r="AZ1808">
            <v>0</v>
          </cell>
          <cell r="BA1808">
            <v>0</v>
          </cell>
          <cell r="BB1808">
            <v>0</v>
          </cell>
          <cell r="BC1808">
            <v>38828</v>
          </cell>
        </row>
        <row r="1809">
          <cell r="A1809">
            <v>2006</v>
          </cell>
          <cell r="B1809">
            <v>2</v>
          </cell>
          <cell r="C1809">
            <v>386</v>
          </cell>
          <cell r="D1809">
            <v>21</v>
          </cell>
          <cell r="E1809">
            <v>792020</v>
          </cell>
          <cell r="F1809">
            <v>0</v>
          </cell>
          <cell r="G1809" t="str">
            <v>Затраты по ШПЗ (основные)</v>
          </cell>
          <cell r="H1809">
            <v>2011</v>
          </cell>
          <cell r="I1809">
            <v>7920</v>
          </cell>
          <cell r="J1809">
            <v>135503</v>
          </cell>
          <cell r="K1809">
            <v>1</v>
          </cell>
          <cell r="L1809">
            <v>0</v>
          </cell>
          <cell r="M1809">
            <v>0</v>
          </cell>
          <cell r="N1809">
            <v>0</v>
          </cell>
          <cell r="R1809">
            <v>0</v>
          </cell>
          <cell r="S1809">
            <v>0</v>
          </cell>
          <cell r="T1809">
            <v>0</v>
          </cell>
          <cell r="U1809">
            <v>35</v>
          </cell>
          <cell r="V1809">
            <v>0</v>
          </cell>
          <cell r="W1809">
            <v>0</v>
          </cell>
          <cell r="AA1809">
            <v>0</v>
          </cell>
          <cell r="AB1809">
            <v>0</v>
          </cell>
          <cell r="AC1809">
            <v>0</v>
          </cell>
          <cell r="AD1809">
            <v>35</v>
          </cell>
          <cell r="AE1809">
            <v>133200</v>
          </cell>
          <cell r="AF1809">
            <v>0</v>
          </cell>
          <cell r="AI1809">
            <v>2251</v>
          </cell>
          <cell r="AK1809">
            <v>0</v>
          </cell>
          <cell r="AM1809">
            <v>515</v>
          </cell>
          <cell r="AN1809">
            <v>1</v>
          </cell>
          <cell r="AO1809">
            <v>393216</v>
          </cell>
          <cell r="AQ1809">
            <v>0</v>
          </cell>
          <cell r="AR1809">
            <v>0</v>
          </cell>
          <cell r="AS1809" t="str">
            <v>Ы</v>
          </cell>
          <cell r="AT1809" t="str">
            <v>Ы</v>
          </cell>
          <cell r="AU1809">
            <v>0</v>
          </cell>
          <cell r="AV1809">
            <v>0</v>
          </cell>
          <cell r="AW1809">
            <v>23</v>
          </cell>
          <cell r="AX1809">
            <v>1</v>
          </cell>
          <cell r="AY1809">
            <v>0</v>
          </cell>
          <cell r="AZ1809">
            <v>0</v>
          </cell>
          <cell r="BA1809">
            <v>0</v>
          </cell>
          <cell r="BB1809">
            <v>0</v>
          </cell>
          <cell r="BC1809">
            <v>38828</v>
          </cell>
        </row>
        <row r="1810">
          <cell r="A1810">
            <v>2006</v>
          </cell>
          <cell r="B1810">
            <v>2</v>
          </cell>
          <cell r="C1810">
            <v>387</v>
          </cell>
          <cell r="D1810">
            <v>21</v>
          </cell>
          <cell r="E1810">
            <v>792020</v>
          </cell>
          <cell r="F1810">
            <v>0</v>
          </cell>
          <cell r="G1810" t="str">
            <v>Затраты по ШПЗ (основные)</v>
          </cell>
          <cell r="H1810">
            <v>2011</v>
          </cell>
          <cell r="I1810">
            <v>7920</v>
          </cell>
          <cell r="J1810">
            <v>1189.1500000000001</v>
          </cell>
          <cell r="K1810">
            <v>1</v>
          </cell>
          <cell r="L1810">
            <v>0</v>
          </cell>
          <cell r="M1810">
            <v>0</v>
          </cell>
          <cell r="N1810">
            <v>0</v>
          </cell>
          <cell r="R1810">
            <v>0</v>
          </cell>
          <cell r="S1810">
            <v>0</v>
          </cell>
          <cell r="T1810">
            <v>0</v>
          </cell>
          <cell r="U1810">
            <v>35</v>
          </cell>
          <cell r="V1810">
            <v>0</v>
          </cell>
          <cell r="W1810">
            <v>0</v>
          </cell>
          <cell r="AA1810">
            <v>0</v>
          </cell>
          <cell r="AB1810">
            <v>0</v>
          </cell>
          <cell r="AC1810">
            <v>0</v>
          </cell>
          <cell r="AD1810">
            <v>35</v>
          </cell>
          <cell r="AE1810">
            <v>135000</v>
          </cell>
          <cell r="AF1810">
            <v>0</v>
          </cell>
          <cell r="AI1810">
            <v>2251</v>
          </cell>
          <cell r="AK1810">
            <v>0</v>
          </cell>
          <cell r="AM1810">
            <v>516</v>
          </cell>
          <cell r="AN1810">
            <v>1</v>
          </cell>
          <cell r="AO1810">
            <v>393216</v>
          </cell>
          <cell r="AQ1810">
            <v>0</v>
          </cell>
          <cell r="AR1810">
            <v>0</v>
          </cell>
          <cell r="AS1810" t="str">
            <v>Ы</v>
          </cell>
          <cell r="AT1810" t="str">
            <v>Ы</v>
          </cell>
          <cell r="AU1810">
            <v>0</v>
          </cell>
          <cell r="AV1810">
            <v>0</v>
          </cell>
          <cell r="AW1810">
            <v>23</v>
          </cell>
          <cell r="AX1810">
            <v>1</v>
          </cell>
          <cell r="AY1810">
            <v>0</v>
          </cell>
          <cell r="AZ1810">
            <v>0</v>
          </cell>
          <cell r="BA1810">
            <v>0</v>
          </cell>
          <cell r="BB1810">
            <v>0</v>
          </cell>
          <cell r="BC1810">
            <v>38828</v>
          </cell>
        </row>
        <row r="1811">
          <cell r="A1811">
            <v>2006</v>
          </cell>
          <cell r="B1811">
            <v>2</v>
          </cell>
          <cell r="C1811">
            <v>388</v>
          </cell>
          <cell r="D1811">
            <v>21</v>
          </cell>
          <cell r="E1811">
            <v>792020</v>
          </cell>
          <cell r="F1811">
            <v>0</v>
          </cell>
          <cell r="G1811" t="str">
            <v>Затраты по ШПЗ (основные)</v>
          </cell>
          <cell r="H1811">
            <v>2011</v>
          </cell>
          <cell r="I1811">
            <v>7920</v>
          </cell>
          <cell r="J1811">
            <v>258454.83</v>
          </cell>
          <cell r="K1811">
            <v>1</v>
          </cell>
          <cell r="L1811">
            <v>0</v>
          </cell>
          <cell r="M1811">
            <v>0</v>
          </cell>
          <cell r="N1811">
            <v>0</v>
          </cell>
          <cell r="R1811">
            <v>0</v>
          </cell>
          <cell r="S1811">
            <v>0</v>
          </cell>
          <cell r="T1811">
            <v>0</v>
          </cell>
          <cell r="U1811">
            <v>35</v>
          </cell>
          <cell r="V1811">
            <v>0</v>
          </cell>
          <cell r="W1811">
            <v>0</v>
          </cell>
          <cell r="AA1811">
            <v>0</v>
          </cell>
          <cell r="AB1811">
            <v>0</v>
          </cell>
          <cell r="AC1811">
            <v>0</v>
          </cell>
          <cell r="AD1811">
            <v>35</v>
          </cell>
          <cell r="AE1811">
            <v>143000</v>
          </cell>
          <cell r="AF1811">
            <v>0</v>
          </cell>
          <cell r="AI1811">
            <v>2251</v>
          </cell>
          <cell r="AK1811">
            <v>0</v>
          </cell>
          <cell r="AM1811">
            <v>517</v>
          </cell>
          <cell r="AN1811">
            <v>1</v>
          </cell>
          <cell r="AO1811">
            <v>393216</v>
          </cell>
          <cell r="AQ1811">
            <v>0</v>
          </cell>
          <cell r="AR1811">
            <v>0</v>
          </cell>
          <cell r="AS1811" t="str">
            <v>Ы</v>
          </cell>
          <cell r="AT1811" t="str">
            <v>Ы</v>
          </cell>
          <cell r="AU1811">
            <v>0</v>
          </cell>
          <cell r="AV1811">
            <v>0</v>
          </cell>
          <cell r="AW1811">
            <v>23</v>
          </cell>
          <cell r="AX1811">
            <v>1</v>
          </cell>
          <cell r="AY1811">
            <v>0</v>
          </cell>
          <cell r="AZ1811">
            <v>0</v>
          </cell>
          <cell r="BA1811">
            <v>0</v>
          </cell>
          <cell r="BB1811">
            <v>0</v>
          </cell>
          <cell r="BC1811">
            <v>38828</v>
          </cell>
        </row>
        <row r="1812">
          <cell r="A1812">
            <v>2006</v>
          </cell>
          <cell r="B1812">
            <v>2</v>
          </cell>
          <cell r="C1812">
            <v>389</v>
          </cell>
          <cell r="D1812">
            <v>21</v>
          </cell>
          <cell r="E1812">
            <v>792020</v>
          </cell>
          <cell r="F1812">
            <v>0</v>
          </cell>
          <cell r="G1812" t="str">
            <v>Затраты по ШПЗ (основные)</v>
          </cell>
          <cell r="H1812">
            <v>2011</v>
          </cell>
          <cell r="I1812">
            <v>7920</v>
          </cell>
          <cell r="J1812">
            <v>224494.2</v>
          </cell>
          <cell r="K1812">
            <v>1</v>
          </cell>
          <cell r="L1812">
            <v>0</v>
          </cell>
          <cell r="M1812">
            <v>0</v>
          </cell>
          <cell r="N1812">
            <v>0</v>
          </cell>
          <cell r="R1812">
            <v>0</v>
          </cell>
          <cell r="S1812">
            <v>0</v>
          </cell>
          <cell r="T1812">
            <v>0</v>
          </cell>
          <cell r="U1812">
            <v>35</v>
          </cell>
          <cell r="V1812">
            <v>0</v>
          </cell>
          <cell r="W1812">
            <v>0</v>
          </cell>
          <cell r="AA1812">
            <v>0</v>
          </cell>
          <cell r="AB1812">
            <v>0</v>
          </cell>
          <cell r="AC1812">
            <v>0</v>
          </cell>
          <cell r="AD1812">
            <v>35</v>
          </cell>
          <cell r="AE1812">
            <v>151000</v>
          </cell>
          <cell r="AF1812">
            <v>0</v>
          </cell>
          <cell r="AI1812">
            <v>2251</v>
          </cell>
          <cell r="AK1812">
            <v>0</v>
          </cell>
          <cell r="AM1812">
            <v>518</v>
          </cell>
          <cell r="AN1812">
            <v>1</v>
          </cell>
          <cell r="AO1812">
            <v>393216</v>
          </cell>
          <cell r="AQ1812">
            <v>0</v>
          </cell>
          <cell r="AR1812">
            <v>0</v>
          </cell>
          <cell r="AS1812" t="str">
            <v>Ы</v>
          </cell>
          <cell r="AT1812" t="str">
            <v>Ы</v>
          </cell>
          <cell r="AU1812">
            <v>0</v>
          </cell>
          <cell r="AV1812">
            <v>0</v>
          </cell>
          <cell r="AW1812">
            <v>23</v>
          </cell>
          <cell r="AX1812">
            <v>1</v>
          </cell>
          <cell r="AY1812">
            <v>0</v>
          </cell>
          <cell r="AZ1812">
            <v>0</v>
          </cell>
          <cell r="BA1812">
            <v>0</v>
          </cell>
          <cell r="BB1812">
            <v>0</v>
          </cell>
          <cell r="BC1812">
            <v>38828</v>
          </cell>
        </row>
        <row r="1813">
          <cell r="A1813">
            <v>2006</v>
          </cell>
          <cell r="B1813">
            <v>2</v>
          </cell>
          <cell r="C1813">
            <v>390</v>
          </cell>
          <cell r="D1813">
            <v>21</v>
          </cell>
          <cell r="E1813">
            <v>792020</v>
          </cell>
          <cell r="F1813">
            <v>0</v>
          </cell>
          <cell r="G1813" t="str">
            <v>Затраты по ШПЗ (основные)</v>
          </cell>
          <cell r="H1813">
            <v>2011</v>
          </cell>
          <cell r="I1813">
            <v>7920</v>
          </cell>
          <cell r="J1813">
            <v>1110883.78</v>
          </cell>
          <cell r="K1813">
            <v>1</v>
          </cell>
          <cell r="L1813">
            <v>0</v>
          </cell>
          <cell r="M1813">
            <v>0</v>
          </cell>
          <cell r="N1813">
            <v>0</v>
          </cell>
          <cell r="R1813">
            <v>0</v>
          </cell>
          <cell r="S1813">
            <v>0</v>
          </cell>
          <cell r="T1813">
            <v>0</v>
          </cell>
          <cell r="U1813">
            <v>35</v>
          </cell>
          <cell r="V1813">
            <v>0</v>
          </cell>
          <cell r="W1813">
            <v>0</v>
          </cell>
          <cell r="AA1813">
            <v>0</v>
          </cell>
          <cell r="AB1813">
            <v>0</v>
          </cell>
          <cell r="AC1813">
            <v>0</v>
          </cell>
          <cell r="AD1813">
            <v>35</v>
          </cell>
          <cell r="AE1813">
            <v>220000</v>
          </cell>
          <cell r="AF1813">
            <v>0</v>
          </cell>
          <cell r="AI1813">
            <v>2251</v>
          </cell>
          <cell r="AK1813">
            <v>0</v>
          </cell>
          <cell r="AM1813">
            <v>519</v>
          </cell>
          <cell r="AN1813">
            <v>1</v>
          </cell>
          <cell r="AO1813">
            <v>393216</v>
          </cell>
          <cell r="AQ1813">
            <v>0</v>
          </cell>
          <cell r="AR1813">
            <v>0</v>
          </cell>
          <cell r="AS1813" t="str">
            <v>Ы</v>
          </cell>
          <cell r="AT1813" t="str">
            <v>Ы</v>
          </cell>
          <cell r="AU1813">
            <v>0</v>
          </cell>
          <cell r="AV1813">
            <v>0</v>
          </cell>
          <cell r="AW1813">
            <v>23</v>
          </cell>
          <cell r="AX1813">
            <v>1</v>
          </cell>
          <cell r="AY1813">
            <v>0</v>
          </cell>
          <cell r="AZ1813">
            <v>0</v>
          </cell>
          <cell r="BA1813">
            <v>0</v>
          </cell>
          <cell r="BB1813">
            <v>0</v>
          </cell>
          <cell r="BC1813">
            <v>38828</v>
          </cell>
        </row>
        <row r="1814">
          <cell r="A1814">
            <v>2006</v>
          </cell>
          <cell r="B1814">
            <v>2</v>
          </cell>
          <cell r="C1814">
            <v>391</v>
          </cell>
          <cell r="D1814">
            <v>21</v>
          </cell>
          <cell r="E1814">
            <v>792020</v>
          </cell>
          <cell r="F1814">
            <v>0</v>
          </cell>
          <cell r="G1814" t="str">
            <v>Затраты по ШПЗ (основные)</v>
          </cell>
          <cell r="H1814">
            <v>2011</v>
          </cell>
          <cell r="I1814">
            <v>7920</v>
          </cell>
          <cell r="J1814">
            <v>562100.84</v>
          </cell>
          <cell r="K1814">
            <v>1</v>
          </cell>
          <cell r="L1814">
            <v>0</v>
          </cell>
          <cell r="M1814">
            <v>0</v>
          </cell>
          <cell r="N1814">
            <v>0</v>
          </cell>
          <cell r="R1814">
            <v>0</v>
          </cell>
          <cell r="S1814">
            <v>0</v>
          </cell>
          <cell r="T1814">
            <v>0</v>
          </cell>
          <cell r="U1814">
            <v>35</v>
          </cell>
          <cell r="V1814">
            <v>0</v>
          </cell>
          <cell r="W1814">
            <v>0</v>
          </cell>
          <cell r="AA1814">
            <v>0</v>
          </cell>
          <cell r="AB1814">
            <v>0</v>
          </cell>
          <cell r="AC1814">
            <v>0</v>
          </cell>
          <cell r="AD1814">
            <v>35</v>
          </cell>
          <cell r="AE1814">
            <v>230000</v>
          </cell>
          <cell r="AF1814">
            <v>0</v>
          </cell>
          <cell r="AI1814">
            <v>2251</v>
          </cell>
          <cell r="AK1814">
            <v>0</v>
          </cell>
          <cell r="AM1814">
            <v>520</v>
          </cell>
          <cell r="AN1814">
            <v>1</v>
          </cell>
          <cell r="AO1814">
            <v>393216</v>
          </cell>
          <cell r="AQ1814">
            <v>0</v>
          </cell>
          <cell r="AR1814">
            <v>0</v>
          </cell>
          <cell r="AS1814" t="str">
            <v>Ы</v>
          </cell>
          <cell r="AT1814" t="str">
            <v>Ы</v>
          </cell>
          <cell r="AU1814">
            <v>0</v>
          </cell>
          <cell r="AV1814">
            <v>0</v>
          </cell>
          <cell r="AW1814">
            <v>23</v>
          </cell>
          <cell r="AX1814">
            <v>1</v>
          </cell>
          <cell r="AY1814">
            <v>0</v>
          </cell>
          <cell r="AZ1814">
            <v>0</v>
          </cell>
          <cell r="BA1814">
            <v>0</v>
          </cell>
          <cell r="BB1814">
            <v>0</v>
          </cell>
          <cell r="BC1814">
            <v>38828</v>
          </cell>
        </row>
        <row r="1815">
          <cell r="A1815">
            <v>2006</v>
          </cell>
          <cell r="B1815">
            <v>2</v>
          </cell>
          <cell r="C1815">
            <v>392</v>
          </cell>
          <cell r="D1815">
            <v>21</v>
          </cell>
          <cell r="E1815">
            <v>792020</v>
          </cell>
          <cell r="F1815">
            <v>0</v>
          </cell>
          <cell r="G1815" t="str">
            <v>Затраты по ШПЗ (основные)</v>
          </cell>
          <cell r="H1815">
            <v>2011</v>
          </cell>
          <cell r="I1815">
            <v>7920</v>
          </cell>
          <cell r="J1815">
            <v>19277.3</v>
          </cell>
          <cell r="K1815">
            <v>1</v>
          </cell>
          <cell r="L1815">
            <v>0</v>
          </cell>
          <cell r="M1815">
            <v>0</v>
          </cell>
          <cell r="N1815">
            <v>0</v>
          </cell>
          <cell r="R1815">
            <v>0</v>
          </cell>
          <cell r="S1815">
            <v>0</v>
          </cell>
          <cell r="T1815">
            <v>0</v>
          </cell>
          <cell r="U1815">
            <v>35</v>
          </cell>
          <cell r="V1815">
            <v>0</v>
          </cell>
          <cell r="W1815">
            <v>0</v>
          </cell>
          <cell r="AA1815">
            <v>0</v>
          </cell>
          <cell r="AB1815">
            <v>0</v>
          </cell>
          <cell r="AC1815">
            <v>0</v>
          </cell>
          <cell r="AD1815">
            <v>35</v>
          </cell>
          <cell r="AE1815">
            <v>260000</v>
          </cell>
          <cell r="AF1815">
            <v>0</v>
          </cell>
          <cell r="AI1815">
            <v>2251</v>
          </cell>
          <cell r="AK1815">
            <v>0</v>
          </cell>
          <cell r="AM1815">
            <v>521</v>
          </cell>
          <cell r="AN1815">
            <v>1</v>
          </cell>
          <cell r="AO1815">
            <v>393216</v>
          </cell>
          <cell r="AQ1815">
            <v>0</v>
          </cell>
          <cell r="AR1815">
            <v>0</v>
          </cell>
          <cell r="AS1815" t="str">
            <v>Ы</v>
          </cell>
          <cell r="AT1815" t="str">
            <v>Ы</v>
          </cell>
          <cell r="AU1815">
            <v>0</v>
          </cell>
          <cell r="AV1815">
            <v>0</v>
          </cell>
          <cell r="AW1815">
            <v>23</v>
          </cell>
          <cell r="AX1815">
            <v>1</v>
          </cell>
          <cell r="AY1815">
            <v>0</v>
          </cell>
          <cell r="AZ1815">
            <v>0</v>
          </cell>
          <cell r="BA1815">
            <v>0</v>
          </cell>
          <cell r="BB1815">
            <v>0</v>
          </cell>
          <cell r="BC1815">
            <v>38828</v>
          </cell>
        </row>
        <row r="1816">
          <cell r="A1816">
            <v>2006</v>
          </cell>
          <cell r="B1816">
            <v>2</v>
          </cell>
          <cell r="C1816">
            <v>393</v>
          </cell>
          <cell r="D1816">
            <v>21</v>
          </cell>
          <cell r="E1816">
            <v>792020</v>
          </cell>
          <cell r="F1816">
            <v>0</v>
          </cell>
          <cell r="G1816" t="str">
            <v>Затраты по ШПЗ (основные)</v>
          </cell>
          <cell r="H1816">
            <v>2011</v>
          </cell>
          <cell r="I1816">
            <v>7920</v>
          </cell>
          <cell r="J1816">
            <v>152820.98000000001</v>
          </cell>
          <cell r="K1816">
            <v>1</v>
          </cell>
          <cell r="L1816">
            <v>0</v>
          </cell>
          <cell r="M1816">
            <v>0</v>
          </cell>
          <cell r="N1816">
            <v>0</v>
          </cell>
          <cell r="R1816">
            <v>0</v>
          </cell>
          <cell r="S1816">
            <v>0</v>
          </cell>
          <cell r="T1816">
            <v>0</v>
          </cell>
          <cell r="U1816">
            <v>35</v>
          </cell>
          <cell r="V1816">
            <v>0</v>
          </cell>
          <cell r="W1816">
            <v>0</v>
          </cell>
          <cell r="AA1816">
            <v>0</v>
          </cell>
          <cell r="AB1816">
            <v>0</v>
          </cell>
          <cell r="AC1816">
            <v>0</v>
          </cell>
          <cell r="AD1816">
            <v>35</v>
          </cell>
          <cell r="AE1816">
            <v>270000</v>
          </cell>
          <cell r="AF1816">
            <v>0</v>
          </cell>
          <cell r="AI1816">
            <v>2251</v>
          </cell>
          <cell r="AK1816">
            <v>0</v>
          </cell>
          <cell r="AM1816">
            <v>522</v>
          </cell>
          <cell r="AN1816">
            <v>1</v>
          </cell>
          <cell r="AO1816">
            <v>393216</v>
          </cell>
          <cell r="AQ1816">
            <v>0</v>
          </cell>
          <cell r="AR1816">
            <v>0</v>
          </cell>
          <cell r="AS1816" t="str">
            <v>Ы</v>
          </cell>
          <cell r="AT1816" t="str">
            <v>Ы</v>
          </cell>
          <cell r="AU1816">
            <v>0</v>
          </cell>
          <cell r="AV1816">
            <v>0</v>
          </cell>
          <cell r="AW1816">
            <v>23</v>
          </cell>
          <cell r="AX1816">
            <v>1</v>
          </cell>
          <cell r="AY1816">
            <v>0</v>
          </cell>
          <cell r="AZ1816">
            <v>0</v>
          </cell>
          <cell r="BA1816">
            <v>0</v>
          </cell>
          <cell r="BB1816">
            <v>0</v>
          </cell>
          <cell r="BC1816">
            <v>38828</v>
          </cell>
        </row>
        <row r="1817">
          <cell r="A1817">
            <v>2006</v>
          </cell>
          <cell r="B1817">
            <v>2</v>
          </cell>
          <cell r="C1817">
            <v>394</v>
          </cell>
          <cell r="D1817">
            <v>21</v>
          </cell>
          <cell r="E1817">
            <v>792020</v>
          </cell>
          <cell r="F1817">
            <v>0</v>
          </cell>
          <cell r="G1817" t="str">
            <v>Затраты по ШПЗ (основные)</v>
          </cell>
          <cell r="H1817">
            <v>2011</v>
          </cell>
          <cell r="I1817">
            <v>7920</v>
          </cell>
          <cell r="J1817">
            <v>3072.88</v>
          </cell>
          <cell r="K1817">
            <v>1</v>
          </cell>
          <cell r="L1817">
            <v>0</v>
          </cell>
          <cell r="M1817">
            <v>0</v>
          </cell>
          <cell r="N1817">
            <v>0</v>
          </cell>
          <cell r="R1817">
            <v>0</v>
          </cell>
          <cell r="S1817">
            <v>0</v>
          </cell>
          <cell r="T1817">
            <v>0</v>
          </cell>
          <cell r="U1817">
            <v>35</v>
          </cell>
          <cell r="V1817">
            <v>0</v>
          </cell>
          <cell r="W1817">
            <v>0</v>
          </cell>
          <cell r="AA1817">
            <v>0</v>
          </cell>
          <cell r="AB1817">
            <v>0</v>
          </cell>
          <cell r="AC1817">
            <v>0</v>
          </cell>
          <cell r="AD1817">
            <v>35</v>
          </cell>
          <cell r="AE1817">
            <v>280000</v>
          </cell>
          <cell r="AF1817">
            <v>0</v>
          </cell>
          <cell r="AI1817">
            <v>2251</v>
          </cell>
          <cell r="AK1817">
            <v>0</v>
          </cell>
          <cell r="AM1817">
            <v>523</v>
          </cell>
          <cell r="AN1817">
            <v>1</v>
          </cell>
          <cell r="AO1817">
            <v>393216</v>
          </cell>
          <cell r="AQ1817">
            <v>0</v>
          </cell>
          <cell r="AR1817">
            <v>0</v>
          </cell>
          <cell r="AS1817" t="str">
            <v>Ы</v>
          </cell>
          <cell r="AT1817" t="str">
            <v>Ы</v>
          </cell>
          <cell r="AU1817">
            <v>0</v>
          </cell>
          <cell r="AV1817">
            <v>0</v>
          </cell>
          <cell r="AW1817">
            <v>23</v>
          </cell>
          <cell r="AX1817">
            <v>1</v>
          </cell>
          <cell r="AY1817">
            <v>0</v>
          </cell>
          <cell r="AZ1817">
            <v>0</v>
          </cell>
          <cell r="BA1817">
            <v>0</v>
          </cell>
          <cell r="BB1817">
            <v>0</v>
          </cell>
          <cell r="BC1817">
            <v>38828</v>
          </cell>
        </row>
        <row r="1818">
          <cell r="A1818">
            <v>2006</v>
          </cell>
          <cell r="B1818">
            <v>2</v>
          </cell>
          <cell r="C1818">
            <v>395</v>
          </cell>
          <cell r="D1818">
            <v>21</v>
          </cell>
          <cell r="E1818">
            <v>792020</v>
          </cell>
          <cell r="F1818">
            <v>0</v>
          </cell>
          <cell r="G1818" t="str">
            <v>Затраты по ШПЗ (основные)</v>
          </cell>
          <cell r="H1818">
            <v>2011</v>
          </cell>
          <cell r="I1818">
            <v>7920</v>
          </cell>
          <cell r="J1818">
            <v>55267.37</v>
          </cell>
          <cell r="K1818">
            <v>1</v>
          </cell>
          <cell r="L1818">
            <v>0</v>
          </cell>
          <cell r="M1818">
            <v>0</v>
          </cell>
          <cell r="N1818">
            <v>0</v>
          </cell>
          <cell r="R1818">
            <v>0</v>
          </cell>
          <cell r="S1818">
            <v>0</v>
          </cell>
          <cell r="T1818">
            <v>0</v>
          </cell>
          <cell r="U1818">
            <v>35</v>
          </cell>
          <cell r="V1818">
            <v>0</v>
          </cell>
          <cell r="W1818">
            <v>0</v>
          </cell>
          <cell r="AA1818">
            <v>0</v>
          </cell>
          <cell r="AB1818">
            <v>0</v>
          </cell>
          <cell r="AC1818">
            <v>0</v>
          </cell>
          <cell r="AD1818">
            <v>35</v>
          </cell>
          <cell r="AE1818">
            <v>280100</v>
          </cell>
          <cell r="AF1818">
            <v>0</v>
          </cell>
          <cell r="AI1818">
            <v>2251</v>
          </cell>
          <cell r="AK1818">
            <v>0</v>
          </cell>
          <cell r="AM1818">
            <v>524</v>
          </cell>
          <cell r="AN1818">
            <v>1</v>
          </cell>
          <cell r="AO1818">
            <v>393216</v>
          </cell>
          <cell r="AQ1818">
            <v>0</v>
          </cell>
          <cell r="AR1818">
            <v>0</v>
          </cell>
          <cell r="AS1818" t="str">
            <v>Ы</v>
          </cell>
          <cell r="AT1818" t="str">
            <v>Ы</v>
          </cell>
          <cell r="AU1818">
            <v>0</v>
          </cell>
          <cell r="AV1818">
            <v>0</v>
          </cell>
          <cell r="AW1818">
            <v>23</v>
          </cell>
          <cell r="AX1818">
            <v>1</v>
          </cell>
          <cell r="AY1818">
            <v>0</v>
          </cell>
          <cell r="AZ1818">
            <v>0</v>
          </cell>
          <cell r="BA1818">
            <v>0</v>
          </cell>
          <cell r="BB1818">
            <v>0</v>
          </cell>
          <cell r="BC1818">
            <v>38828</v>
          </cell>
        </row>
        <row r="1819">
          <cell r="A1819">
            <v>2006</v>
          </cell>
          <cell r="B1819">
            <v>2</v>
          </cell>
          <cell r="C1819">
            <v>396</v>
          </cell>
          <cell r="D1819">
            <v>21</v>
          </cell>
          <cell r="E1819">
            <v>792020</v>
          </cell>
          <cell r="F1819">
            <v>0</v>
          </cell>
          <cell r="G1819" t="str">
            <v>Затраты по ШПЗ (основные)</v>
          </cell>
          <cell r="H1819">
            <v>2011</v>
          </cell>
          <cell r="I1819">
            <v>7920</v>
          </cell>
          <cell r="J1819">
            <v>20113.2</v>
          </cell>
          <cell r="K1819">
            <v>1</v>
          </cell>
          <cell r="L1819">
            <v>0</v>
          </cell>
          <cell r="M1819">
            <v>0</v>
          </cell>
          <cell r="N1819">
            <v>0</v>
          </cell>
          <cell r="R1819">
            <v>0</v>
          </cell>
          <cell r="S1819">
            <v>0</v>
          </cell>
          <cell r="T1819">
            <v>0</v>
          </cell>
          <cell r="U1819">
            <v>35</v>
          </cell>
          <cell r="V1819">
            <v>0</v>
          </cell>
          <cell r="W1819">
            <v>0</v>
          </cell>
          <cell r="AA1819">
            <v>0</v>
          </cell>
          <cell r="AB1819">
            <v>0</v>
          </cell>
          <cell r="AC1819">
            <v>0</v>
          </cell>
          <cell r="AD1819">
            <v>35</v>
          </cell>
          <cell r="AE1819">
            <v>280300</v>
          </cell>
          <cell r="AF1819">
            <v>0</v>
          </cell>
          <cell r="AI1819">
            <v>2251</v>
          </cell>
          <cell r="AK1819">
            <v>0</v>
          </cell>
          <cell r="AM1819">
            <v>525</v>
          </cell>
          <cell r="AN1819">
            <v>1</v>
          </cell>
          <cell r="AO1819">
            <v>393216</v>
          </cell>
          <cell r="AQ1819">
            <v>0</v>
          </cell>
          <cell r="AR1819">
            <v>0</v>
          </cell>
          <cell r="AS1819" t="str">
            <v>Ы</v>
          </cell>
          <cell r="AT1819" t="str">
            <v>Ы</v>
          </cell>
          <cell r="AU1819">
            <v>0</v>
          </cell>
          <cell r="AV1819">
            <v>0</v>
          </cell>
          <cell r="AW1819">
            <v>23</v>
          </cell>
          <cell r="AX1819">
            <v>1</v>
          </cell>
          <cell r="AY1819">
            <v>0</v>
          </cell>
          <cell r="AZ1819">
            <v>0</v>
          </cell>
          <cell r="BA1819">
            <v>0</v>
          </cell>
          <cell r="BB1819">
            <v>0</v>
          </cell>
          <cell r="BC1819">
            <v>38828</v>
          </cell>
        </row>
        <row r="1820">
          <cell r="A1820">
            <v>2006</v>
          </cell>
          <cell r="B1820">
            <v>2</v>
          </cell>
          <cell r="C1820">
            <v>397</v>
          </cell>
          <cell r="D1820">
            <v>21</v>
          </cell>
          <cell r="E1820">
            <v>792020</v>
          </cell>
          <cell r="F1820">
            <v>0</v>
          </cell>
          <cell r="G1820" t="str">
            <v>Затраты по ШПЗ (основные)</v>
          </cell>
          <cell r="H1820">
            <v>2011</v>
          </cell>
          <cell r="I1820">
            <v>7920</v>
          </cell>
          <cell r="J1820">
            <v>79428.490000000005</v>
          </cell>
          <cell r="K1820">
            <v>1</v>
          </cell>
          <cell r="L1820">
            <v>0</v>
          </cell>
          <cell r="M1820">
            <v>0</v>
          </cell>
          <cell r="N1820">
            <v>0</v>
          </cell>
          <cell r="R1820">
            <v>0</v>
          </cell>
          <cell r="S1820">
            <v>0</v>
          </cell>
          <cell r="T1820">
            <v>0</v>
          </cell>
          <cell r="U1820">
            <v>35</v>
          </cell>
          <cell r="V1820">
            <v>0</v>
          </cell>
          <cell r="W1820">
            <v>0</v>
          </cell>
          <cell r="AA1820">
            <v>0</v>
          </cell>
          <cell r="AB1820">
            <v>0</v>
          </cell>
          <cell r="AC1820">
            <v>0</v>
          </cell>
          <cell r="AD1820">
            <v>35</v>
          </cell>
          <cell r="AE1820">
            <v>280400</v>
          </cell>
          <cell r="AF1820">
            <v>0</v>
          </cell>
          <cell r="AI1820">
            <v>2251</v>
          </cell>
          <cell r="AK1820">
            <v>0</v>
          </cell>
          <cell r="AM1820">
            <v>526</v>
          </cell>
          <cell r="AN1820">
            <v>1</v>
          </cell>
          <cell r="AO1820">
            <v>393216</v>
          </cell>
          <cell r="AQ1820">
            <v>0</v>
          </cell>
          <cell r="AR1820">
            <v>0</v>
          </cell>
          <cell r="AS1820" t="str">
            <v>Ы</v>
          </cell>
          <cell r="AT1820" t="str">
            <v>Ы</v>
          </cell>
          <cell r="AU1820">
            <v>0</v>
          </cell>
          <cell r="AV1820">
            <v>0</v>
          </cell>
          <cell r="AW1820">
            <v>23</v>
          </cell>
          <cell r="AX1820">
            <v>1</v>
          </cell>
          <cell r="AY1820">
            <v>0</v>
          </cell>
          <cell r="AZ1820">
            <v>0</v>
          </cell>
          <cell r="BA1820">
            <v>0</v>
          </cell>
          <cell r="BB1820">
            <v>0</v>
          </cell>
          <cell r="BC1820">
            <v>38828</v>
          </cell>
        </row>
        <row r="1821">
          <cell r="A1821">
            <v>2006</v>
          </cell>
          <cell r="B1821">
            <v>2</v>
          </cell>
          <cell r="C1821">
            <v>398</v>
          </cell>
          <cell r="D1821">
            <v>21</v>
          </cell>
          <cell r="E1821">
            <v>792020</v>
          </cell>
          <cell r="F1821">
            <v>0</v>
          </cell>
          <cell r="G1821" t="str">
            <v>Затраты по ШПЗ (основные)</v>
          </cell>
          <cell r="H1821">
            <v>2011</v>
          </cell>
          <cell r="I1821">
            <v>7920</v>
          </cell>
          <cell r="J1821">
            <v>20765.52</v>
          </cell>
          <cell r="K1821">
            <v>1</v>
          </cell>
          <cell r="L1821">
            <v>0</v>
          </cell>
          <cell r="M1821">
            <v>0</v>
          </cell>
          <cell r="N1821">
            <v>0</v>
          </cell>
          <cell r="R1821">
            <v>0</v>
          </cell>
          <cell r="S1821">
            <v>0</v>
          </cell>
          <cell r="T1821">
            <v>0</v>
          </cell>
          <cell r="U1821">
            <v>35</v>
          </cell>
          <cell r="V1821">
            <v>0</v>
          </cell>
          <cell r="W1821">
            <v>0</v>
          </cell>
          <cell r="AA1821">
            <v>0</v>
          </cell>
          <cell r="AB1821">
            <v>0</v>
          </cell>
          <cell r="AC1821">
            <v>0</v>
          </cell>
          <cell r="AD1821">
            <v>35</v>
          </cell>
          <cell r="AE1821">
            <v>281000</v>
          </cell>
          <cell r="AF1821">
            <v>0</v>
          </cell>
          <cell r="AI1821">
            <v>2251</v>
          </cell>
          <cell r="AK1821">
            <v>0</v>
          </cell>
          <cell r="AM1821">
            <v>527</v>
          </cell>
          <cell r="AN1821">
            <v>1</v>
          </cell>
          <cell r="AO1821">
            <v>393216</v>
          </cell>
          <cell r="AQ1821">
            <v>0</v>
          </cell>
          <cell r="AR1821">
            <v>0</v>
          </cell>
          <cell r="AS1821" t="str">
            <v>Ы</v>
          </cell>
          <cell r="AT1821" t="str">
            <v>Ы</v>
          </cell>
          <cell r="AU1821">
            <v>0</v>
          </cell>
          <cell r="AV1821">
            <v>0</v>
          </cell>
          <cell r="AW1821">
            <v>23</v>
          </cell>
          <cell r="AX1821">
            <v>1</v>
          </cell>
          <cell r="AY1821">
            <v>0</v>
          </cell>
          <cell r="AZ1821">
            <v>0</v>
          </cell>
          <cell r="BA1821">
            <v>0</v>
          </cell>
          <cell r="BB1821">
            <v>0</v>
          </cell>
          <cell r="BC1821">
            <v>38828</v>
          </cell>
        </row>
        <row r="1822">
          <cell r="A1822">
            <v>2006</v>
          </cell>
          <cell r="B1822">
            <v>2</v>
          </cell>
          <cell r="C1822">
            <v>399</v>
          </cell>
          <cell r="D1822">
            <v>21</v>
          </cell>
          <cell r="E1822">
            <v>792020</v>
          </cell>
          <cell r="F1822">
            <v>0</v>
          </cell>
          <cell r="G1822" t="str">
            <v>Затраты по ШПЗ (основные)</v>
          </cell>
          <cell r="H1822">
            <v>2011</v>
          </cell>
          <cell r="I1822">
            <v>7920</v>
          </cell>
          <cell r="J1822">
            <v>51833.5</v>
          </cell>
          <cell r="K1822">
            <v>1</v>
          </cell>
          <cell r="L1822">
            <v>0</v>
          </cell>
          <cell r="M1822">
            <v>0</v>
          </cell>
          <cell r="N1822">
            <v>0</v>
          </cell>
          <cell r="R1822">
            <v>0</v>
          </cell>
          <cell r="S1822">
            <v>0</v>
          </cell>
          <cell r="T1822">
            <v>0</v>
          </cell>
          <cell r="U1822">
            <v>35</v>
          </cell>
          <cell r="V1822">
            <v>0</v>
          </cell>
          <cell r="W1822">
            <v>0</v>
          </cell>
          <cell r="AA1822">
            <v>0</v>
          </cell>
          <cell r="AB1822">
            <v>0</v>
          </cell>
          <cell r="AC1822">
            <v>0</v>
          </cell>
          <cell r="AD1822">
            <v>35</v>
          </cell>
          <cell r="AE1822">
            <v>281100</v>
          </cell>
          <cell r="AF1822">
            <v>0</v>
          </cell>
          <cell r="AI1822">
            <v>2251</v>
          </cell>
          <cell r="AK1822">
            <v>0</v>
          </cell>
          <cell r="AM1822">
            <v>528</v>
          </cell>
          <cell r="AN1822">
            <v>1</v>
          </cell>
          <cell r="AO1822">
            <v>393216</v>
          </cell>
          <cell r="AQ1822">
            <v>0</v>
          </cell>
          <cell r="AR1822">
            <v>0</v>
          </cell>
          <cell r="AS1822" t="str">
            <v>Ы</v>
          </cell>
          <cell r="AT1822" t="str">
            <v>Ы</v>
          </cell>
          <cell r="AU1822">
            <v>0</v>
          </cell>
          <cell r="AV1822">
            <v>0</v>
          </cell>
          <cell r="AW1822">
            <v>23</v>
          </cell>
          <cell r="AX1822">
            <v>1</v>
          </cell>
          <cell r="AY1822">
            <v>0</v>
          </cell>
          <cell r="AZ1822">
            <v>0</v>
          </cell>
          <cell r="BA1822">
            <v>0</v>
          </cell>
          <cell r="BB1822">
            <v>0</v>
          </cell>
          <cell r="BC1822">
            <v>38828</v>
          </cell>
        </row>
        <row r="1823">
          <cell r="A1823">
            <v>2006</v>
          </cell>
          <cell r="B1823">
            <v>2</v>
          </cell>
          <cell r="C1823">
            <v>400</v>
          </cell>
          <cell r="D1823">
            <v>21</v>
          </cell>
          <cell r="E1823">
            <v>792020</v>
          </cell>
          <cell r="F1823">
            <v>0</v>
          </cell>
          <cell r="G1823" t="str">
            <v>Затраты по ШПЗ (основные)</v>
          </cell>
          <cell r="H1823">
            <v>2011</v>
          </cell>
          <cell r="I1823">
            <v>7920</v>
          </cell>
          <cell r="J1823">
            <v>2340.73</v>
          </cell>
          <cell r="K1823">
            <v>1</v>
          </cell>
          <cell r="L1823">
            <v>0</v>
          </cell>
          <cell r="M1823">
            <v>0</v>
          </cell>
          <cell r="N1823">
            <v>0</v>
          </cell>
          <cell r="R1823">
            <v>0</v>
          </cell>
          <cell r="S1823">
            <v>0</v>
          </cell>
          <cell r="T1823">
            <v>0</v>
          </cell>
          <cell r="U1823">
            <v>35</v>
          </cell>
          <cell r="V1823">
            <v>0</v>
          </cell>
          <cell r="W1823">
            <v>0</v>
          </cell>
          <cell r="AA1823">
            <v>0</v>
          </cell>
          <cell r="AB1823">
            <v>0</v>
          </cell>
          <cell r="AC1823">
            <v>0</v>
          </cell>
          <cell r="AD1823">
            <v>35</v>
          </cell>
          <cell r="AE1823">
            <v>282200</v>
          </cell>
          <cell r="AF1823">
            <v>0</v>
          </cell>
          <cell r="AI1823">
            <v>2251</v>
          </cell>
          <cell r="AK1823">
            <v>0</v>
          </cell>
          <cell r="AM1823">
            <v>529</v>
          </cell>
          <cell r="AN1823">
            <v>1</v>
          </cell>
          <cell r="AO1823">
            <v>393216</v>
          </cell>
          <cell r="AQ1823">
            <v>0</v>
          </cell>
          <cell r="AR1823">
            <v>0</v>
          </cell>
          <cell r="AS1823" t="str">
            <v>Ы</v>
          </cell>
          <cell r="AT1823" t="str">
            <v>Ы</v>
          </cell>
          <cell r="AU1823">
            <v>0</v>
          </cell>
          <cell r="AV1823">
            <v>0</v>
          </cell>
          <cell r="AW1823">
            <v>23</v>
          </cell>
          <cell r="AX1823">
            <v>1</v>
          </cell>
          <cell r="AY1823">
            <v>0</v>
          </cell>
          <cell r="AZ1823">
            <v>0</v>
          </cell>
          <cell r="BA1823">
            <v>0</v>
          </cell>
          <cell r="BB1823">
            <v>0</v>
          </cell>
          <cell r="BC1823">
            <v>38828</v>
          </cell>
        </row>
        <row r="1824">
          <cell r="A1824">
            <v>2006</v>
          </cell>
          <cell r="B1824">
            <v>2</v>
          </cell>
          <cell r="C1824">
            <v>401</v>
          </cell>
          <cell r="D1824">
            <v>21</v>
          </cell>
          <cell r="E1824">
            <v>792020</v>
          </cell>
          <cell r="F1824">
            <v>0</v>
          </cell>
          <cell r="G1824" t="str">
            <v>Затраты по ШПЗ (основные)</v>
          </cell>
          <cell r="H1824">
            <v>2011</v>
          </cell>
          <cell r="I1824">
            <v>7920</v>
          </cell>
          <cell r="J1824">
            <v>24104</v>
          </cell>
          <cell r="K1824">
            <v>1</v>
          </cell>
          <cell r="L1824">
            <v>0</v>
          </cell>
          <cell r="M1824">
            <v>0</v>
          </cell>
          <cell r="N1824">
            <v>0</v>
          </cell>
          <cell r="R1824">
            <v>0</v>
          </cell>
          <cell r="S1824">
            <v>0</v>
          </cell>
          <cell r="T1824">
            <v>0</v>
          </cell>
          <cell r="U1824">
            <v>35</v>
          </cell>
          <cell r="V1824">
            <v>0</v>
          </cell>
          <cell r="W1824">
            <v>0</v>
          </cell>
          <cell r="AA1824">
            <v>0</v>
          </cell>
          <cell r="AB1824">
            <v>0</v>
          </cell>
          <cell r="AC1824">
            <v>0</v>
          </cell>
          <cell r="AD1824">
            <v>35</v>
          </cell>
          <cell r="AE1824">
            <v>283000</v>
          </cell>
          <cell r="AF1824">
            <v>0</v>
          </cell>
          <cell r="AI1824">
            <v>2251</v>
          </cell>
          <cell r="AK1824">
            <v>0</v>
          </cell>
          <cell r="AM1824">
            <v>530</v>
          </cell>
          <cell r="AN1824">
            <v>1</v>
          </cell>
          <cell r="AO1824">
            <v>393216</v>
          </cell>
          <cell r="AQ1824">
            <v>0</v>
          </cell>
          <cell r="AR1824">
            <v>0</v>
          </cell>
          <cell r="AS1824" t="str">
            <v>Ы</v>
          </cell>
          <cell r="AT1824" t="str">
            <v>Ы</v>
          </cell>
          <cell r="AU1824">
            <v>0</v>
          </cell>
          <cell r="AV1824">
            <v>0</v>
          </cell>
          <cell r="AW1824">
            <v>23</v>
          </cell>
          <cell r="AX1824">
            <v>1</v>
          </cell>
          <cell r="AY1824">
            <v>0</v>
          </cell>
          <cell r="AZ1824">
            <v>0</v>
          </cell>
          <cell r="BA1824">
            <v>0</v>
          </cell>
          <cell r="BB1824">
            <v>0</v>
          </cell>
          <cell r="BC1824">
            <v>38828</v>
          </cell>
        </row>
        <row r="1825">
          <cell r="A1825">
            <v>2006</v>
          </cell>
          <cell r="B1825">
            <v>2</v>
          </cell>
          <cell r="C1825">
            <v>402</v>
          </cell>
          <cell r="D1825">
            <v>21</v>
          </cell>
          <cell r="E1825">
            <v>792020</v>
          </cell>
          <cell r="F1825">
            <v>0</v>
          </cell>
          <cell r="G1825" t="str">
            <v>Затраты по ШПЗ (основные)</v>
          </cell>
          <cell r="H1825">
            <v>2011</v>
          </cell>
          <cell r="I1825">
            <v>7920</v>
          </cell>
          <cell r="J1825">
            <v>7092.96</v>
          </cell>
          <cell r="K1825">
            <v>1</v>
          </cell>
          <cell r="L1825">
            <v>0</v>
          </cell>
          <cell r="M1825">
            <v>0</v>
          </cell>
          <cell r="N1825">
            <v>0</v>
          </cell>
          <cell r="R1825">
            <v>0</v>
          </cell>
          <cell r="S1825">
            <v>0</v>
          </cell>
          <cell r="T1825">
            <v>0</v>
          </cell>
          <cell r="U1825">
            <v>35</v>
          </cell>
          <cell r="V1825">
            <v>0</v>
          </cell>
          <cell r="W1825">
            <v>0</v>
          </cell>
          <cell r="AA1825">
            <v>0</v>
          </cell>
          <cell r="AB1825">
            <v>0</v>
          </cell>
          <cell r="AC1825">
            <v>0</v>
          </cell>
          <cell r="AD1825">
            <v>35</v>
          </cell>
          <cell r="AE1825">
            <v>285000</v>
          </cell>
          <cell r="AF1825">
            <v>0</v>
          </cell>
          <cell r="AI1825">
            <v>2251</v>
          </cell>
          <cell r="AK1825">
            <v>0</v>
          </cell>
          <cell r="AM1825">
            <v>531</v>
          </cell>
          <cell r="AN1825">
            <v>1</v>
          </cell>
          <cell r="AO1825">
            <v>393216</v>
          </cell>
          <cell r="AQ1825">
            <v>0</v>
          </cell>
          <cell r="AR1825">
            <v>0</v>
          </cell>
          <cell r="AS1825" t="str">
            <v>Ы</v>
          </cell>
          <cell r="AT1825" t="str">
            <v>Ы</v>
          </cell>
          <cell r="AU1825">
            <v>0</v>
          </cell>
          <cell r="AV1825">
            <v>0</v>
          </cell>
          <cell r="AW1825">
            <v>23</v>
          </cell>
          <cell r="AX1825">
            <v>1</v>
          </cell>
          <cell r="AY1825">
            <v>0</v>
          </cell>
          <cell r="AZ1825">
            <v>0</v>
          </cell>
          <cell r="BA1825">
            <v>0</v>
          </cell>
          <cell r="BB1825">
            <v>0</v>
          </cell>
          <cell r="BC1825">
            <v>38828</v>
          </cell>
        </row>
        <row r="1826">
          <cell r="A1826">
            <v>2006</v>
          </cell>
          <cell r="B1826">
            <v>2</v>
          </cell>
          <cell r="C1826">
            <v>403</v>
          </cell>
          <cell r="D1826">
            <v>21</v>
          </cell>
          <cell r="E1826">
            <v>792020</v>
          </cell>
          <cell r="F1826">
            <v>0</v>
          </cell>
          <cell r="G1826" t="str">
            <v>Затраты по ШПЗ (основные)</v>
          </cell>
          <cell r="H1826">
            <v>2011</v>
          </cell>
          <cell r="I1826">
            <v>7920</v>
          </cell>
          <cell r="J1826">
            <v>60441.440000000002</v>
          </cell>
          <cell r="K1826">
            <v>1</v>
          </cell>
          <cell r="L1826">
            <v>0</v>
          </cell>
          <cell r="M1826">
            <v>0</v>
          </cell>
          <cell r="N1826">
            <v>0</v>
          </cell>
          <cell r="R1826">
            <v>0</v>
          </cell>
          <cell r="S1826">
            <v>0</v>
          </cell>
          <cell r="T1826">
            <v>0</v>
          </cell>
          <cell r="U1826">
            <v>35</v>
          </cell>
          <cell r="V1826">
            <v>0</v>
          </cell>
          <cell r="W1826">
            <v>0</v>
          </cell>
          <cell r="AA1826">
            <v>0</v>
          </cell>
          <cell r="AB1826">
            <v>0</v>
          </cell>
          <cell r="AC1826">
            <v>0</v>
          </cell>
          <cell r="AD1826">
            <v>35</v>
          </cell>
          <cell r="AE1826">
            <v>311000</v>
          </cell>
          <cell r="AF1826">
            <v>0</v>
          </cell>
          <cell r="AI1826">
            <v>2251</v>
          </cell>
          <cell r="AK1826">
            <v>0</v>
          </cell>
          <cell r="AM1826">
            <v>532</v>
          </cell>
          <cell r="AN1826">
            <v>1</v>
          </cell>
          <cell r="AO1826">
            <v>393216</v>
          </cell>
          <cell r="AQ1826">
            <v>0</v>
          </cell>
          <cell r="AR1826">
            <v>0</v>
          </cell>
          <cell r="AS1826" t="str">
            <v>Ы</v>
          </cell>
          <cell r="AT1826" t="str">
            <v>Ы</v>
          </cell>
          <cell r="AU1826">
            <v>0</v>
          </cell>
          <cell r="AV1826">
            <v>0</v>
          </cell>
          <cell r="AW1826">
            <v>23</v>
          </cell>
          <cell r="AX1826">
            <v>1</v>
          </cell>
          <cell r="AY1826">
            <v>0</v>
          </cell>
          <cell r="AZ1826">
            <v>0</v>
          </cell>
          <cell r="BA1826">
            <v>0</v>
          </cell>
          <cell r="BB1826">
            <v>0</v>
          </cell>
          <cell r="BC1826">
            <v>38828</v>
          </cell>
        </row>
        <row r="1827">
          <cell r="A1827">
            <v>2006</v>
          </cell>
          <cell r="B1827">
            <v>2</v>
          </cell>
          <cell r="C1827">
            <v>404</v>
          </cell>
          <cell r="D1827">
            <v>21</v>
          </cell>
          <cell r="E1827">
            <v>792020</v>
          </cell>
          <cell r="F1827">
            <v>0</v>
          </cell>
          <cell r="G1827" t="str">
            <v>Затраты по ШПЗ (основные)</v>
          </cell>
          <cell r="H1827">
            <v>2011</v>
          </cell>
          <cell r="I1827">
            <v>7920</v>
          </cell>
          <cell r="J1827">
            <v>122759.19</v>
          </cell>
          <cell r="K1827">
            <v>1</v>
          </cell>
          <cell r="L1827">
            <v>0</v>
          </cell>
          <cell r="M1827">
            <v>0</v>
          </cell>
          <cell r="N1827">
            <v>0</v>
          </cell>
          <cell r="R1827">
            <v>0</v>
          </cell>
          <cell r="S1827">
            <v>0</v>
          </cell>
          <cell r="T1827">
            <v>0</v>
          </cell>
          <cell r="U1827">
            <v>35</v>
          </cell>
          <cell r="V1827">
            <v>0</v>
          </cell>
          <cell r="W1827">
            <v>0</v>
          </cell>
          <cell r="AA1827">
            <v>0</v>
          </cell>
          <cell r="AB1827">
            <v>0</v>
          </cell>
          <cell r="AC1827">
            <v>0</v>
          </cell>
          <cell r="AD1827">
            <v>35</v>
          </cell>
          <cell r="AE1827">
            <v>312000</v>
          </cell>
          <cell r="AF1827">
            <v>0</v>
          </cell>
          <cell r="AI1827">
            <v>2251</v>
          </cell>
          <cell r="AK1827">
            <v>0</v>
          </cell>
          <cell r="AM1827">
            <v>533</v>
          </cell>
          <cell r="AN1827">
            <v>1</v>
          </cell>
          <cell r="AO1827">
            <v>393216</v>
          </cell>
          <cell r="AQ1827">
            <v>0</v>
          </cell>
          <cell r="AR1827">
            <v>0</v>
          </cell>
          <cell r="AS1827" t="str">
            <v>Ы</v>
          </cell>
          <cell r="AT1827" t="str">
            <v>Ы</v>
          </cell>
          <cell r="AU1827">
            <v>0</v>
          </cell>
          <cell r="AV1827">
            <v>0</v>
          </cell>
          <cell r="AW1827">
            <v>23</v>
          </cell>
          <cell r="AX1827">
            <v>1</v>
          </cell>
          <cell r="AY1827">
            <v>0</v>
          </cell>
          <cell r="AZ1827">
            <v>0</v>
          </cell>
          <cell r="BA1827">
            <v>0</v>
          </cell>
          <cell r="BB1827">
            <v>0</v>
          </cell>
          <cell r="BC1827">
            <v>38828</v>
          </cell>
        </row>
        <row r="1828">
          <cell r="A1828">
            <v>2006</v>
          </cell>
          <cell r="B1828">
            <v>2</v>
          </cell>
          <cell r="C1828">
            <v>405</v>
          </cell>
          <cell r="D1828">
            <v>21</v>
          </cell>
          <cell r="E1828">
            <v>792020</v>
          </cell>
          <cell r="F1828">
            <v>0</v>
          </cell>
          <cell r="G1828" t="str">
            <v>Затраты по ШПЗ (основные)</v>
          </cell>
          <cell r="H1828">
            <v>2011</v>
          </cell>
          <cell r="I1828">
            <v>7920</v>
          </cell>
          <cell r="J1828">
            <v>28169.72</v>
          </cell>
          <cell r="K1828">
            <v>1</v>
          </cell>
          <cell r="L1828">
            <v>0</v>
          </cell>
          <cell r="M1828">
            <v>0</v>
          </cell>
          <cell r="N1828">
            <v>0</v>
          </cell>
          <cell r="R1828">
            <v>0</v>
          </cell>
          <cell r="S1828">
            <v>0</v>
          </cell>
          <cell r="T1828">
            <v>0</v>
          </cell>
          <cell r="U1828">
            <v>35</v>
          </cell>
          <cell r="V1828">
            <v>0</v>
          </cell>
          <cell r="W1828">
            <v>0</v>
          </cell>
          <cell r="AA1828">
            <v>0</v>
          </cell>
          <cell r="AB1828">
            <v>0</v>
          </cell>
          <cell r="AC1828">
            <v>0</v>
          </cell>
          <cell r="AD1828">
            <v>35</v>
          </cell>
          <cell r="AE1828">
            <v>312100</v>
          </cell>
          <cell r="AF1828">
            <v>0</v>
          </cell>
          <cell r="AI1828">
            <v>2251</v>
          </cell>
          <cell r="AK1828">
            <v>0</v>
          </cell>
          <cell r="AM1828">
            <v>534</v>
          </cell>
          <cell r="AN1828">
            <v>1</v>
          </cell>
          <cell r="AO1828">
            <v>393216</v>
          </cell>
          <cell r="AQ1828">
            <v>0</v>
          </cell>
          <cell r="AR1828">
            <v>0</v>
          </cell>
          <cell r="AS1828" t="str">
            <v>Ы</v>
          </cell>
          <cell r="AT1828" t="str">
            <v>Ы</v>
          </cell>
          <cell r="AU1828">
            <v>0</v>
          </cell>
          <cell r="AV1828">
            <v>0</v>
          </cell>
          <cell r="AW1828">
            <v>23</v>
          </cell>
          <cell r="AX1828">
            <v>1</v>
          </cell>
          <cell r="AY1828">
            <v>0</v>
          </cell>
          <cell r="AZ1828">
            <v>0</v>
          </cell>
          <cell r="BA1828">
            <v>0</v>
          </cell>
          <cell r="BB1828">
            <v>0</v>
          </cell>
          <cell r="BC1828">
            <v>38828</v>
          </cell>
        </row>
        <row r="1829">
          <cell r="A1829">
            <v>2006</v>
          </cell>
          <cell r="B1829">
            <v>2</v>
          </cell>
          <cell r="C1829">
            <v>406</v>
          </cell>
          <cell r="D1829">
            <v>21</v>
          </cell>
          <cell r="E1829">
            <v>792020</v>
          </cell>
          <cell r="F1829">
            <v>0</v>
          </cell>
          <cell r="G1829" t="str">
            <v>Затраты по ШПЗ (основные)</v>
          </cell>
          <cell r="H1829">
            <v>2011</v>
          </cell>
          <cell r="I1829">
            <v>7920</v>
          </cell>
          <cell r="J1829">
            <v>268038.36</v>
          </cell>
          <cell r="K1829">
            <v>1</v>
          </cell>
          <cell r="L1829">
            <v>0</v>
          </cell>
          <cell r="M1829">
            <v>0</v>
          </cell>
          <cell r="N1829">
            <v>0</v>
          </cell>
          <cell r="R1829">
            <v>0</v>
          </cell>
          <cell r="S1829">
            <v>0</v>
          </cell>
          <cell r="T1829">
            <v>0</v>
          </cell>
          <cell r="U1829">
            <v>35</v>
          </cell>
          <cell r="V1829">
            <v>0</v>
          </cell>
          <cell r="W1829">
            <v>0</v>
          </cell>
          <cell r="AA1829">
            <v>0</v>
          </cell>
          <cell r="AB1829">
            <v>0</v>
          </cell>
          <cell r="AC1829">
            <v>0</v>
          </cell>
          <cell r="AD1829">
            <v>35</v>
          </cell>
          <cell r="AE1829">
            <v>312200</v>
          </cell>
          <cell r="AF1829">
            <v>0</v>
          </cell>
          <cell r="AI1829">
            <v>2251</v>
          </cell>
          <cell r="AK1829">
            <v>0</v>
          </cell>
          <cell r="AM1829">
            <v>535</v>
          </cell>
          <cell r="AN1829">
            <v>1</v>
          </cell>
          <cell r="AO1829">
            <v>393216</v>
          </cell>
          <cell r="AQ1829">
            <v>0</v>
          </cell>
          <cell r="AR1829">
            <v>0</v>
          </cell>
          <cell r="AS1829" t="str">
            <v>Ы</v>
          </cell>
          <cell r="AT1829" t="str">
            <v>Ы</v>
          </cell>
          <cell r="AU1829">
            <v>0</v>
          </cell>
          <cell r="AV1829">
            <v>0</v>
          </cell>
          <cell r="AW1829">
            <v>23</v>
          </cell>
          <cell r="AX1829">
            <v>1</v>
          </cell>
          <cell r="AY1829">
            <v>0</v>
          </cell>
          <cell r="AZ1829">
            <v>0</v>
          </cell>
          <cell r="BA1829">
            <v>0</v>
          </cell>
          <cell r="BB1829">
            <v>0</v>
          </cell>
          <cell r="BC1829">
            <v>38828</v>
          </cell>
        </row>
        <row r="1830">
          <cell r="A1830">
            <v>2006</v>
          </cell>
          <cell r="B1830">
            <v>2</v>
          </cell>
          <cell r="C1830">
            <v>407</v>
          </cell>
          <cell r="D1830">
            <v>21</v>
          </cell>
          <cell r="E1830">
            <v>792020</v>
          </cell>
          <cell r="F1830">
            <v>0</v>
          </cell>
          <cell r="G1830" t="str">
            <v>Затраты по ШПЗ (основные)</v>
          </cell>
          <cell r="H1830">
            <v>2011</v>
          </cell>
          <cell r="I1830">
            <v>7920</v>
          </cell>
          <cell r="J1830">
            <v>22901.19</v>
          </cell>
          <cell r="K1830">
            <v>1</v>
          </cell>
          <cell r="L1830">
            <v>0</v>
          </cell>
          <cell r="M1830">
            <v>0</v>
          </cell>
          <cell r="N1830">
            <v>0</v>
          </cell>
          <cell r="R1830">
            <v>0</v>
          </cell>
          <cell r="S1830">
            <v>0</v>
          </cell>
          <cell r="T1830">
            <v>0</v>
          </cell>
          <cell r="U1830">
            <v>35</v>
          </cell>
          <cell r="V1830">
            <v>0</v>
          </cell>
          <cell r="W1830">
            <v>0</v>
          </cell>
          <cell r="AA1830">
            <v>0</v>
          </cell>
          <cell r="AB1830">
            <v>0</v>
          </cell>
          <cell r="AC1830">
            <v>0</v>
          </cell>
          <cell r="AD1830">
            <v>35</v>
          </cell>
          <cell r="AE1830">
            <v>313000</v>
          </cell>
          <cell r="AF1830">
            <v>0</v>
          </cell>
          <cell r="AI1830">
            <v>2251</v>
          </cell>
          <cell r="AK1830">
            <v>0</v>
          </cell>
          <cell r="AM1830">
            <v>536</v>
          </cell>
          <cell r="AN1830">
            <v>1</v>
          </cell>
          <cell r="AO1830">
            <v>393216</v>
          </cell>
          <cell r="AQ1830">
            <v>0</v>
          </cell>
          <cell r="AR1830">
            <v>0</v>
          </cell>
          <cell r="AS1830" t="str">
            <v>Ы</v>
          </cell>
          <cell r="AT1830" t="str">
            <v>Ы</v>
          </cell>
          <cell r="AU1830">
            <v>0</v>
          </cell>
          <cell r="AV1830">
            <v>0</v>
          </cell>
          <cell r="AW1830">
            <v>23</v>
          </cell>
          <cell r="AX1830">
            <v>1</v>
          </cell>
          <cell r="AY1830">
            <v>0</v>
          </cell>
          <cell r="AZ1830">
            <v>0</v>
          </cell>
          <cell r="BA1830">
            <v>0</v>
          </cell>
          <cell r="BB1830">
            <v>0</v>
          </cell>
          <cell r="BC1830">
            <v>38828</v>
          </cell>
        </row>
        <row r="1831">
          <cell r="A1831">
            <v>2006</v>
          </cell>
          <cell r="B1831">
            <v>2</v>
          </cell>
          <cell r="C1831">
            <v>408</v>
          </cell>
          <cell r="D1831">
            <v>21</v>
          </cell>
          <cell r="E1831">
            <v>792020</v>
          </cell>
          <cell r="F1831">
            <v>0</v>
          </cell>
          <cell r="G1831" t="str">
            <v>Затраты по ШПЗ (основные)</v>
          </cell>
          <cell r="H1831">
            <v>2011</v>
          </cell>
          <cell r="I1831">
            <v>7920</v>
          </cell>
          <cell r="J1831">
            <v>41671.279999999999</v>
          </cell>
          <cell r="K1831">
            <v>1</v>
          </cell>
          <cell r="L1831">
            <v>0</v>
          </cell>
          <cell r="M1831">
            <v>0</v>
          </cell>
          <cell r="N1831">
            <v>0</v>
          </cell>
          <cell r="R1831">
            <v>0</v>
          </cell>
          <cell r="S1831">
            <v>0</v>
          </cell>
          <cell r="T1831">
            <v>0</v>
          </cell>
          <cell r="U1831">
            <v>35</v>
          </cell>
          <cell r="V1831">
            <v>0</v>
          </cell>
          <cell r="W1831">
            <v>0</v>
          </cell>
          <cell r="AA1831">
            <v>0</v>
          </cell>
          <cell r="AB1831">
            <v>0</v>
          </cell>
          <cell r="AC1831">
            <v>0</v>
          </cell>
          <cell r="AD1831">
            <v>35</v>
          </cell>
          <cell r="AE1831">
            <v>314000</v>
          </cell>
          <cell r="AF1831">
            <v>0</v>
          </cell>
          <cell r="AI1831">
            <v>2251</v>
          </cell>
          <cell r="AK1831">
            <v>0</v>
          </cell>
          <cell r="AM1831">
            <v>537</v>
          </cell>
          <cell r="AN1831">
            <v>1</v>
          </cell>
          <cell r="AO1831">
            <v>393216</v>
          </cell>
          <cell r="AQ1831">
            <v>0</v>
          </cell>
          <cell r="AR1831">
            <v>0</v>
          </cell>
          <cell r="AS1831" t="str">
            <v>Ы</v>
          </cell>
          <cell r="AT1831" t="str">
            <v>Ы</v>
          </cell>
          <cell r="AU1831">
            <v>0</v>
          </cell>
          <cell r="AV1831">
            <v>0</v>
          </cell>
          <cell r="AW1831">
            <v>23</v>
          </cell>
          <cell r="AX1831">
            <v>1</v>
          </cell>
          <cell r="AY1831">
            <v>0</v>
          </cell>
          <cell r="AZ1831">
            <v>0</v>
          </cell>
          <cell r="BA1831">
            <v>0</v>
          </cell>
          <cell r="BB1831">
            <v>0</v>
          </cell>
          <cell r="BC1831">
            <v>38828</v>
          </cell>
        </row>
        <row r="1832">
          <cell r="A1832">
            <v>2006</v>
          </cell>
          <cell r="B1832">
            <v>2</v>
          </cell>
          <cell r="C1832">
            <v>409</v>
          </cell>
          <cell r="D1832">
            <v>21</v>
          </cell>
          <cell r="E1832">
            <v>792020</v>
          </cell>
          <cell r="F1832">
            <v>0</v>
          </cell>
          <cell r="G1832" t="str">
            <v>Затраты по ШПЗ (основные)</v>
          </cell>
          <cell r="H1832">
            <v>2011</v>
          </cell>
          <cell r="I1832">
            <v>7920</v>
          </cell>
          <cell r="J1832">
            <v>8372.98</v>
          </cell>
          <cell r="K1832">
            <v>1</v>
          </cell>
          <cell r="L1832">
            <v>0</v>
          </cell>
          <cell r="M1832">
            <v>0</v>
          </cell>
          <cell r="N1832">
            <v>0</v>
          </cell>
          <cell r="R1832">
            <v>0</v>
          </cell>
          <cell r="S1832">
            <v>0</v>
          </cell>
          <cell r="T1832">
            <v>0</v>
          </cell>
          <cell r="U1832">
            <v>35</v>
          </cell>
          <cell r="V1832">
            <v>0</v>
          </cell>
          <cell r="W1832">
            <v>0</v>
          </cell>
          <cell r="AA1832">
            <v>0</v>
          </cell>
          <cell r="AB1832">
            <v>0</v>
          </cell>
          <cell r="AC1832">
            <v>0</v>
          </cell>
          <cell r="AD1832">
            <v>35</v>
          </cell>
          <cell r="AE1832">
            <v>315000</v>
          </cell>
          <cell r="AF1832">
            <v>0</v>
          </cell>
          <cell r="AI1832">
            <v>2251</v>
          </cell>
          <cell r="AK1832">
            <v>0</v>
          </cell>
          <cell r="AM1832">
            <v>538</v>
          </cell>
          <cell r="AN1832">
            <v>1</v>
          </cell>
          <cell r="AO1832">
            <v>393216</v>
          </cell>
          <cell r="AQ1832">
            <v>0</v>
          </cell>
          <cell r="AR1832">
            <v>0</v>
          </cell>
          <cell r="AS1832" t="str">
            <v>Ы</v>
          </cell>
          <cell r="AT1832" t="str">
            <v>Ы</v>
          </cell>
          <cell r="AU1832">
            <v>0</v>
          </cell>
          <cell r="AV1832">
            <v>0</v>
          </cell>
          <cell r="AW1832">
            <v>23</v>
          </cell>
          <cell r="AX1832">
            <v>1</v>
          </cell>
          <cell r="AY1832">
            <v>0</v>
          </cell>
          <cell r="AZ1832">
            <v>0</v>
          </cell>
          <cell r="BA1832">
            <v>0</v>
          </cell>
          <cell r="BB1832">
            <v>0</v>
          </cell>
          <cell r="BC1832">
            <v>38828</v>
          </cell>
        </row>
        <row r="1833">
          <cell r="A1833">
            <v>2006</v>
          </cell>
          <cell r="B1833">
            <v>2</v>
          </cell>
          <cell r="C1833">
            <v>410</v>
          </cell>
          <cell r="D1833">
            <v>21</v>
          </cell>
          <cell r="E1833">
            <v>792020</v>
          </cell>
          <cell r="F1833">
            <v>0</v>
          </cell>
          <cell r="G1833" t="str">
            <v>Затраты по ШПЗ (основные)</v>
          </cell>
          <cell r="H1833">
            <v>2011</v>
          </cell>
          <cell r="I1833">
            <v>7920</v>
          </cell>
          <cell r="J1833">
            <v>662701.34</v>
          </cell>
          <cell r="K1833">
            <v>1</v>
          </cell>
          <cell r="L1833">
            <v>0</v>
          </cell>
          <cell r="M1833">
            <v>0</v>
          </cell>
          <cell r="N1833">
            <v>0</v>
          </cell>
          <cell r="R1833">
            <v>0</v>
          </cell>
          <cell r="S1833">
            <v>0</v>
          </cell>
          <cell r="T1833">
            <v>0</v>
          </cell>
          <cell r="U1833">
            <v>35</v>
          </cell>
          <cell r="V1833">
            <v>0</v>
          </cell>
          <cell r="W1833">
            <v>0</v>
          </cell>
          <cell r="AA1833">
            <v>0</v>
          </cell>
          <cell r="AB1833">
            <v>0</v>
          </cell>
          <cell r="AC1833">
            <v>0</v>
          </cell>
          <cell r="AD1833">
            <v>35</v>
          </cell>
          <cell r="AE1833">
            <v>410000</v>
          </cell>
          <cell r="AF1833">
            <v>0</v>
          </cell>
          <cell r="AI1833">
            <v>2251</v>
          </cell>
          <cell r="AK1833">
            <v>0</v>
          </cell>
          <cell r="AM1833">
            <v>539</v>
          </cell>
          <cell r="AN1833">
            <v>1</v>
          </cell>
          <cell r="AO1833">
            <v>393216</v>
          </cell>
          <cell r="AQ1833">
            <v>0</v>
          </cell>
          <cell r="AR1833">
            <v>0</v>
          </cell>
          <cell r="AS1833" t="str">
            <v>Ы</v>
          </cell>
          <cell r="AT1833" t="str">
            <v>Ы</v>
          </cell>
          <cell r="AU1833">
            <v>0</v>
          </cell>
          <cell r="AV1833">
            <v>0</v>
          </cell>
          <cell r="AW1833">
            <v>23</v>
          </cell>
          <cell r="AX1833">
            <v>1</v>
          </cell>
          <cell r="AY1833">
            <v>0</v>
          </cell>
          <cell r="AZ1833">
            <v>0</v>
          </cell>
          <cell r="BA1833">
            <v>0</v>
          </cell>
          <cell r="BB1833">
            <v>0</v>
          </cell>
          <cell r="BC1833">
            <v>38828</v>
          </cell>
        </row>
        <row r="1834">
          <cell r="A1834">
            <v>2006</v>
          </cell>
          <cell r="B1834">
            <v>2</v>
          </cell>
          <cell r="C1834">
            <v>411</v>
          </cell>
          <cell r="D1834">
            <v>21</v>
          </cell>
          <cell r="E1834">
            <v>792020</v>
          </cell>
          <cell r="F1834">
            <v>0</v>
          </cell>
          <cell r="G1834" t="str">
            <v>Затраты по ШПЗ (основные)</v>
          </cell>
          <cell r="H1834">
            <v>2011</v>
          </cell>
          <cell r="I1834">
            <v>7920</v>
          </cell>
          <cell r="J1834">
            <v>76669.37</v>
          </cell>
          <cell r="K1834">
            <v>1</v>
          </cell>
          <cell r="L1834">
            <v>0</v>
          </cell>
          <cell r="M1834">
            <v>0</v>
          </cell>
          <cell r="N1834">
            <v>0</v>
          </cell>
          <cell r="R1834">
            <v>0</v>
          </cell>
          <cell r="S1834">
            <v>0</v>
          </cell>
          <cell r="T1834">
            <v>0</v>
          </cell>
          <cell r="U1834">
            <v>35</v>
          </cell>
          <cell r="V1834">
            <v>0</v>
          </cell>
          <cell r="W1834">
            <v>0</v>
          </cell>
          <cell r="AA1834">
            <v>0</v>
          </cell>
          <cell r="AB1834">
            <v>0</v>
          </cell>
          <cell r="AC1834">
            <v>0</v>
          </cell>
          <cell r="AD1834">
            <v>35</v>
          </cell>
          <cell r="AE1834">
            <v>420000</v>
          </cell>
          <cell r="AF1834">
            <v>0</v>
          </cell>
          <cell r="AI1834">
            <v>2251</v>
          </cell>
          <cell r="AK1834">
            <v>0</v>
          </cell>
          <cell r="AM1834">
            <v>540</v>
          </cell>
          <cell r="AN1834">
            <v>1</v>
          </cell>
          <cell r="AO1834">
            <v>393216</v>
          </cell>
          <cell r="AQ1834">
            <v>0</v>
          </cell>
          <cell r="AR1834">
            <v>0</v>
          </cell>
          <cell r="AS1834" t="str">
            <v>Ы</v>
          </cell>
          <cell r="AT1834" t="str">
            <v>Ы</v>
          </cell>
          <cell r="AU1834">
            <v>0</v>
          </cell>
          <cell r="AV1834">
            <v>0</v>
          </cell>
          <cell r="AW1834">
            <v>23</v>
          </cell>
          <cell r="AX1834">
            <v>1</v>
          </cell>
          <cell r="AY1834">
            <v>0</v>
          </cell>
          <cell r="AZ1834">
            <v>0</v>
          </cell>
          <cell r="BA1834">
            <v>0</v>
          </cell>
          <cell r="BB1834">
            <v>0</v>
          </cell>
          <cell r="BC1834">
            <v>38828</v>
          </cell>
        </row>
        <row r="1835">
          <cell r="A1835">
            <v>2006</v>
          </cell>
          <cell r="B1835">
            <v>2</v>
          </cell>
          <cell r="C1835">
            <v>412</v>
          </cell>
          <cell r="D1835">
            <v>21</v>
          </cell>
          <cell r="E1835">
            <v>792020</v>
          </cell>
          <cell r="F1835">
            <v>0</v>
          </cell>
          <cell r="G1835" t="str">
            <v>Затраты по ШПЗ (основные)</v>
          </cell>
          <cell r="H1835">
            <v>2011</v>
          </cell>
          <cell r="I1835">
            <v>7920</v>
          </cell>
          <cell r="J1835">
            <v>61573.88</v>
          </cell>
          <cell r="K1835">
            <v>1</v>
          </cell>
          <cell r="L1835">
            <v>0</v>
          </cell>
          <cell r="M1835">
            <v>0</v>
          </cell>
          <cell r="N1835">
            <v>0</v>
          </cell>
          <cell r="R1835">
            <v>0</v>
          </cell>
          <cell r="S1835">
            <v>0</v>
          </cell>
          <cell r="T1835">
            <v>0</v>
          </cell>
          <cell r="U1835">
            <v>35</v>
          </cell>
          <cell r="V1835">
            <v>0</v>
          </cell>
          <cell r="W1835">
            <v>0</v>
          </cell>
          <cell r="AA1835">
            <v>0</v>
          </cell>
          <cell r="AB1835">
            <v>0</v>
          </cell>
          <cell r="AC1835">
            <v>0</v>
          </cell>
          <cell r="AD1835">
            <v>35</v>
          </cell>
          <cell r="AE1835">
            <v>430000</v>
          </cell>
          <cell r="AF1835">
            <v>0</v>
          </cell>
          <cell r="AI1835">
            <v>2251</v>
          </cell>
          <cell r="AK1835">
            <v>0</v>
          </cell>
          <cell r="AM1835">
            <v>541</v>
          </cell>
          <cell r="AN1835">
            <v>1</v>
          </cell>
          <cell r="AO1835">
            <v>393216</v>
          </cell>
          <cell r="AQ1835">
            <v>0</v>
          </cell>
          <cell r="AR1835">
            <v>0</v>
          </cell>
          <cell r="AS1835" t="str">
            <v>Ы</v>
          </cell>
          <cell r="AT1835" t="str">
            <v>Ы</v>
          </cell>
          <cell r="AU1835">
            <v>0</v>
          </cell>
          <cell r="AV1835">
            <v>0</v>
          </cell>
          <cell r="AW1835">
            <v>23</v>
          </cell>
          <cell r="AX1835">
            <v>1</v>
          </cell>
          <cell r="AY1835">
            <v>0</v>
          </cell>
          <cell r="AZ1835">
            <v>0</v>
          </cell>
          <cell r="BA1835">
            <v>0</v>
          </cell>
          <cell r="BB1835">
            <v>0</v>
          </cell>
          <cell r="BC1835">
            <v>38828</v>
          </cell>
        </row>
        <row r="1836">
          <cell r="A1836">
            <v>2006</v>
          </cell>
          <cell r="B1836">
            <v>2</v>
          </cell>
          <cell r="C1836">
            <v>413</v>
          </cell>
          <cell r="D1836">
            <v>21</v>
          </cell>
          <cell r="E1836">
            <v>792020</v>
          </cell>
          <cell r="F1836">
            <v>0</v>
          </cell>
          <cell r="G1836" t="str">
            <v>Затраты по ШПЗ (основные)</v>
          </cell>
          <cell r="H1836">
            <v>2011</v>
          </cell>
          <cell r="I1836">
            <v>7920</v>
          </cell>
          <cell r="J1836">
            <v>406006</v>
          </cell>
          <cell r="K1836">
            <v>1</v>
          </cell>
          <cell r="L1836">
            <v>0</v>
          </cell>
          <cell r="M1836">
            <v>0</v>
          </cell>
          <cell r="N1836">
            <v>0</v>
          </cell>
          <cell r="R1836">
            <v>0</v>
          </cell>
          <cell r="S1836">
            <v>0</v>
          </cell>
          <cell r="T1836">
            <v>0</v>
          </cell>
          <cell r="U1836">
            <v>35</v>
          </cell>
          <cell r="V1836">
            <v>0</v>
          </cell>
          <cell r="W1836">
            <v>0</v>
          </cell>
          <cell r="AA1836">
            <v>0</v>
          </cell>
          <cell r="AB1836">
            <v>0</v>
          </cell>
          <cell r="AC1836">
            <v>0</v>
          </cell>
          <cell r="AD1836">
            <v>35</v>
          </cell>
          <cell r="AE1836">
            <v>430110</v>
          </cell>
          <cell r="AF1836">
            <v>0</v>
          </cell>
          <cell r="AI1836">
            <v>2251</v>
          </cell>
          <cell r="AK1836">
            <v>0</v>
          </cell>
          <cell r="AM1836">
            <v>542</v>
          </cell>
          <cell r="AN1836">
            <v>1</v>
          </cell>
          <cell r="AO1836">
            <v>393216</v>
          </cell>
          <cell r="AQ1836">
            <v>0</v>
          </cell>
          <cell r="AR1836">
            <v>0</v>
          </cell>
          <cell r="AS1836" t="str">
            <v>Ы</v>
          </cell>
          <cell r="AT1836" t="str">
            <v>Ы</v>
          </cell>
          <cell r="AU1836">
            <v>0</v>
          </cell>
          <cell r="AV1836">
            <v>0</v>
          </cell>
          <cell r="AW1836">
            <v>23</v>
          </cell>
          <cell r="AX1836">
            <v>1</v>
          </cell>
          <cell r="AY1836">
            <v>0</v>
          </cell>
          <cell r="AZ1836">
            <v>0</v>
          </cell>
          <cell r="BA1836">
            <v>0</v>
          </cell>
          <cell r="BB1836">
            <v>0</v>
          </cell>
          <cell r="BC1836">
            <v>38828</v>
          </cell>
        </row>
        <row r="1837">
          <cell r="A1837">
            <v>2006</v>
          </cell>
          <cell r="B1837">
            <v>2</v>
          </cell>
          <cell r="C1837">
            <v>414</v>
          </cell>
          <cell r="D1837">
            <v>21</v>
          </cell>
          <cell r="E1837">
            <v>792020</v>
          </cell>
          <cell r="F1837">
            <v>0</v>
          </cell>
          <cell r="G1837" t="str">
            <v>Затраты по ШПЗ (основные)</v>
          </cell>
          <cell r="H1837">
            <v>2011</v>
          </cell>
          <cell r="I1837">
            <v>7920</v>
          </cell>
          <cell r="J1837">
            <v>141471.28</v>
          </cell>
          <cell r="K1837">
            <v>1</v>
          </cell>
          <cell r="L1837">
            <v>0</v>
          </cell>
          <cell r="M1837">
            <v>0</v>
          </cell>
          <cell r="N1837">
            <v>0</v>
          </cell>
          <cell r="R1837">
            <v>0</v>
          </cell>
          <cell r="S1837">
            <v>0</v>
          </cell>
          <cell r="T1837">
            <v>0</v>
          </cell>
          <cell r="U1837">
            <v>35</v>
          </cell>
          <cell r="V1837">
            <v>0</v>
          </cell>
          <cell r="W1837">
            <v>0</v>
          </cell>
          <cell r="AA1837">
            <v>0</v>
          </cell>
          <cell r="AB1837">
            <v>0</v>
          </cell>
          <cell r="AC1837">
            <v>0</v>
          </cell>
          <cell r="AD1837">
            <v>35</v>
          </cell>
          <cell r="AE1837">
            <v>430120</v>
          </cell>
          <cell r="AF1837">
            <v>0</v>
          </cell>
          <cell r="AI1837">
            <v>2251</v>
          </cell>
          <cell r="AK1837">
            <v>0</v>
          </cell>
          <cell r="AM1837">
            <v>543</v>
          </cell>
          <cell r="AN1837">
            <v>1</v>
          </cell>
          <cell r="AO1837">
            <v>393216</v>
          </cell>
          <cell r="AQ1837">
            <v>0</v>
          </cell>
          <cell r="AR1837">
            <v>0</v>
          </cell>
          <cell r="AS1837" t="str">
            <v>Ы</v>
          </cell>
          <cell r="AT1837" t="str">
            <v>Ы</v>
          </cell>
          <cell r="AU1837">
            <v>0</v>
          </cell>
          <cell r="AV1837">
            <v>0</v>
          </cell>
          <cell r="AW1837">
            <v>23</v>
          </cell>
          <cell r="AX1837">
            <v>1</v>
          </cell>
          <cell r="AY1837">
            <v>0</v>
          </cell>
          <cell r="AZ1837">
            <v>0</v>
          </cell>
          <cell r="BA1837">
            <v>0</v>
          </cell>
          <cell r="BB1837">
            <v>0</v>
          </cell>
          <cell r="BC1837">
            <v>38828</v>
          </cell>
        </row>
        <row r="1838">
          <cell r="A1838">
            <v>2006</v>
          </cell>
          <cell r="B1838">
            <v>2</v>
          </cell>
          <cell r="C1838">
            <v>415</v>
          </cell>
          <cell r="D1838">
            <v>21</v>
          </cell>
          <cell r="E1838">
            <v>792020</v>
          </cell>
          <cell r="F1838">
            <v>0</v>
          </cell>
          <cell r="G1838" t="str">
            <v>Затраты по ШПЗ (основные)</v>
          </cell>
          <cell r="H1838">
            <v>2011</v>
          </cell>
          <cell r="I1838">
            <v>7920</v>
          </cell>
          <cell r="J1838">
            <v>781334.68</v>
          </cell>
          <cell r="K1838">
            <v>1</v>
          </cell>
          <cell r="L1838">
            <v>0</v>
          </cell>
          <cell r="M1838">
            <v>0</v>
          </cell>
          <cell r="N1838">
            <v>0</v>
          </cell>
          <cell r="R1838">
            <v>0</v>
          </cell>
          <cell r="S1838">
            <v>0</v>
          </cell>
          <cell r="T1838">
            <v>0</v>
          </cell>
          <cell r="U1838">
            <v>35</v>
          </cell>
          <cell r="V1838">
            <v>0</v>
          </cell>
          <cell r="W1838">
            <v>0</v>
          </cell>
          <cell r="AA1838">
            <v>0</v>
          </cell>
          <cell r="AB1838">
            <v>0</v>
          </cell>
          <cell r="AC1838">
            <v>0</v>
          </cell>
          <cell r="AD1838">
            <v>35</v>
          </cell>
          <cell r="AE1838">
            <v>430130</v>
          </cell>
          <cell r="AF1838">
            <v>0</v>
          </cell>
          <cell r="AI1838">
            <v>2251</v>
          </cell>
          <cell r="AK1838">
            <v>0</v>
          </cell>
          <cell r="AM1838">
            <v>544</v>
          </cell>
          <cell r="AN1838">
            <v>1</v>
          </cell>
          <cell r="AO1838">
            <v>393216</v>
          </cell>
          <cell r="AQ1838">
            <v>0</v>
          </cell>
          <cell r="AR1838">
            <v>0</v>
          </cell>
          <cell r="AS1838" t="str">
            <v>Ы</v>
          </cell>
          <cell r="AT1838" t="str">
            <v>Ы</v>
          </cell>
          <cell r="AU1838">
            <v>0</v>
          </cell>
          <cell r="AV1838">
            <v>0</v>
          </cell>
          <cell r="AW1838">
            <v>23</v>
          </cell>
          <cell r="AX1838">
            <v>1</v>
          </cell>
          <cell r="AY1838">
            <v>0</v>
          </cell>
          <cell r="AZ1838">
            <v>0</v>
          </cell>
          <cell r="BA1838">
            <v>0</v>
          </cell>
          <cell r="BB1838">
            <v>0</v>
          </cell>
          <cell r="BC1838">
            <v>38828</v>
          </cell>
        </row>
        <row r="1839">
          <cell r="A1839">
            <v>2006</v>
          </cell>
          <cell r="B1839">
            <v>2</v>
          </cell>
          <cell r="C1839">
            <v>416</v>
          </cell>
          <cell r="D1839">
            <v>21</v>
          </cell>
          <cell r="E1839">
            <v>792020</v>
          </cell>
          <cell r="F1839">
            <v>0</v>
          </cell>
          <cell r="G1839" t="str">
            <v>Затраты по ШПЗ (основные)</v>
          </cell>
          <cell r="H1839">
            <v>2011</v>
          </cell>
          <cell r="I1839">
            <v>7920</v>
          </cell>
          <cell r="J1839">
            <v>477455.75</v>
          </cell>
          <cell r="K1839">
            <v>1</v>
          </cell>
          <cell r="L1839">
            <v>0</v>
          </cell>
          <cell r="M1839">
            <v>0</v>
          </cell>
          <cell r="N1839">
            <v>0</v>
          </cell>
          <cell r="R1839">
            <v>0</v>
          </cell>
          <cell r="S1839">
            <v>0</v>
          </cell>
          <cell r="T1839">
            <v>0</v>
          </cell>
          <cell r="U1839">
            <v>35</v>
          </cell>
          <cell r="V1839">
            <v>0</v>
          </cell>
          <cell r="W1839">
            <v>0</v>
          </cell>
          <cell r="AA1839">
            <v>0</v>
          </cell>
          <cell r="AB1839">
            <v>0</v>
          </cell>
          <cell r="AC1839">
            <v>0</v>
          </cell>
          <cell r="AD1839">
            <v>35</v>
          </cell>
          <cell r="AE1839">
            <v>430140</v>
          </cell>
          <cell r="AF1839">
            <v>0</v>
          </cell>
          <cell r="AI1839">
            <v>2251</v>
          </cell>
          <cell r="AK1839">
            <v>0</v>
          </cell>
          <cell r="AM1839">
            <v>545</v>
          </cell>
          <cell r="AN1839">
            <v>1</v>
          </cell>
          <cell r="AO1839">
            <v>393216</v>
          </cell>
          <cell r="AQ1839">
            <v>0</v>
          </cell>
          <cell r="AR1839">
            <v>0</v>
          </cell>
          <cell r="AS1839" t="str">
            <v>Ы</v>
          </cell>
          <cell r="AT1839" t="str">
            <v>Ы</v>
          </cell>
          <cell r="AU1839">
            <v>0</v>
          </cell>
          <cell r="AV1839">
            <v>0</v>
          </cell>
          <cell r="AW1839">
            <v>23</v>
          </cell>
          <cell r="AX1839">
            <v>1</v>
          </cell>
          <cell r="AY1839">
            <v>0</v>
          </cell>
          <cell r="AZ1839">
            <v>0</v>
          </cell>
          <cell r="BA1839">
            <v>0</v>
          </cell>
          <cell r="BB1839">
            <v>0</v>
          </cell>
          <cell r="BC1839">
            <v>38828</v>
          </cell>
        </row>
        <row r="1840">
          <cell r="A1840">
            <v>2006</v>
          </cell>
          <cell r="B1840">
            <v>2</v>
          </cell>
          <cell r="C1840">
            <v>417</v>
          </cell>
          <cell r="D1840">
            <v>21</v>
          </cell>
          <cell r="E1840">
            <v>792020</v>
          </cell>
          <cell r="F1840">
            <v>0</v>
          </cell>
          <cell r="G1840" t="str">
            <v>Затраты по ШПЗ (основные)</v>
          </cell>
          <cell r="H1840">
            <v>2011</v>
          </cell>
          <cell r="I1840">
            <v>7920</v>
          </cell>
          <cell r="J1840">
            <v>1443.24</v>
          </cell>
          <cell r="K1840">
            <v>1</v>
          </cell>
          <cell r="L1840">
            <v>0</v>
          </cell>
          <cell r="M1840">
            <v>0</v>
          </cell>
          <cell r="N1840">
            <v>0</v>
          </cell>
          <cell r="R1840">
            <v>0</v>
          </cell>
          <cell r="S1840">
            <v>0</v>
          </cell>
          <cell r="T1840">
            <v>0</v>
          </cell>
          <cell r="U1840">
            <v>35</v>
          </cell>
          <cell r="V1840">
            <v>0</v>
          </cell>
          <cell r="W1840">
            <v>0</v>
          </cell>
          <cell r="AA1840">
            <v>0</v>
          </cell>
          <cell r="AB1840">
            <v>0</v>
          </cell>
          <cell r="AC1840">
            <v>0</v>
          </cell>
          <cell r="AD1840">
            <v>35</v>
          </cell>
          <cell r="AE1840">
            <v>430230</v>
          </cell>
          <cell r="AF1840">
            <v>0</v>
          </cell>
          <cell r="AI1840">
            <v>2251</v>
          </cell>
          <cell r="AK1840">
            <v>0</v>
          </cell>
          <cell r="AM1840">
            <v>546</v>
          </cell>
          <cell r="AN1840">
            <v>1</v>
          </cell>
          <cell r="AO1840">
            <v>393216</v>
          </cell>
          <cell r="AQ1840">
            <v>0</v>
          </cell>
          <cell r="AR1840">
            <v>0</v>
          </cell>
          <cell r="AS1840" t="str">
            <v>Ы</v>
          </cell>
          <cell r="AT1840" t="str">
            <v>Ы</v>
          </cell>
          <cell r="AU1840">
            <v>0</v>
          </cell>
          <cell r="AV1840">
            <v>0</v>
          </cell>
          <cell r="AW1840">
            <v>23</v>
          </cell>
          <cell r="AX1840">
            <v>1</v>
          </cell>
          <cell r="AY1840">
            <v>0</v>
          </cell>
          <cell r="AZ1840">
            <v>0</v>
          </cell>
          <cell r="BA1840">
            <v>0</v>
          </cell>
          <cell r="BB1840">
            <v>0</v>
          </cell>
          <cell r="BC1840">
            <v>38828</v>
          </cell>
        </row>
        <row r="1841">
          <cell r="A1841">
            <v>2006</v>
          </cell>
          <cell r="B1841">
            <v>2</v>
          </cell>
          <cell r="C1841">
            <v>418</v>
          </cell>
          <cell r="D1841">
            <v>21</v>
          </cell>
          <cell r="E1841">
            <v>792020</v>
          </cell>
          <cell r="F1841">
            <v>0</v>
          </cell>
          <cell r="G1841" t="str">
            <v>Затраты по ШПЗ (основные)</v>
          </cell>
          <cell r="H1841">
            <v>2011</v>
          </cell>
          <cell r="I1841">
            <v>7920</v>
          </cell>
          <cell r="J1841">
            <v>5053.22</v>
          </cell>
          <cell r="K1841">
            <v>1</v>
          </cell>
          <cell r="L1841">
            <v>0</v>
          </cell>
          <cell r="M1841">
            <v>0</v>
          </cell>
          <cell r="N1841">
            <v>0</v>
          </cell>
          <cell r="R1841">
            <v>0</v>
          </cell>
          <cell r="S1841">
            <v>0</v>
          </cell>
          <cell r="T1841">
            <v>0</v>
          </cell>
          <cell r="U1841">
            <v>35</v>
          </cell>
          <cell r="V1841">
            <v>0</v>
          </cell>
          <cell r="W1841">
            <v>0</v>
          </cell>
          <cell r="AA1841">
            <v>0</v>
          </cell>
          <cell r="AB1841">
            <v>0</v>
          </cell>
          <cell r="AC1841">
            <v>0</v>
          </cell>
          <cell r="AD1841">
            <v>35</v>
          </cell>
          <cell r="AE1841">
            <v>430240</v>
          </cell>
          <cell r="AF1841">
            <v>0</v>
          </cell>
          <cell r="AI1841">
            <v>2251</v>
          </cell>
          <cell r="AK1841">
            <v>0</v>
          </cell>
          <cell r="AM1841">
            <v>547</v>
          </cell>
          <cell r="AN1841">
            <v>1</v>
          </cell>
          <cell r="AO1841">
            <v>393216</v>
          </cell>
          <cell r="AQ1841">
            <v>0</v>
          </cell>
          <cell r="AR1841">
            <v>0</v>
          </cell>
          <cell r="AS1841" t="str">
            <v>Ы</v>
          </cell>
          <cell r="AT1841" t="str">
            <v>Ы</v>
          </cell>
          <cell r="AU1841">
            <v>0</v>
          </cell>
          <cell r="AV1841">
            <v>0</v>
          </cell>
          <cell r="AW1841">
            <v>23</v>
          </cell>
          <cell r="AX1841">
            <v>1</v>
          </cell>
          <cell r="AY1841">
            <v>0</v>
          </cell>
          <cell r="AZ1841">
            <v>0</v>
          </cell>
          <cell r="BA1841">
            <v>0</v>
          </cell>
          <cell r="BB1841">
            <v>0</v>
          </cell>
          <cell r="BC1841">
            <v>38828</v>
          </cell>
        </row>
        <row r="1842">
          <cell r="A1842">
            <v>2006</v>
          </cell>
          <cell r="B1842">
            <v>2</v>
          </cell>
          <cell r="C1842">
            <v>419</v>
          </cell>
          <cell r="D1842">
            <v>21</v>
          </cell>
          <cell r="E1842">
            <v>792020</v>
          </cell>
          <cell r="F1842">
            <v>0</v>
          </cell>
          <cell r="G1842" t="str">
            <v>Затраты по ШПЗ (основные)</v>
          </cell>
          <cell r="H1842">
            <v>2011</v>
          </cell>
          <cell r="I1842">
            <v>7920</v>
          </cell>
          <cell r="J1842">
            <v>46206.38</v>
          </cell>
          <cell r="K1842">
            <v>1</v>
          </cell>
          <cell r="L1842">
            <v>0</v>
          </cell>
          <cell r="M1842">
            <v>0</v>
          </cell>
          <cell r="N1842">
            <v>0</v>
          </cell>
          <cell r="R1842">
            <v>0</v>
          </cell>
          <cell r="S1842">
            <v>0</v>
          </cell>
          <cell r="T1842">
            <v>0</v>
          </cell>
          <cell r="U1842">
            <v>35</v>
          </cell>
          <cell r="V1842">
            <v>0</v>
          </cell>
          <cell r="W1842">
            <v>0</v>
          </cell>
          <cell r="AA1842">
            <v>0</v>
          </cell>
          <cell r="AB1842">
            <v>0</v>
          </cell>
          <cell r="AC1842">
            <v>0</v>
          </cell>
          <cell r="AD1842">
            <v>35</v>
          </cell>
          <cell r="AE1842">
            <v>450000</v>
          </cell>
          <cell r="AF1842">
            <v>0</v>
          </cell>
          <cell r="AI1842">
            <v>2251</v>
          </cell>
          <cell r="AK1842">
            <v>0</v>
          </cell>
          <cell r="AM1842">
            <v>548</v>
          </cell>
          <cell r="AN1842">
            <v>1</v>
          </cell>
          <cell r="AO1842">
            <v>393216</v>
          </cell>
          <cell r="AQ1842">
            <v>0</v>
          </cell>
          <cell r="AR1842">
            <v>0</v>
          </cell>
          <cell r="AS1842" t="str">
            <v>Ы</v>
          </cell>
          <cell r="AT1842" t="str">
            <v>Ы</v>
          </cell>
          <cell r="AU1842">
            <v>0</v>
          </cell>
          <cell r="AV1842">
            <v>0</v>
          </cell>
          <cell r="AW1842">
            <v>23</v>
          </cell>
          <cell r="AX1842">
            <v>1</v>
          </cell>
          <cell r="AY1842">
            <v>0</v>
          </cell>
          <cell r="AZ1842">
            <v>0</v>
          </cell>
          <cell r="BA1842">
            <v>0</v>
          </cell>
          <cell r="BB1842">
            <v>0</v>
          </cell>
          <cell r="BC1842">
            <v>38828</v>
          </cell>
        </row>
        <row r="1843">
          <cell r="A1843">
            <v>2006</v>
          </cell>
          <cell r="B1843">
            <v>2</v>
          </cell>
          <cell r="C1843">
            <v>420</v>
          </cell>
          <cell r="D1843">
            <v>21</v>
          </cell>
          <cell r="E1843">
            <v>792020</v>
          </cell>
          <cell r="F1843">
            <v>0</v>
          </cell>
          <cell r="G1843" t="str">
            <v>Затраты по ШПЗ (основные)</v>
          </cell>
          <cell r="H1843">
            <v>2011</v>
          </cell>
          <cell r="I1843">
            <v>7920</v>
          </cell>
          <cell r="J1843">
            <v>4920.46</v>
          </cell>
          <cell r="K1843">
            <v>1</v>
          </cell>
          <cell r="L1843">
            <v>0</v>
          </cell>
          <cell r="M1843">
            <v>0</v>
          </cell>
          <cell r="N1843">
            <v>0</v>
          </cell>
          <cell r="R1843">
            <v>0</v>
          </cell>
          <cell r="S1843">
            <v>0</v>
          </cell>
          <cell r="T1843">
            <v>0</v>
          </cell>
          <cell r="U1843">
            <v>35</v>
          </cell>
          <cell r="V1843">
            <v>0</v>
          </cell>
          <cell r="W1843">
            <v>0</v>
          </cell>
          <cell r="AA1843">
            <v>0</v>
          </cell>
          <cell r="AB1843">
            <v>0</v>
          </cell>
          <cell r="AC1843">
            <v>0</v>
          </cell>
          <cell r="AD1843">
            <v>35</v>
          </cell>
          <cell r="AE1843">
            <v>460000</v>
          </cell>
          <cell r="AF1843">
            <v>0</v>
          </cell>
          <cell r="AI1843">
            <v>2251</v>
          </cell>
          <cell r="AK1843">
            <v>0</v>
          </cell>
          <cell r="AM1843">
            <v>549</v>
          </cell>
          <cell r="AN1843">
            <v>1</v>
          </cell>
          <cell r="AO1843">
            <v>393216</v>
          </cell>
          <cell r="AQ1843">
            <v>0</v>
          </cell>
          <cell r="AR1843">
            <v>0</v>
          </cell>
          <cell r="AS1843" t="str">
            <v>Ы</v>
          </cell>
          <cell r="AT1843" t="str">
            <v>Ы</v>
          </cell>
          <cell r="AU1843">
            <v>0</v>
          </cell>
          <cell r="AV1843">
            <v>0</v>
          </cell>
          <cell r="AW1843">
            <v>23</v>
          </cell>
          <cell r="AX1843">
            <v>1</v>
          </cell>
          <cell r="AY1843">
            <v>0</v>
          </cell>
          <cell r="AZ1843">
            <v>0</v>
          </cell>
          <cell r="BA1843">
            <v>0</v>
          </cell>
          <cell r="BB1843">
            <v>0</v>
          </cell>
          <cell r="BC1843">
            <v>38828</v>
          </cell>
        </row>
        <row r="1844">
          <cell r="A1844">
            <v>2006</v>
          </cell>
          <cell r="B1844">
            <v>2</v>
          </cell>
          <cell r="C1844">
            <v>421</v>
          </cell>
          <cell r="D1844">
            <v>21</v>
          </cell>
          <cell r="E1844">
            <v>792020</v>
          </cell>
          <cell r="F1844">
            <v>0</v>
          </cell>
          <cell r="G1844" t="str">
            <v>Затраты по ШПЗ (основные)</v>
          </cell>
          <cell r="H1844">
            <v>2011</v>
          </cell>
          <cell r="I1844">
            <v>7920</v>
          </cell>
          <cell r="J1844">
            <v>9357.16</v>
          </cell>
          <cell r="K1844">
            <v>1</v>
          </cell>
          <cell r="L1844">
            <v>0</v>
          </cell>
          <cell r="M1844">
            <v>0</v>
          </cell>
          <cell r="N1844">
            <v>0</v>
          </cell>
          <cell r="R1844">
            <v>0</v>
          </cell>
          <cell r="S1844">
            <v>0</v>
          </cell>
          <cell r="T1844">
            <v>0</v>
          </cell>
          <cell r="U1844">
            <v>35</v>
          </cell>
          <cell r="V1844">
            <v>0</v>
          </cell>
          <cell r="W1844">
            <v>0</v>
          </cell>
          <cell r="AA1844">
            <v>0</v>
          </cell>
          <cell r="AB1844">
            <v>0</v>
          </cell>
          <cell r="AC1844">
            <v>0</v>
          </cell>
          <cell r="AD1844">
            <v>35</v>
          </cell>
          <cell r="AE1844">
            <v>465000</v>
          </cell>
          <cell r="AF1844">
            <v>0</v>
          </cell>
          <cell r="AI1844">
            <v>2251</v>
          </cell>
          <cell r="AK1844">
            <v>0</v>
          </cell>
          <cell r="AM1844">
            <v>550</v>
          </cell>
          <cell r="AN1844">
            <v>1</v>
          </cell>
          <cell r="AO1844">
            <v>393216</v>
          </cell>
          <cell r="AQ1844">
            <v>0</v>
          </cell>
          <cell r="AR1844">
            <v>0</v>
          </cell>
          <cell r="AS1844" t="str">
            <v>Ы</v>
          </cell>
          <cell r="AT1844" t="str">
            <v>Ы</v>
          </cell>
          <cell r="AU1844">
            <v>0</v>
          </cell>
          <cell r="AV1844">
            <v>0</v>
          </cell>
          <cell r="AW1844">
            <v>23</v>
          </cell>
          <cell r="AX1844">
            <v>1</v>
          </cell>
          <cell r="AY1844">
            <v>0</v>
          </cell>
          <cell r="AZ1844">
            <v>0</v>
          </cell>
          <cell r="BA1844">
            <v>0</v>
          </cell>
          <cell r="BB1844">
            <v>0</v>
          </cell>
          <cell r="BC1844">
            <v>38828</v>
          </cell>
        </row>
        <row r="1845">
          <cell r="A1845">
            <v>2006</v>
          </cell>
          <cell r="B1845">
            <v>2</v>
          </cell>
          <cell r="C1845">
            <v>422</v>
          </cell>
          <cell r="D1845">
            <v>21</v>
          </cell>
          <cell r="E1845">
            <v>792020</v>
          </cell>
          <cell r="F1845">
            <v>0</v>
          </cell>
          <cell r="G1845" t="str">
            <v>Затраты по ШПЗ (основные)</v>
          </cell>
          <cell r="H1845">
            <v>2011</v>
          </cell>
          <cell r="I1845">
            <v>7920</v>
          </cell>
          <cell r="J1845">
            <v>29078.75</v>
          </cell>
          <cell r="K1845">
            <v>1</v>
          </cell>
          <cell r="L1845">
            <v>0</v>
          </cell>
          <cell r="M1845">
            <v>0</v>
          </cell>
          <cell r="N1845">
            <v>0</v>
          </cell>
          <cell r="R1845">
            <v>0</v>
          </cell>
          <cell r="S1845">
            <v>0</v>
          </cell>
          <cell r="T1845">
            <v>0</v>
          </cell>
          <cell r="U1845">
            <v>35</v>
          </cell>
          <cell r="V1845">
            <v>0</v>
          </cell>
          <cell r="W1845">
            <v>0</v>
          </cell>
          <cell r="AA1845">
            <v>0</v>
          </cell>
          <cell r="AB1845">
            <v>0</v>
          </cell>
          <cell r="AC1845">
            <v>0</v>
          </cell>
          <cell r="AD1845">
            <v>35</v>
          </cell>
          <cell r="AE1845">
            <v>503000</v>
          </cell>
          <cell r="AF1845">
            <v>0</v>
          </cell>
          <cell r="AI1845">
            <v>2251</v>
          </cell>
          <cell r="AK1845">
            <v>0</v>
          </cell>
          <cell r="AM1845">
            <v>551</v>
          </cell>
          <cell r="AN1845">
            <v>1</v>
          </cell>
          <cell r="AO1845">
            <v>393216</v>
          </cell>
          <cell r="AQ1845">
            <v>0</v>
          </cell>
          <cell r="AR1845">
            <v>0</v>
          </cell>
          <cell r="AS1845" t="str">
            <v>Ы</v>
          </cell>
          <cell r="AT1845" t="str">
            <v>Ы</v>
          </cell>
          <cell r="AU1845">
            <v>0</v>
          </cell>
          <cell r="AV1845">
            <v>0</v>
          </cell>
          <cell r="AW1845">
            <v>23</v>
          </cell>
          <cell r="AX1845">
            <v>1</v>
          </cell>
          <cell r="AY1845">
            <v>0</v>
          </cell>
          <cell r="AZ1845">
            <v>0</v>
          </cell>
          <cell r="BA1845">
            <v>0</v>
          </cell>
          <cell r="BB1845">
            <v>0</v>
          </cell>
          <cell r="BC1845">
            <v>38828</v>
          </cell>
        </row>
        <row r="1846">
          <cell r="A1846">
            <v>2006</v>
          </cell>
          <cell r="B1846">
            <v>2</v>
          </cell>
          <cell r="C1846">
            <v>423</v>
          </cell>
          <cell r="D1846">
            <v>21</v>
          </cell>
          <cell r="E1846">
            <v>792020</v>
          </cell>
          <cell r="F1846">
            <v>0</v>
          </cell>
          <cell r="G1846" t="str">
            <v>Затраты по ШПЗ (основные)</v>
          </cell>
          <cell r="H1846">
            <v>2011</v>
          </cell>
          <cell r="I1846">
            <v>7920</v>
          </cell>
          <cell r="J1846">
            <v>18297.32</v>
          </cell>
          <cell r="K1846">
            <v>1</v>
          </cell>
          <cell r="L1846">
            <v>0</v>
          </cell>
          <cell r="M1846">
            <v>0</v>
          </cell>
          <cell r="N1846">
            <v>0</v>
          </cell>
          <cell r="R1846">
            <v>0</v>
          </cell>
          <cell r="S1846">
            <v>0</v>
          </cell>
          <cell r="T1846">
            <v>0</v>
          </cell>
          <cell r="U1846">
            <v>35</v>
          </cell>
          <cell r="V1846">
            <v>0</v>
          </cell>
          <cell r="W1846">
            <v>0</v>
          </cell>
          <cell r="AA1846">
            <v>0</v>
          </cell>
          <cell r="AB1846">
            <v>0</v>
          </cell>
          <cell r="AC1846">
            <v>0</v>
          </cell>
          <cell r="AD1846">
            <v>35</v>
          </cell>
          <cell r="AE1846">
            <v>504100</v>
          </cell>
          <cell r="AF1846">
            <v>0</v>
          </cell>
          <cell r="AI1846">
            <v>2251</v>
          </cell>
          <cell r="AK1846">
            <v>0</v>
          </cell>
          <cell r="AM1846">
            <v>552</v>
          </cell>
          <cell r="AN1846">
            <v>1</v>
          </cell>
          <cell r="AO1846">
            <v>393216</v>
          </cell>
          <cell r="AQ1846">
            <v>0</v>
          </cell>
          <cell r="AR1846">
            <v>0</v>
          </cell>
          <cell r="AS1846" t="str">
            <v>Ы</v>
          </cell>
          <cell r="AT1846" t="str">
            <v>Ы</v>
          </cell>
          <cell r="AU1846">
            <v>0</v>
          </cell>
          <cell r="AV1846">
            <v>0</v>
          </cell>
          <cell r="AW1846">
            <v>23</v>
          </cell>
          <cell r="AX1846">
            <v>1</v>
          </cell>
          <cell r="AY1846">
            <v>0</v>
          </cell>
          <cell r="AZ1846">
            <v>0</v>
          </cell>
          <cell r="BA1846">
            <v>0</v>
          </cell>
          <cell r="BB1846">
            <v>0</v>
          </cell>
          <cell r="BC1846">
            <v>38828</v>
          </cell>
        </row>
        <row r="1847">
          <cell r="A1847">
            <v>2006</v>
          </cell>
          <cell r="B1847">
            <v>2</v>
          </cell>
          <cell r="C1847">
            <v>424</v>
          </cell>
          <cell r="D1847">
            <v>21</v>
          </cell>
          <cell r="E1847">
            <v>792020</v>
          </cell>
          <cell r="F1847">
            <v>0</v>
          </cell>
          <cell r="G1847" t="str">
            <v>Затраты по ШПЗ (основные)</v>
          </cell>
          <cell r="H1847">
            <v>2011</v>
          </cell>
          <cell r="I1847">
            <v>7920</v>
          </cell>
          <cell r="J1847">
            <v>18814.900000000001</v>
          </cell>
          <cell r="K1847">
            <v>1</v>
          </cell>
          <cell r="L1847">
            <v>0</v>
          </cell>
          <cell r="M1847">
            <v>0</v>
          </cell>
          <cell r="N1847">
            <v>0</v>
          </cell>
          <cell r="R1847">
            <v>0</v>
          </cell>
          <cell r="S1847">
            <v>0</v>
          </cell>
          <cell r="T1847">
            <v>0</v>
          </cell>
          <cell r="U1847">
            <v>35</v>
          </cell>
          <cell r="V1847">
            <v>0</v>
          </cell>
          <cell r="W1847">
            <v>0</v>
          </cell>
          <cell r="AA1847">
            <v>0</v>
          </cell>
          <cell r="AB1847">
            <v>0</v>
          </cell>
          <cell r="AC1847">
            <v>0</v>
          </cell>
          <cell r="AD1847">
            <v>35</v>
          </cell>
          <cell r="AE1847">
            <v>504200</v>
          </cell>
          <cell r="AF1847">
            <v>0</v>
          </cell>
          <cell r="AI1847">
            <v>2251</v>
          </cell>
          <cell r="AK1847">
            <v>0</v>
          </cell>
          <cell r="AM1847">
            <v>553</v>
          </cell>
          <cell r="AN1847">
            <v>1</v>
          </cell>
          <cell r="AO1847">
            <v>393216</v>
          </cell>
          <cell r="AQ1847">
            <v>0</v>
          </cell>
          <cell r="AR1847">
            <v>0</v>
          </cell>
          <cell r="AS1847" t="str">
            <v>Ы</v>
          </cell>
          <cell r="AT1847" t="str">
            <v>Ы</v>
          </cell>
          <cell r="AU1847">
            <v>0</v>
          </cell>
          <cell r="AV1847">
            <v>0</v>
          </cell>
          <cell r="AW1847">
            <v>23</v>
          </cell>
          <cell r="AX1847">
            <v>1</v>
          </cell>
          <cell r="AY1847">
            <v>0</v>
          </cell>
          <cell r="AZ1847">
            <v>0</v>
          </cell>
          <cell r="BA1847">
            <v>0</v>
          </cell>
          <cell r="BB1847">
            <v>0</v>
          </cell>
          <cell r="BC1847">
            <v>38828</v>
          </cell>
        </row>
        <row r="1848">
          <cell r="A1848">
            <v>2006</v>
          </cell>
          <cell r="B1848">
            <v>2</v>
          </cell>
          <cell r="C1848">
            <v>425</v>
          </cell>
          <cell r="D1848">
            <v>21</v>
          </cell>
          <cell r="E1848">
            <v>792020</v>
          </cell>
          <cell r="F1848">
            <v>0</v>
          </cell>
          <cell r="G1848" t="str">
            <v>Затраты по ШПЗ (основные)</v>
          </cell>
          <cell r="H1848">
            <v>2011</v>
          </cell>
          <cell r="I1848">
            <v>7920</v>
          </cell>
          <cell r="J1848">
            <v>1262.8900000000001</v>
          </cell>
          <cell r="K1848">
            <v>1</v>
          </cell>
          <cell r="L1848">
            <v>0</v>
          </cell>
          <cell r="M1848">
            <v>0</v>
          </cell>
          <cell r="N1848">
            <v>0</v>
          </cell>
          <cell r="R1848">
            <v>0</v>
          </cell>
          <cell r="S1848">
            <v>0</v>
          </cell>
          <cell r="T1848">
            <v>0</v>
          </cell>
          <cell r="U1848">
            <v>35</v>
          </cell>
          <cell r="V1848">
            <v>0</v>
          </cell>
          <cell r="W1848">
            <v>0</v>
          </cell>
          <cell r="AA1848">
            <v>0</v>
          </cell>
          <cell r="AB1848">
            <v>0</v>
          </cell>
          <cell r="AC1848">
            <v>0</v>
          </cell>
          <cell r="AD1848">
            <v>35</v>
          </cell>
          <cell r="AE1848">
            <v>504400</v>
          </cell>
          <cell r="AF1848">
            <v>0</v>
          </cell>
          <cell r="AI1848">
            <v>2251</v>
          </cell>
          <cell r="AK1848">
            <v>0</v>
          </cell>
          <cell r="AM1848">
            <v>554</v>
          </cell>
          <cell r="AN1848">
            <v>1</v>
          </cell>
          <cell r="AO1848">
            <v>393216</v>
          </cell>
          <cell r="AQ1848">
            <v>0</v>
          </cell>
          <cell r="AR1848">
            <v>0</v>
          </cell>
          <cell r="AS1848" t="str">
            <v>Ы</v>
          </cell>
          <cell r="AT1848" t="str">
            <v>Ы</v>
          </cell>
          <cell r="AU1848">
            <v>0</v>
          </cell>
          <cell r="AV1848">
            <v>0</v>
          </cell>
          <cell r="AW1848">
            <v>23</v>
          </cell>
          <cell r="AX1848">
            <v>1</v>
          </cell>
          <cell r="AY1848">
            <v>0</v>
          </cell>
          <cell r="AZ1848">
            <v>0</v>
          </cell>
          <cell r="BA1848">
            <v>0</v>
          </cell>
          <cell r="BB1848">
            <v>0</v>
          </cell>
          <cell r="BC1848">
            <v>38828</v>
          </cell>
        </row>
        <row r="1849">
          <cell r="A1849">
            <v>2006</v>
          </cell>
          <cell r="B1849">
            <v>2</v>
          </cell>
          <cell r="C1849">
            <v>426</v>
          </cell>
          <cell r="D1849">
            <v>21</v>
          </cell>
          <cell r="E1849">
            <v>792020</v>
          </cell>
          <cell r="F1849">
            <v>0</v>
          </cell>
          <cell r="G1849" t="str">
            <v>Затраты по ШПЗ (основные)</v>
          </cell>
          <cell r="H1849">
            <v>2011</v>
          </cell>
          <cell r="I1849">
            <v>7920</v>
          </cell>
          <cell r="J1849">
            <v>14344.33</v>
          </cell>
          <cell r="K1849">
            <v>1</v>
          </cell>
          <cell r="L1849">
            <v>0</v>
          </cell>
          <cell r="M1849">
            <v>0</v>
          </cell>
          <cell r="N1849">
            <v>0</v>
          </cell>
          <cell r="R1849">
            <v>0</v>
          </cell>
          <cell r="S1849">
            <v>0</v>
          </cell>
          <cell r="T1849">
            <v>0</v>
          </cell>
          <cell r="U1849">
            <v>35</v>
          </cell>
          <cell r="V1849">
            <v>0</v>
          </cell>
          <cell r="W1849">
            <v>0</v>
          </cell>
          <cell r="AA1849">
            <v>0</v>
          </cell>
          <cell r="AB1849">
            <v>0</v>
          </cell>
          <cell r="AC1849">
            <v>0</v>
          </cell>
          <cell r="AD1849">
            <v>35</v>
          </cell>
          <cell r="AE1849">
            <v>505100</v>
          </cell>
          <cell r="AF1849">
            <v>0</v>
          </cell>
          <cell r="AI1849">
            <v>2251</v>
          </cell>
          <cell r="AK1849">
            <v>0</v>
          </cell>
          <cell r="AM1849">
            <v>555</v>
          </cell>
          <cell r="AN1849">
            <v>1</v>
          </cell>
          <cell r="AO1849">
            <v>393216</v>
          </cell>
          <cell r="AQ1849">
            <v>0</v>
          </cell>
          <cell r="AR1849">
            <v>0</v>
          </cell>
          <cell r="AS1849" t="str">
            <v>Ы</v>
          </cell>
          <cell r="AT1849" t="str">
            <v>Ы</v>
          </cell>
          <cell r="AU1849">
            <v>0</v>
          </cell>
          <cell r="AV1849">
            <v>0</v>
          </cell>
          <cell r="AW1849">
            <v>23</v>
          </cell>
          <cell r="AX1849">
            <v>1</v>
          </cell>
          <cell r="AY1849">
            <v>0</v>
          </cell>
          <cell r="AZ1849">
            <v>0</v>
          </cell>
          <cell r="BA1849">
            <v>0</v>
          </cell>
          <cell r="BB1849">
            <v>0</v>
          </cell>
          <cell r="BC1849">
            <v>38828</v>
          </cell>
        </row>
        <row r="1850">
          <cell r="A1850">
            <v>2006</v>
          </cell>
          <cell r="B1850">
            <v>2</v>
          </cell>
          <cell r="C1850">
            <v>427</v>
          </cell>
          <cell r="D1850">
            <v>21</v>
          </cell>
          <cell r="E1850">
            <v>792020</v>
          </cell>
          <cell r="F1850">
            <v>0</v>
          </cell>
          <cell r="G1850" t="str">
            <v>Затраты по ШПЗ (основные)</v>
          </cell>
          <cell r="H1850">
            <v>2011</v>
          </cell>
          <cell r="I1850">
            <v>7920</v>
          </cell>
          <cell r="J1850">
            <v>55153.54</v>
          </cell>
          <cell r="K1850">
            <v>1</v>
          </cell>
          <cell r="L1850">
            <v>0</v>
          </cell>
          <cell r="M1850">
            <v>0</v>
          </cell>
          <cell r="N1850">
            <v>0</v>
          </cell>
          <cell r="R1850">
            <v>0</v>
          </cell>
          <cell r="S1850">
            <v>0</v>
          </cell>
          <cell r="T1850">
            <v>0</v>
          </cell>
          <cell r="U1850">
            <v>35</v>
          </cell>
          <cell r="V1850">
            <v>0</v>
          </cell>
          <cell r="W1850">
            <v>0</v>
          </cell>
          <cell r="AA1850">
            <v>0</v>
          </cell>
          <cell r="AB1850">
            <v>0</v>
          </cell>
          <cell r="AC1850">
            <v>0</v>
          </cell>
          <cell r="AD1850">
            <v>35</v>
          </cell>
          <cell r="AE1850">
            <v>505200</v>
          </cell>
          <cell r="AF1850">
            <v>0</v>
          </cell>
          <cell r="AI1850">
            <v>2251</v>
          </cell>
          <cell r="AK1850">
            <v>0</v>
          </cell>
          <cell r="AM1850">
            <v>556</v>
          </cell>
          <cell r="AN1850">
            <v>1</v>
          </cell>
          <cell r="AO1850">
            <v>393216</v>
          </cell>
          <cell r="AQ1850">
            <v>0</v>
          </cell>
          <cell r="AR1850">
            <v>0</v>
          </cell>
          <cell r="AS1850" t="str">
            <v>Ы</v>
          </cell>
          <cell r="AT1850" t="str">
            <v>Ы</v>
          </cell>
          <cell r="AU1850">
            <v>0</v>
          </cell>
          <cell r="AV1850">
            <v>0</v>
          </cell>
          <cell r="AW1850">
            <v>23</v>
          </cell>
          <cell r="AX1850">
            <v>1</v>
          </cell>
          <cell r="AY1850">
            <v>0</v>
          </cell>
          <cell r="AZ1850">
            <v>0</v>
          </cell>
          <cell r="BA1850">
            <v>0</v>
          </cell>
          <cell r="BB1850">
            <v>0</v>
          </cell>
          <cell r="BC1850">
            <v>38828</v>
          </cell>
        </row>
        <row r="1851">
          <cell r="A1851">
            <v>2006</v>
          </cell>
          <cell r="B1851">
            <v>2</v>
          </cell>
          <cell r="C1851">
            <v>428</v>
          </cell>
          <cell r="D1851">
            <v>21</v>
          </cell>
          <cell r="E1851">
            <v>792020</v>
          </cell>
          <cell r="F1851">
            <v>0</v>
          </cell>
          <cell r="G1851" t="str">
            <v>Затраты по ШПЗ (основные)</v>
          </cell>
          <cell r="H1851">
            <v>2011</v>
          </cell>
          <cell r="I1851">
            <v>7920</v>
          </cell>
          <cell r="J1851">
            <v>153.9</v>
          </cell>
          <cell r="K1851">
            <v>1</v>
          </cell>
          <cell r="L1851">
            <v>0</v>
          </cell>
          <cell r="M1851">
            <v>0</v>
          </cell>
          <cell r="N1851">
            <v>0</v>
          </cell>
          <cell r="R1851">
            <v>0</v>
          </cell>
          <cell r="S1851">
            <v>0</v>
          </cell>
          <cell r="T1851">
            <v>0</v>
          </cell>
          <cell r="U1851">
            <v>35</v>
          </cell>
          <cell r="V1851">
            <v>0</v>
          </cell>
          <cell r="W1851">
            <v>0</v>
          </cell>
          <cell r="AA1851">
            <v>0</v>
          </cell>
          <cell r="AB1851">
            <v>0</v>
          </cell>
          <cell r="AC1851">
            <v>0</v>
          </cell>
          <cell r="AD1851">
            <v>35</v>
          </cell>
          <cell r="AE1851">
            <v>505300</v>
          </cell>
          <cell r="AF1851">
            <v>0</v>
          </cell>
          <cell r="AI1851">
            <v>2251</v>
          </cell>
          <cell r="AK1851">
            <v>0</v>
          </cell>
          <cell r="AM1851">
            <v>557</v>
          </cell>
          <cell r="AN1851">
            <v>1</v>
          </cell>
          <cell r="AO1851">
            <v>393216</v>
          </cell>
          <cell r="AQ1851">
            <v>0</v>
          </cell>
          <cell r="AR1851">
            <v>0</v>
          </cell>
          <cell r="AS1851" t="str">
            <v>Ы</v>
          </cell>
          <cell r="AT1851" t="str">
            <v>Ы</v>
          </cell>
          <cell r="AU1851">
            <v>0</v>
          </cell>
          <cell r="AV1851">
            <v>0</v>
          </cell>
          <cell r="AW1851">
            <v>23</v>
          </cell>
          <cell r="AX1851">
            <v>1</v>
          </cell>
          <cell r="AY1851">
            <v>0</v>
          </cell>
          <cell r="AZ1851">
            <v>0</v>
          </cell>
          <cell r="BA1851">
            <v>0</v>
          </cell>
          <cell r="BB1851">
            <v>0</v>
          </cell>
          <cell r="BC1851">
            <v>38828</v>
          </cell>
        </row>
        <row r="1852">
          <cell r="A1852">
            <v>2006</v>
          </cell>
          <cell r="B1852">
            <v>2</v>
          </cell>
          <cell r="C1852">
            <v>429</v>
          </cell>
          <cell r="D1852">
            <v>21</v>
          </cell>
          <cell r="E1852">
            <v>792020</v>
          </cell>
          <cell r="F1852">
            <v>0</v>
          </cell>
          <cell r="G1852" t="str">
            <v>Затраты по ШПЗ (основные)</v>
          </cell>
          <cell r="H1852">
            <v>2011</v>
          </cell>
          <cell r="I1852">
            <v>7920</v>
          </cell>
          <cell r="J1852">
            <v>10808.52</v>
          </cell>
          <cell r="K1852">
            <v>1</v>
          </cell>
          <cell r="L1852">
            <v>0</v>
          </cell>
          <cell r="M1852">
            <v>0</v>
          </cell>
          <cell r="N1852">
            <v>0</v>
          </cell>
          <cell r="R1852">
            <v>0</v>
          </cell>
          <cell r="S1852">
            <v>0</v>
          </cell>
          <cell r="T1852">
            <v>0</v>
          </cell>
          <cell r="U1852">
            <v>35</v>
          </cell>
          <cell r="V1852">
            <v>0</v>
          </cell>
          <cell r="W1852">
            <v>0</v>
          </cell>
          <cell r="AA1852">
            <v>0</v>
          </cell>
          <cell r="AB1852">
            <v>0</v>
          </cell>
          <cell r="AC1852">
            <v>0</v>
          </cell>
          <cell r="AD1852">
            <v>35</v>
          </cell>
          <cell r="AE1852">
            <v>506200</v>
          </cell>
          <cell r="AF1852">
            <v>0</v>
          </cell>
          <cell r="AI1852">
            <v>2251</v>
          </cell>
          <cell r="AK1852">
            <v>0</v>
          </cell>
          <cell r="AM1852">
            <v>558</v>
          </cell>
          <cell r="AN1852">
            <v>1</v>
          </cell>
          <cell r="AO1852">
            <v>393216</v>
          </cell>
          <cell r="AQ1852">
            <v>0</v>
          </cell>
          <cell r="AR1852">
            <v>0</v>
          </cell>
          <cell r="AS1852" t="str">
            <v>Ы</v>
          </cell>
          <cell r="AT1852" t="str">
            <v>Ы</v>
          </cell>
          <cell r="AU1852">
            <v>0</v>
          </cell>
          <cell r="AV1852">
            <v>0</v>
          </cell>
          <cell r="AW1852">
            <v>23</v>
          </cell>
          <cell r="AX1852">
            <v>1</v>
          </cell>
          <cell r="AY1852">
            <v>0</v>
          </cell>
          <cell r="AZ1852">
            <v>0</v>
          </cell>
          <cell r="BA1852">
            <v>0</v>
          </cell>
          <cell r="BB1852">
            <v>0</v>
          </cell>
          <cell r="BC1852">
            <v>38828</v>
          </cell>
        </row>
        <row r="1853">
          <cell r="A1853">
            <v>2006</v>
          </cell>
          <cell r="B1853">
            <v>2</v>
          </cell>
          <cell r="C1853">
            <v>430</v>
          </cell>
          <cell r="D1853">
            <v>21</v>
          </cell>
          <cell r="E1853">
            <v>792020</v>
          </cell>
          <cell r="F1853">
            <v>0</v>
          </cell>
          <cell r="G1853" t="str">
            <v>Затраты по ШПЗ (основные)</v>
          </cell>
          <cell r="H1853">
            <v>2011</v>
          </cell>
          <cell r="I1853">
            <v>7920</v>
          </cell>
          <cell r="J1853">
            <v>282183.92</v>
          </cell>
          <cell r="K1853">
            <v>1</v>
          </cell>
          <cell r="L1853">
            <v>0</v>
          </cell>
          <cell r="M1853">
            <v>0</v>
          </cell>
          <cell r="N1853">
            <v>0</v>
          </cell>
          <cell r="R1853">
            <v>0</v>
          </cell>
          <cell r="S1853">
            <v>0</v>
          </cell>
          <cell r="T1853">
            <v>0</v>
          </cell>
          <cell r="U1853">
            <v>35</v>
          </cell>
          <cell r="V1853">
            <v>0</v>
          </cell>
          <cell r="W1853">
            <v>0</v>
          </cell>
          <cell r="AA1853">
            <v>0</v>
          </cell>
          <cell r="AB1853">
            <v>0</v>
          </cell>
          <cell r="AC1853">
            <v>0</v>
          </cell>
          <cell r="AD1853">
            <v>35</v>
          </cell>
          <cell r="AE1853">
            <v>510100</v>
          </cell>
          <cell r="AF1853">
            <v>0</v>
          </cell>
          <cell r="AI1853">
            <v>2251</v>
          </cell>
          <cell r="AK1853">
            <v>0</v>
          </cell>
          <cell r="AM1853">
            <v>559</v>
          </cell>
          <cell r="AN1853">
            <v>1</v>
          </cell>
          <cell r="AO1853">
            <v>393216</v>
          </cell>
          <cell r="AQ1853">
            <v>0</v>
          </cell>
          <cell r="AR1853">
            <v>0</v>
          </cell>
          <cell r="AS1853" t="str">
            <v>Ы</v>
          </cell>
          <cell r="AT1853" t="str">
            <v>Ы</v>
          </cell>
          <cell r="AU1853">
            <v>0</v>
          </cell>
          <cell r="AV1853">
            <v>0</v>
          </cell>
          <cell r="AW1853">
            <v>23</v>
          </cell>
          <cell r="AX1853">
            <v>1</v>
          </cell>
          <cell r="AY1853">
            <v>0</v>
          </cell>
          <cell r="AZ1853">
            <v>0</v>
          </cell>
          <cell r="BA1853">
            <v>0</v>
          </cell>
          <cell r="BB1853">
            <v>0</v>
          </cell>
          <cell r="BC1853">
            <v>38828</v>
          </cell>
        </row>
        <row r="1854">
          <cell r="A1854">
            <v>2006</v>
          </cell>
          <cell r="B1854">
            <v>2</v>
          </cell>
          <cell r="C1854">
            <v>431</v>
          </cell>
          <cell r="D1854">
            <v>21</v>
          </cell>
          <cell r="E1854">
            <v>792020</v>
          </cell>
          <cell r="F1854">
            <v>0</v>
          </cell>
          <cell r="G1854" t="str">
            <v>Затраты по ШПЗ (основные)</v>
          </cell>
          <cell r="H1854">
            <v>2011</v>
          </cell>
          <cell r="I1854">
            <v>7920</v>
          </cell>
          <cell r="J1854">
            <v>1723.87</v>
          </cell>
          <cell r="K1854">
            <v>1</v>
          </cell>
          <cell r="L1854">
            <v>0</v>
          </cell>
          <cell r="M1854">
            <v>0</v>
          </cell>
          <cell r="N1854">
            <v>0</v>
          </cell>
          <cell r="R1854">
            <v>0</v>
          </cell>
          <cell r="S1854">
            <v>0</v>
          </cell>
          <cell r="T1854">
            <v>0</v>
          </cell>
          <cell r="U1854">
            <v>35</v>
          </cell>
          <cell r="V1854">
            <v>0</v>
          </cell>
          <cell r="W1854">
            <v>0</v>
          </cell>
          <cell r="AA1854">
            <v>0</v>
          </cell>
          <cell r="AB1854">
            <v>0</v>
          </cell>
          <cell r="AC1854">
            <v>0</v>
          </cell>
          <cell r="AD1854">
            <v>35</v>
          </cell>
          <cell r="AE1854">
            <v>510200</v>
          </cell>
          <cell r="AF1854">
            <v>0</v>
          </cell>
          <cell r="AI1854">
            <v>2251</v>
          </cell>
          <cell r="AK1854">
            <v>0</v>
          </cell>
          <cell r="AM1854">
            <v>560</v>
          </cell>
          <cell r="AN1854">
            <v>1</v>
          </cell>
          <cell r="AO1854">
            <v>393216</v>
          </cell>
          <cell r="AQ1854">
            <v>0</v>
          </cell>
          <cell r="AR1854">
            <v>0</v>
          </cell>
          <cell r="AS1854" t="str">
            <v>Ы</v>
          </cell>
          <cell r="AT1854" t="str">
            <v>Ы</v>
          </cell>
          <cell r="AU1854">
            <v>0</v>
          </cell>
          <cell r="AV1854">
            <v>0</v>
          </cell>
          <cell r="AW1854">
            <v>23</v>
          </cell>
          <cell r="AX1854">
            <v>1</v>
          </cell>
          <cell r="AY1854">
            <v>0</v>
          </cell>
          <cell r="AZ1854">
            <v>0</v>
          </cell>
          <cell r="BA1854">
            <v>0</v>
          </cell>
          <cell r="BB1854">
            <v>0</v>
          </cell>
          <cell r="BC1854">
            <v>38828</v>
          </cell>
        </row>
        <row r="1855">
          <cell r="A1855">
            <v>2006</v>
          </cell>
          <cell r="B1855">
            <v>2</v>
          </cell>
          <cell r="C1855">
            <v>432</v>
          </cell>
          <cell r="D1855">
            <v>21</v>
          </cell>
          <cell r="E1855">
            <v>792020</v>
          </cell>
          <cell r="F1855">
            <v>0</v>
          </cell>
          <cell r="G1855" t="str">
            <v>Затраты по ШПЗ (основные)</v>
          </cell>
          <cell r="H1855">
            <v>2011</v>
          </cell>
          <cell r="I1855">
            <v>7920</v>
          </cell>
          <cell r="J1855">
            <v>750.17</v>
          </cell>
          <cell r="K1855">
            <v>1</v>
          </cell>
          <cell r="L1855">
            <v>0</v>
          </cell>
          <cell r="M1855">
            <v>0</v>
          </cell>
          <cell r="N1855">
            <v>0</v>
          </cell>
          <cell r="R1855">
            <v>0</v>
          </cell>
          <cell r="S1855">
            <v>0</v>
          </cell>
          <cell r="T1855">
            <v>0</v>
          </cell>
          <cell r="U1855">
            <v>35</v>
          </cell>
          <cell r="V1855">
            <v>0</v>
          </cell>
          <cell r="W1855">
            <v>0</v>
          </cell>
          <cell r="AA1855">
            <v>0</v>
          </cell>
          <cell r="AB1855">
            <v>0</v>
          </cell>
          <cell r="AC1855">
            <v>0</v>
          </cell>
          <cell r="AD1855">
            <v>35</v>
          </cell>
          <cell r="AE1855">
            <v>510300</v>
          </cell>
          <cell r="AF1855">
            <v>0</v>
          </cell>
          <cell r="AI1855">
            <v>2251</v>
          </cell>
          <cell r="AK1855">
            <v>0</v>
          </cell>
          <cell r="AM1855">
            <v>561</v>
          </cell>
          <cell r="AN1855">
            <v>1</v>
          </cell>
          <cell r="AO1855">
            <v>393216</v>
          </cell>
          <cell r="AQ1855">
            <v>0</v>
          </cell>
          <cell r="AR1855">
            <v>0</v>
          </cell>
          <cell r="AS1855" t="str">
            <v>Ы</v>
          </cell>
          <cell r="AT1855" t="str">
            <v>Ы</v>
          </cell>
          <cell r="AU1855">
            <v>0</v>
          </cell>
          <cell r="AV1855">
            <v>0</v>
          </cell>
          <cell r="AW1855">
            <v>23</v>
          </cell>
          <cell r="AX1855">
            <v>1</v>
          </cell>
          <cell r="AY1855">
            <v>0</v>
          </cell>
          <cell r="AZ1855">
            <v>0</v>
          </cell>
          <cell r="BA1855">
            <v>0</v>
          </cell>
          <cell r="BB1855">
            <v>0</v>
          </cell>
          <cell r="BC1855">
            <v>38828</v>
          </cell>
        </row>
        <row r="1856">
          <cell r="A1856">
            <v>2006</v>
          </cell>
          <cell r="B1856">
            <v>2</v>
          </cell>
          <cell r="C1856">
            <v>433</v>
          </cell>
          <cell r="D1856">
            <v>21</v>
          </cell>
          <cell r="E1856">
            <v>792020</v>
          </cell>
          <cell r="F1856">
            <v>0</v>
          </cell>
          <cell r="G1856" t="str">
            <v>Затраты по ШПЗ (основные)</v>
          </cell>
          <cell r="H1856">
            <v>2011</v>
          </cell>
          <cell r="I1856">
            <v>7920</v>
          </cell>
          <cell r="J1856">
            <v>4326.68</v>
          </cell>
          <cell r="K1856">
            <v>1</v>
          </cell>
          <cell r="L1856">
            <v>0</v>
          </cell>
          <cell r="M1856">
            <v>0</v>
          </cell>
          <cell r="N1856">
            <v>0</v>
          </cell>
          <cell r="R1856">
            <v>0</v>
          </cell>
          <cell r="S1856">
            <v>0</v>
          </cell>
          <cell r="T1856">
            <v>0</v>
          </cell>
          <cell r="U1856">
            <v>35</v>
          </cell>
          <cell r="V1856">
            <v>0</v>
          </cell>
          <cell r="W1856">
            <v>0</v>
          </cell>
          <cell r="AA1856">
            <v>0</v>
          </cell>
          <cell r="AB1856">
            <v>0</v>
          </cell>
          <cell r="AC1856">
            <v>0</v>
          </cell>
          <cell r="AD1856">
            <v>35</v>
          </cell>
          <cell r="AE1856">
            <v>510400</v>
          </cell>
          <cell r="AF1856">
            <v>0</v>
          </cell>
          <cell r="AI1856">
            <v>2251</v>
          </cell>
          <cell r="AK1856">
            <v>0</v>
          </cell>
          <cell r="AM1856">
            <v>562</v>
          </cell>
          <cell r="AN1856">
            <v>1</v>
          </cell>
          <cell r="AO1856">
            <v>393216</v>
          </cell>
          <cell r="AQ1856">
            <v>0</v>
          </cell>
          <cell r="AR1856">
            <v>0</v>
          </cell>
          <cell r="AS1856" t="str">
            <v>Ы</v>
          </cell>
          <cell r="AT1856" t="str">
            <v>Ы</v>
          </cell>
          <cell r="AU1856">
            <v>0</v>
          </cell>
          <cell r="AV1856">
            <v>0</v>
          </cell>
          <cell r="AW1856">
            <v>23</v>
          </cell>
          <cell r="AX1856">
            <v>1</v>
          </cell>
          <cell r="AY1856">
            <v>0</v>
          </cell>
          <cell r="AZ1856">
            <v>0</v>
          </cell>
          <cell r="BA1856">
            <v>0</v>
          </cell>
          <cell r="BB1856">
            <v>0</v>
          </cell>
          <cell r="BC1856">
            <v>38828</v>
          </cell>
        </row>
        <row r="1857">
          <cell r="A1857">
            <v>2006</v>
          </cell>
          <cell r="B1857">
            <v>2</v>
          </cell>
          <cell r="C1857">
            <v>434</v>
          </cell>
          <cell r="D1857">
            <v>21</v>
          </cell>
          <cell r="E1857">
            <v>792020</v>
          </cell>
          <cell r="F1857">
            <v>0</v>
          </cell>
          <cell r="G1857" t="str">
            <v>Затраты по ШПЗ (основные)</v>
          </cell>
          <cell r="H1857">
            <v>2011</v>
          </cell>
          <cell r="I1857">
            <v>7920</v>
          </cell>
          <cell r="J1857">
            <v>315625.46000000002</v>
          </cell>
          <cell r="K1857">
            <v>1</v>
          </cell>
          <cell r="L1857">
            <v>0</v>
          </cell>
          <cell r="M1857">
            <v>0</v>
          </cell>
          <cell r="N1857">
            <v>0</v>
          </cell>
          <cell r="R1857">
            <v>0</v>
          </cell>
          <cell r="S1857">
            <v>0</v>
          </cell>
          <cell r="T1857">
            <v>0</v>
          </cell>
          <cell r="U1857">
            <v>35</v>
          </cell>
          <cell r="V1857">
            <v>0</v>
          </cell>
          <cell r="W1857">
            <v>0</v>
          </cell>
          <cell r="AA1857">
            <v>0</v>
          </cell>
          <cell r="AB1857">
            <v>0</v>
          </cell>
          <cell r="AC1857">
            <v>0</v>
          </cell>
          <cell r="AD1857">
            <v>35</v>
          </cell>
          <cell r="AE1857">
            <v>510600</v>
          </cell>
          <cell r="AF1857">
            <v>0</v>
          </cell>
          <cell r="AI1857">
            <v>2251</v>
          </cell>
          <cell r="AK1857">
            <v>0</v>
          </cell>
          <cell r="AM1857">
            <v>563</v>
          </cell>
          <cell r="AN1857">
            <v>1</v>
          </cell>
          <cell r="AO1857">
            <v>393216</v>
          </cell>
          <cell r="AQ1857">
            <v>0</v>
          </cell>
          <cell r="AR1857">
            <v>0</v>
          </cell>
          <cell r="AS1857" t="str">
            <v>Ы</v>
          </cell>
          <cell r="AT1857" t="str">
            <v>Ы</v>
          </cell>
          <cell r="AU1857">
            <v>0</v>
          </cell>
          <cell r="AV1857">
            <v>0</v>
          </cell>
          <cell r="AW1857">
            <v>23</v>
          </cell>
          <cell r="AX1857">
            <v>1</v>
          </cell>
          <cell r="AY1857">
            <v>0</v>
          </cell>
          <cell r="AZ1857">
            <v>0</v>
          </cell>
          <cell r="BA1857">
            <v>0</v>
          </cell>
          <cell r="BB1857">
            <v>0</v>
          </cell>
          <cell r="BC1857">
            <v>38828</v>
          </cell>
        </row>
        <row r="1858">
          <cell r="A1858">
            <v>2006</v>
          </cell>
          <cell r="B1858">
            <v>2</v>
          </cell>
          <cell r="C1858">
            <v>435</v>
          </cell>
          <cell r="D1858">
            <v>21</v>
          </cell>
          <cell r="E1858">
            <v>792020</v>
          </cell>
          <cell r="F1858">
            <v>0</v>
          </cell>
          <cell r="G1858" t="str">
            <v>Затраты по ШПЗ (основные)</v>
          </cell>
          <cell r="H1858">
            <v>2011</v>
          </cell>
          <cell r="I1858">
            <v>7920</v>
          </cell>
          <cell r="J1858">
            <v>22.28</v>
          </cell>
          <cell r="K1858">
            <v>1</v>
          </cell>
          <cell r="L1858">
            <v>0</v>
          </cell>
          <cell r="M1858">
            <v>0</v>
          </cell>
          <cell r="N1858">
            <v>0</v>
          </cell>
          <cell r="R1858">
            <v>0</v>
          </cell>
          <cell r="S1858">
            <v>0</v>
          </cell>
          <cell r="T1858">
            <v>0</v>
          </cell>
          <cell r="U1858">
            <v>35</v>
          </cell>
          <cell r="V1858">
            <v>0</v>
          </cell>
          <cell r="W1858">
            <v>0</v>
          </cell>
          <cell r="AA1858">
            <v>0</v>
          </cell>
          <cell r="AB1858">
            <v>0</v>
          </cell>
          <cell r="AC1858">
            <v>0</v>
          </cell>
          <cell r="AD1858">
            <v>35</v>
          </cell>
          <cell r="AE1858">
            <v>512000</v>
          </cell>
          <cell r="AF1858">
            <v>0</v>
          </cell>
          <cell r="AI1858">
            <v>2251</v>
          </cell>
          <cell r="AK1858">
            <v>0</v>
          </cell>
          <cell r="AM1858">
            <v>564</v>
          </cell>
          <cell r="AN1858">
            <v>1</v>
          </cell>
          <cell r="AO1858">
            <v>393216</v>
          </cell>
          <cell r="AQ1858">
            <v>0</v>
          </cell>
          <cell r="AR1858">
            <v>0</v>
          </cell>
          <cell r="AS1858" t="str">
            <v>Ы</v>
          </cell>
          <cell r="AT1858" t="str">
            <v>Ы</v>
          </cell>
          <cell r="AU1858">
            <v>0</v>
          </cell>
          <cell r="AV1858">
            <v>0</v>
          </cell>
          <cell r="AW1858">
            <v>23</v>
          </cell>
          <cell r="AX1858">
            <v>1</v>
          </cell>
          <cell r="AY1858">
            <v>0</v>
          </cell>
          <cell r="AZ1858">
            <v>0</v>
          </cell>
          <cell r="BA1858">
            <v>0</v>
          </cell>
          <cell r="BB1858">
            <v>0</v>
          </cell>
          <cell r="BC1858">
            <v>38828</v>
          </cell>
        </row>
        <row r="1859">
          <cell r="A1859">
            <v>2006</v>
          </cell>
          <cell r="B1859">
            <v>2</v>
          </cell>
          <cell r="C1859">
            <v>436</v>
          </cell>
          <cell r="D1859">
            <v>21</v>
          </cell>
          <cell r="E1859">
            <v>792020</v>
          </cell>
          <cell r="F1859">
            <v>0</v>
          </cell>
          <cell r="G1859" t="str">
            <v>Затраты по ШПЗ (основные)</v>
          </cell>
          <cell r="H1859">
            <v>2011</v>
          </cell>
          <cell r="I1859">
            <v>7920</v>
          </cell>
          <cell r="J1859">
            <v>208869.9</v>
          </cell>
          <cell r="K1859">
            <v>1</v>
          </cell>
          <cell r="L1859">
            <v>0</v>
          </cell>
          <cell r="M1859">
            <v>0</v>
          </cell>
          <cell r="N1859">
            <v>0</v>
          </cell>
          <cell r="R1859">
            <v>0</v>
          </cell>
          <cell r="S1859">
            <v>0</v>
          </cell>
          <cell r="T1859">
            <v>0</v>
          </cell>
          <cell r="U1859">
            <v>38</v>
          </cell>
          <cell r="V1859">
            <v>0</v>
          </cell>
          <cell r="W1859">
            <v>0</v>
          </cell>
          <cell r="AA1859">
            <v>0</v>
          </cell>
          <cell r="AB1859">
            <v>0</v>
          </cell>
          <cell r="AC1859">
            <v>0</v>
          </cell>
          <cell r="AD1859">
            <v>38</v>
          </cell>
          <cell r="AE1859">
            <v>110000</v>
          </cell>
          <cell r="AF1859">
            <v>0</v>
          </cell>
          <cell r="AI1859">
            <v>2251</v>
          </cell>
          <cell r="AK1859">
            <v>0</v>
          </cell>
          <cell r="AM1859">
            <v>565</v>
          </cell>
          <cell r="AN1859">
            <v>1</v>
          </cell>
          <cell r="AO1859">
            <v>393216</v>
          </cell>
          <cell r="AQ1859">
            <v>0</v>
          </cell>
          <cell r="AR1859">
            <v>0</v>
          </cell>
          <cell r="AS1859" t="str">
            <v>Ы</v>
          </cell>
          <cell r="AT1859" t="str">
            <v>Ы</v>
          </cell>
          <cell r="AU1859">
            <v>0</v>
          </cell>
          <cell r="AV1859">
            <v>0</v>
          </cell>
          <cell r="AW1859">
            <v>23</v>
          </cell>
          <cell r="AX1859">
            <v>1</v>
          </cell>
          <cell r="AY1859">
            <v>0</v>
          </cell>
          <cell r="AZ1859">
            <v>0</v>
          </cell>
          <cell r="BA1859">
            <v>0</v>
          </cell>
          <cell r="BB1859">
            <v>0</v>
          </cell>
          <cell r="BC1859">
            <v>38828</v>
          </cell>
        </row>
        <row r="1860">
          <cell r="A1860">
            <v>2006</v>
          </cell>
          <cell r="B1860">
            <v>2</v>
          </cell>
          <cell r="C1860">
            <v>437</v>
          </cell>
          <cell r="D1860">
            <v>21</v>
          </cell>
          <cell r="E1860">
            <v>792020</v>
          </cell>
          <cell r="F1860">
            <v>0</v>
          </cell>
          <cell r="G1860" t="str">
            <v>Затраты по ШПЗ (основные)</v>
          </cell>
          <cell r="H1860">
            <v>2011</v>
          </cell>
          <cell r="I1860">
            <v>7920</v>
          </cell>
          <cell r="J1860">
            <v>4325.24</v>
          </cell>
          <cell r="K1860">
            <v>1</v>
          </cell>
          <cell r="L1860">
            <v>0</v>
          </cell>
          <cell r="M1860">
            <v>0</v>
          </cell>
          <cell r="N1860">
            <v>0</v>
          </cell>
          <cell r="R1860">
            <v>0</v>
          </cell>
          <cell r="S1860">
            <v>0</v>
          </cell>
          <cell r="T1860">
            <v>0</v>
          </cell>
          <cell r="U1860">
            <v>38</v>
          </cell>
          <cell r="V1860">
            <v>0</v>
          </cell>
          <cell r="W1860">
            <v>0</v>
          </cell>
          <cell r="AA1860">
            <v>0</v>
          </cell>
          <cell r="AB1860">
            <v>0</v>
          </cell>
          <cell r="AC1860">
            <v>0</v>
          </cell>
          <cell r="AD1860">
            <v>38</v>
          </cell>
          <cell r="AE1860">
            <v>114020</v>
          </cell>
          <cell r="AF1860">
            <v>0</v>
          </cell>
          <cell r="AI1860">
            <v>2251</v>
          </cell>
          <cell r="AK1860">
            <v>0</v>
          </cell>
          <cell r="AM1860">
            <v>566</v>
          </cell>
          <cell r="AN1860">
            <v>1</v>
          </cell>
          <cell r="AO1860">
            <v>393216</v>
          </cell>
          <cell r="AQ1860">
            <v>0</v>
          </cell>
          <cell r="AR1860">
            <v>0</v>
          </cell>
          <cell r="AS1860" t="str">
            <v>Ы</v>
          </cell>
          <cell r="AT1860" t="str">
            <v>Ы</v>
          </cell>
          <cell r="AU1860">
            <v>0</v>
          </cell>
          <cell r="AV1860">
            <v>0</v>
          </cell>
          <cell r="AW1860">
            <v>23</v>
          </cell>
          <cell r="AX1860">
            <v>1</v>
          </cell>
          <cell r="AY1860">
            <v>0</v>
          </cell>
          <cell r="AZ1860">
            <v>0</v>
          </cell>
          <cell r="BA1860">
            <v>0</v>
          </cell>
          <cell r="BB1860">
            <v>0</v>
          </cell>
          <cell r="BC1860">
            <v>38828</v>
          </cell>
        </row>
        <row r="1861">
          <cell r="A1861">
            <v>2006</v>
          </cell>
          <cell r="B1861">
            <v>2</v>
          </cell>
          <cell r="C1861">
            <v>438</v>
          </cell>
          <cell r="D1861">
            <v>21</v>
          </cell>
          <cell r="E1861">
            <v>792020</v>
          </cell>
          <cell r="F1861">
            <v>0</v>
          </cell>
          <cell r="G1861" t="str">
            <v>Затраты по ШПЗ (основные)</v>
          </cell>
          <cell r="H1861">
            <v>2011</v>
          </cell>
          <cell r="I1861">
            <v>7920</v>
          </cell>
          <cell r="J1861">
            <v>3678.06</v>
          </cell>
          <cell r="K1861">
            <v>1</v>
          </cell>
          <cell r="L1861">
            <v>0</v>
          </cell>
          <cell r="M1861">
            <v>0</v>
          </cell>
          <cell r="N1861">
            <v>0</v>
          </cell>
          <cell r="R1861">
            <v>0</v>
          </cell>
          <cell r="S1861">
            <v>0</v>
          </cell>
          <cell r="T1861">
            <v>0</v>
          </cell>
          <cell r="U1861">
            <v>38</v>
          </cell>
          <cell r="V1861">
            <v>0</v>
          </cell>
          <cell r="W1861">
            <v>0</v>
          </cell>
          <cell r="AA1861">
            <v>0</v>
          </cell>
          <cell r="AB1861">
            <v>0</v>
          </cell>
          <cell r="AC1861">
            <v>0</v>
          </cell>
          <cell r="AD1861">
            <v>38</v>
          </cell>
          <cell r="AE1861">
            <v>116000</v>
          </cell>
          <cell r="AF1861">
            <v>0</v>
          </cell>
          <cell r="AI1861">
            <v>2251</v>
          </cell>
          <cell r="AK1861">
            <v>0</v>
          </cell>
          <cell r="AM1861">
            <v>567</v>
          </cell>
          <cell r="AN1861">
            <v>1</v>
          </cell>
          <cell r="AO1861">
            <v>393216</v>
          </cell>
          <cell r="AQ1861">
            <v>0</v>
          </cell>
          <cell r="AR1861">
            <v>0</v>
          </cell>
          <cell r="AS1861" t="str">
            <v>Ы</v>
          </cell>
          <cell r="AT1861" t="str">
            <v>Ы</v>
          </cell>
          <cell r="AU1861">
            <v>0</v>
          </cell>
          <cell r="AV1861">
            <v>0</v>
          </cell>
          <cell r="AW1861">
            <v>23</v>
          </cell>
          <cell r="AX1861">
            <v>1</v>
          </cell>
          <cell r="AY1861">
            <v>0</v>
          </cell>
          <cell r="AZ1861">
            <v>0</v>
          </cell>
          <cell r="BA1861">
            <v>0</v>
          </cell>
          <cell r="BB1861">
            <v>0</v>
          </cell>
          <cell r="BC1861">
            <v>38828</v>
          </cell>
        </row>
        <row r="1862">
          <cell r="A1862">
            <v>2006</v>
          </cell>
          <cell r="B1862">
            <v>2</v>
          </cell>
          <cell r="C1862">
            <v>439</v>
          </cell>
          <cell r="D1862">
            <v>21</v>
          </cell>
          <cell r="E1862">
            <v>792020</v>
          </cell>
          <cell r="F1862">
            <v>0</v>
          </cell>
          <cell r="G1862" t="str">
            <v>Затраты по ШПЗ (основные)</v>
          </cell>
          <cell r="H1862">
            <v>2011</v>
          </cell>
          <cell r="I1862">
            <v>7920</v>
          </cell>
          <cell r="J1862">
            <v>8660.42</v>
          </cell>
          <cell r="K1862">
            <v>1</v>
          </cell>
          <cell r="L1862">
            <v>0</v>
          </cell>
          <cell r="M1862">
            <v>0</v>
          </cell>
          <cell r="N1862">
            <v>0</v>
          </cell>
          <cell r="R1862">
            <v>0</v>
          </cell>
          <cell r="S1862">
            <v>0</v>
          </cell>
          <cell r="T1862">
            <v>0</v>
          </cell>
          <cell r="U1862">
            <v>38</v>
          </cell>
          <cell r="V1862">
            <v>0</v>
          </cell>
          <cell r="W1862">
            <v>0</v>
          </cell>
          <cell r="AA1862">
            <v>0</v>
          </cell>
          <cell r="AB1862">
            <v>0</v>
          </cell>
          <cell r="AC1862">
            <v>0</v>
          </cell>
          <cell r="AD1862">
            <v>38</v>
          </cell>
          <cell r="AE1862">
            <v>117000</v>
          </cell>
          <cell r="AF1862">
            <v>0</v>
          </cell>
          <cell r="AI1862">
            <v>2251</v>
          </cell>
          <cell r="AK1862">
            <v>0</v>
          </cell>
          <cell r="AM1862">
            <v>568</v>
          </cell>
          <cell r="AN1862">
            <v>1</v>
          </cell>
          <cell r="AO1862">
            <v>393216</v>
          </cell>
          <cell r="AQ1862">
            <v>0</v>
          </cell>
          <cell r="AR1862">
            <v>0</v>
          </cell>
          <cell r="AS1862" t="str">
            <v>Ы</v>
          </cell>
          <cell r="AT1862" t="str">
            <v>Ы</v>
          </cell>
          <cell r="AU1862">
            <v>0</v>
          </cell>
          <cell r="AV1862">
            <v>0</v>
          </cell>
          <cell r="AW1862">
            <v>23</v>
          </cell>
          <cell r="AX1862">
            <v>1</v>
          </cell>
          <cell r="AY1862">
            <v>0</v>
          </cell>
          <cell r="AZ1862">
            <v>0</v>
          </cell>
          <cell r="BA1862">
            <v>0</v>
          </cell>
          <cell r="BB1862">
            <v>0</v>
          </cell>
          <cell r="BC1862">
            <v>38828</v>
          </cell>
        </row>
        <row r="1863">
          <cell r="A1863">
            <v>2006</v>
          </cell>
          <cell r="B1863">
            <v>2</v>
          </cell>
          <cell r="C1863">
            <v>440</v>
          </cell>
          <cell r="D1863">
            <v>21</v>
          </cell>
          <cell r="E1863">
            <v>792020</v>
          </cell>
          <cell r="F1863">
            <v>0</v>
          </cell>
          <cell r="G1863" t="str">
            <v>Затраты по ШПЗ (основные)</v>
          </cell>
          <cell r="H1863">
            <v>2011</v>
          </cell>
          <cell r="I1863">
            <v>7920</v>
          </cell>
          <cell r="J1863">
            <v>5252</v>
          </cell>
          <cell r="K1863">
            <v>1</v>
          </cell>
          <cell r="L1863">
            <v>0</v>
          </cell>
          <cell r="M1863">
            <v>0</v>
          </cell>
          <cell r="N1863">
            <v>0</v>
          </cell>
          <cell r="R1863">
            <v>0</v>
          </cell>
          <cell r="S1863">
            <v>0</v>
          </cell>
          <cell r="T1863">
            <v>0</v>
          </cell>
          <cell r="U1863">
            <v>38</v>
          </cell>
          <cell r="V1863">
            <v>0</v>
          </cell>
          <cell r="W1863">
            <v>0</v>
          </cell>
          <cell r="AA1863">
            <v>0</v>
          </cell>
          <cell r="AB1863">
            <v>0</v>
          </cell>
          <cell r="AC1863">
            <v>0</v>
          </cell>
          <cell r="AD1863">
            <v>38</v>
          </cell>
          <cell r="AE1863">
            <v>118000</v>
          </cell>
          <cell r="AF1863">
            <v>0</v>
          </cell>
          <cell r="AI1863">
            <v>2251</v>
          </cell>
          <cell r="AK1863">
            <v>0</v>
          </cell>
          <cell r="AM1863">
            <v>569</v>
          </cell>
          <cell r="AN1863">
            <v>1</v>
          </cell>
          <cell r="AO1863">
            <v>393216</v>
          </cell>
          <cell r="AQ1863">
            <v>0</v>
          </cell>
          <cell r="AR1863">
            <v>0</v>
          </cell>
          <cell r="AS1863" t="str">
            <v>Ы</v>
          </cell>
          <cell r="AT1863" t="str">
            <v>Ы</v>
          </cell>
          <cell r="AU1863">
            <v>0</v>
          </cell>
          <cell r="AV1863">
            <v>0</v>
          </cell>
          <cell r="AW1863">
            <v>23</v>
          </cell>
          <cell r="AX1863">
            <v>1</v>
          </cell>
          <cell r="AY1863">
            <v>0</v>
          </cell>
          <cell r="AZ1863">
            <v>0</v>
          </cell>
          <cell r="BA1863">
            <v>0</v>
          </cell>
          <cell r="BB1863">
            <v>0</v>
          </cell>
          <cell r="BC1863">
            <v>38828</v>
          </cell>
        </row>
        <row r="1864">
          <cell r="A1864">
            <v>2006</v>
          </cell>
          <cell r="B1864">
            <v>2</v>
          </cell>
          <cell r="C1864">
            <v>441</v>
          </cell>
          <cell r="D1864">
            <v>21</v>
          </cell>
          <cell r="E1864">
            <v>792020</v>
          </cell>
          <cell r="F1864">
            <v>0</v>
          </cell>
          <cell r="G1864" t="str">
            <v>Затраты по ШПЗ (основные)</v>
          </cell>
          <cell r="H1864">
            <v>2011</v>
          </cell>
          <cell r="I1864">
            <v>7920</v>
          </cell>
          <cell r="J1864">
            <v>415</v>
          </cell>
          <cell r="K1864">
            <v>1</v>
          </cell>
          <cell r="L1864">
            <v>0</v>
          </cell>
          <cell r="M1864">
            <v>0</v>
          </cell>
          <cell r="N1864">
            <v>0</v>
          </cell>
          <cell r="R1864">
            <v>0</v>
          </cell>
          <cell r="S1864">
            <v>0</v>
          </cell>
          <cell r="T1864">
            <v>0</v>
          </cell>
          <cell r="U1864">
            <v>38</v>
          </cell>
          <cell r="V1864">
            <v>0</v>
          </cell>
          <cell r="W1864">
            <v>0</v>
          </cell>
          <cell r="AA1864">
            <v>0</v>
          </cell>
          <cell r="AB1864">
            <v>0</v>
          </cell>
          <cell r="AC1864">
            <v>0</v>
          </cell>
          <cell r="AD1864">
            <v>38</v>
          </cell>
          <cell r="AE1864">
            <v>131000</v>
          </cell>
          <cell r="AF1864">
            <v>0</v>
          </cell>
          <cell r="AI1864">
            <v>2251</v>
          </cell>
          <cell r="AK1864">
            <v>0</v>
          </cell>
          <cell r="AM1864">
            <v>570</v>
          </cell>
          <cell r="AN1864">
            <v>1</v>
          </cell>
          <cell r="AO1864">
            <v>393216</v>
          </cell>
          <cell r="AQ1864">
            <v>0</v>
          </cell>
          <cell r="AR1864">
            <v>0</v>
          </cell>
          <cell r="AS1864" t="str">
            <v>Ы</v>
          </cell>
          <cell r="AT1864" t="str">
            <v>Ы</v>
          </cell>
          <cell r="AU1864">
            <v>0</v>
          </cell>
          <cell r="AV1864">
            <v>0</v>
          </cell>
          <cell r="AW1864">
            <v>23</v>
          </cell>
          <cell r="AX1864">
            <v>1</v>
          </cell>
          <cell r="AY1864">
            <v>0</v>
          </cell>
          <cell r="AZ1864">
            <v>0</v>
          </cell>
          <cell r="BA1864">
            <v>0</v>
          </cell>
          <cell r="BB1864">
            <v>0</v>
          </cell>
          <cell r="BC1864">
            <v>38828</v>
          </cell>
        </row>
        <row r="1865">
          <cell r="A1865">
            <v>2006</v>
          </cell>
          <cell r="B1865">
            <v>2</v>
          </cell>
          <cell r="C1865">
            <v>442</v>
          </cell>
          <cell r="D1865">
            <v>21</v>
          </cell>
          <cell r="E1865">
            <v>792020</v>
          </cell>
          <cell r="F1865">
            <v>0</v>
          </cell>
          <cell r="G1865" t="str">
            <v>Затраты по ШПЗ (основные)</v>
          </cell>
          <cell r="H1865">
            <v>2011</v>
          </cell>
          <cell r="I1865">
            <v>7920</v>
          </cell>
          <cell r="J1865">
            <v>6034.5</v>
          </cell>
          <cell r="K1865">
            <v>1</v>
          </cell>
          <cell r="L1865">
            <v>0</v>
          </cell>
          <cell r="M1865">
            <v>0</v>
          </cell>
          <cell r="N1865">
            <v>0</v>
          </cell>
          <cell r="R1865">
            <v>0</v>
          </cell>
          <cell r="S1865">
            <v>0</v>
          </cell>
          <cell r="T1865">
            <v>0</v>
          </cell>
          <cell r="U1865">
            <v>38</v>
          </cell>
          <cell r="V1865">
            <v>0</v>
          </cell>
          <cell r="W1865">
            <v>0</v>
          </cell>
          <cell r="AA1865">
            <v>0</v>
          </cell>
          <cell r="AB1865">
            <v>0</v>
          </cell>
          <cell r="AC1865">
            <v>0</v>
          </cell>
          <cell r="AD1865">
            <v>38</v>
          </cell>
          <cell r="AE1865">
            <v>132000</v>
          </cell>
          <cell r="AF1865">
            <v>0</v>
          </cell>
          <cell r="AI1865">
            <v>2251</v>
          </cell>
          <cell r="AK1865">
            <v>0</v>
          </cell>
          <cell r="AM1865">
            <v>571</v>
          </cell>
          <cell r="AN1865">
            <v>1</v>
          </cell>
          <cell r="AO1865">
            <v>393216</v>
          </cell>
          <cell r="AQ1865">
            <v>0</v>
          </cell>
          <cell r="AR1865">
            <v>0</v>
          </cell>
          <cell r="AS1865" t="str">
            <v>Ы</v>
          </cell>
          <cell r="AT1865" t="str">
            <v>Ы</v>
          </cell>
          <cell r="AU1865">
            <v>0</v>
          </cell>
          <cell r="AV1865">
            <v>0</v>
          </cell>
          <cell r="AW1865">
            <v>23</v>
          </cell>
          <cell r="AX1865">
            <v>1</v>
          </cell>
          <cell r="AY1865">
            <v>0</v>
          </cell>
          <cell r="AZ1865">
            <v>0</v>
          </cell>
          <cell r="BA1865">
            <v>0</v>
          </cell>
          <cell r="BB1865">
            <v>0</v>
          </cell>
          <cell r="BC1865">
            <v>38828</v>
          </cell>
        </row>
        <row r="1866">
          <cell r="A1866">
            <v>2006</v>
          </cell>
          <cell r="B1866">
            <v>2</v>
          </cell>
          <cell r="C1866">
            <v>443</v>
          </cell>
          <cell r="D1866">
            <v>21</v>
          </cell>
          <cell r="E1866">
            <v>792020</v>
          </cell>
          <cell r="F1866">
            <v>0</v>
          </cell>
          <cell r="G1866" t="str">
            <v>Затраты по ШПЗ (основные)</v>
          </cell>
          <cell r="H1866">
            <v>2011</v>
          </cell>
          <cell r="I1866">
            <v>7920</v>
          </cell>
          <cell r="J1866">
            <v>610.64</v>
          </cell>
          <cell r="K1866">
            <v>1</v>
          </cell>
          <cell r="L1866">
            <v>0</v>
          </cell>
          <cell r="M1866">
            <v>0</v>
          </cell>
          <cell r="N1866">
            <v>0</v>
          </cell>
          <cell r="R1866">
            <v>0</v>
          </cell>
          <cell r="S1866">
            <v>0</v>
          </cell>
          <cell r="T1866">
            <v>0</v>
          </cell>
          <cell r="U1866">
            <v>38</v>
          </cell>
          <cell r="V1866">
            <v>0</v>
          </cell>
          <cell r="W1866">
            <v>0</v>
          </cell>
          <cell r="AA1866">
            <v>0</v>
          </cell>
          <cell r="AB1866">
            <v>0</v>
          </cell>
          <cell r="AC1866">
            <v>0</v>
          </cell>
          <cell r="AD1866">
            <v>38</v>
          </cell>
          <cell r="AE1866">
            <v>135000</v>
          </cell>
          <cell r="AF1866">
            <v>0</v>
          </cell>
          <cell r="AI1866">
            <v>2251</v>
          </cell>
          <cell r="AK1866">
            <v>0</v>
          </cell>
          <cell r="AM1866">
            <v>572</v>
          </cell>
          <cell r="AN1866">
            <v>1</v>
          </cell>
          <cell r="AO1866">
            <v>393216</v>
          </cell>
          <cell r="AQ1866">
            <v>0</v>
          </cell>
          <cell r="AR1866">
            <v>0</v>
          </cell>
          <cell r="AS1866" t="str">
            <v>Ы</v>
          </cell>
          <cell r="AT1866" t="str">
            <v>Ы</v>
          </cell>
          <cell r="AU1866">
            <v>0</v>
          </cell>
          <cell r="AV1866">
            <v>0</v>
          </cell>
          <cell r="AW1866">
            <v>23</v>
          </cell>
          <cell r="AX1866">
            <v>1</v>
          </cell>
          <cell r="AY1866">
            <v>0</v>
          </cell>
          <cell r="AZ1866">
            <v>0</v>
          </cell>
          <cell r="BA1866">
            <v>0</v>
          </cell>
          <cell r="BB1866">
            <v>0</v>
          </cell>
          <cell r="BC1866">
            <v>38828</v>
          </cell>
        </row>
        <row r="1867">
          <cell r="A1867">
            <v>2006</v>
          </cell>
          <cell r="B1867">
            <v>2</v>
          </cell>
          <cell r="C1867">
            <v>444</v>
          </cell>
          <cell r="D1867">
            <v>21</v>
          </cell>
          <cell r="E1867">
            <v>792020</v>
          </cell>
          <cell r="F1867">
            <v>0</v>
          </cell>
          <cell r="G1867" t="str">
            <v>Затраты по ШПЗ (основные)</v>
          </cell>
          <cell r="H1867">
            <v>2011</v>
          </cell>
          <cell r="I1867">
            <v>7920</v>
          </cell>
          <cell r="J1867">
            <v>207849.69</v>
          </cell>
          <cell r="K1867">
            <v>1</v>
          </cell>
          <cell r="L1867">
            <v>0</v>
          </cell>
          <cell r="M1867">
            <v>0</v>
          </cell>
          <cell r="N1867">
            <v>0</v>
          </cell>
          <cell r="R1867">
            <v>0</v>
          </cell>
          <cell r="S1867">
            <v>0</v>
          </cell>
          <cell r="T1867">
            <v>0</v>
          </cell>
          <cell r="U1867">
            <v>38</v>
          </cell>
          <cell r="V1867">
            <v>0</v>
          </cell>
          <cell r="W1867">
            <v>0</v>
          </cell>
          <cell r="AA1867">
            <v>0</v>
          </cell>
          <cell r="AB1867">
            <v>0</v>
          </cell>
          <cell r="AC1867">
            <v>0</v>
          </cell>
          <cell r="AD1867">
            <v>38</v>
          </cell>
          <cell r="AE1867">
            <v>143000</v>
          </cell>
          <cell r="AF1867">
            <v>0</v>
          </cell>
          <cell r="AI1867">
            <v>2251</v>
          </cell>
          <cell r="AK1867">
            <v>0</v>
          </cell>
          <cell r="AM1867">
            <v>573</v>
          </cell>
          <cell r="AN1867">
            <v>1</v>
          </cell>
          <cell r="AO1867">
            <v>393216</v>
          </cell>
          <cell r="AQ1867">
            <v>0</v>
          </cell>
          <cell r="AR1867">
            <v>0</v>
          </cell>
          <cell r="AS1867" t="str">
            <v>Ы</v>
          </cell>
          <cell r="AT1867" t="str">
            <v>Ы</v>
          </cell>
          <cell r="AU1867">
            <v>0</v>
          </cell>
          <cell r="AV1867">
            <v>0</v>
          </cell>
          <cell r="AW1867">
            <v>23</v>
          </cell>
          <cell r="AX1867">
            <v>1</v>
          </cell>
          <cell r="AY1867">
            <v>0</v>
          </cell>
          <cell r="AZ1867">
            <v>0</v>
          </cell>
          <cell r="BA1867">
            <v>0</v>
          </cell>
          <cell r="BB1867">
            <v>0</v>
          </cell>
          <cell r="BC1867">
            <v>38828</v>
          </cell>
        </row>
        <row r="1868">
          <cell r="A1868">
            <v>2006</v>
          </cell>
          <cell r="B1868">
            <v>2</v>
          </cell>
          <cell r="C1868">
            <v>445</v>
          </cell>
          <cell r="D1868">
            <v>21</v>
          </cell>
          <cell r="E1868">
            <v>792020</v>
          </cell>
          <cell r="F1868">
            <v>0</v>
          </cell>
          <cell r="G1868" t="str">
            <v>Затраты по ШПЗ (основные)</v>
          </cell>
          <cell r="H1868">
            <v>2011</v>
          </cell>
          <cell r="I1868">
            <v>7920</v>
          </cell>
          <cell r="J1868">
            <v>555375.35999999999</v>
          </cell>
          <cell r="K1868">
            <v>1</v>
          </cell>
          <cell r="L1868">
            <v>0</v>
          </cell>
          <cell r="M1868">
            <v>0</v>
          </cell>
          <cell r="N1868">
            <v>0</v>
          </cell>
          <cell r="R1868">
            <v>0</v>
          </cell>
          <cell r="S1868">
            <v>0</v>
          </cell>
          <cell r="T1868">
            <v>0</v>
          </cell>
          <cell r="U1868">
            <v>38</v>
          </cell>
          <cell r="V1868">
            <v>0</v>
          </cell>
          <cell r="W1868">
            <v>0</v>
          </cell>
          <cell r="AA1868">
            <v>0</v>
          </cell>
          <cell r="AB1868">
            <v>0</v>
          </cell>
          <cell r="AC1868">
            <v>0</v>
          </cell>
          <cell r="AD1868">
            <v>38</v>
          </cell>
          <cell r="AE1868">
            <v>151000</v>
          </cell>
          <cell r="AF1868">
            <v>0</v>
          </cell>
          <cell r="AI1868">
            <v>2251</v>
          </cell>
          <cell r="AK1868">
            <v>0</v>
          </cell>
          <cell r="AM1868">
            <v>574</v>
          </cell>
          <cell r="AN1868">
            <v>1</v>
          </cell>
          <cell r="AO1868">
            <v>393216</v>
          </cell>
          <cell r="AQ1868">
            <v>0</v>
          </cell>
          <cell r="AR1868">
            <v>0</v>
          </cell>
          <cell r="AS1868" t="str">
            <v>Ы</v>
          </cell>
          <cell r="AT1868" t="str">
            <v>Ы</v>
          </cell>
          <cell r="AU1868">
            <v>0</v>
          </cell>
          <cell r="AV1868">
            <v>0</v>
          </cell>
          <cell r="AW1868">
            <v>23</v>
          </cell>
          <cell r="AX1868">
            <v>1</v>
          </cell>
          <cell r="AY1868">
            <v>0</v>
          </cell>
          <cell r="AZ1868">
            <v>0</v>
          </cell>
          <cell r="BA1868">
            <v>0</v>
          </cell>
          <cell r="BB1868">
            <v>0</v>
          </cell>
          <cell r="BC1868">
            <v>38828</v>
          </cell>
        </row>
        <row r="1869">
          <cell r="A1869">
            <v>2006</v>
          </cell>
          <cell r="B1869">
            <v>2</v>
          </cell>
          <cell r="C1869">
            <v>446</v>
          </cell>
          <cell r="D1869">
            <v>21</v>
          </cell>
          <cell r="E1869">
            <v>792020</v>
          </cell>
          <cell r="F1869">
            <v>0</v>
          </cell>
          <cell r="G1869" t="str">
            <v>Затраты по ШПЗ (основные)</v>
          </cell>
          <cell r="H1869">
            <v>2011</v>
          </cell>
          <cell r="I1869">
            <v>7920</v>
          </cell>
          <cell r="J1869">
            <v>60222.96</v>
          </cell>
          <cell r="K1869">
            <v>1</v>
          </cell>
          <cell r="L1869">
            <v>0</v>
          </cell>
          <cell r="M1869">
            <v>0</v>
          </cell>
          <cell r="N1869">
            <v>0</v>
          </cell>
          <cell r="R1869">
            <v>0</v>
          </cell>
          <cell r="S1869">
            <v>0</v>
          </cell>
          <cell r="T1869">
            <v>0</v>
          </cell>
          <cell r="U1869">
            <v>38</v>
          </cell>
          <cell r="V1869">
            <v>0</v>
          </cell>
          <cell r="W1869">
            <v>0</v>
          </cell>
          <cell r="AA1869">
            <v>0</v>
          </cell>
          <cell r="AB1869">
            <v>0</v>
          </cell>
          <cell r="AC1869">
            <v>0</v>
          </cell>
          <cell r="AD1869">
            <v>38</v>
          </cell>
          <cell r="AE1869">
            <v>152000</v>
          </cell>
          <cell r="AF1869">
            <v>0</v>
          </cell>
          <cell r="AI1869">
            <v>2251</v>
          </cell>
          <cell r="AK1869">
            <v>0</v>
          </cell>
          <cell r="AM1869">
            <v>575</v>
          </cell>
          <cell r="AN1869">
            <v>1</v>
          </cell>
          <cell r="AO1869">
            <v>393216</v>
          </cell>
          <cell r="AQ1869">
            <v>0</v>
          </cell>
          <cell r="AR1869">
            <v>0</v>
          </cell>
          <cell r="AS1869" t="str">
            <v>Ы</v>
          </cell>
          <cell r="AT1869" t="str">
            <v>Ы</v>
          </cell>
          <cell r="AU1869">
            <v>0</v>
          </cell>
          <cell r="AV1869">
            <v>0</v>
          </cell>
          <cell r="AW1869">
            <v>23</v>
          </cell>
          <cell r="AX1869">
            <v>1</v>
          </cell>
          <cell r="AY1869">
            <v>0</v>
          </cell>
          <cell r="AZ1869">
            <v>0</v>
          </cell>
          <cell r="BA1869">
            <v>0</v>
          </cell>
          <cell r="BB1869">
            <v>0</v>
          </cell>
          <cell r="BC1869">
            <v>38828</v>
          </cell>
        </row>
        <row r="1870">
          <cell r="A1870">
            <v>2006</v>
          </cell>
          <cell r="B1870">
            <v>2</v>
          </cell>
          <cell r="C1870">
            <v>447</v>
          </cell>
          <cell r="D1870">
            <v>21</v>
          </cell>
          <cell r="E1870">
            <v>792020</v>
          </cell>
          <cell r="F1870">
            <v>0</v>
          </cell>
          <cell r="G1870" t="str">
            <v>Затраты по ШПЗ (основные)</v>
          </cell>
          <cell r="H1870">
            <v>2011</v>
          </cell>
          <cell r="I1870">
            <v>7920</v>
          </cell>
          <cell r="J1870">
            <v>1363133.46</v>
          </cell>
          <cell r="K1870">
            <v>1</v>
          </cell>
          <cell r="L1870">
            <v>0</v>
          </cell>
          <cell r="M1870">
            <v>0</v>
          </cell>
          <cell r="N1870">
            <v>0</v>
          </cell>
          <cell r="R1870">
            <v>0</v>
          </cell>
          <cell r="S1870">
            <v>0</v>
          </cell>
          <cell r="T1870">
            <v>0</v>
          </cell>
          <cell r="U1870">
            <v>38</v>
          </cell>
          <cell r="V1870">
            <v>0</v>
          </cell>
          <cell r="W1870">
            <v>0</v>
          </cell>
          <cell r="AA1870">
            <v>0</v>
          </cell>
          <cell r="AB1870">
            <v>0</v>
          </cell>
          <cell r="AC1870">
            <v>0</v>
          </cell>
          <cell r="AD1870">
            <v>38</v>
          </cell>
          <cell r="AE1870">
            <v>220000</v>
          </cell>
          <cell r="AF1870">
            <v>0</v>
          </cell>
          <cell r="AI1870">
            <v>2251</v>
          </cell>
          <cell r="AK1870">
            <v>0</v>
          </cell>
          <cell r="AM1870">
            <v>576</v>
          </cell>
          <cell r="AN1870">
            <v>1</v>
          </cell>
          <cell r="AO1870">
            <v>393216</v>
          </cell>
          <cell r="AQ1870">
            <v>0</v>
          </cell>
          <cell r="AR1870">
            <v>0</v>
          </cell>
          <cell r="AS1870" t="str">
            <v>Ы</v>
          </cell>
          <cell r="AT1870" t="str">
            <v>Ы</v>
          </cell>
          <cell r="AU1870">
            <v>0</v>
          </cell>
          <cell r="AV1870">
            <v>0</v>
          </cell>
          <cell r="AW1870">
            <v>23</v>
          </cell>
          <cell r="AX1870">
            <v>1</v>
          </cell>
          <cell r="AY1870">
            <v>0</v>
          </cell>
          <cell r="AZ1870">
            <v>0</v>
          </cell>
          <cell r="BA1870">
            <v>0</v>
          </cell>
          <cell r="BB1870">
            <v>0</v>
          </cell>
          <cell r="BC1870">
            <v>38828</v>
          </cell>
        </row>
        <row r="1871">
          <cell r="A1871">
            <v>2006</v>
          </cell>
          <cell r="B1871">
            <v>2</v>
          </cell>
          <cell r="C1871">
            <v>448</v>
          </cell>
          <cell r="D1871">
            <v>21</v>
          </cell>
          <cell r="E1871">
            <v>792020</v>
          </cell>
          <cell r="F1871">
            <v>0</v>
          </cell>
          <cell r="G1871" t="str">
            <v>Затраты по ШПЗ (основные)</v>
          </cell>
          <cell r="H1871">
            <v>2011</v>
          </cell>
          <cell r="I1871">
            <v>7920</v>
          </cell>
          <cell r="J1871">
            <v>678094.27</v>
          </cell>
          <cell r="K1871">
            <v>1</v>
          </cell>
          <cell r="L1871">
            <v>0</v>
          </cell>
          <cell r="M1871">
            <v>0</v>
          </cell>
          <cell r="N1871">
            <v>0</v>
          </cell>
          <cell r="R1871">
            <v>0</v>
          </cell>
          <cell r="S1871">
            <v>0</v>
          </cell>
          <cell r="T1871">
            <v>0</v>
          </cell>
          <cell r="U1871">
            <v>38</v>
          </cell>
          <cell r="V1871">
            <v>0</v>
          </cell>
          <cell r="W1871">
            <v>0</v>
          </cell>
          <cell r="AA1871">
            <v>0</v>
          </cell>
          <cell r="AB1871">
            <v>0</v>
          </cell>
          <cell r="AC1871">
            <v>0</v>
          </cell>
          <cell r="AD1871">
            <v>38</v>
          </cell>
          <cell r="AE1871">
            <v>230000</v>
          </cell>
          <cell r="AF1871">
            <v>0</v>
          </cell>
          <cell r="AI1871">
            <v>2251</v>
          </cell>
          <cell r="AK1871">
            <v>0</v>
          </cell>
          <cell r="AM1871">
            <v>577</v>
          </cell>
          <cell r="AN1871">
            <v>1</v>
          </cell>
          <cell r="AO1871">
            <v>393216</v>
          </cell>
          <cell r="AQ1871">
            <v>0</v>
          </cell>
          <cell r="AR1871">
            <v>0</v>
          </cell>
          <cell r="AS1871" t="str">
            <v>Ы</v>
          </cell>
          <cell r="AT1871" t="str">
            <v>Ы</v>
          </cell>
          <cell r="AU1871">
            <v>0</v>
          </cell>
          <cell r="AV1871">
            <v>0</v>
          </cell>
          <cell r="AW1871">
            <v>23</v>
          </cell>
          <cell r="AX1871">
            <v>1</v>
          </cell>
          <cell r="AY1871">
            <v>0</v>
          </cell>
          <cell r="AZ1871">
            <v>0</v>
          </cell>
          <cell r="BA1871">
            <v>0</v>
          </cell>
          <cell r="BB1871">
            <v>0</v>
          </cell>
          <cell r="BC1871">
            <v>38828</v>
          </cell>
        </row>
        <row r="1872">
          <cell r="A1872">
            <v>2006</v>
          </cell>
          <cell r="B1872">
            <v>2</v>
          </cell>
          <cell r="C1872">
            <v>449</v>
          </cell>
          <cell r="D1872">
            <v>21</v>
          </cell>
          <cell r="E1872">
            <v>792020</v>
          </cell>
          <cell r="F1872">
            <v>0</v>
          </cell>
          <cell r="G1872" t="str">
            <v>Затраты по ШПЗ (основные)</v>
          </cell>
          <cell r="H1872">
            <v>2011</v>
          </cell>
          <cell r="I1872">
            <v>7920</v>
          </cell>
          <cell r="J1872">
            <v>6900</v>
          </cell>
          <cell r="K1872">
            <v>1</v>
          </cell>
          <cell r="L1872">
            <v>0</v>
          </cell>
          <cell r="M1872">
            <v>0</v>
          </cell>
          <cell r="N1872">
            <v>0</v>
          </cell>
          <cell r="R1872">
            <v>0</v>
          </cell>
          <cell r="S1872">
            <v>0</v>
          </cell>
          <cell r="T1872">
            <v>0</v>
          </cell>
          <cell r="U1872">
            <v>38</v>
          </cell>
          <cell r="V1872">
            <v>0</v>
          </cell>
          <cell r="W1872">
            <v>0</v>
          </cell>
          <cell r="AA1872">
            <v>0</v>
          </cell>
          <cell r="AB1872">
            <v>0</v>
          </cell>
          <cell r="AC1872">
            <v>0</v>
          </cell>
          <cell r="AD1872">
            <v>38</v>
          </cell>
          <cell r="AE1872">
            <v>250000</v>
          </cell>
          <cell r="AF1872">
            <v>0</v>
          </cell>
          <cell r="AI1872">
            <v>2251</v>
          </cell>
          <cell r="AK1872">
            <v>0</v>
          </cell>
          <cell r="AM1872">
            <v>578</v>
          </cell>
          <cell r="AN1872">
            <v>1</v>
          </cell>
          <cell r="AO1872">
            <v>393216</v>
          </cell>
          <cell r="AQ1872">
            <v>0</v>
          </cell>
          <cell r="AR1872">
            <v>0</v>
          </cell>
          <cell r="AS1872" t="str">
            <v>Ы</v>
          </cell>
          <cell r="AT1872" t="str">
            <v>Ы</v>
          </cell>
          <cell r="AU1872">
            <v>0</v>
          </cell>
          <cell r="AV1872">
            <v>0</v>
          </cell>
          <cell r="AW1872">
            <v>23</v>
          </cell>
          <cell r="AX1872">
            <v>1</v>
          </cell>
          <cell r="AY1872">
            <v>0</v>
          </cell>
          <cell r="AZ1872">
            <v>0</v>
          </cell>
          <cell r="BA1872">
            <v>0</v>
          </cell>
          <cell r="BB1872">
            <v>0</v>
          </cell>
          <cell r="BC1872">
            <v>38828</v>
          </cell>
        </row>
        <row r="1873">
          <cell r="A1873">
            <v>2006</v>
          </cell>
          <cell r="B1873">
            <v>2</v>
          </cell>
          <cell r="C1873">
            <v>450</v>
          </cell>
          <cell r="D1873">
            <v>21</v>
          </cell>
          <cell r="E1873">
            <v>792020</v>
          </cell>
          <cell r="F1873">
            <v>0</v>
          </cell>
          <cell r="G1873" t="str">
            <v>Затраты по ШПЗ (основные)</v>
          </cell>
          <cell r="H1873">
            <v>2011</v>
          </cell>
          <cell r="I1873">
            <v>7920</v>
          </cell>
          <cell r="J1873">
            <v>55784.76</v>
          </cell>
          <cell r="K1873">
            <v>1</v>
          </cell>
          <cell r="L1873">
            <v>0</v>
          </cell>
          <cell r="M1873">
            <v>0</v>
          </cell>
          <cell r="N1873">
            <v>0</v>
          </cell>
          <cell r="R1873">
            <v>0</v>
          </cell>
          <cell r="S1873">
            <v>0</v>
          </cell>
          <cell r="T1873">
            <v>0</v>
          </cell>
          <cell r="U1873">
            <v>38</v>
          </cell>
          <cell r="V1873">
            <v>0</v>
          </cell>
          <cell r="W1873">
            <v>0</v>
          </cell>
          <cell r="AA1873">
            <v>0</v>
          </cell>
          <cell r="AB1873">
            <v>0</v>
          </cell>
          <cell r="AC1873">
            <v>0</v>
          </cell>
          <cell r="AD1873">
            <v>38</v>
          </cell>
          <cell r="AE1873">
            <v>260000</v>
          </cell>
          <cell r="AF1873">
            <v>0</v>
          </cell>
          <cell r="AI1873">
            <v>2251</v>
          </cell>
          <cell r="AK1873">
            <v>0</v>
          </cell>
          <cell r="AM1873">
            <v>579</v>
          </cell>
          <cell r="AN1873">
            <v>1</v>
          </cell>
          <cell r="AO1873">
            <v>393216</v>
          </cell>
          <cell r="AQ1873">
            <v>0</v>
          </cell>
          <cell r="AR1873">
            <v>0</v>
          </cell>
          <cell r="AS1873" t="str">
            <v>Ы</v>
          </cell>
          <cell r="AT1873" t="str">
            <v>Ы</v>
          </cell>
          <cell r="AU1873">
            <v>0</v>
          </cell>
          <cell r="AV1873">
            <v>0</v>
          </cell>
          <cell r="AW1873">
            <v>23</v>
          </cell>
          <cell r="AX1873">
            <v>1</v>
          </cell>
          <cell r="AY1873">
            <v>0</v>
          </cell>
          <cell r="AZ1873">
            <v>0</v>
          </cell>
          <cell r="BA1873">
            <v>0</v>
          </cell>
          <cell r="BB1873">
            <v>0</v>
          </cell>
          <cell r="BC1873">
            <v>38828</v>
          </cell>
        </row>
        <row r="1874">
          <cell r="A1874">
            <v>2006</v>
          </cell>
          <cell r="B1874">
            <v>2</v>
          </cell>
          <cell r="C1874">
            <v>451</v>
          </cell>
          <cell r="D1874">
            <v>21</v>
          </cell>
          <cell r="E1874">
            <v>792020</v>
          </cell>
          <cell r="F1874">
            <v>0</v>
          </cell>
          <cell r="G1874" t="str">
            <v>Затраты по ШПЗ (основные)</v>
          </cell>
          <cell r="H1874">
            <v>2011</v>
          </cell>
          <cell r="I1874">
            <v>7920</v>
          </cell>
          <cell r="J1874">
            <v>203801.23</v>
          </cell>
          <cell r="K1874">
            <v>1</v>
          </cell>
          <cell r="L1874">
            <v>0</v>
          </cell>
          <cell r="M1874">
            <v>0</v>
          </cell>
          <cell r="N1874">
            <v>0</v>
          </cell>
          <cell r="R1874">
            <v>0</v>
          </cell>
          <cell r="S1874">
            <v>0</v>
          </cell>
          <cell r="T1874">
            <v>0</v>
          </cell>
          <cell r="U1874">
            <v>38</v>
          </cell>
          <cell r="V1874">
            <v>0</v>
          </cell>
          <cell r="W1874">
            <v>0</v>
          </cell>
          <cell r="AA1874">
            <v>0</v>
          </cell>
          <cell r="AB1874">
            <v>0</v>
          </cell>
          <cell r="AC1874">
            <v>0</v>
          </cell>
          <cell r="AD1874">
            <v>38</v>
          </cell>
          <cell r="AE1874">
            <v>270000</v>
          </cell>
          <cell r="AF1874">
            <v>0</v>
          </cell>
          <cell r="AI1874">
            <v>2251</v>
          </cell>
          <cell r="AK1874">
            <v>0</v>
          </cell>
          <cell r="AM1874">
            <v>580</v>
          </cell>
          <cell r="AN1874">
            <v>1</v>
          </cell>
          <cell r="AO1874">
            <v>393216</v>
          </cell>
          <cell r="AQ1874">
            <v>0</v>
          </cell>
          <cell r="AR1874">
            <v>0</v>
          </cell>
          <cell r="AS1874" t="str">
            <v>Ы</v>
          </cell>
          <cell r="AT1874" t="str">
            <v>Ы</v>
          </cell>
          <cell r="AU1874">
            <v>0</v>
          </cell>
          <cell r="AV1874">
            <v>0</v>
          </cell>
          <cell r="AW1874">
            <v>23</v>
          </cell>
          <cell r="AX1874">
            <v>1</v>
          </cell>
          <cell r="AY1874">
            <v>0</v>
          </cell>
          <cell r="AZ1874">
            <v>0</v>
          </cell>
          <cell r="BA1874">
            <v>0</v>
          </cell>
          <cell r="BB1874">
            <v>0</v>
          </cell>
          <cell r="BC1874">
            <v>38828</v>
          </cell>
        </row>
        <row r="1875">
          <cell r="A1875">
            <v>2006</v>
          </cell>
          <cell r="B1875">
            <v>2</v>
          </cell>
          <cell r="C1875">
            <v>452</v>
          </cell>
          <cell r="D1875">
            <v>21</v>
          </cell>
          <cell r="E1875">
            <v>792020</v>
          </cell>
          <cell r="F1875">
            <v>0</v>
          </cell>
          <cell r="G1875" t="str">
            <v>Затраты по ШПЗ (основные)</v>
          </cell>
          <cell r="H1875">
            <v>2011</v>
          </cell>
          <cell r="I1875">
            <v>7920</v>
          </cell>
          <cell r="J1875">
            <v>66163.87</v>
          </cell>
          <cell r="K1875">
            <v>1</v>
          </cell>
          <cell r="L1875">
            <v>0</v>
          </cell>
          <cell r="M1875">
            <v>0</v>
          </cell>
          <cell r="N1875">
            <v>0</v>
          </cell>
          <cell r="R1875">
            <v>0</v>
          </cell>
          <cell r="S1875">
            <v>0</v>
          </cell>
          <cell r="T1875">
            <v>0</v>
          </cell>
          <cell r="U1875">
            <v>38</v>
          </cell>
          <cell r="V1875">
            <v>0</v>
          </cell>
          <cell r="W1875">
            <v>0</v>
          </cell>
          <cell r="AA1875">
            <v>0</v>
          </cell>
          <cell r="AB1875">
            <v>0</v>
          </cell>
          <cell r="AC1875">
            <v>0</v>
          </cell>
          <cell r="AD1875">
            <v>38</v>
          </cell>
          <cell r="AE1875">
            <v>280100</v>
          </cell>
          <cell r="AF1875">
            <v>0</v>
          </cell>
          <cell r="AI1875">
            <v>2251</v>
          </cell>
          <cell r="AK1875">
            <v>0</v>
          </cell>
          <cell r="AM1875">
            <v>581</v>
          </cell>
          <cell r="AN1875">
            <v>1</v>
          </cell>
          <cell r="AO1875">
            <v>393216</v>
          </cell>
          <cell r="AQ1875">
            <v>0</v>
          </cell>
          <cell r="AR1875">
            <v>0</v>
          </cell>
          <cell r="AS1875" t="str">
            <v>Ы</v>
          </cell>
          <cell r="AT1875" t="str">
            <v>Ы</v>
          </cell>
          <cell r="AU1875">
            <v>0</v>
          </cell>
          <cell r="AV1875">
            <v>0</v>
          </cell>
          <cell r="AW1875">
            <v>23</v>
          </cell>
          <cell r="AX1875">
            <v>1</v>
          </cell>
          <cell r="AY1875">
            <v>0</v>
          </cell>
          <cell r="AZ1875">
            <v>0</v>
          </cell>
          <cell r="BA1875">
            <v>0</v>
          </cell>
          <cell r="BB1875">
            <v>0</v>
          </cell>
          <cell r="BC1875">
            <v>38828</v>
          </cell>
        </row>
        <row r="1876">
          <cell r="A1876">
            <v>2006</v>
          </cell>
          <cell r="B1876">
            <v>2</v>
          </cell>
          <cell r="C1876">
            <v>453</v>
          </cell>
          <cell r="D1876">
            <v>21</v>
          </cell>
          <cell r="E1876">
            <v>792020</v>
          </cell>
          <cell r="F1876">
            <v>0</v>
          </cell>
          <cell r="G1876" t="str">
            <v>Затраты по ШПЗ (основные)</v>
          </cell>
          <cell r="H1876">
            <v>2011</v>
          </cell>
          <cell r="I1876">
            <v>7920</v>
          </cell>
          <cell r="J1876">
            <v>1245.25</v>
          </cell>
          <cell r="K1876">
            <v>1</v>
          </cell>
          <cell r="L1876">
            <v>0</v>
          </cell>
          <cell r="M1876">
            <v>0</v>
          </cell>
          <cell r="N1876">
            <v>0</v>
          </cell>
          <cell r="R1876">
            <v>0</v>
          </cell>
          <cell r="S1876">
            <v>0</v>
          </cell>
          <cell r="T1876">
            <v>0</v>
          </cell>
          <cell r="U1876">
            <v>38</v>
          </cell>
          <cell r="V1876">
            <v>0</v>
          </cell>
          <cell r="W1876">
            <v>0</v>
          </cell>
          <cell r="AA1876">
            <v>0</v>
          </cell>
          <cell r="AB1876">
            <v>0</v>
          </cell>
          <cell r="AC1876">
            <v>0</v>
          </cell>
          <cell r="AD1876">
            <v>38</v>
          </cell>
          <cell r="AE1876">
            <v>280200</v>
          </cell>
          <cell r="AF1876">
            <v>0</v>
          </cell>
          <cell r="AI1876">
            <v>2251</v>
          </cell>
          <cell r="AK1876">
            <v>0</v>
          </cell>
          <cell r="AM1876">
            <v>582</v>
          </cell>
          <cell r="AN1876">
            <v>1</v>
          </cell>
          <cell r="AO1876">
            <v>393216</v>
          </cell>
          <cell r="AQ1876">
            <v>0</v>
          </cell>
          <cell r="AR1876">
            <v>0</v>
          </cell>
          <cell r="AS1876" t="str">
            <v>Ы</v>
          </cell>
          <cell r="AT1876" t="str">
            <v>Ы</v>
          </cell>
          <cell r="AU1876">
            <v>0</v>
          </cell>
          <cell r="AV1876">
            <v>0</v>
          </cell>
          <cell r="AW1876">
            <v>23</v>
          </cell>
          <cell r="AX1876">
            <v>1</v>
          </cell>
          <cell r="AY1876">
            <v>0</v>
          </cell>
          <cell r="AZ1876">
            <v>0</v>
          </cell>
          <cell r="BA1876">
            <v>0</v>
          </cell>
          <cell r="BB1876">
            <v>0</v>
          </cell>
          <cell r="BC1876">
            <v>38828</v>
          </cell>
        </row>
        <row r="1877">
          <cell r="A1877">
            <v>2006</v>
          </cell>
          <cell r="B1877">
            <v>2</v>
          </cell>
          <cell r="C1877">
            <v>454</v>
          </cell>
          <cell r="D1877">
            <v>21</v>
          </cell>
          <cell r="E1877">
            <v>792020</v>
          </cell>
          <cell r="F1877">
            <v>0</v>
          </cell>
          <cell r="G1877" t="str">
            <v>Затраты по ШПЗ (основные)</v>
          </cell>
          <cell r="H1877">
            <v>2011</v>
          </cell>
          <cell r="I1877">
            <v>7920</v>
          </cell>
          <cell r="J1877">
            <v>5277.98</v>
          </cell>
          <cell r="K1877">
            <v>1</v>
          </cell>
          <cell r="L1877">
            <v>0</v>
          </cell>
          <cell r="M1877">
            <v>0</v>
          </cell>
          <cell r="N1877">
            <v>0</v>
          </cell>
          <cell r="R1877">
            <v>0</v>
          </cell>
          <cell r="S1877">
            <v>0</v>
          </cell>
          <cell r="T1877">
            <v>0</v>
          </cell>
          <cell r="U1877">
            <v>38</v>
          </cell>
          <cell r="V1877">
            <v>0</v>
          </cell>
          <cell r="W1877">
            <v>0</v>
          </cell>
          <cell r="AA1877">
            <v>0</v>
          </cell>
          <cell r="AB1877">
            <v>0</v>
          </cell>
          <cell r="AC1877">
            <v>0</v>
          </cell>
          <cell r="AD1877">
            <v>38</v>
          </cell>
          <cell r="AE1877">
            <v>280300</v>
          </cell>
          <cell r="AF1877">
            <v>0</v>
          </cell>
          <cell r="AI1877">
            <v>2251</v>
          </cell>
          <cell r="AK1877">
            <v>0</v>
          </cell>
          <cell r="AM1877">
            <v>583</v>
          </cell>
          <cell r="AN1877">
            <v>1</v>
          </cell>
          <cell r="AO1877">
            <v>393216</v>
          </cell>
          <cell r="AQ1877">
            <v>0</v>
          </cell>
          <cell r="AR1877">
            <v>0</v>
          </cell>
          <cell r="AS1877" t="str">
            <v>Ы</v>
          </cell>
          <cell r="AT1877" t="str">
            <v>Ы</v>
          </cell>
          <cell r="AU1877">
            <v>0</v>
          </cell>
          <cell r="AV1877">
            <v>0</v>
          </cell>
          <cell r="AW1877">
            <v>23</v>
          </cell>
          <cell r="AX1877">
            <v>1</v>
          </cell>
          <cell r="AY1877">
            <v>0</v>
          </cell>
          <cell r="AZ1877">
            <v>0</v>
          </cell>
          <cell r="BA1877">
            <v>0</v>
          </cell>
          <cell r="BB1877">
            <v>0</v>
          </cell>
          <cell r="BC1877">
            <v>38828</v>
          </cell>
        </row>
        <row r="1878">
          <cell r="A1878">
            <v>2006</v>
          </cell>
          <cell r="B1878">
            <v>2</v>
          </cell>
          <cell r="C1878">
            <v>455</v>
          </cell>
          <cell r="D1878">
            <v>21</v>
          </cell>
          <cell r="E1878">
            <v>792020</v>
          </cell>
          <cell r="F1878">
            <v>0</v>
          </cell>
          <cell r="G1878" t="str">
            <v>Затраты по ШПЗ (основные)</v>
          </cell>
          <cell r="H1878">
            <v>2011</v>
          </cell>
          <cell r="I1878">
            <v>7920</v>
          </cell>
          <cell r="J1878">
            <v>18745.66</v>
          </cell>
          <cell r="K1878">
            <v>1</v>
          </cell>
          <cell r="L1878">
            <v>0</v>
          </cell>
          <cell r="M1878">
            <v>0</v>
          </cell>
          <cell r="N1878">
            <v>0</v>
          </cell>
          <cell r="R1878">
            <v>0</v>
          </cell>
          <cell r="S1878">
            <v>0</v>
          </cell>
          <cell r="T1878">
            <v>0</v>
          </cell>
          <cell r="U1878">
            <v>38</v>
          </cell>
          <cell r="V1878">
            <v>0</v>
          </cell>
          <cell r="W1878">
            <v>0</v>
          </cell>
          <cell r="AA1878">
            <v>0</v>
          </cell>
          <cell r="AB1878">
            <v>0</v>
          </cell>
          <cell r="AC1878">
            <v>0</v>
          </cell>
          <cell r="AD1878">
            <v>38</v>
          </cell>
          <cell r="AE1878">
            <v>280400</v>
          </cell>
          <cell r="AF1878">
            <v>0</v>
          </cell>
          <cell r="AI1878">
            <v>2251</v>
          </cell>
          <cell r="AK1878">
            <v>0</v>
          </cell>
          <cell r="AM1878">
            <v>584</v>
          </cell>
          <cell r="AN1878">
            <v>1</v>
          </cell>
          <cell r="AO1878">
            <v>393216</v>
          </cell>
          <cell r="AQ1878">
            <v>0</v>
          </cell>
          <cell r="AR1878">
            <v>0</v>
          </cell>
          <cell r="AS1878" t="str">
            <v>Ы</v>
          </cell>
          <cell r="AT1878" t="str">
            <v>Ы</v>
          </cell>
          <cell r="AU1878">
            <v>0</v>
          </cell>
          <cell r="AV1878">
            <v>0</v>
          </cell>
          <cell r="AW1878">
            <v>23</v>
          </cell>
          <cell r="AX1878">
            <v>1</v>
          </cell>
          <cell r="AY1878">
            <v>0</v>
          </cell>
          <cell r="AZ1878">
            <v>0</v>
          </cell>
          <cell r="BA1878">
            <v>0</v>
          </cell>
          <cell r="BB1878">
            <v>0</v>
          </cell>
          <cell r="BC1878">
            <v>38828</v>
          </cell>
        </row>
        <row r="1879">
          <cell r="A1879">
            <v>2006</v>
          </cell>
          <cell r="B1879">
            <v>2</v>
          </cell>
          <cell r="C1879">
            <v>456</v>
          </cell>
          <cell r="D1879">
            <v>21</v>
          </cell>
          <cell r="E1879">
            <v>792020</v>
          </cell>
          <cell r="F1879">
            <v>0</v>
          </cell>
          <cell r="G1879" t="str">
            <v>Затраты по ШПЗ (основные)</v>
          </cell>
          <cell r="H1879">
            <v>2011</v>
          </cell>
          <cell r="I1879">
            <v>7920</v>
          </cell>
          <cell r="J1879">
            <v>3093.6</v>
          </cell>
          <cell r="K1879">
            <v>1</v>
          </cell>
          <cell r="L1879">
            <v>0</v>
          </cell>
          <cell r="M1879">
            <v>0</v>
          </cell>
          <cell r="N1879">
            <v>0</v>
          </cell>
          <cell r="R1879">
            <v>0</v>
          </cell>
          <cell r="S1879">
            <v>0</v>
          </cell>
          <cell r="T1879">
            <v>0</v>
          </cell>
          <cell r="U1879">
            <v>38</v>
          </cell>
          <cell r="V1879">
            <v>0</v>
          </cell>
          <cell r="W1879">
            <v>0</v>
          </cell>
          <cell r="AA1879">
            <v>0</v>
          </cell>
          <cell r="AB1879">
            <v>0</v>
          </cell>
          <cell r="AC1879">
            <v>0</v>
          </cell>
          <cell r="AD1879">
            <v>38</v>
          </cell>
          <cell r="AE1879">
            <v>281000</v>
          </cell>
          <cell r="AF1879">
            <v>0</v>
          </cell>
          <cell r="AI1879">
            <v>2251</v>
          </cell>
          <cell r="AK1879">
            <v>0</v>
          </cell>
          <cell r="AM1879">
            <v>585</v>
          </cell>
          <cell r="AN1879">
            <v>1</v>
          </cell>
          <cell r="AO1879">
            <v>393216</v>
          </cell>
          <cell r="AQ1879">
            <v>0</v>
          </cell>
          <cell r="AR1879">
            <v>0</v>
          </cell>
          <cell r="AS1879" t="str">
            <v>Ы</v>
          </cell>
          <cell r="AT1879" t="str">
            <v>Ы</v>
          </cell>
          <cell r="AU1879">
            <v>0</v>
          </cell>
          <cell r="AV1879">
            <v>0</v>
          </cell>
          <cell r="AW1879">
            <v>23</v>
          </cell>
          <cell r="AX1879">
            <v>1</v>
          </cell>
          <cell r="AY1879">
            <v>0</v>
          </cell>
          <cell r="AZ1879">
            <v>0</v>
          </cell>
          <cell r="BA1879">
            <v>0</v>
          </cell>
          <cell r="BB1879">
            <v>0</v>
          </cell>
          <cell r="BC1879">
            <v>38828</v>
          </cell>
        </row>
        <row r="1880">
          <cell r="A1880">
            <v>2006</v>
          </cell>
          <cell r="B1880">
            <v>2</v>
          </cell>
          <cell r="C1880">
            <v>457</v>
          </cell>
          <cell r="D1880">
            <v>21</v>
          </cell>
          <cell r="E1880">
            <v>792020</v>
          </cell>
          <cell r="F1880">
            <v>0</v>
          </cell>
          <cell r="G1880" t="str">
            <v>Затраты по ШПЗ (основные)</v>
          </cell>
          <cell r="H1880">
            <v>2011</v>
          </cell>
          <cell r="I1880">
            <v>7920</v>
          </cell>
          <cell r="J1880">
            <v>21640</v>
          </cell>
          <cell r="K1880">
            <v>1</v>
          </cell>
          <cell r="L1880">
            <v>0</v>
          </cell>
          <cell r="M1880">
            <v>0</v>
          </cell>
          <cell r="N1880">
            <v>0</v>
          </cell>
          <cell r="R1880">
            <v>0</v>
          </cell>
          <cell r="S1880">
            <v>0</v>
          </cell>
          <cell r="T1880">
            <v>0</v>
          </cell>
          <cell r="U1880">
            <v>38</v>
          </cell>
          <cell r="V1880">
            <v>0</v>
          </cell>
          <cell r="W1880">
            <v>0</v>
          </cell>
          <cell r="AA1880">
            <v>0</v>
          </cell>
          <cell r="AB1880">
            <v>0</v>
          </cell>
          <cell r="AC1880">
            <v>0</v>
          </cell>
          <cell r="AD1880">
            <v>38</v>
          </cell>
          <cell r="AE1880">
            <v>283000</v>
          </cell>
          <cell r="AF1880">
            <v>0</v>
          </cell>
          <cell r="AI1880">
            <v>2251</v>
          </cell>
          <cell r="AK1880">
            <v>0</v>
          </cell>
          <cell r="AM1880">
            <v>586</v>
          </cell>
          <cell r="AN1880">
            <v>1</v>
          </cell>
          <cell r="AO1880">
            <v>393216</v>
          </cell>
          <cell r="AQ1880">
            <v>0</v>
          </cell>
          <cell r="AR1880">
            <v>0</v>
          </cell>
          <cell r="AS1880" t="str">
            <v>Ы</v>
          </cell>
          <cell r="AT1880" t="str">
            <v>Ы</v>
          </cell>
          <cell r="AU1880">
            <v>0</v>
          </cell>
          <cell r="AV1880">
            <v>0</v>
          </cell>
          <cell r="AW1880">
            <v>23</v>
          </cell>
          <cell r="AX1880">
            <v>1</v>
          </cell>
          <cell r="AY1880">
            <v>0</v>
          </cell>
          <cell r="AZ1880">
            <v>0</v>
          </cell>
          <cell r="BA1880">
            <v>0</v>
          </cell>
          <cell r="BB1880">
            <v>0</v>
          </cell>
          <cell r="BC1880">
            <v>38828</v>
          </cell>
        </row>
        <row r="1881">
          <cell r="A1881">
            <v>2006</v>
          </cell>
          <cell r="B1881">
            <v>2</v>
          </cell>
          <cell r="C1881">
            <v>458</v>
          </cell>
          <cell r="D1881">
            <v>21</v>
          </cell>
          <cell r="E1881">
            <v>792020</v>
          </cell>
          <cell r="F1881">
            <v>0</v>
          </cell>
          <cell r="G1881" t="str">
            <v>Затраты по ШПЗ (основные)</v>
          </cell>
          <cell r="H1881">
            <v>2011</v>
          </cell>
          <cell r="I1881">
            <v>7920</v>
          </cell>
          <cell r="J1881">
            <v>4791.46</v>
          </cell>
          <cell r="K1881">
            <v>1</v>
          </cell>
          <cell r="L1881">
            <v>0</v>
          </cell>
          <cell r="M1881">
            <v>0</v>
          </cell>
          <cell r="N1881">
            <v>0</v>
          </cell>
          <cell r="R1881">
            <v>0</v>
          </cell>
          <cell r="S1881">
            <v>0</v>
          </cell>
          <cell r="T1881">
            <v>0</v>
          </cell>
          <cell r="U1881">
            <v>38</v>
          </cell>
          <cell r="V1881">
            <v>0</v>
          </cell>
          <cell r="W1881">
            <v>0</v>
          </cell>
          <cell r="AA1881">
            <v>0</v>
          </cell>
          <cell r="AB1881">
            <v>0</v>
          </cell>
          <cell r="AC1881">
            <v>0</v>
          </cell>
          <cell r="AD1881">
            <v>38</v>
          </cell>
          <cell r="AE1881">
            <v>285000</v>
          </cell>
          <cell r="AF1881">
            <v>0</v>
          </cell>
          <cell r="AI1881">
            <v>2251</v>
          </cell>
          <cell r="AK1881">
            <v>0</v>
          </cell>
          <cell r="AM1881">
            <v>587</v>
          </cell>
          <cell r="AN1881">
            <v>1</v>
          </cell>
          <cell r="AO1881">
            <v>393216</v>
          </cell>
          <cell r="AQ1881">
            <v>0</v>
          </cell>
          <cell r="AR1881">
            <v>0</v>
          </cell>
          <cell r="AS1881" t="str">
            <v>Ы</v>
          </cell>
          <cell r="AT1881" t="str">
            <v>Ы</v>
          </cell>
          <cell r="AU1881">
            <v>0</v>
          </cell>
          <cell r="AV1881">
            <v>0</v>
          </cell>
          <cell r="AW1881">
            <v>23</v>
          </cell>
          <cell r="AX1881">
            <v>1</v>
          </cell>
          <cell r="AY1881">
            <v>0</v>
          </cell>
          <cell r="AZ1881">
            <v>0</v>
          </cell>
          <cell r="BA1881">
            <v>0</v>
          </cell>
          <cell r="BB1881">
            <v>0</v>
          </cell>
          <cell r="BC1881">
            <v>38828</v>
          </cell>
        </row>
        <row r="1882">
          <cell r="A1882">
            <v>2006</v>
          </cell>
          <cell r="B1882">
            <v>2</v>
          </cell>
          <cell r="C1882">
            <v>459</v>
          </cell>
          <cell r="D1882">
            <v>21</v>
          </cell>
          <cell r="E1882">
            <v>792020</v>
          </cell>
          <cell r="F1882">
            <v>0</v>
          </cell>
          <cell r="G1882" t="str">
            <v>Затраты по ШПЗ (основные)</v>
          </cell>
          <cell r="H1882">
            <v>2011</v>
          </cell>
          <cell r="I1882">
            <v>7920</v>
          </cell>
          <cell r="J1882">
            <v>69668.399999999994</v>
          </cell>
          <cell r="K1882">
            <v>1</v>
          </cell>
          <cell r="L1882">
            <v>0</v>
          </cell>
          <cell r="M1882">
            <v>0</v>
          </cell>
          <cell r="N1882">
            <v>0</v>
          </cell>
          <cell r="R1882">
            <v>0</v>
          </cell>
          <cell r="S1882">
            <v>0</v>
          </cell>
          <cell r="T1882">
            <v>0</v>
          </cell>
          <cell r="U1882">
            <v>38</v>
          </cell>
          <cell r="V1882">
            <v>0</v>
          </cell>
          <cell r="W1882">
            <v>0</v>
          </cell>
          <cell r="AA1882">
            <v>0</v>
          </cell>
          <cell r="AB1882">
            <v>0</v>
          </cell>
          <cell r="AC1882">
            <v>0</v>
          </cell>
          <cell r="AD1882">
            <v>38</v>
          </cell>
          <cell r="AE1882">
            <v>311000</v>
          </cell>
          <cell r="AF1882">
            <v>0</v>
          </cell>
          <cell r="AI1882">
            <v>2251</v>
          </cell>
          <cell r="AK1882">
            <v>0</v>
          </cell>
          <cell r="AM1882">
            <v>588</v>
          </cell>
          <cell r="AN1882">
            <v>1</v>
          </cell>
          <cell r="AO1882">
            <v>393216</v>
          </cell>
          <cell r="AQ1882">
            <v>0</v>
          </cell>
          <cell r="AR1882">
            <v>0</v>
          </cell>
          <cell r="AS1882" t="str">
            <v>Ы</v>
          </cell>
          <cell r="AT1882" t="str">
            <v>Ы</v>
          </cell>
          <cell r="AU1882">
            <v>0</v>
          </cell>
          <cell r="AV1882">
            <v>0</v>
          </cell>
          <cell r="AW1882">
            <v>23</v>
          </cell>
          <cell r="AX1882">
            <v>1</v>
          </cell>
          <cell r="AY1882">
            <v>0</v>
          </cell>
          <cell r="AZ1882">
            <v>0</v>
          </cell>
          <cell r="BA1882">
            <v>0</v>
          </cell>
          <cell r="BB1882">
            <v>0</v>
          </cell>
          <cell r="BC1882">
            <v>38828</v>
          </cell>
        </row>
        <row r="1883">
          <cell r="A1883">
            <v>2006</v>
          </cell>
          <cell r="B1883">
            <v>2</v>
          </cell>
          <cell r="C1883">
            <v>460</v>
          </cell>
          <cell r="D1883">
            <v>21</v>
          </cell>
          <cell r="E1883">
            <v>792020</v>
          </cell>
          <cell r="F1883">
            <v>0</v>
          </cell>
          <cell r="G1883" t="str">
            <v>Затраты по ШПЗ (основные)</v>
          </cell>
          <cell r="H1883">
            <v>2011</v>
          </cell>
          <cell r="I1883">
            <v>7920</v>
          </cell>
          <cell r="J1883">
            <v>144555.91</v>
          </cell>
          <cell r="K1883">
            <v>1</v>
          </cell>
          <cell r="L1883">
            <v>0</v>
          </cell>
          <cell r="M1883">
            <v>0</v>
          </cell>
          <cell r="N1883">
            <v>0</v>
          </cell>
          <cell r="R1883">
            <v>0</v>
          </cell>
          <cell r="S1883">
            <v>0</v>
          </cell>
          <cell r="T1883">
            <v>0</v>
          </cell>
          <cell r="U1883">
            <v>38</v>
          </cell>
          <cell r="V1883">
            <v>0</v>
          </cell>
          <cell r="W1883">
            <v>0</v>
          </cell>
          <cell r="AA1883">
            <v>0</v>
          </cell>
          <cell r="AB1883">
            <v>0</v>
          </cell>
          <cell r="AC1883">
            <v>0</v>
          </cell>
          <cell r="AD1883">
            <v>38</v>
          </cell>
          <cell r="AE1883">
            <v>312000</v>
          </cell>
          <cell r="AF1883">
            <v>0</v>
          </cell>
          <cell r="AI1883">
            <v>2251</v>
          </cell>
          <cell r="AK1883">
            <v>0</v>
          </cell>
          <cell r="AM1883">
            <v>589</v>
          </cell>
          <cell r="AN1883">
            <v>1</v>
          </cell>
          <cell r="AO1883">
            <v>393216</v>
          </cell>
          <cell r="AQ1883">
            <v>0</v>
          </cell>
          <cell r="AR1883">
            <v>0</v>
          </cell>
          <cell r="AS1883" t="str">
            <v>Ы</v>
          </cell>
          <cell r="AT1883" t="str">
            <v>Ы</v>
          </cell>
          <cell r="AU1883">
            <v>0</v>
          </cell>
          <cell r="AV1883">
            <v>0</v>
          </cell>
          <cell r="AW1883">
            <v>23</v>
          </cell>
          <cell r="AX1883">
            <v>1</v>
          </cell>
          <cell r="AY1883">
            <v>0</v>
          </cell>
          <cell r="AZ1883">
            <v>0</v>
          </cell>
          <cell r="BA1883">
            <v>0</v>
          </cell>
          <cell r="BB1883">
            <v>0</v>
          </cell>
          <cell r="BC1883">
            <v>38828</v>
          </cell>
        </row>
        <row r="1884">
          <cell r="A1884">
            <v>2006</v>
          </cell>
          <cell r="B1884">
            <v>2</v>
          </cell>
          <cell r="C1884">
            <v>461</v>
          </cell>
          <cell r="D1884">
            <v>21</v>
          </cell>
          <cell r="E1884">
            <v>792020</v>
          </cell>
          <cell r="F1884">
            <v>0</v>
          </cell>
          <cell r="G1884" t="str">
            <v>Затраты по ШПЗ (основные)</v>
          </cell>
          <cell r="H1884">
            <v>2011</v>
          </cell>
          <cell r="I1884">
            <v>7920</v>
          </cell>
          <cell r="J1884">
            <v>22953.24</v>
          </cell>
          <cell r="K1884">
            <v>1</v>
          </cell>
          <cell r="L1884">
            <v>0</v>
          </cell>
          <cell r="M1884">
            <v>0</v>
          </cell>
          <cell r="N1884">
            <v>0</v>
          </cell>
          <cell r="R1884">
            <v>0</v>
          </cell>
          <cell r="S1884">
            <v>0</v>
          </cell>
          <cell r="T1884">
            <v>0</v>
          </cell>
          <cell r="U1884">
            <v>38</v>
          </cell>
          <cell r="V1884">
            <v>0</v>
          </cell>
          <cell r="W1884">
            <v>0</v>
          </cell>
          <cell r="AA1884">
            <v>0</v>
          </cell>
          <cell r="AB1884">
            <v>0</v>
          </cell>
          <cell r="AC1884">
            <v>0</v>
          </cell>
          <cell r="AD1884">
            <v>38</v>
          </cell>
          <cell r="AE1884">
            <v>312100</v>
          </cell>
          <cell r="AF1884">
            <v>0</v>
          </cell>
          <cell r="AI1884">
            <v>2251</v>
          </cell>
          <cell r="AK1884">
            <v>0</v>
          </cell>
          <cell r="AM1884">
            <v>590</v>
          </cell>
          <cell r="AN1884">
            <v>1</v>
          </cell>
          <cell r="AO1884">
            <v>393216</v>
          </cell>
          <cell r="AQ1884">
            <v>0</v>
          </cell>
          <cell r="AR1884">
            <v>0</v>
          </cell>
          <cell r="AS1884" t="str">
            <v>Ы</v>
          </cell>
          <cell r="AT1884" t="str">
            <v>Ы</v>
          </cell>
          <cell r="AU1884">
            <v>0</v>
          </cell>
          <cell r="AV1884">
            <v>0</v>
          </cell>
          <cell r="AW1884">
            <v>23</v>
          </cell>
          <cell r="AX1884">
            <v>1</v>
          </cell>
          <cell r="AY1884">
            <v>0</v>
          </cell>
          <cell r="AZ1884">
            <v>0</v>
          </cell>
          <cell r="BA1884">
            <v>0</v>
          </cell>
          <cell r="BB1884">
            <v>0</v>
          </cell>
          <cell r="BC1884">
            <v>38828</v>
          </cell>
        </row>
        <row r="1885">
          <cell r="A1885">
            <v>2006</v>
          </cell>
          <cell r="B1885">
            <v>2</v>
          </cell>
          <cell r="C1885">
            <v>462</v>
          </cell>
          <cell r="D1885">
            <v>21</v>
          </cell>
          <cell r="E1885">
            <v>792020</v>
          </cell>
          <cell r="F1885">
            <v>0</v>
          </cell>
          <cell r="G1885" t="str">
            <v>Затраты по ШПЗ (основные)</v>
          </cell>
          <cell r="H1885">
            <v>2011</v>
          </cell>
          <cell r="I1885">
            <v>7920</v>
          </cell>
          <cell r="J1885">
            <v>316389.83</v>
          </cell>
          <cell r="K1885">
            <v>1</v>
          </cell>
          <cell r="L1885">
            <v>0</v>
          </cell>
          <cell r="M1885">
            <v>0</v>
          </cell>
          <cell r="N1885">
            <v>0</v>
          </cell>
          <cell r="R1885">
            <v>0</v>
          </cell>
          <cell r="S1885">
            <v>0</v>
          </cell>
          <cell r="T1885">
            <v>0</v>
          </cell>
          <cell r="U1885">
            <v>38</v>
          </cell>
          <cell r="V1885">
            <v>0</v>
          </cell>
          <cell r="W1885">
            <v>0</v>
          </cell>
          <cell r="AA1885">
            <v>0</v>
          </cell>
          <cell r="AB1885">
            <v>0</v>
          </cell>
          <cell r="AC1885">
            <v>0</v>
          </cell>
          <cell r="AD1885">
            <v>38</v>
          </cell>
          <cell r="AE1885">
            <v>312200</v>
          </cell>
          <cell r="AF1885">
            <v>0</v>
          </cell>
          <cell r="AI1885">
            <v>2251</v>
          </cell>
          <cell r="AK1885">
            <v>0</v>
          </cell>
          <cell r="AM1885">
            <v>591</v>
          </cell>
          <cell r="AN1885">
            <v>1</v>
          </cell>
          <cell r="AO1885">
            <v>393216</v>
          </cell>
          <cell r="AQ1885">
            <v>0</v>
          </cell>
          <cell r="AR1885">
            <v>0</v>
          </cell>
          <cell r="AS1885" t="str">
            <v>Ы</v>
          </cell>
          <cell r="AT1885" t="str">
            <v>Ы</v>
          </cell>
          <cell r="AU1885">
            <v>0</v>
          </cell>
          <cell r="AV1885">
            <v>0</v>
          </cell>
          <cell r="AW1885">
            <v>23</v>
          </cell>
          <cell r="AX1885">
            <v>1</v>
          </cell>
          <cell r="AY1885">
            <v>0</v>
          </cell>
          <cell r="AZ1885">
            <v>0</v>
          </cell>
          <cell r="BA1885">
            <v>0</v>
          </cell>
          <cell r="BB1885">
            <v>0</v>
          </cell>
          <cell r="BC1885">
            <v>38828</v>
          </cell>
        </row>
        <row r="1886">
          <cell r="A1886">
            <v>2006</v>
          </cell>
          <cell r="B1886">
            <v>2</v>
          </cell>
          <cell r="C1886">
            <v>463</v>
          </cell>
          <cell r="D1886">
            <v>21</v>
          </cell>
          <cell r="E1886">
            <v>792020</v>
          </cell>
          <cell r="F1886">
            <v>0</v>
          </cell>
          <cell r="G1886" t="str">
            <v>Затраты по ШПЗ (основные)</v>
          </cell>
          <cell r="H1886">
            <v>2011</v>
          </cell>
          <cell r="I1886">
            <v>7920</v>
          </cell>
          <cell r="J1886">
            <v>26501.94</v>
          </cell>
          <cell r="K1886">
            <v>1</v>
          </cell>
          <cell r="L1886">
            <v>0</v>
          </cell>
          <cell r="M1886">
            <v>0</v>
          </cell>
          <cell r="N1886">
            <v>0</v>
          </cell>
          <cell r="R1886">
            <v>0</v>
          </cell>
          <cell r="S1886">
            <v>0</v>
          </cell>
          <cell r="T1886">
            <v>0</v>
          </cell>
          <cell r="U1886">
            <v>38</v>
          </cell>
          <cell r="V1886">
            <v>0</v>
          </cell>
          <cell r="W1886">
            <v>0</v>
          </cell>
          <cell r="AA1886">
            <v>0</v>
          </cell>
          <cell r="AB1886">
            <v>0</v>
          </cell>
          <cell r="AC1886">
            <v>0</v>
          </cell>
          <cell r="AD1886">
            <v>38</v>
          </cell>
          <cell r="AE1886">
            <v>313000</v>
          </cell>
          <cell r="AF1886">
            <v>0</v>
          </cell>
          <cell r="AI1886">
            <v>2251</v>
          </cell>
          <cell r="AK1886">
            <v>0</v>
          </cell>
          <cell r="AM1886">
            <v>592</v>
          </cell>
          <cell r="AN1886">
            <v>1</v>
          </cell>
          <cell r="AO1886">
            <v>393216</v>
          </cell>
          <cell r="AQ1886">
            <v>0</v>
          </cell>
          <cell r="AR1886">
            <v>0</v>
          </cell>
          <cell r="AS1886" t="str">
            <v>Ы</v>
          </cell>
          <cell r="AT1886" t="str">
            <v>Ы</v>
          </cell>
          <cell r="AU1886">
            <v>0</v>
          </cell>
          <cell r="AV1886">
            <v>0</v>
          </cell>
          <cell r="AW1886">
            <v>23</v>
          </cell>
          <cell r="AX1886">
            <v>1</v>
          </cell>
          <cell r="AY1886">
            <v>0</v>
          </cell>
          <cell r="AZ1886">
            <v>0</v>
          </cell>
          <cell r="BA1886">
            <v>0</v>
          </cell>
          <cell r="BB1886">
            <v>0</v>
          </cell>
          <cell r="BC1886">
            <v>38828</v>
          </cell>
        </row>
        <row r="1887">
          <cell r="A1887">
            <v>2006</v>
          </cell>
          <cell r="B1887">
            <v>2</v>
          </cell>
          <cell r="C1887">
            <v>464</v>
          </cell>
          <cell r="D1887">
            <v>21</v>
          </cell>
          <cell r="E1887">
            <v>792020</v>
          </cell>
          <cell r="F1887">
            <v>0</v>
          </cell>
          <cell r="G1887" t="str">
            <v>Затраты по ШПЗ (основные)</v>
          </cell>
          <cell r="H1887">
            <v>2011</v>
          </cell>
          <cell r="I1887">
            <v>7920</v>
          </cell>
          <cell r="J1887">
            <v>48185.120000000003</v>
          </cell>
          <cell r="K1887">
            <v>1</v>
          </cell>
          <cell r="L1887">
            <v>0</v>
          </cell>
          <cell r="M1887">
            <v>0</v>
          </cell>
          <cell r="N1887">
            <v>0</v>
          </cell>
          <cell r="R1887">
            <v>0</v>
          </cell>
          <cell r="S1887">
            <v>0</v>
          </cell>
          <cell r="T1887">
            <v>0</v>
          </cell>
          <cell r="U1887">
            <v>38</v>
          </cell>
          <cell r="V1887">
            <v>0</v>
          </cell>
          <cell r="W1887">
            <v>0</v>
          </cell>
          <cell r="AA1887">
            <v>0</v>
          </cell>
          <cell r="AB1887">
            <v>0</v>
          </cell>
          <cell r="AC1887">
            <v>0</v>
          </cell>
          <cell r="AD1887">
            <v>38</v>
          </cell>
          <cell r="AE1887">
            <v>314000</v>
          </cell>
          <cell r="AF1887">
            <v>0</v>
          </cell>
          <cell r="AI1887">
            <v>2251</v>
          </cell>
          <cell r="AK1887">
            <v>0</v>
          </cell>
          <cell r="AM1887">
            <v>593</v>
          </cell>
          <cell r="AN1887">
            <v>1</v>
          </cell>
          <cell r="AO1887">
            <v>393216</v>
          </cell>
          <cell r="AQ1887">
            <v>0</v>
          </cell>
          <cell r="AR1887">
            <v>0</v>
          </cell>
          <cell r="AS1887" t="str">
            <v>Ы</v>
          </cell>
          <cell r="AT1887" t="str">
            <v>Ы</v>
          </cell>
          <cell r="AU1887">
            <v>0</v>
          </cell>
          <cell r="AV1887">
            <v>0</v>
          </cell>
          <cell r="AW1887">
            <v>23</v>
          </cell>
          <cell r="AX1887">
            <v>1</v>
          </cell>
          <cell r="AY1887">
            <v>0</v>
          </cell>
          <cell r="AZ1887">
            <v>0</v>
          </cell>
          <cell r="BA1887">
            <v>0</v>
          </cell>
          <cell r="BB1887">
            <v>0</v>
          </cell>
          <cell r="BC1887">
            <v>38828</v>
          </cell>
        </row>
        <row r="1888">
          <cell r="A1888">
            <v>2006</v>
          </cell>
          <cell r="B1888">
            <v>2</v>
          </cell>
          <cell r="C1888">
            <v>465</v>
          </cell>
          <cell r="D1888">
            <v>21</v>
          </cell>
          <cell r="E1888">
            <v>792020</v>
          </cell>
          <cell r="F1888">
            <v>0</v>
          </cell>
          <cell r="G1888" t="str">
            <v>Затраты по ШПЗ (основные)</v>
          </cell>
          <cell r="H1888">
            <v>2011</v>
          </cell>
          <cell r="I1888">
            <v>7920</v>
          </cell>
          <cell r="J1888">
            <v>9632.23</v>
          </cell>
          <cell r="K1888">
            <v>1</v>
          </cell>
          <cell r="L1888">
            <v>0</v>
          </cell>
          <cell r="M1888">
            <v>0</v>
          </cell>
          <cell r="N1888">
            <v>0</v>
          </cell>
          <cell r="R1888">
            <v>0</v>
          </cell>
          <cell r="S1888">
            <v>0</v>
          </cell>
          <cell r="T1888">
            <v>0</v>
          </cell>
          <cell r="U1888">
            <v>38</v>
          </cell>
          <cell r="V1888">
            <v>0</v>
          </cell>
          <cell r="W1888">
            <v>0</v>
          </cell>
          <cell r="AA1888">
            <v>0</v>
          </cell>
          <cell r="AB1888">
            <v>0</v>
          </cell>
          <cell r="AC1888">
            <v>0</v>
          </cell>
          <cell r="AD1888">
            <v>38</v>
          </cell>
          <cell r="AE1888">
            <v>315000</v>
          </cell>
          <cell r="AF1888">
            <v>0</v>
          </cell>
          <cell r="AI1888">
            <v>2251</v>
          </cell>
          <cell r="AK1888">
            <v>0</v>
          </cell>
          <cell r="AM1888">
            <v>594</v>
          </cell>
          <cell r="AN1888">
            <v>1</v>
          </cell>
          <cell r="AO1888">
            <v>393216</v>
          </cell>
          <cell r="AQ1888">
            <v>0</v>
          </cell>
          <cell r="AR1888">
            <v>0</v>
          </cell>
          <cell r="AS1888" t="str">
            <v>Ы</v>
          </cell>
          <cell r="AT1888" t="str">
            <v>Ы</v>
          </cell>
          <cell r="AU1888">
            <v>0</v>
          </cell>
          <cell r="AV1888">
            <v>0</v>
          </cell>
          <cell r="AW1888">
            <v>23</v>
          </cell>
          <cell r="AX1888">
            <v>1</v>
          </cell>
          <cell r="AY1888">
            <v>0</v>
          </cell>
          <cell r="AZ1888">
            <v>0</v>
          </cell>
          <cell r="BA1888">
            <v>0</v>
          </cell>
          <cell r="BB1888">
            <v>0</v>
          </cell>
          <cell r="BC1888">
            <v>38828</v>
          </cell>
        </row>
        <row r="1889">
          <cell r="A1889">
            <v>2006</v>
          </cell>
          <cell r="B1889">
            <v>2</v>
          </cell>
          <cell r="C1889">
            <v>466</v>
          </cell>
          <cell r="D1889">
            <v>21</v>
          </cell>
          <cell r="E1889">
            <v>792020</v>
          </cell>
          <cell r="F1889">
            <v>0</v>
          </cell>
          <cell r="G1889" t="str">
            <v>Затраты по ШПЗ (основные)</v>
          </cell>
          <cell r="H1889">
            <v>2011</v>
          </cell>
          <cell r="I1889">
            <v>7920</v>
          </cell>
          <cell r="J1889">
            <v>857565</v>
          </cell>
          <cell r="K1889">
            <v>1</v>
          </cell>
          <cell r="L1889">
            <v>0</v>
          </cell>
          <cell r="M1889">
            <v>0</v>
          </cell>
          <cell r="N1889">
            <v>0</v>
          </cell>
          <cell r="R1889">
            <v>0</v>
          </cell>
          <cell r="S1889">
            <v>0</v>
          </cell>
          <cell r="T1889">
            <v>0</v>
          </cell>
          <cell r="U1889">
            <v>38</v>
          </cell>
          <cell r="V1889">
            <v>0</v>
          </cell>
          <cell r="W1889">
            <v>0</v>
          </cell>
          <cell r="AA1889">
            <v>0</v>
          </cell>
          <cell r="AB1889">
            <v>0</v>
          </cell>
          <cell r="AC1889">
            <v>0</v>
          </cell>
          <cell r="AD1889">
            <v>38</v>
          </cell>
          <cell r="AE1889">
            <v>410000</v>
          </cell>
          <cell r="AF1889">
            <v>0</v>
          </cell>
          <cell r="AI1889">
            <v>2251</v>
          </cell>
          <cell r="AK1889">
            <v>0</v>
          </cell>
          <cell r="AM1889">
            <v>595</v>
          </cell>
          <cell r="AN1889">
            <v>1</v>
          </cell>
          <cell r="AO1889">
            <v>393216</v>
          </cell>
          <cell r="AQ1889">
            <v>0</v>
          </cell>
          <cell r="AR1889">
            <v>0</v>
          </cell>
          <cell r="AS1889" t="str">
            <v>Ы</v>
          </cell>
          <cell r="AT1889" t="str">
            <v>Ы</v>
          </cell>
          <cell r="AU1889">
            <v>0</v>
          </cell>
          <cell r="AV1889">
            <v>0</v>
          </cell>
          <cell r="AW1889">
            <v>23</v>
          </cell>
          <cell r="AX1889">
            <v>1</v>
          </cell>
          <cell r="AY1889">
            <v>0</v>
          </cell>
          <cell r="AZ1889">
            <v>0</v>
          </cell>
          <cell r="BA1889">
            <v>0</v>
          </cell>
          <cell r="BB1889">
            <v>0</v>
          </cell>
          <cell r="BC1889">
            <v>38828</v>
          </cell>
        </row>
        <row r="1890">
          <cell r="A1890">
            <v>2006</v>
          </cell>
          <cell r="B1890">
            <v>2</v>
          </cell>
          <cell r="C1890">
            <v>467</v>
          </cell>
          <cell r="D1890">
            <v>21</v>
          </cell>
          <cell r="E1890">
            <v>792020</v>
          </cell>
          <cell r="F1890">
            <v>0</v>
          </cell>
          <cell r="G1890" t="str">
            <v>Затраты по ШПЗ (основные)</v>
          </cell>
          <cell r="H1890">
            <v>2011</v>
          </cell>
          <cell r="I1890">
            <v>7920</v>
          </cell>
          <cell r="J1890">
            <v>99750</v>
          </cell>
          <cell r="K1890">
            <v>1</v>
          </cell>
          <cell r="L1890">
            <v>0</v>
          </cell>
          <cell r="M1890">
            <v>0</v>
          </cell>
          <cell r="N1890">
            <v>0</v>
          </cell>
          <cell r="R1890">
            <v>0</v>
          </cell>
          <cell r="S1890">
            <v>0</v>
          </cell>
          <cell r="T1890">
            <v>0</v>
          </cell>
          <cell r="U1890">
            <v>38</v>
          </cell>
          <cell r="V1890">
            <v>0</v>
          </cell>
          <cell r="W1890">
            <v>0</v>
          </cell>
          <cell r="AA1890">
            <v>0</v>
          </cell>
          <cell r="AB1890">
            <v>0</v>
          </cell>
          <cell r="AC1890">
            <v>0</v>
          </cell>
          <cell r="AD1890">
            <v>38</v>
          </cell>
          <cell r="AE1890">
            <v>410100</v>
          </cell>
          <cell r="AF1890">
            <v>0</v>
          </cell>
          <cell r="AI1890">
            <v>2251</v>
          </cell>
          <cell r="AK1890">
            <v>0</v>
          </cell>
          <cell r="AM1890">
            <v>596</v>
          </cell>
          <cell r="AN1890">
            <v>1</v>
          </cell>
          <cell r="AO1890">
            <v>393216</v>
          </cell>
          <cell r="AQ1890">
            <v>0</v>
          </cell>
          <cell r="AR1890">
            <v>0</v>
          </cell>
          <cell r="AS1890" t="str">
            <v>Ы</v>
          </cell>
          <cell r="AT1890" t="str">
            <v>Ы</v>
          </cell>
          <cell r="AU1890">
            <v>0</v>
          </cell>
          <cell r="AV1890">
            <v>0</v>
          </cell>
          <cell r="AW1890">
            <v>23</v>
          </cell>
          <cell r="AX1890">
            <v>1</v>
          </cell>
          <cell r="AY1890">
            <v>0</v>
          </cell>
          <cell r="AZ1890">
            <v>0</v>
          </cell>
          <cell r="BA1890">
            <v>0</v>
          </cell>
          <cell r="BB1890">
            <v>0</v>
          </cell>
          <cell r="BC1890">
            <v>38828</v>
          </cell>
        </row>
        <row r="1891">
          <cell r="A1891">
            <v>2006</v>
          </cell>
          <cell r="B1891">
            <v>2</v>
          </cell>
          <cell r="C1891">
            <v>468</v>
          </cell>
          <cell r="D1891">
            <v>21</v>
          </cell>
          <cell r="E1891">
            <v>792020</v>
          </cell>
          <cell r="F1891">
            <v>0</v>
          </cell>
          <cell r="G1891" t="str">
            <v>Затраты по ШПЗ (основные)</v>
          </cell>
          <cell r="H1891">
            <v>2011</v>
          </cell>
          <cell r="I1891">
            <v>7920</v>
          </cell>
          <cell r="J1891">
            <v>37718</v>
          </cell>
          <cell r="K1891">
            <v>1</v>
          </cell>
          <cell r="L1891">
            <v>0</v>
          </cell>
          <cell r="M1891">
            <v>0</v>
          </cell>
          <cell r="N1891">
            <v>0</v>
          </cell>
          <cell r="R1891">
            <v>0</v>
          </cell>
          <cell r="S1891">
            <v>0</v>
          </cell>
          <cell r="T1891">
            <v>0</v>
          </cell>
          <cell r="U1891">
            <v>38</v>
          </cell>
          <cell r="V1891">
            <v>0</v>
          </cell>
          <cell r="W1891">
            <v>0</v>
          </cell>
          <cell r="AA1891">
            <v>0</v>
          </cell>
          <cell r="AB1891">
            <v>0</v>
          </cell>
          <cell r="AC1891">
            <v>0</v>
          </cell>
          <cell r="AD1891">
            <v>38</v>
          </cell>
          <cell r="AE1891">
            <v>430000</v>
          </cell>
          <cell r="AF1891">
            <v>0</v>
          </cell>
          <cell r="AI1891">
            <v>2251</v>
          </cell>
          <cell r="AK1891">
            <v>0</v>
          </cell>
          <cell r="AM1891">
            <v>597</v>
          </cell>
          <cell r="AN1891">
            <v>1</v>
          </cell>
          <cell r="AO1891">
            <v>393216</v>
          </cell>
          <cell r="AQ1891">
            <v>0</v>
          </cell>
          <cell r="AR1891">
            <v>0</v>
          </cell>
          <cell r="AS1891" t="str">
            <v>Ы</v>
          </cell>
          <cell r="AT1891" t="str">
            <v>Ы</v>
          </cell>
          <cell r="AU1891">
            <v>0</v>
          </cell>
          <cell r="AV1891">
            <v>0</v>
          </cell>
          <cell r="AW1891">
            <v>23</v>
          </cell>
          <cell r="AX1891">
            <v>1</v>
          </cell>
          <cell r="AY1891">
            <v>0</v>
          </cell>
          <cell r="AZ1891">
            <v>0</v>
          </cell>
          <cell r="BA1891">
            <v>0</v>
          </cell>
          <cell r="BB1891">
            <v>0</v>
          </cell>
          <cell r="BC1891">
            <v>38828</v>
          </cell>
        </row>
        <row r="1892">
          <cell r="A1892">
            <v>2006</v>
          </cell>
          <cell r="B1892">
            <v>2</v>
          </cell>
          <cell r="C1892">
            <v>469</v>
          </cell>
          <cell r="D1892">
            <v>21</v>
          </cell>
          <cell r="E1892">
            <v>792020</v>
          </cell>
          <cell r="F1892">
            <v>0</v>
          </cell>
          <cell r="G1892" t="str">
            <v>Затраты по ШПЗ (основные)</v>
          </cell>
          <cell r="H1892">
            <v>2011</v>
          </cell>
          <cell r="I1892">
            <v>7920</v>
          </cell>
          <cell r="J1892">
            <v>552058</v>
          </cell>
          <cell r="K1892">
            <v>1</v>
          </cell>
          <cell r="L1892">
            <v>0</v>
          </cell>
          <cell r="M1892">
            <v>0</v>
          </cell>
          <cell r="N1892">
            <v>0</v>
          </cell>
          <cell r="R1892">
            <v>0</v>
          </cell>
          <cell r="S1892">
            <v>0</v>
          </cell>
          <cell r="T1892">
            <v>0</v>
          </cell>
          <cell r="U1892">
            <v>38</v>
          </cell>
          <cell r="V1892">
            <v>0</v>
          </cell>
          <cell r="W1892">
            <v>0</v>
          </cell>
          <cell r="AA1892">
            <v>0</v>
          </cell>
          <cell r="AB1892">
            <v>0</v>
          </cell>
          <cell r="AC1892">
            <v>0</v>
          </cell>
          <cell r="AD1892">
            <v>38</v>
          </cell>
          <cell r="AE1892">
            <v>430110</v>
          </cell>
          <cell r="AF1892">
            <v>0</v>
          </cell>
          <cell r="AI1892">
            <v>2251</v>
          </cell>
          <cell r="AK1892">
            <v>0</v>
          </cell>
          <cell r="AM1892">
            <v>598</v>
          </cell>
          <cell r="AN1892">
            <v>1</v>
          </cell>
          <cell r="AO1892">
            <v>393216</v>
          </cell>
          <cell r="AQ1892">
            <v>0</v>
          </cell>
          <cell r="AR1892">
            <v>0</v>
          </cell>
          <cell r="AS1892" t="str">
            <v>Ы</v>
          </cell>
          <cell r="AT1892" t="str">
            <v>Ы</v>
          </cell>
          <cell r="AU1892">
            <v>0</v>
          </cell>
          <cell r="AV1892">
            <v>0</v>
          </cell>
          <cell r="AW1892">
            <v>23</v>
          </cell>
          <cell r="AX1892">
            <v>1</v>
          </cell>
          <cell r="AY1892">
            <v>0</v>
          </cell>
          <cell r="AZ1892">
            <v>0</v>
          </cell>
          <cell r="BA1892">
            <v>0</v>
          </cell>
          <cell r="BB1892">
            <v>0</v>
          </cell>
          <cell r="BC1892">
            <v>38828</v>
          </cell>
        </row>
        <row r="1893">
          <cell r="A1893">
            <v>2006</v>
          </cell>
          <cell r="B1893">
            <v>2</v>
          </cell>
          <cell r="C1893">
            <v>470</v>
          </cell>
          <cell r="D1893">
            <v>21</v>
          </cell>
          <cell r="E1893">
            <v>792020</v>
          </cell>
          <cell r="F1893">
            <v>0</v>
          </cell>
          <cell r="G1893" t="str">
            <v>Затраты по ШПЗ (основные)</v>
          </cell>
          <cell r="H1893">
            <v>2011</v>
          </cell>
          <cell r="I1893">
            <v>7920</v>
          </cell>
          <cell r="J1893">
            <v>259848</v>
          </cell>
          <cell r="K1893">
            <v>1</v>
          </cell>
          <cell r="L1893">
            <v>0</v>
          </cell>
          <cell r="M1893">
            <v>0</v>
          </cell>
          <cell r="N1893">
            <v>0</v>
          </cell>
          <cell r="R1893">
            <v>0</v>
          </cell>
          <cell r="S1893">
            <v>0</v>
          </cell>
          <cell r="T1893">
            <v>0</v>
          </cell>
          <cell r="U1893">
            <v>38</v>
          </cell>
          <cell r="V1893">
            <v>0</v>
          </cell>
          <cell r="W1893">
            <v>0</v>
          </cell>
          <cell r="AA1893">
            <v>0</v>
          </cell>
          <cell r="AB1893">
            <v>0</v>
          </cell>
          <cell r="AC1893">
            <v>0</v>
          </cell>
          <cell r="AD1893">
            <v>38</v>
          </cell>
          <cell r="AE1893">
            <v>430120</v>
          </cell>
          <cell r="AF1893">
            <v>0</v>
          </cell>
          <cell r="AI1893">
            <v>2251</v>
          </cell>
          <cell r="AK1893">
            <v>0</v>
          </cell>
          <cell r="AM1893">
            <v>599</v>
          </cell>
          <cell r="AN1893">
            <v>1</v>
          </cell>
          <cell r="AO1893">
            <v>393216</v>
          </cell>
          <cell r="AQ1893">
            <v>0</v>
          </cell>
          <cell r="AR1893">
            <v>0</v>
          </cell>
          <cell r="AS1893" t="str">
            <v>Ы</v>
          </cell>
          <cell r="AT1893" t="str">
            <v>Ы</v>
          </cell>
          <cell r="AU1893">
            <v>0</v>
          </cell>
          <cell r="AV1893">
            <v>0</v>
          </cell>
          <cell r="AW1893">
            <v>23</v>
          </cell>
          <cell r="AX1893">
            <v>1</v>
          </cell>
          <cell r="AY1893">
            <v>0</v>
          </cell>
          <cell r="AZ1893">
            <v>0</v>
          </cell>
          <cell r="BA1893">
            <v>0</v>
          </cell>
          <cell r="BB1893">
            <v>0</v>
          </cell>
          <cell r="BC1893">
            <v>38828</v>
          </cell>
        </row>
        <row r="1894">
          <cell r="A1894">
            <v>2006</v>
          </cell>
          <cell r="B1894">
            <v>2</v>
          </cell>
          <cell r="C1894">
            <v>471</v>
          </cell>
          <cell r="D1894">
            <v>21</v>
          </cell>
          <cell r="E1894">
            <v>792020</v>
          </cell>
          <cell r="F1894">
            <v>0</v>
          </cell>
          <cell r="G1894" t="str">
            <v>Затраты по ШПЗ (основные)</v>
          </cell>
          <cell r="H1894">
            <v>2011</v>
          </cell>
          <cell r="I1894">
            <v>7920</v>
          </cell>
          <cell r="J1894">
            <v>458949</v>
          </cell>
          <cell r="K1894">
            <v>1</v>
          </cell>
          <cell r="L1894">
            <v>0</v>
          </cell>
          <cell r="M1894">
            <v>0</v>
          </cell>
          <cell r="N1894">
            <v>0</v>
          </cell>
          <cell r="R1894">
            <v>0</v>
          </cell>
          <cell r="S1894">
            <v>0</v>
          </cell>
          <cell r="T1894">
            <v>0</v>
          </cell>
          <cell r="U1894">
            <v>38</v>
          </cell>
          <cell r="V1894">
            <v>0</v>
          </cell>
          <cell r="W1894">
            <v>0</v>
          </cell>
          <cell r="AA1894">
            <v>0</v>
          </cell>
          <cell r="AB1894">
            <v>0</v>
          </cell>
          <cell r="AC1894">
            <v>0</v>
          </cell>
          <cell r="AD1894">
            <v>38</v>
          </cell>
          <cell r="AE1894">
            <v>430130</v>
          </cell>
          <cell r="AF1894">
            <v>0</v>
          </cell>
          <cell r="AI1894">
            <v>2251</v>
          </cell>
          <cell r="AK1894">
            <v>0</v>
          </cell>
          <cell r="AM1894">
            <v>600</v>
          </cell>
          <cell r="AN1894">
            <v>1</v>
          </cell>
          <cell r="AO1894">
            <v>393216</v>
          </cell>
          <cell r="AQ1894">
            <v>0</v>
          </cell>
          <cell r="AR1894">
            <v>0</v>
          </cell>
          <cell r="AS1894" t="str">
            <v>Ы</v>
          </cell>
          <cell r="AT1894" t="str">
            <v>Ы</v>
          </cell>
          <cell r="AU1894">
            <v>0</v>
          </cell>
          <cell r="AV1894">
            <v>0</v>
          </cell>
          <cell r="AW1894">
            <v>23</v>
          </cell>
          <cell r="AX1894">
            <v>1</v>
          </cell>
          <cell r="AY1894">
            <v>0</v>
          </cell>
          <cell r="AZ1894">
            <v>0</v>
          </cell>
          <cell r="BA1894">
            <v>0</v>
          </cell>
          <cell r="BB1894">
            <v>0</v>
          </cell>
          <cell r="BC1894">
            <v>38828</v>
          </cell>
        </row>
        <row r="1895">
          <cell r="A1895">
            <v>2006</v>
          </cell>
          <cell r="B1895">
            <v>2</v>
          </cell>
          <cell r="C1895">
            <v>472</v>
          </cell>
          <cell r="D1895">
            <v>21</v>
          </cell>
          <cell r="E1895">
            <v>792020</v>
          </cell>
          <cell r="F1895">
            <v>0</v>
          </cell>
          <cell r="G1895" t="str">
            <v>Затраты по ШПЗ (основные)</v>
          </cell>
          <cell r="H1895">
            <v>2011</v>
          </cell>
          <cell r="I1895">
            <v>7920</v>
          </cell>
          <cell r="J1895">
            <v>394501</v>
          </cell>
          <cell r="K1895">
            <v>1</v>
          </cell>
          <cell r="L1895">
            <v>0</v>
          </cell>
          <cell r="M1895">
            <v>0</v>
          </cell>
          <cell r="N1895">
            <v>0</v>
          </cell>
          <cell r="R1895">
            <v>0</v>
          </cell>
          <cell r="S1895">
            <v>0</v>
          </cell>
          <cell r="T1895">
            <v>0</v>
          </cell>
          <cell r="U1895">
            <v>38</v>
          </cell>
          <cell r="V1895">
            <v>0</v>
          </cell>
          <cell r="W1895">
            <v>0</v>
          </cell>
          <cell r="AA1895">
            <v>0</v>
          </cell>
          <cell r="AB1895">
            <v>0</v>
          </cell>
          <cell r="AC1895">
            <v>0</v>
          </cell>
          <cell r="AD1895">
            <v>38</v>
          </cell>
          <cell r="AE1895">
            <v>430140</v>
          </cell>
          <cell r="AF1895">
            <v>0</v>
          </cell>
          <cell r="AI1895">
            <v>2251</v>
          </cell>
          <cell r="AK1895">
            <v>0</v>
          </cell>
          <cell r="AM1895">
            <v>601</v>
          </cell>
          <cell r="AN1895">
            <v>1</v>
          </cell>
          <cell r="AO1895">
            <v>393216</v>
          </cell>
          <cell r="AQ1895">
            <v>0</v>
          </cell>
          <cell r="AR1895">
            <v>0</v>
          </cell>
          <cell r="AS1895" t="str">
            <v>Ы</v>
          </cell>
          <cell r="AT1895" t="str">
            <v>Ы</v>
          </cell>
          <cell r="AU1895">
            <v>0</v>
          </cell>
          <cell r="AV1895">
            <v>0</v>
          </cell>
          <cell r="AW1895">
            <v>23</v>
          </cell>
          <cell r="AX1895">
            <v>1</v>
          </cell>
          <cell r="AY1895">
            <v>0</v>
          </cell>
          <cell r="AZ1895">
            <v>0</v>
          </cell>
          <cell r="BA1895">
            <v>0</v>
          </cell>
          <cell r="BB1895">
            <v>0</v>
          </cell>
          <cell r="BC1895">
            <v>38828</v>
          </cell>
        </row>
        <row r="1896">
          <cell r="A1896">
            <v>2006</v>
          </cell>
          <cell r="B1896">
            <v>2</v>
          </cell>
          <cell r="C1896">
            <v>473</v>
          </cell>
          <cell r="D1896">
            <v>21</v>
          </cell>
          <cell r="E1896">
            <v>792020</v>
          </cell>
          <cell r="F1896">
            <v>0</v>
          </cell>
          <cell r="G1896" t="str">
            <v>Затраты по ШПЗ (основные)</v>
          </cell>
          <cell r="H1896">
            <v>2011</v>
          </cell>
          <cell r="I1896">
            <v>7920</v>
          </cell>
          <cell r="J1896">
            <v>1341</v>
          </cell>
          <cell r="K1896">
            <v>1</v>
          </cell>
          <cell r="L1896">
            <v>0</v>
          </cell>
          <cell r="M1896">
            <v>0</v>
          </cell>
          <cell r="N1896">
            <v>0</v>
          </cell>
          <cell r="R1896">
            <v>0</v>
          </cell>
          <cell r="S1896">
            <v>0</v>
          </cell>
          <cell r="T1896">
            <v>0</v>
          </cell>
          <cell r="U1896">
            <v>38</v>
          </cell>
          <cell r="V1896">
            <v>0</v>
          </cell>
          <cell r="W1896">
            <v>0</v>
          </cell>
          <cell r="AA1896">
            <v>0</v>
          </cell>
          <cell r="AB1896">
            <v>0</v>
          </cell>
          <cell r="AC1896">
            <v>0</v>
          </cell>
          <cell r="AD1896">
            <v>38</v>
          </cell>
          <cell r="AE1896">
            <v>430230</v>
          </cell>
          <cell r="AF1896">
            <v>0</v>
          </cell>
          <cell r="AI1896">
            <v>2251</v>
          </cell>
          <cell r="AK1896">
            <v>0</v>
          </cell>
          <cell r="AM1896">
            <v>602</v>
          </cell>
          <cell r="AN1896">
            <v>1</v>
          </cell>
          <cell r="AO1896">
            <v>393216</v>
          </cell>
          <cell r="AQ1896">
            <v>0</v>
          </cell>
          <cell r="AR1896">
            <v>0</v>
          </cell>
          <cell r="AS1896" t="str">
            <v>Ы</v>
          </cell>
          <cell r="AT1896" t="str">
            <v>Ы</v>
          </cell>
          <cell r="AU1896">
            <v>0</v>
          </cell>
          <cell r="AV1896">
            <v>0</v>
          </cell>
          <cell r="AW1896">
            <v>23</v>
          </cell>
          <cell r="AX1896">
            <v>1</v>
          </cell>
          <cell r="AY1896">
            <v>0</v>
          </cell>
          <cell r="AZ1896">
            <v>0</v>
          </cell>
          <cell r="BA1896">
            <v>0</v>
          </cell>
          <cell r="BB1896">
            <v>0</v>
          </cell>
          <cell r="BC1896">
            <v>38828</v>
          </cell>
        </row>
        <row r="1897">
          <cell r="A1897">
            <v>2006</v>
          </cell>
          <cell r="B1897">
            <v>2</v>
          </cell>
          <cell r="C1897">
            <v>474</v>
          </cell>
          <cell r="D1897">
            <v>21</v>
          </cell>
          <cell r="E1897">
            <v>792020</v>
          </cell>
          <cell r="F1897">
            <v>0</v>
          </cell>
          <cell r="G1897" t="str">
            <v>Затраты по ШПЗ (основные)</v>
          </cell>
          <cell r="H1897">
            <v>2011</v>
          </cell>
          <cell r="I1897">
            <v>7920</v>
          </cell>
          <cell r="J1897">
            <v>8531</v>
          </cell>
          <cell r="K1897">
            <v>1</v>
          </cell>
          <cell r="L1897">
            <v>0</v>
          </cell>
          <cell r="M1897">
            <v>0</v>
          </cell>
          <cell r="N1897">
            <v>0</v>
          </cell>
          <cell r="R1897">
            <v>0</v>
          </cell>
          <cell r="S1897">
            <v>0</v>
          </cell>
          <cell r="T1897">
            <v>0</v>
          </cell>
          <cell r="U1897">
            <v>38</v>
          </cell>
          <cell r="V1897">
            <v>0</v>
          </cell>
          <cell r="W1897">
            <v>0</v>
          </cell>
          <cell r="AA1897">
            <v>0</v>
          </cell>
          <cell r="AB1897">
            <v>0</v>
          </cell>
          <cell r="AC1897">
            <v>0</v>
          </cell>
          <cell r="AD1897">
            <v>38</v>
          </cell>
          <cell r="AE1897">
            <v>430240</v>
          </cell>
          <cell r="AF1897">
            <v>0</v>
          </cell>
          <cell r="AI1897">
            <v>2251</v>
          </cell>
          <cell r="AK1897">
            <v>0</v>
          </cell>
          <cell r="AM1897">
            <v>603</v>
          </cell>
          <cell r="AN1897">
            <v>1</v>
          </cell>
          <cell r="AO1897">
            <v>393216</v>
          </cell>
          <cell r="AQ1897">
            <v>0</v>
          </cell>
          <cell r="AR1897">
            <v>0</v>
          </cell>
          <cell r="AS1897" t="str">
            <v>Ы</v>
          </cell>
          <cell r="AT1897" t="str">
            <v>Ы</v>
          </cell>
          <cell r="AU1897">
            <v>0</v>
          </cell>
          <cell r="AV1897">
            <v>0</v>
          </cell>
          <cell r="AW1897">
            <v>23</v>
          </cell>
          <cell r="AX1897">
            <v>1</v>
          </cell>
          <cell r="AY1897">
            <v>0</v>
          </cell>
          <cell r="AZ1897">
            <v>0</v>
          </cell>
          <cell r="BA1897">
            <v>0</v>
          </cell>
          <cell r="BB1897">
            <v>0</v>
          </cell>
          <cell r="BC1897">
            <v>38828</v>
          </cell>
        </row>
        <row r="1898">
          <cell r="A1898">
            <v>2006</v>
          </cell>
          <cell r="B1898">
            <v>2</v>
          </cell>
          <cell r="C1898">
            <v>475</v>
          </cell>
          <cell r="D1898">
            <v>21</v>
          </cell>
          <cell r="E1898">
            <v>792020</v>
          </cell>
          <cell r="F1898">
            <v>0</v>
          </cell>
          <cell r="G1898" t="str">
            <v>Затраты по ШПЗ (основные)</v>
          </cell>
          <cell r="H1898">
            <v>2011</v>
          </cell>
          <cell r="I1898">
            <v>7920</v>
          </cell>
          <cell r="J1898">
            <v>36123</v>
          </cell>
          <cell r="K1898">
            <v>1</v>
          </cell>
          <cell r="L1898">
            <v>0</v>
          </cell>
          <cell r="M1898">
            <v>0</v>
          </cell>
          <cell r="N1898">
            <v>0</v>
          </cell>
          <cell r="R1898">
            <v>0</v>
          </cell>
          <cell r="S1898">
            <v>0</v>
          </cell>
          <cell r="T1898">
            <v>0</v>
          </cell>
          <cell r="U1898">
            <v>38</v>
          </cell>
          <cell r="V1898">
            <v>0</v>
          </cell>
          <cell r="W1898">
            <v>0</v>
          </cell>
          <cell r="AA1898">
            <v>0</v>
          </cell>
          <cell r="AB1898">
            <v>0</v>
          </cell>
          <cell r="AC1898">
            <v>0</v>
          </cell>
          <cell r="AD1898">
            <v>38</v>
          </cell>
          <cell r="AE1898">
            <v>450000</v>
          </cell>
          <cell r="AF1898">
            <v>0</v>
          </cell>
          <cell r="AI1898">
            <v>2251</v>
          </cell>
          <cell r="AK1898">
            <v>0</v>
          </cell>
          <cell r="AM1898">
            <v>604</v>
          </cell>
          <cell r="AN1898">
            <v>1</v>
          </cell>
          <cell r="AO1898">
            <v>393216</v>
          </cell>
          <cell r="AQ1898">
            <v>0</v>
          </cell>
          <cell r="AR1898">
            <v>0</v>
          </cell>
          <cell r="AS1898" t="str">
            <v>Ы</v>
          </cell>
          <cell r="AT1898" t="str">
            <v>Ы</v>
          </cell>
          <cell r="AU1898">
            <v>0</v>
          </cell>
          <cell r="AV1898">
            <v>0</v>
          </cell>
          <cell r="AW1898">
            <v>23</v>
          </cell>
          <cell r="AX1898">
            <v>1</v>
          </cell>
          <cell r="AY1898">
            <v>0</v>
          </cell>
          <cell r="AZ1898">
            <v>0</v>
          </cell>
          <cell r="BA1898">
            <v>0</v>
          </cell>
          <cell r="BB1898">
            <v>0</v>
          </cell>
          <cell r="BC1898">
            <v>38828</v>
          </cell>
        </row>
        <row r="1899">
          <cell r="A1899">
            <v>2006</v>
          </cell>
          <cell r="B1899">
            <v>2</v>
          </cell>
          <cell r="C1899">
            <v>476</v>
          </cell>
          <cell r="D1899">
            <v>21</v>
          </cell>
          <cell r="E1899">
            <v>792020</v>
          </cell>
          <cell r="F1899">
            <v>0</v>
          </cell>
          <cell r="G1899" t="str">
            <v>Затраты по ШПЗ (основные)</v>
          </cell>
          <cell r="H1899">
            <v>2011</v>
          </cell>
          <cell r="I1899">
            <v>7920</v>
          </cell>
          <cell r="J1899">
            <v>2132</v>
          </cell>
          <cell r="K1899">
            <v>1</v>
          </cell>
          <cell r="L1899">
            <v>0</v>
          </cell>
          <cell r="M1899">
            <v>0</v>
          </cell>
          <cell r="N1899">
            <v>0</v>
          </cell>
          <cell r="R1899">
            <v>0</v>
          </cell>
          <cell r="S1899">
            <v>0</v>
          </cell>
          <cell r="T1899">
            <v>0</v>
          </cell>
          <cell r="U1899">
            <v>38</v>
          </cell>
          <cell r="V1899">
            <v>0</v>
          </cell>
          <cell r="W1899">
            <v>0</v>
          </cell>
          <cell r="AA1899">
            <v>0</v>
          </cell>
          <cell r="AB1899">
            <v>0</v>
          </cell>
          <cell r="AC1899">
            <v>0</v>
          </cell>
          <cell r="AD1899">
            <v>38</v>
          </cell>
          <cell r="AE1899">
            <v>460000</v>
          </cell>
          <cell r="AF1899">
            <v>0</v>
          </cell>
          <cell r="AI1899">
            <v>2251</v>
          </cell>
          <cell r="AK1899">
            <v>0</v>
          </cell>
          <cell r="AM1899">
            <v>605</v>
          </cell>
          <cell r="AN1899">
            <v>1</v>
          </cell>
          <cell r="AO1899">
            <v>393216</v>
          </cell>
          <cell r="AQ1899">
            <v>0</v>
          </cell>
          <cell r="AR1899">
            <v>0</v>
          </cell>
          <cell r="AS1899" t="str">
            <v>Ы</v>
          </cell>
          <cell r="AT1899" t="str">
            <v>Ы</v>
          </cell>
          <cell r="AU1899">
            <v>0</v>
          </cell>
          <cell r="AV1899">
            <v>0</v>
          </cell>
          <cell r="AW1899">
            <v>23</v>
          </cell>
          <cell r="AX1899">
            <v>1</v>
          </cell>
          <cell r="AY1899">
            <v>0</v>
          </cell>
          <cell r="AZ1899">
            <v>0</v>
          </cell>
          <cell r="BA1899">
            <v>0</v>
          </cell>
          <cell r="BB1899">
            <v>0</v>
          </cell>
          <cell r="BC1899">
            <v>38828</v>
          </cell>
        </row>
        <row r="1900">
          <cell r="A1900">
            <v>2006</v>
          </cell>
          <cell r="B1900">
            <v>2</v>
          </cell>
          <cell r="C1900">
            <v>477</v>
          </cell>
          <cell r="D1900">
            <v>21</v>
          </cell>
          <cell r="E1900">
            <v>792020</v>
          </cell>
          <cell r="F1900">
            <v>0</v>
          </cell>
          <cell r="G1900" t="str">
            <v>Затраты по ШПЗ (основные)</v>
          </cell>
          <cell r="H1900">
            <v>2011</v>
          </cell>
          <cell r="I1900">
            <v>7920</v>
          </cell>
          <cell r="J1900">
            <v>184</v>
          </cell>
          <cell r="K1900">
            <v>1</v>
          </cell>
          <cell r="L1900">
            <v>0</v>
          </cell>
          <cell r="M1900">
            <v>0</v>
          </cell>
          <cell r="N1900">
            <v>0</v>
          </cell>
          <cell r="R1900">
            <v>0</v>
          </cell>
          <cell r="S1900">
            <v>0</v>
          </cell>
          <cell r="T1900">
            <v>0</v>
          </cell>
          <cell r="U1900">
            <v>38</v>
          </cell>
          <cell r="V1900">
            <v>0</v>
          </cell>
          <cell r="W1900">
            <v>0</v>
          </cell>
          <cell r="AA1900">
            <v>0</v>
          </cell>
          <cell r="AB1900">
            <v>0</v>
          </cell>
          <cell r="AC1900">
            <v>0</v>
          </cell>
          <cell r="AD1900">
            <v>38</v>
          </cell>
          <cell r="AE1900">
            <v>465000</v>
          </cell>
          <cell r="AF1900">
            <v>0</v>
          </cell>
          <cell r="AI1900">
            <v>2251</v>
          </cell>
          <cell r="AK1900">
            <v>0</v>
          </cell>
          <cell r="AM1900">
            <v>606</v>
          </cell>
          <cell r="AN1900">
            <v>1</v>
          </cell>
          <cell r="AO1900">
            <v>393216</v>
          </cell>
          <cell r="AQ1900">
            <v>0</v>
          </cell>
          <cell r="AR1900">
            <v>0</v>
          </cell>
          <cell r="AS1900" t="str">
            <v>Ы</v>
          </cell>
          <cell r="AT1900" t="str">
            <v>Ы</v>
          </cell>
          <cell r="AU1900">
            <v>0</v>
          </cell>
          <cell r="AV1900">
            <v>0</v>
          </cell>
          <cell r="AW1900">
            <v>23</v>
          </cell>
          <cell r="AX1900">
            <v>1</v>
          </cell>
          <cell r="AY1900">
            <v>0</v>
          </cell>
          <cell r="AZ1900">
            <v>0</v>
          </cell>
          <cell r="BA1900">
            <v>0</v>
          </cell>
          <cell r="BB1900">
            <v>0</v>
          </cell>
          <cell r="BC1900">
            <v>38828</v>
          </cell>
        </row>
        <row r="1901">
          <cell r="A1901">
            <v>2006</v>
          </cell>
          <cell r="B1901">
            <v>2</v>
          </cell>
          <cell r="C1901">
            <v>478</v>
          </cell>
          <cell r="D1901">
            <v>21</v>
          </cell>
          <cell r="E1901">
            <v>792020</v>
          </cell>
          <cell r="F1901">
            <v>0</v>
          </cell>
          <cell r="G1901" t="str">
            <v>Затраты по ШПЗ (основные)</v>
          </cell>
          <cell r="H1901">
            <v>2011</v>
          </cell>
          <cell r="I1901">
            <v>7920</v>
          </cell>
          <cell r="J1901">
            <v>144325.35</v>
          </cell>
          <cell r="K1901">
            <v>1</v>
          </cell>
          <cell r="L1901">
            <v>0</v>
          </cell>
          <cell r="M1901">
            <v>0</v>
          </cell>
          <cell r="N1901">
            <v>0</v>
          </cell>
          <cell r="R1901">
            <v>0</v>
          </cell>
          <cell r="S1901">
            <v>0</v>
          </cell>
          <cell r="T1901">
            <v>0</v>
          </cell>
          <cell r="U1901">
            <v>38</v>
          </cell>
          <cell r="V1901">
            <v>0</v>
          </cell>
          <cell r="W1901">
            <v>0</v>
          </cell>
          <cell r="AA1901">
            <v>0</v>
          </cell>
          <cell r="AB1901">
            <v>0</v>
          </cell>
          <cell r="AC1901">
            <v>0</v>
          </cell>
          <cell r="AD1901">
            <v>38</v>
          </cell>
          <cell r="AE1901">
            <v>503000</v>
          </cell>
          <cell r="AF1901">
            <v>0</v>
          </cell>
          <cell r="AI1901">
            <v>2251</v>
          </cell>
          <cell r="AK1901">
            <v>0</v>
          </cell>
          <cell r="AM1901">
            <v>607</v>
          </cell>
          <cell r="AN1901">
            <v>1</v>
          </cell>
          <cell r="AO1901">
            <v>393216</v>
          </cell>
          <cell r="AQ1901">
            <v>0</v>
          </cell>
          <cell r="AR1901">
            <v>0</v>
          </cell>
          <cell r="AS1901" t="str">
            <v>Ы</v>
          </cell>
          <cell r="AT1901" t="str">
            <v>Ы</v>
          </cell>
          <cell r="AU1901">
            <v>0</v>
          </cell>
          <cell r="AV1901">
            <v>0</v>
          </cell>
          <cell r="AW1901">
            <v>23</v>
          </cell>
          <cell r="AX1901">
            <v>1</v>
          </cell>
          <cell r="AY1901">
            <v>0</v>
          </cell>
          <cell r="AZ1901">
            <v>0</v>
          </cell>
          <cell r="BA1901">
            <v>0</v>
          </cell>
          <cell r="BB1901">
            <v>0</v>
          </cell>
          <cell r="BC1901">
            <v>38828</v>
          </cell>
        </row>
        <row r="1902">
          <cell r="A1902">
            <v>2006</v>
          </cell>
          <cell r="B1902">
            <v>2</v>
          </cell>
          <cell r="C1902">
            <v>479</v>
          </cell>
          <cell r="D1902">
            <v>21</v>
          </cell>
          <cell r="E1902">
            <v>792020</v>
          </cell>
          <cell r="F1902">
            <v>0</v>
          </cell>
          <cell r="G1902" t="str">
            <v>Затраты по ШПЗ (основные)</v>
          </cell>
          <cell r="H1902">
            <v>2011</v>
          </cell>
          <cell r="I1902">
            <v>7920</v>
          </cell>
          <cell r="J1902">
            <v>22400</v>
          </cell>
          <cell r="K1902">
            <v>1</v>
          </cell>
          <cell r="L1902">
            <v>0</v>
          </cell>
          <cell r="M1902">
            <v>0</v>
          </cell>
          <cell r="N1902">
            <v>0</v>
          </cell>
          <cell r="R1902">
            <v>0</v>
          </cell>
          <cell r="S1902">
            <v>0</v>
          </cell>
          <cell r="T1902">
            <v>0</v>
          </cell>
          <cell r="U1902">
            <v>38</v>
          </cell>
          <cell r="V1902">
            <v>0</v>
          </cell>
          <cell r="W1902">
            <v>0</v>
          </cell>
          <cell r="AA1902">
            <v>0</v>
          </cell>
          <cell r="AB1902">
            <v>0</v>
          </cell>
          <cell r="AC1902">
            <v>0</v>
          </cell>
          <cell r="AD1902">
            <v>38</v>
          </cell>
          <cell r="AE1902">
            <v>504100</v>
          </cell>
          <cell r="AF1902">
            <v>0</v>
          </cell>
          <cell r="AI1902">
            <v>2251</v>
          </cell>
          <cell r="AK1902">
            <v>0</v>
          </cell>
          <cell r="AM1902">
            <v>608</v>
          </cell>
          <cell r="AN1902">
            <v>1</v>
          </cell>
          <cell r="AO1902">
            <v>393216</v>
          </cell>
          <cell r="AQ1902">
            <v>0</v>
          </cell>
          <cell r="AR1902">
            <v>0</v>
          </cell>
          <cell r="AS1902" t="str">
            <v>Ы</v>
          </cell>
          <cell r="AT1902" t="str">
            <v>Ы</v>
          </cell>
          <cell r="AU1902">
            <v>0</v>
          </cell>
          <cell r="AV1902">
            <v>0</v>
          </cell>
          <cell r="AW1902">
            <v>23</v>
          </cell>
          <cell r="AX1902">
            <v>1</v>
          </cell>
          <cell r="AY1902">
            <v>0</v>
          </cell>
          <cell r="AZ1902">
            <v>0</v>
          </cell>
          <cell r="BA1902">
            <v>0</v>
          </cell>
          <cell r="BB1902">
            <v>0</v>
          </cell>
          <cell r="BC1902">
            <v>38828</v>
          </cell>
        </row>
        <row r="1903">
          <cell r="A1903">
            <v>2006</v>
          </cell>
          <cell r="B1903">
            <v>2</v>
          </cell>
          <cell r="C1903">
            <v>480</v>
          </cell>
          <cell r="D1903">
            <v>21</v>
          </cell>
          <cell r="E1903">
            <v>792020</v>
          </cell>
          <cell r="F1903">
            <v>0</v>
          </cell>
          <cell r="G1903" t="str">
            <v>Затраты по ШПЗ (основные)</v>
          </cell>
          <cell r="H1903">
            <v>2011</v>
          </cell>
          <cell r="I1903">
            <v>7920</v>
          </cell>
          <cell r="J1903">
            <v>13352.56</v>
          </cell>
          <cell r="K1903">
            <v>1</v>
          </cell>
          <cell r="L1903">
            <v>0</v>
          </cell>
          <cell r="M1903">
            <v>0</v>
          </cell>
          <cell r="N1903">
            <v>0</v>
          </cell>
          <cell r="R1903">
            <v>0</v>
          </cell>
          <cell r="S1903">
            <v>0</v>
          </cell>
          <cell r="T1903">
            <v>0</v>
          </cell>
          <cell r="U1903">
            <v>38</v>
          </cell>
          <cell r="V1903">
            <v>0</v>
          </cell>
          <cell r="W1903">
            <v>0</v>
          </cell>
          <cell r="AA1903">
            <v>0</v>
          </cell>
          <cell r="AB1903">
            <v>0</v>
          </cell>
          <cell r="AC1903">
            <v>0</v>
          </cell>
          <cell r="AD1903">
            <v>38</v>
          </cell>
          <cell r="AE1903">
            <v>504200</v>
          </cell>
          <cell r="AF1903">
            <v>0</v>
          </cell>
          <cell r="AI1903">
            <v>2251</v>
          </cell>
          <cell r="AK1903">
            <v>0</v>
          </cell>
          <cell r="AM1903">
            <v>609</v>
          </cell>
          <cell r="AN1903">
            <v>1</v>
          </cell>
          <cell r="AO1903">
            <v>393216</v>
          </cell>
          <cell r="AQ1903">
            <v>0</v>
          </cell>
          <cell r="AR1903">
            <v>0</v>
          </cell>
          <cell r="AS1903" t="str">
            <v>Ы</v>
          </cell>
          <cell r="AT1903" t="str">
            <v>Ы</v>
          </cell>
          <cell r="AU1903">
            <v>0</v>
          </cell>
          <cell r="AV1903">
            <v>0</v>
          </cell>
          <cell r="AW1903">
            <v>23</v>
          </cell>
          <cell r="AX1903">
            <v>1</v>
          </cell>
          <cell r="AY1903">
            <v>0</v>
          </cell>
          <cell r="AZ1903">
            <v>0</v>
          </cell>
          <cell r="BA1903">
            <v>0</v>
          </cell>
          <cell r="BB1903">
            <v>0</v>
          </cell>
          <cell r="BC1903">
            <v>38828</v>
          </cell>
        </row>
        <row r="1904">
          <cell r="A1904">
            <v>2006</v>
          </cell>
          <cell r="B1904">
            <v>2</v>
          </cell>
          <cell r="C1904">
            <v>481</v>
          </cell>
          <cell r="D1904">
            <v>21</v>
          </cell>
          <cell r="E1904">
            <v>792020</v>
          </cell>
          <cell r="F1904">
            <v>0</v>
          </cell>
          <cell r="G1904" t="str">
            <v>Затраты по ШПЗ (основные)</v>
          </cell>
          <cell r="H1904">
            <v>2011</v>
          </cell>
          <cell r="I1904">
            <v>7920</v>
          </cell>
          <cell r="J1904">
            <v>660</v>
          </cell>
          <cell r="K1904">
            <v>1</v>
          </cell>
          <cell r="L1904">
            <v>0</v>
          </cell>
          <cell r="M1904">
            <v>0</v>
          </cell>
          <cell r="N1904">
            <v>0</v>
          </cell>
          <cell r="R1904">
            <v>0</v>
          </cell>
          <cell r="S1904">
            <v>0</v>
          </cell>
          <cell r="T1904">
            <v>0</v>
          </cell>
          <cell r="U1904">
            <v>38</v>
          </cell>
          <cell r="V1904">
            <v>0</v>
          </cell>
          <cell r="W1904">
            <v>0</v>
          </cell>
          <cell r="AA1904">
            <v>0</v>
          </cell>
          <cell r="AB1904">
            <v>0</v>
          </cell>
          <cell r="AC1904">
            <v>0</v>
          </cell>
          <cell r="AD1904">
            <v>38</v>
          </cell>
          <cell r="AE1904">
            <v>504400</v>
          </cell>
          <cell r="AF1904">
            <v>0</v>
          </cell>
          <cell r="AI1904">
            <v>2251</v>
          </cell>
          <cell r="AK1904">
            <v>0</v>
          </cell>
          <cell r="AM1904">
            <v>610</v>
          </cell>
          <cell r="AN1904">
            <v>1</v>
          </cell>
          <cell r="AO1904">
            <v>393216</v>
          </cell>
          <cell r="AQ1904">
            <v>0</v>
          </cell>
          <cell r="AR1904">
            <v>0</v>
          </cell>
          <cell r="AS1904" t="str">
            <v>Ы</v>
          </cell>
          <cell r="AT1904" t="str">
            <v>Ы</v>
          </cell>
          <cell r="AU1904">
            <v>0</v>
          </cell>
          <cell r="AV1904">
            <v>0</v>
          </cell>
          <cell r="AW1904">
            <v>23</v>
          </cell>
          <cell r="AX1904">
            <v>1</v>
          </cell>
          <cell r="AY1904">
            <v>0</v>
          </cell>
          <cell r="AZ1904">
            <v>0</v>
          </cell>
          <cell r="BA1904">
            <v>0</v>
          </cell>
          <cell r="BB1904">
            <v>0</v>
          </cell>
          <cell r="BC1904">
            <v>38828</v>
          </cell>
        </row>
        <row r="1905">
          <cell r="A1905">
            <v>2006</v>
          </cell>
          <cell r="B1905">
            <v>2</v>
          </cell>
          <cell r="C1905">
            <v>482</v>
          </cell>
          <cell r="D1905">
            <v>21</v>
          </cell>
          <cell r="E1905">
            <v>792020</v>
          </cell>
          <cell r="F1905">
            <v>0</v>
          </cell>
          <cell r="G1905" t="str">
            <v>Затраты по ШПЗ (основные)</v>
          </cell>
          <cell r="H1905">
            <v>2011</v>
          </cell>
          <cell r="I1905">
            <v>7920</v>
          </cell>
          <cell r="J1905">
            <v>3614.6</v>
          </cell>
          <cell r="K1905">
            <v>1</v>
          </cell>
          <cell r="L1905">
            <v>0</v>
          </cell>
          <cell r="M1905">
            <v>0</v>
          </cell>
          <cell r="N1905">
            <v>0</v>
          </cell>
          <cell r="R1905">
            <v>0</v>
          </cell>
          <cell r="S1905">
            <v>0</v>
          </cell>
          <cell r="T1905">
            <v>0</v>
          </cell>
          <cell r="U1905">
            <v>38</v>
          </cell>
          <cell r="V1905">
            <v>0</v>
          </cell>
          <cell r="W1905">
            <v>0</v>
          </cell>
          <cell r="AA1905">
            <v>0</v>
          </cell>
          <cell r="AB1905">
            <v>0</v>
          </cell>
          <cell r="AC1905">
            <v>0</v>
          </cell>
          <cell r="AD1905">
            <v>38</v>
          </cell>
          <cell r="AE1905">
            <v>505100</v>
          </cell>
          <cell r="AF1905">
            <v>0</v>
          </cell>
          <cell r="AI1905">
            <v>2251</v>
          </cell>
          <cell r="AK1905">
            <v>0</v>
          </cell>
          <cell r="AM1905">
            <v>611</v>
          </cell>
          <cell r="AN1905">
            <v>1</v>
          </cell>
          <cell r="AO1905">
            <v>393216</v>
          </cell>
          <cell r="AQ1905">
            <v>0</v>
          </cell>
          <cell r="AR1905">
            <v>0</v>
          </cell>
          <cell r="AS1905" t="str">
            <v>Ы</v>
          </cell>
          <cell r="AT1905" t="str">
            <v>Ы</v>
          </cell>
          <cell r="AU1905">
            <v>0</v>
          </cell>
          <cell r="AV1905">
            <v>0</v>
          </cell>
          <cell r="AW1905">
            <v>23</v>
          </cell>
          <cell r="AX1905">
            <v>1</v>
          </cell>
          <cell r="AY1905">
            <v>0</v>
          </cell>
          <cell r="AZ1905">
            <v>0</v>
          </cell>
          <cell r="BA1905">
            <v>0</v>
          </cell>
          <cell r="BB1905">
            <v>0</v>
          </cell>
          <cell r="BC1905">
            <v>38828</v>
          </cell>
        </row>
        <row r="1906">
          <cell r="A1906">
            <v>2006</v>
          </cell>
          <cell r="B1906">
            <v>2</v>
          </cell>
          <cell r="C1906">
            <v>483</v>
          </cell>
          <cell r="D1906">
            <v>21</v>
          </cell>
          <cell r="E1906">
            <v>792020</v>
          </cell>
          <cell r="F1906">
            <v>0</v>
          </cell>
          <cell r="G1906" t="str">
            <v>Затраты по ШПЗ (основные)</v>
          </cell>
          <cell r="H1906">
            <v>2011</v>
          </cell>
          <cell r="I1906">
            <v>7920</v>
          </cell>
          <cell r="J1906">
            <v>213225.27</v>
          </cell>
          <cell r="K1906">
            <v>1</v>
          </cell>
          <cell r="L1906">
            <v>0</v>
          </cell>
          <cell r="M1906">
            <v>0</v>
          </cell>
          <cell r="N1906">
            <v>0</v>
          </cell>
          <cell r="R1906">
            <v>0</v>
          </cell>
          <cell r="S1906">
            <v>0</v>
          </cell>
          <cell r="T1906">
            <v>0</v>
          </cell>
          <cell r="U1906">
            <v>38</v>
          </cell>
          <cell r="V1906">
            <v>0</v>
          </cell>
          <cell r="W1906">
            <v>0</v>
          </cell>
          <cell r="AA1906">
            <v>0</v>
          </cell>
          <cell r="AB1906">
            <v>0</v>
          </cell>
          <cell r="AC1906">
            <v>0</v>
          </cell>
          <cell r="AD1906">
            <v>38</v>
          </cell>
          <cell r="AE1906">
            <v>505200</v>
          </cell>
          <cell r="AF1906">
            <v>0</v>
          </cell>
          <cell r="AI1906">
            <v>2251</v>
          </cell>
          <cell r="AK1906">
            <v>0</v>
          </cell>
          <cell r="AM1906">
            <v>612</v>
          </cell>
          <cell r="AN1906">
            <v>1</v>
          </cell>
          <cell r="AO1906">
            <v>393216</v>
          </cell>
          <cell r="AQ1906">
            <v>0</v>
          </cell>
          <cell r="AR1906">
            <v>0</v>
          </cell>
          <cell r="AS1906" t="str">
            <v>Ы</v>
          </cell>
          <cell r="AT1906" t="str">
            <v>Ы</v>
          </cell>
          <cell r="AU1906">
            <v>0</v>
          </cell>
          <cell r="AV1906">
            <v>0</v>
          </cell>
          <cell r="AW1906">
            <v>23</v>
          </cell>
          <cell r="AX1906">
            <v>1</v>
          </cell>
          <cell r="AY1906">
            <v>0</v>
          </cell>
          <cell r="AZ1906">
            <v>0</v>
          </cell>
          <cell r="BA1906">
            <v>0</v>
          </cell>
          <cell r="BB1906">
            <v>0</v>
          </cell>
          <cell r="BC1906">
            <v>38828</v>
          </cell>
        </row>
        <row r="1907">
          <cell r="A1907">
            <v>2006</v>
          </cell>
          <cell r="B1907">
            <v>2</v>
          </cell>
          <cell r="C1907">
            <v>484</v>
          </cell>
          <cell r="D1907">
            <v>21</v>
          </cell>
          <cell r="E1907">
            <v>792020</v>
          </cell>
          <cell r="F1907">
            <v>0</v>
          </cell>
          <cell r="G1907" t="str">
            <v>Затраты по ШПЗ (основные)</v>
          </cell>
          <cell r="H1907">
            <v>2011</v>
          </cell>
          <cell r="I1907">
            <v>7920</v>
          </cell>
          <cell r="J1907">
            <v>164.18</v>
          </cell>
          <cell r="K1907">
            <v>1</v>
          </cell>
          <cell r="L1907">
            <v>0</v>
          </cell>
          <cell r="M1907">
            <v>0</v>
          </cell>
          <cell r="N1907">
            <v>0</v>
          </cell>
          <cell r="R1907">
            <v>0</v>
          </cell>
          <cell r="S1907">
            <v>0</v>
          </cell>
          <cell r="T1907">
            <v>0</v>
          </cell>
          <cell r="U1907">
            <v>38</v>
          </cell>
          <cell r="V1907">
            <v>0</v>
          </cell>
          <cell r="W1907">
            <v>0</v>
          </cell>
          <cell r="AA1907">
            <v>0</v>
          </cell>
          <cell r="AB1907">
            <v>0</v>
          </cell>
          <cell r="AC1907">
            <v>0</v>
          </cell>
          <cell r="AD1907">
            <v>38</v>
          </cell>
          <cell r="AE1907">
            <v>505300</v>
          </cell>
          <cell r="AF1907">
            <v>0</v>
          </cell>
          <cell r="AI1907">
            <v>2251</v>
          </cell>
          <cell r="AK1907">
            <v>0</v>
          </cell>
          <cell r="AM1907">
            <v>613</v>
          </cell>
          <cell r="AN1907">
            <v>1</v>
          </cell>
          <cell r="AO1907">
            <v>393216</v>
          </cell>
          <cell r="AQ1907">
            <v>0</v>
          </cell>
          <cell r="AR1907">
            <v>0</v>
          </cell>
          <cell r="AS1907" t="str">
            <v>Ы</v>
          </cell>
          <cell r="AT1907" t="str">
            <v>Ы</v>
          </cell>
          <cell r="AU1907">
            <v>0</v>
          </cell>
          <cell r="AV1907">
            <v>0</v>
          </cell>
          <cell r="AW1907">
            <v>23</v>
          </cell>
          <cell r="AX1907">
            <v>1</v>
          </cell>
          <cell r="AY1907">
            <v>0</v>
          </cell>
          <cell r="AZ1907">
            <v>0</v>
          </cell>
          <cell r="BA1907">
            <v>0</v>
          </cell>
          <cell r="BB1907">
            <v>0</v>
          </cell>
          <cell r="BC1907">
            <v>38828</v>
          </cell>
        </row>
        <row r="1908">
          <cell r="A1908">
            <v>2006</v>
          </cell>
          <cell r="B1908">
            <v>2</v>
          </cell>
          <cell r="C1908">
            <v>485</v>
          </cell>
          <cell r="D1908">
            <v>21</v>
          </cell>
          <cell r="E1908">
            <v>792020</v>
          </cell>
          <cell r="F1908">
            <v>0</v>
          </cell>
          <cell r="G1908" t="str">
            <v>Затраты по ШПЗ (основные)</v>
          </cell>
          <cell r="H1908">
            <v>2011</v>
          </cell>
          <cell r="I1908">
            <v>7920</v>
          </cell>
          <cell r="J1908">
            <v>431</v>
          </cell>
          <cell r="K1908">
            <v>1</v>
          </cell>
          <cell r="L1908">
            <v>0</v>
          </cell>
          <cell r="M1908">
            <v>0</v>
          </cell>
          <cell r="N1908">
            <v>0</v>
          </cell>
          <cell r="R1908">
            <v>0</v>
          </cell>
          <cell r="S1908">
            <v>0</v>
          </cell>
          <cell r="T1908">
            <v>0</v>
          </cell>
          <cell r="U1908">
            <v>38</v>
          </cell>
          <cell r="V1908">
            <v>0</v>
          </cell>
          <cell r="W1908">
            <v>0</v>
          </cell>
          <cell r="AA1908">
            <v>0</v>
          </cell>
          <cell r="AB1908">
            <v>0</v>
          </cell>
          <cell r="AC1908">
            <v>0</v>
          </cell>
          <cell r="AD1908">
            <v>38</v>
          </cell>
          <cell r="AE1908">
            <v>505400</v>
          </cell>
          <cell r="AF1908">
            <v>0</v>
          </cell>
          <cell r="AI1908">
            <v>2251</v>
          </cell>
          <cell r="AK1908">
            <v>0</v>
          </cell>
          <cell r="AM1908">
            <v>614</v>
          </cell>
          <cell r="AN1908">
            <v>1</v>
          </cell>
          <cell r="AO1908">
            <v>393216</v>
          </cell>
          <cell r="AQ1908">
            <v>0</v>
          </cell>
          <cell r="AR1908">
            <v>0</v>
          </cell>
          <cell r="AS1908" t="str">
            <v>Ы</v>
          </cell>
          <cell r="AT1908" t="str">
            <v>Ы</v>
          </cell>
          <cell r="AU1908">
            <v>0</v>
          </cell>
          <cell r="AV1908">
            <v>0</v>
          </cell>
          <cell r="AW1908">
            <v>23</v>
          </cell>
          <cell r="AX1908">
            <v>1</v>
          </cell>
          <cell r="AY1908">
            <v>0</v>
          </cell>
          <cell r="AZ1908">
            <v>0</v>
          </cell>
          <cell r="BA1908">
            <v>0</v>
          </cell>
          <cell r="BB1908">
            <v>0</v>
          </cell>
          <cell r="BC1908">
            <v>38828</v>
          </cell>
        </row>
        <row r="1909">
          <cell r="A1909">
            <v>2006</v>
          </cell>
          <cell r="B1909">
            <v>2</v>
          </cell>
          <cell r="C1909">
            <v>486</v>
          </cell>
          <cell r="D1909">
            <v>21</v>
          </cell>
          <cell r="E1909">
            <v>792020</v>
          </cell>
          <cell r="F1909">
            <v>0</v>
          </cell>
          <cell r="G1909" t="str">
            <v>Затраты по ШПЗ (основные)</v>
          </cell>
          <cell r="H1909">
            <v>2011</v>
          </cell>
          <cell r="I1909">
            <v>7920</v>
          </cell>
          <cell r="J1909">
            <v>300</v>
          </cell>
          <cell r="K1909">
            <v>1</v>
          </cell>
          <cell r="L1909">
            <v>0</v>
          </cell>
          <cell r="M1909">
            <v>0</v>
          </cell>
          <cell r="N1909">
            <v>0</v>
          </cell>
          <cell r="R1909">
            <v>0</v>
          </cell>
          <cell r="S1909">
            <v>0</v>
          </cell>
          <cell r="T1909">
            <v>0</v>
          </cell>
          <cell r="U1909">
            <v>38</v>
          </cell>
          <cell r="V1909">
            <v>0</v>
          </cell>
          <cell r="W1909">
            <v>0</v>
          </cell>
          <cell r="AA1909">
            <v>0</v>
          </cell>
          <cell r="AB1909">
            <v>0</v>
          </cell>
          <cell r="AC1909">
            <v>0</v>
          </cell>
          <cell r="AD1909">
            <v>38</v>
          </cell>
          <cell r="AE1909">
            <v>506300</v>
          </cell>
          <cell r="AF1909">
            <v>0</v>
          </cell>
          <cell r="AI1909">
            <v>2251</v>
          </cell>
          <cell r="AK1909">
            <v>0</v>
          </cell>
          <cell r="AM1909">
            <v>615</v>
          </cell>
          <cell r="AN1909">
            <v>1</v>
          </cell>
          <cell r="AO1909">
            <v>393216</v>
          </cell>
          <cell r="AQ1909">
            <v>0</v>
          </cell>
          <cell r="AR1909">
            <v>0</v>
          </cell>
          <cell r="AS1909" t="str">
            <v>Ы</v>
          </cell>
          <cell r="AT1909" t="str">
            <v>Ы</v>
          </cell>
          <cell r="AU1909">
            <v>0</v>
          </cell>
          <cell r="AV1909">
            <v>0</v>
          </cell>
          <cell r="AW1909">
            <v>23</v>
          </cell>
          <cell r="AX1909">
            <v>1</v>
          </cell>
          <cell r="AY1909">
            <v>0</v>
          </cell>
          <cell r="AZ1909">
            <v>0</v>
          </cell>
          <cell r="BA1909">
            <v>0</v>
          </cell>
          <cell r="BB1909">
            <v>0</v>
          </cell>
          <cell r="BC1909">
            <v>38828</v>
          </cell>
        </row>
        <row r="1910">
          <cell r="A1910">
            <v>2006</v>
          </cell>
          <cell r="B1910">
            <v>2</v>
          </cell>
          <cell r="C1910">
            <v>487</v>
          </cell>
          <cell r="D1910">
            <v>21</v>
          </cell>
          <cell r="E1910">
            <v>792020</v>
          </cell>
          <cell r="F1910">
            <v>0</v>
          </cell>
          <cell r="G1910" t="str">
            <v>Затраты по ШПЗ (основные)</v>
          </cell>
          <cell r="H1910">
            <v>2011</v>
          </cell>
          <cell r="I1910">
            <v>7920</v>
          </cell>
          <cell r="J1910">
            <v>334095.56</v>
          </cell>
          <cell r="K1910">
            <v>1</v>
          </cell>
          <cell r="L1910">
            <v>0</v>
          </cell>
          <cell r="M1910">
            <v>0</v>
          </cell>
          <cell r="N1910">
            <v>0</v>
          </cell>
          <cell r="R1910">
            <v>0</v>
          </cell>
          <cell r="S1910">
            <v>0</v>
          </cell>
          <cell r="T1910">
            <v>0</v>
          </cell>
          <cell r="U1910">
            <v>38</v>
          </cell>
          <cell r="V1910">
            <v>0</v>
          </cell>
          <cell r="W1910">
            <v>0</v>
          </cell>
          <cell r="AA1910">
            <v>0</v>
          </cell>
          <cell r="AB1910">
            <v>0</v>
          </cell>
          <cell r="AC1910">
            <v>0</v>
          </cell>
          <cell r="AD1910">
            <v>38</v>
          </cell>
          <cell r="AE1910">
            <v>510100</v>
          </cell>
          <cell r="AF1910">
            <v>0</v>
          </cell>
          <cell r="AI1910">
            <v>2251</v>
          </cell>
          <cell r="AK1910">
            <v>0</v>
          </cell>
          <cell r="AM1910">
            <v>616</v>
          </cell>
          <cell r="AN1910">
            <v>1</v>
          </cell>
          <cell r="AO1910">
            <v>393216</v>
          </cell>
          <cell r="AQ1910">
            <v>0</v>
          </cell>
          <cell r="AR1910">
            <v>0</v>
          </cell>
          <cell r="AS1910" t="str">
            <v>Ы</v>
          </cell>
          <cell r="AT1910" t="str">
            <v>Ы</v>
          </cell>
          <cell r="AU1910">
            <v>0</v>
          </cell>
          <cell r="AV1910">
            <v>0</v>
          </cell>
          <cell r="AW1910">
            <v>23</v>
          </cell>
          <cell r="AX1910">
            <v>1</v>
          </cell>
          <cell r="AY1910">
            <v>0</v>
          </cell>
          <cell r="AZ1910">
            <v>0</v>
          </cell>
          <cell r="BA1910">
            <v>0</v>
          </cell>
          <cell r="BB1910">
            <v>0</v>
          </cell>
          <cell r="BC1910">
            <v>38828</v>
          </cell>
        </row>
        <row r="1911">
          <cell r="A1911">
            <v>2006</v>
          </cell>
          <cell r="B1911">
            <v>2</v>
          </cell>
          <cell r="C1911">
            <v>488</v>
          </cell>
          <cell r="D1911">
            <v>21</v>
          </cell>
          <cell r="E1911">
            <v>792020</v>
          </cell>
          <cell r="F1911">
            <v>0</v>
          </cell>
          <cell r="G1911" t="str">
            <v>Затраты по ШПЗ (основные)</v>
          </cell>
          <cell r="H1911">
            <v>2011</v>
          </cell>
          <cell r="I1911">
            <v>7920</v>
          </cell>
          <cell r="J1911">
            <v>159.9</v>
          </cell>
          <cell r="K1911">
            <v>1</v>
          </cell>
          <cell r="L1911">
            <v>0</v>
          </cell>
          <cell r="M1911">
            <v>0</v>
          </cell>
          <cell r="N1911">
            <v>0</v>
          </cell>
          <cell r="R1911">
            <v>0</v>
          </cell>
          <cell r="S1911">
            <v>0</v>
          </cell>
          <cell r="T1911">
            <v>0</v>
          </cell>
          <cell r="U1911">
            <v>38</v>
          </cell>
          <cell r="V1911">
            <v>0</v>
          </cell>
          <cell r="W1911">
            <v>0</v>
          </cell>
          <cell r="AA1911">
            <v>0</v>
          </cell>
          <cell r="AB1911">
            <v>0</v>
          </cell>
          <cell r="AC1911">
            <v>0</v>
          </cell>
          <cell r="AD1911">
            <v>38</v>
          </cell>
          <cell r="AE1911">
            <v>510200</v>
          </cell>
          <cell r="AF1911">
            <v>0</v>
          </cell>
          <cell r="AI1911">
            <v>2251</v>
          </cell>
          <cell r="AK1911">
            <v>0</v>
          </cell>
          <cell r="AM1911">
            <v>617</v>
          </cell>
          <cell r="AN1911">
            <v>1</v>
          </cell>
          <cell r="AO1911">
            <v>393216</v>
          </cell>
          <cell r="AQ1911">
            <v>0</v>
          </cell>
          <cell r="AR1911">
            <v>0</v>
          </cell>
          <cell r="AS1911" t="str">
            <v>Ы</v>
          </cell>
          <cell r="AT1911" t="str">
            <v>Ы</v>
          </cell>
          <cell r="AU1911">
            <v>0</v>
          </cell>
          <cell r="AV1911">
            <v>0</v>
          </cell>
          <cell r="AW1911">
            <v>23</v>
          </cell>
          <cell r="AX1911">
            <v>1</v>
          </cell>
          <cell r="AY1911">
            <v>0</v>
          </cell>
          <cell r="AZ1911">
            <v>0</v>
          </cell>
          <cell r="BA1911">
            <v>0</v>
          </cell>
          <cell r="BB1911">
            <v>0</v>
          </cell>
          <cell r="BC1911">
            <v>38828</v>
          </cell>
        </row>
        <row r="1912">
          <cell r="A1912">
            <v>2006</v>
          </cell>
          <cell r="B1912">
            <v>2</v>
          </cell>
          <cell r="C1912">
            <v>489</v>
          </cell>
          <cell r="D1912">
            <v>21</v>
          </cell>
          <cell r="E1912">
            <v>792020</v>
          </cell>
          <cell r="F1912">
            <v>0</v>
          </cell>
          <cell r="G1912" t="str">
            <v>Затраты по ШПЗ (основные)</v>
          </cell>
          <cell r="H1912">
            <v>2011</v>
          </cell>
          <cell r="I1912">
            <v>7920</v>
          </cell>
          <cell r="J1912">
            <v>2176</v>
          </cell>
          <cell r="K1912">
            <v>1</v>
          </cell>
          <cell r="L1912">
            <v>0</v>
          </cell>
          <cell r="M1912">
            <v>0</v>
          </cell>
          <cell r="N1912">
            <v>0</v>
          </cell>
          <cell r="R1912">
            <v>0</v>
          </cell>
          <cell r="S1912">
            <v>0</v>
          </cell>
          <cell r="T1912">
            <v>0</v>
          </cell>
          <cell r="U1912">
            <v>38</v>
          </cell>
          <cell r="V1912">
            <v>0</v>
          </cell>
          <cell r="W1912">
            <v>0</v>
          </cell>
          <cell r="AA1912">
            <v>0</v>
          </cell>
          <cell r="AB1912">
            <v>0</v>
          </cell>
          <cell r="AC1912">
            <v>0</v>
          </cell>
          <cell r="AD1912">
            <v>38</v>
          </cell>
          <cell r="AE1912">
            <v>510300</v>
          </cell>
          <cell r="AF1912">
            <v>0</v>
          </cell>
          <cell r="AI1912">
            <v>2251</v>
          </cell>
          <cell r="AK1912">
            <v>0</v>
          </cell>
          <cell r="AM1912">
            <v>618</v>
          </cell>
          <cell r="AN1912">
            <v>1</v>
          </cell>
          <cell r="AO1912">
            <v>393216</v>
          </cell>
          <cell r="AQ1912">
            <v>0</v>
          </cell>
          <cell r="AR1912">
            <v>0</v>
          </cell>
          <cell r="AS1912" t="str">
            <v>Ы</v>
          </cell>
          <cell r="AT1912" t="str">
            <v>Ы</v>
          </cell>
          <cell r="AU1912">
            <v>0</v>
          </cell>
          <cell r="AV1912">
            <v>0</v>
          </cell>
          <cell r="AW1912">
            <v>23</v>
          </cell>
          <cell r="AX1912">
            <v>1</v>
          </cell>
          <cell r="AY1912">
            <v>0</v>
          </cell>
          <cell r="AZ1912">
            <v>0</v>
          </cell>
          <cell r="BA1912">
            <v>0</v>
          </cell>
          <cell r="BB1912">
            <v>0</v>
          </cell>
          <cell r="BC1912">
            <v>38828</v>
          </cell>
        </row>
        <row r="1913">
          <cell r="A1913">
            <v>2006</v>
          </cell>
          <cell r="B1913">
            <v>2</v>
          </cell>
          <cell r="C1913">
            <v>490</v>
          </cell>
          <cell r="D1913">
            <v>21</v>
          </cell>
          <cell r="E1913">
            <v>792020</v>
          </cell>
          <cell r="F1913">
            <v>0</v>
          </cell>
          <cell r="G1913" t="str">
            <v>Затраты по ШПЗ (основные)</v>
          </cell>
          <cell r="H1913">
            <v>2011</v>
          </cell>
          <cell r="I1913">
            <v>7920</v>
          </cell>
          <cell r="J1913">
            <v>3563.17</v>
          </cell>
          <cell r="K1913">
            <v>1</v>
          </cell>
          <cell r="L1913">
            <v>0</v>
          </cell>
          <cell r="M1913">
            <v>0</v>
          </cell>
          <cell r="N1913">
            <v>0</v>
          </cell>
          <cell r="R1913">
            <v>0</v>
          </cell>
          <cell r="S1913">
            <v>0</v>
          </cell>
          <cell r="T1913">
            <v>0</v>
          </cell>
          <cell r="U1913">
            <v>38</v>
          </cell>
          <cell r="V1913">
            <v>0</v>
          </cell>
          <cell r="W1913">
            <v>0</v>
          </cell>
          <cell r="AA1913">
            <v>0</v>
          </cell>
          <cell r="AB1913">
            <v>0</v>
          </cell>
          <cell r="AC1913">
            <v>0</v>
          </cell>
          <cell r="AD1913">
            <v>38</v>
          </cell>
          <cell r="AE1913">
            <v>510400</v>
          </cell>
          <cell r="AF1913">
            <v>0</v>
          </cell>
          <cell r="AI1913">
            <v>2251</v>
          </cell>
          <cell r="AK1913">
            <v>0</v>
          </cell>
          <cell r="AM1913">
            <v>619</v>
          </cell>
          <cell r="AN1913">
            <v>1</v>
          </cell>
          <cell r="AO1913">
            <v>393216</v>
          </cell>
          <cell r="AQ1913">
            <v>0</v>
          </cell>
          <cell r="AR1913">
            <v>0</v>
          </cell>
          <cell r="AS1913" t="str">
            <v>Ы</v>
          </cell>
          <cell r="AT1913" t="str">
            <v>Ы</v>
          </cell>
          <cell r="AU1913">
            <v>0</v>
          </cell>
          <cell r="AV1913">
            <v>0</v>
          </cell>
          <cell r="AW1913">
            <v>23</v>
          </cell>
          <cell r="AX1913">
            <v>1</v>
          </cell>
          <cell r="AY1913">
            <v>0</v>
          </cell>
          <cell r="AZ1913">
            <v>0</v>
          </cell>
          <cell r="BA1913">
            <v>0</v>
          </cell>
          <cell r="BB1913">
            <v>0</v>
          </cell>
          <cell r="BC1913">
            <v>38828</v>
          </cell>
        </row>
        <row r="1914">
          <cell r="A1914">
            <v>2006</v>
          </cell>
          <cell r="B1914">
            <v>2</v>
          </cell>
          <cell r="C1914">
            <v>491</v>
          </cell>
          <cell r="D1914">
            <v>21</v>
          </cell>
          <cell r="E1914">
            <v>792020</v>
          </cell>
          <cell r="F1914">
            <v>0</v>
          </cell>
          <cell r="G1914" t="str">
            <v>Затраты по ШПЗ (основные)</v>
          </cell>
          <cell r="H1914">
            <v>2011</v>
          </cell>
          <cell r="I1914">
            <v>7920</v>
          </cell>
          <cell r="J1914">
            <v>219619</v>
          </cell>
          <cell r="K1914">
            <v>1</v>
          </cell>
          <cell r="L1914">
            <v>0</v>
          </cell>
          <cell r="M1914">
            <v>0</v>
          </cell>
          <cell r="N1914">
            <v>0</v>
          </cell>
          <cell r="R1914">
            <v>0</v>
          </cell>
          <cell r="S1914">
            <v>0</v>
          </cell>
          <cell r="T1914">
            <v>0</v>
          </cell>
          <cell r="U1914">
            <v>38</v>
          </cell>
          <cell r="V1914">
            <v>0</v>
          </cell>
          <cell r="W1914">
            <v>0</v>
          </cell>
          <cell r="AA1914">
            <v>0</v>
          </cell>
          <cell r="AB1914">
            <v>0</v>
          </cell>
          <cell r="AC1914">
            <v>0</v>
          </cell>
          <cell r="AD1914">
            <v>38</v>
          </cell>
          <cell r="AE1914">
            <v>510600</v>
          </cell>
          <cell r="AF1914">
            <v>0</v>
          </cell>
          <cell r="AI1914">
            <v>2251</v>
          </cell>
          <cell r="AK1914">
            <v>0</v>
          </cell>
          <cell r="AM1914">
            <v>620</v>
          </cell>
          <cell r="AN1914">
            <v>1</v>
          </cell>
          <cell r="AO1914">
            <v>393216</v>
          </cell>
          <cell r="AQ1914">
            <v>0</v>
          </cell>
          <cell r="AR1914">
            <v>0</v>
          </cell>
          <cell r="AS1914" t="str">
            <v>Ы</v>
          </cell>
          <cell r="AT1914" t="str">
            <v>Ы</v>
          </cell>
          <cell r="AU1914">
            <v>0</v>
          </cell>
          <cell r="AV1914">
            <v>0</v>
          </cell>
          <cell r="AW1914">
            <v>23</v>
          </cell>
          <cell r="AX1914">
            <v>1</v>
          </cell>
          <cell r="AY1914">
            <v>0</v>
          </cell>
          <cell r="AZ1914">
            <v>0</v>
          </cell>
          <cell r="BA1914">
            <v>0</v>
          </cell>
          <cell r="BB1914">
            <v>0</v>
          </cell>
          <cell r="BC1914">
            <v>38828</v>
          </cell>
        </row>
        <row r="1915">
          <cell r="A1915">
            <v>2006</v>
          </cell>
          <cell r="B1915">
            <v>2</v>
          </cell>
          <cell r="C1915">
            <v>492</v>
          </cell>
          <cell r="D1915">
            <v>21</v>
          </cell>
          <cell r="E1915">
            <v>792020</v>
          </cell>
          <cell r="F1915">
            <v>0</v>
          </cell>
          <cell r="G1915" t="str">
            <v>Затраты по ШПЗ (основные)</v>
          </cell>
          <cell r="H1915">
            <v>2011</v>
          </cell>
          <cell r="I1915">
            <v>7920</v>
          </cell>
          <cell r="J1915">
            <v>14498.7</v>
          </cell>
          <cell r="K1915">
            <v>1</v>
          </cell>
          <cell r="L1915">
            <v>0</v>
          </cell>
          <cell r="M1915">
            <v>0</v>
          </cell>
          <cell r="N1915">
            <v>0</v>
          </cell>
          <cell r="R1915">
            <v>0</v>
          </cell>
          <cell r="S1915">
            <v>0</v>
          </cell>
          <cell r="T1915">
            <v>0</v>
          </cell>
          <cell r="U1915">
            <v>38</v>
          </cell>
          <cell r="V1915">
            <v>0</v>
          </cell>
          <cell r="W1915">
            <v>0</v>
          </cell>
          <cell r="AA1915">
            <v>0</v>
          </cell>
          <cell r="AB1915">
            <v>0</v>
          </cell>
          <cell r="AC1915">
            <v>0</v>
          </cell>
          <cell r="AD1915">
            <v>38</v>
          </cell>
          <cell r="AE1915">
            <v>513600</v>
          </cell>
          <cell r="AF1915">
            <v>0</v>
          </cell>
          <cell r="AI1915">
            <v>2251</v>
          </cell>
          <cell r="AK1915">
            <v>0</v>
          </cell>
          <cell r="AM1915">
            <v>621</v>
          </cell>
          <cell r="AN1915">
            <v>1</v>
          </cell>
          <cell r="AO1915">
            <v>393216</v>
          </cell>
          <cell r="AQ1915">
            <v>0</v>
          </cell>
          <cell r="AR1915">
            <v>0</v>
          </cell>
          <cell r="AS1915" t="str">
            <v>Ы</v>
          </cell>
          <cell r="AT1915" t="str">
            <v>Ы</v>
          </cell>
          <cell r="AU1915">
            <v>0</v>
          </cell>
          <cell r="AV1915">
            <v>0</v>
          </cell>
          <cell r="AW1915">
            <v>23</v>
          </cell>
          <cell r="AX1915">
            <v>1</v>
          </cell>
          <cell r="AY1915">
            <v>0</v>
          </cell>
          <cell r="AZ1915">
            <v>0</v>
          </cell>
          <cell r="BA1915">
            <v>0</v>
          </cell>
          <cell r="BB1915">
            <v>0</v>
          </cell>
          <cell r="BC1915">
            <v>38828</v>
          </cell>
        </row>
        <row r="1916">
          <cell r="A1916">
            <v>2006</v>
          </cell>
          <cell r="B1916">
            <v>2</v>
          </cell>
          <cell r="C1916">
            <v>530</v>
          </cell>
          <cell r="D1916">
            <v>21</v>
          </cell>
          <cell r="E1916">
            <v>792020</v>
          </cell>
          <cell r="F1916">
            <v>0</v>
          </cell>
          <cell r="G1916" t="str">
            <v>Затраты по ШПЗ (основные)</v>
          </cell>
          <cell r="H1916">
            <v>2011</v>
          </cell>
          <cell r="I1916">
            <v>7920</v>
          </cell>
          <cell r="J1916">
            <v>429710.41</v>
          </cell>
          <cell r="K1916">
            <v>1</v>
          </cell>
          <cell r="L1916">
            <v>0</v>
          </cell>
          <cell r="M1916">
            <v>0</v>
          </cell>
          <cell r="N1916">
            <v>0</v>
          </cell>
          <cell r="R1916">
            <v>0</v>
          </cell>
          <cell r="S1916">
            <v>0</v>
          </cell>
          <cell r="T1916">
            <v>0</v>
          </cell>
          <cell r="U1916">
            <v>42</v>
          </cell>
          <cell r="V1916">
            <v>0</v>
          </cell>
          <cell r="W1916">
            <v>0</v>
          </cell>
          <cell r="AA1916">
            <v>0</v>
          </cell>
          <cell r="AB1916">
            <v>0</v>
          </cell>
          <cell r="AC1916">
            <v>0</v>
          </cell>
          <cell r="AD1916">
            <v>42</v>
          </cell>
          <cell r="AE1916">
            <v>110000</v>
          </cell>
          <cell r="AF1916">
            <v>0</v>
          </cell>
          <cell r="AI1916">
            <v>2251</v>
          </cell>
          <cell r="AK1916">
            <v>0</v>
          </cell>
          <cell r="AM1916">
            <v>659</v>
          </cell>
          <cell r="AN1916">
            <v>1</v>
          </cell>
          <cell r="AO1916">
            <v>393216</v>
          </cell>
          <cell r="AQ1916">
            <v>0</v>
          </cell>
          <cell r="AR1916">
            <v>0</v>
          </cell>
          <cell r="AS1916" t="str">
            <v>Ы</v>
          </cell>
          <cell r="AT1916" t="str">
            <v>Ы</v>
          </cell>
          <cell r="AU1916">
            <v>0</v>
          </cell>
          <cell r="AV1916">
            <v>0</v>
          </cell>
          <cell r="AW1916">
            <v>23</v>
          </cell>
          <cell r="AX1916">
            <v>1</v>
          </cell>
          <cell r="AY1916">
            <v>0</v>
          </cell>
          <cell r="AZ1916">
            <v>0</v>
          </cell>
          <cell r="BA1916">
            <v>0</v>
          </cell>
          <cell r="BB1916">
            <v>0</v>
          </cell>
          <cell r="BC1916">
            <v>38828</v>
          </cell>
        </row>
        <row r="1917">
          <cell r="A1917">
            <v>2006</v>
          </cell>
          <cell r="B1917">
            <v>2</v>
          </cell>
          <cell r="C1917">
            <v>531</v>
          </cell>
          <cell r="D1917">
            <v>21</v>
          </cell>
          <cell r="E1917">
            <v>792020</v>
          </cell>
          <cell r="F1917">
            <v>0</v>
          </cell>
          <cell r="G1917" t="str">
            <v>Затраты по ШПЗ (основные)</v>
          </cell>
          <cell r="H1917">
            <v>2011</v>
          </cell>
          <cell r="I1917">
            <v>7920</v>
          </cell>
          <cell r="J1917">
            <v>11414.82</v>
          </cell>
          <cell r="K1917">
            <v>1</v>
          </cell>
          <cell r="L1917">
            <v>0</v>
          </cell>
          <cell r="M1917">
            <v>0</v>
          </cell>
          <cell r="N1917">
            <v>0</v>
          </cell>
          <cell r="R1917">
            <v>0</v>
          </cell>
          <cell r="S1917">
            <v>0</v>
          </cell>
          <cell r="T1917">
            <v>0</v>
          </cell>
          <cell r="U1917">
            <v>42</v>
          </cell>
          <cell r="V1917">
            <v>0</v>
          </cell>
          <cell r="W1917">
            <v>0</v>
          </cell>
          <cell r="AA1917">
            <v>0</v>
          </cell>
          <cell r="AB1917">
            <v>0</v>
          </cell>
          <cell r="AC1917">
            <v>0</v>
          </cell>
          <cell r="AD1917">
            <v>42</v>
          </cell>
          <cell r="AE1917">
            <v>114020</v>
          </cell>
          <cell r="AF1917">
            <v>0</v>
          </cell>
          <cell r="AI1917">
            <v>2251</v>
          </cell>
          <cell r="AK1917">
            <v>0</v>
          </cell>
          <cell r="AM1917">
            <v>660</v>
          </cell>
          <cell r="AN1917">
            <v>1</v>
          </cell>
          <cell r="AO1917">
            <v>393216</v>
          </cell>
          <cell r="AQ1917">
            <v>0</v>
          </cell>
          <cell r="AR1917">
            <v>0</v>
          </cell>
          <cell r="AS1917" t="str">
            <v>Ы</v>
          </cell>
          <cell r="AT1917" t="str">
            <v>Ы</v>
          </cell>
          <cell r="AU1917">
            <v>0</v>
          </cell>
          <cell r="AV1917">
            <v>0</v>
          </cell>
          <cell r="AW1917">
            <v>23</v>
          </cell>
          <cell r="AX1917">
            <v>1</v>
          </cell>
          <cell r="AY1917">
            <v>0</v>
          </cell>
          <cell r="AZ1917">
            <v>0</v>
          </cell>
          <cell r="BA1917">
            <v>0</v>
          </cell>
          <cell r="BB1917">
            <v>0</v>
          </cell>
          <cell r="BC1917">
            <v>38828</v>
          </cell>
        </row>
        <row r="1918">
          <cell r="A1918">
            <v>2006</v>
          </cell>
          <cell r="B1918">
            <v>2</v>
          </cell>
          <cell r="C1918">
            <v>532</v>
          </cell>
          <cell r="D1918">
            <v>21</v>
          </cell>
          <cell r="E1918">
            <v>792020</v>
          </cell>
          <cell r="F1918">
            <v>0</v>
          </cell>
          <cell r="G1918" t="str">
            <v>Затраты по ШПЗ (основные)</v>
          </cell>
          <cell r="H1918">
            <v>2011</v>
          </cell>
          <cell r="I1918">
            <v>7920</v>
          </cell>
          <cell r="J1918">
            <v>1500012.91</v>
          </cell>
          <cell r="K1918">
            <v>1</v>
          </cell>
          <cell r="L1918">
            <v>0</v>
          </cell>
          <cell r="M1918">
            <v>0</v>
          </cell>
          <cell r="N1918">
            <v>0</v>
          </cell>
          <cell r="R1918">
            <v>0</v>
          </cell>
          <cell r="S1918">
            <v>0</v>
          </cell>
          <cell r="T1918">
            <v>0</v>
          </cell>
          <cell r="U1918">
            <v>42</v>
          </cell>
          <cell r="V1918">
            <v>0</v>
          </cell>
          <cell r="W1918">
            <v>0</v>
          </cell>
          <cell r="AA1918">
            <v>0</v>
          </cell>
          <cell r="AB1918">
            <v>0</v>
          </cell>
          <cell r="AC1918">
            <v>0</v>
          </cell>
          <cell r="AD1918">
            <v>42</v>
          </cell>
          <cell r="AE1918">
            <v>116000</v>
          </cell>
          <cell r="AF1918">
            <v>0</v>
          </cell>
          <cell r="AI1918">
            <v>2251</v>
          </cell>
          <cell r="AK1918">
            <v>0</v>
          </cell>
          <cell r="AM1918">
            <v>661</v>
          </cell>
          <cell r="AN1918">
            <v>1</v>
          </cell>
          <cell r="AO1918">
            <v>393216</v>
          </cell>
          <cell r="AQ1918">
            <v>0</v>
          </cell>
          <cell r="AR1918">
            <v>0</v>
          </cell>
          <cell r="AS1918" t="str">
            <v>Ы</v>
          </cell>
          <cell r="AT1918" t="str">
            <v>Ы</v>
          </cell>
          <cell r="AU1918">
            <v>0</v>
          </cell>
          <cell r="AV1918">
            <v>0</v>
          </cell>
          <cell r="AW1918">
            <v>23</v>
          </cell>
          <cell r="AX1918">
            <v>1</v>
          </cell>
          <cell r="AY1918">
            <v>0</v>
          </cell>
          <cell r="AZ1918">
            <v>0</v>
          </cell>
          <cell r="BA1918">
            <v>0</v>
          </cell>
          <cell r="BB1918">
            <v>0</v>
          </cell>
          <cell r="BC1918">
            <v>38828</v>
          </cell>
        </row>
        <row r="1919">
          <cell r="A1919">
            <v>2006</v>
          </cell>
          <cell r="B1919">
            <v>2</v>
          </cell>
          <cell r="C1919">
            <v>533</v>
          </cell>
          <cell r="D1919">
            <v>21</v>
          </cell>
          <cell r="E1919">
            <v>792020</v>
          </cell>
          <cell r="F1919">
            <v>0</v>
          </cell>
          <cell r="G1919" t="str">
            <v>Затраты по ШПЗ (основные)</v>
          </cell>
          <cell r="H1919">
            <v>2011</v>
          </cell>
          <cell r="I1919">
            <v>7920</v>
          </cell>
          <cell r="J1919">
            <v>36937.1</v>
          </cell>
          <cell r="K1919">
            <v>1</v>
          </cell>
          <cell r="L1919">
            <v>0</v>
          </cell>
          <cell r="M1919">
            <v>0</v>
          </cell>
          <cell r="N1919">
            <v>0</v>
          </cell>
          <cell r="R1919">
            <v>0</v>
          </cell>
          <cell r="S1919">
            <v>0</v>
          </cell>
          <cell r="T1919">
            <v>0</v>
          </cell>
          <cell r="U1919">
            <v>42</v>
          </cell>
          <cell r="V1919">
            <v>0</v>
          </cell>
          <cell r="W1919">
            <v>0</v>
          </cell>
          <cell r="AA1919">
            <v>0</v>
          </cell>
          <cell r="AB1919">
            <v>0</v>
          </cell>
          <cell r="AC1919">
            <v>0</v>
          </cell>
          <cell r="AD1919">
            <v>42</v>
          </cell>
          <cell r="AE1919">
            <v>117000</v>
          </cell>
          <cell r="AF1919">
            <v>0</v>
          </cell>
          <cell r="AI1919">
            <v>2251</v>
          </cell>
          <cell r="AK1919">
            <v>0</v>
          </cell>
          <cell r="AM1919">
            <v>662</v>
          </cell>
          <cell r="AN1919">
            <v>1</v>
          </cell>
          <cell r="AO1919">
            <v>393216</v>
          </cell>
          <cell r="AQ1919">
            <v>0</v>
          </cell>
          <cell r="AR1919">
            <v>0</v>
          </cell>
          <cell r="AS1919" t="str">
            <v>Ы</v>
          </cell>
          <cell r="AT1919" t="str">
            <v>Ы</v>
          </cell>
          <cell r="AU1919">
            <v>0</v>
          </cell>
          <cell r="AV1919">
            <v>0</v>
          </cell>
          <cell r="AW1919">
            <v>23</v>
          </cell>
          <cell r="AX1919">
            <v>1</v>
          </cell>
          <cell r="AY1919">
            <v>0</v>
          </cell>
          <cell r="AZ1919">
            <v>0</v>
          </cell>
          <cell r="BA1919">
            <v>0</v>
          </cell>
          <cell r="BB1919">
            <v>0</v>
          </cell>
          <cell r="BC1919">
            <v>38828</v>
          </cell>
        </row>
        <row r="1920">
          <cell r="A1920">
            <v>2006</v>
          </cell>
          <cell r="B1920">
            <v>2</v>
          </cell>
          <cell r="C1920">
            <v>534</v>
          </cell>
          <cell r="D1920">
            <v>21</v>
          </cell>
          <cell r="E1920">
            <v>792020</v>
          </cell>
          <cell r="F1920">
            <v>0</v>
          </cell>
          <cell r="G1920" t="str">
            <v>Затраты по ШПЗ (основные)</v>
          </cell>
          <cell r="H1920">
            <v>2011</v>
          </cell>
          <cell r="I1920">
            <v>7920</v>
          </cell>
          <cell r="J1920">
            <v>63834.81</v>
          </cell>
          <cell r="K1920">
            <v>1</v>
          </cell>
          <cell r="L1920">
            <v>0</v>
          </cell>
          <cell r="M1920">
            <v>0</v>
          </cell>
          <cell r="N1920">
            <v>0</v>
          </cell>
          <cell r="R1920">
            <v>0</v>
          </cell>
          <cell r="S1920">
            <v>0</v>
          </cell>
          <cell r="T1920">
            <v>0</v>
          </cell>
          <cell r="U1920">
            <v>42</v>
          </cell>
          <cell r="V1920">
            <v>0</v>
          </cell>
          <cell r="W1920">
            <v>0</v>
          </cell>
          <cell r="AA1920">
            <v>0</v>
          </cell>
          <cell r="AB1920">
            <v>0</v>
          </cell>
          <cell r="AC1920">
            <v>0</v>
          </cell>
          <cell r="AD1920">
            <v>42</v>
          </cell>
          <cell r="AE1920">
            <v>118000</v>
          </cell>
          <cell r="AF1920">
            <v>0</v>
          </cell>
          <cell r="AI1920">
            <v>2251</v>
          </cell>
          <cell r="AK1920">
            <v>0</v>
          </cell>
          <cell r="AM1920">
            <v>663</v>
          </cell>
          <cell r="AN1920">
            <v>1</v>
          </cell>
          <cell r="AO1920">
            <v>393216</v>
          </cell>
          <cell r="AQ1920">
            <v>0</v>
          </cell>
          <cell r="AR1920">
            <v>0</v>
          </cell>
          <cell r="AS1920" t="str">
            <v>Ы</v>
          </cell>
          <cell r="AT1920" t="str">
            <v>Ы</v>
          </cell>
          <cell r="AU1920">
            <v>0</v>
          </cell>
          <cell r="AV1920">
            <v>0</v>
          </cell>
          <cell r="AW1920">
            <v>23</v>
          </cell>
          <cell r="AX1920">
            <v>1</v>
          </cell>
          <cell r="AY1920">
            <v>0</v>
          </cell>
          <cell r="AZ1920">
            <v>0</v>
          </cell>
          <cell r="BA1920">
            <v>0</v>
          </cell>
          <cell r="BB1920">
            <v>0</v>
          </cell>
          <cell r="BC1920">
            <v>38828</v>
          </cell>
        </row>
        <row r="1921">
          <cell r="A1921">
            <v>2006</v>
          </cell>
          <cell r="B1921">
            <v>2</v>
          </cell>
          <cell r="C1921">
            <v>535</v>
          </cell>
          <cell r="D1921">
            <v>21</v>
          </cell>
          <cell r="E1921">
            <v>792020</v>
          </cell>
          <cell r="F1921">
            <v>0</v>
          </cell>
          <cell r="G1921" t="str">
            <v>Затраты по ШПЗ (основные)</v>
          </cell>
          <cell r="H1921">
            <v>2011</v>
          </cell>
          <cell r="I1921">
            <v>7920</v>
          </cell>
          <cell r="J1921">
            <v>10356.6</v>
          </cell>
          <cell r="K1921">
            <v>1</v>
          </cell>
          <cell r="L1921">
            <v>0</v>
          </cell>
          <cell r="M1921">
            <v>0</v>
          </cell>
          <cell r="N1921">
            <v>0</v>
          </cell>
          <cell r="R1921">
            <v>0</v>
          </cell>
          <cell r="S1921">
            <v>0</v>
          </cell>
          <cell r="T1921">
            <v>0</v>
          </cell>
          <cell r="U1921">
            <v>42</v>
          </cell>
          <cell r="V1921">
            <v>0</v>
          </cell>
          <cell r="W1921">
            <v>0</v>
          </cell>
          <cell r="AA1921">
            <v>0</v>
          </cell>
          <cell r="AB1921">
            <v>0</v>
          </cell>
          <cell r="AC1921">
            <v>0</v>
          </cell>
          <cell r="AD1921">
            <v>42</v>
          </cell>
          <cell r="AE1921">
            <v>130000</v>
          </cell>
          <cell r="AF1921">
            <v>0</v>
          </cell>
          <cell r="AI1921">
            <v>2251</v>
          </cell>
          <cell r="AK1921">
            <v>0</v>
          </cell>
          <cell r="AM1921">
            <v>664</v>
          </cell>
          <cell r="AN1921">
            <v>1</v>
          </cell>
          <cell r="AO1921">
            <v>393216</v>
          </cell>
          <cell r="AQ1921">
            <v>0</v>
          </cell>
          <cell r="AR1921">
            <v>0</v>
          </cell>
          <cell r="AS1921" t="str">
            <v>Ы</v>
          </cell>
          <cell r="AT1921" t="str">
            <v>Ы</v>
          </cell>
          <cell r="AU1921">
            <v>0</v>
          </cell>
          <cell r="AV1921">
            <v>0</v>
          </cell>
          <cell r="AW1921">
            <v>23</v>
          </cell>
          <cell r="AX1921">
            <v>1</v>
          </cell>
          <cell r="AY1921">
            <v>0</v>
          </cell>
          <cell r="AZ1921">
            <v>0</v>
          </cell>
          <cell r="BA1921">
            <v>0</v>
          </cell>
          <cell r="BB1921">
            <v>0</v>
          </cell>
          <cell r="BC1921">
            <v>38828</v>
          </cell>
        </row>
        <row r="1922">
          <cell r="A1922">
            <v>2006</v>
          </cell>
          <cell r="B1922">
            <v>2</v>
          </cell>
          <cell r="C1922">
            <v>536</v>
          </cell>
          <cell r="D1922">
            <v>21</v>
          </cell>
          <cell r="E1922">
            <v>792020</v>
          </cell>
          <cell r="F1922">
            <v>0</v>
          </cell>
          <cell r="G1922" t="str">
            <v>Затраты по ШПЗ (основные)</v>
          </cell>
          <cell r="H1922">
            <v>2011</v>
          </cell>
          <cell r="I1922">
            <v>7920</v>
          </cell>
          <cell r="J1922">
            <v>30709.56</v>
          </cell>
          <cell r="K1922">
            <v>1</v>
          </cell>
          <cell r="L1922">
            <v>0</v>
          </cell>
          <cell r="M1922">
            <v>0</v>
          </cell>
          <cell r="N1922">
            <v>0</v>
          </cell>
          <cell r="R1922">
            <v>0</v>
          </cell>
          <cell r="S1922">
            <v>0</v>
          </cell>
          <cell r="T1922">
            <v>0</v>
          </cell>
          <cell r="U1922">
            <v>42</v>
          </cell>
          <cell r="V1922">
            <v>0</v>
          </cell>
          <cell r="W1922">
            <v>0</v>
          </cell>
          <cell r="AA1922">
            <v>0</v>
          </cell>
          <cell r="AB1922">
            <v>0</v>
          </cell>
          <cell r="AC1922">
            <v>0</v>
          </cell>
          <cell r="AD1922">
            <v>42</v>
          </cell>
          <cell r="AE1922">
            <v>131000</v>
          </cell>
          <cell r="AF1922">
            <v>0</v>
          </cell>
          <cell r="AI1922">
            <v>2251</v>
          </cell>
          <cell r="AK1922">
            <v>0</v>
          </cell>
          <cell r="AM1922">
            <v>665</v>
          </cell>
          <cell r="AN1922">
            <v>1</v>
          </cell>
          <cell r="AO1922">
            <v>393216</v>
          </cell>
          <cell r="AQ1922">
            <v>0</v>
          </cell>
          <cell r="AR1922">
            <v>0</v>
          </cell>
          <cell r="AS1922" t="str">
            <v>Ы</v>
          </cell>
          <cell r="AT1922" t="str">
            <v>Ы</v>
          </cell>
          <cell r="AU1922">
            <v>0</v>
          </cell>
          <cell r="AV1922">
            <v>0</v>
          </cell>
          <cell r="AW1922">
            <v>23</v>
          </cell>
          <cell r="AX1922">
            <v>1</v>
          </cell>
          <cell r="AY1922">
            <v>0</v>
          </cell>
          <cell r="AZ1922">
            <v>0</v>
          </cell>
          <cell r="BA1922">
            <v>0</v>
          </cell>
          <cell r="BB1922">
            <v>0</v>
          </cell>
          <cell r="BC1922">
            <v>38828</v>
          </cell>
        </row>
        <row r="1923">
          <cell r="A1923">
            <v>2006</v>
          </cell>
          <cell r="B1923">
            <v>2</v>
          </cell>
          <cell r="C1923">
            <v>537</v>
          </cell>
          <cell r="D1923">
            <v>21</v>
          </cell>
          <cell r="E1923">
            <v>792020</v>
          </cell>
          <cell r="F1923">
            <v>0</v>
          </cell>
          <cell r="G1923" t="str">
            <v>Затраты по ШПЗ (основные)</v>
          </cell>
          <cell r="H1923">
            <v>2011</v>
          </cell>
          <cell r="I1923">
            <v>7920</v>
          </cell>
          <cell r="J1923">
            <v>649808.03</v>
          </cell>
          <cell r="K1923">
            <v>1</v>
          </cell>
          <cell r="L1923">
            <v>0</v>
          </cell>
          <cell r="M1923">
            <v>0</v>
          </cell>
          <cell r="N1923">
            <v>0</v>
          </cell>
          <cell r="R1923">
            <v>0</v>
          </cell>
          <cell r="S1923">
            <v>0</v>
          </cell>
          <cell r="T1923">
            <v>0</v>
          </cell>
          <cell r="U1923">
            <v>42</v>
          </cell>
          <cell r="V1923">
            <v>0</v>
          </cell>
          <cell r="W1923">
            <v>0</v>
          </cell>
          <cell r="AA1923">
            <v>0</v>
          </cell>
          <cell r="AB1923">
            <v>0</v>
          </cell>
          <cell r="AC1923">
            <v>0</v>
          </cell>
          <cell r="AD1923">
            <v>42</v>
          </cell>
          <cell r="AE1923">
            <v>131100</v>
          </cell>
          <cell r="AF1923">
            <v>0</v>
          </cell>
          <cell r="AI1923">
            <v>2251</v>
          </cell>
          <cell r="AK1923">
            <v>0</v>
          </cell>
          <cell r="AM1923">
            <v>666</v>
          </cell>
          <cell r="AN1923">
            <v>1</v>
          </cell>
          <cell r="AO1923">
            <v>393216</v>
          </cell>
          <cell r="AQ1923">
            <v>0</v>
          </cell>
          <cell r="AR1923">
            <v>0</v>
          </cell>
          <cell r="AS1923" t="str">
            <v>Ы</v>
          </cell>
          <cell r="AT1923" t="str">
            <v>Ы</v>
          </cell>
          <cell r="AU1923">
            <v>0</v>
          </cell>
          <cell r="AV1923">
            <v>0</v>
          </cell>
          <cell r="AW1923">
            <v>23</v>
          </cell>
          <cell r="AX1923">
            <v>1</v>
          </cell>
          <cell r="AY1923">
            <v>0</v>
          </cell>
          <cell r="AZ1923">
            <v>0</v>
          </cell>
          <cell r="BA1923">
            <v>0</v>
          </cell>
          <cell r="BB1923">
            <v>0</v>
          </cell>
          <cell r="BC1923">
            <v>38828</v>
          </cell>
        </row>
        <row r="1924">
          <cell r="A1924">
            <v>2006</v>
          </cell>
          <cell r="B1924">
            <v>2</v>
          </cell>
          <cell r="C1924">
            <v>538</v>
          </cell>
          <cell r="D1924">
            <v>21</v>
          </cell>
          <cell r="E1924">
            <v>792020</v>
          </cell>
          <cell r="F1924">
            <v>0</v>
          </cell>
          <cell r="G1924" t="str">
            <v>Затраты по ШПЗ (основные)</v>
          </cell>
          <cell r="H1924">
            <v>2011</v>
          </cell>
          <cell r="I1924">
            <v>7920</v>
          </cell>
          <cell r="J1924">
            <v>254256.94</v>
          </cell>
          <cell r="K1924">
            <v>1</v>
          </cell>
          <cell r="L1924">
            <v>0</v>
          </cell>
          <cell r="M1924">
            <v>0</v>
          </cell>
          <cell r="N1924">
            <v>0</v>
          </cell>
          <cell r="R1924">
            <v>0</v>
          </cell>
          <cell r="S1924">
            <v>0</v>
          </cell>
          <cell r="T1924">
            <v>0</v>
          </cell>
          <cell r="U1924">
            <v>42</v>
          </cell>
          <cell r="V1924">
            <v>0</v>
          </cell>
          <cell r="W1924">
            <v>0</v>
          </cell>
          <cell r="AA1924">
            <v>0</v>
          </cell>
          <cell r="AB1924">
            <v>0</v>
          </cell>
          <cell r="AC1924">
            <v>0</v>
          </cell>
          <cell r="AD1924">
            <v>42</v>
          </cell>
          <cell r="AE1924">
            <v>132000</v>
          </cell>
          <cell r="AF1924">
            <v>0</v>
          </cell>
          <cell r="AI1924">
            <v>2251</v>
          </cell>
          <cell r="AK1924">
            <v>0</v>
          </cell>
          <cell r="AM1924">
            <v>667</v>
          </cell>
          <cell r="AN1924">
            <v>1</v>
          </cell>
          <cell r="AO1924">
            <v>393216</v>
          </cell>
          <cell r="AQ1924">
            <v>0</v>
          </cell>
          <cell r="AR1924">
            <v>0</v>
          </cell>
          <cell r="AS1924" t="str">
            <v>Ы</v>
          </cell>
          <cell r="AT1924" t="str">
            <v>Ы</v>
          </cell>
          <cell r="AU1924">
            <v>0</v>
          </cell>
          <cell r="AV1924">
            <v>0</v>
          </cell>
          <cell r="AW1924">
            <v>23</v>
          </cell>
          <cell r="AX1924">
            <v>1</v>
          </cell>
          <cell r="AY1924">
            <v>0</v>
          </cell>
          <cell r="AZ1924">
            <v>0</v>
          </cell>
          <cell r="BA1924">
            <v>0</v>
          </cell>
          <cell r="BB1924">
            <v>0</v>
          </cell>
          <cell r="BC1924">
            <v>38828</v>
          </cell>
        </row>
        <row r="1925">
          <cell r="A1925">
            <v>2006</v>
          </cell>
          <cell r="B1925">
            <v>2</v>
          </cell>
          <cell r="C1925">
            <v>539</v>
          </cell>
          <cell r="D1925">
            <v>21</v>
          </cell>
          <cell r="E1925">
            <v>792020</v>
          </cell>
          <cell r="F1925">
            <v>0</v>
          </cell>
          <cell r="G1925" t="str">
            <v>Затраты по ШПЗ (основные)</v>
          </cell>
          <cell r="H1925">
            <v>2011</v>
          </cell>
          <cell r="I1925">
            <v>7920</v>
          </cell>
          <cell r="J1925">
            <v>3014.4</v>
          </cell>
          <cell r="K1925">
            <v>1</v>
          </cell>
          <cell r="L1925">
            <v>0</v>
          </cell>
          <cell r="M1925">
            <v>0</v>
          </cell>
          <cell r="N1925">
            <v>0</v>
          </cell>
          <cell r="R1925">
            <v>0</v>
          </cell>
          <cell r="S1925">
            <v>0</v>
          </cell>
          <cell r="T1925">
            <v>0</v>
          </cell>
          <cell r="U1925">
            <v>42</v>
          </cell>
          <cell r="V1925">
            <v>0</v>
          </cell>
          <cell r="W1925">
            <v>0</v>
          </cell>
          <cell r="AA1925">
            <v>0</v>
          </cell>
          <cell r="AB1925">
            <v>0</v>
          </cell>
          <cell r="AC1925">
            <v>0</v>
          </cell>
          <cell r="AD1925">
            <v>42</v>
          </cell>
          <cell r="AE1925">
            <v>133100</v>
          </cell>
          <cell r="AF1925">
            <v>0</v>
          </cell>
          <cell r="AI1925">
            <v>2251</v>
          </cell>
          <cell r="AK1925">
            <v>0</v>
          </cell>
          <cell r="AM1925">
            <v>668</v>
          </cell>
          <cell r="AN1925">
            <v>1</v>
          </cell>
          <cell r="AO1925">
            <v>393216</v>
          </cell>
          <cell r="AQ1925">
            <v>0</v>
          </cell>
          <cell r="AR1925">
            <v>0</v>
          </cell>
          <cell r="AS1925" t="str">
            <v>Ы</v>
          </cell>
          <cell r="AT1925" t="str">
            <v>Ы</v>
          </cell>
          <cell r="AU1925">
            <v>0</v>
          </cell>
          <cell r="AV1925">
            <v>0</v>
          </cell>
          <cell r="AW1925">
            <v>23</v>
          </cell>
          <cell r="AX1925">
            <v>1</v>
          </cell>
          <cell r="AY1925">
            <v>0</v>
          </cell>
          <cell r="AZ1925">
            <v>0</v>
          </cell>
          <cell r="BA1925">
            <v>0</v>
          </cell>
          <cell r="BB1925">
            <v>0</v>
          </cell>
          <cell r="BC1925">
            <v>38828</v>
          </cell>
        </row>
        <row r="1926">
          <cell r="A1926">
            <v>2006</v>
          </cell>
          <cell r="B1926">
            <v>2</v>
          </cell>
          <cell r="C1926">
            <v>540</v>
          </cell>
          <cell r="D1926">
            <v>21</v>
          </cell>
          <cell r="E1926">
            <v>792020</v>
          </cell>
          <cell r="F1926">
            <v>0</v>
          </cell>
          <cell r="G1926" t="str">
            <v>Затраты по ШПЗ (основные)</v>
          </cell>
          <cell r="H1926">
            <v>2011</v>
          </cell>
          <cell r="I1926">
            <v>7920</v>
          </cell>
          <cell r="J1926">
            <v>945709.18</v>
          </cell>
          <cell r="K1926">
            <v>1</v>
          </cell>
          <cell r="L1926">
            <v>0</v>
          </cell>
          <cell r="M1926">
            <v>0</v>
          </cell>
          <cell r="N1926">
            <v>0</v>
          </cell>
          <cell r="R1926">
            <v>0</v>
          </cell>
          <cell r="S1926">
            <v>0</v>
          </cell>
          <cell r="T1926">
            <v>0</v>
          </cell>
          <cell r="U1926">
            <v>42</v>
          </cell>
          <cell r="V1926">
            <v>0</v>
          </cell>
          <cell r="W1926">
            <v>0</v>
          </cell>
          <cell r="AA1926">
            <v>0</v>
          </cell>
          <cell r="AB1926">
            <v>0</v>
          </cell>
          <cell r="AC1926">
            <v>0</v>
          </cell>
          <cell r="AD1926">
            <v>42</v>
          </cell>
          <cell r="AE1926">
            <v>133200</v>
          </cell>
          <cell r="AF1926">
            <v>0</v>
          </cell>
          <cell r="AI1926">
            <v>2251</v>
          </cell>
          <cell r="AK1926">
            <v>0</v>
          </cell>
          <cell r="AM1926">
            <v>669</v>
          </cell>
          <cell r="AN1926">
            <v>1</v>
          </cell>
          <cell r="AO1926">
            <v>393216</v>
          </cell>
          <cell r="AQ1926">
            <v>0</v>
          </cell>
          <cell r="AR1926">
            <v>0</v>
          </cell>
          <cell r="AS1926" t="str">
            <v>Ы</v>
          </cell>
          <cell r="AT1926" t="str">
            <v>Ы</v>
          </cell>
          <cell r="AU1926">
            <v>0</v>
          </cell>
          <cell r="AV1926">
            <v>0</v>
          </cell>
          <cell r="AW1926">
            <v>23</v>
          </cell>
          <cell r="AX1926">
            <v>1</v>
          </cell>
          <cell r="AY1926">
            <v>0</v>
          </cell>
          <cell r="AZ1926">
            <v>0</v>
          </cell>
          <cell r="BA1926">
            <v>0</v>
          </cell>
          <cell r="BB1926">
            <v>0</v>
          </cell>
          <cell r="BC1926">
            <v>38828</v>
          </cell>
        </row>
        <row r="1927">
          <cell r="A1927">
            <v>2006</v>
          </cell>
          <cell r="B1927">
            <v>2</v>
          </cell>
          <cell r="C1927">
            <v>541</v>
          </cell>
          <cell r="D1927">
            <v>21</v>
          </cell>
          <cell r="E1927">
            <v>792020</v>
          </cell>
          <cell r="F1927">
            <v>0</v>
          </cell>
          <cell r="G1927" t="str">
            <v>Затраты по ШПЗ (основные)</v>
          </cell>
          <cell r="H1927">
            <v>2011</v>
          </cell>
          <cell r="I1927">
            <v>7920</v>
          </cell>
          <cell r="J1927">
            <v>27142.959999999999</v>
          </cell>
          <cell r="K1927">
            <v>1</v>
          </cell>
          <cell r="L1927">
            <v>0</v>
          </cell>
          <cell r="M1927">
            <v>0</v>
          </cell>
          <cell r="N1927">
            <v>0</v>
          </cell>
          <cell r="R1927">
            <v>0</v>
          </cell>
          <cell r="S1927">
            <v>0</v>
          </cell>
          <cell r="T1927">
            <v>0</v>
          </cell>
          <cell r="U1927">
            <v>42</v>
          </cell>
          <cell r="V1927">
            <v>0</v>
          </cell>
          <cell r="W1927">
            <v>0</v>
          </cell>
          <cell r="AA1927">
            <v>0</v>
          </cell>
          <cell r="AB1927">
            <v>0</v>
          </cell>
          <cell r="AC1927">
            <v>0</v>
          </cell>
          <cell r="AD1927">
            <v>42</v>
          </cell>
          <cell r="AE1927">
            <v>135000</v>
          </cell>
          <cell r="AF1927">
            <v>0</v>
          </cell>
          <cell r="AI1927">
            <v>2251</v>
          </cell>
          <cell r="AK1927">
            <v>0</v>
          </cell>
          <cell r="AM1927">
            <v>670</v>
          </cell>
          <cell r="AN1927">
            <v>1</v>
          </cell>
          <cell r="AO1927">
            <v>393216</v>
          </cell>
          <cell r="AQ1927">
            <v>0</v>
          </cell>
          <cell r="AR1927">
            <v>0</v>
          </cell>
          <cell r="AS1927" t="str">
            <v>Ы</v>
          </cell>
          <cell r="AT1927" t="str">
            <v>Ы</v>
          </cell>
          <cell r="AU1927">
            <v>0</v>
          </cell>
          <cell r="AV1927">
            <v>0</v>
          </cell>
          <cell r="AW1927">
            <v>23</v>
          </cell>
          <cell r="AX1927">
            <v>1</v>
          </cell>
          <cell r="AY1927">
            <v>0</v>
          </cell>
          <cell r="AZ1927">
            <v>0</v>
          </cell>
          <cell r="BA1927">
            <v>0</v>
          </cell>
          <cell r="BB1927">
            <v>0</v>
          </cell>
          <cell r="BC1927">
            <v>38828</v>
          </cell>
        </row>
        <row r="1928">
          <cell r="A1928">
            <v>2006</v>
          </cell>
          <cell r="B1928">
            <v>2</v>
          </cell>
          <cell r="C1928">
            <v>542</v>
          </cell>
          <cell r="D1928">
            <v>21</v>
          </cell>
          <cell r="E1928">
            <v>792020</v>
          </cell>
          <cell r="F1928">
            <v>0</v>
          </cell>
          <cell r="G1928" t="str">
            <v>Затраты по ШПЗ (основные)</v>
          </cell>
          <cell r="H1928">
            <v>2011</v>
          </cell>
          <cell r="I1928">
            <v>7920</v>
          </cell>
          <cell r="J1928">
            <v>1238736.18</v>
          </cell>
          <cell r="K1928">
            <v>1</v>
          </cell>
          <cell r="L1928">
            <v>0</v>
          </cell>
          <cell r="M1928">
            <v>0</v>
          </cell>
          <cell r="N1928">
            <v>0</v>
          </cell>
          <cell r="R1928">
            <v>0</v>
          </cell>
          <cell r="S1928">
            <v>0</v>
          </cell>
          <cell r="T1928">
            <v>0</v>
          </cell>
          <cell r="U1928">
            <v>42</v>
          </cell>
          <cell r="V1928">
            <v>0</v>
          </cell>
          <cell r="W1928">
            <v>0</v>
          </cell>
          <cell r="AA1928">
            <v>0</v>
          </cell>
          <cell r="AB1928">
            <v>0</v>
          </cell>
          <cell r="AC1928">
            <v>0</v>
          </cell>
          <cell r="AD1928">
            <v>42</v>
          </cell>
          <cell r="AE1928">
            <v>143000</v>
          </cell>
          <cell r="AF1928">
            <v>0</v>
          </cell>
          <cell r="AI1928">
            <v>2251</v>
          </cell>
          <cell r="AK1928">
            <v>0</v>
          </cell>
          <cell r="AM1928">
            <v>671</v>
          </cell>
          <cell r="AN1928">
            <v>1</v>
          </cell>
          <cell r="AO1928">
            <v>393216</v>
          </cell>
          <cell r="AQ1928">
            <v>0</v>
          </cell>
          <cell r="AR1928">
            <v>0</v>
          </cell>
          <cell r="AS1928" t="str">
            <v>Ы</v>
          </cell>
          <cell r="AT1928" t="str">
            <v>Ы</v>
          </cell>
          <cell r="AU1928">
            <v>0</v>
          </cell>
          <cell r="AV1928">
            <v>0</v>
          </cell>
          <cell r="AW1928">
            <v>23</v>
          </cell>
          <cell r="AX1928">
            <v>1</v>
          </cell>
          <cell r="AY1928">
            <v>0</v>
          </cell>
          <cell r="AZ1928">
            <v>0</v>
          </cell>
          <cell r="BA1928">
            <v>0</v>
          </cell>
          <cell r="BB1928">
            <v>0</v>
          </cell>
          <cell r="BC1928">
            <v>38828</v>
          </cell>
        </row>
        <row r="1929">
          <cell r="A1929">
            <v>2006</v>
          </cell>
          <cell r="B1929">
            <v>2</v>
          </cell>
          <cell r="C1929">
            <v>543</v>
          </cell>
          <cell r="D1929">
            <v>21</v>
          </cell>
          <cell r="E1929">
            <v>792020</v>
          </cell>
          <cell r="F1929">
            <v>0</v>
          </cell>
          <cell r="G1929" t="str">
            <v>Затраты по ШПЗ (основные)</v>
          </cell>
          <cell r="H1929">
            <v>2011</v>
          </cell>
          <cell r="I1929">
            <v>7920</v>
          </cell>
          <cell r="J1929">
            <v>690723.16</v>
          </cell>
          <cell r="K1929">
            <v>1</v>
          </cell>
          <cell r="L1929">
            <v>0</v>
          </cell>
          <cell r="M1929">
            <v>0</v>
          </cell>
          <cell r="N1929">
            <v>0</v>
          </cell>
          <cell r="R1929">
            <v>0</v>
          </cell>
          <cell r="S1929">
            <v>0</v>
          </cell>
          <cell r="T1929">
            <v>0</v>
          </cell>
          <cell r="U1929">
            <v>42</v>
          </cell>
          <cell r="V1929">
            <v>0</v>
          </cell>
          <cell r="W1929">
            <v>0</v>
          </cell>
          <cell r="AA1929">
            <v>0</v>
          </cell>
          <cell r="AB1929">
            <v>0</v>
          </cell>
          <cell r="AC1929">
            <v>0</v>
          </cell>
          <cell r="AD1929">
            <v>42</v>
          </cell>
          <cell r="AE1929">
            <v>152000</v>
          </cell>
          <cell r="AF1929">
            <v>0</v>
          </cell>
          <cell r="AI1929">
            <v>2251</v>
          </cell>
          <cell r="AK1929">
            <v>0</v>
          </cell>
          <cell r="AM1929">
            <v>672</v>
          </cell>
          <cell r="AN1929">
            <v>1</v>
          </cell>
          <cell r="AO1929">
            <v>393216</v>
          </cell>
          <cell r="AQ1929">
            <v>0</v>
          </cell>
          <cell r="AR1929">
            <v>0</v>
          </cell>
          <cell r="AS1929" t="str">
            <v>Ы</v>
          </cell>
          <cell r="AT1929" t="str">
            <v>Ы</v>
          </cell>
          <cell r="AU1929">
            <v>0</v>
          </cell>
          <cell r="AV1929">
            <v>0</v>
          </cell>
          <cell r="AW1929">
            <v>23</v>
          </cell>
          <cell r="AX1929">
            <v>1</v>
          </cell>
          <cell r="AY1929">
            <v>0</v>
          </cell>
          <cell r="AZ1929">
            <v>0</v>
          </cell>
          <cell r="BA1929">
            <v>0</v>
          </cell>
          <cell r="BB1929">
            <v>0</v>
          </cell>
          <cell r="BC1929">
            <v>38828</v>
          </cell>
        </row>
        <row r="1930">
          <cell r="A1930">
            <v>2006</v>
          </cell>
          <cell r="B1930">
            <v>2</v>
          </cell>
          <cell r="C1930">
            <v>544</v>
          </cell>
          <cell r="D1930">
            <v>21</v>
          </cell>
          <cell r="E1930">
            <v>792020</v>
          </cell>
          <cell r="F1930">
            <v>0</v>
          </cell>
          <cell r="G1930" t="str">
            <v>Затраты по ШПЗ (основные)</v>
          </cell>
          <cell r="H1930">
            <v>2011</v>
          </cell>
          <cell r="I1930">
            <v>7920</v>
          </cell>
          <cell r="J1930">
            <v>7716762</v>
          </cell>
          <cell r="K1930">
            <v>1</v>
          </cell>
          <cell r="L1930">
            <v>0</v>
          </cell>
          <cell r="M1930">
            <v>0</v>
          </cell>
          <cell r="N1930">
            <v>0</v>
          </cell>
          <cell r="R1930">
            <v>0</v>
          </cell>
          <cell r="S1930">
            <v>0</v>
          </cell>
          <cell r="T1930">
            <v>0</v>
          </cell>
          <cell r="U1930">
            <v>42</v>
          </cell>
          <cell r="V1930">
            <v>0</v>
          </cell>
          <cell r="W1930">
            <v>0</v>
          </cell>
          <cell r="AA1930">
            <v>0</v>
          </cell>
          <cell r="AB1930">
            <v>0</v>
          </cell>
          <cell r="AC1930">
            <v>0</v>
          </cell>
          <cell r="AD1930">
            <v>42</v>
          </cell>
          <cell r="AE1930">
            <v>220000</v>
          </cell>
          <cell r="AF1930">
            <v>0</v>
          </cell>
          <cell r="AI1930">
            <v>2251</v>
          </cell>
          <cell r="AK1930">
            <v>0</v>
          </cell>
          <cell r="AM1930">
            <v>673</v>
          </cell>
          <cell r="AN1930">
            <v>1</v>
          </cell>
          <cell r="AO1930">
            <v>393216</v>
          </cell>
          <cell r="AQ1930">
            <v>0</v>
          </cell>
          <cell r="AR1930">
            <v>0</v>
          </cell>
          <cell r="AS1930" t="str">
            <v>Ы</v>
          </cell>
          <cell r="AT1930" t="str">
            <v>Ы</v>
          </cell>
          <cell r="AU1930">
            <v>0</v>
          </cell>
          <cell r="AV1930">
            <v>0</v>
          </cell>
          <cell r="AW1930">
            <v>23</v>
          </cell>
          <cell r="AX1930">
            <v>1</v>
          </cell>
          <cell r="AY1930">
            <v>0</v>
          </cell>
          <cell r="AZ1930">
            <v>0</v>
          </cell>
          <cell r="BA1930">
            <v>0</v>
          </cell>
          <cell r="BB1930">
            <v>0</v>
          </cell>
          <cell r="BC1930">
            <v>38828</v>
          </cell>
        </row>
        <row r="1931">
          <cell r="A1931">
            <v>2006</v>
          </cell>
          <cell r="B1931">
            <v>2</v>
          </cell>
          <cell r="C1931">
            <v>545</v>
          </cell>
          <cell r="D1931">
            <v>21</v>
          </cell>
          <cell r="E1931">
            <v>792020</v>
          </cell>
          <cell r="F1931">
            <v>0</v>
          </cell>
          <cell r="G1931" t="str">
            <v>Затраты по ШПЗ (основные)</v>
          </cell>
          <cell r="H1931">
            <v>2011</v>
          </cell>
          <cell r="I1931">
            <v>7920</v>
          </cell>
          <cell r="J1931">
            <v>4037029.97</v>
          </cell>
          <cell r="K1931">
            <v>1</v>
          </cell>
          <cell r="L1931">
            <v>0</v>
          </cell>
          <cell r="M1931">
            <v>0</v>
          </cell>
          <cell r="N1931">
            <v>0</v>
          </cell>
          <cell r="R1931">
            <v>0</v>
          </cell>
          <cell r="S1931">
            <v>0</v>
          </cell>
          <cell r="T1931">
            <v>0</v>
          </cell>
          <cell r="U1931">
            <v>42</v>
          </cell>
          <cell r="V1931">
            <v>0</v>
          </cell>
          <cell r="W1931">
            <v>0</v>
          </cell>
          <cell r="AA1931">
            <v>0</v>
          </cell>
          <cell r="AB1931">
            <v>0</v>
          </cell>
          <cell r="AC1931">
            <v>0</v>
          </cell>
          <cell r="AD1931">
            <v>42</v>
          </cell>
          <cell r="AE1931">
            <v>230000</v>
          </cell>
          <cell r="AF1931">
            <v>0</v>
          </cell>
          <cell r="AI1931">
            <v>2251</v>
          </cell>
          <cell r="AK1931">
            <v>0</v>
          </cell>
          <cell r="AM1931">
            <v>674</v>
          </cell>
          <cell r="AN1931">
            <v>1</v>
          </cell>
          <cell r="AO1931">
            <v>393216</v>
          </cell>
          <cell r="AQ1931">
            <v>0</v>
          </cell>
          <cell r="AR1931">
            <v>0</v>
          </cell>
          <cell r="AS1931" t="str">
            <v>Ы</v>
          </cell>
          <cell r="AT1931" t="str">
            <v>Ы</v>
          </cell>
          <cell r="AU1931">
            <v>0</v>
          </cell>
          <cell r="AV1931">
            <v>0</v>
          </cell>
          <cell r="AW1931">
            <v>23</v>
          </cell>
          <cell r="AX1931">
            <v>1</v>
          </cell>
          <cell r="AY1931">
            <v>0</v>
          </cell>
          <cell r="AZ1931">
            <v>0</v>
          </cell>
          <cell r="BA1931">
            <v>0</v>
          </cell>
          <cell r="BB1931">
            <v>0</v>
          </cell>
          <cell r="BC1931">
            <v>38828</v>
          </cell>
        </row>
        <row r="1932">
          <cell r="A1932">
            <v>2006</v>
          </cell>
          <cell r="B1932">
            <v>2</v>
          </cell>
          <cell r="C1932">
            <v>546</v>
          </cell>
          <cell r="D1932">
            <v>21</v>
          </cell>
          <cell r="E1932">
            <v>792020</v>
          </cell>
          <cell r="F1932">
            <v>0</v>
          </cell>
          <cell r="G1932" t="str">
            <v>Затраты по ШПЗ (основные)</v>
          </cell>
          <cell r="H1932">
            <v>2011</v>
          </cell>
          <cell r="I1932">
            <v>7920</v>
          </cell>
          <cell r="J1932">
            <v>32000</v>
          </cell>
          <cell r="K1932">
            <v>1</v>
          </cell>
          <cell r="L1932">
            <v>0</v>
          </cell>
          <cell r="M1932">
            <v>0</v>
          </cell>
          <cell r="N1932">
            <v>0</v>
          </cell>
          <cell r="R1932">
            <v>0</v>
          </cell>
          <cell r="S1932">
            <v>0</v>
          </cell>
          <cell r="T1932">
            <v>0</v>
          </cell>
          <cell r="U1932">
            <v>42</v>
          </cell>
          <cell r="V1932">
            <v>0</v>
          </cell>
          <cell r="W1932">
            <v>0</v>
          </cell>
          <cell r="AA1932">
            <v>0</v>
          </cell>
          <cell r="AB1932">
            <v>0</v>
          </cell>
          <cell r="AC1932">
            <v>0</v>
          </cell>
          <cell r="AD1932">
            <v>42</v>
          </cell>
          <cell r="AE1932">
            <v>240000</v>
          </cell>
          <cell r="AF1932">
            <v>0</v>
          </cell>
          <cell r="AI1932">
            <v>2251</v>
          </cell>
          <cell r="AK1932">
            <v>0</v>
          </cell>
          <cell r="AM1932">
            <v>675</v>
          </cell>
          <cell r="AN1932">
            <v>1</v>
          </cell>
          <cell r="AO1932">
            <v>393216</v>
          </cell>
          <cell r="AQ1932">
            <v>0</v>
          </cell>
          <cell r="AR1932">
            <v>0</v>
          </cell>
          <cell r="AS1932" t="str">
            <v>Ы</v>
          </cell>
          <cell r="AT1932" t="str">
            <v>Ы</v>
          </cell>
          <cell r="AU1932">
            <v>0</v>
          </cell>
          <cell r="AV1932">
            <v>0</v>
          </cell>
          <cell r="AW1932">
            <v>23</v>
          </cell>
          <cell r="AX1932">
            <v>1</v>
          </cell>
          <cell r="AY1932">
            <v>0</v>
          </cell>
          <cell r="AZ1932">
            <v>0</v>
          </cell>
          <cell r="BA1932">
            <v>0</v>
          </cell>
          <cell r="BB1932">
            <v>0</v>
          </cell>
          <cell r="BC1932">
            <v>38828</v>
          </cell>
        </row>
        <row r="1933">
          <cell r="A1933">
            <v>2006</v>
          </cell>
          <cell r="B1933">
            <v>2</v>
          </cell>
          <cell r="C1933">
            <v>547</v>
          </cell>
          <cell r="D1933">
            <v>21</v>
          </cell>
          <cell r="E1933">
            <v>792020</v>
          </cell>
          <cell r="F1933">
            <v>0</v>
          </cell>
          <cell r="G1933" t="str">
            <v>Затраты по ШПЗ (основные)</v>
          </cell>
          <cell r="H1933">
            <v>2011</v>
          </cell>
          <cell r="I1933">
            <v>7920</v>
          </cell>
          <cell r="J1933">
            <v>370699.12</v>
          </cell>
          <cell r="K1933">
            <v>1</v>
          </cell>
          <cell r="L1933">
            <v>0</v>
          </cell>
          <cell r="M1933">
            <v>0</v>
          </cell>
          <cell r="N1933">
            <v>0</v>
          </cell>
          <cell r="R1933">
            <v>0</v>
          </cell>
          <cell r="S1933">
            <v>0</v>
          </cell>
          <cell r="T1933">
            <v>0</v>
          </cell>
          <cell r="U1933">
            <v>42</v>
          </cell>
          <cell r="V1933">
            <v>0</v>
          </cell>
          <cell r="W1933">
            <v>0</v>
          </cell>
          <cell r="AA1933">
            <v>0</v>
          </cell>
          <cell r="AB1933">
            <v>0</v>
          </cell>
          <cell r="AC1933">
            <v>0</v>
          </cell>
          <cell r="AD1933">
            <v>42</v>
          </cell>
          <cell r="AE1933">
            <v>260000</v>
          </cell>
          <cell r="AF1933">
            <v>0</v>
          </cell>
          <cell r="AI1933">
            <v>2251</v>
          </cell>
          <cell r="AK1933">
            <v>0</v>
          </cell>
          <cell r="AM1933">
            <v>676</v>
          </cell>
          <cell r="AN1933">
            <v>1</v>
          </cell>
          <cell r="AO1933">
            <v>393216</v>
          </cell>
          <cell r="AQ1933">
            <v>0</v>
          </cell>
          <cell r="AR1933">
            <v>0</v>
          </cell>
          <cell r="AS1933" t="str">
            <v>Ы</v>
          </cell>
          <cell r="AT1933" t="str">
            <v>Ы</v>
          </cell>
          <cell r="AU1933">
            <v>0</v>
          </cell>
          <cell r="AV1933">
            <v>0</v>
          </cell>
          <cell r="AW1933">
            <v>23</v>
          </cell>
          <cell r="AX1933">
            <v>1</v>
          </cell>
          <cell r="AY1933">
            <v>0</v>
          </cell>
          <cell r="AZ1933">
            <v>0</v>
          </cell>
          <cell r="BA1933">
            <v>0</v>
          </cell>
          <cell r="BB1933">
            <v>0</v>
          </cell>
          <cell r="BC1933">
            <v>38828</v>
          </cell>
        </row>
        <row r="1934">
          <cell r="A1934">
            <v>2006</v>
          </cell>
          <cell r="B1934">
            <v>2</v>
          </cell>
          <cell r="C1934">
            <v>548</v>
          </cell>
          <cell r="D1934">
            <v>21</v>
          </cell>
          <cell r="E1934">
            <v>792020</v>
          </cell>
          <cell r="F1934">
            <v>0</v>
          </cell>
          <cell r="G1934" t="str">
            <v>Затраты по ШПЗ (основные)</v>
          </cell>
          <cell r="H1934">
            <v>2011</v>
          </cell>
          <cell r="I1934">
            <v>7920</v>
          </cell>
          <cell r="J1934">
            <v>921820.01</v>
          </cell>
          <cell r="K1934">
            <v>1</v>
          </cell>
          <cell r="L1934">
            <v>0</v>
          </cell>
          <cell r="M1934">
            <v>0</v>
          </cell>
          <cell r="N1934">
            <v>0</v>
          </cell>
          <cell r="R1934">
            <v>0</v>
          </cell>
          <cell r="S1934">
            <v>0</v>
          </cell>
          <cell r="T1934">
            <v>0</v>
          </cell>
          <cell r="U1934">
            <v>42</v>
          </cell>
          <cell r="V1934">
            <v>0</v>
          </cell>
          <cell r="W1934">
            <v>0</v>
          </cell>
          <cell r="AA1934">
            <v>0</v>
          </cell>
          <cell r="AB1934">
            <v>0</v>
          </cell>
          <cell r="AC1934">
            <v>0</v>
          </cell>
          <cell r="AD1934">
            <v>42</v>
          </cell>
          <cell r="AE1934">
            <v>270000</v>
          </cell>
          <cell r="AF1934">
            <v>0</v>
          </cell>
          <cell r="AI1934">
            <v>2251</v>
          </cell>
          <cell r="AK1934">
            <v>0</v>
          </cell>
          <cell r="AM1934">
            <v>677</v>
          </cell>
          <cell r="AN1934">
            <v>1</v>
          </cell>
          <cell r="AO1934">
            <v>393216</v>
          </cell>
          <cell r="AQ1934">
            <v>0</v>
          </cell>
          <cell r="AR1934">
            <v>0</v>
          </cell>
          <cell r="AS1934" t="str">
            <v>Ы</v>
          </cell>
          <cell r="AT1934" t="str">
            <v>Ы</v>
          </cell>
          <cell r="AU1934">
            <v>0</v>
          </cell>
          <cell r="AV1934">
            <v>0</v>
          </cell>
          <cell r="AW1934">
            <v>23</v>
          </cell>
          <cell r="AX1934">
            <v>1</v>
          </cell>
          <cell r="AY1934">
            <v>0</v>
          </cell>
          <cell r="AZ1934">
            <v>0</v>
          </cell>
          <cell r="BA1934">
            <v>0</v>
          </cell>
          <cell r="BB1934">
            <v>0</v>
          </cell>
          <cell r="BC1934">
            <v>38828</v>
          </cell>
        </row>
        <row r="1935">
          <cell r="A1935">
            <v>2006</v>
          </cell>
          <cell r="B1935">
            <v>2</v>
          </cell>
          <cell r="C1935">
            <v>549</v>
          </cell>
          <cell r="D1935">
            <v>21</v>
          </cell>
          <cell r="E1935">
            <v>792020</v>
          </cell>
          <cell r="F1935">
            <v>0</v>
          </cell>
          <cell r="G1935" t="str">
            <v>Затраты по ШПЗ (основные)</v>
          </cell>
          <cell r="H1935">
            <v>2011</v>
          </cell>
          <cell r="I1935">
            <v>7920</v>
          </cell>
          <cell r="J1935">
            <v>72362.429999999993</v>
          </cell>
          <cell r="K1935">
            <v>1</v>
          </cell>
          <cell r="L1935">
            <v>0</v>
          </cell>
          <cell r="M1935">
            <v>0</v>
          </cell>
          <cell r="N1935">
            <v>0</v>
          </cell>
          <cell r="R1935">
            <v>0</v>
          </cell>
          <cell r="S1935">
            <v>0</v>
          </cell>
          <cell r="T1935">
            <v>0</v>
          </cell>
          <cell r="U1935">
            <v>42</v>
          </cell>
          <cell r="V1935">
            <v>0</v>
          </cell>
          <cell r="W1935">
            <v>0</v>
          </cell>
          <cell r="AA1935">
            <v>0</v>
          </cell>
          <cell r="AB1935">
            <v>0</v>
          </cell>
          <cell r="AC1935">
            <v>0</v>
          </cell>
          <cell r="AD1935">
            <v>42</v>
          </cell>
          <cell r="AE1935">
            <v>280000</v>
          </cell>
          <cell r="AF1935">
            <v>0</v>
          </cell>
          <cell r="AI1935">
            <v>2251</v>
          </cell>
          <cell r="AK1935">
            <v>0</v>
          </cell>
          <cell r="AM1935">
            <v>678</v>
          </cell>
          <cell r="AN1935">
            <v>1</v>
          </cell>
          <cell r="AO1935">
            <v>393216</v>
          </cell>
          <cell r="AQ1935">
            <v>0</v>
          </cell>
          <cell r="AR1935">
            <v>0</v>
          </cell>
          <cell r="AS1935" t="str">
            <v>Ы</v>
          </cell>
          <cell r="AT1935" t="str">
            <v>Ы</v>
          </cell>
          <cell r="AU1935">
            <v>0</v>
          </cell>
          <cell r="AV1935">
            <v>0</v>
          </cell>
          <cell r="AW1935">
            <v>23</v>
          </cell>
          <cell r="AX1935">
            <v>1</v>
          </cell>
          <cell r="AY1935">
            <v>0</v>
          </cell>
          <cell r="AZ1935">
            <v>0</v>
          </cell>
          <cell r="BA1935">
            <v>0</v>
          </cell>
          <cell r="BB1935">
            <v>0</v>
          </cell>
          <cell r="BC1935">
            <v>38828</v>
          </cell>
        </row>
        <row r="1936">
          <cell r="A1936">
            <v>2006</v>
          </cell>
          <cell r="B1936">
            <v>2</v>
          </cell>
          <cell r="C1936">
            <v>550</v>
          </cell>
          <cell r="D1936">
            <v>21</v>
          </cell>
          <cell r="E1936">
            <v>792020</v>
          </cell>
          <cell r="F1936">
            <v>0</v>
          </cell>
          <cell r="G1936" t="str">
            <v>Затраты по ШПЗ (основные)</v>
          </cell>
          <cell r="H1936">
            <v>2011</v>
          </cell>
          <cell r="I1936">
            <v>7920</v>
          </cell>
          <cell r="J1936">
            <v>378286.53</v>
          </cell>
          <cell r="K1936">
            <v>1</v>
          </cell>
          <cell r="L1936">
            <v>0</v>
          </cell>
          <cell r="M1936">
            <v>0</v>
          </cell>
          <cell r="N1936">
            <v>0</v>
          </cell>
          <cell r="R1936">
            <v>0</v>
          </cell>
          <cell r="S1936">
            <v>0</v>
          </cell>
          <cell r="T1936">
            <v>0</v>
          </cell>
          <cell r="U1936">
            <v>42</v>
          </cell>
          <cell r="V1936">
            <v>0</v>
          </cell>
          <cell r="W1936">
            <v>0</v>
          </cell>
          <cell r="AA1936">
            <v>0</v>
          </cell>
          <cell r="AB1936">
            <v>0</v>
          </cell>
          <cell r="AC1936">
            <v>0</v>
          </cell>
          <cell r="AD1936">
            <v>42</v>
          </cell>
          <cell r="AE1936">
            <v>280100</v>
          </cell>
          <cell r="AF1936">
            <v>0</v>
          </cell>
          <cell r="AI1936">
            <v>2251</v>
          </cell>
          <cell r="AK1936">
            <v>0</v>
          </cell>
          <cell r="AM1936">
            <v>679</v>
          </cell>
          <cell r="AN1936">
            <v>1</v>
          </cell>
          <cell r="AO1936">
            <v>393216</v>
          </cell>
          <cell r="AQ1936">
            <v>0</v>
          </cell>
          <cell r="AR1936">
            <v>0</v>
          </cell>
          <cell r="AS1936" t="str">
            <v>Ы</v>
          </cell>
          <cell r="AT1936" t="str">
            <v>Ы</v>
          </cell>
          <cell r="AU1936">
            <v>0</v>
          </cell>
          <cell r="AV1936">
            <v>0</v>
          </cell>
          <cell r="AW1936">
            <v>23</v>
          </cell>
          <cell r="AX1936">
            <v>1</v>
          </cell>
          <cell r="AY1936">
            <v>0</v>
          </cell>
          <cell r="AZ1936">
            <v>0</v>
          </cell>
          <cell r="BA1936">
            <v>0</v>
          </cell>
          <cell r="BB1936">
            <v>0</v>
          </cell>
          <cell r="BC1936">
            <v>38828</v>
          </cell>
        </row>
        <row r="1937">
          <cell r="A1937">
            <v>2006</v>
          </cell>
          <cell r="B1937">
            <v>2</v>
          </cell>
          <cell r="C1937">
            <v>551</v>
          </cell>
          <cell r="D1937">
            <v>21</v>
          </cell>
          <cell r="E1937">
            <v>792020</v>
          </cell>
          <cell r="F1937">
            <v>0</v>
          </cell>
          <cell r="G1937" t="str">
            <v>Затраты по ШПЗ (основные)</v>
          </cell>
          <cell r="H1937">
            <v>2011</v>
          </cell>
          <cell r="I1937">
            <v>7920</v>
          </cell>
          <cell r="J1937">
            <v>40969.300000000003</v>
          </cell>
          <cell r="K1937">
            <v>1</v>
          </cell>
          <cell r="L1937">
            <v>0</v>
          </cell>
          <cell r="M1937">
            <v>0</v>
          </cell>
          <cell r="N1937">
            <v>0</v>
          </cell>
          <cell r="R1937">
            <v>0</v>
          </cell>
          <cell r="S1937">
            <v>0</v>
          </cell>
          <cell r="T1937">
            <v>0</v>
          </cell>
          <cell r="U1937">
            <v>42</v>
          </cell>
          <cell r="V1937">
            <v>0</v>
          </cell>
          <cell r="W1937">
            <v>0</v>
          </cell>
          <cell r="AA1937">
            <v>0</v>
          </cell>
          <cell r="AB1937">
            <v>0</v>
          </cell>
          <cell r="AC1937">
            <v>0</v>
          </cell>
          <cell r="AD1937">
            <v>42</v>
          </cell>
          <cell r="AE1937">
            <v>280200</v>
          </cell>
          <cell r="AF1937">
            <v>0</v>
          </cell>
          <cell r="AI1937">
            <v>2251</v>
          </cell>
          <cell r="AK1937">
            <v>0</v>
          </cell>
          <cell r="AM1937">
            <v>680</v>
          </cell>
          <cell r="AN1937">
            <v>1</v>
          </cell>
          <cell r="AO1937">
            <v>393216</v>
          </cell>
          <cell r="AQ1937">
            <v>0</v>
          </cell>
          <cell r="AR1937">
            <v>0</v>
          </cell>
          <cell r="AS1937" t="str">
            <v>Ы</v>
          </cell>
          <cell r="AT1937" t="str">
            <v>Ы</v>
          </cell>
          <cell r="AU1937">
            <v>0</v>
          </cell>
          <cell r="AV1937">
            <v>0</v>
          </cell>
          <cell r="AW1937">
            <v>23</v>
          </cell>
          <cell r="AX1937">
            <v>1</v>
          </cell>
          <cell r="AY1937">
            <v>0</v>
          </cell>
          <cell r="AZ1937">
            <v>0</v>
          </cell>
          <cell r="BA1937">
            <v>0</v>
          </cell>
          <cell r="BB1937">
            <v>0</v>
          </cell>
          <cell r="BC1937">
            <v>38828</v>
          </cell>
        </row>
        <row r="1938">
          <cell r="A1938">
            <v>2006</v>
          </cell>
          <cell r="B1938">
            <v>2</v>
          </cell>
          <cell r="C1938">
            <v>552</v>
          </cell>
          <cell r="D1938">
            <v>21</v>
          </cell>
          <cell r="E1938">
            <v>792020</v>
          </cell>
          <cell r="F1938">
            <v>0</v>
          </cell>
          <cell r="G1938" t="str">
            <v>Затраты по ШПЗ (основные)</v>
          </cell>
          <cell r="H1938">
            <v>2011</v>
          </cell>
          <cell r="I1938">
            <v>7920</v>
          </cell>
          <cell r="J1938">
            <v>508451.29</v>
          </cell>
          <cell r="K1938">
            <v>1</v>
          </cell>
          <cell r="L1938">
            <v>0</v>
          </cell>
          <cell r="M1938">
            <v>0</v>
          </cell>
          <cell r="N1938">
            <v>0</v>
          </cell>
          <cell r="R1938">
            <v>0</v>
          </cell>
          <cell r="S1938">
            <v>0</v>
          </cell>
          <cell r="T1938">
            <v>0</v>
          </cell>
          <cell r="U1938">
            <v>42</v>
          </cell>
          <cell r="V1938">
            <v>0</v>
          </cell>
          <cell r="W1938">
            <v>0</v>
          </cell>
          <cell r="AA1938">
            <v>0</v>
          </cell>
          <cell r="AB1938">
            <v>0</v>
          </cell>
          <cell r="AC1938">
            <v>0</v>
          </cell>
          <cell r="AD1938">
            <v>42</v>
          </cell>
          <cell r="AE1938">
            <v>280400</v>
          </cell>
          <cell r="AF1938">
            <v>0</v>
          </cell>
          <cell r="AI1938">
            <v>2251</v>
          </cell>
          <cell r="AK1938">
            <v>0</v>
          </cell>
          <cell r="AM1938">
            <v>681</v>
          </cell>
          <cell r="AN1938">
            <v>1</v>
          </cell>
          <cell r="AO1938">
            <v>393216</v>
          </cell>
          <cell r="AQ1938">
            <v>0</v>
          </cell>
          <cell r="AR1938">
            <v>0</v>
          </cell>
          <cell r="AS1938" t="str">
            <v>Ы</v>
          </cell>
          <cell r="AT1938" t="str">
            <v>Ы</v>
          </cell>
          <cell r="AU1938">
            <v>0</v>
          </cell>
          <cell r="AV1938">
            <v>0</v>
          </cell>
          <cell r="AW1938">
            <v>23</v>
          </cell>
          <cell r="AX1938">
            <v>1</v>
          </cell>
          <cell r="AY1938">
            <v>0</v>
          </cell>
          <cell r="AZ1938">
            <v>0</v>
          </cell>
          <cell r="BA1938">
            <v>0</v>
          </cell>
          <cell r="BB1938">
            <v>0</v>
          </cell>
          <cell r="BC1938">
            <v>38828</v>
          </cell>
        </row>
        <row r="1939">
          <cell r="A1939">
            <v>2006</v>
          </cell>
          <cell r="B1939">
            <v>2</v>
          </cell>
          <cell r="C1939">
            <v>553</v>
          </cell>
          <cell r="D1939">
            <v>21</v>
          </cell>
          <cell r="E1939">
            <v>792020</v>
          </cell>
          <cell r="F1939">
            <v>0</v>
          </cell>
          <cell r="G1939" t="str">
            <v>Затраты по ШПЗ (основные)</v>
          </cell>
          <cell r="H1939">
            <v>2011</v>
          </cell>
          <cell r="I1939">
            <v>7920</v>
          </cell>
          <cell r="J1939">
            <v>45146.43</v>
          </cell>
          <cell r="K1939">
            <v>1</v>
          </cell>
          <cell r="L1939">
            <v>0</v>
          </cell>
          <cell r="M1939">
            <v>0</v>
          </cell>
          <cell r="N1939">
            <v>0</v>
          </cell>
          <cell r="R1939">
            <v>0</v>
          </cell>
          <cell r="S1939">
            <v>0</v>
          </cell>
          <cell r="T1939">
            <v>0</v>
          </cell>
          <cell r="U1939">
            <v>42</v>
          </cell>
          <cell r="V1939">
            <v>0</v>
          </cell>
          <cell r="W1939">
            <v>0</v>
          </cell>
          <cell r="AA1939">
            <v>0</v>
          </cell>
          <cell r="AB1939">
            <v>0</v>
          </cell>
          <cell r="AC1939">
            <v>0</v>
          </cell>
          <cell r="AD1939">
            <v>42</v>
          </cell>
          <cell r="AE1939">
            <v>281100</v>
          </cell>
          <cell r="AF1939">
            <v>0</v>
          </cell>
          <cell r="AI1939">
            <v>2251</v>
          </cell>
          <cell r="AK1939">
            <v>0</v>
          </cell>
          <cell r="AM1939">
            <v>682</v>
          </cell>
          <cell r="AN1939">
            <v>1</v>
          </cell>
          <cell r="AO1939">
            <v>393216</v>
          </cell>
          <cell r="AQ1939">
            <v>0</v>
          </cell>
          <cell r="AR1939">
            <v>0</v>
          </cell>
          <cell r="AS1939" t="str">
            <v>Ы</v>
          </cell>
          <cell r="AT1939" t="str">
            <v>Ы</v>
          </cell>
          <cell r="AU1939">
            <v>0</v>
          </cell>
          <cell r="AV1939">
            <v>0</v>
          </cell>
          <cell r="AW1939">
            <v>23</v>
          </cell>
          <cell r="AX1939">
            <v>1</v>
          </cell>
          <cell r="AY1939">
            <v>0</v>
          </cell>
          <cell r="AZ1939">
            <v>0</v>
          </cell>
          <cell r="BA1939">
            <v>0</v>
          </cell>
          <cell r="BB1939">
            <v>0</v>
          </cell>
          <cell r="BC1939">
            <v>38828</v>
          </cell>
        </row>
        <row r="1940">
          <cell r="A1940">
            <v>2006</v>
          </cell>
          <cell r="B1940">
            <v>2</v>
          </cell>
          <cell r="C1940">
            <v>554</v>
          </cell>
          <cell r="D1940">
            <v>21</v>
          </cell>
          <cell r="E1940">
            <v>792020</v>
          </cell>
          <cell r="F1940">
            <v>0</v>
          </cell>
          <cell r="G1940" t="str">
            <v>Затраты по ШПЗ (основные)</v>
          </cell>
          <cell r="H1940">
            <v>2011</v>
          </cell>
          <cell r="I1940">
            <v>7920</v>
          </cell>
          <cell r="J1940">
            <v>1156.06</v>
          </cell>
          <cell r="K1940">
            <v>1</v>
          </cell>
          <cell r="L1940">
            <v>0</v>
          </cell>
          <cell r="M1940">
            <v>0</v>
          </cell>
          <cell r="N1940">
            <v>0</v>
          </cell>
          <cell r="R1940">
            <v>0</v>
          </cell>
          <cell r="S1940">
            <v>0</v>
          </cell>
          <cell r="T1940">
            <v>0</v>
          </cell>
          <cell r="U1940">
            <v>42</v>
          </cell>
          <cell r="V1940">
            <v>0</v>
          </cell>
          <cell r="W1940">
            <v>0</v>
          </cell>
          <cell r="AA1940">
            <v>0</v>
          </cell>
          <cell r="AB1940">
            <v>0</v>
          </cell>
          <cell r="AC1940">
            <v>0</v>
          </cell>
          <cell r="AD1940">
            <v>42</v>
          </cell>
          <cell r="AE1940">
            <v>281300</v>
          </cell>
          <cell r="AF1940">
            <v>0</v>
          </cell>
          <cell r="AI1940">
            <v>2251</v>
          </cell>
          <cell r="AK1940">
            <v>0</v>
          </cell>
          <cell r="AM1940">
            <v>683</v>
          </cell>
          <cell r="AN1940">
            <v>1</v>
          </cell>
          <cell r="AO1940">
            <v>393216</v>
          </cell>
          <cell r="AQ1940">
            <v>0</v>
          </cell>
          <cell r="AR1940">
            <v>0</v>
          </cell>
          <cell r="AS1940" t="str">
            <v>Ы</v>
          </cell>
          <cell r="AT1940" t="str">
            <v>Ы</v>
          </cell>
          <cell r="AU1940">
            <v>0</v>
          </cell>
          <cell r="AV1940">
            <v>0</v>
          </cell>
          <cell r="AW1940">
            <v>23</v>
          </cell>
          <cell r="AX1940">
            <v>1</v>
          </cell>
          <cell r="AY1940">
            <v>0</v>
          </cell>
          <cell r="AZ1940">
            <v>0</v>
          </cell>
          <cell r="BA1940">
            <v>0</v>
          </cell>
          <cell r="BB1940">
            <v>0</v>
          </cell>
          <cell r="BC1940">
            <v>38828</v>
          </cell>
        </row>
        <row r="1941">
          <cell r="A1941">
            <v>2006</v>
          </cell>
          <cell r="B1941">
            <v>2</v>
          </cell>
          <cell r="C1941">
            <v>555</v>
          </cell>
          <cell r="D1941">
            <v>21</v>
          </cell>
          <cell r="E1941">
            <v>792020</v>
          </cell>
          <cell r="F1941">
            <v>0</v>
          </cell>
          <cell r="G1941" t="str">
            <v>Затраты по ШПЗ (основные)</v>
          </cell>
          <cell r="H1941">
            <v>2011</v>
          </cell>
          <cell r="I1941">
            <v>7920</v>
          </cell>
          <cell r="J1941">
            <v>400</v>
          </cell>
          <cell r="K1941">
            <v>1</v>
          </cell>
          <cell r="L1941">
            <v>0</v>
          </cell>
          <cell r="M1941">
            <v>0</v>
          </cell>
          <cell r="N1941">
            <v>0</v>
          </cell>
          <cell r="R1941">
            <v>0</v>
          </cell>
          <cell r="S1941">
            <v>0</v>
          </cell>
          <cell r="T1941">
            <v>0</v>
          </cell>
          <cell r="U1941">
            <v>42</v>
          </cell>
          <cell r="V1941">
            <v>0</v>
          </cell>
          <cell r="W1941">
            <v>0</v>
          </cell>
          <cell r="AA1941">
            <v>0</v>
          </cell>
          <cell r="AB1941">
            <v>0</v>
          </cell>
          <cell r="AC1941">
            <v>0</v>
          </cell>
          <cell r="AD1941">
            <v>42</v>
          </cell>
          <cell r="AE1941">
            <v>282000</v>
          </cell>
          <cell r="AF1941">
            <v>0</v>
          </cell>
          <cell r="AI1941">
            <v>2251</v>
          </cell>
          <cell r="AK1941">
            <v>0</v>
          </cell>
          <cell r="AM1941">
            <v>684</v>
          </cell>
          <cell r="AN1941">
            <v>1</v>
          </cell>
          <cell r="AO1941">
            <v>393216</v>
          </cell>
          <cell r="AQ1941">
            <v>0</v>
          </cell>
          <cell r="AR1941">
            <v>0</v>
          </cell>
          <cell r="AS1941" t="str">
            <v>Ы</v>
          </cell>
          <cell r="AT1941" t="str">
            <v>Ы</v>
          </cell>
          <cell r="AU1941">
            <v>0</v>
          </cell>
          <cell r="AV1941">
            <v>0</v>
          </cell>
          <cell r="AW1941">
            <v>23</v>
          </cell>
          <cell r="AX1941">
            <v>1</v>
          </cell>
          <cell r="AY1941">
            <v>0</v>
          </cell>
          <cell r="AZ1941">
            <v>0</v>
          </cell>
          <cell r="BA1941">
            <v>0</v>
          </cell>
          <cell r="BB1941">
            <v>0</v>
          </cell>
          <cell r="BC1941">
            <v>38828</v>
          </cell>
        </row>
        <row r="1942">
          <cell r="A1942">
            <v>2006</v>
          </cell>
          <cell r="B1942">
            <v>2</v>
          </cell>
          <cell r="C1942">
            <v>556</v>
          </cell>
          <cell r="D1942">
            <v>21</v>
          </cell>
          <cell r="E1942">
            <v>792020</v>
          </cell>
          <cell r="F1942">
            <v>0</v>
          </cell>
          <cell r="G1942" t="str">
            <v>Затраты по ШПЗ (основные)</v>
          </cell>
          <cell r="H1942">
            <v>2011</v>
          </cell>
          <cell r="I1942">
            <v>7920</v>
          </cell>
          <cell r="J1942">
            <v>24665.7</v>
          </cell>
          <cell r="K1942">
            <v>1</v>
          </cell>
          <cell r="L1942">
            <v>0</v>
          </cell>
          <cell r="M1942">
            <v>0</v>
          </cell>
          <cell r="N1942">
            <v>0</v>
          </cell>
          <cell r="R1942">
            <v>0</v>
          </cell>
          <cell r="S1942">
            <v>0</v>
          </cell>
          <cell r="T1942">
            <v>0</v>
          </cell>
          <cell r="U1942">
            <v>42</v>
          </cell>
          <cell r="V1942">
            <v>0</v>
          </cell>
          <cell r="W1942">
            <v>0</v>
          </cell>
          <cell r="AA1942">
            <v>0</v>
          </cell>
          <cell r="AB1942">
            <v>0</v>
          </cell>
          <cell r="AC1942">
            <v>0</v>
          </cell>
          <cell r="AD1942">
            <v>42</v>
          </cell>
          <cell r="AE1942">
            <v>282200</v>
          </cell>
          <cell r="AF1942">
            <v>0</v>
          </cell>
          <cell r="AI1942">
            <v>2251</v>
          </cell>
          <cell r="AK1942">
            <v>0</v>
          </cell>
          <cell r="AM1942">
            <v>685</v>
          </cell>
          <cell r="AN1942">
            <v>1</v>
          </cell>
          <cell r="AO1942">
            <v>393216</v>
          </cell>
          <cell r="AQ1942">
            <v>0</v>
          </cell>
          <cell r="AR1942">
            <v>0</v>
          </cell>
          <cell r="AS1942" t="str">
            <v>Ы</v>
          </cell>
          <cell r="AT1942" t="str">
            <v>Ы</v>
          </cell>
          <cell r="AU1942">
            <v>0</v>
          </cell>
          <cell r="AV1942">
            <v>0</v>
          </cell>
          <cell r="AW1942">
            <v>23</v>
          </cell>
          <cell r="AX1942">
            <v>1</v>
          </cell>
          <cell r="AY1942">
            <v>0</v>
          </cell>
          <cell r="AZ1942">
            <v>0</v>
          </cell>
          <cell r="BA1942">
            <v>0</v>
          </cell>
          <cell r="BB1942">
            <v>0</v>
          </cell>
          <cell r="BC1942">
            <v>38828</v>
          </cell>
        </row>
        <row r="1943">
          <cell r="A1943">
            <v>2006</v>
          </cell>
          <cell r="B1943">
            <v>2</v>
          </cell>
          <cell r="C1943">
            <v>557</v>
          </cell>
          <cell r="D1943">
            <v>21</v>
          </cell>
          <cell r="E1943">
            <v>792020</v>
          </cell>
          <cell r="F1943">
            <v>0</v>
          </cell>
          <cell r="G1943" t="str">
            <v>Затраты по ШПЗ (основные)</v>
          </cell>
          <cell r="H1943">
            <v>2011</v>
          </cell>
          <cell r="I1943">
            <v>7920</v>
          </cell>
          <cell r="J1943">
            <v>34953.160000000003</v>
          </cell>
          <cell r="K1943">
            <v>1</v>
          </cell>
          <cell r="L1943">
            <v>0</v>
          </cell>
          <cell r="M1943">
            <v>0</v>
          </cell>
          <cell r="N1943">
            <v>0</v>
          </cell>
          <cell r="R1943">
            <v>0</v>
          </cell>
          <cell r="S1943">
            <v>0</v>
          </cell>
          <cell r="T1943">
            <v>0</v>
          </cell>
          <cell r="U1943">
            <v>42</v>
          </cell>
          <cell r="V1943">
            <v>0</v>
          </cell>
          <cell r="W1943">
            <v>0</v>
          </cell>
          <cell r="AA1943">
            <v>0</v>
          </cell>
          <cell r="AB1943">
            <v>0</v>
          </cell>
          <cell r="AC1943">
            <v>0</v>
          </cell>
          <cell r="AD1943">
            <v>42</v>
          </cell>
          <cell r="AE1943">
            <v>282400</v>
          </cell>
          <cell r="AF1943">
            <v>0</v>
          </cell>
          <cell r="AI1943">
            <v>2251</v>
          </cell>
          <cell r="AK1943">
            <v>0</v>
          </cell>
          <cell r="AM1943">
            <v>686</v>
          </cell>
          <cell r="AN1943">
            <v>1</v>
          </cell>
          <cell r="AO1943">
            <v>393216</v>
          </cell>
          <cell r="AQ1943">
            <v>0</v>
          </cell>
          <cell r="AR1943">
            <v>0</v>
          </cell>
          <cell r="AS1943" t="str">
            <v>Ы</v>
          </cell>
          <cell r="AT1943" t="str">
            <v>Ы</v>
          </cell>
          <cell r="AU1943">
            <v>0</v>
          </cell>
          <cell r="AV1943">
            <v>0</v>
          </cell>
          <cell r="AW1943">
            <v>23</v>
          </cell>
          <cell r="AX1943">
            <v>1</v>
          </cell>
          <cell r="AY1943">
            <v>0</v>
          </cell>
          <cell r="AZ1943">
            <v>0</v>
          </cell>
          <cell r="BA1943">
            <v>0</v>
          </cell>
          <cell r="BB1943">
            <v>0</v>
          </cell>
          <cell r="BC1943">
            <v>38828</v>
          </cell>
        </row>
        <row r="1944">
          <cell r="A1944">
            <v>2006</v>
          </cell>
          <cell r="B1944">
            <v>2</v>
          </cell>
          <cell r="C1944">
            <v>558</v>
          </cell>
          <cell r="D1944">
            <v>21</v>
          </cell>
          <cell r="E1944">
            <v>792020</v>
          </cell>
          <cell r="F1944">
            <v>0</v>
          </cell>
          <cell r="G1944" t="str">
            <v>Затраты по ШПЗ (основные)</v>
          </cell>
          <cell r="H1944">
            <v>2011</v>
          </cell>
          <cell r="I1944">
            <v>7920</v>
          </cell>
          <cell r="J1944">
            <v>356.29</v>
          </cell>
          <cell r="K1944">
            <v>1</v>
          </cell>
          <cell r="L1944">
            <v>0</v>
          </cell>
          <cell r="M1944">
            <v>0</v>
          </cell>
          <cell r="N1944">
            <v>0</v>
          </cell>
          <cell r="R1944">
            <v>0</v>
          </cell>
          <cell r="S1944">
            <v>0</v>
          </cell>
          <cell r="T1944">
            <v>0</v>
          </cell>
          <cell r="U1944">
            <v>42</v>
          </cell>
          <cell r="V1944">
            <v>0</v>
          </cell>
          <cell r="W1944">
            <v>0</v>
          </cell>
          <cell r="AA1944">
            <v>0</v>
          </cell>
          <cell r="AB1944">
            <v>0</v>
          </cell>
          <cell r="AC1944">
            <v>0</v>
          </cell>
          <cell r="AD1944">
            <v>42</v>
          </cell>
          <cell r="AE1944">
            <v>282600</v>
          </cell>
          <cell r="AF1944">
            <v>0</v>
          </cell>
          <cell r="AI1944">
            <v>2251</v>
          </cell>
          <cell r="AK1944">
            <v>0</v>
          </cell>
          <cell r="AM1944">
            <v>687</v>
          </cell>
          <cell r="AN1944">
            <v>1</v>
          </cell>
          <cell r="AO1944">
            <v>393216</v>
          </cell>
          <cell r="AQ1944">
            <v>0</v>
          </cell>
          <cell r="AR1944">
            <v>0</v>
          </cell>
          <cell r="AS1944" t="str">
            <v>Ы</v>
          </cell>
          <cell r="AT1944" t="str">
            <v>Ы</v>
          </cell>
          <cell r="AU1944">
            <v>0</v>
          </cell>
          <cell r="AV1944">
            <v>0</v>
          </cell>
          <cell r="AW1944">
            <v>23</v>
          </cell>
          <cell r="AX1944">
            <v>1</v>
          </cell>
          <cell r="AY1944">
            <v>0</v>
          </cell>
          <cell r="AZ1944">
            <v>0</v>
          </cell>
          <cell r="BA1944">
            <v>0</v>
          </cell>
          <cell r="BB1944">
            <v>0</v>
          </cell>
          <cell r="BC1944">
            <v>38828</v>
          </cell>
        </row>
        <row r="1945">
          <cell r="A1945">
            <v>2006</v>
          </cell>
          <cell r="B1945">
            <v>2</v>
          </cell>
          <cell r="C1945">
            <v>559</v>
          </cell>
          <cell r="D1945">
            <v>21</v>
          </cell>
          <cell r="E1945">
            <v>792020</v>
          </cell>
          <cell r="F1945">
            <v>0</v>
          </cell>
          <cell r="G1945" t="str">
            <v>Затраты по ШПЗ (основные)</v>
          </cell>
          <cell r="H1945">
            <v>2011</v>
          </cell>
          <cell r="I1945">
            <v>7920</v>
          </cell>
          <cell r="J1945">
            <v>195333</v>
          </cell>
          <cell r="K1945">
            <v>1</v>
          </cell>
          <cell r="L1945">
            <v>0</v>
          </cell>
          <cell r="M1945">
            <v>0</v>
          </cell>
          <cell r="N1945">
            <v>0</v>
          </cell>
          <cell r="R1945">
            <v>0</v>
          </cell>
          <cell r="S1945">
            <v>0</v>
          </cell>
          <cell r="T1945">
            <v>0</v>
          </cell>
          <cell r="U1945">
            <v>42</v>
          </cell>
          <cell r="V1945">
            <v>0</v>
          </cell>
          <cell r="W1945">
            <v>0</v>
          </cell>
          <cell r="AA1945">
            <v>0</v>
          </cell>
          <cell r="AB1945">
            <v>0</v>
          </cell>
          <cell r="AC1945">
            <v>0</v>
          </cell>
          <cell r="AD1945">
            <v>42</v>
          </cell>
          <cell r="AE1945">
            <v>283000</v>
          </cell>
          <cell r="AF1945">
            <v>0</v>
          </cell>
          <cell r="AI1945">
            <v>2251</v>
          </cell>
          <cell r="AK1945">
            <v>0</v>
          </cell>
          <cell r="AM1945">
            <v>688</v>
          </cell>
          <cell r="AN1945">
            <v>1</v>
          </cell>
          <cell r="AO1945">
            <v>393216</v>
          </cell>
          <cell r="AQ1945">
            <v>0</v>
          </cell>
          <cell r="AR1945">
            <v>0</v>
          </cell>
          <cell r="AS1945" t="str">
            <v>Ы</v>
          </cell>
          <cell r="AT1945" t="str">
            <v>Ы</v>
          </cell>
          <cell r="AU1945">
            <v>0</v>
          </cell>
          <cell r="AV1945">
            <v>0</v>
          </cell>
          <cell r="AW1945">
            <v>23</v>
          </cell>
          <cell r="AX1945">
            <v>1</v>
          </cell>
          <cell r="AY1945">
            <v>0</v>
          </cell>
          <cell r="AZ1945">
            <v>0</v>
          </cell>
          <cell r="BA1945">
            <v>0</v>
          </cell>
          <cell r="BB1945">
            <v>0</v>
          </cell>
          <cell r="BC1945">
            <v>38828</v>
          </cell>
        </row>
        <row r="1946">
          <cell r="A1946">
            <v>2006</v>
          </cell>
          <cell r="B1946">
            <v>2</v>
          </cell>
          <cell r="C1946">
            <v>560</v>
          </cell>
          <cell r="D1946">
            <v>21</v>
          </cell>
          <cell r="E1946">
            <v>792020</v>
          </cell>
          <cell r="F1946">
            <v>0</v>
          </cell>
          <cell r="G1946" t="str">
            <v>Затраты по ШПЗ (основные)</v>
          </cell>
          <cell r="H1946">
            <v>2011</v>
          </cell>
          <cell r="I1946">
            <v>7920</v>
          </cell>
          <cell r="J1946">
            <v>66504.19</v>
          </cell>
          <cell r="K1946">
            <v>1</v>
          </cell>
          <cell r="L1946">
            <v>0</v>
          </cell>
          <cell r="M1946">
            <v>0</v>
          </cell>
          <cell r="N1946">
            <v>0</v>
          </cell>
          <cell r="R1946">
            <v>0</v>
          </cell>
          <cell r="S1946">
            <v>0</v>
          </cell>
          <cell r="T1946">
            <v>0</v>
          </cell>
          <cell r="U1946">
            <v>42</v>
          </cell>
          <cell r="V1946">
            <v>0</v>
          </cell>
          <cell r="W1946">
            <v>0</v>
          </cell>
          <cell r="AA1946">
            <v>0</v>
          </cell>
          <cell r="AB1946">
            <v>0</v>
          </cell>
          <cell r="AC1946">
            <v>0</v>
          </cell>
          <cell r="AD1946">
            <v>42</v>
          </cell>
          <cell r="AE1946">
            <v>285000</v>
          </cell>
          <cell r="AF1946">
            <v>0</v>
          </cell>
          <cell r="AI1946">
            <v>2251</v>
          </cell>
          <cell r="AK1946">
            <v>0</v>
          </cell>
          <cell r="AM1946">
            <v>689</v>
          </cell>
          <cell r="AN1946">
            <v>1</v>
          </cell>
          <cell r="AO1946">
            <v>393216</v>
          </cell>
          <cell r="AQ1946">
            <v>0</v>
          </cell>
          <cell r="AR1946">
            <v>0</v>
          </cell>
          <cell r="AS1946" t="str">
            <v>Ы</v>
          </cell>
          <cell r="AT1946" t="str">
            <v>Ы</v>
          </cell>
          <cell r="AU1946">
            <v>0</v>
          </cell>
          <cell r="AV1946">
            <v>0</v>
          </cell>
          <cell r="AW1946">
            <v>23</v>
          </cell>
          <cell r="AX1946">
            <v>1</v>
          </cell>
          <cell r="AY1946">
            <v>0</v>
          </cell>
          <cell r="AZ1946">
            <v>0</v>
          </cell>
          <cell r="BA1946">
            <v>0</v>
          </cell>
          <cell r="BB1946">
            <v>0</v>
          </cell>
          <cell r="BC1946">
            <v>38828</v>
          </cell>
        </row>
        <row r="1947">
          <cell r="A1947">
            <v>2006</v>
          </cell>
          <cell r="B1947">
            <v>2</v>
          </cell>
          <cell r="C1947">
            <v>561</v>
          </cell>
          <cell r="D1947">
            <v>21</v>
          </cell>
          <cell r="E1947">
            <v>792020</v>
          </cell>
          <cell r="F1947">
            <v>0</v>
          </cell>
          <cell r="G1947" t="str">
            <v>Затраты по ШПЗ (основные)</v>
          </cell>
          <cell r="H1947">
            <v>2011</v>
          </cell>
          <cell r="I1947">
            <v>7920</v>
          </cell>
          <cell r="J1947">
            <v>413974.92</v>
          </cell>
          <cell r="K1947">
            <v>1</v>
          </cell>
          <cell r="L1947">
            <v>0</v>
          </cell>
          <cell r="M1947">
            <v>0</v>
          </cell>
          <cell r="N1947">
            <v>0</v>
          </cell>
          <cell r="R1947">
            <v>0</v>
          </cell>
          <cell r="S1947">
            <v>0</v>
          </cell>
          <cell r="T1947">
            <v>0</v>
          </cell>
          <cell r="U1947">
            <v>42</v>
          </cell>
          <cell r="V1947">
            <v>0</v>
          </cell>
          <cell r="W1947">
            <v>0</v>
          </cell>
          <cell r="AA1947">
            <v>0</v>
          </cell>
          <cell r="AB1947">
            <v>0</v>
          </cell>
          <cell r="AC1947">
            <v>0</v>
          </cell>
          <cell r="AD1947">
            <v>42</v>
          </cell>
          <cell r="AE1947">
            <v>311000</v>
          </cell>
          <cell r="AF1947">
            <v>0</v>
          </cell>
          <cell r="AI1947">
            <v>2251</v>
          </cell>
          <cell r="AK1947">
            <v>0</v>
          </cell>
          <cell r="AM1947">
            <v>690</v>
          </cell>
          <cell r="AN1947">
            <v>1</v>
          </cell>
          <cell r="AO1947">
            <v>393216</v>
          </cell>
          <cell r="AQ1947">
            <v>0</v>
          </cell>
          <cell r="AR1947">
            <v>0</v>
          </cell>
          <cell r="AS1947" t="str">
            <v>Ы</v>
          </cell>
          <cell r="AT1947" t="str">
            <v>Ы</v>
          </cell>
          <cell r="AU1947">
            <v>0</v>
          </cell>
          <cell r="AV1947">
            <v>0</v>
          </cell>
          <cell r="AW1947">
            <v>23</v>
          </cell>
          <cell r="AX1947">
            <v>1</v>
          </cell>
          <cell r="AY1947">
            <v>0</v>
          </cell>
          <cell r="AZ1947">
            <v>0</v>
          </cell>
          <cell r="BA1947">
            <v>0</v>
          </cell>
          <cell r="BB1947">
            <v>0</v>
          </cell>
          <cell r="BC1947">
            <v>38828</v>
          </cell>
        </row>
        <row r="1948">
          <cell r="A1948">
            <v>2006</v>
          </cell>
          <cell r="B1948">
            <v>2</v>
          </cell>
          <cell r="C1948">
            <v>562</v>
          </cell>
          <cell r="D1948">
            <v>21</v>
          </cell>
          <cell r="E1948">
            <v>792020</v>
          </cell>
          <cell r="F1948">
            <v>0</v>
          </cell>
          <cell r="G1948" t="str">
            <v>Затраты по ШПЗ (основные)</v>
          </cell>
          <cell r="H1948">
            <v>2011</v>
          </cell>
          <cell r="I1948">
            <v>7920</v>
          </cell>
          <cell r="J1948">
            <v>2865893.41</v>
          </cell>
          <cell r="K1948">
            <v>1</v>
          </cell>
          <cell r="L1948">
            <v>0</v>
          </cell>
          <cell r="M1948">
            <v>0</v>
          </cell>
          <cell r="N1948">
            <v>0</v>
          </cell>
          <cell r="R1948">
            <v>0</v>
          </cell>
          <cell r="S1948">
            <v>0</v>
          </cell>
          <cell r="T1948">
            <v>0</v>
          </cell>
          <cell r="U1948">
            <v>42</v>
          </cell>
          <cell r="V1948">
            <v>0</v>
          </cell>
          <cell r="W1948">
            <v>0</v>
          </cell>
          <cell r="AA1948">
            <v>0</v>
          </cell>
          <cell r="AB1948">
            <v>0</v>
          </cell>
          <cell r="AC1948">
            <v>0</v>
          </cell>
          <cell r="AD1948">
            <v>42</v>
          </cell>
          <cell r="AE1948">
            <v>312000</v>
          </cell>
          <cell r="AF1948">
            <v>0</v>
          </cell>
          <cell r="AI1948">
            <v>2251</v>
          </cell>
          <cell r="AK1948">
            <v>0</v>
          </cell>
          <cell r="AM1948">
            <v>691</v>
          </cell>
          <cell r="AN1948">
            <v>1</v>
          </cell>
          <cell r="AO1948">
            <v>393216</v>
          </cell>
          <cell r="AQ1948">
            <v>0</v>
          </cell>
          <cell r="AR1948">
            <v>0</v>
          </cell>
          <cell r="AS1948" t="str">
            <v>Ы</v>
          </cell>
          <cell r="AT1948" t="str">
            <v>Ы</v>
          </cell>
          <cell r="AU1948">
            <v>0</v>
          </cell>
          <cell r="AV1948">
            <v>0</v>
          </cell>
          <cell r="AW1948">
            <v>23</v>
          </cell>
          <cell r="AX1948">
            <v>1</v>
          </cell>
          <cell r="AY1948">
            <v>0</v>
          </cell>
          <cell r="AZ1948">
            <v>0</v>
          </cell>
          <cell r="BA1948">
            <v>0</v>
          </cell>
          <cell r="BB1948">
            <v>0</v>
          </cell>
          <cell r="BC1948">
            <v>38828</v>
          </cell>
        </row>
        <row r="1949">
          <cell r="A1949">
            <v>2006</v>
          </cell>
          <cell r="B1949">
            <v>2</v>
          </cell>
          <cell r="C1949">
            <v>563</v>
          </cell>
          <cell r="D1949">
            <v>21</v>
          </cell>
          <cell r="E1949">
            <v>792020</v>
          </cell>
          <cell r="F1949">
            <v>0</v>
          </cell>
          <cell r="G1949" t="str">
            <v>Затраты по ШПЗ (основные)</v>
          </cell>
          <cell r="H1949">
            <v>2011</v>
          </cell>
          <cell r="I1949">
            <v>7920</v>
          </cell>
          <cell r="J1949">
            <v>156035.26</v>
          </cell>
          <cell r="K1949">
            <v>1</v>
          </cell>
          <cell r="L1949">
            <v>0</v>
          </cell>
          <cell r="M1949">
            <v>0</v>
          </cell>
          <cell r="N1949">
            <v>0</v>
          </cell>
          <cell r="R1949">
            <v>0</v>
          </cell>
          <cell r="S1949">
            <v>0</v>
          </cell>
          <cell r="T1949">
            <v>0</v>
          </cell>
          <cell r="U1949">
            <v>42</v>
          </cell>
          <cell r="V1949">
            <v>0</v>
          </cell>
          <cell r="W1949">
            <v>0</v>
          </cell>
          <cell r="AA1949">
            <v>0</v>
          </cell>
          <cell r="AB1949">
            <v>0</v>
          </cell>
          <cell r="AC1949">
            <v>0</v>
          </cell>
          <cell r="AD1949">
            <v>42</v>
          </cell>
          <cell r="AE1949">
            <v>313000</v>
          </cell>
          <cell r="AF1949">
            <v>0</v>
          </cell>
          <cell r="AI1949">
            <v>2251</v>
          </cell>
          <cell r="AK1949">
            <v>0</v>
          </cell>
          <cell r="AM1949">
            <v>692</v>
          </cell>
          <cell r="AN1949">
            <v>1</v>
          </cell>
          <cell r="AO1949">
            <v>393216</v>
          </cell>
          <cell r="AQ1949">
            <v>0</v>
          </cell>
          <cell r="AR1949">
            <v>0</v>
          </cell>
          <cell r="AS1949" t="str">
            <v>Ы</v>
          </cell>
          <cell r="AT1949" t="str">
            <v>Ы</v>
          </cell>
          <cell r="AU1949">
            <v>0</v>
          </cell>
          <cell r="AV1949">
            <v>0</v>
          </cell>
          <cell r="AW1949">
            <v>23</v>
          </cell>
          <cell r="AX1949">
            <v>1</v>
          </cell>
          <cell r="AY1949">
            <v>0</v>
          </cell>
          <cell r="AZ1949">
            <v>0</v>
          </cell>
          <cell r="BA1949">
            <v>0</v>
          </cell>
          <cell r="BB1949">
            <v>0</v>
          </cell>
          <cell r="BC1949">
            <v>38828</v>
          </cell>
        </row>
        <row r="1950">
          <cell r="A1950">
            <v>2006</v>
          </cell>
          <cell r="B1950">
            <v>2</v>
          </cell>
          <cell r="C1950">
            <v>564</v>
          </cell>
          <cell r="D1950">
            <v>21</v>
          </cell>
          <cell r="E1950">
            <v>792020</v>
          </cell>
          <cell r="F1950">
            <v>0</v>
          </cell>
          <cell r="G1950" t="str">
            <v>Затраты по ШПЗ (основные)</v>
          </cell>
          <cell r="H1950">
            <v>2011</v>
          </cell>
          <cell r="I1950">
            <v>7920</v>
          </cell>
          <cell r="J1950">
            <v>283700.44</v>
          </cell>
          <cell r="K1950">
            <v>1</v>
          </cell>
          <cell r="L1950">
            <v>0</v>
          </cell>
          <cell r="M1950">
            <v>0</v>
          </cell>
          <cell r="N1950">
            <v>0</v>
          </cell>
          <cell r="R1950">
            <v>0</v>
          </cell>
          <cell r="S1950">
            <v>0</v>
          </cell>
          <cell r="T1950">
            <v>0</v>
          </cell>
          <cell r="U1950">
            <v>42</v>
          </cell>
          <cell r="V1950">
            <v>0</v>
          </cell>
          <cell r="W1950">
            <v>0</v>
          </cell>
          <cell r="AA1950">
            <v>0</v>
          </cell>
          <cell r="AB1950">
            <v>0</v>
          </cell>
          <cell r="AC1950">
            <v>0</v>
          </cell>
          <cell r="AD1950">
            <v>42</v>
          </cell>
          <cell r="AE1950">
            <v>314000</v>
          </cell>
          <cell r="AF1950">
            <v>0</v>
          </cell>
          <cell r="AI1950">
            <v>2251</v>
          </cell>
          <cell r="AK1950">
            <v>0</v>
          </cell>
          <cell r="AM1950">
            <v>693</v>
          </cell>
          <cell r="AN1950">
            <v>1</v>
          </cell>
          <cell r="AO1950">
            <v>393216</v>
          </cell>
          <cell r="AQ1950">
            <v>0</v>
          </cell>
          <cell r="AR1950">
            <v>0</v>
          </cell>
          <cell r="AS1950" t="str">
            <v>Ы</v>
          </cell>
          <cell r="AT1950" t="str">
            <v>Ы</v>
          </cell>
          <cell r="AU1950">
            <v>0</v>
          </cell>
          <cell r="AV1950">
            <v>0</v>
          </cell>
          <cell r="AW1950">
            <v>23</v>
          </cell>
          <cell r="AX1950">
            <v>1</v>
          </cell>
          <cell r="AY1950">
            <v>0</v>
          </cell>
          <cell r="AZ1950">
            <v>0</v>
          </cell>
          <cell r="BA1950">
            <v>0</v>
          </cell>
          <cell r="BB1950">
            <v>0</v>
          </cell>
          <cell r="BC1950">
            <v>38828</v>
          </cell>
        </row>
        <row r="1951">
          <cell r="A1951">
            <v>2006</v>
          </cell>
          <cell r="B1951">
            <v>2</v>
          </cell>
          <cell r="C1951">
            <v>565</v>
          </cell>
          <cell r="D1951">
            <v>21</v>
          </cell>
          <cell r="E1951">
            <v>792020</v>
          </cell>
          <cell r="F1951">
            <v>0</v>
          </cell>
          <cell r="G1951" t="str">
            <v>Затраты по ШПЗ (основные)</v>
          </cell>
          <cell r="H1951">
            <v>2011</v>
          </cell>
          <cell r="I1951">
            <v>7920</v>
          </cell>
          <cell r="J1951">
            <v>56794.57</v>
          </cell>
          <cell r="K1951">
            <v>1</v>
          </cell>
          <cell r="L1951">
            <v>0</v>
          </cell>
          <cell r="M1951">
            <v>0</v>
          </cell>
          <cell r="N1951">
            <v>0</v>
          </cell>
          <cell r="R1951">
            <v>0</v>
          </cell>
          <cell r="S1951">
            <v>0</v>
          </cell>
          <cell r="T1951">
            <v>0</v>
          </cell>
          <cell r="U1951">
            <v>42</v>
          </cell>
          <cell r="V1951">
            <v>0</v>
          </cell>
          <cell r="W1951">
            <v>0</v>
          </cell>
          <cell r="AA1951">
            <v>0</v>
          </cell>
          <cell r="AB1951">
            <v>0</v>
          </cell>
          <cell r="AC1951">
            <v>0</v>
          </cell>
          <cell r="AD1951">
            <v>42</v>
          </cell>
          <cell r="AE1951">
            <v>315000</v>
          </cell>
          <cell r="AF1951">
            <v>0</v>
          </cell>
          <cell r="AI1951">
            <v>2251</v>
          </cell>
          <cell r="AK1951">
            <v>0</v>
          </cell>
          <cell r="AM1951">
            <v>694</v>
          </cell>
          <cell r="AN1951">
            <v>1</v>
          </cell>
          <cell r="AO1951">
            <v>393216</v>
          </cell>
          <cell r="AQ1951">
            <v>0</v>
          </cell>
          <cell r="AR1951">
            <v>0</v>
          </cell>
          <cell r="AS1951" t="str">
            <v>Ы</v>
          </cell>
          <cell r="AT1951" t="str">
            <v>Ы</v>
          </cell>
          <cell r="AU1951">
            <v>0</v>
          </cell>
          <cell r="AV1951">
            <v>0</v>
          </cell>
          <cell r="AW1951">
            <v>23</v>
          </cell>
          <cell r="AX1951">
            <v>1</v>
          </cell>
          <cell r="AY1951">
            <v>0</v>
          </cell>
          <cell r="AZ1951">
            <v>0</v>
          </cell>
          <cell r="BA1951">
            <v>0</v>
          </cell>
          <cell r="BB1951">
            <v>0</v>
          </cell>
          <cell r="BC1951">
            <v>38828</v>
          </cell>
        </row>
        <row r="1952">
          <cell r="A1952">
            <v>2006</v>
          </cell>
          <cell r="B1952">
            <v>2</v>
          </cell>
          <cell r="C1952">
            <v>566</v>
          </cell>
          <cell r="D1952">
            <v>21</v>
          </cell>
          <cell r="E1952">
            <v>792020</v>
          </cell>
          <cell r="F1952">
            <v>0</v>
          </cell>
          <cell r="G1952" t="str">
            <v>Затраты по ШПЗ (основные)</v>
          </cell>
          <cell r="H1952">
            <v>2011</v>
          </cell>
          <cell r="I1952">
            <v>7920</v>
          </cell>
          <cell r="J1952">
            <v>7679302.7599999998</v>
          </cell>
          <cell r="K1952">
            <v>1</v>
          </cell>
          <cell r="L1952">
            <v>0</v>
          </cell>
          <cell r="M1952">
            <v>0</v>
          </cell>
          <cell r="N1952">
            <v>0</v>
          </cell>
          <cell r="R1952">
            <v>0</v>
          </cell>
          <cell r="S1952">
            <v>0</v>
          </cell>
          <cell r="T1952">
            <v>0</v>
          </cell>
          <cell r="U1952">
            <v>42</v>
          </cell>
          <cell r="V1952">
            <v>0</v>
          </cell>
          <cell r="W1952">
            <v>0</v>
          </cell>
          <cell r="AA1952">
            <v>0</v>
          </cell>
          <cell r="AB1952">
            <v>0</v>
          </cell>
          <cell r="AC1952">
            <v>0</v>
          </cell>
          <cell r="AD1952">
            <v>42</v>
          </cell>
          <cell r="AE1952">
            <v>410000</v>
          </cell>
          <cell r="AF1952">
            <v>0</v>
          </cell>
          <cell r="AI1952">
            <v>2251</v>
          </cell>
          <cell r="AK1952">
            <v>0</v>
          </cell>
          <cell r="AM1952">
            <v>695</v>
          </cell>
          <cell r="AN1952">
            <v>1</v>
          </cell>
          <cell r="AO1952">
            <v>393216</v>
          </cell>
          <cell r="AQ1952">
            <v>0</v>
          </cell>
          <cell r="AR1952">
            <v>0</v>
          </cell>
          <cell r="AS1952" t="str">
            <v>Ы</v>
          </cell>
          <cell r="AT1952" t="str">
            <v>Ы</v>
          </cell>
          <cell r="AU1952">
            <v>0</v>
          </cell>
          <cell r="AV1952">
            <v>0</v>
          </cell>
          <cell r="AW1952">
            <v>23</v>
          </cell>
          <cell r="AX1952">
            <v>1</v>
          </cell>
          <cell r="AY1952">
            <v>0</v>
          </cell>
          <cell r="AZ1952">
            <v>0</v>
          </cell>
          <cell r="BA1952">
            <v>0</v>
          </cell>
          <cell r="BB1952">
            <v>0</v>
          </cell>
          <cell r="BC1952">
            <v>38828</v>
          </cell>
        </row>
        <row r="1953">
          <cell r="A1953">
            <v>2006</v>
          </cell>
          <cell r="B1953">
            <v>2</v>
          </cell>
          <cell r="C1953">
            <v>567</v>
          </cell>
          <cell r="D1953">
            <v>21</v>
          </cell>
          <cell r="E1953">
            <v>792020</v>
          </cell>
          <cell r="F1953">
            <v>0</v>
          </cell>
          <cell r="G1953" t="str">
            <v>Затраты по ШПЗ (основные)</v>
          </cell>
          <cell r="H1953">
            <v>2011</v>
          </cell>
          <cell r="I1953">
            <v>7920</v>
          </cell>
          <cell r="J1953">
            <v>1342152.6000000001</v>
          </cell>
          <cell r="K1953">
            <v>1</v>
          </cell>
          <cell r="L1953">
            <v>0</v>
          </cell>
          <cell r="M1953">
            <v>0</v>
          </cell>
          <cell r="N1953">
            <v>0</v>
          </cell>
          <cell r="R1953">
            <v>0</v>
          </cell>
          <cell r="S1953">
            <v>0</v>
          </cell>
          <cell r="T1953">
            <v>0</v>
          </cell>
          <cell r="U1953">
            <v>42</v>
          </cell>
          <cell r="V1953">
            <v>0</v>
          </cell>
          <cell r="W1953">
            <v>0</v>
          </cell>
          <cell r="AA1953">
            <v>0</v>
          </cell>
          <cell r="AB1953">
            <v>0</v>
          </cell>
          <cell r="AC1953">
            <v>0</v>
          </cell>
          <cell r="AD1953">
            <v>42</v>
          </cell>
          <cell r="AE1953">
            <v>420000</v>
          </cell>
          <cell r="AF1953">
            <v>0</v>
          </cell>
          <cell r="AI1953">
            <v>2251</v>
          </cell>
          <cell r="AK1953">
            <v>0</v>
          </cell>
          <cell r="AM1953">
            <v>696</v>
          </cell>
          <cell r="AN1953">
            <v>1</v>
          </cell>
          <cell r="AO1953">
            <v>393216</v>
          </cell>
          <cell r="AQ1953">
            <v>0</v>
          </cell>
          <cell r="AR1953">
            <v>0</v>
          </cell>
          <cell r="AS1953" t="str">
            <v>Ы</v>
          </cell>
          <cell r="AT1953" t="str">
            <v>Ы</v>
          </cell>
          <cell r="AU1953">
            <v>0</v>
          </cell>
          <cell r="AV1953">
            <v>0</v>
          </cell>
          <cell r="AW1953">
            <v>23</v>
          </cell>
          <cell r="AX1953">
            <v>1</v>
          </cell>
          <cell r="AY1953">
            <v>0</v>
          </cell>
          <cell r="AZ1953">
            <v>0</v>
          </cell>
          <cell r="BA1953">
            <v>0</v>
          </cell>
          <cell r="BB1953">
            <v>0</v>
          </cell>
          <cell r="BC1953">
            <v>38828</v>
          </cell>
        </row>
        <row r="1954">
          <cell r="A1954">
            <v>2006</v>
          </cell>
          <cell r="B1954">
            <v>2</v>
          </cell>
          <cell r="C1954">
            <v>568</v>
          </cell>
          <cell r="D1954">
            <v>21</v>
          </cell>
          <cell r="E1954">
            <v>792020</v>
          </cell>
          <cell r="F1954">
            <v>0</v>
          </cell>
          <cell r="G1954" t="str">
            <v>Затраты по ШПЗ (основные)</v>
          </cell>
          <cell r="H1954">
            <v>2011</v>
          </cell>
          <cell r="I1954">
            <v>7920</v>
          </cell>
          <cell r="J1954">
            <v>26836119.609999999</v>
          </cell>
          <cell r="K1954">
            <v>1</v>
          </cell>
          <cell r="L1954">
            <v>0</v>
          </cell>
          <cell r="M1954">
            <v>0</v>
          </cell>
          <cell r="N1954">
            <v>0</v>
          </cell>
          <cell r="R1954">
            <v>0</v>
          </cell>
          <cell r="S1954">
            <v>0</v>
          </cell>
          <cell r="T1954">
            <v>0</v>
          </cell>
          <cell r="U1954">
            <v>42</v>
          </cell>
          <cell r="V1954">
            <v>0</v>
          </cell>
          <cell r="W1954">
            <v>0</v>
          </cell>
          <cell r="AA1954">
            <v>0</v>
          </cell>
          <cell r="AB1954">
            <v>0</v>
          </cell>
          <cell r="AC1954">
            <v>0</v>
          </cell>
          <cell r="AD1954">
            <v>42</v>
          </cell>
          <cell r="AE1954">
            <v>430000</v>
          </cell>
          <cell r="AF1954">
            <v>0</v>
          </cell>
          <cell r="AI1954">
            <v>2251</v>
          </cell>
          <cell r="AK1954">
            <v>0</v>
          </cell>
          <cell r="AM1954">
            <v>697</v>
          </cell>
          <cell r="AN1954">
            <v>1</v>
          </cell>
          <cell r="AO1954">
            <v>393216</v>
          </cell>
          <cell r="AQ1954">
            <v>0</v>
          </cell>
          <cell r="AR1954">
            <v>0</v>
          </cell>
          <cell r="AS1954" t="str">
            <v>Ы</v>
          </cell>
          <cell r="AT1954" t="str">
            <v>Ы</v>
          </cell>
          <cell r="AU1954">
            <v>0</v>
          </cell>
          <cell r="AV1954">
            <v>0</v>
          </cell>
          <cell r="AW1954">
            <v>23</v>
          </cell>
          <cell r="AX1954">
            <v>1</v>
          </cell>
          <cell r="AY1954">
            <v>0</v>
          </cell>
          <cell r="AZ1954">
            <v>0</v>
          </cell>
          <cell r="BA1954">
            <v>0</v>
          </cell>
          <cell r="BB1954">
            <v>0</v>
          </cell>
          <cell r="BC1954">
            <v>38828</v>
          </cell>
        </row>
        <row r="1955">
          <cell r="A1955">
            <v>2006</v>
          </cell>
          <cell r="B1955">
            <v>2</v>
          </cell>
          <cell r="C1955">
            <v>569</v>
          </cell>
          <cell r="D1955">
            <v>21</v>
          </cell>
          <cell r="E1955">
            <v>792020</v>
          </cell>
          <cell r="F1955">
            <v>0</v>
          </cell>
          <cell r="G1955" t="str">
            <v>Затраты по ШПЗ (основные)</v>
          </cell>
          <cell r="H1955">
            <v>2011</v>
          </cell>
          <cell r="I1955">
            <v>7920</v>
          </cell>
          <cell r="J1955">
            <v>243792.12</v>
          </cell>
          <cell r="K1955">
            <v>1</v>
          </cell>
          <cell r="L1955">
            <v>0</v>
          </cell>
          <cell r="M1955">
            <v>0</v>
          </cell>
          <cell r="N1955">
            <v>0</v>
          </cell>
          <cell r="R1955">
            <v>0</v>
          </cell>
          <cell r="S1955">
            <v>0</v>
          </cell>
          <cell r="T1955">
            <v>0</v>
          </cell>
          <cell r="U1955">
            <v>42</v>
          </cell>
          <cell r="V1955">
            <v>0</v>
          </cell>
          <cell r="W1955">
            <v>0</v>
          </cell>
          <cell r="AA1955">
            <v>0</v>
          </cell>
          <cell r="AB1955">
            <v>0</v>
          </cell>
          <cell r="AC1955">
            <v>0</v>
          </cell>
          <cell r="AD1955">
            <v>42</v>
          </cell>
          <cell r="AE1955">
            <v>450000</v>
          </cell>
          <cell r="AF1955">
            <v>0</v>
          </cell>
          <cell r="AI1955">
            <v>2251</v>
          </cell>
          <cell r="AK1955">
            <v>0</v>
          </cell>
          <cell r="AM1955">
            <v>698</v>
          </cell>
          <cell r="AN1955">
            <v>1</v>
          </cell>
          <cell r="AO1955">
            <v>393216</v>
          </cell>
          <cell r="AQ1955">
            <v>0</v>
          </cell>
          <cell r="AR1955">
            <v>0</v>
          </cell>
          <cell r="AS1955" t="str">
            <v>Ы</v>
          </cell>
          <cell r="AT1955" t="str">
            <v>Ы</v>
          </cell>
          <cell r="AU1955">
            <v>0</v>
          </cell>
          <cell r="AV1955">
            <v>0</v>
          </cell>
          <cell r="AW1955">
            <v>23</v>
          </cell>
          <cell r="AX1955">
            <v>1</v>
          </cell>
          <cell r="AY1955">
            <v>0</v>
          </cell>
          <cell r="AZ1955">
            <v>0</v>
          </cell>
          <cell r="BA1955">
            <v>0</v>
          </cell>
          <cell r="BB1955">
            <v>0</v>
          </cell>
          <cell r="BC1955">
            <v>38828</v>
          </cell>
        </row>
        <row r="1956">
          <cell r="A1956">
            <v>2006</v>
          </cell>
          <cell r="B1956">
            <v>2</v>
          </cell>
          <cell r="C1956">
            <v>570</v>
          </cell>
          <cell r="D1956">
            <v>21</v>
          </cell>
          <cell r="E1956">
            <v>792020</v>
          </cell>
          <cell r="F1956">
            <v>0</v>
          </cell>
          <cell r="G1956" t="str">
            <v>Затраты по ШПЗ (основные)</v>
          </cell>
          <cell r="H1956">
            <v>2011</v>
          </cell>
          <cell r="I1956">
            <v>7920</v>
          </cell>
          <cell r="J1956">
            <v>23156.03</v>
          </cell>
          <cell r="K1956">
            <v>1</v>
          </cell>
          <cell r="L1956">
            <v>0</v>
          </cell>
          <cell r="M1956">
            <v>0</v>
          </cell>
          <cell r="N1956">
            <v>0</v>
          </cell>
          <cell r="R1956">
            <v>0</v>
          </cell>
          <cell r="S1956">
            <v>0</v>
          </cell>
          <cell r="T1956">
            <v>0</v>
          </cell>
          <cell r="U1956">
            <v>42</v>
          </cell>
          <cell r="V1956">
            <v>0</v>
          </cell>
          <cell r="W1956">
            <v>0</v>
          </cell>
          <cell r="AA1956">
            <v>0</v>
          </cell>
          <cell r="AB1956">
            <v>0</v>
          </cell>
          <cell r="AC1956">
            <v>0</v>
          </cell>
          <cell r="AD1956">
            <v>42</v>
          </cell>
          <cell r="AE1956">
            <v>460000</v>
          </cell>
          <cell r="AF1956">
            <v>0</v>
          </cell>
          <cell r="AI1956">
            <v>2251</v>
          </cell>
          <cell r="AK1956">
            <v>0</v>
          </cell>
          <cell r="AM1956">
            <v>699</v>
          </cell>
          <cell r="AN1956">
            <v>1</v>
          </cell>
          <cell r="AO1956">
            <v>393216</v>
          </cell>
          <cell r="AQ1956">
            <v>0</v>
          </cell>
          <cell r="AR1956">
            <v>0</v>
          </cell>
          <cell r="AS1956" t="str">
            <v>Ы</v>
          </cell>
          <cell r="AT1956" t="str">
            <v>Ы</v>
          </cell>
          <cell r="AU1956">
            <v>0</v>
          </cell>
          <cell r="AV1956">
            <v>0</v>
          </cell>
          <cell r="AW1956">
            <v>23</v>
          </cell>
          <cell r="AX1956">
            <v>1</v>
          </cell>
          <cell r="AY1956">
            <v>0</v>
          </cell>
          <cell r="AZ1956">
            <v>0</v>
          </cell>
          <cell r="BA1956">
            <v>0</v>
          </cell>
          <cell r="BB1956">
            <v>0</v>
          </cell>
          <cell r="BC1956">
            <v>38828</v>
          </cell>
        </row>
        <row r="1957">
          <cell r="A1957">
            <v>2006</v>
          </cell>
          <cell r="B1957">
            <v>2</v>
          </cell>
          <cell r="C1957">
            <v>571</v>
          </cell>
          <cell r="D1957">
            <v>21</v>
          </cell>
          <cell r="E1957">
            <v>792020</v>
          </cell>
          <cell r="F1957">
            <v>0</v>
          </cell>
          <cell r="G1957" t="str">
            <v>Затраты по ШПЗ (основные)</v>
          </cell>
          <cell r="H1957">
            <v>2011</v>
          </cell>
          <cell r="I1957">
            <v>7920</v>
          </cell>
          <cell r="J1957">
            <v>10757.23</v>
          </cell>
          <cell r="K1957">
            <v>1</v>
          </cell>
          <cell r="L1957">
            <v>0</v>
          </cell>
          <cell r="M1957">
            <v>0</v>
          </cell>
          <cell r="N1957">
            <v>0</v>
          </cell>
          <cell r="R1957">
            <v>0</v>
          </cell>
          <cell r="S1957">
            <v>0</v>
          </cell>
          <cell r="T1957">
            <v>0</v>
          </cell>
          <cell r="U1957">
            <v>42</v>
          </cell>
          <cell r="V1957">
            <v>0</v>
          </cell>
          <cell r="W1957">
            <v>0</v>
          </cell>
          <cell r="AA1957">
            <v>0</v>
          </cell>
          <cell r="AB1957">
            <v>0</v>
          </cell>
          <cell r="AC1957">
            <v>0</v>
          </cell>
          <cell r="AD1957">
            <v>42</v>
          </cell>
          <cell r="AE1957">
            <v>465000</v>
          </cell>
          <cell r="AF1957">
            <v>0</v>
          </cell>
          <cell r="AI1957">
            <v>2251</v>
          </cell>
          <cell r="AK1957">
            <v>0</v>
          </cell>
          <cell r="AM1957">
            <v>700</v>
          </cell>
          <cell r="AN1957">
            <v>1</v>
          </cell>
          <cell r="AO1957">
            <v>393216</v>
          </cell>
          <cell r="AQ1957">
            <v>0</v>
          </cell>
          <cell r="AR1957">
            <v>0</v>
          </cell>
          <cell r="AS1957" t="str">
            <v>Ы</v>
          </cell>
          <cell r="AT1957" t="str">
            <v>Ы</v>
          </cell>
          <cell r="AU1957">
            <v>0</v>
          </cell>
          <cell r="AV1957">
            <v>0</v>
          </cell>
          <cell r="AW1957">
            <v>23</v>
          </cell>
          <cell r="AX1957">
            <v>1</v>
          </cell>
          <cell r="AY1957">
            <v>0</v>
          </cell>
          <cell r="AZ1957">
            <v>0</v>
          </cell>
          <cell r="BA1957">
            <v>0</v>
          </cell>
          <cell r="BB1957">
            <v>0</v>
          </cell>
          <cell r="BC1957">
            <v>38828</v>
          </cell>
        </row>
        <row r="1958">
          <cell r="A1958">
            <v>2006</v>
          </cell>
          <cell r="B1958">
            <v>2</v>
          </cell>
          <cell r="C1958">
            <v>572</v>
          </cell>
          <cell r="D1958">
            <v>21</v>
          </cell>
          <cell r="E1958">
            <v>792020</v>
          </cell>
          <cell r="F1958">
            <v>0</v>
          </cell>
          <cell r="G1958" t="str">
            <v>Затраты по ШПЗ (основные)</v>
          </cell>
          <cell r="H1958">
            <v>2011</v>
          </cell>
          <cell r="I1958">
            <v>7920</v>
          </cell>
          <cell r="J1958">
            <v>1954571.33</v>
          </cell>
          <cell r="K1958">
            <v>1</v>
          </cell>
          <cell r="L1958">
            <v>0</v>
          </cell>
          <cell r="M1958">
            <v>0</v>
          </cell>
          <cell r="N1958">
            <v>0</v>
          </cell>
          <cell r="R1958">
            <v>0</v>
          </cell>
          <cell r="S1958">
            <v>0</v>
          </cell>
          <cell r="T1958">
            <v>0</v>
          </cell>
          <cell r="U1958">
            <v>42</v>
          </cell>
          <cell r="V1958">
            <v>0</v>
          </cell>
          <cell r="W1958">
            <v>0</v>
          </cell>
          <cell r="AA1958">
            <v>0</v>
          </cell>
          <cell r="AB1958">
            <v>0</v>
          </cell>
          <cell r="AC1958">
            <v>0</v>
          </cell>
          <cell r="AD1958">
            <v>42</v>
          </cell>
          <cell r="AE1958">
            <v>502100</v>
          </cell>
          <cell r="AF1958">
            <v>0</v>
          </cell>
          <cell r="AI1958">
            <v>2251</v>
          </cell>
          <cell r="AK1958">
            <v>0</v>
          </cell>
          <cell r="AM1958">
            <v>701</v>
          </cell>
          <cell r="AN1958">
            <v>1</v>
          </cell>
          <cell r="AO1958">
            <v>393216</v>
          </cell>
          <cell r="AQ1958">
            <v>0</v>
          </cell>
          <cell r="AR1958">
            <v>0</v>
          </cell>
          <cell r="AS1958" t="str">
            <v>Ы</v>
          </cell>
          <cell r="AT1958" t="str">
            <v>Ы</v>
          </cell>
          <cell r="AU1958">
            <v>0</v>
          </cell>
          <cell r="AV1958">
            <v>0</v>
          </cell>
          <cell r="AW1958">
            <v>23</v>
          </cell>
          <cell r="AX1958">
            <v>1</v>
          </cell>
          <cell r="AY1958">
            <v>0</v>
          </cell>
          <cell r="AZ1958">
            <v>0</v>
          </cell>
          <cell r="BA1958">
            <v>0</v>
          </cell>
          <cell r="BB1958">
            <v>0</v>
          </cell>
          <cell r="BC1958">
            <v>38828</v>
          </cell>
        </row>
        <row r="1959">
          <cell r="A1959">
            <v>2006</v>
          </cell>
          <cell r="B1959">
            <v>2</v>
          </cell>
          <cell r="C1959">
            <v>573</v>
          </cell>
          <cell r="D1959">
            <v>21</v>
          </cell>
          <cell r="E1959">
            <v>792020</v>
          </cell>
          <cell r="F1959">
            <v>0</v>
          </cell>
          <cell r="G1959" t="str">
            <v>Затраты по ШПЗ (основные)</v>
          </cell>
          <cell r="H1959">
            <v>2011</v>
          </cell>
          <cell r="I1959">
            <v>7920</v>
          </cell>
          <cell r="J1959">
            <v>11908.61</v>
          </cell>
          <cell r="K1959">
            <v>1</v>
          </cell>
          <cell r="L1959">
            <v>0</v>
          </cell>
          <cell r="M1959">
            <v>0</v>
          </cell>
          <cell r="N1959">
            <v>0</v>
          </cell>
          <cell r="R1959">
            <v>0</v>
          </cell>
          <cell r="S1959">
            <v>0</v>
          </cell>
          <cell r="T1959">
            <v>0</v>
          </cell>
          <cell r="U1959">
            <v>42</v>
          </cell>
          <cell r="V1959">
            <v>0</v>
          </cell>
          <cell r="W1959">
            <v>0</v>
          </cell>
          <cell r="AA1959">
            <v>0</v>
          </cell>
          <cell r="AB1959">
            <v>0</v>
          </cell>
          <cell r="AC1959">
            <v>0</v>
          </cell>
          <cell r="AD1959">
            <v>42</v>
          </cell>
          <cell r="AE1959">
            <v>502400</v>
          </cell>
          <cell r="AF1959">
            <v>0</v>
          </cell>
          <cell r="AI1959">
            <v>2251</v>
          </cell>
          <cell r="AK1959">
            <v>0</v>
          </cell>
          <cell r="AM1959">
            <v>702</v>
          </cell>
          <cell r="AN1959">
            <v>1</v>
          </cell>
          <cell r="AO1959">
            <v>393216</v>
          </cell>
          <cell r="AQ1959">
            <v>0</v>
          </cell>
          <cell r="AR1959">
            <v>0</v>
          </cell>
          <cell r="AS1959" t="str">
            <v>Ы</v>
          </cell>
          <cell r="AT1959" t="str">
            <v>Ы</v>
          </cell>
          <cell r="AU1959">
            <v>0</v>
          </cell>
          <cell r="AV1959">
            <v>0</v>
          </cell>
          <cell r="AW1959">
            <v>23</v>
          </cell>
          <cell r="AX1959">
            <v>1</v>
          </cell>
          <cell r="AY1959">
            <v>0</v>
          </cell>
          <cell r="AZ1959">
            <v>0</v>
          </cell>
          <cell r="BA1959">
            <v>0</v>
          </cell>
          <cell r="BB1959">
            <v>0</v>
          </cell>
          <cell r="BC1959">
            <v>38828</v>
          </cell>
        </row>
        <row r="1960">
          <cell r="A1960">
            <v>2006</v>
          </cell>
          <cell r="B1960">
            <v>2</v>
          </cell>
          <cell r="C1960">
            <v>574</v>
          </cell>
          <cell r="D1960">
            <v>21</v>
          </cell>
          <cell r="E1960">
            <v>792020</v>
          </cell>
          <cell r="F1960">
            <v>0</v>
          </cell>
          <cell r="G1960" t="str">
            <v>Затраты по ШПЗ (основные)</v>
          </cell>
          <cell r="H1960">
            <v>2011</v>
          </cell>
          <cell r="I1960">
            <v>7920</v>
          </cell>
          <cell r="J1960">
            <v>1422301.66</v>
          </cell>
          <cell r="K1960">
            <v>1</v>
          </cell>
          <cell r="L1960">
            <v>0</v>
          </cell>
          <cell r="M1960">
            <v>0</v>
          </cell>
          <cell r="N1960">
            <v>0</v>
          </cell>
          <cell r="R1960">
            <v>0</v>
          </cell>
          <cell r="S1960">
            <v>0</v>
          </cell>
          <cell r="T1960">
            <v>0</v>
          </cell>
          <cell r="U1960">
            <v>42</v>
          </cell>
          <cell r="V1960">
            <v>0</v>
          </cell>
          <cell r="W1960">
            <v>0</v>
          </cell>
          <cell r="AA1960">
            <v>0</v>
          </cell>
          <cell r="AB1960">
            <v>0</v>
          </cell>
          <cell r="AC1960">
            <v>0</v>
          </cell>
          <cell r="AD1960">
            <v>42</v>
          </cell>
          <cell r="AE1960">
            <v>503000</v>
          </cell>
          <cell r="AF1960">
            <v>0</v>
          </cell>
          <cell r="AI1960">
            <v>2251</v>
          </cell>
          <cell r="AK1960">
            <v>0</v>
          </cell>
          <cell r="AM1960">
            <v>703</v>
          </cell>
          <cell r="AN1960">
            <v>1</v>
          </cell>
          <cell r="AO1960">
            <v>393216</v>
          </cell>
          <cell r="AQ1960">
            <v>0</v>
          </cell>
          <cell r="AR1960">
            <v>0</v>
          </cell>
          <cell r="AS1960" t="str">
            <v>Ы</v>
          </cell>
          <cell r="AT1960" t="str">
            <v>Ы</v>
          </cell>
          <cell r="AU1960">
            <v>0</v>
          </cell>
          <cell r="AV1960">
            <v>0</v>
          </cell>
          <cell r="AW1960">
            <v>23</v>
          </cell>
          <cell r="AX1960">
            <v>1</v>
          </cell>
          <cell r="AY1960">
            <v>0</v>
          </cell>
          <cell r="AZ1960">
            <v>0</v>
          </cell>
          <cell r="BA1960">
            <v>0</v>
          </cell>
          <cell r="BB1960">
            <v>0</v>
          </cell>
          <cell r="BC1960">
            <v>38828</v>
          </cell>
        </row>
        <row r="1961">
          <cell r="A1961">
            <v>2006</v>
          </cell>
          <cell r="B1961">
            <v>2</v>
          </cell>
          <cell r="C1961">
            <v>575</v>
          </cell>
          <cell r="D1961">
            <v>21</v>
          </cell>
          <cell r="E1961">
            <v>792020</v>
          </cell>
          <cell r="F1961">
            <v>0</v>
          </cell>
          <cell r="G1961" t="str">
            <v>Затраты по ШПЗ (основные)</v>
          </cell>
          <cell r="H1961">
            <v>2011</v>
          </cell>
          <cell r="I1961">
            <v>7920</v>
          </cell>
          <cell r="J1961">
            <v>125456.38</v>
          </cell>
          <cell r="K1961">
            <v>1</v>
          </cell>
          <cell r="L1961">
            <v>0</v>
          </cell>
          <cell r="M1961">
            <v>0</v>
          </cell>
          <cell r="N1961">
            <v>0</v>
          </cell>
          <cell r="R1961">
            <v>0</v>
          </cell>
          <cell r="S1961">
            <v>0</v>
          </cell>
          <cell r="T1961">
            <v>0</v>
          </cell>
          <cell r="U1961">
            <v>42</v>
          </cell>
          <cell r="V1961">
            <v>0</v>
          </cell>
          <cell r="W1961">
            <v>0</v>
          </cell>
          <cell r="AA1961">
            <v>0</v>
          </cell>
          <cell r="AB1961">
            <v>0</v>
          </cell>
          <cell r="AC1961">
            <v>0</v>
          </cell>
          <cell r="AD1961">
            <v>42</v>
          </cell>
          <cell r="AE1961">
            <v>504900</v>
          </cell>
          <cell r="AF1961">
            <v>0</v>
          </cell>
          <cell r="AI1961">
            <v>2251</v>
          </cell>
          <cell r="AK1961">
            <v>0</v>
          </cell>
          <cell r="AM1961">
            <v>704</v>
          </cell>
          <cell r="AN1961">
            <v>1</v>
          </cell>
          <cell r="AO1961">
            <v>393216</v>
          </cell>
          <cell r="AQ1961">
            <v>0</v>
          </cell>
          <cell r="AR1961">
            <v>0</v>
          </cell>
          <cell r="AS1961" t="str">
            <v>Ы</v>
          </cell>
          <cell r="AT1961" t="str">
            <v>Ы</v>
          </cell>
          <cell r="AU1961">
            <v>0</v>
          </cell>
          <cell r="AV1961">
            <v>0</v>
          </cell>
          <cell r="AW1961">
            <v>23</v>
          </cell>
          <cell r="AX1961">
            <v>1</v>
          </cell>
          <cell r="AY1961">
            <v>0</v>
          </cell>
          <cell r="AZ1961">
            <v>0</v>
          </cell>
          <cell r="BA1961">
            <v>0</v>
          </cell>
          <cell r="BB1961">
            <v>0</v>
          </cell>
          <cell r="BC1961">
            <v>38828</v>
          </cell>
        </row>
        <row r="1962">
          <cell r="A1962">
            <v>2006</v>
          </cell>
          <cell r="B1962">
            <v>2</v>
          </cell>
          <cell r="C1962">
            <v>576</v>
          </cell>
          <cell r="D1962">
            <v>21</v>
          </cell>
          <cell r="E1962">
            <v>792020</v>
          </cell>
          <cell r="F1962">
            <v>0</v>
          </cell>
          <cell r="G1962" t="str">
            <v>Затраты по ШПЗ (основные)</v>
          </cell>
          <cell r="H1962">
            <v>2011</v>
          </cell>
          <cell r="I1962">
            <v>7920</v>
          </cell>
          <cell r="J1962">
            <v>175700.89</v>
          </cell>
          <cell r="K1962">
            <v>1</v>
          </cell>
          <cell r="L1962">
            <v>0</v>
          </cell>
          <cell r="M1962">
            <v>0</v>
          </cell>
          <cell r="N1962">
            <v>0</v>
          </cell>
          <cell r="R1962">
            <v>0</v>
          </cell>
          <cell r="S1962">
            <v>0</v>
          </cell>
          <cell r="T1962">
            <v>0</v>
          </cell>
          <cell r="U1962">
            <v>42</v>
          </cell>
          <cell r="V1962">
            <v>0</v>
          </cell>
          <cell r="W1962">
            <v>0</v>
          </cell>
          <cell r="AA1962">
            <v>0</v>
          </cell>
          <cell r="AB1962">
            <v>0</v>
          </cell>
          <cell r="AC1962">
            <v>0</v>
          </cell>
          <cell r="AD1962">
            <v>42</v>
          </cell>
          <cell r="AE1962">
            <v>505100</v>
          </cell>
          <cell r="AF1962">
            <v>0</v>
          </cell>
          <cell r="AI1962">
            <v>2251</v>
          </cell>
          <cell r="AK1962">
            <v>0</v>
          </cell>
          <cell r="AM1962">
            <v>705</v>
          </cell>
          <cell r="AN1962">
            <v>1</v>
          </cell>
          <cell r="AO1962">
            <v>393216</v>
          </cell>
          <cell r="AQ1962">
            <v>0</v>
          </cell>
          <cell r="AR1962">
            <v>0</v>
          </cell>
          <cell r="AS1962" t="str">
            <v>Ы</v>
          </cell>
          <cell r="AT1962" t="str">
            <v>Ы</v>
          </cell>
          <cell r="AU1962">
            <v>0</v>
          </cell>
          <cell r="AV1962">
            <v>0</v>
          </cell>
          <cell r="AW1962">
            <v>23</v>
          </cell>
          <cell r="AX1962">
            <v>1</v>
          </cell>
          <cell r="AY1962">
            <v>0</v>
          </cell>
          <cell r="AZ1962">
            <v>0</v>
          </cell>
          <cell r="BA1962">
            <v>0</v>
          </cell>
          <cell r="BB1962">
            <v>0</v>
          </cell>
          <cell r="BC1962">
            <v>38828</v>
          </cell>
        </row>
        <row r="1963">
          <cell r="A1963">
            <v>2006</v>
          </cell>
          <cell r="B1963">
            <v>2</v>
          </cell>
          <cell r="C1963">
            <v>577</v>
          </cell>
          <cell r="D1963">
            <v>21</v>
          </cell>
          <cell r="E1963">
            <v>792020</v>
          </cell>
          <cell r="F1963">
            <v>0</v>
          </cell>
          <cell r="G1963" t="str">
            <v>Затраты по ШПЗ (основные)</v>
          </cell>
          <cell r="H1963">
            <v>2011</v>
          </cell>
          <cell r="I1963">
            <v>7920</v>
          </cell>
          <cell r="J1963">
            <v>268314.08</v>
          </cell>
          <cell r="K1963">
            <v>1</v>
          </cell>
          <cell r="L1963">
            <v>0</v>
          </cell>
          <cell r="M1963">
            <v>0</v>
          </cell>
          <cell r="N1963">
            <v>0</v>
          </cell>
          <cell r="R1963">
            <v>0</v>
          </cell>
          <cell r="S1963">
            <v>0</v>
          </cell>
          <cell r="T1963">
            <v>0</v>
          </cell>
          <cell r="U1963">
            <v>42</v>
          </cell>
          <cell r="V1963">
            <v>0</v>
          </cell>
          <cell r="W1963">
            <v>0</v>
          </cell>
          <cell r="AA1963">
            <v>0</v>
          </cell>
          <cell r="AB1963">
            <v>0</v>
          </cell>
          <cell r="AC1963">
            <v>0</v>
          </cell>
          <cell r="AD1963">
            <v>42</v>
          </cell>
          <cell r="AE1963">
            <v>505200</v>
          </cell>
          <cell r="AF1963">
            <v>0</v>
          </cell>
          <cell r="AI1963">
            <v>2251</v>
          </cell>
          <cell r="AK1963">
            <v>0</v>
          </cell>
          <cell r="AM1963">
            <v>706</v>
          </cell>
          <cell r="AN1963">
            <v>1</v>
          </cell>
          <cell r="AO1963">
            <v>393216</v>
          </cell>
          <cell r="AQ1963">
            <v>0</v>
          </cell>
          <cell r="AR1963">
            <v>0</v>
          </cell>
          <cell r="AS1963" t="str">
            <v>Ы</v>
          </cell>
          <cell r="AT1963" t="str">
            <v>Ы</v>
          </cell>
          <cell r="AU1963">
            <v>0</v>
          </cell>
          <cell r="AV1963">
            <v>0</v>
          </cell>
          <cell r="AW1963">
            <v>23</v>
          </cell>
          <cell r="AX1963">
            <v>1</v>
          </cell>
          <cell r="AY1963">
            <v>0</v>
          </cell>
          <cell r="AZ1963">
            <v>0</v>
          </cell>
          <cell r="BA1963">
            <v>0</v>
          </cell>
          <cell r="BB1963">
            <v>0</v>
          </cell>
          <cell r="BC1963">
            <v>38828</v>
          </cell>
        </row>
        <row r="1964">
          <cell r="A1964">
            <v>2006</v>
          </cell>
          <cell r="B1964">
            <v>2</v>
          </cell>
          <cell r="C1964">
            <v>578</v>
          </cell>
          <cell r="D1964">
            <v>21</v>
          </cell>
          <cell r="E1964">
            <v>792020</v>
          </cell>
          <cell r="F1964">
            <v>0</v>
          </cell>
          <cell r="G1964" t="str">
            <v>Затраты по ШПЗ (основные)</v>
          </cell>
          <cell r="H1964">
            <v>2011</v>
          </cell>
          <cell r="I1964">
            <v>7920</v>
          </cell>
          <cell r="J1964">
            <v>5375.83</v>
          </cell>
          <cell r="K1964">
            <v>1</v>
          </cell>
          <cell r="L1964">
            <v>0</v>
          </cell>
          <cell r="M1964">
            <v>0</v>
          </cell>
          <cell r="N1964">
            <v>0</v>
          </cell>
          <cell r="R1964">
            <v>0</v>
          </cell>
          <cell r="S1964">
            <v>0</v>
          </cell>
          <cell r="T1964">
            <v>0</v>
          </cell>
          <cell r="U1964">
            <v>42</v>
          </cell>
          <cell r="V1964">
            <v>0</v>
          </cell>
          <cell r="W1964">
            <v>0</v>
          </cell>
          <cell r="AA1964">
            <v>0</v>
          </cell>
          <cell r="AB1964">
            <v>0</v>
          </cell>
          <cell r="AC1964">
            <v>0</v>
          </cell>
          <cell r="AD1964">
            <v>42</v>
          </cell>
          <cell r="AE1964">
            <v>505400</v>
          </cell>
          <cell r="AF1964">
            <v>0</v>
          </cell>
          <cell r="AI1964">
            <v>2251</v>
          </cell>
          <cell r="AK1964">
            <v>0</v>
          </cell>
          <cell r="AM1964">
            <v>707</v>
          </cell>
          <cell r="AN1964">
            <v>1</v>
          </cell>
          <cell r="AO1964">
            <v>393216</v>
          </cell>
          <cell r="AQ1964">
            <v>0</v>
          </cell>
          <cell r="AR1964">
            <v>0</v>
          </cell>
          <cell r="AS1964" t="str">
            <v>Ы</v>
          </cell>
          <cell r="AT1964" t="str">
            <v>Ы</v>
          </cell>
          <cell r="AU1964">
            <v>0</v>
          </cell>
          <cell r="AV1964">
            <v>0</v>
          </cell>
          <cell r="AW1964">
            <v>23</v>
          </cell>
          <cell r="AX1964">
            <v>1</v>
          </cell>
          <cell r="AY1964">
            <v>0</v>
          </cell>
          <cell r="AZ1964">
            <v>0</v>
          </cell>
          <cell r="BA1964">
            <v>0</v>
          </cell>
          <cell r="BB1964">
            <v>0</v>
          </cell>
          <cell r="BC1964">
            <v>38828</v>
          </cell>
        </row>
        <row r="1965">
          <cell r="A1965">
            <v>2006</v>
          </cell>
          <cell r="B1965">
            <v>2</v>
          </cell>
          <cell r="C1965">
            <v>579</v>
          </cell>
          <cell r="D1965">
            <v>21</v>
          </cell>
          <cell r="E1965">
            <v>792020</v>
          </cell>
          <cell r="F1965">
            <v>0</v>
          </cell>
          <cell r="G1965" t="str">
            <v>Затраты по ШПЗ (основные)</v>
          </cell>
          <cell r="H1965">
            <v>2011</v>
          </cell>
          <cell r="I1965">
            <v>7920</v>
          </cell>
          <cell r="J1965">
            <v>16252.74</v>
          </cell>
          <cell r="K1965">
            <v>1</v>
          </cell>
          <cell r="L1965">
            <v>0</v>
          </cell>
          <cell r="M1965">
            <v>0</v>
          </cell>
          <cell r="N1965">
            <v>0</v>
          </cell>
          <cell r="R1965">
            <v>0</v>
          </cell>
          <cell r="S1965">
            <v>0</v>
          </cell>
          <cell r="T1965">
            <v>0</v>
          </cell>
          <cell r="U1965">
            <v>42</v>
          </cell>
          <cell r="V1965">
            <v>0</v>
          </cell>
          <cell r="W1965">
            <v>0</v>
          </cell>
          <cell r="AA1965">
            <v>0</v>
          </cell>
          <cell r="AB1965">
            <v>0</v>
          </cell>
          <cell r="AC1965">
            <v>0</v>
          </cell>
          <cell r="AD1965">
            <v>42</v>
          </cell>
          <cell r="AE1965">
            <v>506200</v>
          </cell>
          <cell r="AF1965">
            <v>0</v>
          </cell>
          <cell r="AI1965">
            <v>2251</v>
          </cell>
          <cell r="AK1965">
            <v>0</v>
          </cell>
          <cell r="AM1965">
            <v>708</v>
          </cell>
          <cell r="AN1965">
            <v>1</v>
          </cell>
          <cell r="AO1965">
            <v>393216</v>
          </cell>
          <cell r="AQ1965">
            <v>0</v>
          </cell>
          <cell r="AR1965">
            <v>0</v>
          </cell>
          <cell r="AS1965" t="str">
            <v>Ы</v>
          </cell>
          <cell r="AT1965" t="str">
            <v>Ы</v>
          </cell>
          <cell r="AU1965">
            <v>0</v>
          </cell>
          <cell r="AV1965">
            <v>0</v>
          </cell>
          <cell r="AW1965">
            <v>23</v>
          </cell>
          <cell r="AX1965">
            <v>1</v>
          </cell>
          <cell r="AY1965">
            <v>0</v>
          </cell>
          <cell r="AZ1965">
            <v>0</v>
          </cell>
          <cell r="BA1965">
            <v>0</v>
          </cell>
          <cell r="BB1965">
            <v>0</v>
          </cell>
          <cell r="BC1965">
            <v>38828</v>
          </cell>
        </row>
        <row r="1966">
          <cell r="A1966">
            <v>2006</v>
          </cell>
          <cell r="B1966">
            <v>2</v>
          </cell>
          <cell r="C1966">
            <v>580</v>
          </cell>
          <cell r="D1966">
            <v>21</v>
          </cell>
          <cell r="E1966">
            <v>792020</v>
          </cell>
          <cell r="F1966">
            <v>0</v>
          </cell>
          <cell r="G1966" t="str">
            <v>Затраты по ШПЗ (основные)</v>
          </cell>
          <cell r="H1966">
            <v>2011</v>
          </cell>
          <cell r="I1966">
            <v>7920</v>
          </cell>
          <cell r="J1966">
            <v>27861.84</v>
          </cell>
          <cell r="K1966">
            <v>1</v>
          </cell>
          <cell r="L1966">
            <v>0</v>
          </cell>
          <cell r="M1966">
            <v>0</v>
          </cell>
          <cell r="N1966">
            <v>0</v>
          </cell>
          <cell r="R1966">
            <v>0</v>
          </cell>
          <cell r="S1966">
            <v>0</v>
          </cell>
          <cell r="T1966">
            <v>0</v>
          </cell>
          <cell r="U1966">
            <v>42</v>
          </cell>
          <cell r="V1966">
            <v>0</v>
          </cell>
          <cell r="W1966">
            <v>0</v>
          </cell>
          <cell r="AA1966">
            <v>0</v>
          </cell>
          <cell r="AB1966">
            <v>0</v>
          </cell>
          <cell r="AC1966">
            <v>0</v>
          </cell>
          <cell r="AD1966">
            <v>42</v>
          </cell>
          <cell r="AE1966">
            <v>508310</v>
          </cell>
          <cell r="AF1966">
            <v>0</v>
          </cell>
          <cell r="AI1966">
            <v>2251</v>
          </cell>
          <cell r="AK1966">
            <v>0</v>
          </cell>
          <cell r="AM1966">
            <v>709</v>
          </cell>
          <cell r="AN1966">
            <v>1</v>
          </cell>
          <cell r="AO1966">
            <v>393216</v>
          </cell>
          <cell r="AQ1966">
            <v>0</v>
          </cell>
          <cell r="AR1966">
            <v>0</v>
          </cell>
          <cell r="AS1966" t="str">
            <v>Ы</v>
          </cell>
          <cell r="AT1966" t="str">
            <v>Ы</v>
          </cell>
          <cell r="AU1966">
            <v>0</v>
          </cell>
          <cell r="AV1966">
            <v>0</v>
          </cell>
          <cell r="AW1966">
            <v>23</v>
          </cell>
          <cell r="AX1966">
            <v>1</v>
          </cell>
          <cell r="AY1966">
            <v>0</v>
          </cell>
          <cell r="AZ1966">
            <v>0</v>
          </cell>
          <cell r="BA1966">
            <v>0</v>
          </cell>
          <cell r="BB1966">
            <v>0</v>
          </cell>
          <cell r="BC1966">
            <v>38828</v>
          </cell>
        </row>
        <row r="1967">
          <cell r="A1967">
            <v>2006</v>
          </cell>
          <cell r="B1967">
            <v>2</v>
          </cell>
          <cell r="C1967">
            <v>581</v>
          </cell>
          <cell r="D1967">
            <v>21</v>
          </cell>
          <cell r="E1967">
            <v>792020</v>
          </cell>
          <cell r="F1967">
            <v>0</v>
          </cell>
          <cell r="G1967" t="str">
            <v>Затраты по ШПЗ (основные)</v>
          </cell>
          <cell r="H1967">
            <v>2011</v>
          </cell>
          <cell r="I1967">
            <v>7920</v>
          </cell>
          <cell r="J1967">
            <v>4095.69</v>
          </cell>
          <cell r="K1967">
            <v>1</v>
          </cell>
          <cell r="L1967">
            <v>0</v>
          </cell>
          <cell r="M1967">
            <v>0</v>
          </cell>
          <cell r="N1967">
            <v>0</v>
          </cell>
          <cell r="R1967">
            <v>0</v>
          </cell>
          <cell r="S1967">
            <v>0</v>
          </cell>
          <cell r="T1967">
            <v>0</v>
          </cell>
          <cell r="U1967">
            <v>42</v>
          </cell>
          <cell r="V1967">
            <v>0</v>
          </cell>
          <cell r="W1967">
            <v>0</v>
          </cell>
          <cell r="AA1967">
            <v>0</v>
          </cell>
          <cell r="AB1967">
            <v>0</v>
          </cell>
          <cell r="AC1967">
            <v>0</v>
          </cell>
          <cell r="AD1967">
            <v>42</v>
          </cell>
          <cell r="AE1967">
            <v>508700</v>
          </cell>
          <cell r="AF1967">
            <v>0</v>
          </cell>
          <cell r="AI1967">
            <v>2251</v>
          </cell>
          <cell r="AK1967">
            <v>0</v>
          </cell>
          <cell r="AM1967">
            <v>710</v>
          </cell>
          <cell r="AN1967">
            <v>1</v>
          </cell>
          <cell r="AO1967">
            <v>393216</v>
          </cell>
          <cell r="AQ1967">
            <v>0</v>
          </cell>
          <cell r="AR1967">
            <v>0</v>
          </cell>
          <cell r="AS1967" t="str">
            <v>Ы</v>
          </cell>
          <cell r="AT1967" t="str">
            <v>Ы</v>
          </cell>
          <cell r="AU1967">
            <v>0</v>
          </cell>
          <cell r="AV1967">
            <v>0</v>
          </cell>
          <cell r="AW1967">
            <v>23</v>
          </cell>
          <cell r="AX1967">
            <v>1</v>
          </cell>
          <cell r="AY1967">
            <v>0</v>
          </cell>
          <cell r="AZ1967">
            <v>0</v>
          </cell>
          <cell r="BA1967">
            <v>0</v>
          </cell>
          <cell r="BB1967">
            <v>0</v>
          </cell>
          <cell r="BC1967">
            <v>38828</v>
          </cell>
        </row>
        <row r="1968">
          <cell r="A1968">
            <v>2006</v>
          </cell>
          <cell r="B1968">
            <v>2</v>
          </cell>
          <cell r="C1968">
            <v>582</v>
          </cell>
          <cell r="D1968">
            <v>21</v>
          </cell>
          <cell r="E1968">
            <v>792020</v>
          </cell>
          <cell r="F1968">
            <v>0</v>
          </cell>
          <cell r="G1968" t="str">
            <v>Затраты по ШПЗ (основные)</v>
          </cell>
          <cell r="H1968">
            <v>2011</v>
          </cell>
          <cell r="I1968">
            <v>7920</v>
          </cell>
          <cell r="J1968">
            <v>705883.63</v>
          </cell>
          <cell r="K1968">
            <v>1</v>
          </cell>
          <cell r="L1968">
            <v>0</v>
          </cell>
          <cell r="M1968">
            <v>0</v>
          </cell>
          <cell r="N1968">
            <v>0</v>
          </cell>
          <cell r="R1968">
            <v>0</v>
          </cell>
          <cell r="S1968">
            <v>0</v>
          </cell>
          <cell r="T1968">
            <v>0</v>
          </cell>
          <cell r="U1968">
            <v>42</v>
          </cell>
          <cell r="V1968">
            <v>0</v>
          </cell>
          <cell r="W1968">
            <v>0</v>
          </cell>
          <cell r="AA1968">
            <v>0</v>
          </cell>
          <cell r="AB1968">
            <v>0</v>
          </cell>
          <cell r="AC1968">
            <v>0</v>
          </cell>
          <cell r="AD1968">
            <v>42</v>
          </cell>
          <cell r="AE1968">
            <v>510100</v>
          </cell>
          <cell r="AF1968">
            <v>0</v>
          </cell>
          <cell r="AI1968">
            <v>2251</v>
          </cell>
          <cell r="AK1968">
            <v>0</v>
          </cell>
          <cell r="AM1968">
            <v>711</v>
          </cell>
          <cell r="AN1968">
            <v>1</v>
          </cell>
          <cell r="AO1968">
            <v>393216</v>
          </cell>
          <cell r="AQ1968">
            <v>0</v>
          </cell>
          <cell r="AR1968">
            <v>0</v>
          </cell>
          <cell r="AS1968" t="str">
            <v>Ы</v>
          </cell>
          <cell r="AT1968" t="str">
            <v>Ы</v>
          </cell>
          <cell r="AU1968">
            <v>0</v>
          </cell>
          <cell r="AV1968">
            <v>0</v>
          </cell>
          <cell r="AW1968">
            <v>23</v>
          </cell>
          <cell r="AX1968">
            <v>1</v>
          </cell>
          <cell r="AY1968">
            <v>0</v>
          </cell>
          <cell r="AZ1968">
            <v>0</v>
          </cell>
          <cell r="BA1968">
            <v>0</v>
          </cell>
          <cell r="BB1968">
            <v>0</v>
          </cell>
          <cell r="BC1968">
            <v>38828</v>
          </cell>
        </row>
        <row r="1969">
          <cell r="A1969">
            <v>2006</v>
          </cell>
          <cell r="B1969">
            <v>2</v>
          </cell>
          <cell r="C1969">
            <v>583</v>
          </cell>
          <cell r="D1969">
            <v>21</v>
          </cell>
          <cell r="E1969">
            <v>792020</v>
          </cell>
          <cell r="F1969">
            <v>0</v>
          </cell>
          <cell r="G1969" t="str">
            <v>Затраты по ШПЗ (основные)</v>
          </cell>
          <cell r="H1969">
            <v>2011</v>
          </cell>
          <cell r="I1969">
            <v>7920</v>
          </cell>
          <cell r="J1969">
            <v>970.14</v>
          </cell>
          <cell r="K1969">
            <v>1</v>
          </cell>
          <cell r="L1969">
            <v>0</v>
          </cell>
          <cell r="M1969">
            <v>0</v>
          </cell>
          <cell r="N1969">
            <v>0</v>
          </cell>
          <cell r="R1969">
            <v>0</v>
          </cell>
          <cell r="S1969">
            <v>0</v>
          </cell>
          <cell r="T1969">
            <v>0</v>
          </cell>
          <cell r="U1969">
            <v>42</v>
          </cell>
          <cell r="V1969">
            <v>0</v>
          </cell>
          <cell r="W1969">
            <v>0</v>
          </cell>
          <cell r="AA1969">
            <v>0</v>
          </cell>
          <cell r="AB1969">
            <v>0</v>
          </cell>
          <cell r="AC1969">
            <v>0</v>
          </cell>
          <cell r="AD1969">
            <v>42</v>
          </cell>
          <cell r="AE1969">
            <v>510200</v>
          </cell>
          <cell r="AF1969">
            <v>0</v>
          </cell>
          <cell r="AI1969">
            <v>2251</v>
          </cell>
          <cell r="AK1969">
            <v>0</v>
          </cell>
          <cell r="AM1969">
            <v>712</v>
          </cell>
          <cell r="AN1969">
            <v>1</v>
          </cell>
          <cell r="AO1969">
            <v>393216</v>
          </cell>
          <cell r="AQ1969">
            <v>0</v>
          </cell>
          <cell r="AR1969">
            <v>0</v>
          </cell>
          <cell r="AS1969" t="str">
            <v>Ы</v>
          </cell>
          <cell r="AT1969" t="str">
            <v>Ы</v>
          </cell>
          <cell r="AU1969">
            <v>0</v>
          </cell>
          <cell r="AV1969">
            <v>0</v>
          </cell>
          <cell r="AW1969">
            <v>23</v>
          </cell>
          <cell r="AX1969">
            <v>1</v>
          </cell>
          <cell r="AY1969">
            <v>0</v>
          </cell>
          <cell r="AZ1969">
            <v>0</v>
          </cell>
          <cell r="BA1969">
            <v>0</v>
          </cell>
          <cell r="BB1969">
            <v>0</v>
          </cell>
          <cell r="BC1969">
            <v>38828</v>
          </cell>
        </row>
        <row r="1970">
          <cell r="A1970">
            <v>2006</v>
          </cell>
          <cell r="B1970">
            <v>2</v>
          </cell>
          <cell r="C1970">
            <v>584</v>
          </cell>
          <cell r="D1970">
            <v>21</v>
          </cell>
          <cell r="E1970">
            <v>792020</v>
          </cell>
          <cell r="F1970">
            <v>0</v>
          </cell>
          <cell r="G1970" t="str">
            <v>Затраты по ШПЗ (основные)</v>
          </cell>
          <cell r="H1970">
            <v>2011</v>
          </cell>
          <cell r="I1970">
            <v>7920</v>
          </cell>
          <cell r="J1970">
            <v>104024.46</v>
          </cell>
          <cell r="K1970">
            <v>1</v>
          </cell>
          <cell r="L1970">
            <v>0</v>
          </cell>
          <cell r="M1970">
            <v>0</v>
          </cell>
          <cell r="N1970">
            <v>0</v>
          </cell>
          <cell r="R1970">
            <v>0</v>
          </cell>
          <cell r="S1970">
            <v>0</v>
          </cell>
          <cell r="T1970">
            <v>0</v>
          </cell>
          <cell r="U1970">
            <v>42</v>
          </cell>
          <cell r="V1970">
            <v>0</v>
          </cell>
          <cell r="W1970">
            <v>0</v>
          </cell>
          <cell r="AA1970">
            <v>0</v>
          </cell>
          <cell r="AB1970">
            <v>0</v>
          </cell>
          <cell r="AC1970">
            <v>0</v>
          </cell>
          <cell r="AD1970">
            <v>42</v>
          </cell>
          <cell r="AE1970">
            <v>510300</v>
          </cell>
          <cell r="AF1970">
            <v>0</v>
          </cell>
          <cell r="AI1970">
            <v>2251</v>
          </cell>
          <cell r="AK1970">
            <v>0</v>
          </cell>
          <cell r="AM1970">
            <v>713</v>
          </cell>
          <cell r="AN1970">
            <v>1</v>
          </cell>
          <cell r="AO1970">
            <v>393216</v>
          </cell>
          <cell r="AQ1970">
            <v>0</v>
          </cell>
          <cell r="AR1970">
            <v>0</v>
          </cell>
          <cell r="AS1970" t="str">
            <v>Ы</v>
          </cell>
          <cell r="AT1970" t="str">
            <v>Ы</v>
          </cell>
          <cell r="AU1970">
            <v>0</v>
          </cell>
          <cell r="AV1970">
            <v>0</v>
          </cell>
          <cell r="AW1970">
            <v>23</v>
          </cell>
          <cell r="AX1970">
            <v>1</v>
          </cell>
          <cell r="AY1970">
            <v>0</v>
          </cell>
          <cell r="AZ1970">
            <v>0</v>
          </cell>
          <cell r="BA1970">
            <v>0</v>
          </cell>
          <cell r="BB1970">
            <v>0</v>
          </cell>
          <cell r="BC1970">
            <v>38828</v>
          </cell>
        </row>
        <row r="1971">
          <cell r="A1971">
            <v>2006</v>
          </cell>
          <cell r="B1971">
            <v>2</v>
          </cell>
          <cell r="C1971">
            <v>585</v>
          </cell>
          <cell r="D1971">
            <v>21</v>
          </cell>
          <cell r="E1971">
            <v>792020</v>
          </cell>
          <cell r="F1971">
            <v>0</v>
          </cell>
          <cell r="G1971" t="str">
            <v>Затраты по ШПЗ (основные)</v>
          </cell>
          <cell r="H1971">
            <v>2011</v>
          </cell>
          <cell r="I1971">
            <v>7920</v>
          </cell>
          <cell r="J1971">
            <v>6866.89</v>
          </cell>
          <cell r="K1971">
            <v>1</v>
          </cell>
          <cell r="L1971">
            <v>0</v>
          </cell>
          <cell r="M1971">
            <v>0</v>
          </cell>
          <cell r="N1971">
            <v>0</v>
          </cell>
          <cell r="R1971">
            <v>0</v>
          </cell>
          <cell r="S1971">
            <v>0</v>
          </cell>
          <cell r="T1971">
            <v>0</v>
          </cell>
          <cell r="U1971">
            <v>42</v>
          </cell>
          <cell r="V1971">
            <v>0</v>
          </cell>
          <cell r="W1971">
            <v>0</v>
          </cell>
          <cell r="AA1971">
            <v>0</v>
          </cell>
          <cell r="AB1971">
            <v>0</v>
          </cell>
          <cell r="AC1971">
            <v>0</v>
          </cell>
          <cell r="AD1971">
            <v>42</v>
          </cell>
          <cell r="AE1971">
            <v>510400</v>
          </cell>
          <cell r="AF1971">
            <v>0</v>
          </cell>
          <cell r="AI1971">
            <v>2251</v>
          </cell>
          <cell r="AK1971">
            <v>0</v>
          </cell>
          <cell r="AM1971">
            <v>714</v>
          </cell>
          <cell r="AN1971">
            <v>1</v>
          </cell>
          <cell r="AO1971">
            <v>393216</v>
          </cell>
          <cell r="AQ1971">
            <v>0</v>
          </cell>
          <cell r="AR1971">
            <v>0</v>
          </cell>
          <cell r="AS1971" t="str">
            <v>Ы</v>
          </cell>
          <cell r="AT1971" t="str">
            <v>Ы</v>
          </cell>
          <cell r="AU1971">
            <v>0</v>
          </cell>
          <cell r="AV1971">
            <v>0</v>
          </cell>
          <cell r="AW1971">
            <v>23</v>
          </cell>
          <cell r="AX1971">
            <v>1</v>
          </cell>
          <cell r="AY1971">
            <v>0</v>
          </cell>
          <cell r="AZ1971">
            <v>0</v>
          </cell>
          <cell r="BA1971">
            <v>0</v>
          </cell>
          <cell r="BB1971">
            <v>0</v>
          </cell>
          <cell r="BC1971">
            <v>38828</v>
          </cell>
        </row>
        <row r="1972">
          <cell r="A1972">
            <v>2006</v>
          </cell>
          <cell r="B1972">
            <v>2</v>
          </cell>
          <cell r="C1972">
            <v>586</v>
          </cell>
          <cell r="D1972">
            <v>21</v>
          </cell>
          <cell r="E1972">
            <v>792020</v>
          </cell>
          <cell r="F1972">
            <v>0</v>
          </cell>
          <cell r="G1972" t="str">
            <v>Затраты по ШПЗ (основные)</v>
          </cell>
          <cell r="H1972">
            <v>2011</v>
          </cell>
          <cell r="I1972">
            <v>7920</v>
          </cell>
          <cell r="J1972">
            <v>2128.64</v>
          </cell>
          <cell r="K1972">
            <v>1</v>
          </cell>
          <cell r="L1972">
            <v>0</v>
          </cell>
          <cell r="M1972">
            <v>0</v>
          </cell>
          <cell r="N1972">
            <v>0</v>
          </cell>
          <cell r="R1972">
            <v>0</v>
          </cell>
          <cell r="S1972">
            <v>0</v>
          </cell>
          <cell r="T1972">
            <v>0</v>
          </cell>
          <cell r="U1972">
            <v>42</v>
          </cell>
          <cell r="V1972">
            <v>0</v>
          </cell>
          <cell r="W1972">
            <v>0</v>
          </cell>
          <cell r="AA1972">
            <v>0</v>
          </cell>
          <cell r="AB1972">
            <v>0</v>
          </cell>
          <cell r="AC1972">
            <v>0</v>
          </cell>
          <cell r="AD1972">
            <v>42</v>
          </cell>
          <cell r="AE1972">
            <v>510500</v>
          </cell>
          <cell r="AF1972">
            <v>0</v>
          </cell>
          <cell r="AI1972">
            <v>2251</v>
          </cell>
          <cell r="AK1972">
            <v>0</v>
          </cell>
          <cell r="AM1972">
            <v>715</v>
          </cell>
          <cell r="AN1972">
            <v>1</v>
          </cell>
          <cell r="AO1972">
            <v>393216</v>
          </cell>
          <cell r="AQ1972">
            <v>0</v>
          </cell>
          <cell r="AR1972">
            <v>0</v>
          </cell>
          <cell r="AS1972" t="str">
            <v>Ы</v>
          </cell>
          <cell r="AT1972" t="str">
            <v>Ы</v>
          </cell>
          <cell r="AU1972">
            <v>0</v>
          </cell>
          <cell r="AV1972">
            <v>0</v>
          </cell>
          <cell r="AW1972">
            <v>23</v>
          </cell>
          <cell r="AX1972">
            <v>1</v>
          </cell>
          <cell r="AY1972">
            <v>0</v>
          </cell>
          <cell r="AZ1972">
            <v>0</v>
          </cell>
          <cell r="BA1972">
            <v>0</v>
          </cell>
          <cell r="BB1972">
            <v>0</v>
          </cell>
          <cell r="BC1972">
            <v>38828</v>
          </cell>
        </row>
        <row r="1973">
          <cell r="A1973">
            <v>2006</v>
          </cell>
          <cell r="B1973">
            <v>2</v>
          </cell>
          <cell r="C1973">
            <v>587</v>
          </cell>
          <cell r="D1973">
            <v>21</v>
          </cell>
          <cell r="E1973">
            <v>792020</v>
          </cell>
          <cell r="F1973">
            <v>0</v>
          </cell>
          <cell r="G1973" t="str">
            <v>Затраты по ШПЗ (основные)</v>
          </cell>
          <cell r="H1973">
            <v>2011</v>
          </cell>
          <cell r="I1973">
            <v>7920</v>
          </cell>
          <cell r="J1973">
            <v>688558.87</v>
          </cell>
          <cell r="K1973">
            <v>1</v>
          </cell>
          <cell r="L1973">
            <v>0</v>
          </cell>
          <cell r="M1973">
            <v>0</v>
          </cell>
          <cell r="N1973">
            <v>0</v>
          </cell>
          <cell r="R1973">
            <v>0</v>
          </cell>
          <cell r="S1973">
            <v>0</v>
          </cell>
          <cell r="T1973">
            <v>0</v>
          </cell>
          <cell r="U1973">
            <v>42</v>
          </cell>
          <cell r="V1973">
            <v>0</v>
          </cell>
          <cell r="W1973">
            <v>0</v>
          </cell>
          <cell r="AA1973">
            <v>0</v>
          </cell>
          <cell r="AB1973">
            <v>0</v>
          </cell>
          <cell r="AC1973">
            <v>0</v>
          </cell>
          <cell r="AD1973">
            <v>42</v>
          </cell>
          <cell r="AE1973">
            <v>510600</v>
          </cell>
          <cell r="AF1973">
            <v>0</v>
          </cell>
          <cell r="AI1973">
            <v>2251</v>
          </cell>
          <cell r="AK1973">
            <v>0</v>
          </cell>
          <cell r="AM1973">
            <v>716</v>
          </cell>
          <cell r="AN1973">
            <v>1</v>
          </cell>
          <cell r="AO1973">
            <v>393216</v>
          </cell>
          <cell r="AQ1973">
            <v>0</v>
          </cell>
          <cell r="AR1973">
            <v>0</v>
          </cell>
          <cell r="AS1973" t="str">
            <v>Ы</v>
          </cell>
          <cell r="AT1973" t="str">
            <v>Ы</v>
          </cell>
          <cell r="AU1973">
            <v>0</v>
          </cell>
          <cell r="AV1973">
            <v>0</v>
          </cell>
          <cell r="AW1973">
            <v>23</v>
          </cell>
          <cell r="AX1973">
            <v>1</v>
          </cell>
          <cell r="AY1973">
            <v>0</v>
          </cell>
          <cell r="AZ1973">
            <v>0</v>
          </cell>
          <cell r="BA1973">
            <v>0</v>
          </cell>
          <cell r="BB1973">
            <v>0</v>
          </cell>
          <cell r="BC1973">
            <v>38828</v>
          </cell>
        </row>
        <row r="1974">
          <cell r="A1974">
            <v>2006</v>
          </cell>
          <cell r="B1974">
            <v>2</v>
          </cell>
          <cell r="C1974">
            <v>588</v>
          </cell>
          <cell r="D1974">
            <v>21</v>
          </cell>
          <cell r="E1974">
            <v>792020</v>
          </cell>
          <cell r="F1974">
            <v>0</v>
          </cell>
          <cell r="G1974" t="str">
            <v>Затраты по ШПЗ (основные)</v>
          </cell>
          <cell r="H1974">
            <v>2011</v>
          </cell>
          <cell r="I1974">
            <v>7920</v>
          </cell>
          <cell r="J1974">
            <v>1776.19</v>
          </cell>
          <cell r="K1974">
            <v>1</v>
          </cell>
          <cell r="L1974">
            <v>0</v>
          </cell>
          <cell r="M1974">
            <v>0</v>
          </cell>
          <cell r="N1974">
            <v>0</v>
          </cell>
          <cell r="R1974">
            <v>0</v>
          </cell>
          <cell r="S1974">
            <v>0</v>
          </cell>
          <cell r="T1974">
            <v>0</v>
          </cell>
          <cell r="U1974">
            <v>42</v>
          </cell>
          <cell r="V1974">
            <v>0</v>
          </cell>
          <cell r="W1974">
            <v>0</v>
          </cell>
          <cell r="AA1974">
            <v>0</v>
          </cell>
          <cell r="AB1974">
            <v>0</v>
          </cell>
          <cell r="AC1974">
            <v>0</v>
          </cell>
          <cell r="AD1974">
            <v>42</v>
          </cell>
          <cell r="AE1974">
            <v>510630</v>
          </cell>
          <cell r="AF1974">
            <v>0</v>
          </cell>
          <cell r="AI1974">
            <v>2251</v>
          </cell>
          <cell r="AK1974">
            <v>0</v>
          </cell>
          <cell r="AM1974">
            <v>717</v>
          </cell>
          <cell r="AN1974">
            <v>1</v>
          </cell>
          <cell r="AO1974">
            <v>393216</v>
          </cell>
          <cell r="AQ1974">
            <v>0</v>
          </cell>
          <cell r="AR1974">
            <v>0</v>
          </cell>
          <cell r="AS1974" t="str">
            <v>Ы</v>
          </cell>
          <cell r="AT1974" t="str">
            <v>Ы</v>
          </cell>
          <cell r="AU1974">
            <v>0</v>
          </cell>
          <cell r="AV1974">
            <v>0</v>
          </cell>
          <cell r="AW1974">
            <v>23</v>
          </cell>
          <cell r="AX1974">
            <v>1</v>
          </cell>
          <cell r="AY1974">
            <v>0</v>
          </cell>
          <cell r="AZ1974">
            <v>0</v>
          </cell>
          <cell r="BA1974">
            <v>0</v>
          </cell>
          <cell r="BB1974">
            <v>0</v>
          </cell>
          <cell r="BC1974">
            <v>38828</v>
          </cell>
        </row>
        <row r="1975">
          <cell r="A1975">
            <v>2006</v>
          </cell>
          <cell r="B1975">
            <v>2</v>
          </cell>
          <cell r="C1975">
            <v>589</v>
          </cell>
          <cell r="D1975">
            <v>21</v>
          </cell>
          <cell r="E1975">
            <v>792020</v>
          </cell>
          <cell r="F1975">
            <v>0</v>
          </cell>
          <cell r="G1975" t="str">
            <v>Затраты по ШПЗ (основные)</v>
          </cell>
          <cell r="H1975">
            <v>2011</v>
          </cell>
          <cell r="I1975">
            <v>7920</v>
          </cell>
          <cell r="J1975">
            <v>1188319.95</v>
          </cell>
          <cell r="K1975">
            <v>1</v>
          </cell>
          <cell r="L1975">
            <v>0</v>
          </cell>
          <cell r="M1975">
            <v>0</v>
          </cell>
          <cell r="N1975">
            <v>0</v>
          </cell>
          <cell r="R1975">
            <v>0</v>
          </cell>
          <cell r="S1975">
            <v>0</v>
          </cell>
          <cell r="T1975">
            <v>0</v>
          </cell>
          <cell r="U1975">
            <v>37</v>
          </cell>
          <cell r="V1975">
            <v>0</v>
          </cell>
          <cell r="W1975">
            <v>0</v>
          </cell>
          <cell r="AA1975">
            <v>0</v>
          </cell>
          <cell r="AB1975">
            <v>0</v>
          </cell>
          <cell r="AC1975">
            <v>0</v>
          </cell>
          <cell r="AD1975">
            <v>37</v>
          </cell>
          <cell r="AE1975">
            <v>110000</v>
          </cell>
          <cell r="AF1975">
            <v>0</v>
          </cell>
          <cell r="AI1975">
            <v>2251</v>
          </cell>
          <cell r="AK1975">
            <v>0</v>
          </cell>
          <cell r="AM1975">
            <v>718</v>
          </cell>
          <cell r="AN1975">
            <v>1</v>
          </cell>
          <cell r="AO1975">
            <v>393216</v>
          </cell>
          <cell r="AQ1975">
            <v>0</v>
          </cell>
          <cell r="AR1975">
            <v>0</v>
          </cell>
          <cell r="AS1975" t="str">
            <v>Ы</v>
          </cell>
          <cell r="AT1975" t="str">
            <v>Ы</v>
          </cell>
          <cell r="AU1975">
            <v>0</v>
          </cell>
          <cell r="AV1975">
            <v>0</v>
          </cell>
          <cell r="AW1975">
            <v>23</v>
          </cell>
          <cell r="AX1975">
            <v>1</v>
          </cell>
          <cell r="AY1975">
            <v>0</v>
          </cell>
          <cell r="AZ1975">
            <v>0</v>
          </cell>
          <cell r="BA1975">
            <v>0</v>
          </cell>
          <cell r="BB1975">
            <v>0</v>
          </cell>
          <cell r="BC1975">
            <v>38828</v>
          </cell>
        </row>
        <row r="1976">
          <cell r="A1976">
            <v>2006</v>
          </cell>
          <cell r="B1976">
            <v>2</v>
          </cell>
          <cell r="C1976">
            <v>590</v>
          </cell>
          <cell r="D1976">
            <v>21</v>
          </cell>
          <cell r="E1976">
            <v>792020</v>
          </cell>
          <cell r="F1976">
            <v>0</v>
          </cell>
          <cell r="G1976" t="str">
            <v>Затраты по ШПЗ (основные)</v>
          </cell>
          <cell r="H1976">
            <v>2011</v>
          </cell>
          <cell r="I1976">
            <v>7920</v>
          </cell>
          <cell r="J1976">
            <v>21040.65</v>
          </cell>
          <cell r="K1976">
            <v>1</v>
          </cell>
          <cell r="L1976">
            <v>0</v>
          </cell>
          <cell r="M1976">
            <v>0</v>
          </cell>
          <cell r="N1976">
            <v>0</v>
          </cell>
          <cell r="R1976">
            <v>0</v>
          </cell>
          <cell r="S1976">
            <v>0</v>
          </cell>
          <cell r="T1976">
            <v>0</v>
          </cell>
          <cell r="U1976">
            <v>37</v>
          </cell>
          <cell r="V1976">
            <v>0</v>
          </cell>
          <cell r="W1976">
            <v>0</v>
          </cell>
          <cell r="AA1976">
            <v>0</v>
          </cell>
          <cell r="AB1976">
            <v>0</v>
          </cell>
          <cell r="AC1976">
            <v>0</v>
          </cell>
          <cell r="AD1976">
            <v>37</v>
          </cell>
          <cell r="AE1976">
            <v>114020</v>
          </cell>
          <cell r="AF1976">
            <v>0</v>
          </cell>
          <cell r="AI1976">
            <v>2251</v>
          </cell>
          <cell r="AK1976">
            <v>0</v>
          </cell>
          <cell r="AM1976">
            <v>719</v>
          </cell>
          <cell r="AN1976">
            <v>1</v>
          </cell>
          <cell r="AO1976">
            <v>393216</v>
          </cell>
          <cell r="AQ1976">
            <v>0</v>
          </cell>
          <cell r="AR1976">
            <v>0</v>
          </cell>
          <cell r="AS1976" t="str">
            <v>Ы</v>
          </cell>
          <cell r="AT1976" t="str">
            <v>Ы</v>
          </cell>
          <cell r="AU1976">
            <v>0</v>
          </cell>
          <cell r="AV1976">
            <v>0</v>
          </cell>
          <cell r="AW1976">
            <v>23</v>
          </cell>
          <cell r="AX1976">
            <v>1</v>
          </cell>
          <cell r="AY1976">
            <v>0</v>
          </cell>
          <cell r="AZ1976">
            <v>0</v>
          </cell>
          <cell r="BA1976">
            <v>0</v>
          </cell>
          <cell r="BB1976">
            <v>0</v>
          </cell>
          <cell r="BC1976">
            <v>38828</v>
          </cell>
        </row>
        <row r="1977">
          <cell r="A1977">
            <v>2006</v>
          </cell>
          <cell r="B1977">
            <v>2</v>
          </cell>
          <cell r="C1977">
            <v>591</v>
          </cell>
          <cell r="D1977">
            <v>21</v>
          </cell>
          <cell r="E1977">
            <v>792020</v>
          </cell>
          <cell r="F1977">
            <v>0</v>
          </cell>
          <cell r="G1977" t="str">
            <v>Затраты по ШПЗ (основные)</v>
          </cell>
          <cell r="H1977">
            <v>2011</v>
          </cell>
          <cell r="I1977">
            <v>7920</v>
          </cell>
          <cell r="J1977">
            <v>31585.77</v>
          </cell>
          <cell r="K1977">
            <v>1</v>
          </cell>
          <cell r="L1977">
            <v>0</v>
          </cell>
          <cell r="M1977">
            <v>0</v>
          </cell>
          <cell r="N1977">
            <v>0</v>
          </cell>
          <cell r="R1977">
            <v>0</v>
          </cell>
          <cell r="S1977">
            <v>0</v>
          </cell>
          <cell r="T1977">
            <v>0</v>
          </cell>
          <cell r="U1977">
            <v>37</v>
          </cell>
          <cell r="V1977">
            <v>0</v>
          </cell>
          <cell r="W1977">
            <v>0</v>
          </cell>
          <cell r="AA1977">
            <v>0</v>
          </cell>
          <cell r="AB1977">
            <v>0</v>
          </cell>
          <cell r="AC1977">
            <v>0</v>
          </cell>
          <cell r="AD1977">
            <v>37</v>
          </cell>
          <cell r="AE1977">
            <v>117000</v>
          </cell>
          <cell r="AF1977">
            <v>0</v>
          </cell>
          <cell r="AI1977">
            <v>2251</v>
          </cell>
          <cell r="AK1977">
            <v>0</v>
          </cell>
          <cell r="AM1977">
            <v>720</v>
          </cell>
          <cell r="AN1977">
            <v>1</v>
          </cell>
          <cell r="AO1977">
            <v>393216</v>
          </cell>
          <cell r="AQ1977">
            <v>0</v>
          </cell>
          <cell r="AR1977">
            <v>0</v>
          </cell>
          <cell r="AS1977" t="str">
            <v>Ы</v>
          </cell>
          <cell r="AT1977" t="str">
            <v>Ы</v>
          </cell>
          <cell r="AU1977">
            <v>0</v>
          </cell>
          <cell r="AV1977">
            <v>0</v>
          </cell>
          <cell r="AW1977">
            <v>23</v>
          </cell>
          <cell r="AX1977">
            <v>1</v>
          </cell>
          <cell r="AY1977">
            <v>0</v>
          </cell>
          <cell r="AZ1977">
            <v>0</v>
          </cell>
          <cell r="BA1977">
            <v>0</v>
          </cell>
          <cell r="BB1977">
            <v>0</v>
          </cell>
          <cell r="BC1977">
            <v>38828</v>
          </cell>
        </row>
        <row r="1978">
          <cell r="A1978">
            <v>2006</v>
          </cell>
          <cell r="B1978">
            <v>2</v>
          </cell>
          <cell r="C1978">
            <v>592</v>
          </cell>
          <cell r="D1978">
            <v>21</v>
          </cell>
          <cell r="E1978">
            <v>792020</v>
          </cell>
          <cell r="F1978">
            <v>0</v>
          </cell>
          <cell r="G1978" t="str">
            <v>Затраты по ШПЗ (основные)</v>
          </cell>
          <cell r="H1978">
            <v>2011</v>
          </cell>
          <cell r="I1978">
            <v>7920</v>
          </cell>
          <cell r="J1978">
            <v>65960</v>
          </cell>
          <cell r="K1978">
            <v>1</v>
          </cell>
          <cell r="L1978">
            <v>0</v>
          </cell>
          <cell r="M1978">
            <v>0</v>
          </cell>
          <cell r="N1978">
            <v>0</v>
          </cell>
          <cell r="R1978">
            <v>0</v>
          </cell>
          <cell r="S1978">
            <v>0</v>
          </cell>
          <cell r="T1978">
            <v>0</v>
          </cell>
          <cell r="U1978">
            <v>37</v>
          </cell>
          <cell r="V1978">
            <v>0</v>
          </cell>
          <cell r="W1978">
            <v>0</v>
          </cell>
          <cell r="AA1978">
            <v>0</v>
          </cell>
          <cell r="AB1978">
            <v>0</v>
          </cell>
          <cell r="AC1978">
            <v>0</v>
          </cell>
          <cell r="AD1978">
            <v>37</v>
          </cell>
          <cell r="AE1978">
            <v>118000</v>
          </cell>
          <cell r="AF1978">
            <v>0</v>
          </cell>
          <cell r="AI1978">
            <v>2251</v>
          </cell>
          <cell r="AK1978">
            <v>0</v>
          </cell>
          <cell r="AM1978">
            <v>721</v>
          </cell>
          <cell r="AN1978">
            <v>1</v>
          </cell>
          <cell r="AO1978">
            <v>393216</v>
          </cell>
          <cell r="AQ1978">
            <v>0</v>
          </cell>
          <cell r="AR1978">
            <v>0</v>
          </cell>
          <cell r="AS1978" t="str">
            <v>Ы</v>
          </cell>
          <cell r="AT1978" t="str">
            <v>Ы</v>
          </cell>
          <cell r="AU1978">
            <v>0</v>
          </cell>
          <cell r="AV1978">
            <v>0</v>
          </cell>
          <cell r="AW1978">
            <v>23</v>
          </cell>
          <cell r="AX1978">
            <v>1</v>
          </cell>
          <cell r="AY1978">
            <v>0</v>
          </cell>
          <cell r="AZ1978">
            <v>0</v>
          </cell>
          <cell r="BA1978">
            <v>0</v>
          </cell>
          <cell r="BB1978">
            <v>0</v>
          </cell>
          <cell r="BC1978">
            <v>38828</v>
          </cell>
        </row>
        <row r="1979">
          <cell r="A1979">
            <v>2006</v>
          </cell>
          <cell r="B1979">
            <v>2</v>
          </cell>
          <cell r="C1979">
            <v>593</v>
          </cell>
          <cell r="D1979">
            <v>21</v>
          </cell>
          <cell r="E1979">
            <v>792020</v>
          </cell>
          <cell r="F1979">
            <v>0</v>
          </cell>
          <cell r="G1979" t="str">
            <v>Затраты по ШПЗ (основные)</v>
          </cell>
          <cell r="H1979">
            <v>2011</v>
          </cell>
          <cell r="I1979">
            <v>7920</v>
          </cell>
          <cell r="J1979">
            <v>9743.89</v>
          </cell>
          <cell r="K1979">
            <v>1</v>
          </cell>
          <cell r="L1979">
            <v>0</v>
          </cell>
          <cell r="M1979">
            <v>0</v>
          </cell>
          <cell r="N1979">
            <v>0</v>
          </cell>
          <cell r="R1979">
            <v>0</v>
          </cell>
          <cell r="S1979">
            <v>0</v>
          </cell>
          <cell r="T1979">
            <v>0</v>
          </cell>
          <cell r="U1979">
            <v>37</v>
          </cell>
          <cell r="V1979">
            <v>0</v>
          </cell>
          <cell r="W1979">
            <v>0</v>
          </cell>
          <cell r="AA1979">
            <v>0</v>
          </cell>
          <cell r="AB1979">
            <v>0</v>
          </cell>
          <cell r="AC1979">
            <v>0</v>
          </cell>
          <cell r="AD1979">
            <v>37</v>
          </cell>
          <cell r="AE1979">
            <v>130000</v>
          </cell>
          <cell r="AF1979">
            <v>0</v>
          </cell>
          <cell r="AI1979">
            <v>2251</v>
          </cell>
          <cell r="AK1979">
            <v>0</v>
          </cell>
          <cell r="AM1979">
            <v>722</v>
          </cell>
          <cell r="AN1979">
            <v>1</v>
          </cell>
          <cell r="AO1979">
            <v>393216</v>
          </cell>
          <cell r="AQ1979">
            <v>0</v>
          </cell>
          <cell r="AR1979">
            <v>0</v>
          </cell>
          <cell r="AS1979" t="str">
            <v>Ы</v>
          </cell>
          <cell r="AT1979" t="str">
            <v>Ы</v>
          </cell>
          <cell r="AU1979">
            <v>0</v>
          </cell>
          <cell r="AV1979">
            <v>0</v>
          </cell>
          <cell r="AW1979">
            <v>23</v>
          </cell>
          <cell r="AX1979">
            <v>1</v>
          </cell>
          <cell r="AY1979">
            <v>0</v>
          </cell>
          <cell r="AZ1979">
            <v>0</v>
          </cell>
          <cell r="BA1979">
            <v>0</v>
          </cell>
          <cell r="BB1979">
            <v>0</v>
          </cell>
          <cell r="BC1979">
            <v>38828</v>
          </cell>
        </row>
        <row r="1980">
          <cell r="A1980">
            <v>2006</v>
          </cell>
          <cell r="B1980">
            <v>2</v>
          </cell>
          <cell r="C1980">
            <v>594</v>
          </cell>
          <cell r="D1980">
            <v>21</v>
          </cell>
          <cell r="E1980">
            <v>792020</v>
          </cell>
          <cell r="F1980">
            <v>0</v>
          </cell>
          <cell r="G1980" t="str">
            <v>Затраты по ШПЗ (основные)</v>
          </cell>
          <cell r="H1980">
            <v>2011</v>
          </cell>
          <cell r="I1980">
            <v>7920</v>
          </cell>
          <cell r="J1980">
            <v>7410</v>
          </cell>
          <cell r="K1980">
            <v>1</v>
          </cell>
          <cell r="L1980">
            <v>0</v>
          </cell>
          <cell r="M1980">
            <v>0</v>
          </cell>
          <cell r="N1980">
            <v>0</v>
          </cell>
          <cell r="R1980">
            <v>0</v>
          </cell>
          <cell r="S1980">
            <v>0</v>
          </cell>
          <cell r="T1980">
            <v>0</v>
          </cell>
          <cell r="U1980">
            <v>37</v>
          </cell>
          <cell r="V1980">
            <v>0</v>
          </cell>
          <cell r="W1980">
            <v>0</v>
          </cell>
          <cell r="AA1980">
            <v>0</v>
          </cell>
          <cell r="AB1980">
            <v>0</v>
          </cell>
          <cell r="AC1980">
            <v>0</v>
          </cell>
          <cell r="AD1980">
            <v>37</v>
          </cell>
          <cell r="AE1980">
            <v>130100</v>
          </cell>
          <cell r="AF1980">
            <v>0</v>
          </cell>
          <cell r="AI1980">
            <v>2251</v>
          </cell>
          <cell r="AK1980">
            <v>0</v>
          </cell>
          <cell r="AM1980">
            <v>723</v>
          </cell>
          <cell r="AN1980">
            <v>1</v>
          </cell>
          <cell r="AO1980">
            <v>393216</v>
          </cell>
          <cell r="AQ1980">
            <v>0</v>
          </cell>
          <cell r="AR1980">
            <v>0</v>
          </cell>
          <cell r="AS1980" t="str">
            <v>Ы</v>
          </cell>
          <cell r="AT1980" t="str">
            <v>Ы</v>
          </cell>
          <cell r="AU1980">
            <v>0</v>
          </cell>
          <cell r="AV1980">
            <v>0</v>
          </cell>
          <cell r="AW1980">
            <v>23</v>
          </cell>
          <cell r="AX1980">
            <v>1</v>
          </cell>
          <cell r="AY1980">
            <v>0</v>
          </cell>
          <cell r="AZ1980">
            <v>0</v>
          </cell>
          <cell r="BA1980">
            <v>0</v>
          </cell>
          <cell r="BB1980">
            <v>0</v>
          </cell>
          <cell r="BC1980">
            <v>38828</v>
          </cell>
        </row>
        <row r="1981">
          <cell r="A1981">
            <v>2006</v>
          </cell>
          <cell r="B1981">
            <v>2</v>
          </cell>
          <cell r="C1981">
            <v>595</v>
          </cell>
          <cell r="D1981">
            <v>21</v>
          </cell>
          <cell r="E1981">
            <v>792020</v>
          </cell>
          <cell r="F1981">
            <v>0</v>
          </cell>
          <cell r="G1981" t="str">
            <v>Затраты по ШПЗ (основные)</v>
          </cell>
          <cell r="H1981">
            <v>2011</v>
          </cell>
          <cell r="I1981">
            <v>7920</v>
          </cell>
          <cell r="J1981">
            <v>8233.89</v>
          </cell>
          <cell r="K1981">
            <v>1</v>
          </cell>
          <cell r="L1981">
            <v>0</v>
          </cell>
          <cell r="M1981">
            <v>0</v>
          </cell>
          <cell r="N1981">
            <v>0</v>
          </cell>
          <cell r="R1981">
            <v>0</v>
          </cell>
          <cell r="S1981">
            <v>0</v>
          </cell>
          <cell r="T1981">
            <v>0</v>
          </cell>
          <cell r="U1981">
            <v>37</v>
          </cell>
          <cell r="V1981">
            <v>0</v>
          </cell>
          <cell r="W1981">
            <v>0</v>
          </cell>
          <cell r="AA1981">
            <v>0</v>
          </cell>
          <cell r="AB1981">
            <v>0</v>
          </cell>
          <cell r="AC1981">
            <v>0</v>
          </cell>
          <cell r="AD1981">
            <v>37</v>
          </cell>
          <cell r="AE1981">
            <v>131000</v>
          </cell>
          <cell r="AF1981">
            <v>0</v>
          </cell>
          <cell r="AI1981">
            <v>2251</v>
          </cell>
          <cell r="AK1981">
            <v>0</v>
          </cell>
          <cell r="AM1981">
            <v>724</v>
          </cell>
          <cell r="AN1981">
            <v>1</v>
          </cell>
          <cell r="AO1981">
            <v>393216</v>
          </cell>
          <cell r="AQ1981">
            <v>0</v>
          </cell>
          <cell r="AR1981">
            <v>0</v>
          </cell>
          <cell r="AS1981" t="str">
            <v>Ы</v>
          </cell>
          <cell r="AT1981" t="str">
            <v>Ы</v>
          </cell>
          <cell r="AU1981">
            <v>0</v>
          </cell>
          <cell r="AV1981">
            <v>0</v>
          </cell>
          <cell r="AW1981">
            <v>23</v>
          </cell>
          <cell r="AX1981">
            <v>1</v>
          </cell>
          <cell r="AY1981">
            <v>0</v>
          </cell>
          <cell r="AZ1981">
            <v>0</v>
          </cell>
          <cell r="BA1981">
            <v>0</v>
          </cell>
          <cell r="BB1981">
            <v>0</v>
          </cell>
          <cell r="BC1981">
            <v>38828</v>
          </cell>
        </row>
        <row r="1982">
          <cell r="A1982">
            <v>2006</v>
          </cell>
          <cell r="B1982">
            <v>2</v>
          </cell>
          <cell r="C1982">
            <v>596</v>
          </cell>
          <cell r="D1982">
            <v>21</v>
          </cell>
          <cell r="E1982">
            <v>792020</v>
          </cell>
          <cell r="F1982">
            <v>0</v>
          </cell>
          <cell r="G1982" t="str">
            <v>Затраты по ШПЗ (основные)</v>
          </cell>
          <cell r="H1982">
            <v>2011</v>
          </cell>
          <cell r="I1982">
            <v>7920</v>
          </cell>
          <cell r="J1982">
            <v>7847</v>
          </cell>
          <cell r="K1982">
            <v>1</v>
          </cell>
          <cell r="L1982">
            <v>0</v>
          </cell>
          <cell r="M1982">
            <v>0</v>
          </cell>
          <cell r="N1982">
            <v>0</v>
          </cell>
          <cell r="R1982">
            <v>0</v>
          </cell>
          <cell r="S1982">
            <v>0</v>
          </cell>
          <cell r="T1982">
            <v>0</v>
          </cell>
          <cell r="U1982">
            <v>37</v>
          </cell>
          <cell r="V1982">
            <v>0</v>
          </cell>
          <cell r="W1982">
            <v>0</v>
          </cell>
          <cell r="AA1982">
            <v>0</v>
          </cell>
          <cell r="AB1982">
            <v>0</v>
          </cell>
          <cell r="AC1982">
            <v>0</v>
          </cell>
          <cell r="AD1982">
            <v>37</v>
          </cell>
          <cell r="AE1982">
            <v>131100</v>
          </cell>
          <cell r="AF1982">
            <v>0</v>
          </cell>
          <cell r="AI1982">
            <v>2251</v>
          </cell>
          <cell r="AK1982">
            <v>0</v>
          </cell>
          <cell r="AM1982">
            <v>725</v>
          </cell>
          <cell r="AN1982">
            <v>1</v>
          </cell>
          <cell r="AO1982">
            <v>393216</v>
          </cell>
          <cell r="AQ1982">
            <v>0</v>
          </cell>
          <cell r="AR1982">
            <v>0</v>
          </cell>
          <cell r="AS1982" t="str">
            <v>Ы</v>
          </cell>
          <cell r="AT1982" t="str">
            <v>Ы</v>
          </cell>
          <cell r="AU1982">
            <v>0</v>
          </cell>
          <cell r="AV1982">
            <v>0</v>
          </cell>
          <cell r="AW1982">
            <v>23</v>
          </cell>
          <cell r="AX1982">
            <v>1</v>
          </cell>
          <cell r="AY1982">
            <v>0</v>
          </cell>
          <cell r="AZ1982">
            <v>0</v>
          </cell>
          <cell r="BA1982">
            <v>0</v>
          </cell>
          <cell r="BB1982">
            <v>0</v>
          </cell>
          <cell r="BC1982">
            <v>38828</v>
          </cell>
        </row>
        <row r="1983">
          <cell r="A1983">
            <v>2006</v>
          </cell>
          <cell r="B1983">
            <v>2</v>
          </cell>
          <cell r="C1983">
            <v>597</v>
          </cell>
          <cell r="D1983">
            <v>21</v>
          </cell>
          <cell r="E1983">
            <v>792020</v>
          </cell>
          <cell r="F1983">
            <v>0</v>
          </cell>
          <cell r="G1983" t="str">
            <v>Затраты по ШПЗ (основные)</v>
          </cell>
          <cell r="H1983">
            <v>2011</v>
          </cell>
          <cell r="I1983">
            <v>7920</v>
          </cell>
          <cell r="J1983">
            <v>27014.34</v>
          </cell>
          <cell r="K1983">
            <v>1</v>
          </cell>
          <cell r="L1983">
            <v>0</v>
          </cell>
          <cell r="M1983">
            <v>0</v>
          </cell>
          <cell r="N1983">
            <v>0</v>
          </cell>
          <cell r="R1983">
            <v>0</v>
          </cell>
          <cell r="S1983">
            <v>0</v>
          </cell>
          <cell r="T1983">
            <v>0</v>
          </cell>
          <cell r="U1983">
            <v>37</v>
          </cell>
          <cell r="V1983">
            <v>0</v>
          </cell>
          <cell r="W1983">
            <v>0</v>
          </cell>
          <cell r="AA1983">
            <v>0</v>
          </cell>
          <cell r="AB1983">
            <v>0</v>
          </cell>
          <cell r="AC1983">
            <v>0</v>
          </cell>
          <cell r="AD1983">
            <v>37</v>
          </cell>
          <cell r="AE1983">
            <v>132000</v>
          </cell>
          <cell r="AF1983">
            <v>0</v>
          </cell>
          <cell r="AI1983">
            <v>2251</v>
          </cell>
          <cell r="AK1983">
            <v>0</v>
          </cell>
          <cell r="AM1983">
            <v>726</v>
          </cell>
          <cell r="AN1983">
            <v>1</v>
          </cell>
          <cell r="AO1983">
            <v>393216</v>
          </cell>
          <cell r="AQ1983">
            <v>0</v>
          </cell>
          <cell r="AR1983">
            <v>0</v>
          </cell>
          <cell r="AS1983" t="str">
            <v>Ы</v>
          </cell>
          <cell r="AT1983" t="str">
            <v>Ы</v>
          </cell>
          <cell r="AU1983">
            <v>0</v>
          </cell>
          <cell r="AV1983">
            <v>0</v>
          </cell>
          <cell r="AW1983">
            <v>23</v>
          </cell>
          <cell r="AX1983">
            <v>1</v>
          </cell>
          <cell r="AY1983">
            <v>0</v>
          </cell>
          <cell r="AZ1983">
            <v>0</v>
          </cell>
          <cell r="BA1983">
            <v>0</v>
          </cell>
          <cell r="BB1983">
            <v>0</v>
          </cell>
          <cell r="BC1983">
            <v>38828</v>
          </cell>
        </row>
        <row r="1984">
          <cell r="A1984">
            <v>2006</v>
          </cell>
          <cell r="B1984">
            <v>2</v>
          </cell>
          <cell r="C1984">
            <v>598</v>
          </cell>
          <cell r="D1984">
            <v>21</v>
          </cell>
          <cell r="E1984">
            <v>792020</v>
          </cell>
          <cell r="F1984">
            <v>0</v>
          </cell>
          <cell r="G1984" t="str">
            <v>Затраты по ШПЗ (основные)</v>
          </cell>
          <cell r="H1984">
            <v>2011</v>
          </cell>
          <cell r="I1984">
            <v>7920</v>
          </cell>
          <cell r="J1984">
            <v>694246.47</v>
          </cell>
          <cell r="K1984">
            <v>1</v>
          </cell>
          <cell r="L1984">
            <v>0</v>
          </cell>
          <cell r="M1984">
            <v>0</v>
          </cell>
          <cell r="N1984">
            <v>0</v>
          </cell>
          <cell r="R1984">
            <v>0</v>
          </cell>
          <cell r="S1984">
            <v>0</v>
          </cell>
          <cell r="T1984">
            <v>0</v>
          </cell>
          <cell r="U1984">
            <v>37</v>
          </cell>
          <cell r="V1984">
            <v>0</v>
          </cell>
          <cell r="W1984">
            <v>0</v>
          </cell>
          <cell r="AA1984">
            <v>0</v>
          </cell>
          <cell r="AB1984">
            <v>0</v>
          </cell>
          <cell r="AC1984">
            <v>0</v>
          </cell>
          <cell r="AD1984">
            <v>37</v>
          </cell>
          <cell r="AE1984">
            <v>133200</v>
          </cell>
          <cell r="AF1984">
            <v>0</v>
          </cell>
          <cell r="AI1984">
            <v>2251</v>
          </cell>
          <cell r="AK1984">
            <v>0</v>
          </cell>
          <cell r="AM1984">
            <v>727</v>
          </cell>
          <cell r="AN1984">
            <v>1</v>
          </cell>
          <cell r="AO1984">
            <v>393216</v>
          </cell>
          <cell r="AQ1984">
            <v>0</v>
          </cell>
          <cell r="AR1984">
            <v>0</v>
          </cell>
          <cell r="AS1984" t="str">
            <v>Ы</v>
          </cell>
          <cell r="AT1984" t="str">
            <v>Ы</v>
          </cell>
          <cell r="AU1984">
            <v>0</v>
          </cell>
          <cell r="AV1984">
            <v>0</v>
          </cell>
          <cell r="AW1984">
            <v>23</v>
          </cell>
          <cell r="AX1984">
            <v>1</v>
          </cell>
          <cell r="AY1984">
            <v>0</v>
          </cell>
          <cell r="AZ1984">
            <v>0</v>
          </cell>
          <cell r="BA1984">
            <v>0</v>
          </cell>
          <cell r="BB1984">
            <v>0</v>
          </cell>
          <cell r="BC1984">
            <v>38828</v>
          </cell>
        </row>
        <row r="1985">
          <cell r="A1985">
            <v>2006</v>
          </cell>
          <cell r="B1985">
            <v>2</v>
          </cell>
          <cell r="C1985">
            <v>599</v>
          </cell>
          <cell r="D1985">
            <v>21</v>
          </cell>
          <cell r="E1985">
            <v>792020</v>
          </cell>
          <cell r="F1985">
            <v>0</v>
          </cell>
          <cell r="G1985" t="str">
            <v>Затраты по ШПЗ (основные)</v>
          </cell>
          <cell r="H1985">
            <v>2011</v>
          </cell>
          <cell r="I1985">
            <v>7920</v>
          </cell>
          <cell r="J1985">
            <v>46493.75</v>
          </cell>
          <cell r="K1985">
            <v>1</v>
          </cell>
          <cell r="L1985">
            <v>0</v>
          </cell>
          <cell r="M1985">
            <v>0</v>
          </cell>
          <cell r="N1985">
            <v>0</v>
          </cell>
          <cell r="R1985">
            <v>0</v>
          </cell>
          <cell r="S1985">
            <v>0</v>
          </cell>
          <cell r="T1985">
            <v>0</v>
          </cell>
          <cell r="U1985">
            <v>37</v>
          </cell>
          <cell r="V1985">
            <v>0</v>
          </cell>
          <cell r="W1985">
            <v>0</v>
          </cell>
          <cell r="AA1985">
            <v>0</v>
          </cell>
          <cell r="AB1985">
            <v>0</v>
          </cell>
          <cell r="AC1985">
            <v>0</v>
          </cell>
          <cell r="AD1985">
            <v>37</v>
          </cell>
          <cell r="AE1985">
            <v>135000</v>
          </cell>
          <cell r="AF1985">
            <v>0</v>
          </cell>
          <cell r="AI1985">
            <v>2251</v>
          </cell>
          <cell r="AK1985">
            <v>0</v>
          </cell>
          <cell r="AM1985">
            <v>728</v>
          </cell>
          <cell r="AN1985">
            <v>1</v>
          </cell>
          <cell r="AO1985">
            <v>393216</v>
          </cell>
          <cell r="AQ1985">
            <v>0</v>
          </cell>
          <cell r="AR1985">
            <v>0</v>
          </cell>
          <cell r="AS1985" t="str">
            <v>Ы</v>
          </cell>
          <cell r="AT1985" t="str">
            <v>Ы</v>
          </cell>
          <cell r="AU1985">
            <v>0</v>
          </cell>
          <cell r="AV1985">
            <v>0</v>
          </cell>
          <cell r="AW1985">
            <v>23</v>
          </cell>
          <cell r="AX1985">
            <v>1</v>
          </cell>
          <cell r="AY1985">
            <v>0</v>
          </cell>
          <cell r="AZ1985">
            <v>0</v>
          </cell>
          <cell r="BA1985">
            <v>0</v>
          </cell>
          <cell r="BB1985">
            <v>0</v>
          </cell>
          <cell r="BC1985">
            <v>38828</v>
          </cell>
        </row>
        <row r="1986">
          <cell r="A1986">
            <v>2006</v>
          </cell>
          <cell r="B1986">
            <v>2</v>
          </cell>
          <cell r="C1986">
            <v>600</v>
          </cell>
          <cell r="D1986">
            <v>21</v>
          </cell>
          <cell r="E1986">
            <v>792020</v>
          </cell>
          <cell r="F1986">
            <v>0</v>
          </cell>
          <cell r="G1986" t="str">
            <v>Затраты по ШПЗ (основные)</v>
          </cell>
          <cell r="H1986">
            <v>2011</v>
          </cell>
          <cell r="I1986">
            <v>7920</v>
          </cell>
          <cell r="J1986">
            <v>872547.67</v>
          </cell>
          <cell r="K1986">
            <v>1</v>
          </cell>
          <cell r="L1986">
            <v>0</v>
          </cell>
          <cell r="M1986">
            <v>0</v>
          </cell>
          <cell r="N1986">
            <v>0</v>
          </cell>
          <cell r="R1986">
            <v>0</v>
          </cell>
          <cell r="S1986">
            <v>0</v>
          </cell>
          <cell r="T1986">
            <v>0</v>
          </cell>
          <cell r="U1986">
            <v>37</v>
          </cell>
          <cell r="V1986">
            <v>0</v>
          </cell>
          <cell r="W1986">
            <v>0</v>
          </cell>
          <cell r="AA1986">
            <v>0</v>
          </cell>
          <cell r="AB1986">
            <v>0</v>
          </cell>
          <cell r="AC1986">
            <v>0</v>
          </cell>
          <cell r="AD1986">
            <v>37</v>
          </cell>
          <cell r="AE1986">
            <v>143000</v>
          </cell>
          <cell r="AF1986">
            <v>0</v>
          </cell>
          <cell r="AI1986">
            <v>2251</v>
          </cell>
          <cell r="AK1986">
            <v>0</v>
          </cell>
          <cell r="AM1986">
            <v>729</v>
          </cell>
          <cell r="AN1986">
            <v>1</v>
          </cell>
          <cell r="AO1986">
            <v>393216</v>
          </cell>
          <cell r="AQ1986">
            <v>0</v>
          </cell>
          <cell r="AR1986">
            <v>0</v>
          </cell>
          <cell r="AS1986" t="str">
            <v>Ы</v>
          </cell>
          <cell r="AT1986" t="str">
            <v>Ы</v>
          </cell>
          <cell r="AU1986">
            <v>0</v>
          </cell>
          <cell r="AV1986">
            <v>0</v>
          </cell>
          <cell r="AW1986">
            <v>23</v>
          </cell>
          <cell r="AX1986">
            <v>1</v>
          </cell>
          <cell r="AY1986">
            <v>0</v>
          </cell>
          <cell r="AZ1986">
            <v>0</v>
          </cell>
          <cell r="BA1986">
            <v>0</v>
          </cell>
          <cell r="BB1986">
            <v>0</v>
          </cell>
          <cell r="BC1986">
            <v>38828</v>
          </cell>
        </row>
        <row r="1987">
          <cell r="A1987">
            <v>2006</v>
          </cell>
          <cell r="B1987">
            <v>2</v>
          </cell>
          <cell r="C1987">
            <v>601</v>
          </cell>
          <cell r="D1987">
            <v>21</v>
          </cell>
          <cell r="E1987">
            <v>792020</v>
          </cell>
          <cell r="F1987">
            <v>0</v>
          </cell>
          <cell r="G1987" t="str">
            <v>Затраты по ШПЗ (основные)</v>
          </cell>
          <cell r="H1987">
            <v>2011</v>
          </cell>
          <cell r="I1987">
            <v>7920</v>
          </cell>
          <cell r="J1987">
            <v>781163.21</v>
          </cell>
          <cell r="K1987">
            <v>1</v>
          </cell>
          <cell r="L1987">
            <v>0</v>
          </cell>
          <cell r="M1987">
            <v>0</v>
          </cell>
          <cell r="N1987">
            <v>0</v>
          </cell>
          <cell r="R1987">
            <v>0</v>
          </cell>
          <cell r="S1987">
            <v>0</v>
          </cell>
          <cell r="T1987">
            <v>0</v>
          </cell>
          <cell r="U1987">
            <v>37</v>
          </cell>
          <cell r="V1987">
            <v>0</v>
          </cell>
          <cell r="W1987">
            <v>0</v>
          </cell>
          <cell r="AA1987">
            <v>0</v>
          </cell>
          <cell r="AB1987">
            <v>0</v>
          </cell>
          <cell r="AC1987">
            <v>0</v>
          </cell>
          <cell r="AD1987">
            <v>37</v>
          </cell>
          <cell r="AE1987">
            <v>151000</v>
          </cell>
          <cell r="AF1987">
            <v>0</v>
          </cell>
          <cell r="AI1987">
            <v>2251</v>
          </cell>
          <cell r="AK1987">
            <v>0</v>
          </cell>
          <cell r="AM1987">
            <v>730</v>
          </cell>
          <cell r="AN1987">
            <v>1</v>
          </cell>
          <cell r="AO1987">
            <v>393216</v>
          </cell>
          <cell r="AQ1987">
            <v>0</v>
          </cell>
          <cell r="AR1987">
            <v>0</v>
          </cell>
          <cell r="AS1987" t="str">
            <v>Ы</v>
          </cell>
          <cell r="AT1987" t="str">
            <v>Ы</v>
          </cell>
          <cell r="AU1987">
            <v>0</v>
          </cell>
          <cell r="AV1987">
            <v>0</v>
          </cell>
          <cell r="AW1987">
            <v>23</v>
          </cell>
          <cell r="AX1987">
            <v>1</v>
          </cell>
          <cell r="AY1987">
            <v>0</v>
          </cell>
          <cell r="AZ1987">
            <v>0</v>
          </cell>
          <cell r="BA1987">
            <v>0</v>
          </cell>
          <cell r="BB1987">
            <v>0</v>
          </cell>
          <cell r="BC1987">
            <v>38828</v>
          </cell>
        </row>
        <row r="1988">
          <cell r="A1988">
            <v>2006</v>
          </cell>
          <cell r="B1988">
            <v>2</v>
          </cell>
          <cell r="C1988">
            <v>602</v>
          </cell>
          <cell r="D1988">
            <v>21</v>
          </cell>
          <cell r="E1988">
            <v>792020</v>
          </cell>
          <cell r="F1988">
            <v>0</v>
          </cell>
          <cell r="G1988" t="str">
            <v>Затраты по ШПЗ (основные)</v>
          </cell>
          <cell r="H1988">
            <v>2011</v>
          </cell>
          <cell r="I1988">
            <v>7920</v>
          </cell>
          <cell r="J1988">
            <v>176735.56</v>
          </cell>
          <cell r="K1988">
            <v>1</v>
          </cell>
          <cell r="L1988">
            <v>0</v>
          </cell>
          <cell r="M1988">
            <v>0</v>
          </cell>
          <cell r="N1988">
            <v>0</v>
          </cell>
          <cell r="R1988">
            <v>0</v>
          </cell>
          <cell r="S1988">
            <v>0</v>
          </cell>
          <cell r="T1988">
            <v>0</v>
          </cell>
          <cell r="U1988">
            <v>37</v>
          </cell>
          <cell r="V1988">
            <v>0</v>
          </cell>
          <cell r="W1988">
            <v>0</v>
          </cell>
          <cell r="AA1988">
            <v>0</v>
          </cell>
          <cell r="AB1988">
            <v>0</v>
          </cell>
          <cell r="AC1988">
            <v>0</v>
          </cell>
          <cell r="AD1988">
            <v>37</v>
          </cell>
          <cell r="AE1988">
            <v>152000</v>
          </cell>
          <cell r="AF1988">
            <v>0</v>
          </cell>
          <cell r="AI1988">
            <v>2251</v>
          </cell>
          <cell r="AK1988">
            <v>0</v>
          </cell>
          <cell r="AM1988">
            <v>731</v>
          </cell>
          <cell r="AN1988">
            <v>1</v>
          </cell>
          <cell r="AO1988">
            <v>393216</v>
          </cell>
          <cell r="AQ1988">
            <v>0</v>
          </cell>
          <cell r="AR1988">
            <v>0</v>
          </cell>
          <cell r="AS1988" t="str">
            <v>Ы</v>
          </cell>
          <cell r="AT1988" t="str">
            <v>Ы</v>
          </cell>
          <cell r="AU1988">
            <v>0</v>
          </cell>
          <cell r="AV1988">
            <v>0</v>
          </cell>
          <cell r="AW1988">
            <v>23</v>
          </cell>
          <cell r="AX1988">
            <v>1</v>
          </cell>
          <cell r="AY1988">
            <v>0</v>
          </cell>
          <cell r="AZ1988">
            <v>0</v>
          </cell>
          <cell r="BA1988">
            <v>0</v>
          </cell>
          <cell r="BB1988">
            <v>0</v>
          </cell>
          <cell r="BC1988">
            <v>38828</v>
          </cell>
        </row>
        <row r="1989">
          <cell r="A1989">
            <v>2006</v>
          </cell>
          <cell r="B1989">
            <v>2</v>
          </cell>
          <cell r="C1989">
            <v>603</v>
          </cell>
          <cell r="D1989">
            <v>21</v>
          </cell>
          <cell r="E1989">
            <v>792020</v>
          </cell>
          <cell r="F1989">
            <v>0</v>
          </cell>
          <cell r="G1989" t="str">
            <v>Затраты по ШПЗ (основные)</v>
          </cell>
          <cell r="H1989">
            <v>2011</v>
          </cell>
          <cell r="I1989">
            <v>7920</v>
          </cell>
          <cell r="J1989">
            <v>7744370.9800000004</v>
          </cell>
          <cell r="K1989">
            <v>1</v>
          </cell>
          <cell r="L1989">
            <v>0</v>
          </cell>
          <cell r="M1989">
            <v>0</v>
          </cell>
          <cell r="N1989">
            <v>0</v>
          </cell>
          <cell r="R1989">
            <v>0</v>
          </cell>
          <cell r="S1989">
            <v>0</v>
          </cell>
          <cell r="T1989">
            <v>0</v>
          </cell>
          <cell r="U1989">
            <v>37</v>
          </cell>
          <cell r="V1989">
            <v>0</v>
          </cell>
          <cell r="W1989">
            <v>0</v>
          </cell>
          <cell r="AA1989">
            <v>0</v>
          </cell>
          <cell r="AB1989">
            <v>0</v>
          </cell>
          <cell r="AC1989">
            <v>0</v>
          </cell>
          <cell r="AD1989">
            <v>37</v>
          </cell>
          <cell r="AE1989">
            <v>220000</v>
          </cell>
          <cell r="AF1989">
            <v>0</v>
          </cell>
          <cell r="AI1989">
            <v>2251</v>
          </cell>
          <cell r="AK1989">
            <v>0</v>
          </cell>
          <cell r="AM1989">
            <v>732</v>
          </cell>
          <cell r="AN1989">
            <v>1</v>
          </cell>
          <cell r="AO1989">
            <v>393216</v>
          </cell>
          <cell r="AQ1989">
            <v>0</v>
          </cell>
          <cell r="AR1989">
            <v>0</v>
          </cell>
          <cell r="AS1989" t="str">
            <v>Ы</v>
          </cell>
          <cell r="AT1989" t="str">
            <v>Ы</v>
          </cell>
          <cell r="AU1989">
            <v>0</v>
          </cell>
          <cell r="AV1989">
            <v>0</v>
          </cell>
          <cell r="AW1989">
            <v>23</v>
          </cell>
          <cell r="AX1989">
            <v>1</v>
          </cell>
          <cell r="AY1989">
            <v>0</v>
          </cell>
          <cell r="AZ1989">
            <v>0</v>
          </cell>
          <cell r="BA1989">
            <v>0</v>
          </cell>
          <cell r="BB1989">
            <v>0</v>
          </cell>
          <cell r="BC1989">
            <v>38828</v>
          </cell>
        </row>
        <row r="1990">
          <cell r="A1990">
            <v>2006</v>
          </cell>
          <cell r="B1990">
            <v>2</v>
          </cell>
          <cell r="C1990">
            <v>604</v>
          </cell>
          <cell r="D1990">
            <v>21</v>
          </cell>
          <cell r="E1990">
            <v>792020</v>
          </cell>
          <cell r="F1990">
            <v>0</v>
          </cell>
          <cell r="G1990" t="str">
            <v>Затраты по ШПЗ (основные)</v>
          </cell>
          <cell r="H1990">
            <v>2011</v>
          </cell>
          <cell r="I1990">
            <v>7920</v>
          </cell>
          <cell r="J1990">
            <v>4062671.53</v>
          </cell>
          <cell r="K1990">
            <v>1</v>
          </cell>
          <cell r="L1990">
            <v>0</v>
          </cell>
          <cell r="M1990">
            <v>0</v>
          </cell>
          <cell r="N1990">
            <v>0</v>
          </cell>
          <cell r="R1990">
            <v>0</v>
          </cell>
          <cell r="S1990">
            <v>0</v>
          </cell>
          <cell r="T1990">
            <v>0</v>
          </cell>
          <cell r="U1990">
            <v>37</v>
          </cell>
          <cell r="V1990">
            <v>0</v>
          </cell>
          <cell r="W1990">
            <v>0</v>
          </cell>
          <cell r="AA1990">
            <v>0</v>
          </cell>
          <cell r="AB1990">
            <v>0</v>
          </cell>
          <cell r="AC1990">
            <v>0</v>
          </cell>
          <cell r="AD1990">
            <v>37</v>
          </cell>
          <cell r="AE1990">
            <v>230000</v>
          </cell>
          <cell r="AF1990">
            <v>0</v>
          </cell>
          <cell r="AI1990">
            <v>2251</v>
          </cell>
          <cell r="AK1990">
            <v>0</v>
          </cell>
          <cell r="AM1990">
            <v>733</v>
          </cell>
          <cell r="AN1990">
            <v>1</v>
          </cell>
          <cell r="AO1990">
            <v>393216</v>
          </cell>
          <cell r="AQ1990">
            <v>0</v>
          </cell>
          <cell r="AR1990">
            <v>0</v>
          </cell>
          <cell r="AS1990" t="str">
            <v>Ы</v>
          </cell>
          <cell r="AT1990" t="str">
            <v>Ы</v>
          </cell>
          <cell r="AU1990">
            <v>0</v>
          </cell>
          <cell r="AV1990">
            <v>0</v>
          </cell>
          <cell r="AW1990">
            <v>23</v>
          </cell>
          <cell r="AX1990">
            <v>1</v>
          </cell>
          <cell r="AY1990">
            <v>0</v>
          </cell>
          <cell r="AZ1990">
            <v>0</v>
          </cell>
          <cell r="BA1990">
            <v>0</v>
          </cell>
          <cell r="BB1990">
            <v>0</v>
          </cell>
          <cell r="BC1990">
            <v>38828</v>
          </cell>
        </row>
        <row r="1991">
          <cell r="A1991">
            <v>2006</v>
          </cell>
          <cell r="B1991">
            <v>2</v>
          </cell>
          <cell r="C1991">
            <v>605</v>
          </cell>
          <cell r="D1991">
            <v>21</v>
          </cell>
          <cell r="E1991">
            <v>792020</v>
          </cell>
          <cell r="F1991">
            <v>0</v>
          </cell>
          <cell r="G1991" t="str">
            <v>Затраты по ШПЗ (основные)</v>
          </cell>
          <cell r="H1991">
            <v>2011</v>
          </cell>
          <cell r="I1991">
            <v>7920</v>
          </cell>
          <cell r="J1991">
            <v>43900</v>
          </cell>
          <cell r="K1991">
            <v>1</v>
          </cell>
          <cell r="L1991">
            <v>0</v>
          </cell>
          <cell r="M1991">
            <v>0</v>
          </cell>
          <cell r="N1991">
            <v>0</v>
          </cell>
          <cell r="R1991">
            <v>0</v>
          </cell>
          <cell r="S1991">
            <v>0</v>
          </cell>
          <cell r="T1991">
            <v>0</v>
          </cell>
          <cell r="U1991">
            <v>37</v>
          </cell>
          <cell r="V1991">
            <v>0</v>
          </cell>
          <cell r="W1991">
            <v>0</v>
          </cell>
          <cell r="AA1991">
            <v>0</v>
          </cell>
          <cell r="AB1991">
            <v>0</v>
          </cell>
          <cell r="AC1991">
            <v>0</v>
          </cell>
          <cell r="AD1991">
            <v>37</v>
          </cell>
          <cell r="AE1991">
            <v>250000</v>
          </cell>
          <cell r="AF1991">
            <v>0</v>
          </cell>
          <cell r="AI1991">
            <v>2251</v>
          </cell>
          <cell r="AK1991">
            <v>0</v>
          </cell>
          <cell r="AM1991">
            <v>734</v>
          </cell>
          <cell r="AN1991">
            <v>1</v>
          </cell>
          <cell r="AO1991">
            <v>393216</v>
          </cell>
          <cell r="AQ1991">
            <v>0</v>
          </cell>
          <cell r="AR1991">
            <v>0</v>
          </cell>
          <cell r="AS1991" t="str">
            <v>Ы</v>
          </cell>
          <cell r="AT1991" t="str">
            <v>Ы</v>
          </cell>
          <cell r="AU1991">
            <v>0</v>
          </cell>
          <cell r="AV1991">
            <v>0</v>
          </cell>
          <cell r="AW1991">
            <v>23</v>
          </cell>
          <cell r="AX1991">
            <v>1</v>
          </cell>
          <cell r="AY1991">
            <v>0</v>
          </cell>
          <cell r="AZ1991">
            <v>0</v>
          </cell>
          <cell r="BA1991">
            <v>0</v>
          </cell>
          <cell r="BB1991">
            <v>0</v>
          </cell>
          <cell r="BC1991">
            <v>38828</v>
          </cell>
        </row>
        <row r="1992">
          <cell r="A1992">
            <v>2006</v>
          </cell>
          <cell r="B1992">
            <v>2</v>
          </cell>
          <cell r="C1992">
            <v>606</v>
          </cell>
          <cell r="D1992">
            <v>21</v>
          </cell>
          <cell r="E1992">
            <v>792020</v>
          </cell>
          <cell r="F1992">
            <v>0</v>
          </cell>
          <cell r="G1992" t="str">
            <v>Затраты по ШПЗ (основные)</v>
          </cell>
          <cell r="H1992">
            <v>2011</v>
          </cell>
          <cell r="I1992">
            <v>7920</v>
          </cell>
          <cell r="J1992">
            <v>75455.72</v>
          </cell>
          <cell r="K1992">
            <v>1</v>
          </cell>
          <cell r="L1992">
            <v>0</v>
          </cell>
          <cell r="M1992">
            <v>0</v>
          </cell>
          <cell r="N1992">
            <v>0</v>
          </cell>
          <cell r="R1992">
            <v>0</v>
          </cell>
          <cell r="S1992">
            <v>0</v>
          </cell>
          <cell r="T1992">
            <v>0</v>
          </cell>
          <cell r="U1992">
            <v>37</v>
          </cell>
          <cell r="V1992">
            <v>0</v>
          </cell>
          <cell r="W1992">
            <v>0</v>
          </cell>
          <cell r="AA1992">
            <v>0</v>
          </cell>
          <cell r="AB1992">
            <v>0</v>
          </cell>
          <cell r="AC1992">
            <v>0</v>
          </cell>
          <cell r="AD1992">
            <v>37</v>
          </cell>
          <cell r="AE1992">
            <v>260000</v>
          </cell>
          <cell r="AF1992">
            <v>0</v>
          </cell>
          <cell r="AI1992">
            <v>2251</v>
          </cell>
          <cell r="AK1992">
            <v>0</v>
          </cell>
          <cell r="AM1992">
            <v>735</v>
          </cell>
          <cell r="AN1992">
            <v>1</v>
          </cell>
          <cell r="AO1992">
            <v>393216</v>
          </cell>
          <cell r="AQ1992">
            <v>0</v>
          </cell>
          <cell r="AR1992">
            <v>0</v>
          </cell>
          <cell r="AS1992" t="str">
            <v>Ы</v>
          </cell>
          <cell r="AT1992" t="str">
            <v>Ы</v>
          </cell>
          <cell r="AU1992">
            <v>0</v>
          </cell>
          <cell r="AV1992">
            <v>0</v>
          </cell>
          <cell r="AW1992">
            <v>23</v>
          </cell>
          <cell r="AX1992">
            <v>1</v>
          </cell>
          <cell r="AY1992">
            <v>0</v>
          </cell>
          <cell r="AZ1992">
            <v>0</v>
          </cell>
          <cell r="BA1992">
            <v>0</v>
          </cell>
          <cell r="BB1992">
            <v>0</v>
          </cell>
          <cell r="BC1992">
            <v>38828</v>
          </cell>
        </row>
        <row r="1993">
          <cell r="A1993">
            <v>2006</v>
          </cell>
          <cell r="B1993">
            <v>2</v>
          </cell>
          <cell r="C1993">
            <v>607</v>
          </cell>
          <cell r="D1993">
            <v>21</v>
          </cell>
          <cell r="E1993">
            <v>792020</v>
          </cell>
          <cell r="F1993">
            <v>0</v>
          </cell>
          <cell r="G1993" t="str">
            <v>Затраты по ШПЗ (основные)</v>
          </cell>
          <cell r="H1993">
            <v>2011</v>
          </cell>
          <cell r="I1993">
            <v>7920</v>
          </cell>
          <cell r="J1993">
            <v>1096874.73</v>
          </cell>
          <cell r="K1993">
            <v>1</v>
          </cell>
          <cell r="L1993">
            <v>0</v>
          </cell>
          <cell r="M1993">
            <v>0</v>
          </cell>
          <cell r="N1993">
            <v>0</v>
          </cell>
          <cell r="R1993">
            <v>0</v>
          </cell>
          <cell r="S1993">
            <v>0</v>
          </cell>
          <cell r="T1993">
            <v>0</v>
          </cell>
          <cell r="U1993">
            <v>37</v>
          </cell>
          <cell r="V1993">
            <v>0</v>
          </cell>
          <cell r="W1993">
            <v>0</v>
          </cell>
          <cell r="AA1993">
            <v>0</v>
          </cell>
          <cell r="AB1993">
            <v>0</v>
          </cell>
          <cell r="AC1993">
            <v>0</v>
          </cell>
          <cell r="AD1993">
            <v>37</v>
          </cell>
          <cell r="AE1993">
            <v>270000</v>
          </cell>
          <cell r="AF1993">
            <v>0</v>
          </cell>
          <cell r="AI1993">
            <v>2251</v>
          </cell>
          <cell r="AK1993">
            <v>0</v>
          </cell>
          <cell r="AM1993">
            <v>736</v>
          </cell>
          <cell r="AN1993">
            <v>1</v>
          </cell>
          <cell r="AO1993">
            <v>393216</v>
          </cell>
          <cell r="AQ1993">
            <v>0</v>
          </cell>
          <cell r="AR1993">
            <v>0</v>
          </cell>
          <cell r="AS1993" t="str">
            <v>Ы</v>
          </cell>
          <cell r="AT1993" t="str">
            <v>Ы</v>
          </cell>
          <cell r="AU1993">
            <v>0</v>
          </cell>
          <cell r="AV1993">
            <v>0</v>
          </cell>
          <cell r="AW1993">
            <v>23</v>
          </cell>
          <cell r="AX1993">
            <v>1</v>
          </cell>
          <cell r="AY1993">
            <v>0</v>
          </cell>
          <cell r="AZ1993">
            <v>0</v>
          </cell>
          <cell r="BA1993">
            <v>0</v>
          </cell>
          <cell r="BB1993">
            <v>0</v>
          </cell>
          <cell r="BC1993">
            <v>38828</v>
          </cell>
        </row>
        <row r="1994">
          <cell r="A1994">
            <v>2006</v>
          </cell>
          <cell r="B1994">
            <v>2</v>
          </cell>
          <cell r="C1994">
            <v>608</v>
          </cell>
          <cell r="D1994">
            <v>21</v>
          </cell>
          <cell r="E1994">
            <v>792020</v>
          </cell>
          <cell r="F1994">
            <v>0</v>
          </cell>
          <cell r="G1994" t="str">
            <v>Затраты по ШПЗ (основные)</v>
          </cell>
          <cell r="H1994">
            <v>2011</v>
          </cell>
          <cell r="I1994">
            <v>7920</v>
          </cell>
          <cell r="J1994">
            <v>35576.400000000001</v>
          </cell>
          <cell r="K1994">
            <v>1</v>
          </cell>
          <cell r="L1994">
            <v>0</v>
          </cell>
          <cell r="M1994">
            <v>0</v>
          </cell>
          <cell r="N1994">
            <v>0</v>
          </cell>
          <cell r="R1994">
            <v>0</v>
          </cell>
          <cell r="S1994">
            <v>0</v>
          </cell>
          <cell r="T1994">
            <v>0</v>
          </cell>
          <cell r="U1994">
            <v>37</v>
          </cell>
          <cell r="V1994">
            <v>0</v>
          </cell>
          <cell r="W1994">
            <v>0</v>
          </cell>
          <cell r="AA1994">
            <v>0</v>
          </cell>
          <cell r="AB1994">
            <v>0</v>
          </cell>
          <cell r="AC1994">
            <v>0</v>
          </cell>
          <cell r="AD1994">
            <v>37</v>
          </cell>
          <cell r="AE1994">
            <v>280000</v>
          </cell>
          <cell r="AF1994">
            <v>0</v>
          </cell>
          <cell r="AI1994">
            <v>2251</v>
          </cell>
          <cell r="AK1994">
            <v>0</v>
          </cell>
          <cell r="AM1994">
            <v>737</v>
          </cell>
          <cell r="AN1994">
            <v>1</v>
          </cell>
          <cell r="AO1994">
            <v>393216</v>
          </cell>
          <cell r="AQ1994">
            <v>0</v>
          </cell>
          <cell r="AR1994">
            <v>0</v>
          </cell>
          <cell r="AS1994" t="str">
            <v>Ы</v>
          </cell>
          <cell r="AT1994" t="str">
            <v>Ы</v>
          </cell>
          <cell r="AU1994">
            <v>0</v>
          </cell>
          <cell r="AV1994">
            <v>0</v>
          </cell>
          <cell r="AW1994">
            <v>23</v>
          </cell>
          <cell r="AX1994">
            <v>1</v>
          </cell>
          <cell r="AY1994">
            <v>0</v>
          </cell>
          <cell r="AZ1994">
            <v>0</v>
          </cell>
          <cell r="BA1994">
            <v>0</v>
          </cell>
          <cell r="BB1994">
            <v>0</v>
          </cell>
          <cell r="BC1994">
            <v>38828</v>
          </cell>
        </row>
        <row r="1995">
          <cell r="A1995">
            <v>2006</v>
          </cell>
          <cell r="B1995">
            <v>2</v>
          </cell>
          <cell r="C1995">
            <v>609</v>
          </cell>
          <cell r="D1995">
            <v>21</v>
          </cell>
          <cell r="E1995">
            <v>792020</v>
          </cell>
          <cell r="F1995">
            <v>0</v>
          </cell>
          <cell r="G1995" t="str">
            <v>Затраты по ШПЗ (основные)</v>
          </cell>
          <cell r="H1995">
            <v>2011</v>
          </cell>
          <cell r="I1995">
            <v>7920</v>
          </cell>
          <cell r="J1995">
            <v>416860.02</v>
          </cell>
          <cell r="K1995">
            <v>1</v>
          </cell>
          <cell r="L1995">
            <v>0</v>
          </cell>
          <cell r="M1995">
            <v>0</v>
          </cell>
          <cell r="N1995">
            <v>0</v>
          </cell>
          <cell r="R1995">
            <v>0</v>
          </cell>
          <cell r="S1995">
            <v>0</v>
          </cell>
          <cell r="T1995">
            <v>0</v>
          </cell>
          <cell r="U1995">
            <v>37</v>
          </cell>
          <cell r="V1995">
            <v>0</v>
          </cell>
          <cell r="W1995">
            <v>0</v>
          </cell>
          <cell r="AA1995">
            <v>0</v>
          </cell>
          <cell r="AB1995">
            <v>0</v>
          </cell>
          <cell r="AC1995">
            <v>0</v>
          </cell>
          <cell r="AD1995">
            <v>37</v>
          </cell>
          <cell r="AE1995">
            <v>280100</v>
          </cell>
          <cell r="AF1995">
            <v>0</v>
          </cell>
          <cell r="AI1995">
            <v>2251</v>
          </cell>
          <cell r="AK1995">
            <v>0</v>
          </cell>
          <cell r="AM1995">
            <v>738</v>
          </cell>
          <cell r="AN1995">
            <v>1</v>
          </cell>
          <cell r="AO1995">
            <v>393216</v>
          </cell>
          <cell r="AQ1995">
            <v>0</v>
          </cell>
          <cell r="AR1995">
            <v>0</v>
          </cell>
          <cell r="AS1995" t="str">
            <v>Ы</v>
          </cell>
          <cell r="AT1995" t="str">
            <v>Ы</v>
          </cell>
          <cell r="AU1995">
            <v>0</v>
          </cell>
          <cell r="AV1995">
            <v>0</v>
          </cell>
          <cell r="AW1995">
            <v>23</v>
          </cell>
          <cell r="AX1995">
            <v>1</v>
          </cell>
          <cell r="AY1995">
            <v>0</v>
          </cell>
          <cell r="AZ1995">
            <v>0</v>
          </cell>
          <cell r="BA1995">
            <v>0</v>
          </cell>
          <cell r="BB1995">
            <v>0</v>
          </cell>
          <cell r="BC1995">
            <v>38828</v>
          </cell>
        </row>
        <row r="1996">
          <cell r="A1996">
            <v>2006</v>
          </cell>
          <cell r="B1996">
            <v>2</v>
          </cell>
          <cell r="C1996">
            <v>610</v>
          </cell>
          <cell r="D1996">
            <v>21</v>
          </cell>
          <cell r="E1996">
            <v>792020</v>
          </cell>
          <cell r="F1996">
            <v>0</v>
          </cell>
          <cell r="G1996" t="str">
            <v>Затраты по ШПЗ (основные)</v>
          </cell>
          <cell r="H1996">
            <v>2011</v>
          </cell>
          <cell r="I1996">
            <v>7920</v>
          </cell>
          <cell r="J1996">
            <v>23194.17</v>
          </cell>
          <cell r="K1996">
            <v>1</v>
          </cell>
          <cell r="L1996">
            <v>0</v>
          </cell>
          <cell r="M1996">
            <v>0</v>
          </cell>
          <cell r="N1996">
            <v>0</v>
          </cell>
          <cell r="R1996">
            <v>0</v>
          </cell>
          <cell r="S1996">
            <v>0</v>
          </cell>
          <cell r="T1996">
            <v>0</v>
          </cell>
          <cell r="U1996">
            <v>37</v>
          </cell>
          <cell r="V1996">
            <v>0</v>
          </cell>
          <cell r="W1996">
            <v>0</v>
          </cell>
          <cell r="AA1996">
            <v>0</v>
          </cell>
          <cell r="AB1996">
            <v>0</v>
          </cell>
          <cell r="AC1996">
            <v>0</v>
          </cell>
          <cell r="AD1996">
            <v>37</v>
          </cell>
          <cell r="AE1996">
            <v>280200</v>
          </cell>
          <cell r="AF1996">
            <v>0</v>
          </cell>
          <cell r="AI1996">
            <v>2251</v>
          </cell>
          <cell r="AK1996">
            <v>0</v>
          </cell>
          <cell r="AM1996">
            <v>739</v>
          </cell>
          <cell r="AN1996">
            <v>1</v>
          </cell>
          <cell r="AO1996">
            <v>393216</v>
          </cell>
          <cell r="AQ1996">
            <v>0</v>
          </cell>
          <cell r="AR1996">
            <v>0</v>
          </cell>
          <cell r="AS1996" t="str">
            <v>Ы</v>
          </cell>
          <cell r="AT1996" t="str">
            <v>Ы</v>
          </cell>
          <cell r="AU1996">
            <v>0</v>
          </cell>
          <cell r="AV1996">
            <v>0</v>
          </cell>
          <cell r="AW1996">
            <v>23</v>
          </cell>
          <cell r="AX1996">
            <v>1</v>
          </cell>
          <cell r="AY1996">
            <v>0</v>
          </cell>
          <cell r="AZ1996">
            <v>0</v>
          </cell>
          <cell r="BA1996">
            <v>0</v>
          </cell>
          <cell r="BB1996">
            <v>0</v>
          </cell>
          <cell r="BC1996">
            <v>38828</v>
          </cell>
        </row>
        <row r="1997">
          <cell r="A1997">
            <v>2006</v>
          </cell>
          <cell r="B1997">
            <v>2</v>
          </cell>
          <cell r="C1997">
            <v>611</v>
          </cell>
          <cell r="D1997">
            <v>21</v>
          </cell>
          <cell r="E1997">
            <v>792020</v>
          </cell>
          <cell r="F1997">
            <v>0</v>
          </cell>
          <cell r="G1997" t="str">
            <v>Затраты по ШПЗ (основные)</v>
          </cell>
          <cell r="H1997">
            <v>2011</v>
          </cell>
          <cell r="I1997">
            <v>7920</v>
          </cell>
          <cell r="J1997">
            <v>11088.78</v>
          </cell>
          <cell r="K1997">
            <v>1</v>
          </cell>
          <cell r="L1997">
            <v>0</v>
          </cell>
          <cell r="M1997">
            <v>0</v>
          </cell>
          <cell r="N1997">
            <v>0</v>
          </cell>
          <cell r="R1997">
            <v>0</v>
          </cell>
          <cell r="S1997">
            <v>0</v>
          </cell>
          <cell r="T1997">
            <v>0</v>
          </cell>
          <cell r="U1997">
            <v>37</v>
          </cell>
          <cell r="V1997">
            <v>0</v>
          </cell>
          <cell r="W1997">
            <v>0</v>
          </cell>
          <cell r="AA1997">
            <v>0</v>
          </cell>
          <cell r="AB1997">
            <v>0</v>
          </cell>
          <cell r="AC1997">
            <v>0</v>
          </cell>
          <cell r="AD1997">
            <v>37</v>
          </cell>
          <cell r="AE1997">
            <v>280300</v>
          </cell>
          <cell r="AF1997">
            <v>0</v>
          </cell>
          <cell r="AI1997">
            <v>2251</v>
          </cell>
          <cell r="AK1997">
            <v>0</v>
          </cell>
          <cell r="AM1997">
            <v>740</v>
          </cell>
          <cell r="AN1997">
            <v>1</v>
          </cell>
          <cell r="AO1997">
            <v>393216</v>
          </cell>
          <cell r="AQ1997">
            <v>0</v>
          </cell>
          <cell r="AR1997">
            <v>0</v>
          </cell>
          <cell r="AS1997" t="str">
            <v>Ы</v>
          </cell>
          <cell r="AT1997" t="str">
            <v>Ы</v>
          </cell>
          <cell r="AU1997">
            <v>0</v>
          </cell>
          <cell r="AV1997">
            <v>0</v>
          </cell>
          <cell r="AW1997">
            <v>23</v>
          </cell>
          <cell r="AX1997">
            <v>1</v>
          </cell>
          <cell r="AY1997">
            <v>0</v>
          </cell>
          <cell r="AZ1997">
            <v>0</v>
          </cell>
          <cell r="BA1997">
            <v>0</v>
          </cell>
          <cell r="BB1997">
            <v>0</v>
          </cell>
          <cell r="BC1997">
            <v>38828</v>
          </cell>
        </row>
        <row r="1998">
          <cell r="A1998">
            <v>2006</v>
          </cell>
          <cell r="B1998">
            <v>2</v>
          </cell>
          <cell r="C1998">
            <v>612</v>
          </cell>
          <cell r="D1998">
            <v>21</v>
          </cell>
          <cell r="E1998">
            <v>792020</v>
          </cell>
          <cell r="F1998">
            <v>0</v>
          </cell>
          <cell r="G1998" t="str">
            <v>Затраты по ШПЗ (основные)</v>
          </cell>
          <cell r="H1998">
            <v>2011</v>
          </cell>
          <cell r="I1998">
            <v>7920</v>
          </cell>
          <cell r="J1998">
            <v>1073677.33</v>
          </cell>
          <cell r="K1998">
            <v>1</v>
          </cell>
          <cell r="L1998">
            <v>0</v>
          </cell>
          <cell r="M1998">
            <v>0</v>
          </cell>
          <cell r="N1998">
            <v>0</v>
          </cell>
          <cell r="R1998">
            <v>0</v>
          </cell>
          <cell r="S1998">
            <v>0</v>
          </cell>
          <cell r="T1998">
            <v>0</v>
          </cell>
          <cell r="U1998">
            <v>37</v>
          </cell>
          <cell r="V1998">
            <v>0</v>
          </cell>
          <cell r="W1998">
            <v>0</v>
          </cell>
          <cell r="AA1998">
            <v>0</v>
          </cell>
          <cell r="AB1998">
            <v>0</v>
          </cell>
          <cell r="AC1998">
            <v>0</v>
          </cell>
          <cell r="AD1998">
            <v>37</v>
          </cell>
          <cell r="AE1998">
            <v>280400</v>
          </cell>
          <cell r="AF1998">
            <v>0</v>
          </cell>
          <cell r="AI1998">
            <v>2251</v>
          </cell>
          <cell r="AK1998">
            <v>0</v>
          </cell>
          <cell r="AM1998">
            <v>741</v>
          </cell>
          <cell r="AN1998">
            <v>1</v>
          </cell>
          <cell r="AO1998">
            <v>393216</v>
          </cell>
          <cell r="AQ1998">
            <v>0</v>
          </cell>
          <cell r="AR1998">
            <v>0</v>
          </cell>
          <cell r="AS1998" t="str">
            <v>Ы</v>
          </cell>
          <cell r="AT1998" t="str">
            <v>Ы</v>
          </cell>
          <cell r="AU1998">
            <v>0</v>
          </cell>
          <cell r="AV1998">
            <v>0</v>
          </cell>
          <cell r="AW1998">
            <v>23</v>
          </cell>
          <cell r="AX1998">
            <v>1</v>
          </cell>
          <cell r="AY1998">
            <v>0</v>
          </cell>
          <cell r="AZ1998">
            <v>0</v>
          </cell>
          <cell r="BA1998">
            <v>0</v>
          </cell>
          <cell r="BB1998">
            <v>0</v>
          </cell>
          <cell r="BC1998">
            <v>38828</v>
          </cell>
        </row>
        <row r="1999">
          <cell r="A1999">
            <v>2006</v>
          </cell>
          <cell r="B1999">
            <v>2</v>
          </cell>
          <cell r="C1999">
            <v>613</v>
          </cell>
          <cell r="D1999">
            <v>21</v>
          </cell>
          <cell r="E1999">
            <v>792020</v>
          </cell>
          <cell r="F1999">
            <v>0</v>
          </cell>
          <cell r="G1999" t="str">
            <v>Затраты по ШПЗ (основные)</v>
          </cell>
          <cell r="H1999">
            <v>2011</v>
          </cell>
          <cell r="I1999">
            <v>7920</v>
          </cell>
          <cell r="J1999">
            <v>25819.87</v>
          </cell>
          <cell r="K1999">
            <v>1</v>
          </cell>
          <cell r="L1999">
            <v>0</v>
          </cell>
          <cell r="M1999">
            <v>0</v>
          </cell>
          <cell r="N1999">
            <v>0</v>
          </cell>
          <cell r="R1999">
            <v>0</v>
          </cell>
          <cell r="S1999">
            <v>0</v>
          </cell>
          <cell r="T1999">
            <v>0</v>
          </cell>
          <cell r="U1999">
            <v>37</v>
          </cell>
          <cell r="V1999">
            <v>0</v>
          </cell>
          <cell r="W1999">
            <v>0</v>
          </cell>
          <cell r="AA1999">
            <v>0</v>
          </cell>
          <cell r="AB1999">
            <v>0</v>
          </cell>
          <cell r="AC1999">
            <v>0</v>
          </cell>
          <cell r="AD1999">
            <v>37</v>
          </cell>
          <cell r="AE1999">
            <v>281000</v>
          </cell>
          <cell r="AF1999">
            <v>0</v>
          </cell>
          <cell r="AI1999">
            <v>2251</v>
          </cell>
          <cell r="AK1999">
            <v>0</v>
          </cell>
          <cell r="AM1999">
            <v>742</v>
          </cell>
          <cell r="AN1999">
            <v>1</v>
          </cell>
          <cell r="AO1999">
            <v>393216</v>
          </cell>
          <cell r="AQ1999">
            <v>0</v>
          </cell>
          <cell r="AR1999">
            <v>0</v>
          </cell>
          <cell r="AS1999" t="str">
            <v>Ы</v>
          </cell>
          <cell r="AT1999" t="str">
            <v>Ы</v>
          </cell>
          <cell r="AU1999">
            <v>0</v>
          </cell>
          <cell r="AV1999">
            <v>0</v>
          </cell>
          <cell r="AW1999">
            <v>23</v>
          </cell>
          <cell r="AX1999">
            <v>1</v>
          </cell>
          <cell r="AY1999">
            <v>0</v>
          </cell>
          <cell r="AZ1999">
            <v>0</v>
          </cell>
          <cell r="BA1999">
            <v>0</v>
          </cell>
          <cell r="BB1999">
            <v>0</v>
          </cell>
          <cell r="BC1999">
            <v>38828</v>
          </cell>
        </row>
        <row r="2000">
          <cell r="A2000">
            <v>2006</v>
          </cell>
          <cell r="B2000">
            <v>2</v>
          </cell>
          <cell r="C2000">
            <v>614</v>
          </cell>
          <cell r="D2000">
            <v>21</v>
          </cell>
          <cell r="E2000">
            <v>792020</v>
          </cell>
          <cell r="F2000">
            <v>0</v>
          </cell>
          <cell r="G2000" t="str">
            <v>Затраты по ШПЗ (основные)</v>
          </cell>
          <cell r="H2000">
            <v>2011</v>
          </cell>
          <cell r="I2000">
            <v>7920</v>
          </cell>
          <cell r="J2000">
            <v>45475.54</v>
          </cell>
          <cell r="K2000">
            <v>1</v>
          </cell>
          <cell r="L2000">
            <v>0</v>
          </cell>
          <cell r="M2000">
            <v>0</v>
          </cell>
          <cell r="N2000">
            <v>0</v>
          </cell>
          <cell r="R2000">
            <v>0</v>
          </cell>
          <cell r="S2000">
            <v>0</v>
          </cell>
          <cell r="T2000">
            <v>0</v>
          </cell>
          <cell r="U2000">
            <v>37</v>
          </cell>
          <cell r="V2000">
            <v>0</v>
          </cell>
          <cell r="W2000">
            <v>0</v>
          </cell>
          <cell r="AA2000">
            <v>0</v>
          </cell>
          <cell r="AB2000">
            <v>0</v>
          </cell>
          <cell r="AC2000">
            <v>0</v>
          </cell>
          <cell r="AD2000">
            <v>37</v>
          </cell>
          <cell r="AE2000">
            <v>281100</v>
          </cell>
          <cell r="AF2000">
            <v>0</v>
          </cell>
          <cell r="AI2000">
            <v>2251</v>
          </cell>
          <cell r="AK2000">
            <v>0</v>
          </cell>
          <cell r="AM2000">
            <v>743</v>
          </cell>
          <cell r="AN2000">
            <v>1</v>
          </cell>
          <cell r="AO2000">
            <v>393216</v>
          </cell>
          <cell r="AQ2000">
            <v>0</v>
          </cell>
          <cell r="AR2000">
            <v>0</v>
          </cell>
          <cell r="AS2000" t="str">
            <v>Ы</v>
          </cell>
          <cell r="AT2000" t="str">
            <v>Ы</v>
          </cell>
          <cell r="AU2000">
            <v>0</v>
          </cell>
          <cell r="AV2000">
            <v>0</v>
          </cell>
          <cell r="AW2000">
            <v>23</v>
          </cell>
          <cell r="AX2000">
            <v>1</v>
          </cell>
          <cell r="AY2000">
            <v>0</v>
          </cell>
          <cell r="AZ2000">
            <v>0</v>
          </cell>
          <cell r="BA2000">
            <v>0</v>
          </cell>
          <cell r="BB2000">
            <v>0</v>
          </cell>
          <cell r="BC2000">
            <v>38828</v>
          </cell>
        </row>
        <row r="2001">
          <cell r="A2001">
            <v>2006</v>
          </cell>
          <cell r="B2001">
            <v>2</v>
          </cell>
          <cell r="C2001">
            <v>615</v>
          </cell>
          <cell r="D2001">
            <v>21</v>
          </cell>
          <cell r="E2001">
            <v>792020</v>
          </cell>
          <cell r="F2001">
            <v>0</v>
          </cell>
          <cell r="G2001" t="str">
            <v>Затраты по ШПЗ (основные)</v>
          </cell>
          <cell r="H2001">
            <v>2011</v>
          </cell>
          <cell r="I2001">
            <v>7920</v>
          </cell>
          <cell r="J2001">
            <v>600</v>
          </cell>
          <cell r="K2001">
            <v>1</v>
          </cell>
          <cell r="L2001">
            <v>0</v>
          </cell>
          <cell r="M2001">
            <v>0</v>
          </cell>
          <cell r="N2001">
            <v>0</v>
          </cell>
          <cell r="R2001">
            <v>0</v>
          </cell>
          <cell r="S2001">
            <v>0</v>
          </cell>
          <cell r="T2001">
            <v>0</v>
          </cell>
          <cell r="U2001">
            <v>37</v>
          </cell>
          <cell r="V2001">
            <v>0</v>
          </cell>
          <cell r="W2001">
            <v>0</v>
          </cell>
          <cell r="AA2001">
            <v>0</v>
          </cell>
          <cell r="AB2001">
            <v>0</v>
          </cell>
          <cell r="AC2001">
            <v>0</v>
          </cell>
          <cell r="AD2001">
            <v>37</v>
          </cell>
          <cell r="AE2001">
            <v>282000</v>
          </cell>
          <cell r="AF2001">
            <v>0</v>
          </cell>
          <cell r="AI2001">
            <v>2251</v>
          </cell>
          <cell r="AK2001">
            <v>0</v>
          </cell>
          <cell r="AM2001">
            <v>744</v>
          </cell>
          <cell r="AN2001">
            <v>1</v>
          </cell>
          <cell r="AO2001">
            <v>393216</v>
          </cell>
          <cell r="AQ2001">
            <v>0</v>
          </cell>
          <cell r="AR2001">
            <v>0</v>
          </cell>
          <cell r="AS2001" t="str">
            <v>Ы</v>
          </cell>
          <cell r="AT2001" t="str">
            <v>Ы</v>
          </cell>
          <cell r="AU2001">
            <v>0</v>
          </cell>
          <cell r="AV2001">
            <v>0</v>
          </cell>
          <cell r="AW2001">
            <v>23</v>
          </cell>
          <cell r="AX2001">
            <v>1</v>
          </cell>
          <cell r="AY2001">
            <v>0</v>
          </cell>
          <cell r="AZ2001">
            <v>0</v>
          </cell>
          <cell r="BA2001">
            <v>0</v>
          </cell>
          <cell r="BB2001">
            <v>0</v>
          </cell>
          <cell r="BC2001">
            <v>38828</v>
          </cell>
        </row>
        <row r="2002">
          <cell r="A2002">
            <v>2006</v>
          </cell>
          <cell r="B2002">
            <v>2</v>
          </cell>
          <cell r="C2002">
            <v>616</v>
          </cell>
          <cell r="D2002">
            <v>21</v>
          </cell>
          <cell r="E2002">
            <v>792020</v>
          </cell>
          <cell r="F2002">
            <v>0</v>
          </cell>
          <cell r="G2002" t="str">
            <v>Затраты по ШПЗ (основные)</v>
          </cell>
          <cell r="H2002">
            <v>2011</v>
          </cell>
          <cell r="I2002">
            <v>7920</v>
          </cell>
          <cell r="J2002">
            <v>152293.85999999999</v>
          </cell>
          <cell r="K2002">
            <v>1</v>
          </cell>
          <cell r="L2002">
            <v>0</v>
          </cell>
          <cell r="M2002">
            <v>0</v>
          </cell>
          <cell r="N2002">
            <v>0</v>
          </cell>
          <cell r="R2002">
            <v>0</v>
          </cell>
          <cell r="S2002">
            <v>0</v>
          </cell>
          <cell r="T2002">
            <v>0</v>
          </cell>
          <cell r="U2002">
            <v>37</v>
          </cell>
          <cell r="V2002">
            <v>0</v>
          </cell>
          <cell r="W2002">
            <v>0</v>
          </cell>
          <cell r="AA2002">
            <v>0</v>
          </cell>
          <cell r="AB2002">
            <v>0</v>
          </cell>
          <cell r="AC2002">
            <v>0</v>
          </cell>
          <cell r="AD2002">
            <v>37</v>
          </cell>
          <cell r="AE2002">
            <v>282200</v>
          </cell>
          <cell r="AF2002">
            <v>0</v>
          </cell>
          <cell r="AI2002">
            <v>2251</v>
          </cell>
          <cell r="AK2002">
            <v>0</v>
          </cell>
          <cell r="AM2002">
            <v>745</v>
          </cell>
          <cell r="AN2002">
            <v>1</v>
          </cell>
          <cell r="AO2002">
            <v>393216</v>
          </cell>
          <cell r="AQ2002">
            <v>0</v>
          </cell>
          <cell r="AR2002">
            <v>0</v>
          </cell>
          <cell r="AS2002" t="str">
            <v>Ы</v>
          </cell>
          <cell r="AT2002" t="str">
            <v>Ы</v>
          </cell>
          <cell r="AU2002">
            <v>0</v>
          </cell>
          <cell r="AV2002">
            <v>0</v>
          </cell>
          <cell r="AW2002">
            <v>23</v>
          </cell>
          <cell r="AX2002">
            <v>1</v>
          </cell>
          <cell r="AY2002">
            <v>0</v>
          </cell>
          <cell r="AZ2002">
            <v>0</v>
          </cell>
          <cell r="BA2002">
            <v>0</v>
          </cell>
          <cell r="BB2002">
            <v>0</v>
          </cell>
          <cell r="BC2002">
            <v>38828</v>
          </cell>
        </row>
        <row r="2003">
          <cell r="A2003">
            <v>2006</v>
          </cell>
          <cell r="B2003">
            <v>2</v>
          </cell>
          <cell r="C2003">
            <v>617</v>
          </cell>
          <cell r="D2003">
            <v>21</v>
          </cell>
          <cell r="E2003">
            <v>792020</v>
          </cell>
          <cell r="F2003">
            <v>0</v>
          </cell>
          <cell r="G2003" t="str">
            <v>Затраты по ШПЗ (основные)</v>
          </cell>
          <cell r="H2003">
            <v>2011</v>
          </cell>
          <cell r="I2003">
            <v>7920</v>
          </cell>
          <cell r="J2003">
            <v>36032.99</v>
          </cell>
          <cell r="K2003">
            <v>1</v>
          </cell>
          <cell r="L2003">
            <v>0</v>
          </cell>
          <cell r="M2003">
            <v>0</v>
          </cell>
          <cell r="N2003">
            <v>0</v>
          </cell>
          <cell r="R2003">
            <v>0</v>
          </cell>
          <cell r="S2003">
            <v>0</v>
          </cell>
          <cell r="T2003">
            <v>0</v>
          </cell>
          <cell r="U2003">
            <v>37</v>
          </cell>
          <cell r="V2003">
            <v>0</v>
          </cell>
          <cell r="W2003">
            <v>0</v>
          </cell>
          <cell r="AA2003">
            <v>0</v>
          </cell>
          <cell r="AB2003">
            <v>0</v>
          </cell>
          <cell r="AC2003">
            <v>0</v>
          </cell>
          <cell r="AD2003">
            <v>37</v>
          </cell>
          <cell r="AE2003">
            <v>285000</v>
          </cell>
          <cell r="AF2003">
            <v>0</v>
          </cell>
          <cell r="AI2003">
            <v>2251</v>
          </cell>
          <cell r="AK2003">
            <v>0</v>
          </cell>
          <cell r="AM2003">
            <v>746</v>
          </cell>
          <cell r="AN2003">
            <v>1</v>
          </cell>
          <cell r="AO2003">
            <v>393216</v>
          </cell>
          <cell r="AQ2003">
            <v>0</v>
          </cell>
          <cell r="AR2003">
            <v>0</v>
          </cell>
          <cell r="AS2003" t="str">
            <v>Ы</v>
          </cell>
          <cell r="AT2003" t="str">
            <v>Ы</v>
          </cell>
          <cell r="AU2003">
            <v>0</v>
          </cell>
          <cell r="AV2003">
            <v>0</v>
          </cell>
          <cell r="AW2003">
            <v>23</v>
          </cell>
          <cell r="AX2003">
            <v>1</v>
          </cell>
          <cell r="AY2003">
            <v>0</v>
          </cell>
          <cell r="AZ2003">
            <v>0</v>
          </cell>
          <cell r="BA2003">
            <v>0</v>
          </cell>
          <cell r="BB2003">
            <v>0</v>
          </cell>
          <cell r="BC2003">
            <v>38828</v>
          </cell>
        </row>
        <row r="2004">
          <cell r="A2004">
            <v>2006</v>
          </cell>
          <cell r="B2004">
            <v>2</v>
          </cell>
          <cell r="C2004">
            <v>618</v>
          </cell>
          <cell r="D2004">
            <v>21</v>
          </cell>
          <cell r="E2004">
            <v>792020</v>
          </cell>
          <cell r="F2004">
            <v>0</v>
          </cell>
          <cell r="G2004" t="str">
            <v>Затраты по ШПЗ (основные)</v>
          </cell>
          <cell r="H2004">
            <v>2011</v>
          </cell>
          <cell r="I2004">
            <v>7920</v>
          </cell>
          <cell r="J2004">
            <v>210983</v>
          </cell>
          <cell r="K2004">
            <v>1</v>
          </cell>
          <cell r="L2004">
            <v>0</v>
          </cell>
          <cell r="M2004">
            <v>0</v>
          </cell>
          <cell r="N2004">
            <v>0</v>
          </cell>
          <cell r="R2004">
            <v>0</v>
          </cell>
          <cell r="S2004">
            <v>0</v>
          </cell>
          <cell r="T2004">
            <v>0</v>
          </cell>
          <cell r="U2004">
            <v>37</v>
          </cell>
          <cell r="V2004">
            <v>0</v>
          </cell>
          <cell r="W2004">
            <v>0</v>
          </cell>
          <cell r="AA2004">
            <v>0</v>
          </cell>
          <cell r="AB2004">
            <v>0</v>
          </cell>
          <cell r="AC2004">
            <v>0</v>
          </cell>
          <cell r="AD2004">
            <v>37</v>
          </cell>
          <cell r="AE2004">
            <v>285100</v>
          </cell>
          <cell r="AF2004">
            <v>0</v>
          </cell>
          <cell r="AI2004">
            <v>2251</v>
          </cell>
          <cell r="AK2004">
            <v>0</v>
          </cell>
          <cell r="AM2004">
            <v>747</v>
          </cell>
          <cell r="AN2004">
            <v>1</v>
          </cell>
          <cell r="AO2004">
            <v>393216</v>
          </cell>
          <cell r="AQ2004">
            <v>0</v>
          </cell>
          <cell r="AR2004">
            <v>0</v>
          </cell>
          <cell r="AS2004" t="str">
            <v>Ы</v>
          </cell>
          <cell r="AT2004" t="str">
            <v>Ы</v>
          </cell>
          <cell r="AU2004">
            <v>0</v>
          </cell>
          <cell r="AV2004">
            <v>0</v>
          </cell>
          <cell r="AW2004">
            <v>23</v>
          </cell>
          <cell r="AX2004">
            <v>1</v>
          </cell>
          <cell r="AY2004">
            <v>0</v>
          </cell>
          <cell r="AZ2004">
            <v>0</v>
          </cell>
          <cell r="BA2004">
            <v>0</v>
          </cell>
          <cell r="BB2004">
            <v>0</v>
          </cell>
          <cell r="BC2004">
            <v>38828</v>
          </cell>
        </row>
        <row r="2005">
          <cell r="A2005">
            <v>2006</v>
          </cell>
          <cell r="B2005">
            <v>2</v>
          </cell>
          <cell r="C2005">
            <v>619</v>
          </cell>
          <cell r="D2005">
            <v>21</v>
          </cell>
          <cell r="E2005">
            <v>792020</v>
          </cell>
          <cell r="F2005">
            <v>0</v>
          </cell>
          <cell r="G2005" t="str">
            <v>Затраты по ШПЗ (основные)</v>
          </cell>
          <cell r="H2005">
            <v>2011</v>
          </cell>
          <cell r="I2005">
            <v>7920</v>
          </cell>
          <cell r="J2005">
            <v>428763.68</v>
          </cell>
          <cell r="K2005">
            <v>1</v>
          </cell>
          <cell r="L2005">
            <v>0</v>
          </cell>
          <cell r="M2005">
            <v>0</v>
          </cell>
          <cell r="N2005">
            <v>0</v>
          </cell>
          <cell r="R2005">
            <v>0</v>
          </cell>
          <cell r="S2005">
            <v>0</v>
          </cell>
          <cell r="T2005">
            <v>0</v>
          </cell>
          <cell r="U2005">
            <v>37</v>
          </cell>
          <cell r="V2005">
            <v>0</v>
          </cell>
          <cell r="W2005">
            <v>0</v>
          </cell>
          <cell r="AA2005">
            <v>0</v>
          </cell>
          <cell r="AB2005">
            <v>0</v>
          </cell>
          <cell r="AC2005">
            <v>0</v>
          </cell>
          <cell r="AD2005">
            <v>37</v>
          </cell>
          <cell r="AE2005">
            <v>311000</v>
          </cell>
          <cell r="AF2005">
            <v>0</v>
          </cell>
          <cell r="AI2005">
            <v>2251</v>
          </cell>
          <cell r="AK2005">
            <v>0</v>
          </cell>
          <cell r="AM2005">
            <v>748</v>
          </cell>
          <cell r="AN2005">
            <v>1</v>
          </cell>
          <cell r="AO2005">
            <v>393216</v>
          </cell>
          <cell r="AQ2005">
            <v>0</v>
          </cell>
          <cell r="AR2005">
            <v>0</v>
          </cell>
          <cell r="AS2005" t="str">
            <v>Ы</v>
          </cell>
          <cell r="AT2005" t="str">
            <v>Ы</v>
          </cell>
          <cell r="AU2005">
            <v>0</v>
          </cell>
          <cell r="AV2005">
            <v>0</v>
          </cell>
          <cell r="AW2005">
            <v>23</v>
          </cell>
          <cell r="AX2005">
            <v>1</v>
          </cell>
          <cell r="AY2005">
            <v>0</v>
          </cell>
          <cell r="AZ2005">
            <v>0</v>
          </cell>
          <cell r="BA2005">
            <v>0</v>
          </cell>
          <cell r="BB2005">
            <v>0</v>
          </cell>
          <cell r="BC2005">
            <v>38828</v>
          </cell>
        </row>
        <row r="2006">
          <cell r="A2006">
            <v>2006</v>
          </cell>
          <cell r="B2006">
            <v>2</v>
          </cell>
          <cell r="C2006">
            <v>620</v>
          </cell>
          <cell r="D2006">
            <v>21</v>
          </cell>
          <cell r="E2006">
            <v>792020</v>
          </cell>
          <cell r="F2006">
            <v>0</v>
          </cell>
          <cell r="G2006" t="str">
            <v>Затраты по ШПЗ (основные)</v>
          </cell>
          <cell r="H2006">
            <v>2011</v>
          </cell>
          <cell r="I2006">
            <v>7920</v>
          </cell>
          <cell r="J2006">
            <v>2968941.45</v>
          </cell>
          <cell r="K2006">
            <v>1</v>
          </cell>
          <cell r="L2006">
            <v>0</v>
          </cell>
          <cell r="M2006">
            <v>0</v>
          </cell>
          <cell r="N2006">
            <v>0</v>
          </cell>
          <cell r="R2006">
            <v>0</v>
          </cell>
          <cell r="S2006">
            <v>0</v>
          </cell>
          <cell r="T2006">
            <v>0</v>
          </cell>
          <cell r="U2006">
            <v>37</v>
          </cell>
          <cell r="V2006">
            <v>0</v>
          </cell>
          <cell r="W2006">
            <v>0</v>
          </cell>
          <cell r="AA2006">
            <v>0</v>
          </cell>
          <cell r="AB2006">
            <v>0</v>
          </cell>
          <cell r="AC2006">
            <v>0</v>
          </cell>
          <cell r="AD2006">
            <v>37</v>
          </cell>
          <cell r="AE2006">
            <v>312000</v>
          </cell>
          <cell r="AF2006">
            <v>0</v>
          </cell>
          <cell r="AI2006">
            <v>2251</v>
          </cell>
          <cell r="AK2006">
            <v>0</v>
          </cell>
          <cell r="AM2006">
            <v>749</v>
          </cell>
          <cell r="AN2006">
            <v>1</v>
          </cell>
          <cell r="AO2006">
            <v>393216</v>
          </cell>
          <cell r="AQ2006">
            <v>0</v>
          </cell>
          <cell r="AR2006">
            <v>0</v>
          </cell>
          <cell r="AS2006" t="str">
            <v>Ы</v>
          </cell>
          <cell r="AT2006" t="str">
            <v>Ы</v>
          </cell>
          <cell r="AU2006">
            <v>0</v>
          </cell>
          <cell r="AV2006">
            <v>0</v>
          </cell>
          <cell r="AW2006">
            <v>23</v>
          </cell>
          <cell r="AX2006">
            <v>1</v>
          </cell>
          <cell r="AY2006">
            <v>0</v>
          </cell>
          <cell r="AZ2006">
            <v>0</v>
          </cell>
          <cell r="BA2006">
            <v>0</v>
          </cell>
          <cell r="BB2006">
            <v>0</v>
          </cell>
          <cell r="BC2006">
            <v>38828</v>
          </cell>
        </row>
        <row r="2007">
          <cell r="A2007">
            <v>2006</v>
          </cell>
          <cell r="B2007">
            <v>2</v>
          </cell>
          <cell r="C2007">
            <v>621</v>
          </cell>
          <cell r="D2007">
            <v>21</v>
          </cell>
          <cell r="E2007">
            <v>792020</v>
          </cell>
          <cell r="F2007">
            <v>0</v>
          </cell>
          <cell r="G2007" t="str">
            <v>Затраты по ШПЗ (основные)</v>
          </cell>
          <cell r="H2007">
            <v>2011</v>
          </cell>
          <cell r="I2007">
            <v>7920</v>
          </cell>
          <cell r="J2007">
            <v>162986.26</v>
          </cell>
          <cell r="K2007">
            <v>1</v>
          </cell>
          <cell r="L2007">
            <v>0</v>
          </cell>
          <cell r="M2007">
            <v>0</v>
          </cell>
          <cell r="N2007">
            <v>0</v>
          </cell>
          <cell r="R2007">
            <v>0</v>
          </cell>
          <cell r="S2007">
            <v>0</v>
          </cell>
          <cell r="T2007">
            <v>0</v>
          </cell>
          <cell r="U2007">
            <v>37</v>
          </cell>
          <cell r="V2007">
            <v>0</v>
          </cell>
          <cell r="W2007">
            <v>0</v>
          </cell>
          <cell r="AA2007">
            <v>0</v>
          </cell>
          <cell r="AB2007">
            <v>0</v>
          </cell>
          <cell r="AC2007">
            <v>0</v>
          </cell>
          <cell r="AD2007">
            <v>37</v>
          </cell>
          <cell r="AE2007">
            <v>313000</v>
          </cell>
          <cell r="AF2007">
            <v>0</v>
          </cell>
          <cell r="AI2007">
            <v>2251</v>
          </cell>
          <cell r="AK2007">
            <v>0</v>
          </cell>
          <cell r="AM2007">
            <v>750</v>
          </cell>
          <cell r="AN2007">
            <v>1</v>
          </cell>
          <cell r="AO2007">
            <v>393216</v>
          </cell>
          <cell r="AQ2007">
            <v>0</v>
          </cell>
          <cell r="AR2007">
            <v>0</v>
          </cell>
          <cell r="AS2007" t="str">
            <v>Ы</v>
          </cell>
          <cell r="AT2007" t="str">
            <v>Ы</v>
          </cell>
          <cell r="AU2007">
            <v>0</v>
          </cell>
          <cell r="AV2007">
            <v>0</v>
          </cell>
          <cell r="AW2007">
            <v>23</v>
          </cell>
          <cell r="AX2007">
            <v>1</v>
          </cell>
          <cell r="AY2007">
            <v>0</v>
          </cell>
          <cell r="AZ2007">
            <v>0</v>
          </cell>
          <cell r="BA2007">
            <v>0</v>
          </cell>
          <cell r="BB2007">
            <v>0</v>
          </cell>
          <cell r="BC2007">
            <v>38828</v>
          </cell>
        </row>
        <row r="2008">
          <cell r="A2008">
            <v>2006</v>
          </cell>
          <cell r="B2008">
            <v>2</v>
          </cell>
          <cell r="C2008">
            <v>622</v>
          </cell>
          <cell r="D2008">
            <v>21</v>
          </cell>
          <cell r="E2008">
            <v>792020</v>
          </cell>
          <cell r="F2008">
            <v>0</v>
          </cell>
          <cell r="G2008" t="str">
            <v>Затраты по ШПЗ (основные)</v>
          </cell>
          <cell r="H2008">
            <v>2011</v>
          </cell>
          <cell r="I2008">
            <v>7920</v>
          </cell>
          <cell r="J2008">
            <v>296511.40999999997</v>
          </cell>
          <cell r="K2008">
            <v>1</v>
          </cell>
          <cell r="L2008">
            <v>0</v>
          </cell>
          <cell r="M2008">
            <v>0</v>
          </cell>
          <cell r="N2008">
            <v>0</v>
          </cell>
          <cell r="R2008">
            <v>0</v>
          </cell>
          <cell r="S2008">
            <v>0</v>
          </cell>
          <cell r="T2008">
            <v>0</v>
          </cell>
          <cell r="U2008">
            <v>37</v>
          </cell>
          <cell r="V2008">
            <v>0</v>
          </cell>
          <cell r="W2008">
            <v>0</v>
          </cell>
          <cell r="AA2008">
            <v>0</v>
          </cell>
          <cell r="AB2008">
            <v>0</v>
          </cell>
          <cell r="AC2008">
            <v>0</v>
          </cell>
          <cell r="AD2008">
            <v>37</v>
          </cell>
          <cell r="AE2008">
            <v>314000</v>
          </cell>
          <cell r="AF2008">
            <v>0</v>
          </cell>
          <cell r="AI2008">
            <v>2251</v>
          </cell>
          <cell r="AK2008">
            <v>0</v>
          </cell>
          <cell r="AM2008">
            <v>751</v>
          </cell>
          <cell r="AN2008">
            <v>1</v>
          </cell>
          <cell r="AO2008">
            <v>393216</v>
          </cell>
          <cell r="AQ2008">
            <v>0</v>
          </cell>
          <cell r="AR2008">
            <v>0</v>
          </cell>
          <cell r="AS2008" t="str">
            <v>Ы</v>
          </cell>
          <cell r="AT2008" t="str">
            <v>Ы</v>
          </cell>
          <cell r="AU2008">
            <v>0</v>
          </cell>
          <cell r="AV2008">
            <v>0</v>
          </cell>
          <cell r="AW2008">
            <v>23</v>
          </cell>
          <cell r="AX2008">
            <v>1</v>
          </cell>
          <cell r="AY2008">
            <v>0</v>
          </cell>
          <cell r="AZ2008">
            <v>0</v>
          </cell>
          <cell r="BA2008">
            <v>0</v>
          </cell>
          <cell r="BB2008">
            <v>0</v>
          </cell>
          <cell r="BC2008">
            <v>38828</v>
          </cell>
        </row>
        <row r="2009">
          <cell r="A2009">
            <v>2006</v>
          </cell>
          <cell r="B2009">
            <v>2</v>
          </cell>
          <cell r="C2009">
            <v>623</v>
          </cell>
          <cell r="D2009">
            <v>21</v>
          </cell>
          <cell r="E2009">
            <v>792020</v>
          </cell>
          <cell r="F2009">
            <v>0</v>
          </cell>
          <cell r="G2009" t="str">
            <v>Затраты по ШПЗ (основные)</v>
          </cell>
          <cell r="H2009">
            <v>2011</v>
          </cell>
          <cell r="I2009">
            <v>7920</v>
          </cell>
          <cell r="J2009">
            <v>59399.17</v>
          </cell>
          <cell r="K2009">
            <v>1</v>
          </cell>
          <cell r="L2009">
            <v>0</v>
          </cell>
          <cell r="M2009">
            <v>0</v>
          </cell>
          <cell r="N2009">
            <v>0</v>
          </cell>
          <cell r="R2009">
            <v>0</v>
          </cell>
          <cell r="S2009">
            <v>0</v>
          </cell>
          <cell r="T2009">
            <v>0</v>
          </cell>
          <cell r="U2009">
            <v>37</v>
          </cell>
          <cell r="V2009">
            <v>0</v>
          </cell>
          <cell r="W2009">
            <v>0</v>
          </cell>
          <cell r="AA2009">
            <v>0</v>
          </cell>
          <cell r="AB2009">
            <v>0</v>
          </cell>
          <cell r="AC2009">
            <v>0</v>
          </cell>
          <cell r="AD2009">
            <v>37</v>
          </cell>
          <cell r="AE2009">
            <v>315000</v>
          </cell>
          <cell r="AF2009">
            <v>0</v>
          </cell>
          <cell r="AI2009">
            <v>2251</v>
          </cell>
          <cell r="AK2009">
            <v>0</v>
          </cell>
          <cell r="AM2009">
            <v>752</v>
          </cell>
          <cell r="AN2009">
            <v>1</v>
          </cell>
          <cell r="AO2009">
            <v>393216</v>
          </cell>
          <cell r="AQ2009">
            <v>0</v>
          </cell>
          <cell r="AR2009">
            <v>0</v>
          </cell>
          <cell r="AS2009" t="str">
            <v>Ы</v>
          </cell>
          <cell r="AT2009" t="str">
            <v>Ы</v>
          </cell>
          <cell r="AU2009">
            <v>0</v>
          </cell>
          <cell r="AV2009">
            <v>0</v>
          </cell>
          <cell r="AW2009">
            <v>23</v>
          </cell>
          <cell r="AX2009">
            <v>1</v>
          </cell>
          <cell r="AY2009">
            <v>0</v>
          </cell>
          <cell r="AZ2009">
            <v>0</v>
          </cell>
          <cell r="BA2009">
            <v>0</v>
          </cell>
          <cell r="BB2009">
            <v>0</v>
          </cell>
          <cell r="BC2009">
            <v>38828</v>
          </cell>
        </row>
        <row r="2010">
          <cell r="A2010">
            <v>2006</v>
          </cell>
          <cell r="B2010">
            <v>2</v>
          </cell>
          <cell r="C2010">
            <v>624</v>
          </cell>
          <cell r="D2010">
            <v>21</v>
          </cell>
          <cell r="E2010">
            <v>792020</v>
          </cell>
          <cell r="F2010">
            <v>0</v>
          </cell>
          <cell r="G2010" t="str">
            <v>Затраты по ШПЗ (основные)</v>
          </cell>
          <cell r="H2010">
            <v>2011</v>
          </cell>
          <cell r="I2010">
            <v>7920</v>
          </cell>
          <cell r="J2010">
            <v>9512660</v>
          </cell>
          <cell r="K2010">
            <v>1</v>
          </cell>
          <cell r="L2010">
            <v>0</v>
          </cell>
          <cell r="M2010">
            <v>0</v>
          </cell>
          <cell r="N2010">
            <v>0</v>
          </cell>
          <cell r="R2010">
            <v>0</v>
          </cell>
          <cell r="S2010">
            <v>0</v>
          </cell>
          <cell r="T2010">
            <v>0</v>
          </cell>
          <cell r="U2010">
            <v>37</v>
          </cell>
          <cell r="V2010">
            <v>0</v>
          </cell>
          <cell r="W2010">
            <v>0</v>
          </cell>
          <cell r="AA2010">
            <v>0</v>
          </cell>
          <cell r="AB2010">
            <v>0</v>
          </cell>
          <cell r="AC2010">
            <v>0</v>
          </cell>
          <cell r="AD2010">
            <v>37</v>
          </cell>
          <cell r="AE2010">
            <v>410000</v>
          </cell>
          <cell r="AF2010">
            <v>0</v>
          </cell>
          <cell r="AI2010">
            <v>2251</v>
          </cell>
          <cell r="AK2010">
            <v>0</v>
          </cell>
          <cell r="AM2010">
            <v>753</v>
          </cell>
          <cell r="AN2010">
            <v>1</v>
          </cell>
          <cell r="AO2010">
            <v>393216</v>
          </cell>
          <cell r="AQ2010">
            <v>0</v>
          </cell>
          <cell r="AR2010">
            <v>0</v>
          </cell>
          <cell r="AS2010" t="str">
            <v>Ы</v>
          </cell>
          <cell r="AT2010" t="str">
            <v>Ы</v>
          </cell>
          <cell r="AU2010">
            <v>0</v>
          </cell>
          <cell r="AV2010">
            <v>0</v>
          </cell>
          <cell r="AW2010">
            <v>23</v>
          </cell>
          <cell r="AX2010">
            <v>1</v>
          </cell>
          <cell r="AY2010">
            <v>0</v>
          </cell>
          <cell r="AZ2010">
            <v>0</v>
          </cell>
          <cell r="BA2010">
            <v>0</v>
          </cell>
          <cell r="BB2010">
            <v>0</v>
          </cell>
          <cell r="BC2010">
            <v>38828</v>
          </cell>
        </row>
        <row r="2011">
          <cell r="A2011">
            <v>2006</v>
          </cell>
          <cell r="B2011">
            <v>2</v>
          </cell>
          <cell r="C2011">
            <v>625</v>
          </cell>
          <cell r="D2011">
            <v>21</v>
          </cell>
          <cell r="E2011">
            <v>792020</v>
          </cell>
          <cell r="F2011">
            <v>0</v>
          </cell>
          <cell r="G2011" t="str">
            <v>Затраты по ШПЗ (основные)</v>
          </cell>
          <cell r="H2011">
            <v>2011</v>
          </cell>
          <cell r="I2011">
            <v>7920</v>
          </cell>
          <cell r="J2011">
            <v>682898</v>
          </cell>
          <cell r="K2011">
            <v>1</v>
          </cell>
          <cell r="L2011">
            <v>0</v>
          </cell>
          <cell r="M2011">
            <v>0</v>
          </cell>
          <cell r="N2011">
            <v>0</v>
          </cell>
          <cell r="R2011">
            <v>0</v>
          </cell>
          <cell r="S2011">
            <v>0</v>
          </cell>
          <cell r="T2011">
            <v>0</v>
          </cell>
          <cell r="U2011">
            <v>37</v>
          </cell>
          <cell r="V2011">
            <v>0</v>
          </cell>
          <cell r="W2011">
            <v>0</v>
          </cell>
          <cell r="AA2011">
            <v>0</v>
          </cell>
          <cell r="AB2011">
            <v>0</v>
          </cell>
          <cell r="AC2011">
            <v>0</v>
          </cell>
          <cell r="AD2011">
            <v>37</v>
          </cell>
          <cell r="AE2011">
            <v>420000</v>
          </cell>
          <cell r="AF2011">
            <v>0</v>
          </cell>
          <cell r="AI2011">
            <v>2251</v>
          </cell>
          <cell r="AK2011">
            <v>0</v>
          </cell>
          <cell r="AM2011">
            <v>754</v>
          </cell>
          <cell r="AN2011">
            <v>1</v>
          </cell>
          <cell r="AO2011">
            <v>393216</v>
          </cell>
          <cell r="AQ2011">
            <v>0</v>
          </cell>
          <cell r="AR2011">
            <v>0</v>
          </cell>
          <cell r="AS2011" t="str">
            <v>Ы</v>
          </cell>
          <cell r="AT2011" t="str">
            <v>Ы</v>
          </cell>
          <cell r="AU2011">
            <v>0</v>
          </cell>
          <cell r="AV2011">
            <v>0</v>
          </cell>
          <cell r="AW2011">
            <v>23</v>
          </cell>
          <cell r="AX2011">
            <v>1</v>
          </cell>
          <cell r="AY2011">
            <v>0</v>
          </cell>
          <cell r="AZ2011">
            <v>0</v>
          </cell>
          <cell r="BA2011">
            <v>0</v>
          </cell>
          <cell r="BB2011">
            <v>0</v>
          </cell>
          <cell r="BC2011">
            <v>38828</v>
          </cell>
        </row>
        <row r="2012">
          <cell r="A2012">
            <v>2006</v>
          </cell>
          <cell r="B2012">
            <v>2</v>
          </cell>
          <cell r="C2012">
            <v>626</v>
          </cell>
          <cell r="D2012">
            <v>21</v>
          </cell>
          <cell r="E2012">
            <v>792020</v>
          </cell>
          <cell r="F2012">
            <v>0</v>
          </cell>
          <cell r="G2012" t="str">
            <v>Затраты по ШПЗ (основные)</v>
          </cell>
          <cell r="H2012">
            <v>2011</v>
          </cell>
          <cell r="I2012">
            <v>7920</v>
          </cell>
          <cell r="J2012">
            <v>1226439</v>
          </cell>
          <cell r="K2012">
            <v>1</v>
          </cell>
          <cell r="L2012">
            <v>0</v>
          </cell>
          <cell r="M2012">
            <v>0</v>
          </cell>
          <cell r="N2012">
            <v>0</v>
          </cell>
          <cell r="R2012">
            <v>0</v>
          </cell>
          <cell r="S2012">
            <v>0</v>
          </cell>
          <cell r="T2012">
            <v>0</v>
          </cell>
          <cell r="U2012">
            <v>37</v>
          </cell>
          <cell r="V2012">
            <v>0</v>
          </cell>
          <cell r="W2012">
            <v>0</v>
          </cell>
          <cell r="AA2012">
            <v>0</v>
          </cell>
          <cell r="AB2012">
            <v>0</v>
          </cell>
          <cell r="AC2012">
            <v>0</v>
          </cell>
          <cell r="AD2012">
            <v>37</v>
          </cell>
          <cell r="AE2012">
            <v>430000</v>
          </cell>
          <cell r="AF2012">
            <v>0</v>
          </cell>
          <cell r="AI2012">
            <v>2251</v>
          </cell>
          <cell r="AK2012">
            <v>0</v>
          </cell>
          <cell r="AM2012">
            <v>755</v>
          </cell>
          <cell r="AN2012">
            <v>1</v>
          </cell>
          <cell r="AO2012">
            <v>393216</v>
          </cell>
          <cell r="AQ2012">
            <v>0</v>
          </cell>
          <cell r="AR2012">
            <v>0</v>
          </cell>
          <cell r="AS2012" t="str">
            <v>Ы</v>
          </cell>
          <cell r="AT2012" t="str">
            <v>Ы</v>
          </cell>
          <cell r="AU2012">
            <v>0</v>
          </cell>
          <cell r="AV2012">
            <v>0</v>
          </cell>
          <cell r="AW2012">
            <v>23</v>
          </cell>
          <cell r="AX2012">
            <v>1</v>
          </cell>
          <cell r="AY2012">
            <v>0</v>
          </cell>
          <cell r="AZ2012">
            <v>0</v>
          </cell>
          <cell r="BA2012">
            <v>0</v>
          </cell>
          <cell r="BB2012">
            <v>0</v>
          </cell>
          <cell r="BC2012">
            <v>38828</v>
          </cell>
        </row>
        <row r="2013">
          <cell r="A2013">
            <v>2006</v>
          </cell>
          <cell r="B2013">
            <v>2</v>
          </cell>
          <cell r="C2013">
            <v>627</v>
          </cell>
          <cell r="D2013">
            <v>21</v>
          </cell>
          <cell r="E2013">
            <v>792020</v>
          </cell>
          <cell r="F2013">
            <v>0</v>
          </cell>
          <cell r="G2013" t="str">
            <v>Затраты по ШПЗ (основные)</v>
          </cell>
          <cell r="H2013">
            <v>2011</v>
          </cell>
          <cell r="I2013">
            <v>7920</v>
          </cell>
          <cell r="J2013">
            <v>2022754</v>
          </cell>
          <cell r="K2013">
            <v>1</v>
          </cell>
          <cell r="L2013">
            <v>0</v>
          </cell>
          <cell r="M2013">
            <v>0</v>
          </cell>
          <cell r="N2013">
            <v>0</v>
          </cell>
          <cell r="R2013">
            <v>0</v>
          </cell>
          <cell r="S2013">
            <v>0</v>
          </cell>
          <cell r="T2013">
            <v>0</v>
          </cell>
          <cell r="U2013">
            <v>37</v>
          </cell>
          <cell r="V2013">
            <v>0</v>
          </cell>
          <cell r="W2013">
            <v>0</v>
          </cell>
          <cell r="AA2013">
            <v>0</v>
          </cell>
          <cell r="AB2013">
            <v>0</v>
          </cell>
          <cell r="AC2013">
            <v>0</v>
          </cell>
          <cell r="AD2013">
            <v>37</v>
          </cell>
          <cell r="AE2013">
            <v>430110</v>
          </cell>
          <cell r="AF2013">
            <v>0</v>
          </cell>
          <cell r="AI2013">
            <v>2251</v>
          </cell>
          <cell r="AK2013">
            <v>0</v>
          </cell>
          <cell r="AM2013">
            <v>756</v>
          </cell>
          <cell r="AN2013">
            <v>1</v>
          </cell>
          <cell r="AO2013">
            <v>393216</v>
          </cell>
          <cell r="AQ2013">
            <v>0</v>
          </cell>
          <cell r="AR2013">
            <v>0</v>
          </cell>
          <cell r="AS2013" t="str">
            <v>Ы</v>
          </cell>
          <cell r="AT2013" t="str">
            <v>Ы</v>
          </cell>
          <cell r="AU2013">
            <v>0</v>
          </cell>
          <cell r="AV2013">
            <v>0</v>
          </cell>
          <cell r="AW2013">
            <v>23</v>
          </cell>
          <cell r="AX2013">
            <v>1</v>
          </cell>
          <cell r="AY2013">
            <v>0</v>
          </cell>
          <cell r="AZ2013">
            <v>0</v>
          </cell>
          <cell r="BA2013">
            <v>0</v>
          </cell>
          <cell r="BB2013">
            <v>0</v>
          </cell>
          <cell r="BC2013">
            <v>38828</v>
          </cell>
        </row>
        <row r="2014">
          <cell r="A2014">
            <v>2006</v>
          </cell>
          <cell r="B2014">
            <v>2</v>
          </cell>
          <cell r="C2014">
            <v>628</v>
          </cell>
          <cell r="D2014">
            <v>21</v>
          </cell>
          <cell r="E2014">
            <v>792020</v>
          </cell>
          <cell r="F2014">
            <v>0</v>
          </cell>
          <cell r="G2014" t="str">
            <v>Затраты по ШПЗ (основные)</v>
          </cell>
          <cell r="H2014">
            <v>2011</v>
          </cell>
          <cell r="I2014">
            <v>7920</v>
          </cell>
          <cell r="J2014">
            <v>539664</v>
          </cell>
          <cell r="K2014">
            <v>1</v>
          </cell>
          <cell r="L2014">
            <v>0</v>
          </cell>
          <cell r="M2014">
            <v>0</v>
          </cell>
          <cell r="N2014">
            <v>0</v>
          </cell>
          <cell r="R2014">
            <v>0</v>
          </cell>
          <cell r="S2014">
            <v>0</v>
          </cell>
          <cell r="T2014">
            <v>0</v>
          </cell>
          <cell r="U2014">
            <v>37</v>
          </cell>
          <cell r="V2014">
            <v>0</v>
          </cell>
          <cell r="W2014">
            <v>0</v>
          </cell>
          <cell r="AA2014">
            <v>0</v>
          </cell>
          <cell r="AB2014">
            <v>0</v>
          </cell>
          <cell r="AC2014">
            <v>0</v>
          </cell>
          <cell r="AD2014">
            <v>37</v>
          </cell>
          <cell r="AE2014">
            <v>430120</v>
          </cell>
          <cell r="AF2014">
            <v>0</v>
          </cell>
          <cell r="AI2014">
            <v>2251</v>
          </cell>
          <cell r="AK2014">
            <v>0</v>
          </cell>
          <cell r="AM2014">
            <v>757</v>
          </cell>
          <cell r="AN2014">
            <v>1</v>
          </cell>
          <cell r="AO2014">
            <v>393216</v>
          </cell>
          <cell r="AQ2014">
            <v>0</v>
          </cell>
          <cell r="AR2014">
            <v>0</v>
          </cell>
          <cell r="AS2014" t="str">
            <v>Ы</v>
          </cell>
          <cell r="AT2014" t="str">
            <v>Ы</v>
          </cell>
          <cell r="AU2014">
            <v>0</v>
          </cell>
          <cell r="AV2014">
            <v>0</v>
          </cell>
          <cell r="AW2014">
            <v>23</v>
          </cell>
          <cell r="AX2014">
            <v>1</v>
          </cell>
          <cell r="AY2014">
            <v>0</v>
          </cell>
          <cell r="AZ2014">
            <v>0</v>
          </cell>
          <cell r="BA2014">
            <v>0</v>
          </cell>
          <cell r="BB2014">
            <v>0</v>
          </cell>
          <cell r="BC2014">
            <v>38828</v>
          </cell>
        </row>
        <row r="2015">
          <cell r="A2015">
            <v>2006</v>
          </cell>
          <cell r="B2015">
            <v>2</v>
          </cell>
          <cell r="C2015">
            <v>629</v>
          </cell>
          <cell r="D2015">
            <v>21</v>
          </cell>
          <cell r="E2015">
            <v>792020</v>
          </cell>
          <cell r="F2015">
            <v>0</v>
          </cell>
          <cell r="G2015" t="str">
            <v>Затраты по ШПЗ (основные)</v>
          </cell>
          <cell r="H2015">
            <v>2011</v>
          </cell>
          <cell r="I2015">
            <v>7920</v>
          </cell>
          <cell r="J2015">
            <v>982562</v>
          </cell>
          <cell r="K2015">
            <v>1</v>
          </cell>
          <cell r="L2015">
            <v>0</v>
          </cell>
          <cell r="M2015">
            <v>0</v>
          </cell>
          <cell r="N2015">
            <v>0</v>
          </cell>
          <cell r="R2015">
            <v>0</v>
          </cell>
          <cell r="S2015">
            <v>0</v>
          </cell>
          <cell r="T2015">
            <v>0</v>
          </cell>
          <cell r="U2015">
            <v>37</v>
          </cell>
          <cell r="V2015">
            <v>0</v>
          </cell>
          <cell r="W2015">
            <v>0</v>
          </cell>
          <cell r="AA2015">
            <v>0</v>
          </cell>
          <cell r="AB2015">
            <v>0</v>
          </cell>
          <cell r="AC2015">
            <v>0</v>
          </cell>
          <cell r="AD2015">
            <v>37</v>
          </cell>
          <cell r="AE2015">
            <v>430130</v>
          </cell>
          <cell r="AF2015">
            <v>0</v>
          </cell>
          <cell r="AI2015">
            <v>2251</v>
          </cell>
          <cell r="AK2015">
            <v>0</v>
          </cell>
          <cell r="AM2015">
            <v>758</v>
          </cell>
          <cell r="AN2015">
            <v>1</v>
          </cell>
          <cell r="AO2015">
            <v>393216</v>
          </cell>
          <cell r="AQ2015">
            <v>0</v>
          </cell>
          <cell r="AR2015">
            <v>0</v>
          </cell>
          <cell r="AS2015" t="str">
            <v>Ы</v>
          </cell>
          <cell r="AT2015" t="str">
            <v>Ы</v>
          </cell>
          <cell r="AU2015">
            <v>0</v>
          </cell>
          <cell r="AV2015">
            <v>0</v>
          </cell>
          <cell r="AW2015">
            <v>23</v>
          </cell>
          <cell r="AX2015">
            <v>1</v>
          </cell>
          <cell r="AY2015">
            <v>0</v>
          </cell>
          <cell r="AZ2015">
            <v>0</v>
          </cell>
          <cell r="BA2015">
            <v>0</v>
          </cell>
          <cell r="BB2015">
            <v>0</v>
          </cell>
          <cell r="BC2015">
            <v>38828</v>
          </cell>
        </row>
        <row r="2016">
          <cell r="A2016">
            <v>2006</v>
          </cell>
          <cell r="B2016">
            <v>2</v>
          </cell>
          <cell r="C2016">
            <v>630</v>
          </cell>
          <cell r="D2016">
            <v>21</v>
          </cell>
          <cell r="E2016">
            <v>792020</v>
          </cell>
          <cell r="F2016">
            <v>0</v>
          </cell>
          <cell r="G2016" t="str">
            <v>Затраты по ШПЗ (основные)</v>
          </cell>
          <cell r="H2016">
            <v>2011</v>
          </cell>
          <cell r="I2016">
            <v>7920</v>
          </cell>
          <cell r="J2016">
            <v>518899</v>
          </cell>
          <cell r="K2016">
            <v>1</v>
          </cell>
          <cell r="L2016">
            <v>0</v>
          </cell>
          <cell r="M2016">
            <v>0</v>
          </cell>
          <cell r="N2016">
            <v>0</v>
          </cell>
          <cell r="R2016">
            <v>0</v>
          </cell>
          <cell r="S2016">
            <v>0</v>
          </cell>
          <cell r="T2016">
            <v>0</v>
          </cell>
          <cell r="U2016">
            <v>37</v>
          </cell>
          <cell r="V2016">
            <v>0</v>
          </cell>
          <cell r="W2016">
            <v>0</v>
          </cell>
          <cell r="AA2016">
            <v>0</v>
          </cell>
          <cell r="AB2016">
            <v>0</v>
          </cell>
          <cell r="AC2016">
            <v>0</v>
          </cell>
          <cell r="AD2016">
            <v>37</v>
          </cell>
          <cell r="AE2016">
            <v>430140</v>
          </cell>
          <cell r="AF2016">
            <v>0</v>
          </cell>
          <cell r="AI2016">
            <v>2251</v>
          </cell>
          <cell r="AK2016">
            <v>0</v>
          </cell>
          <cell r="AM2016">
            <v>759</v>
          </cell>
          <cell r="AN2016">
            <v>1</v>
          </cell>
          <cell r="AO2016">
            <v>393216</v>
          </cell>
          <cell r="AQ2016">
            <v>0</v>
          </cell>
          <cell r="AR2016">
            <v>0</v>
          </cell>
          <cell r="AS2016" t="str">
            <v>Ы</v>
          </cell>
          <cell r="AT2016" t="str">
            <v>Ы</v>
          </cell>
          <cell r="AU2016">
            <v>0</v>
          </cell>
          <cell r="AV2016">
            <v>0</v>
          </cell>
          <cell r="AW2016">
            <v>23</v>
          </cell>
          <cell r="AX2016">
            <v>1</v>
          </cell>
          <cell r="AY2016">
            <v>0</v>
          </cell>
          <cell r="AZ2016">
            <v>0</v>
          </cell>
          <cell r="BA2016">
            <v>0</v>
          </cell>
          <cell r="BB2016">
            <v>0</v>
          </cell>
          <cell r="BC2016">
            <v>38828</v>
          </cell>
        </row>
        <row r="2017">
          <cell r="A2017">
            <v>2006</v>
          </cell>
          <cell r="B2017">
            <v>2</v>
          </cell>
          <cell r="C2017">
            <v>631</v>
          </cell>
          <cell r="D2017">
            <v>21</v>
          </cell>
          <cell r="E2017">
            <v>792020</v>
          </cell>
          <cell r="F2017">
            <v>0</v>
          </cell>
          <cell r="G2017" t="str">
            <v>Затраты по ШПЗ (основные)</v>
          </cell>
          <cell r="H2017">
            <v>2011</v>
          </cell>
          <cell r="I2017">
            <v>7920</v>
          </cell>
          <cell r="J2017">
            <v>9100</v>
          </cell>
          <cell r="K2017">
            <v>1</v>
          </cell>
          <cell r="L2017">
            <v>0</v>
          </cell>
          <cell r="M2017">
            <v>0</v>
          </cell>
          <cell r="N2017">
            <v>0</v>
          </cell>
          <cell r="R2017">
            <v>0</v>
          </cell>
          <cell r="S2017">
            <v>0</v>
          </cell>
          <cell r="T2017">
            <v>0</v>
          </cell>
          <cell r="U2017">
            <v>37</v>
          </cell>
          <cell r="V2017">
            <v>0</v>
          </cell>
          <cell r="W2017">
            <v>0</v>
          </cell>
          <cell r="AA2017">
            <v>0</v>
          </cell>
          <cell r="AB2017">
            <v>0</v>
          </cell>
          <cell r="AC2017">
            <v>0</v>
          </cell>
          <cell r="AD2017">
            <v>37</v>
          </cell>
          <cell r="AE2017">
            <v>430210</v>
          </cell>
          <cell r="AF2017">
            <v>0</v>
          </cell>
          <cell r="AI2017">
            <v>2251</v>
          </cell>
          <cell r="AK2017">
            <v>0</v>
          </cell>
          <cell r="AM2017">
            <v>760</v>
          </cell>
          <cell r="AN2017">
            <v>1</v>
          </cell>
          <cell r="AO2017">
            <v>393216</v>
          </cell>
          <cell r="AQ2017">
            <v>0</v>
          </cell>
          <cell r="AR2017">
            <v>0</v>
          </cell>
          <cell r="AS2017" t="str">
            <v>Ы</v>
          </cell>
          <cell r="AT2017" t="str">
            <v>Ы</v>
          </cell>
          <cell r="AU2017">
            <v>0</v>
          </cell>
          <cell r="AV2017">
            <v>0</v>
          </cell>
          <cell r="AW2017">
            <v>23</v>
          </cell>
          <cell r="AX2017">
            <v>1</v>
          </cell>
          <cell r="AY2017">
            <v>0</v>
          </cell>
          <cell r="AZ2017">
            <v>0</v>
          </cell>
          <cell r="BA2017">
            <v>0</v>
          </cell>
          <cell r="BB2017">
            <v>0</v>
          </cell>
          <cell r="BC2017">
            <v>38828</v>
          </cell>
        </row>
        <row r="2018">
          <cell r="A2018">
            <v>2006</v>
          </cell>
          <cell r="B2018">
            <v>2</v>
          </cell>
          <cell r="C2018">
            <v>632</v>
          </cell>
          <cell r="D2018">
            <v>21</v>
          </cell>
          <cell r="E2018">
            <v>792020</v>
          </cell>
          <cell r="F2018">
            <v>0</v>
          </cell>
          <cell r="G2018" t="str">
            <v>Затраты по ШПЗ (основные)</v>
          </cell>
          <cell r="H2018">
            <v>2011</v>
          </cell>
          <cell r="I2018">
            <v>7920</v>
          </cell>
          <cell r="J2018">
            <v>390260</v>
          </cell>
          <cell r="K2018">
            <v>1</v>
          </cell>
          <cell r="L2018">
            <v>0</v>
          </cell>
          <cell r="M2018">
            <v>0</v>
          </cell>
          <cell r="N2018">
            <v>0</v>
          </cell>
          <cell r="R2018">
            <v>0</v>
          </cell>
          <cell r="S2018">
            <v>0</v>
          </cell>
          <cell r="T2018">
            <v>0</v>
          </cell>
          <cell r="U2018">
            <v>37</v>
          </cell>
          <cell r="V2018">
            <v>0</v>
          </cell>
          <cell r="W2018">
            <v>0</v>
          </cell>
          <cell r="AA2018">
            <v>0</v>
          </cell>
          <cell r="AB2018">
            <v>0</v>
          </cell>
          <cell r="AC2018">
            <v>0</v>
          </cell>
          <cell r="AD2018">
            <v>37</v>
          </cell>
          <cell r="AE2018">
            <v>430230</v>
          </cell>
          <cell r="AF2018">
            <v>0</v>
          </cell>
          <cell r="AI2018">
            <v>2251</v>
          </cell>
          <cell r="AK2018">
            <v>0</v>
          </cell>
          <cell r="AM2018">
            <v>761</v>
          </cell>
          <cell r="AN2018">
            <v>1</v>
          </cell>
          <cell r="AO2018">
            <v>393216</v>
          </cell>
          <cell r="AQ2018">
            <v>0</v>
          </cell>
          <cell r="AR2018">
            <v>0</v>
          </cell>
          <cell r="AS2018" t="str">
            <v>Ы</v>
          </cell>
          <cell r="AT2018" t="str">
            <v>Ы</v>
          </cell>
          <cell r="AU2018">
            <v>0</v>
          </cell>
          <cell r="AV2018">
            <v>0</v>
          </cell>
          <cell r="AW2018">
            <v>23</v>
          </cell>
          <cell r="AX2018">
            <v>1</v>
          </cell>
          <cell r="AY2018">
            <v>0</v>
          </cell>
          <cell r="AZ2018">
            <v>0</v>
          </cell>
          <cell r="BA2018">
            <v>0</v>
          </cell>
          <cell r="BB2018">
            <v>0</v>
          </cell>
          <cell r="BC2018">
            <v>38828</v>
          </cell>
        </row>
        <row r="2019">
          <cell r="A2019">
            <v>2006</v>
          </cell>
          <cell r="B2019">
            <v>2</v>
          </cell>
          <cell r="C2019">
            <v>633</v>
          </cell>
          <cell r="D2019">
            <v>21</v>
          </cell>
          <cell r="E2019">
            <v>792020</v>
          </cell>
          <cell r="F2019">
            <v>0</v>
          </cell>
          <cell r="G2019" t="str">
            <v>Затраты по ШПЗ (основные)</v>
          </cell>
          <cell r="H2019">
            <v>2011</v>
          </cell>
          <cell r="I2019">
            <v>7920</v>
          </cell>
          <cell r="J2019">
            <v>126730</v>
          </cell>
          <cell r="K2019">
            <v>1</v>
          </cell>
          <cell r="L2019">
            <v>0</v>
          </cell>
          <cell r="M2019">
            <v>0</v>
          </cell>
          <cell r="N2019">
            <v>0</v>
          </cell>
          <cell r="R2019">
            <v>0</v>
          </cell>
          <cell r="S2019">
            <v>0</v>
          </cell>
          <cell r="T2019">
            <v>0</v>
          </cell>
          <cell r="U2019">
            <v>37</v>
          </cell>
          <cell r="V2019">
            <v>0</v>
          </cell>
          <cell r="W2019">
            <v>0</v>
          </cell>
          <cell r="AA2019">
            <v>0</v>
          </cell>
          <cell r="AB2019">
            <v>0</v>
          </cell>
          <cell r="AC2019">
            <v>0</v>
          </cell>
          <cell r="AD2019">
            <v>37</v>
          </cell>
          <cell r="AE2019">
            <v>430240</v>
          </cell>
          <cell r="AF2019">
            <v>0</v>
          </cell>
          <cell r="AI2019">
            <v>2251</v>
          </cell>
          <cell r="AK2019">
            <v>0</v>
          </cell>
          <cell r="AM2019">
            <v>762</v>
          </cell>
          <cell r="AN2019">
            <v>1</v>
          </cell>
          <cell r="AO2019">
            <v>393216</v>
          </cell>
          <cell r="AQ2019">
            <v>0</v>
          </cell>
          <cell r="AR2019">
            <v>0</v>
          </cell>
          <cell r="AS2019" t="str">
            <v>Ы</v>
          </cell>
          <cell r="AT2019" t="str">
            <v>Ы</v>
          </cell>
          <cell r="AU2019">
            <v>0</v>
          </cell>
          <cell r="AV2019">
            <v>0</v>
          </cell>
          <cell r="AW2019">
            <v>23</v>
          </cell>
          <cell r="AX2019">
            <v>1</v>
          </cell>
          <cell r="AY2019">
            <v>0</v>
          </cell>
          <cell r="AZ2019">
            <v>0</v>
          </cell>
          <cell r="BA2019">
            <v>0</v>
          </cell>
          <cell r="BB2019">
            <v>0</v>
          </cell>
          <cell r="BC2019">
            <v>38828</v>
          </cell>
        </row>
        <row r="2020">
          <cell r="A2020">
            <v>2006</v>
          </cell>
          <cell r="B2020">
            <v>2</v>
          </cell>
          <cell r="C2020">
            <v>634</v>
          </cell>
          <cell r="D2020">
            <v>21</v>
          </cell>
          <cell r="E2020">
            <v>792020</v>
          </cell>
          <cell r="F2020">
            <v>0</v>
          </cell>
          <cell r="G2020" t="str">
            <v>Затраты по ШПЗ (основные)</v>
          </cell>
          <cell r="H2020">
            <v>2011</v>
          </cell>
          <cell r="I2020">
            <v>7920</v>
          </cell>
          <cell r="J2020">
            <v>295102</v>
          </cell>
          <cell r="K2020">
            <v>1</v>
          </cell>
          <cell r="L2020">
            <v>0</v>
          </cell>
          <cell r="M2020">
            <v>0</v>
          </cell>
          <cell r="N2020">
            <v>0</v>
          </cell>
          <cell r="R2020">
            <v>0</v>
          </cell>
          <cell r="S2020">
            <v>0</v>
          </cell>
          <cell r="T2020">
            <v>0</v>
          </cell>
          <cell r="U2020">
            <v>37</v>
          </cell>
          <cell r="V2020">
            <v>0</v>
          </cell>
          <cell r="W2020">
            <v>0</v>
          </cell>
          <cell r="AA2020">
            <v>0</v>
          </cell>
          <cell r="AB2020">
            <v>0</v>
          </cell>
          <cell r="AC2020">
            <v>0</v>
          </cell>
          <cell r="AD2020">
            <v>37</v>
          </cell>
          <cell r="AE2020">
            <v>450000</v>
          </cell>
          <cell r="AF2020">
            <v>0</v>
          </cell>
          <cell r="AI2020">
            <v>2251</v>
          </cell>
          <cell r="AK2020">
            <v>0</v>
          </cell>
          <cell r="AM2020">
            <v>763</v>
          </cell>
          <cell r="AN2020">
            <v>1</v>
          </cell>
          <cell r="AO2020">
            <v>393216</v>
          </cell>
          <cell r="AQ2020">
            <v>0</v>
          </cell>
          <cell r="AR2020">
            <v>0</v>
          </cell>
          <cell r="AS2020" t="str">
            <v>Ы</v>
          </cell>
          <cell r="AT2020" t="str">
            <v>Ы</v>
          </cell>
          <cell r="AU2020">
            <v>0</v>
          </cell>
          <cell r="AV2020">
            <v>0</v>
          </cell>
          <cell r="AW2020">
            <v>23</v>
          </cell>
          <cell r="AX2020">
            <v>1</v>
          </cell>
          <cell r="AY2020">
            <v>0</v>
          </cell>
          <cell r="AZ2020">
            <v>0</v>
          </cell>
          <cell r="BA2020">
            <v>0</v>
          </cell>
          <cell r="BB2020">
            <v>0</v>
          </cell>
          <cell r="BC2020">
            <v>38828</v>
          </cell>
        </row>
        <row r="2021">
          <cell r="A2021">
            <v>2006</v>
          </cell>
          <cell r="B2021">
            <v>2</v>
          </cell>
          <cell r="C2021">
            <v>635</v>
          </cell>
          <cell r="D2021">
            <v>21</v>
          </cell>
          <cell r="E2021">
            <v>792020</v>
          </cell>
          <cell r="F2021">
            <v>0</v>
          </cell>
          <cell r="G2021" t="str">
            <v>Затраты по ШПЗ (основные)</v>
          </cell>
          <cell r="H2021">
            <v>2011</v>
          </cell>
          <cell r="I2021">
            <v>7920</v>
          </cell>
          <cell r="J2021">
            <v>16359</v>
          </cell>
          <cell r="K2021">
            <v>1</v>
          </cell>
          <cell r="L2021">
            <v>0</v>
          </cell>
          <cell r="M2021">
            <v>0</v>
          </cell>
          <cell r="N2021">
            <v>0</v>
          </cell>
          <cell r="R2021">
            <v>0</v>
          </cell>
          <cell r="S2021">
            <v>0</v>
          </cell>
          <cell r="T2021">
            <v>0</v>
          </cell>
          <cell r="U2021">
            <v>37</v>
          </cell>
          <cell r="V2021">
            <v>0</v>
          </cell>
          <cell r="W2021">
            <v>0</v>
          </cell>
          <cell r="AA2021">
            <v>0</v>
          </cell>
          <cell r="AB2021">
            <v>0</v>
          </cell>
          <cell r="AC2021">
            <v>0</v>
          </cell>
          <cell r="AD2021">
            <v>37</v>
          </cell>
          <cell r="AE2021">
            <v>460000</v>
          </cell>
          <cell r="AF2021">
            <v>0</v>
          </cell>
          <cell r="AI2021">
            <v>2251</v>
          </cell>
          <cell r="AK2021">
            <v>0</v>
          </cell>
          <cell r="AM2021">
            <v>764</v>
          </cell>
          <cell r="AN2021">
            <v>1</v>
          </cell>
          <cell r="AO2021">
            <v>393216</v>
          </cell>
          <cell r="AQ2021">
            <v>0</v>
          </cell>
          <cell r="AR2021">
            <v>0</v>
          </cell>
          <cell r="AS2021" t="str">
            <v>Ы</v>
          </cell>
          <cell r="AT2021" t="str">
            <v>Ы</v>
          </cell>
          <cell r="AU2021">
            <v>0</v>
          </cell>
          <cell r="AV2021">
            <v>0</v>
          </cell>
          <cell r="AW2021">
            <v>23</v>
          </cell>
          <cell r="AX2021">
            <v>1</v>
          </cell>
          <cell r="AY2021">
            <v>0</v>
          </cell>
          <cell r="AZ2021">
            <v>0</v>
          </cell>
          <cell r="BA2021">
            <v>0</v>
          </cell>
          <cell r="BB2021">
            <v>0</v>
          </cell>
          <cell r="BC2021">
            <v>38828</v>
          </cell>
        </row>
        <row r="2022">
          <cell r="A2022">
            <v>2006</v>
          </cell>
          <cell r="B2022">
            <v>2</v>
          </cell>
          <cell r="C2022">
            <v>636</v>
          </cell>
          <cell r="D2022">
            <v>21</v>
          </cell>
          <cell r="E2022">
            <v>792020</v>
          </cell>
          <cell r="F2022">
            <v>0</v>
          </cell>
          <cell r="G2022" t="str">
            <v>Затраты по ШПЗ (основные)</v>
          </cell>
          <cell r="H2022">
            <v>2011</v>
          </cell>
          <cell r="I2022">
            <v>7920</v>
          </cell>
          <cell r="J2022">
            <v>41028</v>
          </cell>
          <cell r="K2022">
            <v>1</v>
          </cell>
          <cell r="L2022">
            <v>0</v>
          </cell>
          <cell r="M2022">
            <v>0</v>
          </cell>
          <cell r="N2022">
            <v>0</v>
          </cell>
          <cell r="R2022">
            <v>0</v>
          </cell>
          <cell r="S2022">
            <v>0</v>
          </cell>
          <cell r="T2022">
            <v>0</v>
          </cell>
          <cell r="U2022">
            <v>37</v>
          </cell>
          <cell r="V2022">
            <v>0</v>
          </cell>
          <cell r="W2022">
            <v>0</v>
          </cell>
          <cell r="AA2022">
            <v>0</v>
          </cell>
          <cell r="AB2022">
            <v>0</v>
          </cell>
          <cell r="AC2022">
            <v>0</v>
          </cell>
          <cell r="AD2022">
            <v>37</v>
          </cell>
          <cell r="AE2022">
            <v>465000</v>
          </cell>
          <cell r="AF2022">
            <v>0</v>
          </cell>
          <cell r="AI2022">
            <v>2251</v>
          </cell>
          <cell r="AK2022">
            <v>0</v>
          </cell>
          <cell r="AM2022">
            <v>765</v>
          </cell>
          <cell r="AN2022">
            <v>1</v>
          </cell>
          <cell r="AO2022">
            <v>393216</v>
          </cell>
          <cell r="AQ2022">
            <v>0</v>
          </cell>
          <cell r="AR2022">
            <v>0</v>
          </cell>
          <cell r="AS2022" t="str">
            <v>Ы</v>
          </cell>
          <cell r="AT2022" t="str">
            <v>Ы</v>
          </cell>
          <cell r="AU2022">
            <v>0</v>
          </cell>
          <cell r="AV2022">
            <v>0</v>
          </cell>
          <cell r="AW2022">
            <v>23</v>
          </cell>
          <cell r="AX2022">
            <v>1</v>
          </cell>
          <cell r="AY2022">
            <v>0</v>
          </cell>
          <cell r="AZ2022">
            <v>0</v>
          </cell>
          <cell r="BA2022">
            <v>0</v>
          </cell>
          <cell r="BB2022">
            <v>0</v>
          </cell>
          <cell r="BC2022">
            <v>38828</v>
          </cell>
        </row>
        <row r="2023">
          <cell r="A2023">
            <v>2006</v>
          </cell>
          <cell r="B2023">
            <v>2</v>
          </cell>
          <cell r="C2023">
            <v>637</v>
          </cell>
          <cell r="D2023">
            <v>21</v>
          </cell>
          <cell r="E2023">
            <v>792020</v>
          </cell>
          <cell r="F2023">
            <v>0</v>
          </cell>
          <cell r="G2023" t="str">
            <v>Затраты по ШПЗ (основные)</v>
          </cell>
          <cell r="H2023">
            <v>2011</v>
          </cell>
          <cell r="I2023">
            <v>7920</v>
          </cell>
          <cell r="J2023">
            <v>143789.63</v>
          </cell>
          <cell r="K2023">
            <v>1</v>
          </cell>
          <cell r="L2023">
            <v>0</v>
          </cell>
          <cell r="M2023">
            <v>0</v>
          </cell>
          <cell r="N2023">
            <v>0</v>
          </cell>
          <cell r="R2023">
            <v>0</v>
          </cell>
          <cell r="S2023">
            <v>0</v>
          </cell>
          <cell r="T2023">
            <v>0</v>
          </cell>
          <cell r="U2023">
            <v>37</v>
          </cell>
          <cell r="V2023">
            <v>0</v>
          </cell>
          <cell r="W2023">
            <v>0</v>
          </cell>
          <cell r="AA2023">
            <v>0</v>
          </cell>
          <cell r="AB2023">
            <v>0</v>
          </cell>
          <cell r="AC2023">
            <v>0</v>
          </cell>
          <cell r="AD2023">
            <v>37</v>
          </cell>
          <cell r="AE2023">
            <v>502400</v>
          </cell>
          <cell r="AF2023">
            <v>0</v>
          </cell>
          <cell r="AI2023">
            <v>2251</v>
          </cell>
          <cell r="AK2023">
            <v>0</v>
          </cell>
          <cell r="AM2023">
            <v>766</v>
          </cell>
          <cell r="AN2023">
            <v>1</v>
          </cell>
          <cell r="AO2023">
            <v>393216</v>
          </cell>
          <cell r="AQ2023">
            <v>0</v>
          </cell>
          <cell r="AR2023">
            <v>0</v>
          </cell>
          <cell r="AS2023" t="str">
            <v>Ы</v>
          </cell>
          <cell r="AT2023" t="str">
            <v>Ы</v>
          </cell>
          <cell r="AU2023">
            <v>0</v>
          </cell>
          <cell r="AV2023">
            <v>0</v>
          </cell>
          <cell r="AW2023">
            <v>23</v>
          </cell>
          <cell r="AX2023">
            <v>1</v>
          </cell>
          <cell r="AY2023">
            <v>0</v>
          </cell>
          <cell r="AZ2023">
            <v>0</v>
          </cell>
          <cell r="BA2023">
            <v>0</v>
          </cell>
          <cell r="BB2023">
            <v>0</v>
          </cell>
          <cell r="BC2023">
            <v>38828</v>
          </cell>
        </row>
        <row r="2024">
          <cell r="A2024">
            <v>2006</v>
          </cell>
          <cell r="B2024">
            <v>2</v>
          </cell>
          <cell r="C2024">
            <v>638</v>
          </cell>
          <cell r="D2024">
            <v>21</v>
          </cell>
          <cell r="E2024">
            <v>792020</v>
          </cell>
          <cell r="F2024">
            <v>0</v>
          </cell>
          <cell r="G2024" t="str">
            <v>Затраты по ШПЗ (основные)</v>
          </cell>
          <cell r="H2024">
            <v>2011</v>
          </cell>
          <cell r="I2024">
            <v>7920</v>
          </cell>
          <cell r="J2024">
            <v>2181886.64</v>
          </cell>
          <cell r="K2024">
            <v>1</v>
          </cell>
          <cell r="L2024">
            <v>0</v>
          </cell>
          <cell r="M2024">
            <v>0</v>
          </cell>
          <cell r="N2024">
            <v>0</v>
          </cell>
          <cell r="R2024">
            <v>0</v>
          </cell>
          <cell r="S2024">
            <v>0</v>
          </cell>
          <cell r="T2024">
            <v>0</v>
          </cell>
          <cell r="U2024">
            <v>37</v>
          </cell>
          <cell r="V2024">
            <v>0</v>
          </cell>
          <cell r="W2024">
            <v>0</v>
          </cell>
          <cell r="AA2024">
            <v>0</v>
          </cell>
          <cell r="AB2024">
            <v>0</v>
          </cell>
          <cell r="AC2024">
            <v>0</v>
          </cell>
          <cell r="AD2024">
            <v>37</v>
          </cell>
          <cell r="AE2024">
            <v>503000</v>
          </cell>
          <cell r="AF2024">
            <v>0</v>
          </cell>
          <cell r="AI2024">
            <v>2251</v>
          </cell>
          <cell r="AK2024">
            <v>0</v>
          </cell>
          <cell r="AM2024">
            <v>767</v>
          </cell>
          <cell r="AN2024">
            <v>1</v>
          </cell>
          <cell r="AO2024">
            <v>393216</v>
          </cell>
          <cell r="AQ2024">
            <v>0</v>
          </cell>
          <cell r="AR2024">
            <v>0</v>
          </cell>
          <cell r="AS2024" t="str">
            <v>Ы</v>
          </cell>
          <cell r="AT2024" t="str">
            <v>Ы</v>
          </cell>
          <cell r="AU2024">
            <v>0</v>
          </cell>
          <cell r="AV2024">
            <v>0</v>
          </cell>
          <cell r="AW2024">
            <v>23</v>
          </cell>
          <cell r="AX2024">
            <v>1</v>
          </cell>
          <cell r="AY2024">
            <v>0</v>
          </cell>
          <cell r="AZ2024">
            <v>0</v>
          </cell>
          <cell r="BA2024">
            <v>0</v>
          </cell>
          <cell r="BB2024">
            <v>0</v>
          </cell>
          <cell r="BC2024">
            <v>38828</v>
          </cell>
        </row>
        <row r="2025">
          <cell r="A2025">
            <v>2006</v>
          </cell>
          <cell r="B2025">
            <v>2</v>
          </cell>
          <cell r="C2025">
            <v>639</v>
          </cell>
          <cell r="D2025">
            <v>21</v>
          </cell>
          <cell r="E2025">
            <v>792020</v>
          </cell>
          <cell r="F2025">
            <v>0</v>
          </cell>
          <cell r="G2025" t="str">
            <v>Затраты по ШПЗ (основные)</v>
          </cell>
          <cell r="H2025">
            <v>2011</v>
          </cell>
          <cell r="I2025">
            <v>7920</v>
          </cell>
          <cell r="J2025">
            <v>300</v>
          </cell>
          <cell r="K2025">
            <v>1</v>
          </cell>
          <cell r="L2025">
            <v>0</v>
          </cell>
          <cell r="M2025">
            <v>0</v>
          </cell>
          <cell r="N2025">
            <v>0</v>
          </cell>
          <cell r="R2025">
            <v>0</v>
          </cell>
          <cell r="S2025">
            <v>0</v>
          </cell>
          <cell r="T2025">
            <v>0</v>
          </cell>
          <cell r="U2025">
            <v>37</v>
          </cell>
          <cell r="V2025">
            <v>0</v>
          </cell>
          <cell r="W2025">
            <v>0</v>
          </cell>
          <cell r="AA2025">
            <v>0</v>
          </cell>
          <cell r="AB2025">
            <v>0</v>
          </cell>
          <cell r="AC2025">
            <v>0</v>
          </cell>
          <cell r="AD2025">
            <v>37</v>
          </cell>
          <cell r="AE2025">
            <v>504100</v>
          </cell>
          <cell r="AF2025">
            <v>0</v>
          </cell>
          <cell r="AI2025">
            <v>2251</v>
          </cell>
          <cell r="AK2025">
            <v>0</v>
          </cell>
          <cell r="AM2025">
            <v>768</v>
          </cell>
          <cell r="AN2025">
            <v>1</v>
          </cell>
          <cell r="AO2025">
            <v>393216</v>
          </cell>
          <cell r="AQ2025">
            <v>0</v>
          </cell>
          <cell r="AR2025">
            <v>0</v>
          </cell>
          <cell r="AS2025" t="str">
            <v>Ы</v>
          </cell>
          <cell r="AT2025" t="str">
            <v>Ы</v>
          </cell>
          <cell r="AU2025">
            <v>0</v>
          </cell>
          <cell r="AV2025">
            <v>0</v>
          </cell>
          <cell r="AW2025">
            <v>23</v>
          </cell>
          <cell r="AX2025">
            <v>1</v>
          </cell>
          <cell r="AY2025">
            <v>0</v>
          </cell>
          <cell r="AZ2025">
            <v>0</v>
          </cell>
          <cell r="BA2025">
            <v>0</v>
          </cell>
          <cell r="BB2025">
            <v>0</v>
          </cell>
          <cell r="BC2025">
            <v>38828</v>
          </cell>
        </row>
        <row r="2026">
          <cell r="A2026">
            <v>2006</v>
          </cell>
          <cell r="B2026">
            <v>2</v>
          </cell>
          <cell r="C2026">
            <v>640</v>
          </cell>
          <cell r="D2026">
            <v>21</v>
          </cell>
          <cell r="E2026">
            <v>792020</v>
          </cell>
          <cell r="F2026">
            <v>0</v>
          </cell>
          <cell r="G2026" t="str">
            <v>Затраты по ШПЗ (основные)</v>
          </cell>
          <cell r="H2026">
            <v>2011</v>
          </cell>
          <cell r="I2026">
            <v>7920</v>
          </cell>
          <cell r="J2026">
            <v>15946</v>
          </cell>
          <cell r="K2026">
            <v>1</v>
          </cell>
          <cell r="L2026">
            <v>0</v>
          </cell>
          <cell r="M2026">
            <v>0</v>
          </cell>
          <cell r="N2026">
            <v>0</v>
          </cell>
          <cell r="R2026">
            <v>0</v>
          </cell>
          <cell r="S2026">
            <v>0</v>
          </cell>
          <cell r="T2026">
            <v>0</v>
          </cell>
          <cell r="U2026">
            <v>37</v>
          </cell>
          <cell r="V2026">
            <v>0</v>
          </cell>
          <cell r="W2026">
            <v>0</v>
          </cell>
          <cell r="AA2026">
            <v>0</v>
          </cell>
          <cell r="AB2026">
            <v>0</v>
          </cell>
          <cell r="AC2026">
            <v>0</v>
          </cell>
          <cell r="AD2026">
            <v>37</v>
          </cell>
          <cell r="AE2026">
            <v>504900</v>
          </cell>
          <cell r="AF2026">
            <v>0</v>
          </cell>
          <cell r="AI2026">
            <v>2251</v>
          </cell>
          <cell r="AK2026">
            <v>0</v>
          </cell>
          <cell r="AM2026">
            <v>769</v>
          </cell>
          <cell r="AN2026">
            <v>1</v>
          </cell>
          <cell r="AO2026">
            <v>393216</v>
          </cell>
          <cell r="AQ2026">
            <v>0</v>
          </cell>
          <cell r="AR2026">
            <v>0</v>
          </cell>
          <cell r="AS2026" t="str">
            <v>Ы</v>
          </cell>
          <cell r="AT2026" t="str">
            <v>Ы</v>
          </cell>
          <cell r="AU2026">
            <v>0</v>
          </cell>
          <cell r="AV2026">
            <v>0</v>
          </cell>
          <cell r="AW2026">
            <v>23</v>
          </cell>
          <cell r="AX2026">
            <v>1</v>
          </cell>
          <cell r="AY2026">
            <v>0</v>
          </cell>
          <cell r="AZ2026">
            <v>0</v>
          </cell>
          <cell r="BA2026">
            <v>0</v>
          </cell>
          <cell r="BB2026">
            <v>0</v>
          </cell>
          <cell r="BC2026">
            <v>38828</v>
          </cell>
        </row>
        <row r="2027">
          <cell r="A2027">
            <v>2006</v>
          </cell>
          <cell r="B2027">
            <v>2</v>
          </cell>
          <cell r="C2027">
            <v>641</v>
          </cell>
          <cell r="D2027">
            <v>21</v>
          </cell>
          <cell r="E2027">
            <v>792020</v>
          </cell>
          <cell r="F2027">
            <v>0</v>
          </cell>
          <cell r="G2027" t="str">
            <v>Затраты по ШПЗ (основные)</v>
          </cell>
          <cell r="H2027">
            <v>2011</v>
          </cell>
          <cell r="I2027">
            <v>7920</v>
          </cell>
          <cell r="J2027">
            <v>40226.49</v>
          </cell>
          <cell r="K2027">
            <v>1</v>
          </cell>
          <cell r="L2027">
            <v>0</v>
          </cell>
          <cell r="M2027">
            <v>0</v>
          </cell>
          <cell r="N2027">
            <v>0</v>
          </cell>
          <cell r="R2027">
            <v>0</v>
          </cell>
          <cell r="S2027">
            <v>0</v>
          </cell>
          <cell r="T2027">
            <v>0</v>
          </cell>
          <cell r="U2027">
            <v>37</v>
          </cell>
          <cell r="V2027">
            <v>0</v>
          </cell>
          <cell r="W2027">
            <v>0</v>
          </cell>
          <cell r="AA2027">
            <v>0</v>
          </cell>
          <cell r="AB2027">
            <v>0</v>
          </cell>
          <cell r="AC2027">
            <v>0</v>
          </cell>
          <cell r="AD2027">
            <v>37</v>
          </cell>
          <cell r="AE2027">
            <v>505100</v>
          </cell>
          <cell r="AF2027">
            <v>0</v>
          </cell>
          <cell r="AI2027">
            <v>2251</v>
          </cell>
          <cell r="AK2027">
            <v>0</v>
          </cell>
          <cell r="AM2027">
            <v>770</v>
          </cell>
          <cell r="AN2027">
            <v>1</v>
          </cell>
          <cell r="AO2027">
            <v>393216</v>
          </cell>
          <cell r="AQ2027">
            <v>0</v>
          </cell>
          <cell r="AR2027">
            <v>0</v>
          </cell>
          <cell r="AS2027" t="str">
            <v>Ы</v>
          </cell>
          <cell r="AT2027" t="str">
            <v>Ы</v>
          </cell>
          <cell r="AU2027">
            <v>0</v>
          </cell>
          <cell r="AV2027">
            <v>0</v>
          </cell>
          <cell r="AW2027">
            <v>23</v>
          </cell>
          <cell r="AX2027">
            <v>1</v>
          </cell>
          <cell r="AY2027">
            <v>0</v>
          </cell>
          <cell r="AZ2027">
            <v>0</v>
          </cell>
          <cell r="BA2027">
            <v>0</v>
          </cell>
          <cell r="BB2027">
            <v>0</v>
          </cell>
          <cell r="BC2027">
            <v>38828</v>
          </cell>
        </row>
        <row r="2028">
          <cell r="A2028">
            <v>2006</v>
          </cell>
          <cell r="B2028">
            <v>2</v>
          </cell>
          <cell r="C2028">
            <v>642</v>
          </cell>
          <cell r="D2028">
            <v>21</v>
          </cell>
          <cell r="E2028">
            <v>792020</v>
          </cell>
          <cell r="F2028">
            <v>0</v>
          </cell>
          <cell r="G2028" t="str">
            <v>Затраты по ШПЗ (основные)</v>
          </cell>
          <cell r="H2028">
            <v>2011</v>
          </cell>
          <cell r="I2028">
            <v>7920</v>
          </cell>
          <cell r="J2028">
            <v>394043.27</v>
          </cell>
          <cell r="K2028">
            <v>1</v>
          </cell>
          <cell r="L2028">
            <v>0</v>
          </cell>
          <cell r="M2028">
            <v>0</v>
          </cell>
          <cell r="N2028">
            <v>0</v>
          </cell>
          <cell r="R2028">
            <v>0</v>
          </cell>
          <cell r="S2028">
            <v>0</v>
          </cell>
          <cell r="T2028">
            <v>0</v>
          </cell>
          <cell r="U2028">
            <v>37</v>
          </cell>
          <cell r="V2028">
            <v>0</v>
          </cell>
          <cell r="W2028">
            <v>0</v>
          </cell>
          <cell r="AA2028">
            <v>0</v>
          </cell>
          <cell r="AB2028">
            <v>0</v>
          </cell>
          <cell r="AC2028">
            <v>0</v>
          </cell>
          <cell r="AD2028">
            <v>37</v>
          </cell>
          <cell r="AE2028">
            <v>505200</v>
          </cell>
          <cell r="AF2028">
            <v>0</v>
          </cell>
          <cell r="AI2028">
            <v>2251</v>
          </cell>
          <cell r="AK2028">
            <v>0</v>
          </cell>
          <cell r="AM2028">
            <v>771</v>
          </cell>
          <cell r="AN2028">
            <v>1</v>
          </cell>
          <cell r="AO2028">
            <v>393216</v>
          </cell>
          <cell r="AQ2028">
            <v>0</v>
          </cell>
          <cell r="AR2028">
            <v>0</v>
          </cell>
          <cell r="AS2028" t="str">
            <v>Ы</v>
          </cell>
          <cell r="AT2028" t="str">
            <v>Ы</v>
          </cell>
          <cell r="AU2028">
            <v>0</v>
          </cell>
          <cell r="AV2028">
            <v>0</v>
          </cell>
          <cell r="AW2028">
            <v>23</v>
          </cell>
          <cell r="AX2028">
            <v>1</v>
          </cell>
          <cell r="AY2028">
            <v>0</v>
          </cell>
          <cell r="AZ2028">
            <v>0</v>
          </cell>
          <cell r="BA2028">
            <v>0</v>
          </cell>
          <cell r="BB2028">
            <v>0</v>
          </cell>
          <cell r="BC2028">
            <v>38828</v>
          </cell>
        </row>
        <row r="2029">
          <cell r="A2029">
            <v>2006</v>
          </cell>
          <cell r="B2029">
            <v>2</v>
          </cell>
          <cell r="C2029">
            <v>643</v>
          </cell>
          <cell r="D2029">
            <v>21</v>
          </cell>
          <cell r="E2029">
            <v>792020</v>
          </cell>
          <cell r="F2029">
            <v>0</v>
          </cell>
          <cell r="G2029" t="str">
            <v>Затраты по ШПЗ (основные)</v>
          </cell>
          <cell r="H2029">
            <v>2011</v>
          </cell>
          <cell r="I2029">
            <v>7920</v>
          </cell>
          <cell r="J2029">
            <v>4372.8</v>
          </cell>
          <cell r="K2029">
            <v>1</v>
          </cell>
          <cell r="L2029">
            <v>0</v>
          </cell>
          <cell r="M2029">
            <v>0</v>
          </cell>
          <cell r="N2029">
            <v>0</v>
          </cell>
          <cell r="R2029">
            <v>0</v>
          </cell>
          <cell r="S2029">
            <v>0</v>
          </cell>
          <cell r="T2029">
            <v>0</v>
          </cell>
          <cell r="U2029">
            <v>37</v>
          </cell>
          <cell r="V2029">
            <v>0</v>
          </cell>
          <cell r="W2029">
            <v>0</v>
          </cell>
          <cell r="AA2029">
            <v>0</v>
          </cell>
          <cell r="AB2029">
            <v>0</v>
          </cell>
          <cell r="AC2029">
            <v>0</v>
          </cell>
          <cell r="AD2029">
            <v>37</v>
          </cell>
          <cell r="AE2029">
            <v>505300</v>
          </cell>
          <cell r="AF2029">
            <v>0</v>
          </cell>
          <cell r="AI2029">
            <v>2251</v>
          </cell>
          <cell r="AK2029">
            <v>0</v>
          </cell>
          <cell r="AM2029">
            <v>772</v>
          </cell>
          <cell r="AN2029">
            <v>1</v>
          </cell>
          <cell r="AO2029">
            <v>393216</v>
          </cell>
          <cell r="AQ2029">
            <v>0</v>
          </cell>
          <cell r="AR2029">
            <v>0</v>
          </cell>
          <cell r="AS2029" t="str">
            <v>Ы</v>
          </cell>
          <cell r="AT2029" t="str">
            <v>Ы</v>
          </cell>
          <cell r="AU2029">
            <v>0</v>
          </cell>
          <cell r="AV2029">
            <v>0</v>
          </cell>
          <cell r="AW2029">
            <v>23</v>
          </cell>
          <cell r="AX2029">
            <v>1</v>
          </cell>
          <cell r="AY2029">
            <v>0</v>
          </cell>
          <cell r="AZ2029">
            <v>0</v>
          </cell>
          <cell r="BA2029">
            <v>0</v>
          </cell>
          <cell r="BB2029">
            <v>0</v>
          </cell>
          <cell r="BC2029">
            <v>38828</v>
          </cell>
        </row>
        <row r="2030">
          <cell r="A2030">
            <v>2006</v>
          </cell>
          <cell r="B2030">
            <v>2</v>
          </cell>
          <cell r="C2030">
            <v>644</v>
          </cell>
          <cell r="D2030">
            <v>21</v>
          </cell>
          <cell r="E2030">
            <v>792020</v>
          </cell>
          <cell r="F2030">
            <v>0</v>
          </cell>
          <cell r="G2030" t="str">
            <v>Затраты по ШПЗ (основные)</v>
          </cell>
          <cell r="H2030">
            <v>2011</v>
          </cell>
          <cell r="I2030">
            <v>7920</v>
          </cell>
          <cell r="J2030">
            <v>6305.45</v>
          </cell>
          <cell r="K2030">
            <v>1</v>
          </cell>
          <cell r="L2030">
            <v>0</v>
          </cell>
          <cell r="M2030">
            <v>0</v>
          </cell>
          <cell r="N2030">
            <v>0</v>
          </cell>
          <cell r="R2030">
            <v>0</v>
          </cell>
          <cell r="S2030">
            <v>0</v>
          </cell>
          <cell r="T2030">
            <v>0</v>
          </cell>
          <cell r="U2030">
            <v>37</v>
          </cell>
          <cell r="V2030">
            <v>0</v>
          </cell>
          <cell r="W2030">
            <v>0</v>
          </cell>
          <cell r="AA2030">
            <v>0</v>
          </cell>
          <cell r="AB2030">
            <v>0</v>
          </cell>
          <cell r="AC2030">
            <v>0</v>
          </cell>
          <cell r="AD2030">
            <v>37</v>
          </cell>
          <cell r="AE2030">
            <v>505400</v>
          </cell>
          <cell r="AF2030">
            <v>0</v>
          </cell>
          <cell r="AI2030">
            <v>2251</v>
          </cell>
          <cell r="AK2030">
            <v>0</v>
          </cell>
          <cell r="AM2030">
            <v>773</v>
          </cell>
          <cell r="AN2030">
            <v>1</v>
          </cell>
          <cell r="AO2030">
            <v>393216</v>
          </cell>
          <cell r="AQ2030">
            <v>0</v>
          </cell>
          <cell r="AR2030">
            <v>0</v>
          </cell>
          <cell r="AS2030" t="str">
            <v>Ы</v>
          </cell>
          <cell r="AT2030" t="str">
            <v>Ы</v>
          </cell>
          <cell r="AU2030">
            <v>0</v>
          </cell>
          <cell r="AV2030">
            <v>0</v>
          </cell>
          <cell r="AW2030">
            <v>23</v>
          </cell>
          <cell r="AX2030">
            <v>1</v>
          </cell>
          <cell r="AY2030">
            <v>0</v>
          </cell>
          <cell r="AZ2030">
            <v>0</v>
          </cell>
          <cell r="BA2030">
            <v>0</v>
          </cell>
          <cell r="BB2030">
            <v>0</v>
          </cell>
          <cell r="BC2030">
            <v>38828</v>
          </cell>
        </row>
        <row r="2031">
          <cell r="A2031">
            <v>2006</v>
          </cell>
          <cell r="B2031">
            <v>2</v>
          </cell>
          <cell r="C2031">
            <v>645</v>
          </cell>
          <cell r="D2031">
            <v>21</v>
          </cell>
          <cell r="E2031">
            <v>792020</v>
          </cell>
          <cell r="F2031">
            <v>0</v>
          </cell>
          <cell r="G2031" t="str">
            <v>Затраты по ШПЗ (основные)</v>
          </cell>
          <cell r="H2031">
            <v>2011</v>
          </cell>
          <cell r="I2031">
            <v>7920</v>
          </cell>
          <cell r="J2031">
            <v>2153241.5</v>
          </cell>
          <cell r="K2031">
            <v>1</v>
          </cell>
          <cell r="L2031">
            <v>0</v>
          </cell>
          <cell r="M2031">
            <v>0</v>
          </cell>
          <cell r="N2031">
            <v>0</v>
          </cell>
          <cell r="R2031">
            <v>0</v>
          </cell>
          <cell r="S2031">
            <v>0</v>
          </cell>
          <cell r="T2031">
            <v>0</v>
          </cell>
          <cell r="U2031">
            <v>37</v>
          </cell>
          <cell r="V2031">
            <v>0</v>
          </cell>
          <cell r="W2031">
            <v>0</v>
          </cell>
          <cell r="AA2031">
            <v>0</v>
          </cell>
          <cell r="AB2031">
            <v>0</v>
          </cell>
          <cell r="AC2031">
            <v>0</v>
          </cell>
          <cell r="AD2031">
            <v>37</v>
          </cell>
          <cell r="AE2031">
            <v>510100</v>
          </cell>
          <cell r="AF2031">
            <v>0</v>
          </cell>
          <cell r="AI2031">
            <v>2251</v>
          </cell>
          <cell r="AK2031">
            <v>0</v>
          </cell>
          <cell r="AM2031">
            <v>774</v>
          </cell>
          <cell r="AN2031">
            <v>1</v>
          </cell>
          <cell r="AO2031">
            <v>393216</v>
          </cell>
          <cell r="AQ2031">
            <v>0</v>
          </cell>
          <cell r="AR2031">
            <v>0</v>
          </cell>
          <cell r="AS2031" t="str">
            <v>Ы</v>
          </cell>
          <cell r="AT2031" t="str">
            <v>Ы</v>
          </cell>
          <cell r="AU2031">
            <v>0</v>
          </cell>
          <cell r="AV2031">
            <v>0</v>
          </cell>
          <cell r="AW2031">
            <v>23</v>
          </cell>
          <cell r="AX2031">
            <v>1</v>
          </cell>
          <cell r="AY2031">
            <v>0</v>
          </cell>
          <cell r="AZ2031">
            <v>0</v>
          </cell>
          <cell r="BA2031">
            <v>0</v>
          </cell>
          <cell r="BB2031">
            <v>0</v>
          </cell>
          <cell r="BC2031">
            <v>38828</v>
          </cell>
        </row>
        <row r="2032">
          <cell r="A2032">
            <v>2006</v>
          </cell>
          <cell r="B2032">
            <v>2</v>
          </cell>
          <cell r="C2032">
            <v>646</v>
          </cell>
          <cell r="D2032">
            <v>21</v>
          </cell>
          <cell r="E2032">
            <v>792020</v>
          </cell>
          <cell r="F2032">
            <v>0</v>
          </cell>
          <cell r="G2032" t="str">
            <v>Затраты по ШПЗ (основные)</v>
          </cell>
          <cell r="H2032">
            <v>2011</v>
          </cell>
          <cell r="I2032">
            <v>7920</v>
          </cell>
          <cell r="J2032">
            <v>700.6</v>
          </cell>
          <cell r="K2032">
            <v>1</v>
          </cell>
          <cell r="L2032">
            <v>0</v>
          </cell>
          <cell r="M2032">
            <v>0</v>
          </cell>
          <cell r="N2032">
            <v>0</v>
          </cell>
          <cell r="R2032">
            <v>0</v>
          </cell>
          <cell r="S2032">
            <v>0</v>
          </cell>
          <cell r="T2032">
            <v>0</v>
          </cell>
          <cell r="U2032">
            <v>37</v>
          </cell>
          <cell r="V2032">
            <v>0</v>
          </cell>
          <cell r="W2032">
            <v>0</v>
          </cell>
          <cell r="AA2032">
            <v>0</v>
          </cell>
          <cell r="AB2032">
            <v>0</v>
          </cell>
          <cell r="AC2032">
            <v>0</v>
          </cell>
          <cell r="AD2032">
            <v>37</v>
          </cell>
          <cell r="AE2032">
            <v>510200</v>
          </cell>
          <cell r="AF2032">
            <v>0</v>
          </cell>
          <cell r="AI2032">
            <v>2251</v>
          </cell>
          <cell r="AK2032">
            <v>0</v>
          </cell>
          <cell r="AM2032">
            <v>775</v>
          </cell>
          <cell r="AN2032">
            <v>1</v>
          </cell>
          <cell r="AO2032">
            <v>393216</v>
          </cell>
          <cell r="AQ2032">
            <v>0</v>
          </cell>
          <cell r="AR2032">
            <v>0</v>
          </cell>
          <cell r="AS2032" t="str">
            <v>Ы</v>
          </cell>
          <cell r="AT2032" t="str">
            <v>Ы</v>
          </cell>
          <cell r="AU2032">
            <v>0</v>
          </cell>
          <cell r="AV2032">
            <v>0</v>
          </cell>
          <cell r="AW2032">
            <v>23</v>
          </cell>
          <cell r="AX2032">
            <v>1</v>
          </cell>
          <cell r="AY2032">
            <v>0</v>
          </cell>
          <cell r="AZ2032">
            <v>0</v>
          </cell>
          <cell r="BA2032">
            <v>0</v>
          </cell>
          <cell r="BB2032">
            <v>0</v>
          </cell>
          <cell r="BC2032">
            <v>38828</v>
          </cell>
        </row>
        <row r="2033">
          <cell r="A2033">
            <v>2006</v>
          </cell>
          <cell r="B2033">
            <v>2</v>
          </cell>
          <cell r="C2033">
            <v>647</v>
          </cell>
          <cell r="D2033">
            <v>21</v>
          </cell>
          <cell r="E2033">
            <v>792020</v>
          </cell>
          <cell r="F2033">
            <v>0</v>
          </cell>
          <cell r="G2033" t="str">
            <v>Затраты по ШПЗ (основные)</v>
          </cell>
          <cell r="H2033">
            <v>2011</v>
          </cell>
          <cell r="I2033">
            <v>7920</v>
          </cell>
          <cell r="J2033">
            <v>594</v>
          </cell>
          <cell r="K2033">
            <v>1</v>
          </cell>
          <cell r="L2033">
            <v>0</v>
          </cell>
          <cell r="M2033">
            <v>0</v>
          </cell>
          <cell r="N2033">
            <v>0</v>
          </cell>
          <cell r="R2033">
            <v>0</v>
          </cell>
          <cell r="S2033">
            <v>0</v>
          </cell>
          <cell r="T2033">
            <v>0</v>
          </cell>
          <cell r="U2033">
            <v>37</v>
          </cell>
          <cell r="V2033">
            <v>0</v>
          </cell>
          <cell r="W2033">
            <v>0</v>
          </cell>
          <cell r="AA2033">
            <v>0</v>
          </cell>
          <cell r="AB2033">
            <v>0</v>
          </cell>
          <cell r="AC2033">
            <v>0</v>
          </cell>
          <cell r="AD2033">
            <v>37</v>
          </cell>
          <cell r="AE2033">
            <v>510300</v>
          </cell>
          <cell r="AF2033">
            <v>0</v>
          </cell>
          <cell r="AI2033">
            <v>2251</v>
          </cell>
          <cell r="AK2033">
            <v>0</v>
          </cell>
          <cell r="AM2033">
            <v>776</v>
          </cell>
          <cell r="AN2033">
            <v>1</v>
          </cell>
          <cell r="AO2033">
            <v>393216</v>
          </cell>
          <cell r="AQ2033">
            <v>0</v>
          </cell>
          <cell r="AR2033">
            <v>0</v>
          </cell>
          <cell r="AS2033" t="str">
            <v>Ы</v>
          </cell>
          <cell r="AT2033" t="str">
            <v>Ы</v>
          </cell>
          <cell r="AU2033">
            <v>0</v>
          </cell>
          <cell r="AV2033">
            <v>0</v>
          </cell>
          <cell r="AW2033">
            <v>23</v>
          </cell>
          <cell r="AX2033">
            <v>1</v>
          </cell>
          <cell r="AY2033">
            <v>0</v>
          </cell>
          <cell r="AZ2033">
            <v>0</v>
          </cell>
          <cell r="BA2033">
            <v>0</v>
          </cell>
          <cell r="BB2033">
            <v>0</v>
          </cell>
          <cell r="BC2033">
            <v>38828</v>
          </cell>
        </row>
        <row r="2034">
          <cell r="A2034">
            <v>2006</v>
          </cell>
          <cell r="B2034">
            <v>2</v>
          </cell>
          <cell r="C2034">
            <v>648</v>
          </cell>
          <cell r="D2034">
            <v>21</v>
          </cell>
          <cell r="E2034">
            <v>792020</v>
          </cell>
          <cell r="F2034">
            <v>0</v>
          </cell>
          <cell r="G2034" t="str">
            <v>Затраты по ШПЗ (основные)</v>
          </cell>
          <cell r="H2034">
            <v>2011</v>
          </cell>
          <cell r="I2034">
            <v>7920</v>
          </cell>
          <cell r="J2034">
            <v>10363.719999999999</v>
          </cell>
          <cell r="K2034">
            <v>1</v>
          </cell>
          <cell r="L2034">
            <v>0</v>
          </cell>
          <cell r="M2034">
            <v>0</v>
          </cell>
          <cell r="N2034">
            <v>0</v>
          </cell>
          <cell r="R2034">
            <v>0</v>
          </cell>
          <cell r="S2034">
            <v>0</v>
          </cell>
          <cell r="T2034">
            <v>0</v>
          </cell>
          <cell r="U2034">
            <v>37</v>
          </cell>
          <cell r="V2034">
            <v>0</v>
          </cell>
          <cell r="W2034">
            <v>0</v>
          </cell>
          <cell r="AA2034">
            <v>0</v>
          </cell>
          <cell r="AB2034">
            <v>0</v>
          </cell>
          <cell r="AC2034">
            <v>0</v>
          </cell>
          <cell r="AD2034">
            <v>37</v>
          </cell>
          <cell r="AE2034">
            <v>510400</v>
          </cell>
          <cell r="AF2034">
            <v>0</v>
          </cell>
          <cell r="AI2034">
            <v>2251</v>
          </cell>
          <cell r="AK2034">
            <v>0</v>
          </cell>
          <cell r="AM2034">
            <v>777</v>
          </cell>
          <cell r="AN2034">
            <v>1</v>
          </cell>
          <cell r="AO2034">
            <v>393216</v>
          </cell>
          <cell r="AQ2034">
            <v>0</v>
          </cell>
          <cell r="AR2034">
            <v>0</v>
          </cell>
          <cell r="AS2034" t="str">
            <v>Ы</v>
          </cell>
          <cell r="AT2034" t="str">
            <v>Ы</v>
          </cell>
          <cell r="AU2034">
            <v>0</v>
          </cell>
          <cell r="AV2034">
            <v>0</v>
          </cell>
          <cell r="AW2034">
            <v>23</v>
          </cell>
          <cell r="AX2034">
            <v>1</v>
          </cell>
          <cell r="AY2034">
            <v>0</v>
          </cell>
          <cell r="AZ2034">
            <v>0</v>
          </cell>
          <cell r="BA2034">
            <v>0</v>
          </cell>
          <cell r="BB2034">
            <v>0</v>
          </cell>
          <cell r="BC2034">
            <v>38828</v>
          </cell>
        </row>
        <row r="2035">
          <cell r="A2035">
            <v>2006</v>
          </cell>
          <cell r="B2035">
            <v>2</v>
          </cell>
          <cell r="C2035">
            <v>649</v>
          </cell>
          <cell r="D2035">
            <v>21</v>
          </cell>
          <cell r="E2035">
            <v>792020</v>
          </cell>
          <cell r="F2035">
            <v>0</v>
          </cell>
          <cell r="G2035" t="str">
            <v>Затраты по ШПЗ (основные)</v>
          </cell>
          <cell r="H2035">
            <v>2011</v>
          </cell>
          <cell r="I2035">
            <v>7920</v>
          </cell>
          <cell r="J2035">
            <v>1617125</v>
          </cell>
          <cell r="K2035">
            <v>1</v>
          </cell>
          <cell r="L2035">
            <v>0</v>
          </cell>
          <cell r="M2035">
            <v>0</v>
          </cell>
          <cell r="N2035">
            <v>0</v>
          </cell>
          <cell r="R2035">
            <v>0</v>
          </cell>
          <cell r="S2035">
            <v>0</v>
          </cell>
          <cell r="T2035">
            <v>0</v>
          </cell>
          <cell r="U2035">
            <v>37</v>
          </cell>
          <cell r="V2035">
            <v>0</v>
          </cell>
          <cell r="W2035">
            <v>0</v>
          </cell>
          <cell r="AA2035">
            <v>0</v>
          </cell>
          <cell r="AB2035">
            <v>0</v>
          </cell>
          <cell r="AC2035">
            <v>0</v>
          </cell>
          <cell r="AD2035">
            <v>37</v>
          </cell>
          <cell r="AE2035">
            <v>510600</v>
          </cell>
          <cell r="AF2035">
            <v>0</v>
          </cell>
          <cell r="AI2035">
            <v>2251</v>
          </cell>
          <cell r="AK2035">
            <v>0</v>
          </cell>
          <cell r="AM2035">
            <v>778</v>
          </cell>
          <cell r="AN2035">
            <v>1</v>
          </cell>
          <cell r="AO2035">
            <v>393216</v>
          </cell>
          <cell r="AQ2035">
            <v>0</v>
          </cell>
          <cell r="AR2035">
            <v>0</v>
          </cell>
          <cell r="AS2035" t="str">
            <v>Ы</v>
          </cell>
          <cell r="AT2035" t="str">
            <v>Ы</v>
          </cell>
          <cell r="AU2035">
            <v>0</v>
          </cell>
          <cell r="AV2035">
            <v>0</v>
          </cell>
          <cell r="AW2035">
            <v>23</v>
          </cell>
          <cell r="AX2035">
            <v>1</v>
          </cell>
          <cell r="AY2035">
            <v>0</v>
          </cell>
          <cell r="AZ2035">
            <v>0</v>
          </cell>
          <cell r="BA2035">
            <v>0</v>
          </cell>
          <cell r="BB2035">
            <v>0</v>
          </cell>
          <cell r="BC2035">
            <v>38828</v>
          </cell>
        </row>
        <row r="2036">
          <cell r="A2036">
            <v>2006</v>
          </cell>
          <cell r="B2036">
            <v>2</v>
          </cell>
          <cell r="C2036">
            <v>650</v>
          </cell>
          <cell r="D2036">
            <v>21</v>
          </cell>
          <cell r="E2036">
            <v>792020</v>
          </cell>
          <cell r="F2036">
            <v>0</v>
          </cell>
          <cell r="G2036" t="str">
            <v>Затраты по ШПЗ (основные)</v>
          </cell>
          <cell r="H2036">
            <v>2011</v>
          </cell>
          <cell r="I2036">
            <v>7920</v>
          </cell>
          <cell r="J2036">
            <v>23486.17</v>
          </cell>
          <cell r="K2036">
            <v>1</v>
          </cell>
          <cell r="L2036">
            <v>0</v>
          </cell>
          <cell r="M2036">
            <v>0</v>
          </cell>
          <cell r="N2036">
            <v>0</v>
          </cell>
          <cell r="R2036">
            <v>0</v>
          </cell>
          <cell r="S2036">
            <v>0</v>
          </cell>
          <cell r="T2036">
            <v>0</v>
          </cell>
          <cell r="U2036">
            <v>37</v>
          </cell>
          <cell r="V2036">
            <v>0</v>
          </cell>
          <cell r="W2036">
            <v>0</v>
          </cell>
          <cell r="AA2036">
            <v>0</v>
          </cell>
          <cell r="AB2036">
            <v>0</v>
          </cell>
          <cell r="AC2036">
            <v>0</v>
          </cell>
          <cell r="AD2036">
            <v>37</v>
          </cell>
          <cell r="AE2036">
            <v>513600</v>
          </cell>
          <cell r="AF2036">
            <v>0</v>
          </cell>
          <cell r="AI2036">
            <v>2251</v>
          </cell>
          <cell r="AK2036">
            <v>0</v>
          </cell>
          <cell r="AM2036">
            <v>779</v>
          </cell>
          <cell r="AN2036">
            <v>1</v>
          </cell>
          <cell r="AO2036">
            <v>393216</v>
          </cell>
          <cell r="AQ2036">
            <v>0</v>
          </cell>
          <cell r="AR2036">
            <v>0</v>
          </cell>
          <cell r="AS2036" t="str">
            <v>Ы</v>
          </cell>
          <cell r="AT2036" t="str">
            <v>Ы</v>
          </cell>
          <cell r="AU2036">
            <v>0</v>
          </cell>
          <cell r="AV2036">
            <v>0</v>
          </cell>
          <cell r="AW2036">
            <v>23</v>
          </cell>
          <cell r="AX2036">
            <v>1</v>
          </cell>
          <cell r="AY2036">
            <v>0</v>
          </cell>
          <cell r="AZ2036">
            <v>0</v>
          </cell>
          <cell r="BA2036">
            <v>0</v>
          </cell>
          <cell r="BB2036">
            <v>0</v>
          </cell>
          <cell r="BC2036">
            <v>38828</v>
          </cell>
        </row>
        <row r="2037">
          <cell r="A2037">
            <v>2006</v>
          </cell>
          <cell r="B2037">
            <v>2</v>
          </cell>
          <cell r="C2037">
            <v>651</v>
          </cell>
          <cell r="D2037">
            <v>21</v>
          </cell>
          <cell r="E2037">
            <v>792020</v>
          </cell>
          <cell r="F2037">
            <v>0</v>
          </cell>
          <cell r="G2037" t="str">
            <v>Затраты по ШПЗ (основные)</v>
          </cell>
          <cell r="H2037">
            <v>2011</v>
          </cell>
          <cell r="I2037">
            <v>7920</v>
          </cell>
          <cell r="J2037">
            <v>2655</v>
          </cell>
          <cell r="K2037">
            <v>1</v>
          </cell>
          <cell r="L2037">
            <v>0</v>
          </cell>
          <cell r="M2037">
            <v>0</v>
          </cell>
          <cell r="N2037">
            <v>0</v>
          </cell>
          <cell r="R2037">
            <v>0</v>
          </cell>
          <cell r="S2037">
            <v>0</v>
          </cell>
          <cell r="T2037">
            <v>0</v>
          </cell>
          <cell r="U2037">
            <v>37</v>
          </cell>
          <cell r="V2037">
            <v>0</v>
          </cell>
          <cell r="W2037">
            <v>0</v>
          </cell>
          <cell r="AA2037">
            <v>0</v>
          </cell>
          <cell r="AB2037">
            <v>0</v>
          </cell>
          <cell r="AC2037">
            <v>0</v>
          </cell>
          <cell r="AD2037">
            <v>37</v>
          </cell>
          <cell r="AE2037">
            <v>530000</v>
          </cell>
          <cell r="AF2037">
            <v>0</v>
          </cell>
          <cell r="AI2037">
            <v>2251</v>
          </cell>
          <cell r="AK2037">
            <v>0</v>
          </cell>
          <cell r="AM2037">
            <v>780</v>
          </cell>
          <cell r="AN2037">
            <v>1</v>
          </cell>
          <cell r="AO2037">
            <v>393216</v>
          </cell>
          <cell r="AQ2037">
            <v>0</v>
          </cell>
          <cell r="AR2037">
            <v>0</v>
          </cell>
          <cell r="AS2037" t="str">
            <v>Ы</v>
          </cell>
          <cell r="AT2037" t="str">
            <v>Ы</v>
          </cell>
          <cell r="AU2037">
            <v>0</v>
          </cell>
          <cell r="AV2037">
            <v>0</v>
          </cell>
          <cell r="AW2037">
            <v>23</v>
          </cell>
          <cell r="AX2037">
            <v>1</v>
          </cell>
          <cell r="AY2037">
            <v>0</v>
          </cell>
          <cell r="AZ2037">
            <v>0</v>
          </cell>
          <cell r="BA2037">
            <v>0</v>
          </cell>
          <cell r="BB2037">
            <v>0</v>
          </cell>
          <cell r="BC2037">
            <v>38828</v>
          </cell>
        </row>
        <row r="2038">
          <cell r="A2038">
            <v>2006</v>
          </cell>
          <cell r="B2038">
            <v>3</v>
          </cell>
          <cell r="C2038">
            <v>12</v>
          </cell>
          <cell r="D2038">
            <v>21</v>
          </cell>
          <cell r="E2038">
            <v>792020</v>
          </cell>
          <cell r="F2038">
            <v>0</v>
          </cell>
          <cell r="G2038" t="str">
            <v>Затраты по ШПЗ (основные)</v>
          </cell>
          <cell r="H2038">
            <v>2011</v>
          </cell>
          <cell r="I2038">
            <v>7920</v>
          </cell>
          <cell r="J2038">
            <v>60588.79</v>
          </cell>
          <cell r="K2038">
            <v>1</v>
          </cell>
          <cell r="L2038">
            <v>0</v>
          </cell>
          <cell r="M2038">
            <v>0</v>
          </cell>
          <cell r="N2038">
            <v>0</v>
          </cell>
          <cell r="R2038">
            <v>0</v>
          </cell>
          <cell r="S2038">
            <v>0</v>
          </cell>
          <cell r="T2038">
            <v>0</v>
          </cell>
          <cell r="U2038">
            <v>33</v>
          </cell>
          <cell r="V2038">
            <v>0</v>
          </cell>
          <cell r="W2038">
            <v>0</v>
          </cell>
          <cell r="AA2038">
            <v>0</v>
          </cell>
          <cell r="AB2038">
            <v>0</v>
          </cell>
          <cell r="AC2038">
            <v>0</v>
          </cell>
          <cell r="AD2038">
            <v>33</v>
          </cell>
          <cell r="AE2038">
            <v>110000</v>
          </cell>
          <cell r="AF2038">
            <v>0</v>
          </cell>
          <cell r="AI2038">
            <v>2282</v>
          </cell>
          <cell r="AK2038">
            <v>0</v>
          </cell>
          <cell r="AM2038">
            <v>169</v>
          </cell>
          <cell r="AN2038">
            <v>1</v>
          </cell>
          <cell r="AO2038">
            <v>393216</v>
          </cell>
          <cell r="AQ2038">
            <v>0</v>
          </cell>
          <cell r="AR2038">
            <v>0</v>
          </cell>
          <cell r="AS2038" t="str">
            <v>Ы</v>
          </cell>
          <cell r="AT2038" t="str">
            <v>Ы</v>
          </cell>
          <cell r="AU2038">
            <v>0</v>
          </cell>
          <cell r="AV2038">
            <v>0</v>
          </cell>
          <cell r="AW2038">
            <v>23</v>
          </cell>
          <cell r="AX2038">
            <v>1</v>
          </cell>
          <cell r="AY2038">
            <v>0</v>
          </cell>
          <cell r="AZ2038">
            <v>0</v>
          </cell>
          <cell r="BA2038">
            <v>0</v>
          </cell>
          <cell r="BB2038">
            <v>0</v>
          </cell>
          <cell r="BC2038">
            <v>38828</v>
          </cell>
        </row>
        <row r="2039">
          <cell r="A2039">
            <v>2006</v>
          </cell>
          <cell r="B2039">
            <v>3</v>
          </cell>
          <cell r="C2039">
            <v>13</v>
          </cell>
          <cell r="D2039">
            <v>21</v>
          </cell>
          <cell r="E2039">
            <v>792020</v>
          </cell>
          <cell r="F2039">
            <v>0</v>
          </cell>
          <cell r="G2039" t="str">
            <v>Затраты по ШПЗ (основные)</v>
          </cell>
          <cell r="H2039">
            <v>2011</v>
          </cell>
          <cell r="I2039">
            <v>7920</v>
          </cell>
          <cell r="J2039">
            <v>3587.46</v>
          </cell>
          <cell r="K2039">
            <v>1</v>
          </cell>
          <cell r="L2039">
            <v>0</v>
          </cell>
          <cell r="M2039">
            <v>0</v>
          </cell>
          <cell r="N2039">
            <v>0</v>
          </cell>
          <cell r="R2039">
            <v>0</v>
          </cell>
          <cell r="S2039">
            <v>0</v>
          </cell>
          <cell r="T2039">
            <v>0</v>
          </cell>
          <cell r="U2039">
            <v>33</v>
          </cell>
          <cell r="V2039">
            <v>0</v>
          </cell>
          <cell r="W2039">
            <v>0</v>
          </cell>
          <cell r="AA2039">
            <v>0</v>
          </cell>
          <cell r="AB2039">
            <v>0</v>
          </cell>
          <cell r="AC2039">
            <v>0</v>
          </cell>
          <cell r="AD2039">
            <v>33</v>
          </cell>
          <cell r="AE2039">
            <v>114020</v>
          </cell>
          <cell r="AF2039">
            <v>0</v>
          </cell>
          <cell r="AI2039">
            <v>2282</v>
          </cell>
          <cell r="AK2039">
            <v>0</v>
          </cell>
          <cell r="AM2039">
            <v>170</v>
          </cell>
          <cell r="AN2039">
            <v>1</v>
          </cell>
          <cell r="AO2039">
            <v>393216</v>
          </cell>
          <cell r="AQ2039">
            <v>0</v>
          </cell>
          <cell r="AR2039">
            <v>0</v>
          </cell>
          <cell r="AS2039" t="str">
            <v>Ы</v>
          </cell>
          <cell r="AT2039" t="str">
            <v>Ы</v>
          </cell>
          <cell r="AU2039">
            <v>0</v>
          </cell>
          <cell r="AV2039">
            <v>0</v>
          </cell>
          <cell r="AW2039">
            <v>23</v>
          </cell>
          <cell r="AX2039">
            <v>1</v>
          </cell>
          <cell r="AY2039">
            <v>0</v>
          </cell>
          <cell r="AZ2039">
            <v>0</v>
          </cell>
          <cell r="BA2039">
            <v>0</v>
          </cell>
          <cell r="BB2039">
            <v>0</v>
          </cell>
          <cell r="BC2039">
            <v>38828</v>
          </cell>
        </row>
        <row r="2040">
          <cell r="A2040">
            <v>2006</v>
          </cell>
          <cell r="B2040">
            <v>3</v>
          </cell>
          <cell r="C2040">
            <v>14</v>
          </cell>
          <cell r="D2040">
            <v>21</v>
          </cell>
          <cell r="E2040">
            <v>792020</v>
          </cell>
          <cell r="F2040">
            <v>0</v>
          </cell>
          <cell r="G2040" t="str">
            <v>Затраты по ШПЗ (основные)</v>
          </cell>
          <cell r="H2040">
            <v>2011</v>
          </cell>
          <cell r="I2040">
            <v>7920</v>
          </cell>
          <cell r="J2040">
            <v>337952.47</v>
          </cell>
          <cell r="K2040">
            <v>1</v>
          </cell>
          <cell r="L2040">
            <v>0</v>
          </cell>
          <cell r="M2040">
            <v>0</v>
          </cell>
          <cell r="N2040">
            <v>0</v>
          </cell>
          <cell r="R2040">
            <v>0</v>
          </cell>
          <cell r="S2040">
            <v>0</v>
          </cell>
          <cell r="T2040">
            <v>0</v>
          </cell>
          <cell r="U2040">
            <v>33</v>
          </cell>
          <cell r="V2040">
            <v>0</v>
          </cell>
          <cell r="W2040">
            <v>0</v>
          </cell>
          <cell r="AA2040">
            <v>0</v>
          </cell>
          <cell r="AB2040">
            <v>0</v>
          </cell>
          <cell r="AC2040">
            <v>0</v>
          </cell>
          <cell r="AD2040">
            <v>33</v>
          </cell>
          <cell r="AE2040">
            <v>116000</v>
          </cell>
          <cell r="AF2040">
            <v>0</v>
          </cell>
          <cell r="AI2040">
            <v>2282</v>
          </cell>
          <cell r="AK2040">
            <v>0</v>
          </cell>
          <cell r="AM2040">
            <v>171</v>
          </cell>
          <cell r="AN2040">
            <v>1</v>
          </cell>
          <cell r="AO2040">
            <v>393216</v>
          </cell>
          <cell r="AQ2040">
            <v>0</v>
          </cell>
          <cell r="AR2040">
            <v>0</v>
          </cell>
          <cell r="AS2040" t="str">
            <v>Ы</v>
          </cell>
          <cell r="AT2040" t="str">
            <v>Ы</v>
          </cell>
          <cell r="AU2040">
            <v>0</v>
          </cell>
          <cell r="AV2040">
            <v>0</v>
          </cell>
          <cell r="AW2040">
            <v>23</v>
          </cell>
          <cell r="AX2040">
            <v>1</v>
          </cell>
          <cell r="AY2040">
            <v>0</v>
          </cell>
          <cell r="AZ2040">
            <v>0</v>
          </cell>
          <cell r="BA2040">
            <v>0</v>
          </cell>
          <cell r="BB2040">
            <v>0</v>
          </cell>
          <cell r="BC2040">
            <v>38828</v>
          </cell>
        </row>
        <row r="2041">
          <cell r="A2041">
            <v>2006</v>
          </cell>
          <cell r="B2041">
            <v>3</v>
          </cell>
          <cell r="C2041">
            <v>15</v>
          </cell>
          <cell r="D2041">
            <v>21</v>
          </cell>
          <cell r="E2041">
            <v>792020</v>
          </cell>
          <cell r="F2041">
            <v>0</v>
          </cell>
          <cell r="G2041" t="str">
            <v>Затраты по ШПЗ (основные)</v>
          </cell>
          <cell r="H2041">
            <v>2011</v>
          </cell>
          <cell r="I2041">
            <v>7920</v>
          </cell>
          <cell r="J2041">
            <v>9015.26</v>
          </cell>
          <cell r="K2041">
            <v>1</v>
          </cell>
          <cell r="L2041">
            <v>0</v>
          </cell>
          <cell r="M2041">
            <v>0</v>
          </cell>
          <cell r="N2041">
            <v>0</v>
          </cell>
          <cell r="R2041">
            <v>0</v>
          </cell>
          <cell r="S2041">
            <v>0</v>
          </cell>
          <cell r="T2041">
            <v>0</v>
          </cell>
          <cell r="U2041">
            <v>33</v>
          </cell>
          <cell r="V2041">
            <v>0</v>
          </cell>
          <cell r="W2041">
            <v>0</v>
          </cell>
          <cell r="AA2041">
            <v>0</v>
          </cell>
          <cell r="AB2041">
            <v>0</v>
          </cell>
          <cell r="AC2041">
            <v>0</v>
          </cell>
          <cell r="AD2041">
            <v>33</v>
          </cell>
          <cell r="AE2041">
            <v>117000</v>
          </cell>
          <cell r="AF2041">
            <v>0</v>
          </cell>
          <cell r="AI2041">
            <v>2282</v>
          </cell>
          <cell r="AK2041">
            <v>0</v>
          </cell>
          <cell r="AM2041">
            <v>172</v>
          </cell>
          <cell r="AN2041">
            <v>1</v>
          </cell>
          <cell r="AO2041">
            <v>393216</v>
          </cell>
          <cell r="AQ2041">
            <v>0</v>
          </cell>
          <cell r="AR2041">
            <v>0</v>
          </cell>
          <cell r="AS2041" t="str">
            <v>Ы</v>
          </cell>
          <cell r="AT2041" t="str">
            <v>Ы</v>
          </cell>
          <cell r="AU2041">
            <v>0</v>
          </cell>
          <cell r="AV2041">
            <v>0</v>
          </cell>
          <cell r="AW2041">
            <v>23</v>
          </cell>
          <cell r="AX2041">
            <v>1</v>
          </cell>
          <cell r="AY2041">
            <v>0</v>
          </cell>
          <cell r="AZ2041">
            <v>0</v>
          </cell>
          <cell r="BA2041">
            <v>0</v>
          </cell>
          <cell r="BB2041">
            <v>0</v>
          </cell>
          <cell r="BC2041">
            <v>38828</v>
          </cell>
        </row>
        <row r="2042">
          <cell r="A2042">
            <v>2006</v>
          </cell>
          <cell r="B2042">
            <v>3</v>
          </cell>
          <cell r="C2042">
            <v>16</v>
          </cell>
          <cell r="D2042">
            <v>21</v>
          </cell>
          <cell r="E2042">
            <v>792020</v>
          </cell>
          <cell r="F2042">
            <v>0</v>
          </cell>
          <cell r="G2042" t="str">
            <v>Затраты по ШПЗ (основные)</v>
          </cell>
          <cell r="H2042">
            <v>2011</v>
          </cell>
          <cell r="I2042">
            <v>7920</v>
          </cell>
          <cell r="J2042">
            <v>2040</v>
          </cell>
          <cell r="K2042">
            <v>1</v>
          </cell>
          <cell r="L2042">
            <v>0</v>
          </cell>
          <cell r="M2042">
            <v>0</v>
          </cell>
          <cell r="N2042">
            <v>0</v>
          </cell>
          <cell r="R2042">
            <v>0</v>
          </cell>
          <cell r="S2042">
            <v>0</v>
          </cell>
          <cell r="T2042">
            <v>0</v>
          </cell>
          <cell r="U2042">
            <v>33</v>
          </cell>
          <cell r="V2042">
            <v>0</v>
          </cell>
          <cell r="W2042">
            <v>0</v>
          </cell>
          <cell r="AA2042">
            <v>0</v>
          </cell>
          <cell r="AB2042">
            <v>0</v>
          </cell>
          <cell r="AC2042">
            <v>0</v>
          </cell>
          <cell r="AD2042">
            <v>33</v>
          </cell>
          <cell r="AE2042">
            <v>118000</v>
          </cell>
          <cell r="AF2042">
            <v>0</v>
          </cell>
          <cell r="AI2042">
            <v>2282</v>
          </cell>
          <cell r="AK2042">
            <v>0</v>
          </cell>
          <cell r="AM2042">
            <v>173</v>
          </cell>
          <cell r="AN2042">
            <v>1</v>
          </cell>
          <cell r="AO2042">
            <v>393216</v>
          </cell>
          <cell r="AQ2042">
            <v>0</v>
          </cell>
          <cell r="AR2042">
            <v>0</v>
          </cell>
          <cell r="AS2042" t="str">
            <v>Ы</v>
          </cell>
          <cell r="AT2042" t="str">
            <v>Ы</v>
          </cell>
          <cell r="AU2042">
            <v>0</v>
          </cell>
          <cell r="AV2042">
            <v>0</v>
          </cell>
          <cell r="AW2042">
            <v>23</v>
          </cell>
          <cell r="AX2042">
            <v>1</v>
          </cell>
          <cell r="AY2042">
            <v>0</v>
          </cell>
          <cell r="AZ2042">
            <v>0</v>
          </cell>
          <cell r="BA2042">
            <v>0</v>
          </cell>
          <cell r="BB2042">
            <v>0</v>
          </cell>
          <cell r="BC2042">
            <v>38828</v>
          </cell>
        </row>
        <row r="2043">
          <cell r="A2043">
            <v>2006</v>
          </cell>
          <cell r="B2043">
            <v>3</v>
          </cell>
          <cell r="C2043">
            <v>17</v>
          </cell>
          <cell r="D2043">
            <v>21</v>
          </cell>
          <cell r="E2043">
            <v>792020</v>
          </cell>
          <cell r="F2043">
            <v>0</v>
          </cell>
          <cell r="G2043" t="str">
            <v>Затраты по ШПЗ (основные)</v>
          </cell>
          <cell r="H2043">
            <v>2011</v>
          </cell>
          <cell r="I2043">
            <v>7920</v>
          </cell>
          <cell r="J2043">
            <v>15272.51</v>
          </cell>
          <cell r="K2043">
            <v>1</v>
          </cell>
          <cell r="L2043">
            <v>0</v>
          </cell>
          <cell r="M2043">
            <v>0</v>
          </cell>
          <cell r="N2043">
            <v>0</v>
          </cell>
          <cell r="R2043">
            <v>0</v>
          </cell>
          <cell r="S2043">
            <v>0</v>
          </cell>
          <cell r="T2043">
            <v>0</v>
          </cell>
          <cell r="U2043">
            <v>33</v>
          </cell>
          <cell r="V2043">
            <v>0</v>
          </cell>
          <cell r="W2043">
            <v>0</v>
          </cell>
          <cell r="AA2043">
            <v>0</v>
          </cell>
          <cell r="AB2043">
            <v>0</v>
          </cell>
          <cell r="AC2043">
            <v>0</v>
          </cell>
          <cell r="AD2043">
            <v>33</v>
          </cell>
          <cell r="AE2043">
            <v>130100</v>
          </cell>
          <cell r="AF2043">
            <v>0</v>
          </cell>
          <cell r="AI2043">
            <v>2282</v>
          </cell>
          <cell r="AK2043">
            <v>0</v>
          </cell>
          <cell r="AM2043">
            <v>174</v>
          </cell>
          <cell r="AN2043">
            <v>1</v>
          </cell>
          <cell r="AO2043">
            <v>393216</v>
          </cell>
          <cell r="AQ2043">
            <v>0</v>
          </cell>
          <cell r="AR2043">
            <v>0</v>
          </cell>
          <cell r="AS2043" t="str">
            <v>Ы</v>
          </cell>
          <cell r="AT2043" t="str">
            <v>Ы</v>
          </cell>
          <cell r="AU2043">
            <v>0</v>
          </cell>
          <cell r="AV2043">
            <v>0</v>
          </cell>
          <cell r="AW2043">
            <v>23</v>
          </cell>
          <cell r="AX2043">
            <v>1</v>
          </cell>
          <cell r="AY2043">
            <v>0</v>
          </cell>
          <cell r="AZ2043">
            <v>0</v>
          </cell>
          <cell r="BA2043">
            <v>0</v>
          </cell>
          <cell r="BB2043">
            <v>0</v>
          </cell>
          <cell r="BC2043">
            <v>38828</v>
          </cell>
        </row>
        <row r="2044">
          <cell r="A2044">
            <v>2006</v>
          </cell>
          <cell r="B2044">
            <v>3</v>
          </cell>
          <cell r="C2044">
            <v>18</v>
          </cell>
          <cell r="D2044">
            <v>21</v>
          </cell>
          <cell r="E2044">
            <v>792020</v>
          </cell>
          <cell r="F2044">
            <v>0</v>
          </cell>
          <cell r="G2044" t="str">
            <v>Затраты по ШПЗ (основные)</v>
          </cell>
          <cell r="H2044">
            <v>2011</v>
          </cell>
          <cell r="I2044">
            <v>7920</v>
          </cell>
          <cell r="J2044">
            <v>637073.25</v>
          </cell>
          <cell r="K2044">
            <v>1</v>
          </cell>
          <cell r="L2044">
            <v>0</v>
          </cell>
          <cell r="M2044">
            <v>0</v>
          </cell>
          <cell r="N2044">
            <v>0</v>
          </cell>
          <cell r="R2044">
            <v>0</v>
          </cell>
          <cell r="S2044">
            <v>0</v>
          </cell>
          <cell r="T2044">
            <v>0</v>
          </cell>
          <cell r="U2044">
            <v>33</v>
          </cell>
          <cell r="V2044">
            <v>0</v>
          </cell>
          <cell r="W2044">
            <v>0</v>
          </cell>
          <cell r="AA2044">
            <v>0</v>
          </cell>
          <cell r="AB2044">
            <v>0</v>
          </cell>
          <cell r="AC2044">
            <v>0</v>
          </cell>
          <cell r="AD2044">
            <v>33</v>
          </cell>
          <cell r="AE2044">
            <v>131000</v>
          </cell>
          <cell r="AF2044">
            <v>0</v>
          </cell>
          <cell r="AI2044">
            <v>2282</v>
          </cell>
          <cell r="AK2044">
            <v>0</v>
          </cell>
          <cell r="AM2044">
            <v>175</v>
          </cell>
          <cell r="AN2044">
            <v>1</v>
          </cell>
          <cell r="AO2044">
            <v>393216</v>
          </cell>
          <cell r="AQ2044">
            <v>0</v>
          </cell>
          <cell r="AR2044">
            <v>0</v>
          </cell>
          <cell r="AS2044" t="str">
            <v>Ы</v>
          </cell>
          <cell r="AT2044" t="str">
            <v>Ы</v>
          </cell>
          <cell r="AU2044">
            <v>0</v>
          </cell>
          <cell r="AV2044">
            <v>0</v>
          </cell>
          <cell r="AW2044">
            <v>23</v>
          </cell>
          <cell r="AX2044">
            <v>1</v>
          </cell>
          <cell r="AY2044">
            <v>0</v>
          </cell>
          <cell r="AZ2044">
            <v>0</v>
          </cell>
          <cell r="BA2044">
            <v>0</v>
          </cell>
          <cell r="BB2044">
            <v>0</v>
          </cell>
          <cell r="BC2044">
            <v>38828</v>
          </cell>
        </row>
        <row r="2045">
          <cell r="A2045">
            <v>2006</v>
          </cell>
          <cell r="B2045">
            <v>3</v>
          </cell>
          <cell r="C2045">
            <v>19</v>
          </cell>
          <cell r="D2045">
            <v>21</v>
          </cell>
          <cell r="E2045">
            <v>792020</v>
          </cell>
          <cell r="F2045">
            <v>0</v>
          </cell>
          <cell r="G2045" t="str">
            <v>Затраты по ШПЗ (основные)</v>
          </cell>
          <cell r="H2045">
            <v>2011</v>
          </cell>
          <cell r="I2045">
            <v>7920</v>
          </cell>
          <cell r="J2045">
            <v>2420.98</v>
          </cell>
          <cell r="K2045">
            <v>1</v>
          </cell>
          <cell r="L2045">
            <v>0</v>
          </cell>
          <cell r="M2045">
            <v>0</v>
          </cell>
          <cell r="N2045">
            <v>0</v>
          </cell>
          <cell r="R2045">
            <v>0</v>
          </cell>
          <cell r="S2045">
            <v>0</v>
          </cell>
          <cell r="T2045">
            <v>0</v>
          </cell>
          <cell r="U2045">
            <v>33</v>
          </cell>
          <cell r="V2045">
            <v>0</v>
          </cell>
          <cell r="W2045">
            <v>0</v>
          </cell>
          <cell r="AA2045">
            <v>0</v>
          </cell>
          <cell r="AB2045">
            <v>0</v>
          </cell>
          <cell r="AC2045">
            <v>0</v>
          </cell>
          <cell r="AD2045">
            <v>33</v>
          </cell>
          <cell r="AE2045">
            <v>135000</v>
          </cell>
          <cell r="AF2045">
            <v>0</v>
          </cell>
          <cell r="AI2045">
            <v>2282</v>
          </cell>
          <cell r="AK2045">
            <v>0</v>
          </cell>
          <cell r="AM2045">
            <v>176</v>
          </cell>
          <cell r="AN2045">
            <v>1</v>
          </cell>
          <cell r="AO2045">
            <v>393216</v>
          </cell>
          <cell r="AQ2045">
            <v>0</v>
          </cell>
          <cell r="AR2045">
            <v>0</v>
          </cell>
          <cell r="AS2045" t="str">
            <v>Ы</v>
          </cell>
          <cell r="AT2045" t="str">
            <v>Ы</v>
          </cell>
          <cell r="AU2045">
            <v>0</v>
          </cell>
          <cell r="AV2045">
            <v>0</v>
          </cell>
          <cell r="AW2045">
            <v>23</v>
          </cell>
          <cell r="AX2045">
            <v>1</v>
          </cell>
          <cell r="AY2045">
            <v>0</v>
          </cell>
          <cell r="AZ2045">
            <v>0</v>
          </cell>
          <cell r="BA2045">
            <v>0</v>
          </cell>
          <cell r="BB2045">
            <v>0</v>
          </cell>
          <cell r="BC2045">
            <v>38828</v>
          </cell>
        </row>
        <row r="2046">
          <cell r="A2046">
            <v>2006</v>
          </cell>
          <cell r="B2046">
            <v>3</v>
          </cell>
          <cell r="C2046">
            <v>20</v>
          </cell>
          <cell r="D2046">
            <v>21</v>
          </cell>
          <cell r="E2046">
            <v>792020</v>
          </cell>
          <cell r="F2046">
            <v>0</v>
          </cell>
          <cell r="G2046" t="str">
            <v>Затраты по ШПЗ (основные)</v>
          </cell>
          <cell r="H2046">
            <v>2011</v>
          </cell>
          <cell r="I2046">
            <v>7920</v>
          </cell>
          <cell r="J2046">
            <v>340195.56</v>
          </cell>
          <cell r="K2046">
            <v>1</v>
          </cell>
          <cell r="L2046">
            <v>0</v>
          </cell>
          <cell r="M2046">
            <v>0</v>
          </cell>
          <cell r="N2046">
            <v>0</v>
          </cell>
          <cell r="R2046">
            <v>0</v>
          </cell>
          <cell r="S2046">
            <v>0</v>
          </cell>
          <cell r="T2046">
            <v>0</v>
          </cell>
          <cell r="U2046">
            <v>33</v>
          </cell>
          <cell r="V2046">
            <v>0</v>
          </cell>
          <cell r="W2046">
            <v>0</v>
          </cell>
          <cell r="AA2046">
            <v>0</v>
          </cell>
          <cell r="AB2046">
            <v>0</v>
          </cell>
          <cell r="AC2046">
            <v>0</v>
          </cell>
          <cell r="AD2046">
            <v>33</v>
          </cell>
          <cell r="AE2046">
            <v>143000</v>
          </cell>
          <cell r="AF2046">
            <v>0</v>
          </cell>
          <cell r="AI2046">
            <v>2282</v>
          </cell>
          <cell r="AK2046">
            <v>0</v>
          </cell>
          <cell r="AM2046">
            <v>177</v>
          </cell>
          <cell r="AN2046">
            <v>1</v>
          </cell>
          <cell r="AO2046">
            <v>393216</v>
          </cell>
          <cell r="AQ2046">
            <v>0</v>
          </cell>
          <cell r="AR2046">
            <v>0</v>
          </cell>
          <cell r="AS2046" t="str">
            <v>Ы</v>
          </cell>
          <cell r="AT2046" t="str">
            <v>Ы</v>
          </cell>
          <cell r="AU2046">
            <v>0</v>
          </cell>
          <cell r="AV2046">
            <v>0</v>
          </cell>
          <cell r="AW2046">
            <v>23</v>
          </cell>
          <cell r="AX2046">
            <v>1</v>
          </cell>
          <cell r="AY2046">
            <v>0</v>
          </cell>
          <cell r="AZ2046">
            <v>0</v>
          </cell>
          <cell r="BA2046">
            <v>0</v>
          </cell>
          <cell r="BB2046">
            <v>0</v>
          </cell>
          <cell r="BC2046">
            <v>38828</v>
          </cell>
        </row>
        <row r="2047">
          <cell r="A2047">
            <v>2006</v>
          </cell>
          <cell r="B2047">
            <v>3</v>
          </cell>
          <cell r="C2047">
            <v>21</v>
          </cell>
          <cell r="D2047">
            <v>21</v>
          </cell>
          <cell r="E2047">
            <v>792020</v>
          </cell>
          <cell r="F2047">
            <v>0</v>
          </cell>
          <cell r="G2047" t="str">
            <v>Затраты по ШПЗ (основные)</v>
          </cell>
          <cell r="H2047">
            <v>2011</v>
          </cell>
          <cell r="I2047">
            <v>7920</v>
          </cell>
          <cell r="J2047">
            <v>495492.4</v>
          </cell>
          <cell r="K2047">
            <v>1</v>
          </cell>
          <cell r="L2047">
            <v>0</v>
          </cell>
          <cell r="M2047">
            <v>0</v>
          </cell>
          <cell r="N2047">
            <v>0</v>
          </cell>
          <cell r="R2047">
            <v>0</v>
          </cell>
          <cell r="S2047">
            <v>0</v>
          </cell>
          <cell r="T2047">
            <v>0</v>
          </cell>
          <cell r="U2047">
            <v>33</v>
          </cell>
          <cell r="V2047">
            <v>0</v>
          </cell>
          <cell r="W2047">
            <v>0</v>
          </cell>
          <cell r="AA2047">
            <v>0</v>
          </cell>
          <cell r="AB2047">
            <v>0</v>
          </cell>
          <cell r="AC2047">
            <v>0</v>
          </cell>
          <cell r="AD2047">
            <v>33</v>
          </cell>
          <cell r="AE2047">
            <v>151000</v>
          </cell>
          <cell r="AF2047">
            <v>0</v>
          </cell>
          <cell r="AI2047">
            <v>2282</v>
          </cell>
          <cell r="AK2047">
            <v>0</v>
          </cell>
          <cell r="AM2047">
            <v>178</v>
          </cell>
          <cell r="AN2047">
            <v>1</v>
          </cell>
          <cell r="AO2047">
            <v>393216</v>
          </cell>
          <cell r="AQ2047">
            <v>0</v>
          </cell>
          <cell r="AR2047">
            <v>0</v>
          </cell>
          <cell r="AS2047" t="str">
            <v>Ы</v>
          </cell>
          <cell r="AT2047" t="str">
            <v>Ы</v>
          </cell>
          <cell r="AU2047">
            <v>0</v>
          </cell>
          <cell r="AV2047">
            <v>0</v>
          </cell>
          <cell r="AW2047">
            <v>23</v>
          </cell>
          <cell r="AX2047">
            <v>1</v>
          </cell>
          <cell r="AY2047">
            <v>0</v>
          </cell>
          <cell r="AZ2047">
            <v>0</v>
          </cell>
          <cell r="BA2047">
            <v>0</v>
          </cell>
          <cell r="BB2047">
            <v>0</v>
          </cell>
          <cell r="BC2047">
            <v>38828</v>
          </cell>
        </row>
        <row r="2048">
          <cell r="A2048">
            <v>2006</v>
          </cell>
          <cell r="B2048">
            <v>3</v>
          </cell>
          <cell r="C2048">
            <v>22</v>
          </cell>
          <cell r="D2048">
            <v>21</v>
          </cell>
          <cell r="E2048">
            <v>792020</v>
          </cell>
          <cell r="F2048">
            <v>0</v>
          </cell>
          <cell r="G2048" t="str">
            <v>Затраты по ШПЗ (основные)</v>
          </cell>
          <cell r="H2048">
            <v>2011</v>
          </cell>
          <cell r="I2048">
            <v>7920</v>
          </cell>
          <cell r="J2048">
            <v>51317.599999999999</v>
          </cell>
          <cell r="K2048">
            <v>1</v>
          </cell>
          <cell r="L2048">
            <v>0</v>
          </cell>
          <cell r="M2048">
            <v>0</v>
          </cell>
          <cell r="N2048">
            <v>0</v>
          </cell>
          <cell r="R2048">
            <v>0</v>
          </cell>
          <cell r="S2048">
            <v>0</v>
          </cell>
          <cell r="T2048">
            <v>0</v>
          </cell>
          <cell r="U2048">
            <v>33</v>
          </cell>
          <cell r="V2048">
            <v>0</v>
          </cell>
          <cell r="W2048">
            <v>0</v>
          </cell>
          <cell r="AA2048">
            <v>0</v>
          </cell>
          <cell r="AB2048">
            <v>0</v>
          </cell>
          <cell r="AC2048">
            <v>0</v>
          </cell>
          <cell r="AD2048">
            <v>33</v>
          </cell>
          <cell r="AE2048">
            <v>152000</v>
          </cell>
          <cell r="AF2048">
            <v>0</v>
          </cell>
          <cell r="AI2048">
            <v>2282</v>
          </cell>
          <cell r="AK2048">
            <v>0</v>
          </cell>
          <cell r="AM2048">
            <v>179</v>
          </cell>
          <cell r="AN2048">
            <v>1</v>
          </cell>
          <cell r="AO2048">
            <v>393216</v>
          </cell>
          <cell r="AQ2048">
            <v>0</v>
          </cell>
          <cell r="AR2048">
            <v>0</v>
          </cell>
          <cell r="AS2048" t="str">
            <v>Ы</v>
          </cell>
          <cell r="AT2048" t="str">
            <v>Ы</v>
          </cell>
          <cell r="AU2048">
            <v>0</v>
          </cell>
          <cell r="AV2048">
            <v>0</v>
          </cell>
          <cell r="AW2048">
            <v>23</v>
          </cell>
          <cell r="AX2048">
            <v>1</v>
          </cell>
          <cell r="AY2048">
            <v>0</v>
          </cell>
          <cell r="AZ2048">
            <v>0</v>
          </cell>
          <cell r="BA2048">
            <v>0</v>
          </cell>
          <cell r="BB2048">
            <v>0</v>
          </cell>
          <cell r="BC2048">
            <v>38828</v>
          </cell>
        </row>
        <row r="2049">
          <cell r="A2049">
            <v>2006</v>
          </cell>
          <cell r="B2049">
            <v>3</v>
          </cell>
          <cell r="C2049">
            <v>23</v>
          </cell>
          <cell r="D2049">
            <v>21</v>
          </cell>
          <cell r="E2049">
            <v>792020</v>
          </cell>
          <cell r="F2049">
            <v>0</v>
          </cell>
          <cell r="G2049" t="str">
            <v>Затраты по ШПЗ (основные)</v>
          </cell>
          <cell r="H2049">
            <v>2011</v>
          </cell>
          <cell r="I2049">
            <v>7920</v>
          </cell>
          <cell r="J2049">
            <v>1592604.57</v>
          </cell>
          <cell r="K2049">
            <v>1</v>
          </cell>
          <cell r="L2049">
            <v>0</v>
          </cell>
          <cell r="M2049">
            <v>0</v>
          </cell>
          <cell r="N2049">
            <v>0</v>
          </cell>
          <cell r="R2049">
            <v>0</v>
          </cell>
          <cell r="S2049">
            <v>0</v>
          </cell>
          <cell r="T2049">
            <v>0</v>
          </cell>
          <cell r="U2049">
            <v>33</v>
          </cell>
          <cell r="V2049">
            <v>0</v>
          </cell>
          <cell r="W2049">
            <v>0</v>
          </cell>
          <cell r="AA2049">
            <v>0</v>
          </cell>
          <cell r="AB2049">
            <v>0</v>
          </cell>
          <cell r="AC2049">
            <v>0</v>
          </cell>
          <cell r="AD2049">
            <v>33</v>
          </cell>
          <cell r="AE2049">
            <v>220000</v>
          </cell>
          <cell r="AF2049">
            <v>0</v>
          </cell>
          <cell r="AI2049">
            <v>2282</v>
          </cell>
          <cell r="AK2049">
            <v>0</v>
          </cell>
          <cell r="AM2049">
            <v>180</v>
          </cell>
          <cell r="AN2049">
            <v>1</v>
          </cell>
          <cell r="AO2049">
            <v>393216</v>
          </cell>
          <cell r="AQ2049">
            <v>0</v>
          </cell>
          <cell r="AR2049">
            <v>0</v>
          </cell>
          <cell r="AS2049" t="str">
            <v>Ы</v>
          </cell>
          <cell r="AT2049" t="str">
            <v>Ы</v>
          </cell>
          <cell r="AU2049">
            <v>0</v>
          </cell>
          <cell r="AV2049">
            <v>0</v>
          </cell>
          <cell r="AW2049">
            <v>23</v>
          </cell>
          <cell r="AX2049">
            <v>1</v>
          </cell>
          <cell r="AY2049">
            <v>0</v>
          </cell>
          <cell r="AZ2049">
            <v>0</v>
          </cell>
          <cell r="BA2049">
            <v>0</v>
          </cell>
          <cell r="BB2049">
            <v>0</v>
          </cell>
          <cell r="BC2049">
            <v>38828</v>
          </cell>
        </row>
        <row r="2050">
          <cell r="A2050">
            <v>2006</v>
          </cell>
          <cell r="B2050">
            <v>3</v>
          </cell>
          <cell r="C2050">
            <v>24</v>
          </cell>
          <cell r="D2050">
            <v>21</v>
          </cell>
          <cell r="E2050">
            <v>792020</v>
          </cell>
          <cell r="F2050">
            <v>0</v>
          </cell>
          <cell r="G2050" t="str">
            <v>Затраты по ШПЗ (основные)</v>
          </cell>
          <cell r="H2050">
            <v>2011</v>
          </cell>
          <cell r="I2050">
            <v>7920</v>
          </cell>
          <cell r="J2050">
            <v>871688.26</v>
          </cell>
          <cell r="K2050">
            <v>1</v>
          </cell>
          <cell r="L2050">
            <v>0</v>
          </cell>
          <cell r="M2050">
            <v>0</v>
          </cell>
          <cell r="N2050">
            <v>0</v>
          </cell>
          <cell r="R2050">
            <v>0</v>
          </cell>
          <cell r="S2050">
            <v>0</v>
          </cell>
          <cell r="T2050">
            <v>0</v>
          </cell>
          <cell r="U2050">
            <v>33</v>
          </cell>
          <cell r="V2050">
            <v>0</v>
          </cell>
          <cell r="W2050">
            <v>0</v>
          </cell>
          <cell r="AA2050">
            <v>0</v>
          </cell>
          <cell r="AB2050">
            <v>0</v>
          </cell>
          <cell r="AC2050">
            <v>0</v>
          </cell>
          <cell r="AD2050">
            <v>33</v>
          </cell>
          <cell r="AE2050">
            <v>230000</v>
          </cell>
          <cell r="AF2050">
            <v>0</v>
          </cell>
          <cell r="AI2050">
            <v>2282</v>
          </cell>
          <cell r="AK2050">
            <v>0</v>
          </cell>
          <cell r="AM2050">
            <v>181</v>
          </cell>
          <cell r="AN2050">
            <v>1</v>
          </cell>
          <cell r="AO2050">
            <v>393216</v>
          </cell>
          <cell r="AQ2050">
            <v>0</v>
          </cell>
          <cell r="AR2050">
            <v>0</v>
          </cell>
          <cell r="AS2050" t="str">
            <v>Ы</v>
          </cell>
          <cell r="AT2050" t="str">
            <v>Ы</v>
          </cell>
          <cell r="AU2050">
            <v>0</v>
          </cell>
          <cell r="AV2050">
            <v>0</v>
          </cell>
          <cell r="AW2050">
            <v>23</v>
          </cell>
          <cell r="AX2050">
            <v>1</v>
          </cell>
          <cell r="AY2050">
            <v>0</v>
          </cell>
          <cell r="AZ2050">
            <v>0</v>
          </cell>
          <cell r="BA2050">
            <v>0</v>
          </cell>
          <cell r="BB2050">
            <v>0</v>
          </cell>
          <cell r="BC2050">
            <v>38828</v>
          </cell>
        </row>
        <row r="2051">
          <cell r="A2051">
            <v>2006</v>
          </cell>
          <cell r="B2051">
            <v>3</v>
          </cell>
          <cell r="C2051">
            <v>25</v>
          </cell>
          <cell r="D2051">
            <v>21</v>
          </cell>
          <cell r="E2051">
            <v>792020</v>
          </cell>
          <cell r="F2051">
            <v>0</v>
          </cell>
          <cell r="G2051" t="str">
            <v>Затраты по ШПЗ (основные)</v>
          </cell>
          <cell r="H2051">
            <v>2011</v>
          </cell>
          <cell r="I2051">
            <v>7920</v>
          </cell>
          <cell r="J2051">
            <v>163358.07999999999</v>
          </cell>
          <cell r="K2051">
            <v>1</v>
          </cell>
          <cell r="L2051">
            <v>0</v>
          </cell>
          <cell r="M2051">
            <v>0</v>
          </cell>
          <cell r="N2051">
            <v>0</v>
          </cell>
          <cell r="R2051">
            <v>0</v>
          </cell>
          <cell r="S2051">
            <v>0</v>
          </cell>
          <cell r="T2051">
            <v>0</v>
          </cell>
          <cell r="U2051">
            <v>33</v>
          </cell>
          <cell r="V2051">
            <v>0</v>
          </cell>
          <cell r="W2051">
            <v>0</v>
          </cell>
          <cell r="AA2051">
            <v>0</v>
          </cell>
          <cell r="AB2051">
            <v>0</v>
          </cell>
          <cell r="AC2051">
            <v>0</v>
          </cell>
          <cell r="AD2051">
            <v>33</v>
          </cell>
          <cell r="AE2051">
            <v>260000</v>
          </cell>
          <cell r="AF2051">
            <v>0</v>
          </cell>
          <cell r="AI2051">
            <v>2282</v>
          </cell>
          <cell r="AK2051">
            <v>0</v>
          </cell>
          <cell r="AM2051">
            <v>182</v>
          </cell>
          <cell r="AN2051">
            <v>1</v>
          </cell>
          <cell r="AO2051">
            <v>393216</v>
          </cell>
          <cell r="AQ2051">
            <v>0</v>
          </cell>
          <cell r="AR2051">
            <v>0</v>
          </cell>
          <cell r="AS2051" t="str">
            <v>Ы</v>
          </cell>
          <cell r="AT2051" t="str">
            <v>Ы</v>
          </cell>
          <cell r="AU2051">
            <v>0</v>
          </cell>
          <cell r="AV2051">
            <v>0</v>
          </cell>
          <cell r="AW2051">
            <v>23</v>
          </cell>
          <cell r="AX2051">
            <v>1</v>
          </cell>
          <cell r="AY2051">
            <v>0</v>
          </cell>
          <cell r="AZ2051">
            <v>0</v>
          </cell>
          <cell r="BA2051">
            <v>0</v>
          </cell>
          <cell r="BB2051">
            <v>0</v>
          </cell>
          <cell r="BC2051">
            <v>38828</v>
          </cell>
        </row>
        <row r="2052">
          <cell r="A2052">
            <v>2006</v>
          </cell>
          <cell r="B2052">
            <v>3</v>
          </cell>
          <cell r="C2052">
            <v>26</v>
          </cell>
          <cell r="D2052">
            <v>21</v>
          </cell>
          <cell r="E2052">
            <v>792020</v>
          </cell>
          <cell r="F2052">
            <v>0</v>
          </cell>
          <cell r="G2052" t="str">
            <v>Затраты по ШПЗ (основные)</v>
          </cell>
          <cell r="H2052">
            <v>2011</v>
          </cell>
          <cell r="I2052">
            <v>7920</v>
          </cell>
          <cell r="J2052">
            <v>231733.05</v>
          </cell>
          <cell r="K2052">
            <v>1</v>
          </cell>
          <cell r="L2052">
            <v>0</v>
          </cell>
          <cell r="M2052">
            <v>0</v>
          </cell>
          <cell r="N2052">
            <v>0</v>
          </cell>
          <cell r="R2052">
            <v>0</v>
          </cell>
          <cell r="S2052">
            <v>0</v>
          </cell>
          <cell r="T2052">
            <v>0</v>
          </cell>
          <cell r="U2052">
            <v>33</v>
          </cell>
          <cell r="V2052">
            <v>0</v>
          </cell>
          <cell r="W2052">
            <v>0</v>
          </cell>
          <cell r="AA2052">
            <v>0</v>
          </cell>
          <cell r="AB2052">
            <v>0</v>
          </cell>
          <cell r="AC2052">
            <v>0</v>
          </cell>
          <cell r="AD2052">
            <v>33</v>
          </cell>
          <cell r="AE2052">
            <v>270000</v>
          </cell>
          <cell r="AF2052">
            <v>0</v>
          </cell>
          <cell r="AI2052">
            <v>2282</v>
          </cell>
          <cell r="AK2052">
            <v>0</v>
          </cell>
          <cell r="AM2052">
            <v>183</v>
          </cell>
          <cell r="AN2052">
            <v>1</v>
          </cell>
          <cell r="AO2052">
            <v>393216</v>
          </cell>
          <cell r="AQ2052">
            <v>0</v>
          </cell>
          <cell r="AR2052">
            <v>0</v>
          </cell>
          <cell r="AS2052" t="str">
            <v>Ы</v>
          </cell>
          <cell r="AT2052" t="str">
            <v>Ы</v>
          </cell>
          <cell r="AU2052">
            <v>0</v>
          </cell>
          <cell r="AV2052">
            <v>0</v>
          </cell>
          <cell r="AW2052">
            <v>23</v>
          </cell>
          <cell r="AX2052">
            <v>1</v>
          </cell>
          <cell r="AY2052">
            <v>0</v>
          </cell>
          <cell r="AZ2052">
            <v>0</v>
          </cell>
          <cell r="BA2052">
            <v>0</v>
          </cell>
          <cell r="BB2052">
            <v>0</v>
          </cell>
          <cell r="BC2052">
            <v>38828</v>
          </cell>
        </row>
        <row r="2053">
          <cell r="A2053">
            <v>2006</v>
          </cell>
          <cell r="B2053">
            <v>3</v>
          </cell>
          <cell r="C2053">
            <v>27</v>
          </cell>
          <cell r="D2053">
            <v>21</v>
          </cell>
          <cell r="E2053">
            <v>792020</v>
          </cell>
          <cell r="F2053">
            <v>0</v>
          </cell>
          <cell r="G2053" t="str">
            <v>Затраты по ШПЗ (основные)</v>
          </cell>
          <cell r="H2053">
            <v>2011</v>
          </cell>
          <cell r="I2053">
            <v>7920</v>
          </cell>
          <cell r="J2053">
            <v>8009.15</v>
          </cell>
          <cell r="K2053">
            <v>1</v>
          </cell>
          <cell r="L2053">
            <v>0</v>
          </cell>
          <cell r="M2053">
            <v>0</v>
          </cell>
          <cell r="N2053">
            <v>0</v>
          </cell>
          <cell r="R2053">
            <v>0</v>
          </cell>
          <cell r="S2053">
            <v>0</v>
          </cell>
          <cell r="T2053">
            <v>0</v>
          </cell>
          <cell r="U2053">
            <v>33</v>
          </cell>
          <cell r="V2053">
            <v>0</v>
          </cell>
          <cell r="W2053">
            <v>0</v>
          </cell>
          <cell r="AA2053">
            <v>0</v>
          </cell>
          <cell r="AB2053">
            <v>0</v>
          </cell>
          <cell r="AC2053">
            <v>0</v>
          </cell>
          <cell r="AD2053">
            <v>33</v>
          </cell>
          <cell r="AE2053">
            <v>280000</v>
          </cell>
          <cell r="AF2053">
            <v>0</v>
          </cell>
          <cell r="AI2053">
            <v>2282</v>
          </cell>
          <cell r="AK2053">
            <v>0</v>
          </cell>
          <cell r="AM2053">
            <v>184</v>
          </cell>
          <cell r="AN2053">
            <v>1</v>
          </cell>
          <cell r="AO2053">
            <v>393216</v>
          </cell>
          <cell r="AQ2053">
            <v>0</v>
          </cell>
          <cell r="AR2053">
            <v>0</v>
          </cell>
          <cell r="AS2053" t="str">
            <v>Ы</v>
          </cell>
          <cell r="AT2053" t="str">
            <v>Ы</v>
          </cell>
          <cell r="AU2053">
            <v>0</v>
          </cell>
          <cell r="AV2053">
            <v>0</v>
          </cell>
          <cell r="AW2053">
            <v>23</v>
          </cell>
          <cell r="AX2053">
            <v>1</v>
          </cell>
          <cell r="AY2053">
            <v>0</v>
          </cell>
          <cell r="AZ2053">
            <v>0</v>
          </cell>
          <cell r="BA2053">
            <v>0</v>
          </cell>
          <cell r="BB2053">
            <v>0</v>
          </cell>
          <cell r="BC2053">
            <v>38828</v>
          </cell>
        </row>
        <row r="2054">
          <cell r="A2054">
            <v>2006</v>
          </cell>
          <cell r="B2054">
            <v>3</v>
          </cell>
          <cell r="C2054">
            <v>28</v>
          </cell>
          <cell r="D2054">
            <v>21</v>
          </cell>
          <cell r="E2054">
            <v>792020</v>
          </cell>
          <cell r="F2054">
            <v>0</v>
          </cell>
          <cell r="G2054" t="str">
            <v>Затраты по ШПЗ (основные)</v>
          </cell>
          <cell r="H2054">
            <v>2011</v>
          </cell>
          <cell r="I2054">
            <v>7920</v>
          </cell>
          <cell r="J2054">
            <v>55215.73</v>
          </cell>
          <cell r="K2054">
            <v>1</v>
          </cell>
          <cell r="L2054">
            <v>0</v>
          </cell>
          <cell r="M2054">
            <v>0</v>
          </cell>
          <cell r="N2054">
            <v>0</v>
          </cell>
          <cell r="R2054">
            <v>0</v>
          </cell>
          <cell r="S2054">
            <v>0</v>
          </cell>
          <cell r="T2054">
            <v>0</v>
          </cell>
          <cell r="U2054">
            <v>33</v>
          </cell>
          <cell r="V2054">
            <v>0</v>
          </cell>
          <cell r="W2054">
            <v>0</v>
          </cell>
          <cell r="AA2054">
            <v>0</v>
          </cell>
          <cell r="AB2054">
            <v>0</v>
          </cell>
          <cell r="AC2054">
            <v>0</v>
          </cell>
          <cell r="AD2054">
            <v>33</v>
          </cell>
          <cell r="AE2054">
            <v>280100</v>
          </cell>
          <cell r="AF2054">
            <v>0</v>
          </cell>
          <cell r="AI2054">
            <v>2282</v>
          </cell>
          <cell r="AK2054">
            <v>0</v>
          </cell>
          <cell r="AM2054">
            <v>185</v>
          </cell>
          <cell r="AN2054">
            <v>1</v>
          </cell>
          <cell r="AO2054">
            <v>393216</v>
          </cell>
          <cell r="AQ2054">
            <v>0</v>
          </cell>
          <cell r="AR2054">
            <v>0</v>
          </cell>
          <cell r="AS2054" t="str">
            <v>Ы</v>
          </cell>
          <cell r="AT2054" t="str">
            <v>Ы</v>
          </cell>
          <cell r="AU2054">
            <v>0</v>
          </cell>
          <cell r="AV2054">
            <v>0</v>
          </cell>
          <cell r="AW2054">
            <v>23</v>
          </cell>
          <cell r="AX2054">
            <v>1</v>
          </cell>
          <cell r="AY2054">
            <v>0</v>
          </cell>
          <cell r="AZ2054">
            <v>0</v>
          </cell>
          <cell r="BA2054">
            <v>0</v>
          </cell>
          <cell r="BB2054">
            <v>0</v>
          </cell>
          <cell r="BC2054">
            <v>38828</v>
          </cell>
        </row>
        <row r="2055">
          <cell r="A2055">
            <v>2006</v>
          </cell>
          <cell r="B2055">
            <v>3</v>
          </cell>
          <cell r="C2055">
            <v>29</v>
          </cell>
          <cell r="D2055">
            <v>21</v>
          </cell>
          <cell r="E2055">
            <v>792020</v>
          </cell>
          <cell r="F2055">
            <v>0</v>
          </cell>
          <cell r="G2055" t="str">
            <v>Затраты по ШПЗ (основные)</v>
          </cell>
          <cell r="H2055">
            <v>2011</v>
          </cell>
          <cell r="I2055">
            <v>7920</v>
          </cell>
          <cell r="J2055">
            <v>49626.21</v>
          </cell>
          <cell r="K2055">
            <v>1</v>
          </cell>
          <cell r="L2055">
            <v>0</v>
          </cell>
          <cell r="M2055">
            <v>0</v>
          </cell>
          <cell r="N2055">
            <v>0</v>
          </cell>
          <cell r="R2055">
            <v>0</v>
          </cell>
          <cell r="S2055">
            <v>0</v>
          </cell>
          <cell r="T2055">
            <v>0</v>
          </cell>
          <cell r="U2055">
            <v>33</v>
          </cell>
          <cell r="V2055">
            <v>0</v>
          </cell>
          <cell r="W2055">
            <v>0</v>
          </cell>
          <cell r="AA2055">
            <v>0</v>
          </cell>
          <cell r="AB2055">
            <v>0</v>
          </cell>
          <cell r="AC2055">
            <v>0</v>
          </cell>
          <cell r="AD2055">
            <v>33</v>
          </cell>
          <cell r="AE2055">
            <v>280200</v>
          </cell>
          <cell r="AF2055">
            <v>0</v>
          </cell>
          <cell r="AI2055">
            <v>2282</v>
          </cell>
          <cell r="AK2055">
            <v>0</v>
          </cell>
          <cell r="AM2055">
            <v>186</v>
          </cell>
          <cell r="AN2055">
            <v>1</v>
          </cell>
          <cell r="AO2055">
            <v>393216</v>
          </cell>
          <cell r="AQ2055">
            <v>0</v>
          </cell>
          <cell r="AR2055">
            <v>0</v>
          </cell>
          <cell r="AS2055" t="str">
            <v>Ы</v>
          </cell>
          <cell r="AT2055" t="str">
            <v>Ы</v>
          </cell>
          <cell r="AU2055">
            <v>0</v>
          </cell>
          <cell r="AV2055">
            <v>0</v>
          </cell>
          <cell r="AW2055">
            <v>23</v>
          </cell>
          <cell r="AX2055">
            <v>1</v>
          </cell>
          <cell r="AY2055">
            <v>0</v>
          </cell>
          <cell r="AZ2055">
            <v>0</v>
          </cell>
          <cell r="BA2055">
            <v>0</v>
          </cell>
          <cell r="BB2055">
            <v>0</v>
          </cell>
          <cell r="BC2055">
            <v>38828</v>
          </cell>
        </row>
        <row r="2056">
          <cell r="A2056">
            <v>2006</v>
          </cell>
          <cell r="B2056">
            <v>3</v>
          </cell>
          <cell r="C2056">
            <v>30</v>
          </cell>
          <cell r="D2056">
            <v>21</v>
          </cell>
          <cell r="E2056">
            <v>792020</v>
          </cell>
          <cell r="F2056">
            <v>0</v>
          </cell>
          <cell r="G2056" t="str">
            <v>Затраты по ШПЗ (основные)</v>
          </cell>
          <cell r="H2056">
            <v>2011</v>
          </cell>
          <cell r="I2056">
            <v>7920</v>
          </cell>
          <cell r="J2056">
            <v>4119.8</v>
          </cell>
          <cell r="K2056">
            <v>1</v>
          </cell>
          <cell r="L2056">
            <v>0</v>
          </cell>
          <cell r="M2056">
            <v>0</v>
          </cell>
          <cell r="N2056">
            <v>0</v>
          </cell>
          <cell r="R2056">
            <v>0</v>
          </cell>
          <cell r="S2056">
            <v>0</v>
          </cell>
          <cell r="T2056">
            <v>0</v>
          </cell>
          <cell r="U2056">
            <v>33</v>
          </cell>
          <cell r="V2056">
            <v>0</v>
          </cell>
          <cell r="W2056">
            <v>0</v>
          </cell>
          <cell r="AA2056">
            <v>0</v>
          </cell>
          <cell r="AB2056">
            <v>0</v>
          </cell>
          <cell r="AC2056">
            <v>0</v>
          </cell>
          <cell r="AD2056">
            <v>33</v>
          </cell>
          <cell r="AE2056">
            <v>280300</v>
          </cell>
          <cell r="AF2056">
            <v>0</v>
          </cell>
          <cell r="AI2056">
            <v>2282</v>
          </cell>
          <cell r="AK2056">
            <v>0</v>
          </cell>
          <cell r="AM2056">
            <v>187</v>
          </cell>
          <cell r="AN2056">
            <v>1</v>
          </cell>
          <cell r="AO2056">
            <v>393216</v>
          </cell>
          <cell r="AQ2056">
            <v>0</v>
          </cell>
          <cell r="AR2056">
            <v>0</v>
          </cell>
          <cell r="AS2056" t="str">
            <v>Ы</v>
          </cell>
          <cell r="AT2056" t="str">
            <v>Ы</v>
          </cell>
          <cell r="AU2056">
            <v>0</v>
          </cell>
          <cell r="AV2056">
            <v>0</v>
          </cell>
          <cell r="AW2056">
            <v>23</v>
          </cell>
          <cell r="AX2056">
            <v>1</v>
          </cell>
          <cell r="AY2056">
            <v>0</v>
          </cell>
          <cell r="AZ2056">
            <v>0</v>
          </cell>
          <cell r="BA2056">
            <v>0</v>
          </cell>
          <cell r="BB2056">
            <v>0</v>
          </cell>
          <cell r="BC2056">
            <v>38828</v>
          </cell>
        </row>
        <row r="2057">
          <cell r="A2057">
            <v>2006</v>
          </cell>
          <cell r="B2057">
            <v>3</v>
          </cell>
          <cell r="C2057">
            <v>31</v>
          </cell>
          <cell r="D2057">
            <v>21</v>
          </cell>
          <cell r="E2057">
            <v>792020</v>
          </cell>
          <cell r="F2057">
            <v>0</v>
          </cell>
          <cell r="G2057" t="str">
            <v>Затраты по ШПЗ (основные)</v>
          </cell>
          <cell r="H2057">
            <v>2011</v>
          </cell>
          <cell r="I2057">
            <v>7920</v>
          </cell>
          <cell r="J2057">
            <v>138599.04999999999</v>
          </cell>
          <cell r="K2057">
            <v>1</v>
          </cell>
          <cell r="L2057">
            <v>0</v>
          </cell>
          <cell r="M2057">
            <v>0</v>
          </cell>
          <cell r="N2057">
            <v>0</v>
          </cell>
          <cell r="R2057">
            <v>0</v>
          </cell>
          <cell r="S2057">
            <v>0</v>
          </cell>
          <cell r="T2057">
            <v>0</v>
          </cell>
          <cell r="U2057">
            <v>33</v>
          </cell>
          <cell r="V2057">
            <v>0</v>
          </cell>
          <cell r="W2057">
            <v>0</v>
          </cell>
          <cell r="AA2057">
            <v>0</v>
          </cell>
          <cell r="AB2057">
            <v>0</v>
          </cell>
          <cell r="AC2057">
            <v>0</v>
          </cell>
          <cell r="AD2057">
            <v>33</v>
          </cell>
          <cell r="AE2057">
            <v>280400</v>
          </cell>
          <cell r="AF2057">
            <v>0</v>
          </cell>
          <cell r="AI2057">
            <v>2282</v>
          </cell>
          <cell r="AK2057">
            <v>0</v>
          </cell>
          <cell r="AM2057">
            <v>188</v>
          </cell>
          <cell r="AN2057">
            <v>1</v>
          </cell>
          <cell r="AO2057">
            <v>393216</v>
          </cell>
          <cell r="AQ2057">
            <v>0</v>
          </cell>
          <cell r="AR2057">
            <v>0</v>
          </cell>
          <cell r="AS2057" t="str">
            <v>Ы</v>
          </cell>
          <cell r="AT2057" t="str">
            <v>Ы</v>
          </cell>
          <cell r="AU2057">
            <v>0</v>
          </cell>
          <cell r="AV2057">
            <v>0</v>
          </cell>
          <cell r="AW2057">
            <v>23</v>
          </cell>
          <cell r="AX2057">
            <v>1</v>
          </cell>
          <cell r="AY2057">
            <v>0</v>
          </cell>
          <cell r="AZ2057">
            <v>0</v>
          </cell>
          <cell r="BA2057">
            <v>0</v>
          </cell>
          <cell r="BB2057">
            <v>0</v>
          </cell>
          <cell r="BC2057">
            <v>38828</v>
          </cell>
        </row>
        <row r="2058">
          <cell r="A2058">
            <v>2006</v>
          </cell>
          <cell r="B2058">
            <v>3</v>
          </cell>
          <cell r="C2058">
            <v>32</v>
          </cell>
          <cell r="D2058">
            <v>21</v>
          </cell>
          <cell r="E2058">
            <v>792020</v>
          </cell>
          <cell r="F2058">
            <v>0</v>
          </cell>
          <cell r="G2058" t="str">
            <v>Затраты по ШПЗ (основные)</v>
          </cell>
          <cell r="H2058">
            <v>2011</v>
          </cell>
          <cell r="I2058">
            <v>7920</v>
          </cell>
          <cell r="J2058">
            <v>-17312.189999999999</v>
          </cell>
          <cell r="K2058">
            <v>1</v>
          </cell>
          <cell r="L2058">
            <v>0</v>
          </cell>
          <cell r="M2058">
            <v>0</v>
          </cell>
          <cell r="N2058">
            <v>0</v>
          </cell>
          <cell r="R2058">
            <v>0</v>
          </cell>
          <cell r="S2058">
            <v>0</v>
          </cell>
          <cell r="T2058">
            <v>0</v>
          </cell>
          <cell r="U2058">
            <v>33</v>
          </cell>
          <cell r="V2058">
            <v>0</v>
          </cell>
          <cell r="W2058">
            <v>0</v>
          </cell>
          <cell r="AA2058">
            <v>0</v>
          </cell>
          <cell r="AB2058">
            <v>0</v>
          </cell>
          <cell r="AC2058">
            <v>0</v>
          </cell>
          <cell r="AD2058">
            <v>33</v>
          </cell>
          <cell r="AE2058">
            <v>281000</v>
          </cell>
          <cell r="AF2058">
            <v>0</v>
          </cell>
          <cell r="AI2058">
            <v>2282</v>
          </cell>
          <cell r="AK2058">
            <v>0</v>
          </cell>
          <cell r="AM2058">
            <v>189</v>
          </cell>
          <cell r="AN2058">
            <v>1</v>
          </cell>
          <cell r="AO2058">
            <v>393216</v>
          </cell>
          <cell r="AQ2058">
            <v>0</v>
          </cell>
          <cell r="AR2058">
            <v>0</v>
          </cell>
          <cell r="AS2058" t="str">
            <v>Ы</v>
          </cell>
          <cell r="AT2058" t="str">
            <v>Ы</v>
          </cell>
          <cell r="AU2058">
            <v>0</v>
          </cell>
          <cell r="AV2058">
            <v>0</v>
          </cell>
          <cell r="AW2058">
            <v>23</v>
          </cell>
          <cell r="AX2058">
            <v>1</v>
          </cell>
          <cell r="AY2058">
            <v>0</v>
          </cell>
          <cell r="AZ2058">
            <v>0</v>
          </cell>
          <cell r="BA2058">
            <v>0</v>
          </cell>
          <cell r="BB2058">
            <v>0</v>
          </cell>
          <cell r="BC2058">
            <v>38828</v>
          </cell>
        </row>
        <row r="2059">
          <cell r="A2059">
            <v>2006</v>
          </cell>
          <cell r="B2059">
            <v>3</v>
          </cell>
          <cell r="C2059">
            <v>33</v>
          </cell>
          <cell r="D2059">
            <v>21</v>
          </cell>
          <cell r="E2059">
            <v>792020</v>
          </cell>
          <cell r="F2059">
            <v>0</v>
          </cell>
          <cell r="G2059" t="str">
            <v>Затраты по ШПЗ (основные)</v>
          </cell>
          <cell r="H2059">
            <v>2011</v>
          </cell>
          <cell r="I2059">
            <v>7920</v>
          </cell>
          <cell r="J2059">
            <v>45480.68</v>
          </cell>
          <cell r="K2059">
            <v>1</v>
          </cell>
          <cell r="L2059">
            <v>0</v>
          </cell>
          <cell r="M2059">
            <v>0</v>
          </cell>
          <cell r="N2059">
            <v>0</v>
          </cell>
          <cell r="R2059">
            <v>0</v>
          </cell>
          <cell r="S2059">
            <v>0</v>
          </cell>
          <cell r="T2059">
            <v>0</v>
          </cell>
          <cell r="U2059">
            <v>33</v>
          </cell>
          <cell r="V2059">
            <v>0</v>
          </cell>
          <cell r="W2059">
            <v>0</v>
          </cell>
          <cell r="AA2059">
            <v>0</v>
          </cell>
          <cell r="AB2059">
            <v>0</v>
          </cell>
          <cell r="AC2059">
            <v>0</v>
          </cell>
          <cell r="AD2059">
            <v>33</v>
          </cell>
          <cell r="AE2059">
            <v>281100</v>
          </cell>
          <cell r="AF2059">
            <v>0</v>
          </cell>
          <cell r="AI2059">
            <v>2282</v>
          </cell>
          <cell r="AK2059">
            <v>0</v>
          </cell>
          <cell r="AM2059">
            <v>190</v>
          </cell>
          <cell r="AN2059">
            <v>1</v>
          </cell>
          <cell r="AO2059">
            <v>393216</v>
          </cell>
          <cell r="AQ2059">
            <v>0</v>
          </cell>
          <cell r="AR2059">
            <v>0</v>
          </cell>
          <cell r="AS2059" t="str">
            <v>Ы</v>
          </cell>
          <cell r="AT2059" t="str">
            <v>Ы</v>
          </cell>
          <cell r="AU2059">
            <v>0</v>
          </cell>
          <cell r="AV2059">
            <v>0</v>
          </cell>
          <cell r="AW2059">
            <v>23</v>
          </cell>
          <cell r="AX2059">
            <v>1</v>
          </cell>
          <cell r="AY2059">
            <v>0</v>
          </cell>
          <cell r="AZ2059">
            <v>0</v>
          </cell>
          <cell r="BA2059">
            <v>0</v>
          </cell>
          <cell r="BB2059">
            <v>0</v>
          </cell>
          <cell r="BC2059">
            <v>38828</v>
          </cell>
        </row>
        <row r="2060">
          <cell r="A2060">
            <v>2006</v>
          </cell>
          <cell r="B2060">
            <v>3</v>
          </cell>
          <cell r="C2060">
            <v>34</v>
          </cell>
          <cell r="D2060">
            <v>21</v>
          </cell>
          <cell r="E2060">
            <v>792020</v>
          </cell>
          <cell r="F2060">
            <v>0</v>
          </cell>
          <cell r="G2060" t="str">
            <v>Затраты по ШПЗ (основные)</v>
          </cell>
          <cell r="H2060">
            <v>2011</v>
          </cell>
          <cell r="I2060">
            <v>7920</v>
          </cell>
          <cell r="J2060">
            <v>23699.89</v>
          </cell>
          <cell r="K2060">
            <v>1</v>
          </cell>
          <cell r="L2060">
            <v>0</v>
          </cell>
          <cell r="M2060">
            <v>0</v>
          </cell>
          <cell r="N2060">
            <v>0</v>
          </cell>
          <cell r="R2060">
            <v>0</v>
          </cell>
          <cell r="S2060">
            <v>0</v>
          </cell>
          <cell r="T2060">
            <v>0</v>
          </cell>
          <cell r="U2060">
            <v>33</v>
          </cell>
          <cell r="V2060">
            <v>0</v>
          </cell>
          <cell r="W2060">
            <v>0</v>
          </cell>
          <cell r="AA2060">
            <v>0</v>
          </cell>
          <cell r="AB2060">
            <v>0</v>
          </cell>
          <cell r="AC2060">
            <v>0</v>
          </cell>
          <cell r="AD2060">
            <v>33</v>
          </cell>
          <cell r="AE2060">
            <v>282200</v>
          </cell>
          <cell r="AF2060">
            <v>0</v>
          </cell>
          <cell r="AI2060">
            <v>2282</v>
          </cell>
          <cell r="AK2060">
            <v>0</v>
          </cell>
          <cell r="AM2060">
            <v>191</v>
          </cell>
          <cell r="AN2060">
            <v>1</v>
          </cell>
          <cell r="AO2060">
            <v>393216</v>
          </cell>
          <cell r="AQ2060">
            <v>0</v>
          </cell>
          <cell r="AR2060">
            <v>0</v>
          </cell>
          <cell r="AS2060" t="str">
            <v>Ы</v>
          </cell>
          <cell r="AT2060" t="str">
            <v>Ы</v>
          </cell>
          <cell r="AU2060">
            <v>0</v>
          </cell>
          <cell r="AV2060">
            <v>0</v>
          </cell>
          <cell r="AW2060">
            <v>23</v>
          </cell>
          <cell r="AX2060">
            <v>1</v>
          </cell>
          <cell r="AY2060">
            <v>0</v>
          </cell>
          <cell r="AZ2060">
            <v>0</v>
          </cell>
          <cell r="BA2060">
            <v>0</v>
          </cell>
          <cell r="BB2060">
            <v>0</v>
          </cell>
          <cell r="BC2060">
            <v>38828</v>
          </cell>
        </row>
        <row r="2061">
          <cell r="A2061">
            <v>2006</v>
          </cell>
          <cell r="B2061">
            <v>3</v>
          </cell>
          <cell r="C2061">
            <v>35</v>
          </cell>
          <cell r="D2061">
            <v>21</v>
          </cell>
          <cell r="E2061">
            <v>792020</v>
          </cell>
          <cell r="F2061">
            <v>0</v>
          </cell>
          <cell r="G2061" t="str">
            <v>Затраты по ШПЗ (основные)</v>
          </cell>
          <cell r="H2061">
            <v>2011</v>
          </cell>
          <cell r="I2061">
            <v>7920</v>
          </cell>
          <cell r="J2061">
            <v>2356.7600000000002</v>
          </cell>
          <cell r="K2061">
            <v>1</v>
          </cell>
          <cell r="L2061">
            <v>0</v>
          </cell>
          <cell r="M2061">
            <v>0</v>
          </cell>
          <cell r="N2061">
            <v>0</v>
          </cell>
          <cell r="R2061">
            <v>0</v>
          </cell>
          <cell r="S2061">
            <v>0</v>
          </cell>
          <cell r="T2061">
            <v>0</v>
          </cell>
          <cell r="U2061">
            <v>33</v>
          </cell>
          <cell r="V2061">
            <v>0</v>
          </cell>
          <cell r="W2061">
            <v>0</v>
          </cell>
          <cell r="AA2061">
            <v>0</v>
          </cell>
          <cell r="AB2061">
            <v>0</v>
          </cell>
          <cell r="AC2061">
            <v>0</v>
          </cell>
          <cell r="AD2061">
            <v>33</v>
          </cell>
          <cell r="AE2061">
            <v>282300</v>
          </cell>
          <cell r="AF2061">
            <v>0</v>
          </cell>
          <cell r="AI2061">
            <v>2282</v>
          </cell>
          <cell r="AK2061">
            <v>0</v>
          </cell>
          <cell r="AM2061">
            <v>192</v>
          </cell>
          <cell r="AN2061">
            <v>1</v>
          </cell>
          <cell r="AO2061">
            <v>393216</v>
          </cell>
          <cell r="AQ2061">
            <v>0</v>
          </cell>
          <cell r="AR2061">
            <v>0</v>
          </cell>
          <cell r="AS2061" t="str">
            <v>Ы</v>
          </cell>
          <cell r="AT2061" t="str">
            <v>Ы</v>
          </cell>
          <cell r="AU2061">
            <v>0</v>
          </cell>
          <cell r="AV2061">
            <v>0</v>
          </cell>
          <cell r="AW2061">
            <v>23</v>
          </cell>
          <cell r="AX2061">
            <v>1</v>
          </cell>
          <cell r="AY2061">
            <v>0</v>
          </cell>
          <cell r="AZ2061">
            <v>0</v>
          </cell>
          <cell r="BA2061">
            <v>0</v>
          </cell>
          <cell r="BB2061">
            <v>0</v>
          </cell>
          <cell r="BC2061">
            <v>38828</v>
          </cell>
        </row>
        <row r="2062">
          <cell r="A2062">
            <v>2006</v>
          </cell>
          <cell r="B2062">
            <v>3</v>
          </cell>
          <cell r="C2062">
            <v>36</v>
          </cell>
          <cell r="D2062">
            <v>21</v>
          </cell>
          <cell r="E2062">
            <v>792020</v>
          </cell>
          <cell r="F2062">
            <v>0</v>
          </cell>
          <cell r="G2062" t="str">
            <v>Затраты по ШПЗ (основные)</v>
          </cell>
          <cell r="H2062">
            <v>2011</v>
          </cell>
          <cell r="I2062">
            <v>7920</v>
          </cell>
          <cell r="J2062">
            <v>101260.51</v>
          </cell>
          <cell r="K2062">
            <v>1</v>
          </cell>
          <cell r="L2062">
            <v>0</v>
          </cell>
          <cell r="M2062">
            <v>0</v>
          </cell>
          <cell r="N2062">
            <v>0</v>
          </cell>
          <cell r="R2062">
            <v>0</v>
          </cell>
          <cell r="S2062">
            <v>0</v>
          </cell>
          <cell r="T2062">
            <v>0</v>
          </cell>
          <cell r="U2062">
            <v>33</v>
          </cell>
          <cell r="V2062">
            <v>0</v>
          </cell>
          <cell r="W2062">
            <v>0</v>
          </cell>
          <cell r="AA2062">
            <v>0</v>
          </cell>
          <cell r="AB2062">
            <v>0</v>
          </cell>
          <cell r="AC2062">
            <v>0</v>
          </cell>
          <cell r="AD2062">
            <v>33</v>
          </cell>
          <cell r="AE2062">
            <v>283000</v>
          </cell>
          <cell r="AF2062">
            <v>0</v>
          </cell>
          <cell r="AI2062">
            <v>2282</v>
          </cell>
          <cell r="AK2062">
            <v>0</v>
          </cell>
          <cell r="AM2062">
            <v>193</v>
          </cell>
          <cell r="AN2062">
            <v>1</v>
          </cell>
          <cell r="AO2062">
            <v>393216</v>
          </cell>
          <cell r="AQ2062">
            <v>0</v>
          </cell>
          <cell r="AR2062">
            <v>0</v>
          </cell>
          <cell r="AS2062" t="str">
            <v>Ы</v>
          </cell>
          <cell r="AT2062" t="str">
            <v>Ы</v>
          </cell>
          <cell r="AU2062">
            <v>0</v>
          </cell>
          <cell r="AV2062">
            <v>0</v>
          </cell>
          <cell r="AW2062">
            <v>23</v>
          </cell>
          <cell r="AX2062">
            <v>1</v>
          </cell>
          <cell r="AY2062">
            <v>0</v>
          </cell>
          <cell r="AZ2062">
            <v>0</v>
          </cell>
          <cell r="BA2062">
            <v>0</v>
          </cell>
          <cell r="BB2062">
            <v>0</v>
          </cell>
          <cell r="BC2062">
            <v>38828</v>
          </cell>
        </row>
        <row r="2063">
          <cell r="A2063">
            <v>2006</v>
          </cell>
          <cell r="B2063">
            <v>3</v>
          </cell>
          <cell r="C2063">
            <v>37</v>
          </cell>
          <cell r="D2063">
            <v>21</v>
          </cell>
          <cell r="E2063">
            <v>792020</v>
          </cell>
          <cell r="F2063">
            <v>0</v>
          </cell>
          <cell r="G2063" t="str">
            <v>Затраты по ШПЗ (основные)</v>
          </cell>
          <cell r="H2063">
            <v>2011</v>
          </cell>
          <cell r="I2063">
            <v>7920</v>
          </cell>
          <cell r="J2063">
            <v>17489.310000000001</v>
          </cell>
          <cell r="K2063">
            <v>1</v>
          </cell>
          <cell r="L2063">
            <v>0</v>
          </cell>
          <cell r="M2063">
            <v>0</v>
          </cell>
          <cell r="N2063">
            <v>0</v>
          </cell>
          <cell r="R2063">
            <v>0</v>
          </cell>
          <cell r="S2063">
            <v>0</v>
          </cell>
          <cell r="T2063">
            <v>0</v>
          </cell>
          <cell r="U2063">
            <v>33</v>
          </cell>
          <cell r="V2063">
            <v>0</v>
          </cell>
          <cell r="W2063">
            <v>0</v>
          </cell>
          <cell r="AA2063">
            <v>0</v>
          </cell>
          <cell r="AB2063">
            <v>0</v>
          </cell>
          <cell r="AC2063">
            <v>0</v>
          </cell>
          <cell r="AD2063">
            <v>33</v>
          </cell>
          <cell r="AE2063">
            <v>285000</v>
          </cell>
          <cell r="AF2063">
            <v>0</v>
          </cell>
          <cell r="AI2063">
            <v>2282</v>
          </cell>
          <cell r="AK2063">
            <v>0</v>
          </cell>
          <cell r="AM2063">
            <v>194</v>
          </cell>
          <cell r="AN2063">
            <v>1</v>
          </cell>
          <cell r="AO2063">
            <v>393216</v>
          </cell>
          <cell r="AQ2063">
            <v>0</v>
          </cell>
          <cell r="AR2063">
            <v>0</v>
          </cell>
          <cell r="AS2063" t="str">
            <v>Ы</v>
          </cell>
          <cell r="AT2063" t="str">
            <v>Ы</v>
          </cell>
          <cell r="AU2063">
            <v>0</v>
          </cell>
          <cell r="AV2063">
            <v>0</v>
          </cell>
          <cell r="AW2063">
            <v>23</v>
          </cell>
          <cell r="AX2063">
            <v>1</v>
          </cell>
          <cell r="AY2063">
            <v>0</v>
          </cell>
          <cell r="AZ2063">
            <v>0</v>
          </cell>
          <cell r="BA2063">
            <v>0</v>
          </cell>
          <cell r="BB2063">
            <v>0</v>
          </cell>
          <cell r="BC2063">
            <v>38828</v>
          </cell>
        </row>
        <row r="2064">
          <cell r="A2064">
            <v>2006</v>
          </cell>
          <cell r="B2064">
            <v>3</v>
          </cell>
          <cell r="C2064">
            <v>38</v>
          </cell>
          <cell r="D2064">
            <v>21</v>
          </cell>
          <cell r="E2064">
            <v>792020</v>
          </cell>
          <cell r="F2064">
            <v>0</v>
          </cell>
          <cell r="G2064" t="str">
            <v>Затраты по ШПЗ (основные)</v>
          </cell>
          <cell r="H2064">
            <v>2011</v>
          </cell>
          <cell r="I2064">
            <v>7920</v>
          </cell>
          <cell r="J2064">
            <v>93607.31</v>
          </cell>
          <cell r="K2064">
            <v>1</v>
          </cell>
          <cell r="L2064">
            <v>0</v>
          </cell>
          <cell r="M2064">
            <v>0</v>
          </cell>
          <cell r="N2064">
            <v>0</v>
          </cell>
          <cell r="R2064">
            <v>0</v>
          </cell>
          <cell r="S2064">
            <v>0</v>
          </cell>
          <cell r="T2064">
            <v>0</v>
          </cell>
          <cell r="U2064">
            <v>33</v>
          </cell>
          <cell r="V2064">
            <v>0</v>
          </cell>
          <cell r="W2064">
            <v>0</v>
          </cell>
          <cell r="AA2064">
            <v>0</v>
          </cell>
          <cell r="AB2064">
            <v>0</v>
          </cell>
          <cell r="AC2064">
            <v>0</v>
          </cell>
          <cell r="AD2064">
            <v>33</v>
          </cell>
          <cell r="AE2064">
            <v>311000</v>
          </cell>
          <cell r="AF2064">
            <v>0</v>
          </cell>
          <cell r="AI2064">
            <v>2282</v>
          </cell>
          <cell r="AK2064">
            <v>0</v>
          </cell>
          <cell r="AM2064">
            <v>195</v>
          </cell>
          <cell r="AN2064">
            <v>1</v>
          </cell>
          <cell r="AO2064">
            <v>393216</v>
          </cell>
          <cell r="AQ2064">
            <v>0</v>
          </cell>
          <cell r="AR2064">
            <v>0</v>
          </cell>
          <cell r="AS2064" t="str">
            <v>Ы</v>
          </cell>
          <cell r="AT2064" t="str">
            <v>Ы</v>
          </cell>
          <cell r="AU2064">
            <v>0</v>
          </cell>
          <cell r="AV2064">
            <v>0</v>
          </cell>
          <cell r="AW2064">
            <v>23</v>
          </cell>
          <cell r="AX2064">
            <v>1</v>
          </cell>
          <cell r="AY2064">
            <v>0</v>
          </cell>
          <cell r="AZ2064">
            <v>0</v>
          </cell>
          <cell r="BA2064">
            <v>0</v>
          </cell>
          <cell r="BB2064">
            <v>0</v>
          </cell>
          <cell r="BC2064">
            <v>38828</v>
          </cell>
        </row>
        <row r="2065">
          <cell r="A2065">
            <v>2006</v>
          </cell>
          <cell r="B2065">
            <v>3</v>
          </cell>
          <cell r="C2065">
            <v>39</v>
          </cell>
          <cell r="D2065">
            <v>21</v>
          </cell>
          <cell r="E2065">
            <v>792020</v>
          </cell>
          <cell r="F2065">
            <v>0</v>
          </cell>
          <cell r="G2065" t="str">
            <v>Затраты по ШПЗ (основные)</v>
          </cell>
          <cell r="H2065">
            <v>2011</v>
          </cell>
          <cell r="I2065">
            <v>7920</v>
          </cell>
          <cell r="J2065">
            <v>193670.5</v>
          </cell>
          <cell r="K2065">
            <v>1</v>
          </cell>
          <cell r="L2065">
            <v>0</v>
          </cell>
          <cell r="M2065">
            <v>0</v>
          </cell>
          <cell r="N2065">
            <v>0</v>
          </cell>
          <cell r="R2065">
            <v>0</v>
          </cell>
          <cell r="S2065">
            <v>0</v>
          </cell>
          <cell r="T2065">
            <v>0</v>
          </cell>
          <cell r="U2065">
            <v>33</v>
          </cell>
          <cell r="V2065">
            <v>0</v>
          </cell>
          <cell r="W2065">
            <v>0</v>
          </cell>
          <cell r="AA2065">
            <v>0</v>
          </cell>
          <cell r="AB2065">
            <v>0</v>
          </cell>
          <cell r="AC2065">
            <v>0</v>
          </cell>
          <cell r="AD2065">
            <v>33</v>
          </cell>
          <cell r="AE2065">
            <v>312000</v>
          </cell>
          <cell r="AF2065">
            <v>0</v>
          </cell>
          <cell r="AI2065">
            <v>2282</v>
          </cell>
          <cell r="AK2065">
            <v>0</v>
          </cell>
          <cell r="AM2065">
            <v>196</v>
          </cell>
          <cell r="AN2065">
            <v>1</v>
          </cell>
          <cell r="AO2065">
            <v>393216</v>
          </cell>
          <cell r="AQ2065">
            <v>0</v>
          </cell>
          <cell r="AR2065">
            <v>0</v>
          </cell>
          <cell r="AS2065" t="str">
            <v>Ы</v>
          </cell>
          <cell r="AT2065" t="str">
            <v>Ы</v>
          </cell>
          <cell r="AU2065">
            <v>0</v>
          </cell>
          <cell r="AV2065">
            <v>0</v>
          </cell>
          <cell r="AW2065">
            <v>23</v>
          </cell>
          <cell r="AX2065">
            <v>1</v>
          </cell>
          <cell r="AY2065">
            <v>0</v>
          </cell>
          <cell r="AZ2065">
            <v>0</v>
          </cell>
          <cell r="BA2065">
            <v>0</v>
          </cell>
          <cell r="BB2065">
            <v>0</v>
          </cell>
          <cell r="BC2065">
            <v>38828</v>
          </cell>
        </row>
        <row r="2066">
          <cell r="A2066">
            <v>2006</v>
          </cell>
          <cell r="B2066">
            <v>3</v>
          </cell>
          <cell r="C2066">
            <v>40</v>
          </cell>
          <cell r="D2066">
            <v>21</v>
          </cell>
          <cell r="E2066">
            <v>792020</v>
          </cell>
          <cell r="F2066">
            <v>0</v>
          </cell>
          <cell r="G2066" t="str">
            <v>Затраты по ШПЗ (основные)</v>
          </cell>
          <cell r="H2066">
            <v>2011</v>
          </cell>
          <cell r="I2066">
            <v>7920</v>
          </cell>
          <cell r="J2066">
            <v>32800.239999999998</v>
          </cell>
          <cell r="K2066">
            <v>1</v>
          </cell>
          <cell r="L2066">
            <v>0</v>
          </cell>
          <cell r="M2066">
            <v>0</v>
          </cell>
          <cell r="N2066">
            <v>0</v>
          </cell>
          <cell r="R2066">
            <v>0</v>
          </cell>
          <cell r="S2066">
            <v>0</v>
          </cell>
          <cell r="T2066">
            <v>0</v>
          </cell>
          <cell r="U2066">
            <v>33</v>
          </cell>
          <cell r="V2066">
            <v>0</v>
          </cell>
          <cell r="W2066">
            <v>0</v>
          </cell>
          <cell r="AA2066">
            <v>0</v>
          </cell>
          <cell r="AB2066">
            <v>0</v>
          </cell>
          <cell r="AC2066">
            <v>0</v>
          </cell>
          <cell r="AD2066">
            <v>33</v>
          </cell>
          <cell r="AE2066">
            <v>312100</v>
          </cell>
          <cell r="AF2066">
            <v>0</v>
          </cell>
          <cell r="AI2066">
            <v>2282</v>
          </cell>
          <cell r="AK2066">
            <v>0</v>
          </cell>
          <cell r="AM2066">
            <v>197</v>
          </cell>
          <cell r="AN2066">
            <v>1</v>
          </cell>
          <cell r="AO2066">
            <v>393216</v>
          </cell>
          <cell r="AQ2066">
            <v>0</v>
          </cell>
          <cell r="AR2066">
            <v>0</v>
          </cell>
          <cell r="AS2066" t="str">
            <v>Ы</v>
          </cell>
          <cell r="AT2066" t="str">
            <v>Ы</v>
          </cell>
          <cell r="AU2066">
            <v>0</v>
          </cell>
          <cell r="AV2066">
            <v>0</v>
          </cell>
          <cell r="AW2066">
            <v>23</v>
          </cell>
          <cell r="AX2066">
            <v>1</v>
          </cell>
          <cell r="AY2066">
            <v>0</v>
          </cell>
          <cell r="AZ2066">
            <v>0</v>
          </cell>
          <cell r="BA2066">
            <v>0</v>
          </cell>
          <cell r="BB2066">
            <v>0</v>
          </cell>
          <cell r="BC2066">
            <v>38828</v>
          </cell>
        </row>
        <row r="2067">
          <cell r="A2067">
            <v>2006</v>
          </cell>
          <cell r="B2067">
            <v>3</v>
          </cell>
          <cell r="C2067">
            <v>41</v>
          </cell>
          <cell r="D2067">
            <v>21</v>
          </cell>
          <cell r="E2067">
            <v>792020</v>
          </cell>
          <cell r="F2067">
            <v>0</v>
          </cell>
          <cell r="G2067" t="str">
            <v>Затраты по ШПЗ (основные)</v>
          </cell>
          <cell r="H2067">
            <v>2011</v>
          </cell>
          <cell r="I2067">
            <v>7920</v>
          </cell>
          <cell r="J2067">
            <v>421413.41</v>
          </cell>
          <cell r="K2067">
            <v>1</v>
          </cell>
          <cell r="L2067">
            <v>0</v>
          </cell>
          <cell r="M2067">
            <v>0</v>
          </cell>
          <cell r="N2067">
            <v>0</v>
          </cell>
          <cell r="R2067">
            <v>0</v>
          </cell>
          <cell r="S2067">
            <v>0</v>
          </cell>
          <cell r="T2067">
            <v>0</v>
          </cell>
          <cell r="U2067">
            <v>33</v>
          </cell>
          <cell r="V2067">
            <v>0</v>
          </cell>
          <cell r="W2067">
            <v>0</v>
          </cell>
          <cell r="AA2067">
            <v>0</v>
          </cell>
          <cell r="AB2067">
            <v>0</v>
          </cell>
          <cell r="AC2067">
            <v>0</v>
          </cell>
          <cell r="AD2067">
            <v>33</v>
          </cell>
          <cell r="AE2067">
            <v>312200</v>
          </cell>
          <cell r="AF2067">
            <v>0</v>
          </cell>
          <cell r="AI2067">
            <v>2282</v>
          </cell>
          <cell r="AK2067">
            <v>0</v>
          </cell>
          <cell r="AM2067">
            <v>198</v>
          </cell>
          <cell r="AN2067">
            <v>1</v>
          </cell>
          <cell r="AO2067">
            <v>393216</v>
          </cell>
          <cell r="AQ2067">
            <v>0</v>
          </cell>
          <cell r="AR2067">
            <v>0</v>
          </cell>
          <cell r="AS2067" t="str">
            <v>Ы</v>
          </cell>
          <cell r="AT2067" t="str">
            <v>Ы</v>
          </cell>
          <cell r="AU2067">
            <v>0</v>
          </cell>
          <cell r="AV2067">
            <v>0</v>
          </cell>
          <cell r="AW2067">
            <v>23</v>
          </cell>
          <cell r="AX2067">
            <v>1</v>
          </cell>
          <cell r="AY2067">
            <v>0</v>
          </cell>
          <cell r="AZ2067">
            <v>0</v>
          </cell>
          <cell r="BA2067">
            <v>0</v>
          </cell>
          <cell r="BB2067">
            <v>0</v>
          </cell>
          <cell r="BC2067">
            <v>38828</v>
          </cell>
        </row>
        <row r="2068">
          <cell r="A2068">
            <v>2006</v>
          </cell>
          <cell r="B2068">
            <v>3</v>
          </cell>
          <cell r="C2068">
            <v>42</v>
          </cell>
          <cell r="D2068">
            <v>21</v>
          </cell>
          <cell r="E2068">
            <v>792020</v>
          </cell>
          <cell r="F2068">
            <v>0</v>
          </cell>
          <cell r="G2068" t="str">
            <v>Затраты по ШПЗ (основные)</v>
          </cell>
          <cell r="H2068">
            <v>2011</v>
          </cell>
          <cell r="I2068">
            <v>7920</v>
          </cell>
          <cell r="J2068">
            <v>35506.33</v>
          </cell>
          <cell r="K2068">
            <v>1</v>
          </cell>
          <cell r="L2068">
            <v>0</v>
          </cell>
          <cell r="M2068">
            <v>0</v>
          </cell>
          <cell r="N2068">
            <v>0</v>
          </cell>
          <cell r="R2068">
            <v>0</v>
          </cell>
          <cell r="S2068">
            <v>0</v>
          </cell>
          <cell r="T2068">
            <v>0</v>
          </cell>
          <cell r="U2068">
            <v>33</v>
          </cell>
          <cell r="V2068">
            <v>0</v>
          </cell>
          <cell r="W2068">
            <v>0</v>
          </cell>
          <cell r="AA2068">
            <v>0</v>
          </cell>
          <cell r="AB2068">
            <v>0</v>
          </cell>
          <cell r="AC2068">
            <v>0</v>
          </cell>
          <cell r="AD2068">
            <v>33</v>
          </cell>
          <cell r="AE2068">
            <v>313000</v>
          </cell>
          <cell r="AF2068">
            <v>0</v>
          </cell>
          <cell r="AI2068">
            <v>2282</v>
          </cell>
          <cell r="AK2068">
            <v>0</v>
          </cell>
          <cell r="AM2068">
            <v>199</v>
          </cell>
          <cell r="AN2068">
            <v>1</v>
          </cell>
          <cell r="AO2068">
            <v>393216</v>
          </cell>
          <cell r="AQ2068">
            <v>0</v>
          </cell>
          <cell r="AR2068">
            <v>0</v>
          </cell>
          <cell r="AS2068" t="str">
            <v>Ы</v>
          </cell>
          <cell r="AT2068" t="str">
            <v>Ы</v>
          </cell>
          <cell r="AU2068">
            <v>0</v>
          </cell>
          <cell r="AV2068">
            <v>0</v>
          </cell>
          <cell r="AW2068">
            <v>23</v>
          </cell>
          <cell r="AX2068">
            <v>1</v>
          </cell>
          <cell r="AY2068">
            <v>0</v>
          </cell>
          <cell r="AZ2068">
            <v>0</v>
          </cell>
          <cell r="BA2068">
            <v>0</v>
          </cell>
          <cell r="BB2068">
            <v>0</v>
          </cell>
          <cell r="BC2068">
            <v>38828</v>
          </cell>
        </row>
        <row r="2069">
          <cell r="A2069">
            <v>2006</v>
          </cell>
          <cell r="B2069">
            <v>3</v>
          </cell>
          <cell r="C2069">
            <v>43</v>
          </cell>
          <cell r="D2069">
            <v>21</v>
          </cell>
          <cell r="E2069">
            <v>792020</v>
          </cell>
          <cell r="F2069">
            <v>0</v>
          </cell>
          <cell r="G2069" t="str">
            <v>Затраты по ШПЗ (основные)</v>
          </cell>
          <cell r="H2069">
            <v>2011</v>
          </cell>
          <cell r="I2069">
            <v>7920</v>
          </cell>
          <cell r="J2069">
            <v>64556.93</v>
          </cell>
          <cell r="K2069">
            <v>1</v>
          </cell>
          <cell r="L2069">
            <v>0</v>
          </cell>
          <cell r="M2069">
            <v>0</v>
          </cell>
          <cell r="N2069">
            <v>0</v>
          </cell>
          <cell r="R2069">
            <v>0</v>
          </cell>
          <cell r="S2069">
            <v>0</v>
          </cell>
          <cell r="T2069">
            <v>0</v>
          </cell>
          <cell r="U2069">
            <v>33</v>
          </cell>
          <cell r="V2069">
            <v>0</v>
          </cell>
          <cell r="W2069">
            <v>0</v>
          </cell>
          <cell r="AA2069">
            <v>0</v>
          </cell>
          <cell r="AB2069">
            <v>0</v>
          </cell>
          <cell r="AC2069">
            <v>0</v>
          </cell>
          <cell r="AD2069">
            <v>33</v>
          </cell>
          <cell r="AE2069">
            <v>314000</v>
          </cell>
          <cell r="AF2069">
            <v>0</v>
          </cell>
          <cell r="AI2069">
            <v>2282</v>
          </cell>
          <cell r="AK2069">
            <v>0</v>
          </cell>
          <cell r="AM2069">
            <v>200</v>
          </cell>
          <cell r="AN2069">
            <v>1</v>
          </cell>
          <cell r="AO2069">
            <v>393216</v>
          </cell>
          <cell r="AQ2069">
            <v>0</v>
          </cell>
          <cell r="AR2069">
            <v>0</v>
          </cell>
          <cell r="AS2069" t="str">
            <v>Ы</v>
          </cell>
          <cell r="AT2069" t="str">
            <v>Ы</v>
          </cell>
          <cell r="AU2069">
            <v>0</v>
          </cell>
          <cell r="AV2069">
            <v>0</v>
          </cell>
          <cell r="AW2069">
            <v>23</v>
          </cell>
          <cell r="AX2069">
            <v>1</v>
          </cell>
          <cell r="AY2069">
            <v>0</v>
          </cell>
          <cell r="AZ2069">
            <v>0</v>
          </cell>
          <cell r="BA2069">
            <v>0</v>
          </cell>
          <cell r="BB2069">
            <v>0</v>
          </cell>
          <cell r="BC2069">
            <v>38828</v>
          </cell>
        </row>
        <row r="2070">
          <cell r="A2070">
            <v>2006</v>
          </cell>
          <cell r="B2070">
            <v>3</v>
          </cell>
          <cell r="C2070">
            <v>44</v>
          </cell>
          <cell r="D2070">
            <v>21</v>
          </cell>
          <cell r="E2070">
            <v>792020</v>
          </cell>
          <cell r="F2070">
            <v>0</v>
          </cell>
          <cell r="G2070" t="str">
            <v>Затраты по ШПЗ (основные)</v>
          </cell>
          <cell r="H2070">
            <v>2011</v>
          </cell>
          <cell r="I2070">
            <v>7920</v>
          </cell>
          <cell r="J2070">
            <v>12981.95</v>
          </cell>
          <cell r="K2070">
            <v>1</v>
          </cell>
          <cell r="L2070">
            <v>0</v>
          </cell>
          <cell r="M2070">
            <v>0</v>
          </cell>
          <cell r="N2070">
            <v>0</v>
          </cell>
          <cell r="R2070">
            <v>0</v>
          </cell>
          <cell r="S2070">
            <v>0</v>
          </cell>
          <cell r="T2070">
            <v>0</v>
          </cell>
          <cell r="U2070">
            <v>33</v>
          </cell>
          <cell r="V2070">
            <v>0</v>
          </cell>
          <cell r="W2070">
            <v>0</v>
          </cell>
          <cell r="AA2070">
            <v>0</v>
          </cell>
          <cell r="AB2070">
            <v>0</v>
          </cell>
          <cell r="AC2070">
            <v>0</v>
          </cell>
          <cell r="AD2070">
            <v>33</v>
          </cell>
          <cell r="AE2070">
            <v>315000</v>
          </cell>
          <cell r="AF2070">
            <v>0</v>
          </cell>
          <cell r="AI2070">
            <v>2282</v>
          </cell>
          <cell r="AK2070">
            <v>0</v>
          </cell>
          <cell r="AM2070">
            <v>201</v>
          </cell>
          <cell r="AN2070">
            <v>1</v>
          </cell>
          <cell r="AO2070">
            <v>393216</v>
          </cell>
          <cell r="AQ2070">
            <v>0</v>
          </cell>
          <cell r="AR2070">
            <v>0</v>
          </cell>
          <cell r="AS2070" t="str">
            <v>Ы</v>
          </cell>
          <cell r="AT2070" t="str">
            <v>Ы</v>
          </cell>
          <cell r="AU2070">
            <v>0</v>
          </cell>
          <cell r="AV2070">
            <v>0</v>
          </cell>
          <cell r="AW2070">
            <v>23</v>
          </cell>
          <cell r="AX2070">
            <v>1</v>
          </cell>
          <cell r="AY2070">
            <v>0</v>
          </cell>
          <cell r="AZ2070">
            <v>0</v>
          </cell>
          <cell r="BA2070">
            <v>0</v>
          </cell>
          <cell r="BB2070">
            <v>0</v>
          </cell>
          <cell r="BC2070">
            <v>38828</v>
          </cell>
        </row>
        <row r="2071">
          <cell r="A2071">
            <v>2006</v>
          </cell>
          <cell r="B2071">
            <v>3</v>
          </cell>
          <cell r="C2071">
            <v>45</v>
          </cell>
          <cell r="D2071">
            <v>21</v>
          </cell>
          <cell r="E2071">
            <v>792020</v>
          </cell>
          <cell r="F2071">
            <v>0</v>
          </cell>
          <cell r="G2071" t="str">
            <v>Затраты по ШПЗ (основные)</v>
          </cell>
          <cell r="H2071">
            <v>2011</v>
          </cell>
          <cell r="I2071">
            <v>7920</v>
          </cell>
          <cell r="J2071">
            <v>689069</v>
          </cell>
          <cell r="K2071">
            <v>1</v>
          </cell>
          <cell r="L2071">
            <v>0</v>
          </cell>
          <cell r="M2071">
            <v>0</v>
          </cell>
          <cell r="N2071">
            <v>0</v>
          </cell>
          <cell r="R2071">
            <v>0</v>
          </cell>
          <cell r="S2071">
            <v>0</v>
          </cell>
          <cell r="T2071">
            <v>0</v>
          </cell>
          <cell r="U2071">
            <v>33</v>
          </cell>
          <cell r="V2071">
            <v>0</v>
          </cell>
          <cell r="W2071">
            <v>0</v>
          </cell>
          <cell r="AA2071">
            <v>0</v>
          </cell>
          <cell r="AB2071">
            <v>0</v>
          </cell>
          <cell r="AC2071">
            <v>0</v>
          </cell>
          <cell r="AD2071">
            <v>33</v>
          </cell>
          <cell r="AE2071">
            <v>410000</v>
          </cell>
          <cell r="AF2071">
            <v>0</v>
          </cell>
          <cell r="AI2071">
            <v>2282</v>
          </cell>
          <cell r="AK2071">
            <v>0</v>
          </cell>
          <cell r="AM2071">
            <v>202</v>
          </cell>
          <cell r="AN2071">
            <v>1</v>
          </cell>
          <cell r="AO2071">
            <v>393216</v>
          </cell>
          <cell r="AQ2071">
            <v>0</v>
          </cell>
          <cell r="AR2071">
            <v>0</v>
          </cell>
          <cell r="AS2071" t="str">
            <v>Ы</v>
          </cell>
          <cell r="AT2071" t="str">
            <v>Ы</v>
          </cell>
          <cell r="AU2071">
            <v>0</v>
          </cell>
          <cell r="AV2071">
            <v>0</v>
          </cell>
          <cell r="AW2071">
            <v>23</v>
          </cell>
          <cell r="AX2071">
            <v>1</v>
          </cell>
          <cell r="AY2071">
            <v>0</v>
          </cell>
          <cell r="AZ2071">
            <v>0</v>
          </cell>
          <cell r="BA2071">
            <v>0</v>
          </cell>
          <cell r="BB2071">
            <v>0</v>
          </cell>
          <cell r="BC2071">
            <v>38828</v>
          </cell>
        </row>
        <row r="2072">
          <cell r="A2072">
            <v>2006</v>
          </cell>
          <cell r="B2072">
            <v>3</v>
          </cell>
          <cell r="C2072">
            <v>46</v>
          </cell>
          <cell r="D2072">
            <v>21</v>
          </cell>
          <cell r="E2072">
            <v>792020</v>
          </cell>
          <cell r="F2072">
            <v>0</v>
          </cell>
          <cell r="G2072" t="str">
            <v>Затраты по ШПЗ (основные)</v>
          </cell>
          <cell r="H2072">
            <v>2011</v>
          </cell>
          <cell r="I2072">
            <v>7920</v>
          </cell>
          <cell r="J2072">
            <v>164818</v>
          </cell>
          <cell r="K2072">
            <v>1</v>
          </cell>
          <cell r="L2072">
            <v>0</v>
          </cell>
          <cell r="M2072">
            <v>0</v>
          </cell>
          <cell r="N2072">
            <v>0</v>
          </cell>
          <cell r="R2072">
            <v>0</v>
          </cell>
          <cell r="S2072">
            <v>0</v>
          </cell>
          <cell r="T2072">
            <v>0</v>
          </cell>
          <cell r="U2072">
            <v>33</v>
          </cell>
          <cell r="V2072">
            <v>0</v>
          </cell>
          <cell r="W2072">
            <v>0</v>
          </cell>
          <cell r="AA2072">
            <v>0</v>
          </cell>
          <cell r="AB2072">
            <v>0</v>
          </cell>
          <cell r="AC2072">
            <v>0</v>
          </cell>
          <cell r="AD2072">
            <v>33</v>
          </cell>
          <cell r="AE2072">
            <v>410100</v>
          </cell>
          <cell r="AF2072">
            <v>0</v>
          </cell>
          <cell r="AI2072">
            <v>2282</v>
          </cell>
          <cell r="AK2072">
            <v>0</v>
          </cell>
          <cell r="AM2072">
            <v>203</v>
          </cell>
          <cell r="AN2072">
            <v>1</v>
          </cell>
          <cell r="AO2072">
            <v>393216</v>
          </cell>
          <cell r="AQ2072">
            <v>0</v>
          </cell>
          <cell r="AR2072">
            <v>0</v>
          </cell>
          <cell r="AS2072" t="str">
            <v>Ы</v>
          </cell>
          <cell r="AT2072" t="str">
            <v>Ы</v>
          </cell>
          <cell r="AU2072">
            <v>0</v>
          </cell>
          <cell r="AV2072">
            <v>0</v>
          </cell>
          <cell r="AW2072">
            <v>23</v>
          </cell>
          <cell r="AX2072">
            <v>1</v>
          </cell>
          <cell r="AY2072">
            <v>0</v>
          </cell>
          <cell r="AZ2072">
            <v>0</v>
          </cell>
          <cell r="BA2072">
            <v>0</v>
          </cell>
          <cell r="BB2072">
            <v>0</v>
          </cell>
          <cell r="BC2072">
            <v>38828</v>
          </cell>
        </row>
        <row r="2073">
          <cell r="A2073">
            <v>2006</v>
          </cell>
          <cell r="B2073">
            <v>3</v>
          </cell>
          <cell r="C2073">
            <v>47</v>
          </cell>
          <cell r="D2073">
            <v>21</v>
          </cell>
          <cell r="E2073">
            <v>792020</v>
          </cell>
          <cell r="F2073">
            <v>0</v>
          </cell>
          <cell r="G2073" t="str">
            <v>Затраты по ШПЗ (основные)</v>
          </cell>
          <cell r="H2073">
            <v>2011</v>
          </cell>
          <cell r="I2073">
            <v>7920</v>
          </cell>
          <cell r="J2073">
            <v>102</v>
          </cell>
          <cell r="K2073">
            <v>1</v>
          </cell>
          <cell r="L2073">
            <v>0</v>
          </cell>
          <cell r="M2073">
            <v>0</v>
          </cell>
          <cell r="N2073">
            <v>0</v>
          </cell>
          <cell r="R2073">
            <v>0</v>
          </cell>
          <cell r="S2073">
            <v>0</v>
          </cell>
          <cell r="T2073">
            <v>0</v>
          </cell>
          <cell r="U2073">
            <v>33</v>
          </cell>
          <cell r="V2073">
            <v>0</v>
          </cell>
          <cell r="W2073">
            <v>0</v>
          </cell>
          <cell r="AA2073">
            <v>0</v>
          </cell>
          <cell r="AB2073">
            <v>0</v>
          </cell>
          <cell r="AC2073">
            <v>0</v>
          </cell>
          <cell r="AD2073">
            <v>33</v>
          </cell>
          <cell r="AE2073">
            <v>410200</v>
          </cell>
          <cell r="AF2073">
            <v>0</v>
          </cell>
          <cell r="AI2073">
            <v>2282</v>
          </cell>
          <cell r="AK2073">
            <v>0</v>
          </cell>
          <cell r="AM2073">
            <v>204</v>
          </cell>
          <cell r="AN2073">
            <v>1</v>
          </cell>
          <cell r="AO2073">
            <v>393216</v>
          </cell>
          <cell r="AQ2073">
            <v>0</v>
          </cell>
          <cell r="AR2073">
            <v>0</v>
          </cell>
          <cell r="AS2073" t="str">
            <v>Ы</v>
          </cell>
          <cell r="AT2073" t="str">
            <v>Ы</v>
          </cell>
          <cell r="AU2073">
            <v>0</v>
          </cell>
          <cell r="AV2073">
            <v>0</v>
          </cell>
          <cell r="AW2073">
            <v>23</v>
          </cell>
          <cell r="AX2073">
            <v>1</v>
          </cell>
          <cell r="AY2073">
            <v>0</v>
          </cell>
          <cell r="AZ2073">
            <v>0</v>
          </cell>
          <cell r="BA2073">
            <v>0</v>
          </cell>
          <cell r="BB2073">
            <v>0</v>
          </cell>
          <cell r="BC2073">
            <v>38828</v>
          </cell>
        </row>
        <row r="2074">
          <cell r="A2074">
            <v>2006</v>
          </cell>
          <cell r="B2074">
            <v>3</v>
          </cell>
          <cell r="C2074">
            <v>48</v>
          </cell>
          <cell r="D2074">
            <v>21</v>
          </cell>
          <cell r="E2074">
            <v>792020</v>
          </cell>
          <cell r="F2074">
            <v>0</v>
          </cell>
          <cell r="G2074" t="str">
            <v>Затраты по ШПЗ (основные)</v>
          </cell>
          <cell r="H2074">
            <v>2011</v>
          </cell>
          <cell r="I2074">
            <v>7920</v>
          </cell>
          <cell r="J2074">
            <v>198680</v>
          </cell>
          <cell r="K2074">
            <v>1</v>
          </cell>
          <cell r="L2074">
            <v>0</v>
          </cell>
          <cell r="M2074">
            <v>0</v>
          </cell>
          <cell r="N2074">
            <v>0</v>
          </cell>
          <cell r="R2074">
            <v>0</v>
          </cell>
          <cell r="S2074">
            <v>0</v>
          </cell>
          <cell r="T2074">
            <v>0</v>
          </cell>
          <cell r="U2074">
            <v>33</v>
          </cell>
          <cell r="V2074">
            <v>0</v>
          </cell>
          <cell r="W2074">
            <v>0</v>
          </cell>
          <cell r="AA2074">
            <v>0</v>
          </cell>
          <cell r="AB2074">
            <v>0</v>
          </cell>
          <cell r="AC2074">
            <v>0</v>
          </cell>
          <cell r="AD2074">
            <v>33</v>
          </cell>
          <cell r="AE2074">
            <v>420000</v>
          </cell>
          <cell r="AF2074">
            <v>0</v>
          </cell>
          <cell r="AI2074">
            <v>2282</v>
          </cell>
          <cell r="AK2074">
            <v>0</v>
          </cell>
          <cell r="AM2074">
            <v>205</v>
          </cell>
          <cell r="AN2074">
            <v>1</v>
          </cell>
          <cell r="AO2074">
            <v>393216</v>
          </cell>
          <cell r="AQ2074">
            <v>0</v>
          </cell>
          <cell r="AR2074">
            <v>0</v>
          </cell>
          <cell r="AS2074" t="str">
            <v>Ы</v>
          </cell>
          <cell r="AT2074" t="str">
            <v>Ы</v>
          </cell>
          <cell r="AU2074">
            <v>0</v>
          </cell>
          <cell r="AV2074">
            <v>0</v>
          </cell>
          <cell r="AW2074">
            <v>23</v>
          </cell>
          <cell r="AX2074">
            <v>1</v>
          </cell>
          <cell r="AY2074">
            <v>0</v>
          </cell>
          <cell r="AZ2074">
            <v>0</v>
          </cell>
          <cell r="BA2074">
            <v>0</v>
          </cell>
          <cell r="BB2074">
            <v>0</v>
          </cell>
          <cell r="BC2074">
            <v>38828</v>
          </cell>
        </row>
        <row r="2075">
          <cell r="A2075">
            <v>2006</v>
          </cell>
          <cell r="B2075">
            <v>3</v>
          </cell>
          <cell r="C2075">
            <v>49</v>
          </cell>
          <cell r="D2075">
            <v>21</v>
          </cell>
          <cell r="E2075">
            <v>792020</v>
          </cell>
          <cell r="F2075">
            <v>0</v>
          </cell>
          <cell r="G2075" t="str">
            <v>Затраты по ШПЗ (основные)</v>
          </cell>
          <cell r="H2075">
            <v>2011</v>
          </cell>
          <cell r="I2075">
            <v>7920</v>
          </cell>
          <cell r="J2075">
            <v>650412</v>
          </cell>
          <cell r="K2075">
            <v>1</v>
          </cell>
          <cell r="L2075">
            <v>0</v>
          </cell>
          <cell r="M2075">
            <v>0</v>
          </cell>
          <cell r="N2075">
            <v>0</v>
          </cell>
          <cell r="R2075">
            <v>0</v>
          </cell>
          <cell r="S2075">
            <v>0</v>
          </cell>
          <cell r="T2075">
            <v>0</v>
          </cell>
          <cell r="U2075">
            <v>33</v>
          </cell>
          <cell r="V2075">
            <v>0</v>
          </cell>
          <cell r="W2075">
            <v>0</v>
          </cell>
          <cell r="AA2075">
            <v>0</v>
          </cell>
          <cell r="AB2075">
            <v>0</v>
          </cell>
          <cell r="AC2075">
            <v>0</v>
          </cell>
          <cell r="AD2075">
            <v>33</v>
          </cell>
          <cell r="AE2075">
            <v>430000</v>
          </cell>
          <cell r="AF2075">
            <v>0</v>
          </cell>
          <cell r="AI2075">
            <v>2282</v>
          </cell>
          <cell r="AK2075">
            <v>0</v>
          </cell>
          <cell r="AM2075">
            <v>206</v>
          </cell>
          <cell r="AN2075">
            <v>1</v>
          </cell>
          <cell r="AO2075">
            <v>393216</v>
          </cell>
          <cell r="AQ2075">
            <v>0</v>
          </cell>
          <cell r="AR2075">
            <v>0</v>
          </cell>
          <cell r="AS2075" t="str">
            <v>Ы</v>
          </cell>
          <cell r="AT2075" t="str">
            <v>Ы</v>
          </cell>
          <cell r="AU2075">
            <v>0</v>
          </cell>
          <cell r="AV2075">
            <v>0</v>
          </cell>
          <cell r="AW2075">
            <v>23</v>
          </cell>
          <cell r="AX2075">
            <v>1</v>
          </cell>
          <cell r="AY2075">
            <v>0</v>
          </cell>
          <cell r="AZ2075">
            <v>0</v>
          </cell>
          <cell r="BA2075">
            <v>0</v>
          </cell>
          <cell r="BB2075">
            <v>0</v>
          </cell>
          <cell r="BC2075">
            <v>38828</v>
          </cell>
        </row>
        <row r="2076">
          <cell r="A2076">
            <v>2006</v>
          </cell>
          <cell r="B2076">
            <v>3</v>
          </cell>
          <cell r="C2076">
            <v>50</v>
          </cell>
          <cell r="D2076">
            <v>21</v>
          </cell>
          <cell r="E2076">
            <v>792020</v>
          </cell>
          <cell r="F2076">
            <v>0</v>
          </cell>
          <cell r="G2076" t="str">
            <v>Затраты по ШПЗ (основные)</v>
          </cell>
          <cell r="H2076">
            <v>2011</v>
          </cell>
          <cell r="I2076">
            <v>7920</v>
          </cell>
          <cell r="J2076">
            <v>2073896</v>
          </cell>
          <cell r="K2076">
            <v>1</v>
          </cell>
          <cell r="L2076">
            <v>0</v>
          </cell>
          <cell r="M2076">
            <v>0</v>
          </cell>
          <cell r="N2076">
            <v>0</v>
          </cell>
          <cell r="R2076">
            <v>0</v>
          </cell>
          <cell r="S2076">
            <v>0</v>
          </cell>
          <cell r="T2076">
            <v>0</v>
          </cell>
          <cell r="U2076">
            <v>33</v>
          </cell>
          <cell r="V2076">
            <v>0</v>
          </cell>
          <cell r="W2076">
            <v>0</v>
          </cell>
          <cell r="AA2076">
            <v>0</v>
          </cell>
          <cell r="AB2076">
            <v>0</v>
          </cell>
          <cell r="AC2076">
            <v>0</v>
          </cell>
          <cell r="AD2076">
            <v>33</v>
          </cell>
          <cell r="AE2076">
            <v>430110</v>
          </cell>
          <cell r="AF2076">
            <v>0</v>
          </cell>
          <cell r="AI2076">
            <v>2282</v>
          </cell>
          <cell r="AK2076">
            <v>0</v>
          </cell>
          <cell r="AM2076">
            <v>207</v>
          </cell>
          <cell r="AN2076">
            <v>1</v>
          </cell>
          <cell r="AO2076">
            <v>393216</v>
          </cell>
          <cell r="AQ2076">
            <v>0</v>
          </cell>
          <cell r="AR2076">
            <v>0</v>
          </cell>
          <cell r="AS2076" t="str">
            <v>Ы</v>
          </cell>
          <cell r="AT2076" t="str">
            <v>Ы</v>
          </cell>
          <cell r="AU2076">
            <v>0</v>
          </cell>
          <cell r="AV2076">
            <v>0</v>
          </cell>
          <cell r="AW2076">
            <v>23</v>
          </cell>
          <cell r="AX2076">
            <v>1</v>
          </cell>
          <cell r="AY2076">
            <v>0</v>
          </cell>
          <cell r="AZ2076">
            <v>0</v>
          </cell>
          <cell r="BA2076">
            <v>0</v>
          </cell>
          <cell r="BB2076">
            <v>0</v>
          </cell>
          <cell r="BC2076">
            <v>38828</v>
          </cell>
        </row>
        <row r="2077">
          <cell r="A2077">
            <v>2006</v>
          </cell>
          <cell r="B2077">
            <v>3</v>
          </cell>
          <cell r="C2077">
            <v>51</v>
          </cell>
          <cell r="D2077">
            <v>21</v>
          </cell>
          <cell r="E2077">
            <v>792020</v>
          </cell>
          <cell r="F2077">
            <v>0</v>
          </cell>
          <cell r="G2077" t="str">
            <v>Затраты по ШПЗ (основные)</v>
          </cell>
          <cell r="H2077">
            <v>2011</v>
          </cell>
          <cell r="I2077">
            <v>7920</v>
          </cell>
          <cell r="J2077">
            <v>164885</v>
          </cell>
          <cell r="K2077">
            <v>1</v>
          </cell>
          <cell r="L2077">
            <v>0</v>
          </cell>
          <cell r="M2077">
            <v>0</v>
          </cell>
          <cell r="N2077">
            <v>0</v>
          </cell>
          <cell r="R2077">
            <v>0</v>
          </cell>
          <cell r="S2077">
            <v>0</v>
          </cell>
          <cell r="T2077">
            <v>0</v>
          </cell>
          <cell r="U2077">
            <v>33</v>
          </cell>
          <cell r="V2077">
            <v>0</v>
          </cell>
          <cell r="W2077">
            <v>0</v>
          </cell>
          <cell r="AA2077">
            <v>0</v>
          </cell>
          <cell r="AB2077">
            <v>0</v>
          </cell>
          <cell r="AC2077">
            <v>0</v>
          </cell>
          <cell r="AD2077">
            <v>33</v>
          </cell>
          <cell r="AE2077">
            <v>430120</v>
          </cell>
          <cell r="AF2077">
            <v>0</v>
          </cell>
          <cell r="AI2077">
            <v>2282</v>
          </cell>
          <cell r="AK2077">
            <v>0</v>
          </cell>
          <cell r="AM2077">
            <v>208</v>
          </cell>
          <cell r="AN2077">
            <v>1</v>
          </cell>
          <cell r="AO2077">
            <v>393216</v>
          </cell>
          <cell r="AQ2077">
            <v>0</v>
          </cell>
          <cell r="AR2077">
            <v>0</v>
          </cell>
          <cell r="AS2077" t="str">
            <v>Ы</v>
          </cell>
          <cell r="AT2077" t="str">
            <v>Ы</v>
          </cell>
          <cell r="AU2077">
            <v>0</v>
          </cell>
          <cell r="AV2077">
            <v>0</v>
          </cell>
          <cell r="AW2077">
            <v>23</v>
          </cell>
          <cell r="AX2077">
            <v>1</v>
          </cell>
          <cell r="AY2077">
            <v>0</v>
          </cell>
          <cell r="AZ2077">
            <v>0</v>
          </cell>
          <cell r="BA2077">
            <v>0</v>
          </cell>
          <cell r="BB2077">
            <v>0</v>
          </cell>
          <cell r="BC2077">
            <v>38828</v>
          </cell>
        </row>
        <row r="2078">
          <cell r="A2078">
            <v>2006</v>
          </cell>
          <cell r="B2078">
            <v>3</v>
          </cell>
          <cell r="C2078">
            <v>52</v>
          </cell>
          <cell r="D2078">
            <v>21</v>
          </cell>
          <cell r="E2078">
            <v>792020</v>
          </cell>
          <cell r="F2078">
            <v>0</v>
          </cell>
          <cell r="G2078" t="str">
            <v>Затраты по ШПЗ (основные)</v>
          </cell>
          <cell r="H2078">
            <v>2011</v>
          </cell>
          <cell r="I2078">
            <v>7920</v>
          </cell>
          <cell r="J2078">
            <v>996208</v>
          </cell>
          <cell r="K2078">
            <v>1</v>
          </cell>
          <cell r="L2078">
            <v>0</v>
          </cell>
          <cell r="M2078">
            <v>0</v>
          </cell>
          <cell r="N2078">
            <v>0</v>
          </cell>
          <cell r="R2078">
            <v>0</v>
          </cell>
          <cell r="S2078">
            <v>0</v>
          </cell>
          <cell r="T2078">
            <v>0</v>
          </cell>
          <cell r="U2078">
            <v>33</v>
          </cell>
          <cell r="V2078">
            <v>0</v>
          </cell>
          <cell r="W2078">
            <v>0</v>
          </cell>
          <cell r="AA2078">
            <v>0</v>
          </cell>
          <cell r="AB2078">
            <v>0</v>
          </cell>
          <cell r="AC2078">
            <v>0</v>
          </cell>
          <cell r="AD2078">
            <v>33</v>
          </cell>
          <cell r="AE2078">
            <v>430130</v>
          </cell>
          <cell r="AF2078">
            <v>0</v>
          </cell>
          <cell r="AI2078">
            <v>2282</v>
          </cell>
          <cell r="AK2078">
            <v>0</v>
          </cell>
          <cell r="AM2078">
            <v>209</v>
          </cell>
          <cell r="AN2078">
            <v>1</v>
          </cell>
          <cell r="AO2078">
            <v>393216</v>
          </cell>
          <cell r="AQ2078">
            <v>0</v>
          </cell>
          <cell r="AR2078">
            <v>0</v>
          </cell>
          <cell r="AS2078" t="str">
            <v>Ы</v>
          </cell>
          <cell r="AT2078" t="str">
            <v>Ы</v>
          </cell>
          <cell r="AU2078">
            <v>0</v>
          </cell>
          <cell r="AV2078">
            <v>0</v>
          </cell>
          <cell r="AW2078">
            <v>23</v>
          </cell>
          <cell r="AX2078">
            <v>1</v>
          </cell>
          <cell r="AY2078">
            <v>0</v>
          </cell>
          <cell r="AZ2078">
            <v>0</v>
          </cell>
          <cell r="BA2078">
            <v>0</v>
          </cell>
          <cell r="BB2078">
            <v>0</v>
          </cell>
          <cell r="BC2078">
            <v>38828</v>
          </cell>
        </row>
        <row r="2079">
          <cell r="A2079">
            <v>2006</v>
          </cell>
          <cell r="B2079">
            <v>3</v>
          </cell>
          <cell r="C2079">
            <v>53</v>
          </cell>
          <cell r="D2079">
            <v>21</v>
          </cell>
          <cell r="E2079">
            <v>792020</v>
          </cell>
          <cell r="F2079">
            <v>0</v>
          </cell>
          <cell r="G2079" t="str">
            <v>Затраты по ШПЗ (основные)</v>
          </cell>
          <cell r="H2079">
            <v>2011</v>
          </cell>
          <cell r="I2079">
            <v>7920</v>
          </cell>
          <cell r="J2079">
            <v>680553</v>
          </cell>
          <cell r="K2079">
            <v>1</v>
          </cell>
          <cell r="L2079">
            <v>0</v>
          </cell>
          <cell r="M2079">
            <v>0</v>
          </cell>
          <cell r="N2079">
            <v>0</v>
          </cell>
          <cell r="R2079">
            <v>0</v>
          </cell>
          <cell r="S2079">
            <v>0</v>
          </cell>
          <cell r="T2079">
            <v>0</v>
          </cell>
          <cell r="U2079">
            <v>33</v>
          </cell>
          <cell r="V2079">
            <v>0</v>
          </cell>
          <cell r="W2079">
            <v>0</v>
          </cell>
          <cell r="AA2079">
            <v>0</v>
          </cell>
          <cell r="AB2079">
            <v>0</v>
          </cell>
          <cell r="AC2079">
            <v>0</v>
          </cell>
          <cell r="AD2079">
            <v>33</v>
          </cell>
          <cell r="AE2079">
            <v>430140</v>
          </cell>
          <cell r="AF2079">
            <v>0</v>
          </cell>
          <cell r="AI2079">
            <v>2282</v>
          </cell>
          <cell r="AK2079">
            <v>0</v>
          </cell>
          <cell r="AM2079">
            <v>210</v>
          </cell>
          <cell r="AN2079">
            <v>1</v>
          </cell>
          <cell r="AO2079">
            <v>393216</v>
          </cell>
          <cell r="AQ2079">
            <v>0</v>
          </cell>
          <cell r="AR2079">
            <v>0</v>
          </cell>
          <cell r="AS2079" t="str">
            <v>Ы</v>
          </cell>
          <cell r="AT2079" t="str">
            <v>Ы</v>
          </cell>
          <cell r="AU2079">
            <v>0</v>
          </cell>
          <cell r="AV2079">
            <v>0</v>
          </cell>
          <cell r="AW2079">
            <v>23</v>
          </cell>
          <cell r="AX2079">
            <v>1</v>
          </cell>
          <cell r="AY2079">
            <v>0</v>
          </cell>
          <cell r="AZ2079">
            <v>0</v>
          </cell>
          <cell r="BA2079">
            <v>0</v>
          </cell>
          <cell r="BB2079">
            <v>0</v>
          </cell>
          <cell r="BC2079">
            <v>38828</v>
          </cell>
        </row>
        <row r="2080">
          <cell r="A2080">
            <v>2006</v>
          </cell>
          <cell r="B2080">
            <v>3</v>
          </cell>
          <cell r="C2080">
            <v>54</v>
          </cell>
          <cell r="D2080">
            <v>21</v>
          </cell>
          <cell r="E2080">
            <v>792020</v>
          </cell>
          <cell r="F2080">
            <v>0</v>
          </cell>
          <cell r="G2080" t="str">
            <v>Затраты по ШПЗ (основные)</v>
          </cell>
          <cell r="H2080">
            <v>2011</v>
          </cell>
          <cell r="I2080">
            <v>7920</v>
          </cell>
          <cell r="J2080">
            <v>942</v>
          </cell>
          <cell r="K2080">
            <v>1</v>
          </cell>
          <cell r="L2080">
            <v>0</v>
          </cell>
          <cell r="M2080">
            <v>0</v>
          </cell>
          <cell r="N2080">
            <v>0</v>
          </cell>
          <cell r="R2080">
            <v>0</v>
          </cell>
          <cell r="S2080">
            <v>0</v>
          </cell>
          <cell r="T2080">
            <v>0</v>
          </cell>
          <cell r="U2080">
            <v>33</v>
          </cell>
          <cell r="V2080">
            <v>0</v>
          </cell>
          <cell r="W2080">
            <v>0</v>
          </cell>
          <cell r="AA2080">
            <v>0</v>
          </cell>
          <cell r="AB2080">
            <v>0</v>
          </cell>
          <cell r="AC2080">
            <v>0</v>
          </cell>
          <cell r="AD2080">
            <v>33</v>
          </cell>
          <cell r="AE2080">
            <v>430210</v>
          </cell>
          <cell r="AF2080">
            <v>0</v>
          </cell>
          <cell r="AI2080">
            <v>2282</v>
          </cell>
          <cell r="AK2080">
            <v>0</v>
          </cell>
          <cell r="AM2080">
            <v>211</v>
          </cell>
          <cell r="AN2080">
            <v>1</v>
          </cell>
          <cell r="AO2080">
            <v>393216</v>
          </cell>
          <cell r="AQ2080">
            <v>0</v>
          </cell>
          <cell r="AR2080">
            <v>0</v>
          </cell>
          <cell r="AS2080" t="str">
            <v>Ы</v>
          </cell>
          <cell r="AT2080" t="str">
            <v>Ы</v>
          </cell>
          <cell r="AU2080">
            <v>0</v>
          </cell>
          <cell r="AV2080">
            <v>0</v>
          </cell>
          <cell r="AW2080">
            <v>23</v>
          </cell>
          <cell r="AX2080">
            <v>1</v>
          </cell>
          <cell r="AY2080">
            <v>0</v>
          </cell>
          <cell r="AZ2080">
            <v>0</v>
          </cell>
          <cell r="BA2080">
            <v>0</v>
          </cell>
          <cell r="BB2080">
            <v>0</v>
          </cell>
          <cell r="BC2080">
            <v>38828</v>
          </cell>
        </row>
        <row r="2081">
          <cell r="A2081">
            <v>2006</v>
          </cell>
          <cell r="B2081">
            <v>3</v>
          </cell>
          <cell r="C2081">
            <v>55</v>
          </cell>
          <cell r="D2081">
            <v>21</v>
          </cell>
          <cell r="E2081">
            <v>792020</v>
          </cell>
          <cell r="F2081">
            <v>0</v>
          </cell>
          <cell r="G2081" t="str">
            <v>Затраты по ШПЗ (основные)</v>
          </cell>
          <cell r="H2081">
            <v>2011</v>
          </cell>
          <cell r="I2081">
            <v>7920</v>
          </cell>
          <cell r="J2081">
            <v>4010</v>
          </cell>
          <cell r="K2081">
            <v>1</v>
          </cell>
          <cell r="L2081">
            <v>0</v>
          </cell>
          <cell r="M2081">
            <v>0</v>
          </cell>
          <cell r="N2081">
            <v>0</v>
          </cell>
          <cell r="R2081">
            <v>0</v>
          </cell>
          <cell r="S2081">
            <v>0</v>
          </cell>
          <cell r="T2081">
            <v>0</v>
          </cell>
          <cell r="U2081">
            <v>33</v>
          </cell>
          <cell r="V2081">
            <v>0</v>
          </cell>
          <cell r="W2081">
            <v>0</v>
          </cell>
          <cell r="AA2081">
            <v>0</v>
          </cell>
          <cell r="AB2081">
            <v>0</v>
          </cell>
          <cell r="AC2081">
            <v>0</v>
          </cell>
          <cell r="AD2081">
            <v>33</v>
          </cell>
          <cell r="AE2081">
            <v>430230</v>
          </cell>
          <cell r="AF2081">
            <v>0</v>
          </cell>
          <cell r="AI2081">
            <v>2282</v>
          </cell>
          <cell r="AK2081">
            <v>0</v>
          </cell>
          <cell r="AM2081">
            <v>212</v>
          </cell>
          <cell r="AN2081">
            <v>1</v>
          </cell>
          <cell r="AO2081">
            <v>393216</v>
          </cell>
          <cell r="AQ2081">
            <v>0</v>
          </cell>
          <cell r="AR2081">
            <v>0</v>
          </cell>
          <cell r="AS2081" t="str">
            <v>Ы</v>
          </cell>
          <cell r="AT2081" t="str">
            <v>Ы</v>
          </cell>
          <cell r="AU2081">
            <v>0</v>
          </cell>
          <cell r="AV2081">
            <v>0</v>
          </cell>
          <cell r="AW2081">
            <v>23</v>
          </cell>
          <cell r="AX2081">
            <v>1</v>
          </cell>
          <cell r="AY2081">
            <v>0</v>
          </cell>
          <cell r="AZ2081">
            <v>0</v>
          </cell>
          <cell r="BA2081">
            <v>0</v>
          </cell>
          <cell r="BB2081">
            <v>0</v>
          </cell>
          <cell r="BC2081">
            <v>38828</v>
          </cell>
        </row>
        <row r="2082">
          <cell r="A2082">
            <v>2006</v>
          </cell>
          <cell r="B2082">
            <v>3</v>
          </cell>
          <cell r="C2082">
            <v>56</v>
          </cell>
          <cell r="D2082">
            <v>21</v>
          </cell>
          <cell r="E2082">
            <v>792020</v>
          </cell>
          <cell r="F2082">
            <v>0</v>
          </cell>
          <cell r="G2082" t="str">
            <v>Затраты по ШПЗ (основные)</v>
          </cell>
          <cell r="H2082">
            <v>2011</v>
          </cell>
          <cell r="I2082">
            <v>7920</v>
          </cell>
          <cell r="J2082">
            <v>32628</v>
          </cell>
          <cell r="K2082">
            <v>1</v>
          </cell>
          <cell r="L2082">
            <v>0</v>
          </cell>
          <cell r="M2082">
            <v>0</v>
          </cell>
          <cell r="N2082">
            <v>0</v>
          </cell>
          <cell r="R2082">
            <v>0</v>
          </cell>
          <cell r="S2082">
            <v>0</v>
          </cell>
          <cell r="T2082">
            <v>0</v>
          </cell>
          <cell r="U2082">
            <v>33</v>
          </cell>
          <cell r="V2082">
            <v>0</v>
          </cell>
          <cell r="W2082">
            <v>0</v>
          </cell>
          <cell r="AA2082">
            <v>0</v>
          </cell>
          <cell r="AB2082">
            <v>0</v>
          </cell>
          <cell r="AC2082">
            <v>0</v>
          </cell>
          <cell r="AD2082">
            <v>33</v>
          </cell>
          <cell r="AE2082">
            <v>430240</v>
          </cell>
          <cell r="AF2082">
            <v>0</v>
          </cell>
          <cell r="AI2082">
            <v>2282</v>
          </cell>
          <cell r="AK2082">
            <v>0</v>
          </cell>
          <cell r="AM2082">
            <v>213</v>
          </cell>
          <cell r="AN2082">
            <v>1</v>
          </cell>
          <cell r="AO2082">
            <v>393216</v>
          </cell>
          <cell r="AQ2082">
            <v>0</v>
          </cell>
          <cell r="AR2082">
            <v>0</v>
          </cell>
          <cell r="AS2082" t="str">
            <v>Ы</v>
          </cell>
          <cell r="AT2082" t="str">
            <v>Ы</v>
          </cell>
          <cell r="AU2082">
            <v>0</v>
          </cell>
          <cell r="AV2082">
            <v>0</v>
          </cell>
          <cell r="AW2082">
            <v>23</v>
          </cell>
          <cell r="AX2082">
            <v>1</v>
          </cell>
          <cell r="AY2082">
            <v>0</v>
          </cell>
          <cell r="AZ2082">
            <v>0</v>
          </cell>
          <cell r="BA2082">
            <v>0</v>
          </cell>
          <cell r="BB2082">
            <v>0</v>
          </cell>
          <cell r="BC2082">
            <v>38828</v>
          </cell>
        </row>
        <row r="2083">
          <cell r="A2083">
            <v>2006</v>
          </cell>
          <cell r="B2083">
            <v>3</v>
          </cell>
          <cell r="C2083">
            <v>57</v>
          </cell>
          <cell r="D2083">
            <v>21</v>
          </cell>
          <cell r="E2083">
            <v>792020</v>
          </cell>
          <cell r="F2083">
            <v>0</v>
          </cell>
          <cell r="G2083" t="str">
            <v>Затраты по ШПЗ (основные)</v>
          </cell>
          <cell r="H2083">
            <v>2011</v>
          </cell>
          <cell r="I2083">
            <v>7920</v>
          </cell>
          <cell r="J2083">
            <v>76857</v>
          </cell>
          <cell r="K2083">
            <v>1</v>
          </cell>
          <cell r="L2083">
            <v>0</v>
          </cell>
          <cell r="M2083">
            <v>0</v>
          </cell>
          <cell r="N2083">
            <v>0</v>
          </cell>
          <cell r="R2083">
            <v>0</v>
          </cell>
          <cell r="S2083">
            <v>0</v>
          </cell>
          <cell r="T2083">
            <v>0</v>
          </cell>
          <cell r="U2083">
            <v>33</v>
          </cell>
          <cell r="V2083">
            <v>0</v>
          </cell>
          <cell r="W2083">
            <v>0</v>
          </cell>
          <cell r="AA2083">
            <v>0</v>
          </cell>
          <cell r="AB2083">
            <v>0</v>
          </cell>
          <cell r="AC2083">
            <v>0</v>
          </cell>
          <cell r="AD2083">
            <v>33</v>
          </cell>
          <cell r="AE2083">
            <v>450000</v>
          </cell>
          <cell r="AF2083">
            <v>0</v>
          </cell>
          <cell r="AI2083">
            <v>2282</v>
          </cell>
          <cell r="AK2083">
            <v>0</v>
          </cell>
          <cell r="AM2083">
            <v>214</v>
          </cell>
          <cell r="AN2083">
            <v>1</v>
          </cell>
          <cell r="AO2083">
            <v>393216</v>
          </cell>
          <cell r="AQ2083">
            <v>0</v>
          </cell>
          <cell r="AR2083">
            <v>0</v>
          </cell>
          <cell r="AS2083" t="str">
            <v>Ы</v>
          </cell>
          <cell r="AT2083" t="str">
            <v>Ы</v>
          </cell>
          <cell r="AU2083">
            <v>0</v>
          </cell>
          <cell r="AV2083">
            <v>0</v>
          </cell>
          <cell r="AW2083">
            <v>23</v>
          </cell>
          <cell r="AX2083">
            <v>1</v>
          </cell>
          <cell r="AY2083">
            <v>0</v>
          </cell>
          <cell r="AZ2083">
            <v>0</v>
          </cell>
          <cell r="BA2083">
            <v>0</v>
          </cell>
          <cell r="BB2083">
            <v>0</v>
          </cell>
          <cell r="BC2083">
            <v>38828</v>
          </cell>
        </row>
        <row r="2084">
          <cell r="A2084">
            <v>2006</v>
          </cell>
          <cell r="B2084">
            <v>3</v>
          </cell>
          <cell r="C2084">
            <v>58</v>
          </cell>
          <cell r="D2084">
            <v>21</v>
          </cell>
          <cell r="E2084">
            <v>792020</v>
          </cell>
          <cell r="F2084">
            <v>0</v>
          </cell>
          <cell r="G2084" t="str">
            <v>Затраты по ШПЗ (основные)</v>
          </cell>
          <cell r="H2084">
            <v>2011</v>
          </cell>
          <cell r="I2084">
            <v>7920</v>
          </cell>
          <cell r="J2084">
            <v>23623</v>
          </cell>
          <cell r="K2084">
            <v>1</v>
          </cell>
          <cell r="L2084">
            <v>0</v>
          </cell>
          <cell r="M2084">
            <v>0</v>
          </cell>
          <cell r="N2084">
            <v>0</v>
          </cell>
          <cell r="R2084">
            <v>0</v>
          </cell>
          <cell r="S2084">
            <v>0</v>
          </cell>
          <cell r="T2084">
            <v>0</v>
          </cell>
          <cell r="U2084">
            <v>33</v>
          </cell>
          <cell r="V2084">
            <v>0</v>
          </cell>
          <cell r="W2084">
            <v>0</v>
          </cell>
          <cell r="AA2084">
            <v>0</v>
          </cell>
          <cell r="AB2084">
            <v>0</v>
          </cell>
          <cell r="AC2084">
            <v>0</v>
          </cell>
          <cell r="AD2084">
            <v>33</v>
          </cell>
          <cell r="AE2084">
            <v>460000</v>
          </cell>
          <cell r="AF2084">
            <v>0</v>
          </cell>
          <cell r="AI2084">
            <v>2282</v>
          </cell>
          <cell r="AK2084">
            <v>0</v>
          </cell>
          <cell r="AM2084">
            <v>215</v>
          </cell>
          <cell r="AN2084">
            <v>1</v>
          </cell>
          <cell r="AO2084">
            <v>393216</v>
          </cell>
          <cell r="AQ2084">
            <v>0</v>
          </cell>
          <cell r="AR2084">
            <v>0</v>
          </cell>
          <cell r="AS2084" t="str">
            <v>Ы</v>
          </cell>
          <cell r="AT2084" t="str">
            <v>Ы</v>
          </cell>
          <cell r="AU2084">
            <v>0</v>
          </cell>
          <cell r="AV2084">
            <v>0</v>
          </cell>
          <cell r="AW2084">
            <v>23</v>
          </cell>
          <cell r="AX2084">
            <v>1</v>
          </cell>
          <cell r="AY2084">
            <v>0</v>
          </cell>
          <cell r="AZ2084">
            <v>0</v>
          </cell>
          <cell r="BA2084">
            <v>0</v>
          </cell>
          <cell r="BB2084">
            <v>0</v>
          </cell>
          <cell r="BC2084">
            <v>38828</v>
          </cell>
        </row>
        <row r="2085">
          <cell r="A2085">
            <v>2006</v>
          </cell>
          <cell r="B2085">
            <v>3</v>
          </cell>
          <cell r="C2085">
            <v>59</v>
          </cell>
          <cell r="D2085">
            <v>21</v>
          </cell>
          <cell r="E2085">
            <v>792020</v>
          </cell>
          <cell r="F2085">
            <v>0</v>
          </cell>
          <cell r="G2085" t="str">
            <v>Затраты по ШПЗ (основные)</v>
          </cell>
          <cell r="H2085">
            <v>2011</v>
          </cell>
          <cell r="I2085">
            <v>7920</v>
          </cell>
          <cell r="J2085">
            <v>518592.69</v>
          </cell>
          <cell r="K2085">
            <v>1</v>
          </cell>
          <cell r="L2085">
            <v>0</v>
          </cell>
          <cell r="M2085">
            <v>0</v>
          </cell>
          <cell r="N2085">
            <v>0</v>
          </cell>
          <cell r="R2085">
            <v>0</v>
          </cell>
          <cell r="S2085">
            <v>0</v>
          </cell>
          <cell r="T2085">
            <v>0</v>
          </cell>
          <cell r="U2085">
            <v>33</v>
          </cell>
          <cell r="V2085">
            <v>0</v>
          </cell>
          <cell r="W2085">
            <v>0</v>
          </cell>
          <cell r="AA2085">
            <v>0</v>
          </cell>
          <cell r="AB2085">
            <v>0</v>
          </cell>
          <cell r="AC2085">
            <v>0</v>
          </cell>
          <cell r="AD2085">
            <v>33</v>
          </cell>
          <cell r="AE2085">
            <v>501103</v>
          </cell>
          <cell r="AF2085">
            <v>0</v>
          </cell>
          <cell r="AI2085">
            <v>2282</v>
          </cell>
          <cell r="AK2085">
            <v>0</v>
          </cell>
          <cell r="AM2085">
            <v>216</v>
          </cell>
          <cell r="AN2085">
            <v>1</v>
          </cell>
          <cell r="AO2085">
            <v>393216</v>
          </cell>
          <cell r="AQ2085">
            <v>0</v>
          </cell>
          <cell r="AR2085">
            <v>0</v>
          </cell>
          <cell r="AS2085" t="str">
            <v>Ы</v>
          </cell>
          <cell r="AT2085" t="str">
            <v>Ы</v>
          </cell>
          <cell r="AU2085">
            <v>0</v>
          </cell>
          <cell r="AV2085">
            <v>0</v>
          </cell>
          <cell r="AW2085">
            <v>23</v>
          </cell>
          <cell r="AX2085">
            <v>1</v>
          </cell>
          <cell r="AY2085">
            <v>0</v>
          </cell>
          <cell r="AZ2085">
            <v>0</v>
          </cell>
          <cell r="BA2085">
            <v>0</v>
          </cell>
          <cell r="BB2085">
            <v>0</v>
          </cell>
          <cell r="BC2085">
            <v>38828</v>
          </cell>
        </row>
        <row r="2086">
          <cell r="A2086">
            <v>2006</v>
          </cell>
          <cell r="B2086">
            <v>3</v>
          </cell>
          <cell r="C2086">
            <v>60</v>
          </cell>
          <cell r="D2086">
            <v>21</v>
          </cell>
          <cell r="E2086">
            <v>792020</v>
          </cell>
          <cell r="F2086">
            <v>0</v>
          </cell>
          <cell r="G2086" t="str">
            <v>Затраты по ШПЗ (основные)</v>
          </cell>
          <cell r="H2086">
            <v>2011</v>
          </cell>
          <cell r="I2086">
            <v>7920</v>
          </cell>
          <cell r="J2086">
            <v>77983</v>
          </cell>
          <cell r="K2086">
            <v>1</v>
          </cell>
          <cell r="L2086">
            <v>0</v>
          </cell>
          <cell r="M2086">
            <v>0</v>
          </cell>
          <cell r="N2086">
            <v>0</v>
          </cell>
          <cell r="R2086">
            <v>0</v>
          </cell>
          <cell r="S2086">
            <v>0</v>
          </cell>
          <cell r="T2086">
            <v>0</v>
          </cell>
          <cell r="U2086">
            <v>33</v>
          </cell>
          <cell r="V2086">
            <v>0</v>
          </cell>
          <cell r="W2086">
            <v>0</v>
          </cell>
          <cell r="AA2086">
            <v>0</v>
          </cell>
          <cell r="AB2086">
            <v>0</v>
          </cell>
          <cell r="AC2086">
            <v>0</v>
          </cell>
          <cell r="AD2086">
            <v>33</v>
          </cell>
          <cell r="AE2086">
            <v>501105</v>
          </cell>
          <cell r="AF2086">
            <v>0</v>
          </cell>
          <cell r="AI2086">
            <v>2282</v>
          </cell>
          <cell r="AK2086">
            <v>0</v>
          </cell>
          <cell r="AM2086">
            <v>217</v>
          </cell>
          <cell r="AN2086">
            <v>1</v>
          </cell>
          <cell r="AO2086">
            <v>393216</v>
          </cell>
          <cell r="AQ2086">
            <v>0</v>
          </cell>
          <cell r="AR2086">
            <v>0</v>
          </cell>
          <cell r="AS2086" t="str">
            <v>Ы</v>
          </cell>
          <cell r="AT2086" t="str">
            <v>Ы</v>
          </cell>
          <cell r="AU2086">
            <v>0</v>
          </cell>
          <cell r="AV2086">
            <v>0</v>
          </cell>
          <cell r="AW2086">
            <v>23</v>
          </cell>
          <cell r="AX2086">
            <v>1</v>
          </cell>
          <cell r="AY2086">
            <v>0</v>
          </cell>
          <cell r="AZ2086">
            <v>0</v>
          </cell>
          <cell r="BA2086">
            <v>0</v>
          </cell>
          <cell r="BB2086">
            <v>0</v>
          </cell>
          <cell r="BC2086">
            <v>38828</v>
          </cell>
        </row>
        <row r="2087">
          <cell r="A2087">
            <v>2006</v>
          </cell>
          <cell r="B2087">
            <v>3</v>
          </cell>
          <cell r="C2087">
            <v>61</v>
          </cell>
          <cell r="D2087">
            <v>21</v>
          </cell>
          <cell r="E2087">
            <v>792020</v>
          </cell>
          <cell r="F2087">
            <v>0</v>
          </cell>
          <cell r="G2087" t="str">
            <v>Затраты по ШПЗ (основные)</v>
          </cell>
          <cell r="H2087">
            <v>2011</v>
          </cell>
          <cell r="I2087">
            <v>7920</v>
          </cell>
          <cell r="J2087">
            <v>6530</v>
          </cell>
          <cell r="K2087">
            <v>1</v>
          </cell>
          <cell r="L2087">
            <v>0</v>
          </cell>
          <cell r="M2087">
            <v>0</v>
          </cell>
          <cell r="N2087">
            <v>0</v>
          </cell>
          <cell r="R2087">
            <v>0</v>
          </cell>
          <cell r="S2087">
            <v>0</v>
          </cell>
          <cell r="T2087">
            <v>0</v>
          </cell>
          <cell r="U2087">
            <v>33</v>
          </cell>
          <cell r="V2087">
            <v>0</v>
          </cell>
          <cell r="W2087">
            <v>0</v>
          </cell>
          <cell r="AA2087">
            <v>0</v>
          </cell>
          <cell r="AB2087">
            <v>0</v>
          </cell>
          <cell r="AC2087">
            <v>0</v>
          </cell>
          <cell r="AD2087">
            <v>33</v>
          </cell>
          <cell r="AE2087">
            <v>501106</v>
          </cell>
          <cell r="AF2087">
            <v>0</v>
          </cell>
          <cell r="AI2087">
            <v>2282</v>
          </cell>
          <cell r="AK2087">
            <v>0</v>
          </cell>
          <cell r="AM2087">
            <v>218</v>
          </cell>
          <cell r="AN2087">
            <v>1</v>
          </cell>
          <cell r="AO2087">
            <v>393216</v>
          </cell>
          <cell r="AQ2087">
            <v>0</v>
          </cell>
          <cell r="AR2087">
            <v>0</v>
          </cell>
          <cell r="AS2087" t="str">
            <v>Ы</v>
          </cell>
          <cell r="AT2087" t="str">
            <v>Ы</v>
          </cell>
          <cell r="AU2087">
            <v>0</v>
          </cell>
          <cell r="AV2087">
            <v>0</v>
          </cell>
          <cell r="AW2087">
            <v>23</v>
          </cell>
          <cell r="AX2087">
            <v>1</v>
          </cell>
          <cell r="AY2087">
            <v>0</v>
          </cell>
          <cell r="AZ2087">
            <v>0</v>
          </cell>
          <cell r="BA2087">
            <v>0</v>
          </cell>
          <cell r="BB2087">
            <v>0</v>
          </cell>
          <cell r="BC2087">
            <v>38828</v>
          </cell>
        </row>
        <row r="2088">
          <cell r="A2088">
            <v>2006</v>
          </cell>
          <cell r="B2088">
            <v>3</v>
          </cell>
          <cell r="C2088">
            <v>62</v>
          </cell>
          <cell r="D2088">
            <v>21</v>
          </cell>
          <cell r="E2088">
            <v>792020</v>
          </cell>
          <cell r="F2088">
            <v>0</v>
          </cell>
          <cell r="G2088" t="str">
            <v>Затраты по ШПЗ (основные)</v>
          </cell>
          <cell r="H2088">
            <v>2011</v>
          </cell>
          <cell r="I2088">
            <v>7920</v>
          </cell>
          <cell r="J2088">
            <v>391453.36</v>
          </cell>
          <cell r="K2088">
            <v>1</v>
          </cell>
          <cell r="L2088">
            <v>0</v>
          </cell>
          <cell r="M2088">
            <v>0</v>
          </cell>
          <cell r="N2088">
            <v>0</v>
          </cell>
          <cell r="R2088">
            <v>0</v>
          </cell>
          <cell r="S2088">
            <v>0</v>
          </cell>
          <cell r="T2088">
            <v>0</v>
          </cell>
          <cell r="U2088">
            <v>33</v>
          </cell>
          <cell r="V2088">
            <v>0</v>
          </cell>
          <cell r="W2088">
            <v>0</v>
          </cell>
          <cell r="AA2088">
            <v>0</v>
          </cell>
          <cell r="AB2088">
            <v>0</v>
          </cell>
          <cell r="AC2088">
            <v>0</v>
          </cell>
          <cell r="AD2088">
            <v>33</v>
          </cell>
          <cell r="AE2088">
            <v>503000</v>
          </cell>
          <cell r="AF2088">
            <v>0</v>
          </cell>
          <cell r="AI2088">
            <v>2282</v>
          </cell>
          <cell r="AK2088">
            <v>0</v>
          </cell>
          <cell r="AM2088">
            <v>219</v>
          </cell>
          <cell r="AN2088">
            <v>1</v>
          </cell>
          <cell r="AO2088">
            <v>393216</v>
          </cell>
          <cell r="AQ2088">
            <v>0</v>
          </cell>
          <cell r="AR2088">
            <v>0</v>
          </cell>
          <cell r="AS2088" t="str">
            <v>Ы</v>
          </cell>
          <cell r="AT2088" t="str">
            <v>Ы</v>
          </cell>
          <cell r="AU2088">
            <v>0</v>
          </cell>
          <cell r="AV2088">
            <v>0</v>
          </cell>
          <cell r="AW2088">
            <v>23</v>
          </cell>
          <cell r="AX2088">
            <v>1</v>
          </cell>
          <cell r="AY2088">
            <v>0</v>
          </cell>
          <cell r="AZ2088">
            <v>0</v>
          </cell>
          <cell r="BA2088">
            <v>0</v>
          </cell>
          <cell r="BB2088">
            <v>0</v>
          </cell>
          <cell r="BC2088">
            <v>38828</v>
          </cell>
        </row>
        <row r="2089">
          <cell r="A2089">
            <v>2006</v>
          </cell>
          <cell r="B2089">
            <v>3</v>
          </cell>
          <cell r="C2089">
            <v>63</v>
          </cell>
          <cell r="D2089">
            <v>21</v>
          </cell>
          <cell r="E2089">
            <v>792020</v>
          </cell>
          <cell r="F2089">
            <v>0</v>
          </cell>
          <cell r="G2089" t="str">
            <v>Затраты по ШПЗ (основные)</v>
          </cell>
          <cell r="H2089">
            <v>2011</v>
          </cell>
          <cell r="I2089">
            <v>7920</v>
          </cell>
          <cell r="J2089">
            <v>1198</v>
          </cell>
          <cell r="K2089">
            <v>1</v>
          </cell>
          <cell r="L2089">
            <v>0</v>
          </cell>
          <cell r="M2089">
            <v>0</v>
          </cell>
          <cell r="N2089">
            <v>0</v>
          </cell>
          <cell r="R2089">
            <v>0</v>
          </cell>
          <cell r="S2089">
            <v>0</v>
          </cell>
          <cell r="T2089">
            <v>0</v>
          </cell>
          <cell r="U2089">
            <v>33</v>
          </cell>
          <cell r="V2089">
            <v>0</v>
          </cell>
          <cell r="W2089">
            <v>0</v>
          </cell>
          <cell r="AA2089">
            <v>0</v>
          </cell>
          <cell r="AB2089">
            <v>0</v>
          </cell>
          <cell r="AC2089">
            <v>0</v>
          </cell>
          <cell r="AD2089">
            <v>33</v>
          </cell>
          <cell r="AE2089">
            <v>504900</v>
          </cell>
          <cell r="AF2089">
            <v>0</v>
          </cell>
          <cell r="AI2089">
            <v>2282</v>
          </cell>
          <cell r="AK2089">
            <v>0</v>
          </cell>
          <cell r="AM2089">
            <v>220</v>
          </cell>
          <cell r="AN2089">
            <v>1</v>
          </cell>
          <cell r="AO2089">
            <v>393216</v>
          </cell>
          <cell r="AQ2089">
            <v>0</v>
          </cell>
          <cell r="AR2089">
            <v>0</v>
          </cell>
          <cell r="AS2089" t="str">
            <v>Ы</v>
          </cell>
          <cell r="AT2089" t="str">
            <v>Ы</v>
          </cell>
          <cell r="AU2089">
            <v>0</v>
          </cell>
          <cell r="AV2089">
            <v>0</v>
          </cell>
          <cell r="AW2089">
            <v>23</v>
          </cell>
          <cell r="AX2089">
            <v>1</v>
          </cell>
          <cell r="AY2089">
            <v>0</v>
          </cell>
          <cell r="AZ2089">
            <v>0</v>
          </cell>
          <cell r="BA2089">
            <v>0</v>
          </cell>
          <cell r="BB2089">
            <v>0</v>
          </cell>
          <cell r="BC2089">
            <v>38828</v>
          </cell>
        </row>
        <row r="2090">
          <cell r="A2090">
            <v>2006</v>
          </cell>
          <cell r="B2090">
            <v>3</v>
          </cell>
          <cell r="C2090">
            <v>64</v>
          </cell>
          <cell r="D2090">
            <v>21</v>
          </cell>
          <cell r="E2090">
            <v>792020</v>
          </cell>
          <cell r="F2090">
            <v>0</v>
          </cell>
          <cell r="G2090" t="str">
            <v>Затраты по ШПЗ (основные)</v>
          </cell>
          <cell r="H2090">
            <v>2011</v>
          </cell>
          <cell r="I2090">
            <v>7920</v>
          </cell>
          <cell r="J2090">
            <v>2103.65</v>
          </cell>
          <cell r="K2090">
            <v>1</v>
          </cell>
          <cell r="L2090">
            <v>0</v>
          </cell>
          <cell r="M2090">
            <v>0</v>
          </cell>
          <cell r="N2090">
            <v>0</v>
          </cell>
          <cell r="R2090">
            <v>0</v>
          </cell>
          <cell r="S2090">
            <v>0</v>
          </cell>
          <cell r="T2090">
            <v>0</v>
          </cell>
          <cell r="U2090">
            <v>33</v>
          </cell>
          <cell r="V2090">
            <v>0</v>
          </cell>
          <cell r="W2090">
            <v>0</v>
          </cell>
          <cell r="AA2090">
            <v>0</v>
          </cell>
          <cell r="AB2090">
            <v>0</v>
          </cell>
          <cell r="AC2090">
            <v>0</v>
          </cell>
          <cell r="AD2090">
            <v>33</v>
          </cell>
          <cell r="AE2090">
            <v>505100</v>
          </cell>
          <cell r="AF2090">
            <v>0</v>
          </cell>
          <cell r="AI2090">
            <v>2282</v>
          </cell>
          <cell r="AK2090">
            <v>0</v>
          </cell>
          <cell r="AM2090">
            <v>221</v>
          </cell>
          <cell r="AN2090">
            <v>1</v>
          </cell>
          <cell r="AO2090">
            <v>393216</v>
          </cell>
          <cell r="AQ2090">
            <v>0</v>
          </cell>
          <cell r="AR2090">
            <v>0</v>
          </cell>
          <cell r="AS2090" t="str">
            <v>Ы</v>
          </cell>
          <cell r="AT2090" t="str">
            <v>Ы</v>
          </cell>
          <cell r="AU2090">
            <v>0</v>
          </cell>
          <cell r="AV2090">
            <v>0</v>
          </cell>
          <cell r="AW2090">
            <v>23</v>
          </cell>
          <cell r="AX2090">
            <v>1</v>
          </cell>
          <cell r="AY2090">
            <v>0</v>
          </cell>
          <cell r="AZ2090">
            <v>0</v>
          </cell>
          <cell r="BA2090">
            <v>0</v>
          </cell>
          <cell r="BB2090">
            <v>0</v>
          </cell>
          <cell r="BC2090">
            <v>38828</v>
          </cell>
        </row>
        <row r="2091">
          <cell r="A2091">
            <v>2006</v>
          </cell>
          <cell r="B2091">
            <v>3</v>
          </cell>
          <cell r="C2091">
            <v>65</v>
          </cell>
          <cell r="D2091">
            <v>21</v>
          </cell>
          <cell r="E2091">
            <v>792020</v>
          </cell>
          <cell r="F2091">
            <v>0</v>
          </cell>
          <cell r="G2091" t="str">
            <v>Затраты по ШПЗ (основные)</v>
          </cell>
          <cell r="H2091">
            <v>2011</v>
          </cell>
          <cell r="I2091">
            <v>7920</v>
          </cell>
          <cell r="J2091">
            <v>153756.10999999999</v>
          </cell>
          <cell r="K2091">
            <v>1</v>
          </cell>
          <cell r="L2091">
            <v>0</v>
          </cell>
          <cell r="M2091">
            <v>0</v>
          </cell>
          <cell r="N2091">
            <v>0</v>
          </cell>
          <cell r="R2091">
            <v>0</v>
          </cell>
          <cell r="S2091">
            <v>0</v>
          </cell>
          <cell r="T2091">
            <v>0</v>
          </cell>
          <cell r="U2091">
            <v>33</v>
          </cell>
          <cell r="V2091">
            <v>0</v>
          </cell>
          <cell r="W2091">
            <v>0</v>
          </cell>
          <cell r="AA2091">
            <v>0</v>
          </cell>
          <cell r="AB2091">
            <v>0</v>
          </cell>
          <cell r="AC2091">
            <v>0</v>
          </cell>
          <cell r="AD2091">
            <v>33</v>
          </cell>
          <cell r="AE2091">
            <v>505200</v>
          </cell>
          <cell r="AF2091">
            <v>0</v>
          </cell>
          <cell r="AI2091">
            <v>2282</v>
          </cell>
          <cell r="AK2091">
            <v>0</v>
          </cell>
          <cell r="AM2091">
            <v>222</v>
          </cell>
          <cell r="AN2091">
            <v>1</v>
          </cell>
          <cell r="AO2091">
            <v>393216</v>
          </cell>
          <cell r="AQ2091">
            <v>0</v>
          </cell>
          <cell r="AR2091">
            <v>0</v>
          </cell>
          <cell r="AS2091" t="str">
            <v>Ы</v>
          </cell>
          <cell r="AT2091" t="str">
            <v>Ы</v>
          </cell>
          <cell r="AU2091">
            <v>0</v>
          </cell>
          <cell r="AV2091">
            <v>0</v>
          </cell>
          <cell r="AW2091">
            <v>23</v>
          </cell>
          <cell r="AX2091">
            <v>1</v>
          </cell>
          <cell r="AY2091">
            <v>0</v>
          </cell>
          <cell r="AZ2091">
            <v>0</v>
          </cell>
          <cell r="BA2091">
            <v>0</v>
          </cell>
          <cell r="BB2091">
            <v>0</v>
          </cell>
          <cell r="BC2091">
            <v>38828</v>
          </cell>
        </row>
        <row r="2092">
          <cell r="A2092">
            <v>2006</v>
          </cell>
          <cell r="B2092">
            <v>3</v>
          </cell>
          <cell r="C2092">
            <v>66</v>
          </cell>
          <cell r="D2092">
            <v>21</v>
          </cell>
          <cell r="E2092">
            <v>792020</v>
          </cell>
          <cell r="F2092">
            <v>0</v>
          </cell>
          <cell r="G2092" t="str">
            <v>Затраты по ШПЗ (основные)</v>
          </cell>
          <cell r="H2092">
            <v>2011</v>
          </cell>
          <cell r="I2092">
            <v>7920</v>
          </cell>
          <cell r="J2092">
            <v>2080</v>
          </cell>
          <cell r="K2092">
            <v>1</v>
          </cell>
          <cell r="L2092">
            <v>0</v>
          </cell>
          <cell r="M2092">
            <v>0</v>
          </cell>
          <cell r="N2092">
            <v>0</v>
          </cell>
          <cell r="R2092">
            <v>0</v>
          </cell>
          <cell r="S2092">
            <v>0</v>
          </cell>
          <cell r="T2092">
            <v>0</v>
          </cell>
          <cell r="U2092">
            <v>33</v>
          </cell>
          <cell r="V2092">
            <v>0</v>
          </cell>
          <cell r="W2092">
            <v>0</v>
          </cell>
          <cell r="AA2092">
            <v>0</v>
          </cell>
          <cell r="AB2092">
            <v>0</v>
          </cell>
          <cell r="AC2092">
            <v>0</v>
          </cell>
          <cell r="AD2092">
            <v>33</v>
          </cell>
          <cell r="AE2092">
            <v>505300</v>
          </cell>
          <cell r="AF2092">
            <v>0</v>
          </cell>
          <cell r="AI2092">
            <v>2282</v>
          </cell>
          <cell r="AK2092">
            <v>0</v>
          </cell>
          <cell r="AM2092">
            <v>223</v>
          </cell>
          <cell r="AN2092">
            <v>1</v>
          </cell>
          <cell r="AO2092">
            <v>393216</v>
          </cell>
          <cell r="AQ2092">
            <v>0</v>
          </cell>
          <cell r="AR2092">
            <v>0</v>
          </cell>
          <cell r="AS2092" t="str">
            <v>Ы</v>
          </cell>
          <cell r="AT2092" t="str">
            <v>Ы</v>
          </cell>
          <cell r="AU2092">
            <v>0</v>
          </cell>
          <cell r="AV2092">
            <v>0</v>
          </cell>
          <cell r="AW2092">
            <v>23</v>
          </cell>
          <cell r="AX2092">
            <v>1</v>
          </cell>
          <cell r="AY2092">
            <v>0</v>
          </cell>
          <cell r="AZ2092">
            <v>0</v>
          </cell>
          <cell r="BA2092">
            <v>0</v>
          </cell>
          <cell r="BB2092">
            <v>0</v>
          </cell>
          <cell r="BC2092">
            <v>38828</v>
          </cell>
        </row>
        <row r="2093">
          <cell r="A2093">
            <v>2006</v>
          </cell>
          <cell r="B2093">
            <v>3</v>
          </cell>
          <cell r="C2093">
            <v>67</v>
          </cell>
          <cell r="D2093">
            <v>21</v>
          </cell>
          <cell r="E2093">
            <v>792020</v>
          </cell>
          <cell r="F2093">
            <v>0</v>
          </cell>
          <cell r="G2093" t="str">
            <v>Затраты по ШПЗ (основные)</v>
          </cell>
          <cell r="H2093">
            <v>2011</v>
          </cell>
          <cell r="I2093">
            <v>7920</v>
          </cell>
          <cell r="J2093">
            <v>17738.52</v>
          </cell>
          <cell r="K2093">
            <v>1</v>
          </cell>
          <cell r="L2093">
            <v>0</v>
          </cell>
          <cell r="M2093">
            <v>0</v>
          </cell>
          <cell r="N2093">
            <v>0</v>
          </cell>
          <cell r="R2093">
            <v>0</v>
          </cell>
          <cell r="S2093">
            <v>0</v>
          </cell>
          <cell r="T2093">
            <v>0</v>
          </cell>
          <cell r="U2093">
            <v>33</v>
          </cell>
          <cell r="V2093">
            <v>0</v>
          </cell>
          <cell r="W2093">
            <v>0</v>
          </cell>
          <cell r="AA2093">
            <v>0</v>
          </cell>
          <cell r="AB2093">
            <v>0</v>
          </cell>
          <cell r="AC2093">
            <v>0</v>
          </cell>
          <cell r="AD2093">
            <v>33</v>
          </cell>
          <cell r="AE2093">
            <v>505400</v>
          </cell>
          <cell r="AF2093">
            <v>0</v>
          </cell>
          <cell r="AI2093">
            <v>2282</v>
          </cell>
          <cell r="AK2093">
            <v>0</v>
          </cell>
          <cell r="AM2093">
            <v>224</v>
          </cell>
          <cell r="AN2093">
            <v>1</v>
          </cell>
          <cell r="AO2093">
            <v>393216</v>
          </cell>
          <cell r="AQ2093">
            <v>0</v>
          </cell>
          <cell r="AR2093">
            <v>0</v>
          </cell>
          <cell r="AS2093" t="str">
            <v>Ы</v>
          </cell>
          <cell r="AT2093" t="str">
            <v>Ы</v>
          </cell>
          <cell r="AU2093">
            <v>0</v>
          </cell>
          <cell r="AV2093">
            <v>0</v>
          </cell>
          <cell r="AW2093">
            <v>23</v>
          </cell>
          <cell r="AX2093">
            <v>1</v>
          </cell>
          <cell r="AY2093">
            <v>0</v>
          </cell>
          <cell r="AZ2093">
            <v>0</v>
          </cell>
          <cell r="BA2093">
            <v>0</v>
          </cell>
          <cell r="BB2093">
            <v>0</v>
          </cell>
          <cell r="BC2093">
            <v>38828</v>
          </cell>
        </row>
        <row r="2094">
          <cell r="A2094">
            <v>2006</v>
          </cell>
          <cell r="B2094">
            <v>3</v>
          </cell>
          <cell r="C2094">
            <v>68</v>
          </cell>
          <cell r="D2094">
            <v>21</v>
          </cell>
          <cell r="E2094">
            <v>792020</v>
          </cell>
          <cell r="F2094">
            <v>0</v>
          </cell>
          <cell r="G2094" t="str">
            <v>Затраты по ШПЗ (основные)</v>
          </cell>
          <cell r="H2094">
            <v>2011</v>
          </cell>
          <cell r="I2094">
            <v>7920</v>
          </cell>
          <cell r="J2094">
            <v>1222.48</v>
          </cell>
          <cell r="K2094">
            <v>1</v>
          </cell>
          <cell r="L2094">
            <v>0</v>
          </cell>
          <cell r="M2094">
            <v>0</v>
          </cell>
          <cell r="N2094">
            <v>0</v>
          </cell>
          <cell r="R2094">
            <v>0</v>
          </cell>
          <cell r="S2094">
            <v>0</v>
          </cell>
          <cell r="T2094">
            <v>0</v>
          </cell>
          <cell r="U2094">
            <v>33</v>
          </cell>
          <cell r="V2094">
            <v>0</v>
          </cell>
          <cell r="W2094">
            <v>0</v>
          </cell>
          <cell r="AA2094">
            <v>0</v>
          </cell>
          <cell r="AB2094">
            <v>0</v>
          </cell>
          <cell r="AC2094">
            <v>0</v>
          </cell>
          <cell r="AD2094">
            <v>33</v>
          </cell>
          <cell r="AE2094">
            <v>507000</v>
          </cell>
          <cell r="AF2094">
            <v>0</v>
          </cell>
          <cell r="AI2094">
            <v>2282</v>
          </cell>
          <cell r="AK2094">
            <v>0</v>
          </cell>
          <cell r="AM2094">
            <v>225</v>
          </cell>
          <cell r="AN2094">
            <v>1</v>
          </cell>
          <cell r="AO2094">
            <v>393216</v>
          </cell>
          <cell r="AQ2094">
            <v>0</v>
          </cell>
          <cell r="AR2094">
            <v>0</v>
          </cell>
          <cell r="AS2094" t="str">
            <v>Ы</v>
          </cell>
          <cell r="AT2094" t="str">
            <v>Ы</v>
          </cell>
          <cell r="AU2094">
            <v>0</v>
          </cell>
          <cell r="AV2094">
            <v>0</v>
          </cell>
          <cell r="AW2094">
            <v>23</v>
          </cell>
          <cell r="AX2094">
            <v>1</v>
          </cell>
          <cell r="AY2094">
            <v>0</v>
          </cell>
          <cell r="AZ2094">
            <v>0</v>
          </cell>
          <cell r="BA2094">
            <v>0</v>
          </cell>
          <cell r="BB2094">
            <v>0</v>
          </cell>
          <cell r="BC2094">
            <v>38828</v>
          </cell>
        </row>
        <row r="2095">
          <cell r="A2095">
            <v>2006</v>
          </cell>
          <cell r="B2095">
            <v>3</v>
          </cell>
          <cell r="C2095">
            <v>69</v>
          </cell>
          <cell r="D2095">
            <v>21</v>
          </cell>
          <cell r="E2095">
            <v>792020</v>
          </cell>
          <cell r="F2095">
            <v>0</v>
          </cell>
          <cell r="G2095" t="str">
            <v>Затраты по ШПЗ (основные)</v>
          </cell>
          <cell r="H2095">
            <v>2011</v>
          </cell>
          <cell r="I2095">
            <v>7920</v>
          </cell>
          <cell r="J2095">
            <v>1341</v>
          </cell>
          <cell r="K2095">
            <v>1</v>
          </cell>
          <cell r="L2095">
            <v>0</v>
          </cell>
          <cell r="M2095">
            <v>0</v>
          </cell>
          <cell r="N2095">
            <v>0</v>
          </cell>
          <cell r="R2095">
            <v>0</v>
          </cell>
          <cell r="S2095">
            <v>0</v>
          </cell>
          <cell r="T2095">
            <v>0</v>
          </cell>
          <cell r="U2095">
            <v>33</v>
          </cell>
          <cell r="V2095">
            <v>0</v>
          </cell>
          <cell r="W2095">
            <v>0</v>
          </cell>
          <cell r="AA2095">
            <v>0</v>
          </cell>
          <cell r="AB2095">
            <v>0</v>
          </cell>
          <cell r="AC2095">
            <v>0</v>
          </cell>
          <cell r="AD2095">
            <v>33</v>
          </cell>
          <cell r="AE2095">
            <v>508310</v>
          </cell>
          <cell r="AF2095">
            <v>0</v>
          </cell>
          <cell r="AI2095">
            <v>2282</v>
          </cell>
          <cell r="AK2095">
            <v>0</v>
          </cell>
          <cell r="AM2095">
            <v>226</v>
          </cell>
          <cell r="AN2095">
            <v>1</v>
          </cell>
          <cell r="AO2095">
            <v>393216</v>
          </cell>
          <cell r="AQ2095">
            <v>0</v>
          </cell>
          <cell r="AR2095">
            <v>0</v>
          </cell>
          <cell r="AS2095" t="str">
            <v>Ы</v>
          </cell>
          <cell r="AT2095" t="str">
            <v>Ы</v>
          </cell>
          <cell r="AU2095">
            <v>0</v>
          </cell>
          <cell r="AV2095">
            <v>0</v>
          </cell>
          <cell r="AW2095">
            <v>23</v>
          </cell>
          <cell r="AX2095">
            <v>1</v>
          </cell>
          <cell r="AY2095">
            <v>0</v>
          </cell>
          <cell r="AZ2095">
            <v>0</v>
          </cell>
          <cell r="BA2095">
            <v>0</v>
          </cell>
          <cell r="BB2095">
            <v>0</v>
          </cell>
          <cell r="BC2095">
            <v>38828</v>
          </cell>
        </row>
        <row r="2096">
          <cell r="A2096">
            <v>2006</v>
          </cell>
          <cell r="B2096">
            <v>3</v>
          </cell>
          <cell r="C2096">
            <v>70</v>
          </cell>
          <cell r="D2096">
            <v>21</v>
          </cell>
          <cell r="E2096">
            <v>792020</v>
          </cell>
          <cell r="F2096">
            <v>0</v>
          </cell>
          <cell r="G2096" t="str">
            <v>Затраты по ШПЗ (основные)</v>
          </cell>
          <cell r="H2096">
            <v>2011</v>
          </cell>
          <cell r="I2096">
            <v>7920</v>
          </cell>
          <cell r="J2096">
            <v>1870</v>
          </cell>
          <cell r="K2096">
            <v>1</v>
          </cell>
          <cell r="L2096">
            <v>0</v>
          </cell>
          <cell r="M2096">
            <v>0</v>
          </cell>
          <cell r="N2096">
            <v>0</v>
          </cell>
          <cell r="R2096">
            <v>0</v>
          </cell>
          <cell r="S2096">
            <v>0</v>
          </cell>
          <cell r="T2096">
            <v>0</v>
          </cell>
          <cell r="U2096">
            <v>33</v>
          </cell>
          <cell r="V2096">
            <v>0</v>
          </cell>
          <cell r="W2096">
            <v>0</v>
          </cell>
          <cell r="AA2096">
            <v>0</v>
          </cell>
          <cell r="AB2096">
            <v>0</v>
          </cell>
          <cell r="AC2096">
            <v>0</v>
          </cell>
          <cell r="AD2096">
            <v>33</v>
          </cell>
          <cell r="AE2096">
            <v>508700</v>
          </cell>
          <cell r="AF2096">
            <v>0</v>
          </cell>
          <cell r="AI2096">
            <v>2282</v>
          </cell>
          <cell r="AK2096">
            <v>0</v>
          </cell>
          <cell r="AM2096">
            <v>227</v>
          </cell>
          <cell r="AN2096">
            <v>1</v>
          </cell>
          <cell r="AO2096">
            <v>393216</v>
          </cell>
          <cell r="AQ2096">
            <v>0</v>
          </cell>
          <cell r="AR2096">
            <v>0</v>
          </cell>
          <cell r="AS2096" t="str">
            <v>Ы</v>
          </cell>
          <cell r="AT2096" t="str">
            <v>Ы</v>
          </cell>
          <cell r="AU2096">
            <v>0</v>
          </cell>
          <cell r="AV2096">
            <v>0</v>
          </cell>
          <cell r="AW2096">
            <v>23</v>
          </cell>
          <cell r="AX2096">
            <v>1</v>
          </cell>
          <cell r="AY2096">
            <v>0</v>
          </cell>
          <cell r="AZ2096">
            <v>0</v>
          </cell>
          <cell r="BA2096">
            <v>0</v>
          </cell>
          <cell r="BB2096">
            <v>0</v>
          </cell>
          <cell r="BC2096">
            <v>38828</v>
          </cell>
        </row>
        <row r="2097">
          <cell r="A2097">
            <v>2006</v>
          </cell>
          <cell r="B2097">
            <v>3</v>
          </cell>
          <cell r="C2097">
            <v>71</v>
          </cell>
          <cell r="D2097">
            <v>21</v>
          </cell>
          <cell r="E2097">
            <v>792020</v>
          </cell>
          <cell r="F2097">
            <v>0</v>
          </cell>
          <cell r="G2097" t="str">
            <v>Затраты по ШПЗ (основные)</v>
          </cell>
          <cell r="H2097">
            <v>2011</v>
          </cell>
          <cell r="I2097">
            <v>7920</v>
          </cell>
          <cell r="J2097">
            <v>401007.92</v>
          </cell>
          <cell r="K2097">
            <v>1</v>
          </cell>
          <cell r="L2097">
            <v>0</v>
          </cell>
          <cell r="M2097">
            <v>0</v>
          </cell>
          <cell r="N2097">
            <v>0</v>
          </cell>
          <cell r="R2097">
            <v>0</v>
          </cell>
          <cell r="S2097">
            <v>0</v>
          </cell>
          <cell r="T2097">
            <v>0</v>
          </cell>
          <cell r="U2097">
            <v>33</v>
          </cell>
          <cell r="V2097">
            <v>0</v>
          </cell>
          <cell r="W2097">
            <v>0</v>
          </cell>
          <cell r="AA2097">
            <v>0</v>
          </cell>
          <cell r="AB2097">
            <v>0</v>
          </cell>
          <cell r="AC2097">
            <v>0</v>
          </cell>
          <cell r="AD2097">
            <v>33</v>
          </cell>
          <cell r="AE2097">
            <v>510100</v>
          </cell>
          <cell r="AF2097">
            <v>0</v>
          </cell>
          <cell r="AI2097">
            <v>2282</v>
          </cell>
          <cell r="AK2097">
            <v>0</v>
          </cell>
          <cell r="AM2097">
            <v>228</v>
          </cell>
          <cell r="AN2097">
            <v>1</v>
          </cell>
          <cell r="AO2097">
            <v>393216</v>
          </cell>
          <cell r="AQ2097">
            <v>0</v>
          </cell>
          <cell r="AR2097">
            <v>0</v>
          </cell>
          <cell r="AS2097" t="str">
            <v>Ы</v>
          </cell>
          <cell r="AT2097" t="str">
            <v>Ы</v>
          </cell>
          <cell r="AU2097">
            <v>0</v>
          </cell>
          <cell r="AV2097">
            <v>0</v>
          </cell>
          <cell r="AW2097">
            <v>23</v>
          </cell>
          <cell r="AX2097">
            <v>1</v>
          </cell>
          <cell r="AY2097">
            <v>0</v>
          </cell>
          <cell r="AZ2097">
            <v>0</v>
          </cell>
          <cell r="BA2097">
            <v>0</v>
          </cell>
          <cell r="BB2097">
            <v>0</v>
          </cell>
          <cell r="BC2097">
            <v>38828</v>
          </cell>
        </row>
        <row r="2098">
          <cell r="A2098">
            <v>2006</v>
          </cell>
          <cell r="B2098">
            <v>3</v>
          </cell>
          <cell r="C2098">
            <v>72</v>
          </cell>
          <cell r="D2098">
            <v>21</v>
          </cell>
          <cell r="E2098">
            <v>792020</v>
          </cell>
          <cell r="F2098">
            <v>0</v>
          </cell>
          <cell r="G2098" t="str">
            <v>Затраты по ШПЗ (основные)</v>
          </cell>
          <cell r="H2098">
            <v>2011</v>
          </cell>
          <cell r="I2098">
            <v>7920</v>
          </cell>
          <cell r="J2098">
            <v>7160.58</v>
          </cell>
          <cell r="K2098">
            <v>1</v>
          </cell>
          <cell r="L2098">
            <v>0</v>
          </cell>
          <cell r="M2098">
            <v>0</v>
          </cell>
          <cell r="N2098">
            <v>0</v>
          </cell>
          <cell r="R2098">
            <v>0</v>
          </cell>
          <cell r="S2098">
            <v>0</v>
          </cell>
          <cell r="T2098">
            <v>0</v>
          </cell>
          <cell r="U2098">
            <v>33</v>
          </cell>
          <cell r="V2098">
            <v>0</v>
          </cell>
          <cell r="W2098">
            <v>0</v>
          </cell>
          <cell r="AA2098">
            <v>0</v>
          </cell>
          <cell r="AB2098">
            <v>0</v>
          </cell>
          <cell r="AC2098">
            <v>0</v>
          </cell>
          <cell r="AD2098">
            <v>33</v>
          </cell>
          <cell r="AE2098">
            <v>510400</v>
          </cell>
          <cell r="AF2098">
            <v>0</v>
          </cell>
          <cell r="AI2098">
            <v>2282</v>
          </cell>
          <cell r="AK2098">
            <v>0</v>
          </cell>
          <cell r="AM2098">
            <v>229</v>
          </cell>
          <cell r="AN2098">
            <v>1</v>
          </cell>
          <cell r="AO2098">
            <v>393216</v>
          </cell>
          <cell r="AQ2098">
            <v>0</v>
          </cell>
          <cell r="AR2098">
            <v>0</v>
          </cell>
          <cell r="AS2098" t="str">
            <v>Ы</v>
          </cell>
          <cell r="AT2098" t="str">
            <v>Ы</v>
          </cell>
          <cell r="AU2098">
            <v>0</v>
          </cell>
          <cell r="AV2098">
            <v>0</v>
          </cell>
          <cell r="AW2098">
            <v>23</v>
          </cell>
          <cell r="AX2098">
            <v>1</v>
          </cell>
          <cell r="AY2098">
            <v>0</v>
          </cell>
          <cell r="AZ2098">
            <v>0</v>
          </cell>
          <cell r="BA2098">
            <v>0</v>
          </cell>
          <cell r="BB2098">
            <v>0</v>
          </cell>
          <cell r="BC2098">
            <v>38828</v>
          </cell>
        </row>
        <row r="2099">
          <cell r="A2099">
            <v>2006</v>
          </cell>
          <cell r="B2099">
            <v>3</v>
          </cell>
          <cell r="C2099">
            <v>73</v>
          </cell>
          <cell r="D2099">
            <v>21</v>
          </cell>
          <cell r="E2099">
            <v>792020</v>
          </cell>
          <cell r="F2099">
            <v>0</v>
          </cell>
          <cell r="G2099" t="str">
            <v>Затраты по ШПЗ (основные)</v>
          </cell>
          <cell r="H2099">
            <v>2011</v>
          </cell>
          <cell r="I2099">
            <v>7920</v>
          </cell>
          <cell r="J2099">
            <v>407332</v>
          </cell>
          <cell r="K2099">
            <v>1</v>
          </cell>
          <cell r="L2099">
            <v>0</v>
          </cell>
          <cell r="M2099">
            <v>0</v>
          </cell>
          <cell r="N2099">
            <v>0</v>
          </cell>
          <cell r="R2099">
            <v>0</v>
          </cell>
          <cell r="S2099">
            <v>0</v>
          </cell>
          <cell r="T2099">
            <v>0</v>
          </cell>
          <cell r="U2099">
            <v>33</v>
          </cell>
          <cell r="V2099">
            <v>0</v>
          </cell>
          <cell r="W2099">
            <v>0</v>
          </cell>
          <cell r="AA2099">
            <v>0</v>
          </cell>
          <cell r="AB2099">
            <v>0</v>
          </cell>
          <cell r="AC2099">
            <v>0</v>
          </cell>
          <cell r="AD2099">
            <v>33</v>
          </cell>
          <cell r="AE2099">
            <v>510600</v>
          </cell>
          <cell r="AF2099">
            <v>0</v>
          </cell>
          <cell r="AI2099">
            <v>2282</v>
          </cell>
          <cell r="AK2099">
            <v>0</v>
          </cell>
          <cell r="AM2099">
            <v>230</v>
          </cell>
          <cell r="AN2099">
            <v>1</v>
          </cell>
          <cell r="AO2099">
            <v>393216</v>
          </cell>
          <cell r="AQ2099">
            <v>0</v>
          </cell>
          <cell r="AR2099">
            <v>0</v>
          </cell>
          <cell r="AS2099" t="str">
            <v>Ы</v>
          </cell>
          <cell r="AT2099" t="str">
            <v>Ы</v>
          </cell>
          <cell r="AU2099">
            <v>0</v>
          </cell>
          <cell r="AV2099">
            <v>0</v>
          </cell>
          <cell r="AW2099">
            <v>23</v>
          </cell>
          <cell r="AX2099">
            <v>1</v>
          </cell>
          <cell r="AY2099">
            <v>0</v>
          </cell>
          <cell r="AZ2099">
            <v>0</v>
          </cell>
          <cell r="BA2099">
            <v>0</v>
          </cell>
          <cell r="BB2099">
            <v>0</v>
          </cell>
          <cell r="BC2099">
            <v>38828</v>
          </cell>
        </row>
        <row r="2100">
          <cell r="A2100">
            <v>2006</v>
          </cell>
          <cell r="B2100">
            <v>3</v>
          </cell>
          <cell r="C2100">
            <v>74</v>
          </cell>
          <cell r="D2100">
            <v>21</v>
          </cell>
          <cell r="E2100">
            <v>792020</v>
          </cell>
          <cell r="F2100">
            <v>0</v>
          </cell>
          <cell r="G2100" t="str">
            <v>Затраты по ШПЗ (основные)</v>
          </cell>
          <cell r="H2100">
            <v>2011</v>
          </cell>
          <cell r="I2100">
            <v>7920</v>
          </cell>
          <cell r="J2100">
            <v>388.42</v>
          </cell>
          <cell r="K2100">
            <v>1</v>
          </cell>
          <cell r="L2100">
            <v>0</v>
          </cell>
          <cell r="M2100">
            <v>0</v>
          </cell>
          <cell r="N2100">
            <v>0</v>
          </cell>
          <cell r="R2100">
            <v>0</v>
          </cell>
          <cell r="S2100">
            <v>0</v>
          </cell>
          <cell r="T2100">
            <v>0</v>
          </cell>
          <cell r="U2100">
            <v>33</v>
          </cell>
          <cell r="V2100">
            <v>0</v>
          </cell>
          <cell r="W2100">
            <v>0</v>
          </cell>
          <cell r="AA2100">
            <v>0</v>
          </cell>
          <cell r="AB2100">
            <v>0</v>
          </cell>
          <cell r="AC2100">
            <v>0</v>
          </cell>
          <cell r="AD2100">
            <v>33</v>
          </cell>
          <cell r="AE2100">
            <v>512000</v>
          </cell>
          <cell r="AF2100">
            <v>0</v>
          </cell>
          <cell r="AI2100">
            <v>2282</v>
          </cell>
          <cell r="AK2100">
            <v>0</v>
          </cell>
          <cell r="AM2100">
            <v>231</v>
          </cell>
          <cell r="AN2100">
            <v>1</v>
          </cell>
          <cell r="AO2100">
            <v>393216</v>
          </cell>
          <cell r="AQ2100">
            <v>0</v>
          </cell>
          <cell r="AR2100">
            <v>0</v>
          </cell>
          <cell r="AS2100" t="str">
            <v>Ы</v>
          </cell>
          <cell r="AT2100" t="str">
            <v>Ы</v>
          </cell>
          <cell r="AU2100">
            <v>0</v>
          </cell>
          <cell r="AV2100">
            <v>0</v>
          </cell>
          <cell r="AW2100">
            <v>23</v>
          </cell>
          <cell r="AX2100">
            <v>1</v>
          </cell>
          <cell r="AY2100">
            <v>0</v>
          </cell>
          <cell r="AZ2100">
            <v>0</v>
          </cell>
          <cell r="BA2100">
            <v>0</v>
          </cell>
          <cell r="BB2100">
            <v>0</v>
          </cell>
          <cell r="BC2100">
            <v>38828</v>
          </cell>
        </row>
        <row r="2101">
          <cell r="A2101">
            <v>2006</v>
          </cell>
          <cell r="B2101">
            <v>3</v>
          </cell>
          <cell r="C2101">
            <v>75</v>
          </cell>
          <cell r="D2101">
            <v>21</v>
          </cell>
          <cell r="E2101">
            <v>792020</v>
          </cell>
          <cell r="F2101">
            <v>0</v>
          </cell>
          <cell r="G2101" t="str">
            <v>Затраты по ШПЗ (основные)</v>
          </cell>
          <cell r="H2101">
            <v>2011</v>
          </cell>
          <cell r="I2101">
            <v>7920</v>
          </cell>
          <cell r="J2101">
            <v>10498.48</v>
          </cell>
          <cell r="K2101">
            <v>1</v>
          </cell>
          <cell r="L2101">
            <v>0</v>
          </cell>
          <cell r="M2101">
            <v>0</v>
          </cell>
          <cell r="N2101">
            <v>0</v>
          </cell>
          <cell r="R2101">
            <v>0</v>
          </cell>
          <cell r="S2101">
            <v>0</v>
          </cell>
          <cell r="T2101">
            <v>0</v>
          </cell>
          <cell r="U2101">
            <v>33</v>
          </cell>
          <cell r="V2101">
            <v>0</v>
          </cell>
          <cell r="W2101">
            <v>0</v>
          </cell>
          <cell r="AA2101">
            <v>0</v>
          </cell>
          <cell r="AB2101">
            <v>0</v>
          </cell>
          <cell r="AC2101">
            <v>0</v>
          </cell>
          <cell r="AD2101">
            <v>33</v>
          </cell>
          <cell r="AE2101">
            <v>513100</v>
          </cell>
          <cell r="AF2101">
            <v>0</v>
          </cell>
          <cell r="AI2101">
            <v>2282</v>
          </cell>
          <cell r="AK2101">
            <v>0</v>
          </cell>
          <cell r="AM2101">
            <v>232</v>
          </cell>
          <cell r="AN2101">
            <v>1</v>
          </cell>
          <cell r="AO2101">
            <v>393216</v>
          </cell>
          <cell r="AQ2101">
            <v>0</v>
          </cell>
          <cell r="AR2101">
            <v>0</v>
          </cell>
          <cell r="AS2101" t="str">
            <v>Ы</v>
          </cell>
          <cell r="AT2101" t="str">
            <v>Ы</v>
          </cell>
          <cell r="AU2101">
            <v>0</v>
          </cell>
          <cell r="AV2101">
            <v>0</v>
          </cell>
          <cell r="AW2101">
            <v>23</v>
          </cell>
          <cell r="AX2101">
            <v>1</v>
          </cell>
          <cell r="AY2101">
            <v>0</v>
          </cell>
          <cell r="AZ2101">
            <v>0</v>
          </cell>
          <cell r="BA2101">
            <v>0</v>
          </cell>
          <cell r="BB2101">
            <v>0</v>
          </cell>
          <cell r="BC2101">
            <v>38828</v>
          </cell>
        </row>
        <row r="2102">
          <cell r="A2102">
            <v>2006</v>
          </cell>
          <cell r="B2102">
            <v>3</v>
          </cell>
          <cell r="C2102">
            <v>114</v>
          </cell>
          <cell r="D2102">
            <v>21</v>
          </cell>
          <cell r="E2102">
            <v>792020</v>
          </cell>
          <cell r="F2102">
            <v>0</v>
          </cell>
          <cell r="G2102" t="str">
            <v>Затраты по ШПЗ (основные)</v>
          </cell>
          <cell r="H2102">
            <v>2011</v>
          </cell>
          <cell r="I2102">
            <v>7920</v>
          </cell>
          <cell r="J2102">
            <v>68788.72</v>
          </cell>
          <cell r="K2102">
            <v>1</v>
          </cell>
          <cell r="L2102">
            <v>0</v>
          </cell>
          <cell r="M2102">
            <v>0</v>
          </cell>
          <cell r="N2102">
            <v>0</v>
          </cell>
          <cell r="R2102">
            <v>0</v>
          </cell>
          <cell r="S2102">
            <v>0</v>
          </cell>
          <cell r="T2102">
            <v>0</v>
          </cell>
          <cell r="U2102">
            <v>35</v>
          </cell>
          <cell r="V2102">
            <v>0</v>
          </cell>
          <cell r="W2102">
            <v>0</v>
          </cell>
          <cell r="AA2102">
            <v>0</v>
          </cell>
          <cell r="AB2102">
            <v>0</v>
          </cell>
          <cell r="AC2102">
            <v>0</v>
          </cell>
          <cell r="AD2102">
            <v>35</v>
          </cell>
          <cell r="AE2102">
            <v>110000</v>
          </cell>
          <cell r="AF2102">
            <v>0</v>
          </cell>
          <cell r="AI2102">
            <v>2282</v>
          </cell>
          <cell r="AK2102">
            <v>0</v>
          </cell>
          <cell r="AM2102">
            <v>271</v>
          </cell>
          <cell r="AN2102">
            <v>1</v>
          </cell>
          <cell r="AO2102">
            <v>393216</v>
          </cell>
          <cell r="AQ2102">
            <v>0</v>
          </cell>
          <cell r="AR2102">
            <v>0</v>
          </cell>
          <cell r="AS2102" t="str">
            <v>Ы</v>
          </cell>
          <cell r="AT2102" t="str">
            <v>Ы</v>
          </cell>
          <cell r="AU2102">
            <v>0</v>
          </cell>
          <cell r="AV2102">
            <v>0</v>
          </cell>
          <cell r="AW2102">
            <v>23</v>
          </cell>
          <cell r="AX2102">
            <v>1</v>
          </cell>
          <cell r="AY2102">
            <v>0</v>
          </cell>
          <cell r="AZ2102">
            <v>0</v>
          </cell>
          <cell r="BA2102">
            <v>0</v>
          </cell>
          <cell r="BB2102">
            <v>0</v>
          </cell>
          <cell r="BC2102">
            <v>38828</v>
          </cell>
        </row>
        <row r="2103">
          <cell r="A2103">
            <v>2006</v>
          </cell>
          <cell r="B2103">
            <v>3</v>
          </cell>
          <cell r="C2103">
            <v>115</v>
          </cell>
          <cell r="D2103">
            <v>21</v>
          </cell>
          <cell r="E2103">
            <v>792020</v>
          </cell>
          <cell r="F2103">
            <v>0</v>
          </cell>
          <cell r="G2103" t="str">
            <v>Затраты по ШПЗ (основные)</v>
          </cell>
          <cell r="H2103">
            <v>2011</v>
          </cell>
          <cell r="I2103">
            <v>7920</v>
          </cell>
          <cell r="J2103">
            <v>2293.14</v>
          </cell>
          <cell r="K2103">
            <v>1</v>
          </cell>
          <cell r="L2103">
            <v>0</v>
          </cell>
          <cell r="M2103">
            <v>0</v>
          </cell>
          <cell r="N2103">
            <v>0</v>
          </cell>
          <cell r="R2103">
            <v>0</v>
          </cell>
          <cell r="S2103">
            <v>0</v>
          </cell>
          <cell r="T2103">
            <v>0</v>
          </cell>
          <cell r="U2103">
            <v>35</v>
          </cell>
          <cell r="V2103">
            <v>0</v>
          </cell>
          <cell r="W2103">
            <v>0</v>
          </cell>
          <cell r="AA2103">
            <v>0</v>
          </cell>
          <cell r="AB2103">
            <v>0</v>
          </cell>
          <cell r="AC2103">
            <v>0</v>
          </cell>
          <cell r="AD2103">
            <v>35</v>
          </cell>
          <cell r="AE2103">
            <v>114020</v>
          </cell>
          <cell r="AF2103">
            <v>0</v>
          </cell>
          <cell r="AI2103">
            <v>2282</v>
          </cell>
          <cell r="AK2103">
            <v>0</v>
          </cell>
          <cell r="AM2103">
            <v>272</v>
          </cell>
          <cell r="AN2103">
            <v>1</v>
          </cell>
          <cell r="AO2103">
            <v>393216</v>
          </cell>
          <cell r="AQ2103">
            <v>0</v>
          </cell>
          <cell r="AR2103">
            <v>0</v>
          </cell>
          <cell r="AS2103" t="str">
            <v>Ы</v>
          </cell>
          <cell r="AT2103" t="str">
            <v>Ы</v>
          </cell>
          <cell r="AU2103">
            <v>0</v>
          </cell>
          <cell r="AV2103">
            <v>0</v>
          </cell>
          <cell r="AW2103">
            <v>23</v>
          </cell>
          <cell r="AX2103">
            <v>1</v>
          </cell>
          <cell r="AY2103">
            <v>0</v>
          </cell>
          <cell r="AZ2103">
            <v>0</v>
          </cell>
          <cell r="BA2103">
            <v>0</v>
          </cell>
          <cell r="BB2103">
            <v>0</v>
          </cell>
          <cell r="BC2103">
            <v>38828</v>
          </cell>
        </row>
        <row r="2104">
          <cell r="A2104">
            <v>2006</v>
          </cell>
          <cell r="B2104">
            <v>3</v>
          </cell>
          <cell r="C2104">
            <v>116</v>
          </cell>
          <cell r="D2104">
            <v>21</v>
          </cell>
          <cell r="E2104">
            <v>792020</v>
          </cell>
          <cell r="F2104">
            <v>0</v>
          </cell>
          <cell r="G2104" t="str">
            <v>Затраты по ШПЗ (основные)</v>
          </cell>
          <cell r="H2104">
            <v>2011</v>
          </cell>
          <cell r="I2104">
            <v>7920</v>
          </cell>
          <cell r="J2104">
            <v>39439.949999999997</v>
          </cell>
          <cell r="K2104">
            <v>1</v>
          </cell>
          <cell r="L2104">
            <v>0</v>
          </cell>
          <cell r="M2104">
            <v>0</v>
          </cell>
          <cell r="N2104">
            <v>0</v>
          </cell>
          <cell r="R2104">
            <v>0</v>
          </cell>
          <cell r="S2104">
            <v>0</v>
          </cell>
          <cell r="T2104">
            <v>0</v>
          </cell>
          <cell r="U2104">
            <v>35</v>
          </cell>
          <cell r="V2104">
            <v>0</v>
          </cell>
          <cell r="W2104">
            <v>0</v>
          </cell>
          <cell r="AA2104">
            <v>0</v>
          </cell>
          <cell r="AB2104">
            <v>0</v>
          </cell>
          <cell r="AC2104">
            <v>0</v>
          </cell>
          <cell r="AD2104">
            <v>35</v>
          </cell>
          <cell r="AE2104">
            <v>116000</v>
          </cell>
          <cell r="AF2104">
            <v>0</v>
          </cell>
          <cell r="AI2104">
            <v>2282</v>
          </cell>
          <cell r="AK2104">
            <v>0</v>
          </cell>
          <cell r="AM2104">
            <v>273</v>
          </cell>
          <cell r="AN2104">
            <v>1</v>
          </cell>
          <cell r="AO2104">
            <v>393216</v>
          </cell>
          <cell r="AQ2104">
            <v>0</v>
          </cell>
          <cell r="AR2104">
            <v>0</v>
          </cell>
          <cell r="AS2104" t="str">
            <v>Ы</v>
          </cell>
          <cell r="AT2104" t="str">
            <v>Ы</v>
          </cell>
          <cell r="AU2104">
            <v>0</v>
          </cell>
          <cell r="AV2104">
            <v>0</v>
          </cell>
          <cell r="AW2104">
            <v>23</v>
          </cell>
          <cell r="AX2104">
            <v>1</v>
          </cell>
          <cell r="AY2104">
            <v>0</v>
          </cell>
          <cell r="AZ2104">
            <v>0</v>
          </cell>
          <cell r="BA2104">
            <v>0</v>
          </cell>
          <cell r="BB2104">
            <v>0</v>
          </cell>
          <cell r="BC2104">
            <v>38828</v>
          </cell>
        </row>
        <row r="2105">
          <cell r="A2105">
            <v>2006</v>
          </cell>
          <cell r="B2105">
            <v>3</v>
          </cell>
          <cell r="C2105">
            <v>117</v>
          </cell>
          <cell r="D2105">
            <v>21</v>
          </cell>
          <cell r="E2105">
            <v>792020</v>
          </cell>
          <cell r="F2105">
            <v>0</v>
          </cell>
          <cell r="G2105" t="str">
            <v>Затраты по ШПЗ (основные)</v>
          </cell>
          <cell r="H2105">
            <v>2011</v>
          </cell>
          <cell r="I2105">
            <v>7920</v>
          </cell>
          <cell r="J2105">
            <v>15904.73</v>
          </cell>
          <cell r="K2105">
            <v>1</v>
          </cell>
          <cell r="L2105">
            <v>0</v>
          </cell>
          <cell r="M2105">
            <v>0</v>
          </cell>
          <cell r="N2105">
            <v>0</v>
          </cell>
          <cell r="R2105">
            <v>0</v>
          </cell>
          <cell r="S2105">
            <v>0</v>
          </cell>
          <cell r="T2105">
            <v>0</v>
          </cell>
          <cell r="U2105">
            <v>35</v>
          </cell>
          <cell r="V2105">
            <v>0</v>
          </cell>
          <cell r="W2105">
            <v>0</v>
          </cell>
          <cell r="AA2105">
            <v>0</v>
          </cell>
          <cell r="AB2105">
            <v>0</v>
          </cell>
          <cell r="AC2105">
            <v>0</v>
          </cell>
          <cell r="AD2105">
            <v>35</v>
          </cell>
          <cell r="AE2105">
            <v>117000</v>
          </cell>
          <cell r="AF2105">
            <v>0</v>
          </cell>
          <cell r="AI2105">
            <v>2282</v>
          </cell>
          <cell r="AK2105">
            <v>0</v>
          </cell>
          <cell r="AM2105">
            <v>274</v>
          </cell>
          <cell r="AN2105">
            <v>1</v>
          </cell>
          <cell r="AO2105">
            <v>393216</v>
          </cell>
          <cell r="AQ2105">
            <v>0</v>
          </cell>
          <cell r="AR2105">
            <v>0</v>
          </cell>
          <cell r="AS2105" t="str">
            <v>Ы</v>
          </cell>
          <cell r="AT2105" t="str">
            <v>Ы</v>
          </cell>
          <cell r="AU2105">
            <v>0</v>
          </cell>
          <cell r="AV2105">
            <v>0</v>
          </cell>
          <cell r="AW2105">
            <v>23</v>
          </cell>
          <cell r="AX2105">
            <v>1</v>
          </cell>
          <cell r="AY2105">
            <v>0</v>
          </cell>
          <cell r="AZ2105">
            <v>0</v>
          </cell>
          <cell r="BA2105">
            <v>0</v>
          </cell>
          <cell r="BB2105">
            <v>0</v>
          </cell>
          <cell r="BC2105">
            <v>38828</v>
          </cell>
        </row>
        <row r="2106">
          <cell r="A2106">
            <v>2006</v>
          </cell>
          <cell r="B2106">
            <v>3</v>
          </cell>
          <cell r="C2106">
            <v>118</v>
          </cell>
          <cell r="D2106">
            <v>21</v>
          </cell>
          <cell r="E2106">
            <v>792020</v>
          </cell>
          <cell r="F2106">
            <v>0</v>
          </cell>
          <cell r="G2106" t="str">
            <v>Затраты по ШПЗ (основные)</v>
          </cell>
          <cell r="H2106">
            <v>2011</v>
          </cell>
          <cell r="I2106">
            <v>7920</v>
          </cell>
          <cell r="J2106">
            <v>27618.29</v>
          </cell>
          <cell r="K2106">
            <v>1</v>
          </cell>
          <cell r="L2106">
            <v>0</v>
          </cell>
          <cell r="M2106">
            <v>0</v>
          </cell>
          <cell r="N2106">
            <v>0</v>
          </cell>
          <cell r="R2106">
            <v>0</v>
          </cell>
          <cell r="S2106">
            <v>0</v>
          </cell>
          <cell r="T2106">
            <v>0</v>
          </cell>
          <cell r="U2106">
            <v>35</v>
          </cell>
          <cell r="V2106">
            <v>0</v>
          </cell>
          <cell r="W2106">
            <v>0</v>
          </cell>
          <cell r="AA2106">
            <v>0</v>
          </cell>
          <cell r="AB2106">
            <v>0</v>
          </cell>
          <cell r="AC2106">
            <v>0</v>
          </cell>
          <cell r="AD2106">
            <v>35</v>
          </cell>
          <cell r="AE2106">
            <v>118000</v>
          </cell>
          <cell r="AF2106">
            <v>0</v>
          </cell>
          <cell r="AI2106">
            <v>2282</v>
          </cell>
          <cell r="AK2106">
            <v>0</v>
          </cell>
          <cell r="AM2106">
            <v>275</v>
          </cell>
          <cell r="AN2106">
            <v>1</v>
          </cell>
          <cell r="AO2106">
            <v>393216</v>
          </cell>
          <cell r="AQ2106">
            <v>0</v>
          </cell>
          <cell r="AR2106">
            <v>0</v>
          </cell>
          <cell r="AS2106" t="str">
            <v>Ы</v>
          </cell>
          <cell r="AT2106" t="str">
            <v>Ы</v>
          </cell>
          <cell r="AU2106">
            <v>0</v>
          </cell>
          <cell r="AV2106">
            <v>0</v>
          </cell>
          <cell r="AW2106">
            <v>23</v>
          </cell>
          <cell r="AX2106">
            <v>1</v>
          </cell>
          <cell r="AY2106">
            <v>0</v>
          </cell>
          <cell r="AZ2106">
            <v>0</v>
          </cell>
          <cell r="BA2106">
            <v>0</v>
          </cell>
          <cell r="BB2106">
            <v>0</v>
          </cell>
          <cell r="BC2106">
            <v>38828</v>
          </cell>
        </row>
        <row r="2107">
          <cell r="A2107">
            <v>2006</v>
          </cell>
          <cell r="B2107">
            <v>3</v>
          </cell>
          <cell r="C2107">
            <v>119</v>
          </cell>
          <cell r="D2107">
            <v>21</v>
          </cell>
          <cell r="E2107">
            <v>792020</v>
          </cell>
          <cell r="F2107">
            <v>0</v>
          </cell>
          <cell r="G2107" t="str">
            <v>Затраты по ШПЗ (основные)</v>
          </cell>
          <cell r="H2107">
            <v>2011</v>
          </cell>
          <cell r="I2107">
            <v>7920</v>
          </cell>
          <cell r="J2107">
            <v>2623.28</v>
          </cell>
          <cell r="K2107">
            <v>1</v>
          </cell>
          <cell r="L2107">
            <v>0</v>
          </cell>
          <cell r="M2107">
            <v>0</v>
          </cell>
          <cell r="N2107">
            <v>0</v>
          </cell>
          <cell r="R2107">
            <v>0</v>
          </cell>
          <cell r="S2107">
            <v>0</v>
          </cell>
          <cell r="T2107">
            <v>0</v>
          </cell>
          <cell r="U2107">
            <v>35</v>
          </cell>
          <cell r="V2107">
            <v>0</v>
          </cell>
          <cell r="W2107">
            <v>0</v>
          </cell>
          <cell r="AA2107">
            <v>0</v>
          </cell>
          <cell r="AB2107">
            <v>0</v>
          </cell>
          <cell r="AC2107">
            <v>0</v>
          </cell>
          <cell r="AD2107">
            <v>35</v>
          </cell>
          <cell r="AE2107">
            <v>131000</v>
          </cell>
          <cell r="AF2107">
            <v>0</v>
          </cell>
          <cell r="AI2107">
            <v>2282</v>
          </cell>
          <cell r="AK2107">
            <v>0</v>
          </cell>
          <cell r="AM2107">
            <v>276</v>
          </cell>
          <cell r="AN2107">
            <v>1</v>
          </cell>
          <cell r="AO2107">
            <v>393216</v>
          </cell>
          <cell r="AQ2107">
            <v>0</v>
          </cell>
          <cell r="AR2107">
            <v>0</v>
          </cell>
          <cell r="AS2107" t="str">
            <v>Ы</v>
          </cell>
          <cell r="AT2107" t="str">
            <v>Ы</v>
          </cell>
          <cell r="AU2107">
            <v>0</v>
          </cell>
          <cell r="AV2107">
            <v>0</v>
          </cell>
          <cell r="AW2107">
            <v>23</v>
          </cell>
          <cell r="AX2107">
            <v>1</v>
          </cell>
          <cell r="AY2107">
            <v>0</v>
          </cell>
          <cell r="AZ2107">
            <v>0</v>
          </cell>
          <cell r="BA2107">
            <v>0</v>
          </cell>
          <cell r="BB2107">
            <v>0</v>
          </cell>
          <cell r="BC2107">
            <v>38828</v>
          </cell>
        </row>
        <row r="2108">
          <cell r="A2108">
            <v>2006</v>
          </cell>
          <cell r="B2108">
            <v>3</v>
          </cell>
          <cell r="C2108">
            <v>120</v>
          </cell>
          <cell r="D2108">
            <v>21</v>
          </cell>
          <cell r="E2108">
            <v>792020</v>
          </cell>
          <cell r="F2108">
            <v>0</v>
          </cell>
          <cell r="G2108" t="str">
            <v>Затраты по ШПЗ (основные)</v>
          </cell>
          <cell r="H2108">
            <v>2011</v>
          </cell>
          <cell r="I2108">
            <v>7920</v>
          </cell>
          <cell r="J2108">
            <v>99.64</v>
          </cell>
          <cell r="K2108">
            <v>1</v>
          </cell>
          <cell r="L2108">
            <v>0</v>
          </cell>
          <cell r="M2108">
            <v>0</v>
          </cell>
          <cell r="N2108">
            <v>0</v>
          </cell>
          <cell r="R2108">
            <v>0</v>
          </cell>
          <cell r="S2108">
            <v>0</v>
          </cell>
          <cell r="T2108">
            <v>0</v>
          </cell>
          <cell r="U2108">
            <v>35</v>
          </cell>
          <cell r="V2108">
            <v>0</v>
          </cell>
          <cell r="W2108">
            <v>0</v>
          </cell>
          <cell r="AA2108">
            <v>0</v>
          </cell>
          <cell r="AB2108">
            <v>0</v>
          </cell>
          <cell r="AC2108">
            <v>0</v>
          </cell>
          <cell r="AD2108">
            <v>35</v>
          </cell>
          <cell r="AE2108">
            <v>131100</v>
          </cell>
          <cell r="AF2108">
            <v>0</v>
          </cell>
          <cell r="AI2108">
            <v>2282</v>
          </cell>
          <cell r="AK2108">
            <v>0</v>
          </cell>
          <cell r="AM2108">
            <v>277</v>
          </cell>
          <cell r="AN2108">
            <v>1</v>
          </cell>
          <cell r="AO2108">
            <v>393216</v>
          </cell>
          <cell r="AQ2108">
            <v>0</v>
          </cell>
          <cell r="AR2108">
            <v>0</v>
          </cell>
          <cell r="AS2108" t="str">
            <v>Ы</v>
          </cell>
          <cell r="AT2108" t="str">
            <v>Ы</v>
          </cell>
          <cell r="AU2108">
            <v>0</v>
          </cell>
          <cell r="AV2108">
            <v>0</v>
          </cell>
          <cell r="AW2108">
            <v>23</v>
          </cell>
          <cell r="AX2108">
            <v>1</v>
          </cell>
          <cell r="AY2108">
            <v>0</v>
          </cell>
          <cell r="AZ2108">
            <v>0</v>
          </cell>
          <cell r="BA2108">
            <v>0</v>
          </cell>
          <cell r="BB2108">
            <v>0</v>
          </cell>
          <cell r="BC2108">
            <v>38828</v>
          </cell>
        </row>
        <row r="2109">
          <cell r="A2109">
            <v>2006</v>
          </cell>
          <cell r="B2109">
            <v>3</v>
          </cell>
          <cell r="C2109">
            <v>121</v>
          </cell>
          <cell r="D2109">
            <v>21</v>
          </cell>
          <cell r="E2109">
            <v>792020</v>
          </cell>
          <cell r="F2109">
            <v>0</v>
          </cell>
          <cell r="G2109" t="str">
            <v>Затраты по ШПЗ (основные)</v>
          </cell>
          <cell r="H2109">
            <v>2011</v>
          </cell>
          <cell r="I2109">
            <v>7920</v>
          </cell>
          <cell r="J2109">
            <v>34827.83</v>
          </cell>
          <cell r="K2109">
            <v>1</v>
          </cell>
          <cell r="L2109">
            <v>0</v>
          </cell>
          <cell r="M2109">
            <v>0</v>
          </cell>
          <cell r="N2109">
            <v>0</v>
          </cell>
          <cell r="R2109">
            <v>0</v>
          </cell>
          <cell r="S2109">
            <v>0</v>
          </cell>
          <cell r="T2109">
            <v>0</v>
          </cell>
          <cell r="U2109">
            <v>35</v>
          </cell>
          <cell r="V2109">
            <v>0</v>
          </cell>
          <cell r="W2109">
            <v>0</v>
          </cell>
          <cell r="AA2109">
            <v>0</v>
          </cell>
          <cell r="AB2109">
            <v>0</v>
          </cell>
          <cell r="AC2109">
            <v>0</v>
          </cell>
          <cell r="AD2109">
            <v>35</v>
          </cell>
          <cell r="AE2109">
            <v>132000</v>
          </cell>
          <cell r="AF2109">
            <v>0</v>
          </cell>
          <cell r="AI2109">
            <v>2282</v>
          </cell>
          <cell r="AK2109">
            <v>0</v>
          </cell>
          <cell r="AM2109">
            <v>278</v>
          </cell>
          <cell r="AN2109">
            <v>1</v>
          </cell>
          <cell r="AO2109">
            <v>393216</v>
          </cell>
          <cell r="AQ2109">
            <v>0</v>
          </cell>
          <cell r="AR2109">
            <v>0</v>
          </cell>
          <cell r="AS2109" t="str">
            <v>Ы</v>
          </cell>
          <cell r="AT2109" t="str">
            <v>Ы</v>
          </cell>
          <cell r="AU2109">
            <v>0</v>
          </cell>
          <cell r="AV2109">
            <v>0</v>
          </cell>
          <cell r="AW2109">
            <v>23</v>
          </cell>
          <cell r="AX2109">
            <v>1</v>
          </cell>
          <cell r="AY2109">
            <v>0</v>
          </cell>
          <cell r="AZ2109">
            <v>0</v>
          </cell>
          <cell r="BA2109">
            <v>0</v>
          </cell>
          <cell r="BB2109">
            <v>0</v>
          </cell>
          <cell r="BC2109">
            <v>38828</v>
          </cell>
        </row>
        <row r="2110">
          <cell r="A2110">
            <v>2006</v>
          </cell>
          <cell r="B2110">
            <v>3</v>
          </cell>
          <cell r="C2110">
            <v>122</v>
          </cell>
          <cell r="D2110">
            <v>21</v>
          </cell>
          <cell r="E2110">
            <v>792020</v>
          </cell>
          <cell r="F2110">
            <v>0</v>
          </cell>
          <cell r="G2110" t="str">
            <v>Затраты по ШПЗ (основные)</v>
          </cell>
          <cell r="H2110">
            <v>2011</v>
          </cell>
          <cell r="I2110">
            <v>7920</v>
          </cell>
          <cell r="J2110">
            <v>81044</v>
          </cell>
          <cell r="K2110">
            <v>1</v>
          </cell>
          <cell r="L2110">
            <v>0</v>
          </cell>
          <cell r="M2110">
            <v>0</v>
          </cell>
          <cell r="N2110">
            <v>0</v>
          </cell>
          <cell r="R2110">
            <v>0</v>
          </cell>
          <cell r="S2110">
            <v>0</v>
          </cell>
          <cell r="T2110">
            <v>0</v>
          </cell>
          <cell r="U2110">
            <v>35</v>
          </cell>
          <cell r="V2110">
            <v>0</v>
          </cell>
          <cell r="W2110">
            <v>0</v>
          </cell>
          <cell r="AA2110">
            <v>0</v>
          </cell>
          <cell r="AB2110">
            <v>0</v>
          </cell>
          <cell r="AC2110">
            <v>0</v>
          </cell>
          <cell r="AD2110">
            <v>35</v>
          </cell>
          <cell r="AE2110">
            <v>133200</v>
          </cell>
          <cell r="AF2110">
            <v>0</v>
          </cell>
          <cell r="AI2110">
            <v>2282</v>
          </cell>
          <cell r="AK2110">
            <v>0</v>
          </cell>
          <cell r="AM2110">
            <v>279</v>
          </cell>
          <cell r="AN2110">
            <v>1</v>
          </cell>
          <cell r="AO2110">
            <v>393216</v>
          </cell>
          <cell r="AQ2110">
            <v>0</v>
          </cell>
          <cell r="AR2110">
            <v>0</v>
          </cell>
          <cell r="AS2110" t="str">
            <v>Ы</v>
          </cell>
          <cell r="AT2110" t="str">
            <v>Ы</v>
          </cell>
          <cell r="AU2110">
            <v>0</v>
          </cell>
          <cell r="AV2110">
            <v>0</v>
          </cell>
          <cell r="AW2110">
            <v>23</v>
          </cell>
          <cell r="AX2110">
            <v>1</v>
          </cell>
          <cell r="AY2110">
            <v>0</v>
          </cell>
          <cell r="AZ2110">
            <v>0</v>
          </cell>
          <cell r="BA2110">
            <v>0</v>
          </cell>
          <cell r="BB2110">
            <v>0</v>
          </cell>
          <cell r="BC2110">
            <v>38828</v>
          </cell>
        </row>
        <row r="2111">
          <cell r="A2111">
            <v>2006</v>
          </cell>
          <cell r="B2111">
            <v>3</v>
          </cell>
          <cell r="C2111">
            <v>123</v>
          </cell>
          <cell r="D2111">
            <v>21</v>
          </cell>
          <cell r="E2111">
            <v>792020</v>
          </cell>
          <cell r="F2111">
            <v>0</v>
          </cell>
          <cell r="G2111" t="str">
            <v>Затраты по ШПЗ (основные)</v>
          </cell>
          <cell r="H2111">
            <v>2011</v>
          </cell>
          <cell r="I2111">
            <v>7920</v>
          </cell>
          <cell r="J2111">
            <v>1119.23</v>
          </cell>
          <cell r="K2111">
            <v>1</v>
          </cell>
          <cell r="L2111">
            <v>0</v>
          </cell>
          <cell r="M2111">
            <v>0</v>
          </cell>
          <cell r="N2111">
            <v>0</v>
          </cell>
          <cell r="R2111">
            <v>0</v>
          </cell>
          <cell r="S2111">
            <v>0</v>
          </cell>
          <cell r="T2111">
            <v>0</v>
          </cell>
          <cell r="U2111">
            <v>35</v>
          </cell>
          <cell r="V2111">
            <v>0</v>
          </cell>
          <cell r="W2111">
            <v>0</v>
          </cell>
          <cell r="AA2111">
            <v>0</v>
          </cell>
          <cell r="AB2111">
            <v>0</v>
          </cell>
          <cell r="AC2111">
            <v>0</v>
          </cell>
          <cell r="AD2111">
            <v>35</v>
          </cell>
          <cell r="AE2111">
            <v>135000</v>
          </cell>
          <cell r="AF2111">
            <v>0</v>
          </cell>
          <cell r="AI2111">
            <v>2282</v>
          </cell>
          <cell r="AK2111">
            <v>0</v>
          </cell>
          <cell r="AM2111">
            <v>280</v>
          </cell>
          <cell r="AN2111">
            <v>1</v>
          </cell>
          <cell r="AO2111">
            <v>393216</v>
          </cell>
          <cell r="AQ2111">
            <v>0</v>
          </cell>
          <cell r="AR2111">
            <v>0</v>
          </cell>
          <cell r="AS2111" t="str">
            <v>Ы</v>
          </cell>
          <cell r="AT2111" t="str">
            <v>Ы</v>
          </cell>
          <cell r="AU2111">
            <v>0</v>
          </cell>
          <cell r="AV2111">
            <v>0</v>
          </cell>
          <cell r="AW2111">
            <v>23</v>
          </cell>
          <cell r="AX2111">
            <v>1</v>
          </cell>
          <cell r="AY2111">
            <v>0</v>
          </cell>
          <cell r="AZ2111">
            <v>0</v>
          </cell>
          <cell r="BA2111">
            <v>0</v>
          </cell>
          <cell r="BB2111">
            <v>0</v>
          </cell>
          <cell r="BC2111">
            <v>38828</v>
          </cell>
        </row>
        <row r="2112">
          <cell r="A2112">
            <v>2006</v>
          </cell>
          <cell r="B2112">
            <v>3</v>
          </cell>
          <cell r="C2112">
            <v>124</v>
          </cell>
          <cell r="D2112">
            <v>21</v>
          </cell>
          <cell r="E2112">
            <v>792020</v>
          </cell>
          <cell r="F2112">
            <v>0</v>
          </cell>
          <cell r="G2112" t="str">
            <v>Затраты по ШПЗ (основные)</v>
          </cell>
          <cell r="H2112">
            <v>2011</v>
          </cell>
          <cell r="I2112">
            <v>7920</v>
          </cell>
          <cell r="J2112">
            <v>229836.15</v>
          </cell>
          <cell r="K2112">
            <v>1</v>
          </cell>
          <cell r="L2112">
            <v>0</v>
          </cell>
          <cell r="M2112">
            <v>0</v>
          </cell>
          <cell r="N2112">
            <v>0</v>
          </cell>
          <cell r="R2112">
            <v>0</v>
          </cell>
          <cell r="S2112">
            <v>0</v>
          </cell>
          <cell r="T2112">
            <v>0</v>
          </cell>
          <cell r="U2112">
            <v>35</v>
          </cell>
          <cell r="V2112">
            <v>0</v>
          </cell>
          <cell r="W2112">
            <v>0</v>
          </cell>
          <cell r="AA2112">
            <v>0</v>
          </cell>
          <cell r="AB2112">
            <v>0</v>
          </cell>
          <cell r="AC2112">
            <v>0</v>
          </cell>
          <cell r="AD2112">
            <v>35</v>
          </cell>
          <cell r="AE2112">
            <v>143000</v>
          </cell>
          <cell r="AF2112">
            <v>0</v>
          </cell>
          <cell r="AI2112">
            <v>2282</v>
          </cell>
          <cell r="AK2112">
            <v>0</v>
          </cell>
          <cell r="AM2112">
            <v>281</v>
          </cell>
          <cell r="AN2112">
            <v>1</v>
          </cell>
          <cell r="AO2112">
            <v>393216</v>
          </cell>
          <cell r="AQ2112">
            <v>0</v>
          </cell>
          <cell r="AR2112">
            <v>0</v>
          </cell>
          <cell r="AS2112" t="str">
            <v>Ы</v>
          </cell>
          <cell r="AT2112" t="str">
            <v>Ы</v>
          </cell>
          <cell r="AU2112">
            <v>0</v>
          </cell>
          <cell r="AV2112">
            <v>0</v>
          </cell>
          <cell r="AW2112">
            <v>23</v>
          </cell>
          <cell r="AX2112">
            <v>1</v>
          </cell>
          <cell r="AY2112">
            <v>0</v>
          </cell>
          <cell r="AZ2112">
            <v>0</v>
          </cell>
          <cell r="BA2112">
            <v>0</v>
          </cell>
          <cell r="BB2112">
            <v>0</v>
          </cell>
          <cell r="BC2112">
            <v>38828</v>
          </cell>
        </row>
        <row r="2113">
          <cell r="A2113">
            <v>2006</v>
          </cell>
          <cell r="B2113">
            <v>3</v>
          </cell>
          <cell r="C2113">
            <v>125</v>
          </cell>
          <cell r="D2113">
            <v>21</v>
          </cell>
          <cell r="E2113">
            <v>792020</v>
          </cell>
          <cell r="F2113">
            <v>0</v>
          </cell>
          <cell r="G2113" t="str">
            <v>Затраты по ШПЗ (основные)</v>
          </cell>
          <cell r="H2113">
            <v>2011</v>
          </cell>
          <cell r="I2113">
            <v>7920</v>
          </cell>
          <cell r="J2113">
            <v>198706.3</v>
          </cell>
          <cell r="K2113">
            <v>1</v>
          </cell>
          <cell r="L2113">
            <v>0</v>
          </cell>
          <cell r="M2113">
            <v>0</v>
          </cell>
          <cell r="N2113">
            <v>0</v>
          </cell>
          <cell r="R2113">
            <v>0</v>
          </cell>
          <cell r="S2113">
            <v>0</v>
          </cell>
          <cell r="T2113">
            <v>0</v>
          </cell>
          <cell r="U2113">
            <v>35</v>
          </cell>
          <cell r="V2113">
            <v>0</v>
          </cell>
          <cell r="W2113">
            <v>0</v>
          </cell>
          <cell r="AA2113">
            <v>0</v>
          </cell>
          <cell r="AB2113">
            <v>0</v>
          </cell>
          <cell r="AC2113">
            <v>0</v>
          </cell>
          <cell r="AD2113">
            <v>35</v>
          </cell>
          <cell r="AE2113">
            <v>151000</v>
          </cell>
          <cell r="AF2113">
            <v>0</v>
          </cell>
          <cell r="AI2113">
            <v>2282</v>
          </cell>
          <cell r="AK2113">
            <v>0</v>
          </cell>
          <cell r="AM2113">
            <v>282</v>
          </cell>
          <cell r="AN2113">
            <v>1</v>
          </cell>
          <cell r="AO2113">
            <v>393216</v>
          </cell>
          <cell r="AQ2113">
            <v>0</v>
          </cell>
          <cell r="AR2113">
            <v>0</v>
          </cell>
          <cell r="AS2113" t="str">
            <v>Ы</v>
          </cell>
          <cell r="AT2113" t="str">
            <v>Ы</v>
          </cell>
          <cell r="AU2113">
            <v>0</v>
          </cell>
          <cell r="AV2113">
            <v>0</v>
          </cell>
          <cell r="AW2113">
            <v>23</v>
          </cell>
          <cell r="AX2113">
            <v>1</v>
          </cell>
          <cell r="AY2113">
            <v>0</v>
          </cell>
          <cell r="AZ2113">
            <v>0</v>
          </cell>
          <cell r="BA2113">
            <v>0</v>
          </cell>
          <cell r="BB2113">
            <v>0</v>
          </cell>
          <cell r="BC2113">
            <v>38828</v>
          </cell>
        </row>
        <row r="2114">
          <cell r="A2114">
            <v>2006</v>
          </cell>
          <cell r="B2114">
            <v>3</v>
          </cell>
          <cell r="C2114">
            <v>126</v>
          </cell>
          <cell r="D2114">
            <v>21</v>
          </cell>
          <cell r="E2114">
            <v>792020</v>
          </cell>
          <cell r="F2114">
            <v>0</v>
          </cell>
          <cell r="G2114" t="str">
            <v>Затраты по ШПЗ (основные)</v>
          </cell>
          <cell r="H2114">
            <v>2011</v>
          </cell>
          <cell r="I2114">
            <v>7920</v>
          </cell>
          <cell r="J2114">
            <v>1082450.08</v>
          </cell>
          <cell r="K2114">
            <v>1</v>
          </cell>
          <cell r="L2114">
            <v>0</v>
          </cell>
          <cell r="M2114">
            <v>0</v>
          </cell>
          <cell r="N2114">
            <v>0</v>
          </cell>
          <cell r="R2114">
            <v>0</v>
          </cell>
          <cell r="S2114">
            <v>0</v>
          </cell>
          <cell r="T2114">
            <v>0</v>
          </cell>
          <cell r="U2114">
            <v>35</v>
          </cell>
          <cell r="V2114">
            <v>0</v>
          </cell>
          <cell r="W2114">
            <v>0</v>
          </cell>
          <cell r="AA2114">
            <v>0</v>
          </cell>
          <cell r="AB2114">
            <v>0</v>
          </cell>
          <cell r="AC2114">
            <v>0</v>
          </cell>
          <cell r="AD2114">
            <v>35</v>
          </cell>
          <cell r="AE2114">
            <v>220000</v>
          </cell>
          <cell r="AF2114">
            <v>0</v>
          </cell>
          <cell r="AI2114">
            <v>2282</v>
          </cell>
          <cell r="AK2114">
            <v>0</v>
          </cell>
          <cell r="AM2114">
            <v>283</v>
          </cell>
          <cell r="AN2114">
            <v>1</v>
          </cell>
          <cell r="AO2114">
            <v>393216</v>
          </cell>
          <cell r="AQ2114">
            <v>0</v>
          </cell>
          <cell r="AR2114">
            <v>0</v>
          </cell>
          <cell r="AS2114" t="str">
            <v>Ы</v>
          </cell>
          <cell r="AT2114" t="str">
            <v>Ы</v>
          </cell>
          <cell r="AU2114">
            <v>0</v>
          </cell>
          <cell r="AV2114">
            <v>0</v>
          </cell>
          <cell r="AW2114">
            <v>23</v>
          </cell>
          <cell r="AX2114">
            <v>1</v>
          </cell>
          <cell r="AY2114">
            <v>0</v>
          </cell>
          <cell r="AZ2114">
            <v>0</v>
          </cell>
          <cell r="BA2114">
            <v>0</v>
          </cell>
          <cell r="BB2114">
            <v>0</v>
          </cell>
          <cell r="BC2114">
            <v>38828</v>
          </cell>
        </row>
        <row r="2115">
          <cell r="A2115">
            <v>2006</v>
          </cell>
          <cell r="B2115">
            <v>3</v>
          </cell>
          <cell r="C2115">
            <v>127</v>
          </cell>
          <cell r="D2115">
            <v>21</v>
          </cell>
          <cell r="E2115">
            <v>792020</v>
          </cell>
          <cell r="F2115">
            <v>0</v>
          </cell>
          <cell r="G2115" t="str">
            <v>Затраты по ШПЗ (основные)</v>
          </cell>
          <cell r="H2115">
            <v>2011</v>
          </cell>
          <cell r="I2115">
            <v>7920</v>
          </cell>
          <cell r="J2115">
            <v>539034.56999999995</v>
          </cell>
          <cell r="K2115">
            <v>1</v>
          </cell>
          <cell r="L2115">
            <v>0</v>
          </cell>
          <cell r="M2115">
            <v>0</v>
          </cell>
          <cell r="N2115">
            <v>0</v>
          </cell>
          <cell r="R2115">
            <v>0</v>
          </cell>
          <cell r="S2115">
            <v>0</v>
          </cell>
          <cell r="T2115">
            <v>0</v>
          </cell>
          <cell r="U2115">
            <v>35</v>
          </cell>
          <cell r="V2115">
            <v>0</v>
          </cell>
          <cell r="W2115">
            <v>0</v>
          </cell>
          <cell r="AA2115">
            <v>0</v>
          </cell>
          <cell r="AB2115">
            <v>0</v>
          </cell>
          <cell r="AC2115">
            <v>0</v>
          </cell>
          <cell r="AD2115">
            <v>35</v>
          </cell>
          <cell r="AE2115">
            <v>230000</v>
          </cell>
          <cell r="AF2115">
            <v>0</v>
          </cell>
          <cell r="AI2115">
            <v>2282</v>
          </cell>
          <cell r="AK2115">
            <v>0</v>
          </cell>
          <cell r="AM2115">
            <v>284</v>
          </cell>
          <cell r="AN2115">
            <v>1</v>
          </cell>
          <cell r="AO2115">
            <v>393216</v>
          </cell>
          <cell r="AQ2115">
            <v>0</v>
          </cell>
          <cell r="AR2115">
            <v>0</v>
          </cell>
          <cell r="AS2115" t="str">
            <v>Ы</v>
          </cell>
          <cell r="AT2115" t="str">
            <v>Ы</v>
          </cell>
          <cell r="AU2115">
            <v>0</v>
          </cell>
          <cell r="AV2115">
            <v>0</v>
          </cell>
          <cell r="AW2115">
            <v>23</v>
          </cell>
          <cell r="AX2115">
            <v>1</v>
          </cell>
          <cell r="AY2115">
            <v>0</v>
          </cell>
          <cell r="AZ2115">
            <v>0</v>
          </cell>
          <cell r="BA2115">
            <v>0</v>
          </cell>
          <cell r="BB2115">
            <v>0</v>
          </cell>
          <cell r="BC2115">
            <v>38828</v>
          </cell>
        </row>
        <row r="2116">
          <cell r="A2116">
            <v>2006</v>
          </cell>
          <cell r="B2116">
            <v>3</v>
          </cell>
          <cell r="C2116">
            <v>128</v>
          </cell>
          <cell r="D2116">
            <v>21</v>
          </cell>
          <cell r="E2116">
            <v>792020</v>
          </cell>
          <cell r="F2116">
            <v>0</v>
          </cell>
          <cell r="G2116" t="str">
            <v>Затраты по ШПЗ (основные)</v>
          </cell>
          <cell r="H2116">
            <v>2011</v>
          </cell>
          <cell r="I2116">
            <v>7920</v>
          </cell>
          <cell r="J2116">
            <v>50145.42</v>
          </cell>
          <cell r="K2116">
            <v>1</v>
          </cell>
          <cell r="L2116">
            <v>0</v>
          </cell>
          <cell r="M2116">
            <v>0</v>
          </cell>
          <cell r="N2116">
            <v>0</v>
          </cell>
          <cell r="R2116">
            <v>0</v>
          </cell>
          <cell r="S2116">
            <v>0</v>
          </cell>
          <cell r="T2116">
            <v>0</v>
          </cell>
          <cell r="U2116">
            <v>35</v>
          </cell>
          <cell r="V2116">
            <v>0</v>
          </cell>
          <cell r="W2116">
            <v>0</v>
          </cell>
          <cell r="AA2116">
            <v>0</v>
          </cell>
          <cell r="AB2116">
            <v>0</v>
          </cell>
          <cell r="AC2116">
            <v>0</v>
          </cell>
          <cell r="AD2116">
            <v>35</v>
          </cell>
          <cell r="AE2116">
            <v>260000</v>
          </cell>
          <cell r="AF2116">
            <v>0</v>
          </cell>
          <cell r="AI2116">
            <v>2282</v>
          </cell>
          <cell r="AK2116">
            <v>0</v>
          </cell>
          <cell r="AM2116">
            <v>285</v>
          </cell>
          <cell r="AN2116">
            <v>1</v>
          </cell>
          <cell r="AO2116">
            <v>393216</v>
          </cell>
          <cell r="AQ2116">
            <v>0</v>
          </cell>
          <cell r="AR2116">
            <v>0</v>
          </cell>
          <cell r="AS2116" t="str">
            <v>Ы</v>
          </cell>
          <cell r="AT2116" t="str">
            <v>Ы</v>
          </cell>
          <cell r="AU2116">
            <v>0</v>
          </cell>
          <cell r="AV2116">
            <v>0</v>
          </cell>
          <cell r="AW2116">
            <v>23</v>
          </cell>
          <cell r="AX2116">
            <v>1</v>
          </cell>
          <cell r="AY2116">
            <v>0</v>
          </cell>
          <cell r="AZ2116">
            <v>0</v>
          </cell>
          <cell r="BA2116">
            <v>0</v>
          </cell>
          <cell r="BB2116">
            <v>0</v>
          </cell>
          <cell r="BC2116">
            <v>38828</v>
          </cell>
        </row>
        <row r="2117">
          <cell r="A2117">
            <v>2006</v>
          </cell>
          <cell r="B2117">
            <v>3</v>
          </cell>
          <cell r="C2117">
            <v>129</v>
          </cell>
          <cell r="D2117">
            <v>21</v>
          </cell>
          <cell r="E2117">
            <v>792020</v>
          </cell>
          <cell r="F2117">
            <v>0</v>
          </cell>
          <cell r="G2117" t="str">
            <v>Затраты по ШПЗ (основные)</v>
          </cell>
          <cell r="H2117">
            <v>2011</v>
          </cell>
          <cell r="I2117">
            <v>7920</v>
          </cell>
          <cell r="J2117">
            <v>150168.32999999999</v>
          </cell>
          <cell r="K2117">
            <v>1</v>
          </cell>
          <cell r="L2117">
            <v>0</v>
          </cell>
          <cell r="M2117">
            <v>0</v>
          </cell>
          <cell r="N2117">
            <v>0</v>
          </cell>
          <cell r="R2117">
            <v>0</v>
          </cell>
          <cell r="S2117">
            <v>0</v>
          </cell>
          <cell r="T2117">
            <v>0</v>
          </cell>
          <cell r="U2117">
            <v>35</v>
          </cell>
          <cell r="V2117">
            <v>0</v>
          </cell>
          <cell r="W2117">
            <v>0</v>
          </cell>
          <cell r="AA2117">
            <v>0</v>
          </cell>
          <cell r="AB2117">
            <v>0</v>
          </cell>
          <cell r="AC2117">
            <v>0</v>
          </cell>
          <cell r="AD2117">
            <v>35</v>
          </cell>
          <cell r="AE2117">
            <v>270000</v>
          </cell>
          <cell r="AF2117">
            <v>0</v>
          </cell>
          <cell r="AI2117">
            <v>2282</v>
          </cell>
          <cell r="AK2117">
            <v>0</v>
          </cell>
          <cell r="AM2117">
            <v>286</v>
          </cell>
          <cell r="AN2117">
            <v>1</v>
          </cell>
          <cell r="AO2117">
            <v>393216</v>
          </cell>
          <cell r="AQ2117">
            <v>0</v>
          </cell>
          <cell r="AR2117">
            <v>0</v>
          </cell>
          <cell r="AS2117" t="str">
            <v>Ы</v>
          </cell>
          <cell r="AT2117" t="str">
            <v>Ы</v>
          </cell>
          <cell r="AU2117">
            <v>0</v>
          </cell>
          <cell r="AV2117">
            <v>0</v>
          </cell>
          <cell r="AW2117">
            <v>23</v>
          </cell>
          <cell r="AX2117">
            <v>1</v>
          </cell>
          <cell r="AY2117">
            <v>0</v>
          </cell>
          <cell r="AZ2117">
            <v>0</v>
          </cell>
          <cell r="BA2117">
            <v>0</v>
          </cell>
          <cell r="BB2117">
            <v>0</v>
          </cell>
          <cell r="BC2117">
            <v>38828</v>
          </cell>
        </row>
        <row r="2118">
          <cell r="A2118">
            <v>2006</v>
          </cell>
          <cell r="B2118">
            <v>3</v>
          </cell>
          <cell r="C2118">
            <v>130</v>
          </cell>
          <cell r="D2118">
            <v>21</v>
          </cell>
          <cell r="E2118">
            <v>792020</v>
          </cell>
          <cell r="F2118">
            <v>0</v>
          </cell>
          <cell r="G2118" t="str">
            <v>Затраты по ШПЗ (основные)</v>
          </cell>
          <cell r="H2118">
            <v>2011</v>
          </cell>
          <cell r="I2118">
            <v>7920</v>
          </cell>
          <cell r="J2118">
            <v>3032.29</v>
          </cell>
          <cell r="K2118">
            <v>1</v>
          </cell>
          <cell r="L2118">
            <v>0</v>
          </cell>
          <cell r="M2118">
            <v>0</v>
          </cell>
          <cell r="N2118">
            <v>0</v>
          </cell>
          <cell r="R2118">
            <v>0</v>
          </cell>
          <cell r="S2118">
            <v>0</v>
          </cell>
          <cell r="T2118">
            <v>0</v>
          </cell>
          <cell r="U2118">
            <v>35</v>
          </cell>
          <cell r="V2118">
            <v>0</v>
          </cell>
          <cell r="W2118">
            <v>0</v>
          </cell>
          <cell r="AA2118">
            <v>0</v>
          </cell>
          <cell r="AB2118">
            <v>0</v>
          </cell>
          <cell r="AC2118">
            <v>0</v>
          </cell>
          <cell r="AD2118">
            <v>35</v>
          </cell>
          <cell r="AE2118">
            <v>280000</v>
          </cell>
          <cell r="AF2118">
            <v>0</v>
          </cell>
          <cell r="AI2118">
            <v>2282</v>
          </cell>
          <cell r="AK2118">
            <v>0</v>
          </cell>
          <cell r="AM2118">
            <v>287</v>
          </cell>
          <cell r="AN2118">
            <v>1</v>
          </cell>
          <cell r="AO2118">
            <v>393216</v>
          </cell>
          <cell r="AQ2118">
            <v>0</v>
          </cell>
          <cell r="AR2118">
            <v>0</v>
          </cell>
          <cell r="AS2118" t="str">
            <v>Ы</v>
          </cell>
          <cell r="AT2118" t="str">
            <v>Ы</v>
          </cell>
          <cell r="AU2118">
            <v>0</v>
          </cell>
          <cell r="AV2118">
            <v>0</v>
          </cell>
          <cell r="AW2118">
            <v>23</v>
          </cell>
          <cell r="AX2118">
            <v>1</v>
          </cell>
          <cell r="AY2118">
            <v>0</v>
          </cell>
          <cell r="AZ2118">
            <v>0</v>
          </cell>
          <cell r="BA2118">
            <v>0</v>
          </cell>
          <cell r="BB2118">
            <v>0</v>
          </cell>
          <cell r="BC2118">
            <v>38828</v>
          </cell>
        </row>
        <row r="2119">
          <cell r="A2119">
            <v>2006</v>
          </cell>
          <cell r="B2119">
            <v>3</v>
          </cell>
          <cell r="C2119">
            <v>131</v>
          </cell>
          <cell r="D2119">
            <v>21</v>
          </cell>
          <cell r="E2119">
            <v>792020</v>
          </cell>
          <cell r="F2119">
            <v>0</v>
          </cell>
          <cell r="G2119" t="str">
            <v>Затраты по ШПЗ (основные)</v>
          </cell>
          <cell r="H2119">
            <v>2011</v>
          </cell>
          <cell r="I2119">
            <v>7920</v>
          </cell>
          <cell r="J2119">
            <v>48744.2</v>
          </cell>
          <cell r="K2119">
            <v>1</v>
          </cell>
          <cell r="L2119">
            <v>0</v>
          </cell>
          <cell r="M2119">
            <v>0</v>
          </cell>
          <cell r="N2119">
            <v>0</v>
          </cell>
          <cell r="R2119">
            <v>0</v>
          </cell>
          <cell r="S2119">
            <v>0</v>
          </cell>
          <cell r="T2119">
            <v>0</v>
          </cell>
          <cell r="U2119">
            <v>35</v>
          </cell>
          <cell r="V2119">
            <v>0</v>
          </cell>
          <cell r="W2119">
            <v>0</v>
          </cell>
          <cell r="AA2119">
            <v>0</v>
          </cell>
          <cell r="AB2119">
            <v>0</v>
          </cell>
          <cell r="AC2119">
            <v>0</v>
          </cell>
          <cell r="AD2119">
            <v>35</v>
          </cell>
          <cell r="AE2119">
            <v>280100</v>
          </cell>
          <cell r="AF2119">
            <v>0</v>
          </cell>
          <cell r="AI2119">
            <v>2282</v>
          </cell>
          <cell r="AK2119">
            <v>0</v>
          </cell>
          <cell r="AM2119">
            <v>288</v>
          </cell>
          <cell r="AN2119">
            <v>1</v>
          </cell>
          <cell r="AO2119">
            <v>393216</v>
          </cell>
          <cell r="AQ2119">
            <v>0</v>
          </cell>
          <cell r="AR2119">
            <v>0</v>
          </cell>
          <cell r="AS2119" t="str">
            <v>Ы</v>
          </cell>
          <cell r="AT2119" t="str">
            <v>Ы</v>
          </cell>
          <cell r="AU2119">
            <v>0</v>
          </cell>
          <cell r="AV2119">
            <v>0</v>
          </cell>
          <cell r="AW2119">
            <v>23</v>
          </cell>
          <cell r="AX2119">
            <v>1</v>
          </cell>
          <cell r="AY2119">
            <v>0</v>
          </cell>
          <cell r="AZ2119">
            <v>0</v>
          </cell>
          <cell r="BA2119">
            <v>0</v>
          </cell>
          <cell r="BB2119">
            <v>0</v>
          </cell>
          <cell r="BC2119">
            <v>38828</v>
          </cell>
        </row>
        <row r="2120">
          <cell r="A2120">
            <v>2006</v>
          </cell>
          <cell r="B2120">
            <v>3</v>
          </cell>
          <cell r="C2120">
            <v>132</v>
          </cell>
          <cell r="D2120">
            <v>21</v>
          </cell>
          <cell r="E2120">
            <v>792020</v>
          </cell>
          <cell r="F2120">
            <v>0</v>
          </cell>
          <cell r="G2120" t="str">
            <v>Затраты по ШПЗ (основные)</v>
          </cell>
          <cell r="H2120">
            <v>2011</v>
          </cell>
          <cell r="I2120">
            <v>7920</v>
          </cell>
          <cell r="J2120">
            <v>19967.599999999999</v>
          </cell>
          <cell r="K2120">
            <v>1</v>
          </cell>
          <cell r="L2120">
            <v>0</v>
          </cell>
          <cell r="M2120">
            <v>0</v>
          </cell>
          <cell r="N2120">
            <v>0</v>
          </cell>
          <cell r="R2120">
            <v>0</v>
          </cell>
          <cell r="S2120">
            <v>0</v>
          </cell>
          <cell r="T2120">
            <v>0</v>
          </cell>
          <cell r="U2120">
            <v>35</v>
          </cell>
          <cell r="V2120">
            <v>0</v>
          </cell>
          <cell r="W2120">
            <v>0</v>
          </cell>
          <cell r="AA2120">
            <v>0</v>
          </cell>
          <cell r="AB2120">
            <v>0</v>
          </cell>
          <cell r="AC2120">
            <v>0</v>
          </cell>
          <cell r="AD2120">
            <v>35</v>
          </cell>
          <cell r="AE2120">
            <v>280300</v>
          </cell>
          <cell r="AF2120">
            <v>0</v>
          </cell>
          <cell r="AI2120">
            <v>2282</v>
          </cell>
          <cell r="AK2120">
            <v>0</v>
          </cell>
          <cell r="AM2120">
            <v>289</v>
          </cell>
          <cell r="AN2120">
            <v>1</v>
          </cell>
          <cell r="AO2120">
            <v>393216</v>
          </cell>
          <cell r="AQ2120">
            <v>0</v>
          </cell>
          <cell r="AR2120">
            <v>0</v>
          </cell>
          <cell r="AS2120" t="str">
            <v>Ы</v>
          </cell>
          <cell r="AT2120" t="str">
            <v>Ы</v>
          </cell>
          <cell r="AU2120">
            <v>0</v>
          </cell>
          <cell r="AV2120">
            <v>0</v>
          </cell>
          <cell r="AW2120">
            <v>23</v>
          </cell>
          <cell r="AX2120">
            <v>1</v>
          </cell>
          <cell r="AY2120">
            <v>0</v>
          </cell>
          <cell r="AZ2120">
            <v>0</v>
          </cell>
          <cell r="BA2120">
            <v>0</v>
          </cell>
          <cell r="BB2120">
            <v>0</v>
          </cell>
          <cell r="BC2120">
            <v>38828</v>
          </cell>
        </row>
        <row r="2121">
          <cell r="A2121">
            <v>2006</v>
          </cell>
          <cell r="B2121">
            <v>3</v>
          </cell>
          <cell r="C2121">
            <v>133</v>
          </cell>
          <cell r="D2121">
            <v>21</v>
          </cell>
          <cell r="E2121">
            <v>792020</v>
          </cell>
          <cell r="F2121">
            <v>0</v>
          </cell>
          <cell r="G2121" t="str">
            <v>Затраты по ШПЗ (основные)</v>
          </cell>
          <cell r="H2121">
            <v>2011</v>
          </cell>
          <cell r="I2121">
            <v>7920</v>
          </cell>
          <cell r="J2121">
            <v>42992.24</v>
          </cell>
          <cell r="K2121">
            <v>1</v>
          </cell>
          <cell r="L2121">
            <v>0</v>
          </cell>
          <cell r="M2121">
            <v>0</v>
          </cell>
          <cell r="N2121">
            <v>0</v>
          </cell>
          <cell r="R2121">
            <v>0</v>
          </cell>
          <cell r="S2121">
            <v>0</v>
          </cell>
          <cell r="T2121">
            <v>0</v>
          </cell>
          <cell r="U2121">
            <v>35</v>
          </cell>
          <cell r="V2121">
            <v>0</v>
          </cell>
          <cell r="W2121">
            <v>0</v>
          </cell>
          <cell r="AA2121">
            <v>0</v>
          </cell>
          <cell r="AB2121">
            <v>0</v>
          </cell>
          <cell r="AC2121">
            <v>0</v>
          </cell>
          <cell r="AD2121">
            <v>35</v>
          </cell>
          <cell r="AE2121">
            <v>280400</v>
          </cell>
          <cell r="AF2121">
            <v>0</v>
          </cell>
          <cell r="AI2121">
            <v>2282</v>
          </cell>
          <cell r="AK2121">
            <v>0</v>
          </cell>
          <cell r="AM2121">
            <v>290</v>
          </cell>
          <cell r="AN2121">
            <v>1</v>
          </cell>
          <cell r="AO2121">
            <v>393216</v>
          </cell>
          <cell r="AQ2121">
            <v>0</v>
          </cell>
          <cell r="AR2121">
            <v>0</v>
          </cell>
          <cell r="AS2121" t="str">
            <v>Ы</v>
          </cell>
          <cell r="AT2121" t="str">
            <v>Ы</v>
          </cell>
          <cell r="AU2121">
            <v>0</v>
          </cell>
          <cell r="AV2121">
            <v>0</v>
          </cell>
          <cell r="AW2121">
            <v>23</v>
          </cell>
          <cell r="AX2121">
            <v>1</v>
          </cell>
          <cell r="AY2121">
            <v>0</v>
          </cell>
          <cell r="AZ2121">
            <v>0</v>
          </cell>
          <cell r="BA2121">
            <v>0</v>
          </cell>
          <cell r="BB2121">
            <v>0</v>
          </cell>
          <cell r="BC2121">
            <v>38828</v>
          </cell>
        </row>
        <row r="2122">
          <cell r="A2122">
            <v>2006</v>
          </cell>
          <cell r="B2122">
            <v>3</v>
          </cell>
          <cell r="C2122">
            <v>134</v>
          </cell>
          <cell r="D2122">
            <v>21</v>
          </cell>
          <cell r="E2122">
            <v>792020</v>
          </cell>
          <cell r="F2122">
            <v>0</v>
          </cell>
          <cell r="G2122" t="str">
            <v>Затраты по ШПЗ (основные)</v>
          </cell>
          <cell r="H2122">
            <v>2011</v>
          </cell>
          <cell r="I2122">
            <v>7920</v>
          </cell>
          <cell r="J2122">
            <v>7017.27</v>
          </cell>
          <cell r="K2122">
            <v>1</v>
          </cell>
          <cell r="L2122">
            <v>0</v>
          </cell>
          <cell r="M2122">
            <v>0</v>
          </cell>
          <cell r="N2122">
            <v>0</v>
          </cell>
          <cell r="R2122">
            <v>0</v>
          </cell>
          <cell r="S2122">
            <v>0</v>
          </cell>
          <cell r="T2122">
            <v>0</v>
          </cell>
          <cell r="U2122">
            <v>35</v>
          </cell>
          <cell r="V2122">
            <v>0</v>
          </cell>
          <cell r="W2122">
            <v>0</v>
          </cell>
          <cell r="AA2122">
            <v>0</v>
          </cell>
          <cell r="AB2122">
            <v>0</v>
          </cell>
          <cell r="AC2122">
            <v>0</v>
          </cell>
          <cell r="AD2122">
            <v>35</v>
          </cell>
          <cell r="AE2122">
            <v>281000</v>
          </cell>
          <cell r="AF2122">
            <v>0</v>
          </cell>
          <cell r="AI2122">
            <v>2282</v>
          </cell>
          <cell r="AK2122">
            <v>0</v>
          </cell>
          <cell r="AM2122">
            <v>291</v>
          </cell>
          <cell r="AN2122">
            <v>1</v>
          </cell>
          <cell r="AO2122">
            <v>393216</v>
          </cell>
          <cell r="AQ2122">
            <v>0</v>
          </cell>
          <cell r="AR2122">
            <v>0</v>
          </cell>
          <cell r="AS2122" t="str">
            <v>Ы</v>
          </cell>
          <cell r="AT2122" t="str">
            <v>Ы</v>
          </cell>
          <cell r="AU2122">
            <v>0</v>
          </cell>
          <cell r="AV2122">
            <v>0</v>
          </cell>
          <cell r="AW2122">
            <v>23</v>
          </cell>
          <cell r="AX2122">
            <v>1</v>
          </cell>
          <cell r="AY2122">
            <v>0</v>
          </cell>
          <cell r="AZ2122">
            <v>0</v>
          </cell>
          <cell r="BA2122">
            <v>0</v>
          </cell>
          <cell r="BB2122">
            <v>0</v>
          </cell>
          <cell r="BC2122">
            <v>38828</v>
          </cell>
        </row>
        <row r="2123">
          <cell r="A2123">
            <v>2006</v>
          </cell>
          <cell r="B2123">
            <v>3</v>
          </cell>
          <cell r="C2123">
            <v>135</v>
          </cell>
          <cell r="D2123">
            <v>21</v>
          </cell>
          <cell r="E2123">
            <v>792020</v>
          </cell>
          <cell r="F2123">
            <v>0</v>
          </cell>
          <cell r="G2123" t="str">
            <v>Затраты по ШПЗ (основные)</v>
          </cell>
          <cell r="H2123">
            <v>2011</v>
          </cell>
          <cell r="I2123">
            <v>7920</v>
          </cell>
          <cell r="J2123">
            <v>63198.04</v>
          </cell>
          <cell r="K2123">
            <v>1</v>
          </cell>
          <cell r="L2123">
            <v>0</v>
          </cell>
          <cell r="M2123">
            <v>0</v>
          </cell>
          <cell r="N2123">
            <v>0</v>
          </cell>
          <cell r="R2123">
            <v>0</v>
          </cell>
          <cell r="S2123">
            <v>0</v>
          </cell>
          <cell r="T2123">
            <v>0</v>
          </cell>
          <cell r="U2123">
            <v>35</v>
          </cell>
          <cell r="V2123">
            <v>0</v>
          </cell>
          <cell r="W2123">
            <v>0</v>
          </cell>
          <cell r="AA2123">
            <v>0</v>
          </cell>
          <cell r="AB2123">
            <v>0</v>
          </cell>
          <cell r="AC2123">
            <v>0</v>
          </cell>
          <cell r="AD2123">
            <v>35</v>
          </cell>
          <cell r="AE2123">
            <v>281100</v>
          </cell>
          <cell r="AF2123">
            <v>0</v>
          </cell>
          <cell r="AI2123">
            <v>2282</v>
          </cell>
          <cell r="AK2123">
            <v>0</v>
          </cell>
          <cell r="AM2123">
            <v>292</v>
          </cell>
          <cell r="AN2123">
            <v>1</v>
          </cell>
          <cell r="AO2123">
            <v>393216</v>
          </cell>
          <cell r="AQ2123">
            <v>0</v>
          </cell>
          <cell r="AR2123">
            <v>0</v>
          </cell>
          <cell r="AS2123" t="str">
            <v>Ы</v>
          </cell>
          <cell r="AT2123" t="str">
            <v>Ы</v>
          </cell>
          <cell r="AU2123">
            <v>0</v>
          </cell>
          <cell r="AV2123">
            <v>0</v>
          </cell>
          <cell r="AW2123">
            <v>23</v>
          </cell>
          <cell r="AX2123">
            <v>1</v>
          </cell>
          <cell r="AY2123">
            <v>0</v>
          </cell>
          <cell r="AZ2123">
            <v>0</v>
          </cell>
          <cell r="BA2123">
            <v>0</v>
          </cell>
          <cell r="BB2123">
            <v>0</v>
          </cell>
          <cell r="BC2123">
            <v>38828</v>
          </cell>
        </row>
        <row r="2124">
          <cell r="A2124">
            <v>2006</v>
          </cell>
          <cell r="B2124">
            <v>3</v>
          </cell>
          <cell r="C2124">
            <v>136</v>
          </cell>
          <cell r="D2124">
            <v>21</v>
          </cell>
          <cell r="E2124">
            <v>792020</v>
          </cell>
          <cell r="F2124">
            <v>0</v>
          </cell>
          <cell r="G2124" t="str">
            <v>Затраты по ШПЗ (основные)</v>
          </cell>
          <cell r="H2124">
            <v>2011</v>
          </cell>
          <cell r="I2124">
            <v>7920</v>
          </cell>
          <cell r="J2124">
            <v>1410.78</v>
          </cell>
          <cell r="K2124">
            <v>1</v>
          </cell>
          <cell r="L2124">
            <v>0</v>
          </cell>
          <cell r="M2124">
            <v>0</v>
          </cell>
          <cell r="N2124">
            <v>0</v>
          </cell>
          <cell r="R2124">
            <v>0</v>
          </cell>
          <cell r="S2124">
            <v>0</v>
          </cell>
          <cell r="T2124">
            <v>0</v>
          </cell>
          <cell r="U2124">
            <v>35</v>
          </cell>
          <cell r="V2124">
            <v>0</v>
          </cell>
          <cell r="W2124">
            <v>0</v>
          </cell>
          <cell r="AA2124">
            <v>0</v>
          </cell>
          <cell r="AB2124">
            <v>0</v>
          </cell>
          <cell r="AC2124">
            <v>0</v>
          </cell>
          <cell r="AD2124">
            <v>35</v>
          </cell>
          <cell r="AE2124">
            <v>282200</v>
          </cell>
          <cell r="AF2124">
            <v>0</v>
          </cell>
          <cell r="AI2124">
            <v>2282</v>
          </cell>
          <cell r="AK2124">
            <v>0</v>
          </cell>
          <cell r="AM2124">
            <v>293</v>
          </cell>
          <cell r="AN2124">
            <v>1</v>
          </cell>
          <cell r="AO2124">
            <v>393216</v>
          </cell>
          <cell r="AQ2124">
            <v>0</v>
          </cell>
          <cell r="AR2124">
            <v>0</v>
          </cell>
          <cell r="AS2124" t="str">
            <v>Ы</v>
          </cell>
          <cell r="AT2124" t="str">
            <v>Ы</v>
          </cell>
          <cell r="AU2124">
            <v>0</v>
          </cell>
          <cell r="AV2124">
            <v>0</v>
          </cell>
          <cell r="AW2124">
            <v>23</v>
          </cell>
          <cell r="AX2124">
            <v>1</v>
          </cell>
          <cell r="AY2124">
            <v>0</v>
          </cell>
          <cell r="AZ2124">
            <v>0</v>
          </cell>
          <cell r="BA2124">
            <v>0</v>
          </cell>
          <cell r="BB2124">
            <v>0</v>
          </cell>
          <cell r="BC2124">
            <v>38828</v>
          </cell>
        </row>
        <row r="2125">
          <cell r="A2125">
            <v>2006</v>
          </cell>
          <cell r="B2125">
            <v>3</v>
          </cell>
          <cell r="C2125">
            <v>137</v>
          </cell>
          <cell r="D2125">
            <v>21</v>
          </cell>
          <cell r="E2125">
            <v>792020</v>
          </cell>
          <cell r="F2125">
            <v>0</v>
          </cell>
          <cell r="G2125" t="str">
            <v>Затраты по ШПЗ (основные)</v>
          </cell>
          <cell r="H2125">
            <v>2011</v>
          </cell>
          <cell r="I2125">
            <v>7920</v>
          </cell>
          <cell r="J2125">
            <v>12680</v>
          </cell>
          <cell r="K2125">
            <v>1</v>
          </cell>
          <cell r="L2125">
            <v>0</v>
          </cell>
          <cell r="M2125">
            <v>0</v>
          </cell>
          <cell r="N2125">
            <v>0</v>
          </cell>
          <cell r="R2125">
            <v>0</v>
          </cell>
          <cell r="S2125">
            <v>0</v>
          </cell>
          <cell r="T2125">
            <v>0</v>
          </cell>
          <cell r="U2125">
            <v>35</v>
          </cell>
          <cell r="V2125">
            <v>0</v>
          </cell>
          <cell r="W2125">
            <v>0</v>
          </cell>
          <cell r="AA2125">
            <v>0</v>
          </cell>
          <cell r="AB2125">
            <v>0</v>
          </cell>
          <cell r="AC2125">
            <v>0</v>
          </cell>
          <cell r="AD2125">
            <v>35</v>
          </cell>
          <cell r="AE2125">
            <v>283000</v>
          </cell>
          <cell r="AF2125">
            <v>0</v>
          </cell>
          <cell r="AI2125">
            <v>2282</v>
          </cell>
          <cell r="AK2125">
            <v>0</v>
          </cell>
          <cell r="AM2125">
            <v>294</v>
          </cell>
          <cell r="AN2125">
            <v>1</v>
          </cell>
          <cell r="AO2125">
            <v>393216</v>
          </cell>
          <cell r="AQ2125">
            <v>0</v>
          </cell>
          <cell r="AR2125">
            <v>0</v>
          </cell>
          <cell r="AS2125" t="str">
            <v>Ы</v>
          </cell>
          <cell r="AT2125" t="str">
            <v>Ы</v>
          </cell>
          <cell r="AU2125">
            <v>0</v>
          </cell>
          <cell r="AV2125">
            <v>0</v>
          </cell>
          <cell r="AW2125">
            <v>23</v>
          </cell>
          <cell r="AX2125">
            <v>1</v>
          </cell>
          <cell r="AY2125">
            <v>0</v>
          </cell>
          <cell r="AZ2125">
            <v>0</v>
          </cell>
          <cell r="BA2125">
            <v>0</v>
          </cell>
          <cell r="BB2125">
            <v>0</v>
          </cell>
          <cell r="BC2125">
            <v>38828</v>
          </cell>
        </row>
        <row r="2126">
          <cell r="A2126">
            <v>2006</v>
          </cell>
          <cell r="B2126">
            <v>3</v>
          </cell>
          <cell r="C2126">
            <v>138</v>
          </cell>
          <cell r="D2126">
            <v>21</v>
          </cell>
          <cell r="E2126">
            <v>792020</v>
          </cell>
          <cell r="F2126">
            <v>0</v>
          </cell>
          <cell r="G2126" t="str">
            <v>Затраты по ШПЗ (основные)</v>
          </cell>
          <cell r="H2126">
            <v>2011</v>
          </cell>
          <cell r="I2126">
            <v>7920</v>
          </cell>
          <cell r="J2126">
            <v>16498.439999999999</v>
          </cell>
          <cell r="K2126">
            <v>1</v>
          </cell>
          <cell r="L2126">
            <v>0</v>
          </cell>
          <cell r="M2126">
            <v>0</v>
          </cell>
          <cell r="N2126">
            <v>0</v>
          </cell>
          <cell r="R2126">
            <v>0</v>
          </cell>
          <cell r="S2126">
            <v>0</v>
          </cell>
          <cell r="T2126">
            <v>0</v>
          </cell>
          <cell r="U2126">
            <v>35</v>
          </cell>
          <cell r="V2126">
            <v>0</v>
          </cell>
          <cell r="W2126">
            <v>0</v>
          </cell>
          <cell r="AA2126">
            <v>0</v>
          </cell>
          <cell r="AB2126">
            <v>0</v>
          </cell>
          <cell r="AC2126">
            <v>0</v>
          </cell>
          <cell r="AD2126">
            <v>35</v>
          </cell>
          <cell r="AE2126">
            <v>285000</v>
          </cell>
          <cell r="AF2126">
            <v>0</v>
          </cell>
          <cell r="AI2126">
            <v>2282</v>
          </cell>
          <cell r="AK2126">
            <v>0</v>
          </cell>
          <cell r="AM2126">
            <v>295</v>
          </cell>
          <cell r="AN2126">
            <v>1</v>
          </cell>
          <cell r="AO2126">
            <v>393216</v>
          </cell>
          <cell r="AQ2126">
            <v>0</v>
          </cell>
          <cell r="AR2126">
            <v>0</v>
          </cell>
          <cell r="AS2126" t="str">
            <v>Ы</v>
          </cell>
          <cell r="AT2126" t="str">
            <v>Ы</v>
          </cell>
          <cell r="AU2126">
            <v>0</v>
          </cell>
          <cell r="AV2126">
            <v>0</v>
          </cell>
          <cell r="AW2126">
            <v>23</v>
          </cell>
          <cell r="AX2126">
            <v>1</v>
          </cell>
          <cell r="AY2126">
            <v>0</v>
          </cell>
          <cell r="AZ2126">
            <v>0</v>
          </cell>
          <cell r="BA2126">
            <v>0</v>
          </cell>
          <cell r="BB2126">
            <v>0</v>
          </cell>
          <cell r="BC2126">
            <v>38828</v>
          </cell>
        </row>
        <row r="2127">
          <cell r="A2127">
            <v>2006</v>
          </cell>
          <cell r="B2127">
            <v>3</v>
          </cell>
          <cell r="C2127">
            <v>139</v>
          </cell>
          <cell r="D2127">
            <v>21</v>
          </cell>
          <cell r="E2127">
            <v>792020</v>
          </cell>
          <cell r="F2127">
            <v>0</v>
          </cell>
          <cell r="G2127" t="str">
            <v>Затраты по ШПЗ (основные)</v>
          </cell>
          <cell r="H2127">
            <v>2011</v>
          </cell>
          <cell r="I2127">
            <v>7920</v>
          </cell>
          <cell r="J2127">
            <v>58096.44</v>
          </cell>
          <cell r="K2127">
            <v>1</v>
          </cell>
          <cell r="L2127">
            <v>0</v>
          </cell>
          <cell r="M2127">
            <v>0</v>
          </cell>
          <cell r="N2127">
            <v>0</v>
          </cell>
          <cell r="R2127">
            <v>0</v>
          </cell>
          <cell r="S2127">
            <v>0</v>
          </cell>
          <cell r="T2127">
            <v>0</v>
          </cell>
          <cell r="U2127">
            <v>35</v>
          </cell>
          <cell r="V2127">
            <v>0</v>
          </cell>
          <cell r="W2127">
            <v>0</v>
          </cell>
          <cell r="AA2127">
            <v>0</v>
          </cell>
          <cell r="AB2127">
            <v>0</v>
          </cell>
          <cell r="AC2127">
            <v>0</v>
          </cell>
          <cell r="AD2127">
            <v>35</v>
          </cell>
          <cell r="AE2127">
            <v>311000</v>
          </cell>
          <cell r="AF2127">
            <v>0</v>
          </cell>
          <cell r="AI2127">
            <v>2282</v>
          </cell>
          <cell r="AK2127">
            <v>0</v>
          </cell>
          <cell r="AM2127">
            <v>296</v>
          </cell>
          <cell r="AN2127">
            <v>1</v>
          </cell>
          <cell r="AO2127">
            <v>393216</v>
          </cell>
          <cell r="AQ2127">
            <v>0</v>
          </cell>
          <cell r="AR2127">
            <v>0</v>
          </cell>
          <cell r="AS2127" t="str">
            <v>Ы</v>
          </cell>
          <cell r="AT2127" t="str">
            <v>Ы</v>
          </cell>
          <cell r="AU2127">
            <v>0</v>
          </cell>
          <cell r="AV2127">
            <v>0</v>
          </cell>
          <cell r="AW2127">
            <v>23</v>
          </cell>
          <cell r="AX2127">
            <v>1</v>
          </cell>
          <cell r="AY2127">
            <v>0</v>
          </cell>
          <cell r="AZ2127">
            <v>0</v>
          </cell>
          <cell r="BA2127">
            <v>0</v>
          </cell>
          <cell r="BB2127">
            <v>0</v>
          </cell>
          <cell r="BC2127">
            <v>38828</v>
          </cell>
        </row>
        <row r="2128">
          <cell r="A2128">
            <v>2006</v>
          </cell>
          <cell r="B2128">
            <v>3</v>
          </cell>
          <cell r="C2128">
            <v>140</v>
          </cell>
          <cell r="D2128">
            <v>21</v>
          </cell>
          <cell r="E2128">
            <v>792020</v>
          </cell>
          <cell r="F2128">
            <v>0</v>
          </cell>
          <cell r="G2128" t="str">
            <v>Затраты по ШПЗ (основные)</v>
          </cell>
          <cell r="H2128">
            <v>2011</v>
          </cell>
          <cell r="I2128">
            <v>7920</v>
          </cell>
          <cell r="J2128">
            <v>117944.97</v>
          </cell>
          <cell r="K2128">
            <v>1</v>
          </cell>
          <cell r="L2128">
            <v>0</v>
          </cell>
          <cell r="M2128">
            <v>0</v>
          </cell>
          <cell r="N2128">
            <v>0</v>
          </cell>
          <cell r="R2128">
            <v>0</v>
          </cell>
          <cell r="S2128">
            <v>0</v>
          </cell>
          <cell r="T2128">
            <v>0</v>
          </cell>
          <cell r="U2128">
            <v>35</v>
          </cell>
          <cell r="V2128">
            <v>0</v>
          </cell>
          <cell r="W2128">
            <v>0</v>
          </cell>
          <cell r="AA2128">
            <v>0</v>
          </cell>
          <cell r="AB2128">
            <v>0</v>
          </cell>
          <cell r="AC2128">
            <v>0</v>
          </cell>
          <cell r="AD2128">
            <v>35</v>
          </cell>
          <cell r="AE2128">
            <v>312000</v>
          </cell>
          <cell r="AF2128">
            <v>0</v>
          </cell>
          <cell r="AI2128">
            <v>2282</v>
          </cell>
          <cell r="AK2128">
            <v>0</v>
          </cell>
          <cell r="AM2128">
            <v>297</v>
          </cell>
          <cell r="AN2128">
            <v>1</v>
          </cell>
          <cell r="AO2128">
            <v>393216</v>
          </cell>
          <cell r="AQ2128">
            <v>0</v>
          </cell>
          <cell r="AR2128">
            <v>0</v>
          </cell>
          <cell r="AS2128" t="str">
            <v>Ы</v>
          </cell>
          <cell r="AT2128" t="str">
            <v>Ы</v>
          </cell>
          <cell r="AU2128">
            <v>0</v>
          </cell>
          <cell r="AV2128">
            <v>0</v>
          </cell>
          <cell r="AW2128">
            <v>23</v>
          </cell>
          <cell r="AX2128">
            <v>1</v>
          </cell>
          <cell r="AY2128">
            <v>0</v>
          </cell>
          <cell r="AZ2128">
            <v>0</v>
          </cell>
          <cell r="BA2128">
            <v>0</v>
          </cell>
          <cell r="BB2128">
            <v>0</v>
          </cell>
          <cell r="BC2128">
            <v>38828</v>
          </cell>
        </row>
        <row r="2129">
          <cell r="A2129">
            <v>2006</v>
          </cell>
          <cell r="B2129">
            <v>3</v>
          </cell>
          <cell r="C2129">
            <v>141</v>
          </cell>
          <cell r="D2129">
            <v>21</v>
          </cell>
          <cell r="E2129">
            <v>792020</v>
          </cell>
          <cell r="F2129">
            <v>0</v>
          </cell>
          <cell r="G2129" t="str">
            <v>Затраты по ШПЗ (основные)</v>
          </cell>
          <cell r="H2129">
            <v>2011</v>
          </cell>
          <cell r="I2129">
            <v>7920</v>
          </cell>
          <cell r="J2129">
            <v>28672.7</v>
          </cell>
          <cell r="K2129">
            <v>1</v>
          </cell>
          <cell r="L2129">
            <v>0</v>
          </cell>
          <cell r="M2129">
            <v>0</v>
          </cell>
          <cell r="N2129">
            <v>0</v>
          </cell>
          <cell r="R2129">
            <v>0</v>
          </cell>
          <cell r="S2129">
            <v>0</v>
          </cell>
          <cell r="T2129">
            <v>0</v>
          </cell>
          <cell r="U2129">
            <v>35</v>
          </cell>
          <cell r="V2129">
            <v>0</v>
          </cell>
          <cell r="W2129">
            <v>0</v>
          </cell>
          <cell r="AA2129">
            <v>0</v>
          </cell>
          <cell r="AB2129">
            <v>0</v>
          </cell>
          <cell r="AC2129">
            <v>0</v>
          </cell>
          <cell r="AD2129">
            <v>35</v>
          </cell>
          <cell r="AE2129">
            <v>312100</v>
          </cell>
          <cell r="AF2129">
            <v>0</v>
          </cell>
          <cell r="AI2129">
            <v>2282</v>
          </cell>
          <cell r="AK2129">
            <v>0</v>
          </cell>
          <cell r="AM2129">
            <v>298</v>
          </cell>
          <cell r="AN2129">
            <v>1</v>
          </cell>
          <cell r="AO2129">
            <v>393216</v>
          </cell>
          <cell r="AQ2129">
            <v>0</v>
          </cell>
          <cell r="AR2129">
            <v>0</v>
          </cell>
          <cell r="AS2129" t="str">
            <v>Ы</v>
          </cell>
          <cell r="AT2129" t="str">
            <v>Ы</v>
          </cell>
          <cell r="AU2129">
            <v>0</v>
          </cell>
          <cell r="AV2129">
            <v>0</v>
          </cell>
          <cell r="AW2129">
            <v>23</v>
          </cell>
          <cell r="AX2129">
            <v>1</v>
          </cell>
          <cell r="AY2129">
            <v>0</v>
          </cell>
          <cell r="AZ2129">
            <v>0</v>
          </cell>
          <cell r="BA2129">
            <v>0</v>
          </cell>
          <cell r="BB2129">
            <v>0</v>
          </cell>
          <cell r="BC2129">
            <v>38828</v>
          </cell>
        </row>
        <row r="2130">
          <cell r="A2130">
            <v>2006</v>
          </cell>
          <cell r="B2130">
            <v>3</v>
          </cell>
          <cell r="C2130">
            <v>142</v>
          </cell>
          <cell r="D2130">
            <v>21</v>
          </cell>
          <cell r="E2130">
            <v>792020</v>
          </cell>
          <cell r="F2130">
            <v>0</v>
          </cell>
          <cell r="G2130" t="str">
            <v>Затраты по ШПЗ (основные)</v>
          </cell>
          <cell r="H2130">
            <v>2011</v>
          </cell>
          <cell r="I2130">
            <v>7920</v>
          </cell>
          <cell r="J2130">
            <v>256302.05</v>
          </cell>
          <cell r="K2130">
            <v>1</v>
          </cell>
          <cell r="L2130">
            <v>0</v>
          </cell>
          <cell r="M2130">
            <v>0</v>
          </cell>
          <cell r="N2130">
            <v>0</v>
          </cell>
          <cell r="R2130">
            <v>0</v>
          </cell>
          <cell r="S2130">
            <v>0</v>
          </cell>
          <cell r="T2130">
            <v>0</v>
          </cell>
          <cell r="U2130">
            <v>35</v>
          </cell>
          <cell r="V2130">
            <v>0</v>
          </cell>
          <cell r="W2130">
            <v>0</v>
          </cell>
          <cell r="AA2130">
            <v>0</v>
          </cell>
          <cell r="AB2130">
            <v>0</v>
          </cell>
          <cell r="AC2130">
            <v>0</v>
          </cell>
          <cell r="AD2130">
            <v>35</v>
          </cell>
          <cell r="AE2130">
            <v>312200</v>
          </cell>
          <cell r="AF2130">
            <v>0</v>
          </cell>
          <cell r="AI2130">
            <v>2282</v>
          </cell>
          <cell r="AK2130">
            <v>0</v>
          </cell>
          <cell r="AM2130">
            <v>299</v>
          </cell>
          <cell r="AN2130">
            <v>1</v>
          </cell>
          <cell r="AO2130">
            <v>393216</v>
          </cell>
          <cell r="AQ2130">
            <v>0</v>
          </cell>
          <cell r="AR2130">
            <v>0</v>
          </cell>
          <cell r="AS2130" t="str">
            <v>Ы</v>
          </cell>
          <cell r="AT2130" t="str">
            <v>Ы</v>
          </cell>
          <cell r="AU2130">
            <v>0</v>
          </cell>
          <cell r="AV2130">
            <v>0</v>
          </cell>
          <cell r="AW2130">
            <v>23</v>
          </cell>
          <cell r="AX2130">
            <v>1</v>
          </cell>
          <cell r="AY2130">
            <v>0</v>
          </cell>
          <cell r="AZ2130">
            <v>0</v>
          </cell>
          <cell r="BA2130">
            <v>0</v>
          </cell>
          <cell r="BB2130">
            <v>0</v>
          </cell>
          <cell r="BC2130">
            <v>38828</v>
          </cell>
        </row>
        <row r="2131">
          <cell r="A2131">
            <v>2006</v>
          </cell>
          <cell r="B2131">
            <v>3</v>
          </cell>
          <cell r="C2131">
            <v>143</v>
          </cell>
          <cell r="D2131">
            <v>21</v>
          </cell>
          <cell r="E2131">
            <v>792020</v>
          </cell>
          <cell r="F2131">
            <v>0</v>
          </cell>
          <cell r="G2131" t="str">
            <v>Затраты по ШПЗ (основные)</v>
          </cell>
          <cell r="H2131">
            <v>2011</v>
          </cell>
          <cell r="I2131">
            <v>7920</v>
          </cell>
          <cell r="J2131">
            <v>22036.639999999999</v>
          </cell>
          <cell r="K2131">
            <v>1</v>
          </cell>
          <cell r="L2131">
            <v>0</v>
          </cell>
          <cell r="M2131">
            <v>0</v>
          </cell>
          <cell r="N2131">
            <v>0</v>
          </cell>
          <cell r="R2131">
            <v>0</v>
          </cell>
          <cell r="S2131">
            <v>0</v>
          </cell>
          <cell r="T2131">
            <v>0</v>
          </cell>
          <cell r="U2131">
            <v>35</v>
          </cell>
          <cell r="V2131">
            <v>0</v>
          </cell>
          <cell r="W2131">
            <v>0</v>
          </cell>
          <cell r="AA2131">
            <v>0</v>
          </cell>
          <cell r="AB2131">
            <v>0</v>
          </cell>
          <cell r="AC2131">
            <v>0</v>
          </cell>
          <cell r="AD2131">
            <v>35</v>
          </cell>
          <cell r="AE2131">
            <v>313000</v>
          </cell>
          <cell r="AF2131">
            <v>0</v>
          </cell>
          <cell r="AI2131">
            <v>2282</v>
          </cell>
          <cell r="AK2131">
            <v>0</v>
          </cell>
          <cell r="AM2131">
            <v>300</v>
          </cell>
          <cell r="AN2131">
            <v>1</v>
          </cell>
          <cell r="AO2131">
            <v>393216</v>
          </cell>
          <cell r="AQ2131">
            <v>0</v>
          </cell>
          <cell r="AR2131">
            <v>0</v>
          </cell>
          <cell r="AS2131" t="str">
            <v>Ы</v>
          </cell>
          <cell r="AT2131" t="str">
            <v>Ы</v>
          </cell>
          <cell r="AU2131">
            <v>0</v>
          </cell>
          <cell r="AV2131">
            <v>0</v>
          </cell>
          <cell r="AW2131">
            <v>23</v>
          </cell>
          <cell r="AX2131">
            <v>1</v>
          </cell>
          <cell r="AY2131">
            <v>0</v>
          </cell>
          <cell r="AZ2131">
            <v>0</v>
          </cell>
          <cell r="BA2131">
            <v>0</v>
          </cell>
          <cell r="BB2131">
            <v>0</v>
          </cell>
          <cell r="BC2131">
            <v>38828</v>
          </cell>
        </row>
        <row r="2132">
          <cell r="A2132">
            <v>2006</v>
          </cell>
          <cell r="B2132">
            <v>3</v>
          </cell>
          <cell r="C2132">
            <v>144</v>
          </cell>
          <cell r="D2132">
            <v>21</v>
          </cell>
          <cell r="E2132">
            <v>792020</v>
          </cell>
          <cell r="F2132">
            <v>0</v>
          </cell>
          <cell r="G2132" t="str">
            <v>Затраты по ШПЗ (основные)</v>
          </cell>
          <cell r="H2132">
            <v>2011</v>
          </cell>
          <cell r="I2132">
            <v>7920</v>
          </cell>
          <cell r="J2132">
            <v>40066.519999999997</v>
          </cell>
          <cell r="K2132">
            <v>1</v>
          </cell>
          <cell r="L2132">
            <v>0</v>
          </cell>
          <cell r="M2132">
            <v>0</v>
          </cell>
          <cell r="N2132">
            <v>0</v>
          </cell>
          <cell r="R2132">
            <v>0</v>
          </cell>
          <cell r="S2132">
            <v>0</v>
          </cell>
          <cell r="T2132">
            <v>0</v>
          </cell>
          <cell r="U2132">
            <v>35</v>
          </cell>
          <cell r="V2132">
            <v>0</v>
          </cell>
          <cell r="W2132">
            <v>0</v>
          </cell>
          <cell r="AA2132">
            <v>0</v>
          </cell>
          <cell r="AB2132">
            <v>0</v>
          </cell>
          <cell r="AC2132">
            <v>0</v>
          </cell>
          <cell r="AD2132">
            <v>35</v>
          </cell>
          <cell r="AE2132">
            <v>314000</v>
          </cell>
          <cell r="AF2132">
            <v>0</v>
          </cell>
          <cell r="AI2132">
            <v>2282</v>
          </cell>
          <cell r="AK2132">
            <v>0</v>
          </cell>
          <cell r="AM2132">
            <v>301</v>
          </cell>
          <cell r="AN2132">
            <v>1</v>
          </cell>
          <cell r="AO2132">
            <v>393216</v>
          </cell>
          <cell r="AQ2132">
            <v>0</v>
          </cell>
          <cell r="AR2132">
            <v>0</v>
          </cell>
          <cell r="AS2132" t="str">
            <v>Ы</v>
          </cell>
          <cell r="AT2132" t="str">
            <v>Ы</v>
          </cell>
          <cell r="AU2132">
            <v>0</v>
          </cell>
          <cell r="AV2132">
            <v>0</v>
          </cell>
          <cell r="AW2132">
            <v>23</v>
          </cell>
          <cell r="AX2132">
            <v>1</v>
          </cell>
          <cell r="AY2132">
            <v>0</v>
          </cell>
          <cell r="AZ2132">
            <v>0</v>
          </cell>
          <cell r="BA2132">
            <v>0</v>
          </cell>
          <cell r="BB2132">
            <v>0</v>
          </cell>
          <cell r="BC2132">
            <v>38828</v>
          </cell>
        </row>
        <row r="2133">
          <cell r="A2133">
            <v>2006</v>
          </cell>
          <cell r="B2133">
            <v>3</v>
          </cell>
          <cell r="C2133">
            <v>145</v>
          </cell>
          <cell r="D2133">
            <v>21</v>
          </cell>
          <cell r="E2133">
            <v>792020</v>
          </cell>
          <cell r="F2133">
            <v>0</v>
          </cell>
          <cell r="G2133" t="str">
            <v>Затраты по ШПЗ (основные)</v>
          </cell>
          <cell r="H2133">
            <v>2011</v>
          </cell>
          <cell r="I2133">
            <v>7920</v>
          </cell>
          <cell r="J2133">
            <v>8053.92</v>
          </cell>
          <cell r="K2133">
            <v>1</v>
          </cell>
          <cell r="L2133">
            <v>0</v>
          </cell>
          <cell r="M2133">
            <v>0</v>
          </cell>
          <cell r="N2133">
            <v>0</v>
          </cell>
          <cell r="R2133">
            <v>0</v>
          </cell>
          <cell r="S2133">
            <v>0</v>
          </cell>
          <cell r="T2133">
            <v>0</v>
          </cell>
          <cell r="U2133">
            <v>35</v>
          </cell>
          <cell r="V2133">
            <v>0</v>
          </cell>
          <cell r="W2133">
            <v>0</v>
          </cell>
          <cell r="AA2133">
            <v>0</v>
          </cell>
          <cell r="AB2133">
            <v>0</v>
          </cell>
          <cell r="AC2133">
            <v>0</v>
          </cell>
          <cell r="AD2133">
            <v>35</v>
          </cell>
          <cell r="AE2133">
            <v>315000</v>
          </cell>
          <cell r="AF2133">
            <v>0</v>
          </cell>
          <cell r="AI2133">
            <v>2282</v>
          </cell>
          <cell r="AK2133">
            <v>0</v>
          </cell>
          <cell r="AM2133">
            <v>302</v>
          </cell>
          <cell r="AN2133">
            <v>1</v>
          </cell>
          <cell r="AO2133">
            <v>393216</v>
          </cell>
          <cell r="AQ2133">
            <v>0</v>
          </cell>
          <cell r="AR2133">
            <v>0</v>
          </cell>
          <cell r="AS2133" t="str">
            <v>Ы</v>
          </cell>
          <cell r="AT2133" t="str">
            <v>Ы</v>
          </cell>
          <cell r="AU2133">
            <v>0</v>
          </cell>
          <cell r="AV2133">
            <v>0</v>
          </cell>
          <cell r="AW2133">
            <v>23</v>
          </cell>
          <cell r="AX2133">
            <v>1</v>
          </cell>
          <cell r="AY2133">
            <v>0</v>
          </cell>
          <cell r="AZ2133">
            <v>0</v>
          </cell>
          <cell r="BA2133">
            <v>0</v>
          </cell>
          <cell r="BB2133">
            <v>0</v>
          </cell>
          <cell r="BC2133">
            <v>38828</v>
          </cell>
        </row>
        <row r="2134">
          <cell r="A2134">
            <v>2006</v>
          </cell>
          <cell r="B2134">
            <v>3</v>
          </cell>
          <cell r="C2134">
            <v>146</v>
          </cell>
          <cell r="D2134">
            <v>21</v>
          </cell>
          <cell r="E2134">
            <v>792020</v>
          </cell>
          <cell r="F2134">
            <v>0</v>
          </cell>
          <cell r="G2134" t="str">
            <v>Затраты по ШПЗ (основные)</v>
          </cell>
          <cell r="H2134">
            <v>2011</v>
          </cell>
          <cell r="I2134">
            <v>7920</v>
          </cell>
          <cell r="J2134">
            <v>663913.47</v>
          </cell>
          <cell r="K2134">
            <v>1</v>
          </cell>
          <cell r="L2134">
            <v>0</v>
          </cell>
          <cell r="M2134">
            <v>0</v>
          </cell>
          <cell r="N2134">
            <v>0</v>
          </cell>
          <cell r="R2134">
            <v>0</v>
          </cell>
          <cell r="S2134">
            <v>0</v>
          </cell>
          <cell r="T2134">
            <v>0</v>
          </cell>
          <cell r="U2134">
            <v>35</v>
          </cell>
          <cell r="V2134">
            <v>0</v>
          </cell>
          <cell r="W2134">
            <v>0</v>
          </cell>
          <cell r="AA2134">
            <v>0</v>
          </cell>
          <cell r="AB2134">
            <v>0</v>
          </cell>
          <cell r="AC2134">
            <v>0</v>
          </cell>
          <cell r="AD2134">
            <v>35</v>
          </cell>
          <cell r="AE2134">
            <v>410000</v>
          </cell>
          <cell r="AF2134">
            <v>0</v>
          </cell>
          <cell r="AI2134">
            <v>2282</v>
          </cell>
          <cell r="AK2134">
            <v>0</v>
          </cell>
          <cell r="AM2134">
            <v>303</v>
          </cell>
          <cell r="AN2134">
            <v>1</v>
          </cell>
          <cell r="AO2134">
            <v>393216</v>
          </cell>
          <cell r="AQ2134">
            <v>0</v>
          </cell>
          <cell r="AR2134">
            <v>0</v>
          </cell>
          <cell r="AS2134" t="str">
            <v>Ы</v>
          </cell>
          <cell r="AT2134" t="str">
            <v>Ы</v>
          </cell>
          <cell r="AU2134">
            <v>0</v>
          </cell>
          <cell r="AV2134">
            <v>0</v>
          </cell>
          <cell r="AW2134">
            <v>23</v>
          </cell>
          <cell r="AX2134">
            <v>1</v>
          </cell>
          <cell r="AY2134">
            <v>0</v>
          </cell>
          <cell r="AZ2134">
            <v>0</v>
          </cell>
          <cell r="BA2134">
            <v>0</v>
          </cell>
          <cell r="BB2134">
            <v>0</v>
          </cell>
          <cell r="BC2134">
            <v>38828</v>
          </cell>
        </row>
        <row r="2135">
          <cell r="A2135">
            <v>2006</v>
          </cell>
          <cell r="B2135">
            <v>3</v>
          </cell>
          <cell r="C2135">
            <v>147</v>
          </cell>
          <cell r="D2135">
            <v>21</v>
          </cell>
          <cell r="E2135">
            <v>792020</v>
          </cell>
          <cell r="F2135">
            <v>0</v>
          </cell>
          <cell r="G2135" t="str">
            <v>Затраты по ШПЗ (основные)</v>
          </cell>
          <cell r="H2135">
            <v>2011</v>
          </cell>
          <cell r="I2135">
            <v>7920</v>
          </cell>
          <cell r="J2135">
            <v>85801.93</v>
          </cell>
          <cell r="K2135">
            <v>1</v>
          </cell>
          <cell r="L2135">
            <v>0</v>
          </cell>
          <cell r="M2135">
            <v>0</v>
          </cell>
          <cell r="N2135">
            <v>0</v>
          </cell>
          <cell r="R2135">
            <v>0</v>
          </cell>
          <cell r="S2135">
            <v>0</v>
          </cell>
          <cell r="T2135">
            <v>0</v>
          </cell>
          <cell r="U2135">
            <v>35</v>
          </cell>
          <cell r="V2135">
            <v>0</v>
          </cell>
          <cell r="W2135">
            <v>0</v>
          </cell>
          <cell r="AA2135">
            <v>0</v>
          </cell>
          <cell r="AB2135">
            <v>0</v>
          </cell>
          <cell r="AC2135">
            <v>0</v>
          </cell>
          <cell r="AD2135">
            <v>35</v>
          </cell>
          <cell r="AE2135">
            <v>420000</v>
          </cell>
          <cell r="AF2135">
            <v>0</v>
          </cell>
          <cell r="AI2135">
            <v>2282</v>
          </cell>
          <cell r="AK2135">
            <v>0</v>
          </cell>
          <cell r="AM2135">
            <v>304</v>
          </cell>
          <cell r="AN2135">
            <v>1</v>
          </cell>
          <cell r="AO2135">
            <v>393216</v>
          </cell>
          <cell r="AQ2135">
            <v>0</v>
          </cell>
          <cell r="AR2135">
            <v>0</v>
          </cell>
          <cell r="AS2135" t="str">
            <v>Ы</v>
          </cell>
          <cell r="AT2135" t="str">
            <v>Ы</v>
          </cell>
          <cell r="AU2135">
            <v>0</v>
          </cell>
          <cell r="AV2135">
            <v>0</v>
          </cell>
          <cell r="AW2135">
            <v>23</v>
          </cell>
          <cell r="AX2135">
            <v>1</v>
          </cell>
          <cell r="AY2135">
            <v>0</v>
          </cell>
          <cell r="AZ2135">
            <v>0</v>
          </cell>
          <cell r="BA2135">
            <v>0</v>
          </cell>
          <cell r="BB2135">
            <v>0</v>
          </cell>
          <cell r="BC2135">
            <v>38828</v>
          </cell>
        </row>
        <row r="2136">
          <cell r="A2136">
            <v>2006</v>
          </cell>
          <cell r="B2136">
            <v>3</v>
          </cell>
          <cell r="C2136">
            <v>148</v>
          </cell>
          <cell r="D2136">
            <v>21</v>
          </cell>
          <cell r="E2136">
            <v>792020</v>
          </cell>
          <cell r="F2136">
            <v>0</v>
          </cell>
          <cell r="G2136" t="str">
            <v>Затраты по ШПЗ (основные)</v>
          </cell>
          <cell r="H2136">
            <v>2011</v>
          </cell>
          <cell r="I2136">
            <v>7920</v>
          </cell>
          <cell r="J2136">
            <v>61789.89</v>
          </cell>
          <cell r="K2136">
            <v>1</v>
          </cell>
          <cell r="L2136">
            <v>0</v>
          </cell>
          <cell r="M2136">
            <v>0</v>
          </cell>
          <cell r="N2136">
            <v>0</v>
          </cell>
          <cell r="R2136">
            <v>0</v>
          </cell>
          <cell r="S2136">
            <v>0</v>
          </cell>
          <cell r="T2136">
            <v>0</v>
          </cell>
          <cell r="U2136">
            <v>35</v>
          </cell>
          <cell r="V2136">
            <v>0</v>
          </cell>
          <cell r="W2136">
            <v>0</v>
          </cell>
          <cell r="AA2136">
            <v>0</v>
          </cell>
          <cell r="AB2136">
            <v>0</v>
          </cell>
          <cell r="AC2136">
            <v>0</v>
          </cell>
          <cell r="AD2136">
            <v>35</v>
          </cell>
          <cell r="AE2136">
            <v>430000</v>
          </cell>
          <cell r="AF2136">
            <v>0</v>
          </cell>
          <cell r="AI2136">
            <v>2282</v>
          </cell>
          <cell r="AK2136">
            <v>0</v>
          </cell>
          <cell r="AM2136">
            <v>305</v>
          </cell>
          <cell r="AN2136">
            <v>1</v>
          </cell>
          <cell r="AO2136">
            <v>393216</v>
          </cell>
          <cell r="AQ2136">
            <v>0</v>
          </cell>
          <cell r="AR2136">
            <v>0</v>
          </cell>
          <cell r="AS2136" t="str">
            <v>Ы</v>
          </cell>
          <cell r="AT2136" t="str">
            <v>Ы</v>
          </cell>
          <cell r="AU2136">
            <v>0</v>
          </cell>
          <cell r="AV2136">
            <v>0</v>
          </cell>
          <cell r="AW2136">
            <v>23</v>
          </cell>
          <cell r="AX2136">
            <v>1</v>
          </cell>
          <cell r="AY2136">
            <v>0</v>
          </cell>
          <cell r="AZ2136">
            <v>0</v>
          </cell>
          <cell r="BA2136">
            <v>0</v>
          </cell>
          <cell r="BB2136">
            <v>0</v>
          </cell>
          <cell r="BC2136">
            <v>38828</v>
          </cell>
        </row>
        <row r="2137">
          <cell r="A2137">
            <v>2006</v>
          </cell>
          <cell r="B2137">
            <v>3</v>
          </cell>
          <cell r="C2137">
            <v>149</v>
          </cell>
          <cell r="D2137">
            <v>21</v>
          </cell>
          <cell r="E2137">
            <v>792020</v>
          </cell>
          <cell r="F2137">
            <v>0</v>
          </cell>
          <cell r="G2137" t="str">
            <v>Затраты по ШПЗ (основные)</v>
          </cell>
          <cell r="H2137">
            <v>2011</v>
          </cell>
          <cell r="I2137">
            <v>7920</v>
          </cell>
          <cell r="J2137">
            <v>407584.87</v>
          </cell>
          <cell r="K2137">
            <v>1</v>
          </cell>
          <cell r="L2137">
            <v>0</v>
          </cell>
          <cell r="M2137">
            <v>0</v>
          </cell>
          <cell r="N2137">
            <v>0</v>
          </cell>
          <cell r="R2137">
            <v>0</v>
          </cell>
          <cell r="S2137">
            <v>0</v>
          </cell>
          <cell r="T2137">
            <v>0</v>
          </cell>
          <cell r="U2137">
            <v>35</v>
          </cell>
          <cell r="V2137">
            <v>0</v>
          </cell>
          <cell r="W2137">
            <v>0</v>
          </cell>
          <cell r="AA2137">
            <v>0</v>
          </cell>
          <cell r="AB2137">
            <v>0</v>
          </cell>
          <cell r="AC2137">
            <v>0</v>
          </cell>
          <cell r="AD2137">
            <v>35</v>
          </cell>
          <cell r="AE2137">
            <v>430110</v>
          </cell>
          <cell r="AF2137">
            <v>0</v>
          </cell>
          <cell r="AI2137">
            <v>2282</v>
          </cell>
          <cell r="AK2137">
            <v>0</v>
          </cell>
          <cell r="AM2137">
            <v>306</v>
          </cell>
          <cell r="AN2137">
            <v>1</v>
          </cell>
          <cell r="AO2137">
            <v>393216</v>
          </cell>
          <cell r="AQ2137">
            <v>0</v>
          </cell>
          <cell r="AR2137">
            <v>0</v>
          </cell>
          <cell r="AS2137" t="str">
            <v>Ы</v>
          </cell>
          <cell r="AT2137" t="str">
            <v>Ы</v>
          </cell>
          <cell r="AU2137">
            <v>0</v>
          </cell>
          <cell r="AV2137">
            <v>0</v>
          </cell>
          <cell r="AW2137">
            <v>23</v>
          </cell>
          <cell r="AX2137">
            <v>1</v>
          </cell>
          <cell r="AY2137">
            <v>0</v>
          </cell>
          <cell r="AZ2137">
            <v>0</v>
          </cell>
          <cell r="BA2137">
            <v>0</v>
          </cell>
          <cell r="BB2137">
            <v>0</v>
          </cell>
          <cell r="BC2137">
            <v>38828</v>
          </cell>
        </row>
        <row r="2138">
          <cell r="A2138">
            <v>2006</v>
          </cell>
          <cell r="B2138">
            <v>3</v>
          </cell>
          <cell r="C2138">
            <v>150</v>
          </cell>
          <cell r="D2138">
            <v>21</v>
          </cell>
          <cell r="E2138">
            <v>792020</v>
          </cell>
          <cell r="F2138">
            <v>0</v>
          </cell>
          <cell r="G2138" t="str">
            <v>Затраты по ШПЗ (основные)</v>
          </cell>
          <cell r="H2138">
            <v>2011</v>
          </cell>
          <cell r="I2138">
            <v>7920</v>
          </cell>
          <cell r="J2138">
            <v>142019.47</v>
          </cell>
          <cell r="K2138">
            <v>1</v>
          </cell>
          <cell r="L2138">
            <v>0</v>
          </cell>
          <cell r="M2138">
            <v>0</v>
          </cell>
          <cell r="N2138">
            <v>0</v>
          </cell>
          <cell r="R2138">
            <v>0</v>
          </cell>
          <cell r="S2138">
            <v>0</v>
          </cell>
          <cell r="T2138">
            <v>0</v>
          </cell>
          <cell r="U2138">
            <v>35</v>
          </cell>
          <cell r="V2138">
            <v>0</v>
          </cell>
          <cell r="W2138">
            <v>0</v>
          </cell>
          <cell r="AA2138">
            <v>0</v>
          </cell>
          <cell r="AB2138">
            <v>0</v>
          </cell>
          <cell r="AC2138">
            <v>0</v>
          </cell>
          <cell r="AD2138">
            <v>35</v>
          </cell>
          <cell r="AE2138">
            <v>430120</v>
          </cell>
          <cell r="AF2138">
            <v>0</v>
          </cell>
          <cell r="AI2138">
            <v>2282</v>
          </cell>
          <cell r="AK2138">
            <v>0</v>
          </cell>
          <cell r="AM2138">
            <v>307</v>
          </cell>
          <cell r="AN2138">
            <v>1</v>
          </cell>
          <cell r="AO2138">
            <v>393216</v>
          </cell>
          <cell r="AQ2138">
            <v>0</v>
          </cell>
          <cell r="AR2138">
            <v>0</v>
          </cell>
          <cell r="AS2138" t="str">
            <v>Ы</v>
          </cell>
          <cell r="AT2138" t="str">
            <v>Ы</v>
          </cell>
          <cell r="AU2138">
            <v>0</v>
          </cell>
          <cell r="AV2138">
            <v>0</v>
          </cell>
          <cell r="AW2138">
            <v>23</v>
          </cell>
          <cell r="AX2138">
            <v>1</v>
          </cell>
          <cell r="AY2138">
            <v>0</v>
          </cell>
          <cell r="AZ2138">
            <v>0</v>
          </cell>
          <cell r="BA2138">
            <v>0</v>
          </cell>
          <cell r="BB2138">
            <v>0</v>
          </cell>
          <cell r="BC2138">
            <v>38828</v>
          </cell>
        </row>
        <row r="2139">
          <cell r="A2139">
            <v>2006</v>
          </cell>
          <cell r="B2139">
            <v>3</v>
          </cell>
          <cell r="C2139">
            <v>151</v>
          </cell>
          <cell r="D2139">
            <v>21</v>
          </cell>
          <cell r="E2139">
            <v>792020</v>
          </cell>
          <cell r="F2139">
            <v>0</v>
          </cell>
          <cell r="G2139" t="str">
            <v>Затраты по ШПЗ (основные)</v>
          </cell>
          <cell r="H2139">
            <v>2011</v>
          </cell>
          <cell r="I2139">
            <v>7920</v>
          </cell>
          <cell r="J2139">
            <v>784371.69</v>
          </cell>
          <cell r="K2139">
            <v>1</v>
          </cell>
          <cell r="L2139">
            <v>0</v>
          </cell>
          <cell r="M2139">
            <v>0</v>
          </cell>
          <cell r="N2139">
            <v>0</v>
          </cell>
          <cell r="R2139">
            <v>0</v>
          </cell>
          <cell r="S2139">
            <v>0</v>
          </cell>
          <cell r="T2139">
            <v>0</v>
          </cell>
          <cell r="U2139">
            <v>35</v>
          </cell>
          <cell r="V2139">
            <v>0</v>
          </cell>
          <cell r="W2139">
            <v>0</v>
          </cell>
          <cell r="AA2139">
            <v>0</v>
          </cell>
          <cell r="AB2139">
            <v>0</v>
          </cell>
          <cell r="AC2139">
            <v>0</v>
          </cell>
          <cell r="AD2139">
            <v>35</v>
          </cell>
          <cell r="AE2139">
            <v>430130</v>
          </cell>
          <cell r="AF2139">
            <v>0</v>
          </cell>
          <cell r="AI2139">
            <v>2282</v>
          </cell>
          <cell r="AK2139">
            <v>0</v>
          </cell>
          <cell r="AM2139">
            <v>308</v>
          </cell>
          <cell r="AN2139">
            <v>1</v>
          </cell>
          <cell r="AO2139">
            <v>393216</v>
          </cell>
          <cell r="AQ2139">
            <v>0</v>
          </cell>
          <cell r="AR2139">
            <v>0</v>
          </cell>
          <cell r="AS2139" t="str">
            <v>Ы</v>
          </cell>
          <cell r="AT2139" t="str">
            <v>Ы</v>
          </cell>
          <cell r="AU2139">
            <v>0</v>
          </cell>
          <cell r="AV2139">
            <v>0</v>
          </cell>
          <cell r="AW2139">
            <v>23</v>
          </cell>
          <cell r="AX2139">
            <v>1</v>
          </cell>
          <cell r="AY2139">
            <v>0</v>
          </cell>
          <cell r="AZ2139">
            <v>0</v>
          </cell>
          <cell r="BA2139">
            <v>0</v>
          </cell>
          <cell r="BB2139">
            <v>0</v>
          </cell>
          <cell r="BC2139">
            <v>38828</v>
          </cell>
        </row>
        <row r="2140">
          <cell r="A2140">
            <v>2006</v>
          </cell>
          <cell r="B2140">
            <v>3</v>
          </cell>
          <cell r="C2140">
            <v>152</v>
          </cell>
          <cell r="D2140">
            <v>21</v>
          </cell>
          <cell r="E2140">
            <v>792020</v>
          </cell>
          <cell r="F2140">
            <v>0</v>
          </cell>
          <cell r="G2140" t="str">
            <v>Затраты по ШПЗ (основные)</v>
          </cell>
          <cell r="H2140">
            <v>2011</v>
          </cell>
          <cell r="I2140">
            <v>7920</v>
          </cell>
          <cell r="J2140">
            <v>479315.27</v>
          </cell>
          <cell r="K2140">
            <v>1</v>
          </cell>
          <cell r="L2140">
            <v>0</v>
          </cell>
          <cell r="M2140">
            <v>0</v>
          </cell>
          <cell r="N2140">
            <v>0</v>
          </cell>
          <cell r="R2140">
            <v>0</v>
          </cell>
          <cell r="S2140">
            <v>0</v>
          </cell>
          <cell r="T2140">
            <v>0</v>
          </cell>
          <cell r="U2140">
            <v>35</v>
          </cell>
          <cell r="V2140">
            <v>0</v>
          </cell>
          <cell r="W2140">
            <v>0</v>
          </cell>
          <cell r="AA2140">
            <v>0</v>
          </cell>
          <cell r="AB2140">
            <v>0</v>
          </cell>
          <cell r="AC2140">
            <v>0</v>
          </cell>
          <cell r="AD2140">
            <v>35</v>
          </cell>
          <cell r="AE2140">
            <v>430140</v>
          </cell>
          <cell r="AF2140">
            <v>0</v>
          </cell>
          <cell r="AI2140">
            <v>2282</v>
          </cell>
          <cell r="AK2140">
            <v>0</v>
          </cell>
          <cell r="AM2140">
            <v>309</v>
          </cell>
          <cell r="AN2140">
            <v>1</v>
          </cell>
          <cell r="AO2140">
            <v>393216</v>
          </cell>
          <cell r="AQ2140">
            <v>0</v>
          </cell>
          <cell r="AR2140">
            <v>0</v>
          </cell>
          <cell r="AS2140" t="str">
            <v>Ы</v>
          </cell>
          <cell r="AT2140" t="str">
            <v>Ы</v>
          </cell>
          <cell r="AU2140">
            <v>0</v>
          </cell>
          <cell r="AV2140">
            <v>0</v>
          </cell>
          <cell r="AW2140">
            <v>23</v>
          </cell>
          <cell r="AX2140">
            <v>1</v>
          </cell>
          <cell r="AY2140">
            <v>0</v>
          </cell>
          <cell r="AZ2140">
            <v>0</v>
          </cell>
          <cell r="BA2140">
            <v>0</v>
          </cell>
          <cell r="BB2140">
            <v>0</v>
          </cell>
          <cell r="BC2140">
            <v>38828</v>
          </cell>
        </row>
        <row r="2141">
          <cell r="A2141">
            <v>2006</v>
          </cell>
          <cell r="B2141">
            <v>3</v>
          </cell>
          <cell r="C2141">
            <v>153</v>
          </cell>
          <cell r="D2141">
            <v>21</v>
          </cell>
          <cell r="E2141">
            <v>792020</v>
          </cell>
          <cell r="F2141">
            <v>0</v>
          </cell>
          <cell r="G2141" t="str">
            <v>Затраты по ШПЗ (основные)</v>
          </cell>
          <cell r="H2141">
            <v>2011</v>
          </cell>
          <cell r="I2141">
            <v>7920</v>
          </cell>
          <cell r="J2141">
            <v>1448.83</v>
          </cell>
          <cell r="K2141">
            <v>1</v>
          </cell>
          <cell r="L2141">
            <v>0</v>
          </cell>
          <cell r="M2141">
            <v>0</v>
          </cell>
          <cell r="N2141">
            <v>0</v>
          </cell>
          <cell r="R2141">
            <v>0</v>
          </cell>
          <cell r="S2141">
            <v>0</v>
          </cell>
          <cell r="T2141">
            <v>0</v>
          </cell>
          <cell r="U2141">
            <v>35</v>
          </cell>
          <cell r="V2141">
            <v>0</v>
          </cell>
          <cell r="W2141">
            <v>0</v>
          </cell>
          <cell r="AA2141">
            <v>0</v>
          </cell>
          <cell r="AB2141">
            <v>0</v>
          </cell>
          <cell r="AC2141">
            <v>0</v>
          </cell>
          <cell r="AD2141">
            <v>35</v>
          </cell>
          <cell r="AE2141">
            <v>430230</v>
          </cell>
          <cell r="AF2141">
            <v>0</v>
          </cell>
          <cell r="AI2141">
            <v>2282</v>
          </cell>
          <cell r="AK2141">
            <v>0</v>
          </cell>
          <cell r="AM2141">
            <v>310</v>
          </cell>
          <cell r="AN2141">
            <v>1</v>
          </cell>
          <cell r="AO2141">
            <v>393216</v>
          </cell>
          <cell r="AQ2141">
            <v>0</v>
          </cell>
          <cell r="AR2141">
            <v>0</v>
          </cell>
          <cell r="AS2141" t="str">
            <v>Ы</v>
          </cell>
          <cell r="AT2141" t="str">
            <v>Ы</v>
          </cell>
          <cell r="AU2141">
            <v>0</v>
          </cell>
          <cell r="AV2141">
            <v>0</v>
          </cell>
          <cell r="AW2141">
            <v>23</v>
          </cell>
          <cell r="AX2141">
            <v>1</v>
          </cell>
          <cell r="AY2141">
            <v>0</v>
          </cell>
          <cell r="AZ2141">
            <v>0</v>
          </cell>
          <cell r="BA2141">
            <v>0</v>
          </cell>
          <cell r="BB2141">
            <v>0</v>
          </cell>
          <cell r="BC2141">
            <v>38828</v>
          </cell>
        </row>
        <row r="2142">
          <cell r="A2142">
            <v>2006</v>
          </cell>
          <cell r="B2142">
            <v>3</v>
          </cell>
          <cell r="C2142">
            <v>154</v>
          </cell>
          <cell r="D2142">
            <v>21</v>
          </cell>
          <cell r="E2142">
            <v>792020</v>
          </cell>
          <cell r="F2142">
            <v>0</v>
          </cell>
          <cell r="G2142" t="str">
            <v>Затраты по ШПЗ (основные)</v>
          </cell>
          <cell r="H2142">
            <v>2011</v>
          </cell>
          <cell r="I2142">
            <v>7920</v>
          </cell>
          <cell r="J2142">
            <v>5070.91</v>
          </cell>
          <cell r="K2142">
            <v>1</v>
          </cell>
          <cell r="L2142">
            <v>0</v>
          </cell>
          <cell r="M2142">
            <v>0</v>
          </cell>
          <cell r="N2142">
            <v>0</v>
          </cell>
          <cell r="R2142">
            <v>0</v>
          </cell>
          <cell r="S2142">
            <v>0</v>
          </cell>
          <cell r="T2142">
            <v>0</v>
          </cell>
          <cell r="U2142">
            <v>35</v>
          </cell>
          <cell r="V2142">
            <v>0</v>
          </cell>
          <cell r="W2142">
            <v>0</v>
          </cell>
          <cell r="AA2142">
            <v>0</v>
          </cell>
          <cell r="AB2142">
            <v>0</v>
          </cell>
          <cell r="AC2142">
            <v>0</v>
          </cell>
          <cell r="AD2142">
            <v>35</v>
          </cell>
          <cell r="AE2142">
            <v>430240</v>
          </cell>
          <cell r="AF2142">
            <v>0</v>
          </cell>
          <cell r="AI2142">
            <v>2282</v>
          </cell>
          <cell r="AK2142">
            <v>0</v>
          </cell>
          <cell r="AM2142">
            <v>311</v>
          </cell>
          <cell r="AN2142">
            <v>1</v>
          </cell>
          <cell r="AO2142">
            <v>393216</v>
          </cell>
          <cell r="AQ2142">
            <v>0</v>
          </cell>
          <cell r="AR2142">
            <v>0</v>
          </cell>
          <cell r="AS2142" t="str">
            <v>Ы</v>
          </cell>
          <cell r="AT2142" t="str">
            <v>Ы</v>
          </cell>
          <cell r="AU2142">
            <v>0</v>
          </cell>
          <cell r="AV2142">
            <v>0</v>
          </cell>
          <cell r="AW2142">
            <v>23</v>
          </cell>
          <cell r="AX2142">
            <v>1</v>
          </cell>
          <cell r="AY2142">
            <v>0</v>
          </cell>
          <cell r="AZ2142">
            <v>0</v>
          </cell>
          <cell r="BA2142">
            <v>0</v>
          </cell>
          <cell r="BB2142">
            <v>0</v>
          </cell>
          <cell r="BC2142">
            <v>38828</v>
          </cell>
        </row>
        <row r="2143">
          <cell r="A2143">
            <v>2006</v>
          </cell>
          <cell r="B2143">
            <v>3</v>
          </cell>
          <cell r="C2143">
            <v>155</v>
          </cell>
          <cell r="D2143">
            <v>21</v>
          </cell>
          <cell r="E2143">
            <v>792020</v>
          </cell>
          <cell r="F2143">
            <v>0</v>
          </cell>
          <cell r="G2143" t="str">
            <v>Затраты по ШПЗ (основные)</v>
          </cell>
          <cell r="H2143">
            <v>2011</v>
          </cell>
          <cell r="I2143">
            <v>7920</v>
          </cell>
          <cell r="J2143">
            <v>48071.89</v>
          </cell>
          <cell r="K2143">
            <v>1</v>
          </cell>
          <cell r="L2143">
            <v>0</v>
          </cell>
          <cell r="M2143">
            <v>0</v>
          </cell>
          <cell r="N2143">
            <v>0</v>
          </cell>
          <cell r="R2143">
            <v>0</v>
          </cell>
          <cell r="S2143">
            <v>0</v>
          </cell>
          <cell r="T2143">
            <v>0</v>
          </cell>
          <cell r="U2143">
            <v>35</v>
          </cell>
          <cell r="V2143">
            <v>0</v>
          </cell>
          <cell r="W2143">
            <v>0</v>
          </cell>
          <cell r="AA2143">
            <v>0</v>
          </cell>
          <cell r="AB2143">
            <v>0</v>
          </cell>
          <cell r="AC2143">
            <v>0</v>
          </cell>
          <cell r="AD2143">
            <v>35</v>
          </cell>
          <cell r="AE2143">
            <v>450000</v>
          </cell>
          <cell r="AF2143">
            <v>0</v>
          </cell>
          <cell r="AI2143">
            <v>2282</v>
          </cell>
          <cell r="AK2143">
            <v>0</v>
          </cell>
          <cell r="AM2143">
            <v>312</v>
          </cell>
          <cell r="AN2143">
            <v>1</v>
          </cell>
          <cell r="AO2143">
            <v>393216</v>
          </cell>
          <cell r="AQ2143">
            <v>0</v>
          </cell>
          <cell r="AR2143">
            <v>0</v>
          </cell>
          <cell r="AS2143" t="str">
            <v>Ы</v>
          </cell>
          <cell r="AT2143" t="str">
            <v>Ы</v>
          </cell>
          <cell r="AU2143">
            <v>0</v>
          </cell>
          <cell r="AV2143">
            <v>0</v>
          </cell>
          <cell r="AW2143">
            <v>23</v>
          </cell>
          <cell r="AX2143">
            <v>1</v>
          </cell>
          <cell r="AY2143">
            <v>0</v>
          </cell>
          <cell r="AZ2143">
            <v>0</v>
          </cell>
          <cell r="BA2143">
            <v>0</v>
          </cell>
          <cell r="BB2143">
            <v>0</v>
          </cell>
          <cell r="BC2143">
            <v>38828</v>
          </cell>
        </row>
        <row r="2144">
          <cell r="A2144">
            <v>2006</v>
          </cell>
          <cell r="B2144">
            <v>3</v>
          </cell>
          <cell r="C2144">
            <v>156</v>
          </cell>
          <cell r="D2144">
            <v>21</v>
          </cell>
          <cell r="E2144">
            <v>792020</v>
          </cell>
          <cell r="F2144">
            <v>0</v>
          </cell>
          <cell r="G2144" t="str">
            <v>Затраты по ШПЗ (основные)</v>
          </cell>
          <cell r="H2144">
            <v>2011</v>
          </cell>
          <cell r="I2144">
            <v>7920</v>
          </cell>
          <cell r="J2144">
            <v>5223.12</v>
          </cell>
          <cell r="K2144">
            <v>1</v>
          </cell>
          <cell r="L2144">
            <v>0</v>
          </cell>
          <cell r="M2144">
            <v>0</v>
          </cell>
          <cell r="N2144">
            <v>0</v>
          </cell>
          <cell r="R2144">
            <v>0</v>
          </cell>
          <cell r="S2144">
            <v>0</v>
          </cell>
          <cell r="T2144">
            <v>0</v>
          </cell>
          <cell r="U2144">
            <v>35</v>
          </cell>
          <cell r="V2144">
            <v>0</v>
          </cell>
          <cell r="W2144">
            <v>0</v>
          </cell>
          <cell r="AA2144">
            <v>0</v>
          </cell>
          <cell r="AB2144">
            <v>0</v>
          </cell>
          <cell r="AC2144">
            <v>0</v>
          </cell>
          <cell r="AD2144">
            <v>35</v>
          </cell>
          <cell r="AE2144">
            <v>460000</v>
          </cell>
          <cell r="AF2144">
            <v>0</v>
          </cell>
          <cell r="AI2144">
            <v>2282</v>
          </cell>
          <cell r="AK2144">
            <v>0</v>
          </cell>
          <cell r="AM2144">
            <v>313</v>
          </cell>
          <cell r="AN2144">
            <v>1</v>
          </cell>
          <cell r="AO2144">
            <v>393216</v>
          </cell>
          <cell r="AQ2144">
            <v>0</v>
          </cell>
          <cell r="AR2144">
            <v>0</v>
          </cell>
          <cell r="AS2144" t="str">
            <v>Ы</v>
          </cell>
          <cell r="AT2144" t="str">
            <v>Ы</v>
          </cell>
          <cell r="AU2144">
            <v>0</v>
          </cell>
          <cell r="AV2144">
            <v>0</v>
          </cell>
          <cell r="AW2144">
            <v>23</v>
          </cell>
          <cell r="AX2144">
            <v>1</v>
          </cell>
          <cell r="AY2144">
            <v>0</v>
          </cell>
          <cell r="AZ2144">
            <v>0</v>
          </cell>
          <cell r="BA2144">
            <v>0</v>
          </cell>
          <cell r="BB2144">
            <v>0</v>
          </cell>
          <cell r="BC2144">
            <v>38828</v>
          </cell>
        </row>
        <row r="2145">
          <cell r="A2145">
            <v>2006</v>
          </cell>
          <cell r="B2145">
            <v>3</v>
          </cell>
          <cell r="C2145">
            <v>157</v>
          </cell>
          <cell r="D2145">
            <v>21</v>
          </cell>
          <cell r="E2145">
            <v>792020</v>
          </cell>
          <cell r="F2145">
            <v>0</v>
          </cell>
          <cell r="G2145" t="str">
            <v>Затраты по ШПЗ (основные)</v>
          </cell>
          <cell r="H2145">
            <v>2011</v>
          </cell>
          <cell r="I2145">
            <v>7920</v>
          </cell>
          <cell r="J2145">
            <v>9428.58</v>
          </cell>
          <cell r="K2145">
            <v>1</v>
          </cell>
          <cell r="L2145">
            <v>0</v>
          </cell>
          <cell r="M2145">
            <v>0</v>
          </cell>
          <cell r="N2145">
            <v>0</v>
          </cell>
          <cell r="R2145">
            <v>0</v>
          </cell>
          <cell r="S2145">
            <v>0</v>
          </cell>
          <cell r="T2145">
            <v>0</v>
          </cell>
          <cell r="U2145">
            <v>35</v>
          </cell>
          <cell r="V2145">
            <v>0</v>
          </cell>
          <cell r="W2145">
            <v>0</v>
          </cell>
          <cell r="AA2145">
            <v>0</v>
          </cell>
          <cell r="AB2145">
            <v>0</v>
          </cell>
          <cell r="AC2145">
            <v>0</v>
          </cell>
          <cell r="AD2145">
            <v>35</v>
          </cell>
          <cell r="AE2145">
            <v>465000</v>
          </cell>
          <cell r="AF2145">
            <v>0</v>
          </cell>
          <cell r="AI2145">
            <v>2282</v>
          </cell>
          <cell r="AK2145">
            <v>0</v>
          </cell>
          <cell r="AM2145">
            <v>314</v>
          </cell>
          <cell r="AN2145">
            <v>1</v>
          </cell>
          <cell r="AO2145">
            <v>393216</v>
          </cell>
          <cell r="AQ2145">
            <v>0</v>
          </cell>
          <cell r="AR2145">
            <v>0</v>
          </cell>
          <cell r="AS2145" t="str">
            <v>Ы</v>
          </cell>
          <cell r="AT2145" t="str">
            <v>Ы</v>
          </cell>
          <cell r="AU2145">
            <v>0</v>
          </cell>
          <cell r="AV2145">
            <v>0</v>
          </cell>
          <cell r="AW2145">
            <v>23</v>
          </cell>
          <cell r="AX2145">
            <v>1</v>
          </cell>
          <cell r="AY2145">
            <v>0</v>
          </cell>
          <cell r="AZ2145">
            <v>0</v>
          </cell>
          <cell r="BA2145">
            <v>0</v>
          </cell>
          <cell r="BB2145">
            <v>0</v>
          </cell>
          <cell r="BC2145">
            <v>38828</v>
          </cell>
        </row>
        <row r="2146">
          <cell r="A2146">
            <v>2006</v>
          </cell>
          <cell r="B2146">
            <v>3</v>
          </cell>
          <cell r="C2146">
            <v>158</v>
          </cell>
          <cell r="D2146">
            <v>21</v>
          </cell>
          <cell r="E2146">
            <v>792020</v>
          </cell>
          <cell r="F2146">
            <v>0</v>
          </cell>
          <cell r="G2146" t="str">
            <v>Затраты по ШПЗ (основные)</v>
          </cell>
          <cell r="H2146">
            <v>2011</v>
          </cell>
          <cell r="I2146">
            <v>7920</v>
          </cell>
          <cell r="J2146">
            <v>50403.47</v>
          </cell>
          <cell r="K2146">
            <v>1</v>
          </cell>
          <cell r="L2146">
            <v>0</v>
          </cell>
          <cell r="M2146">
            <v>0</v>
          </cell>
          <cell r="N2146">
            <v>0</v>
          </cell>
          <cell r="R2146">
            <v>0</v>
          </cell>
          <cell r="S2146">
            <v>0</v>
          </cell>
          <cell r="T2146">
            <v>0</v>
          </cell>
          <cell r="U2146">
            <v>35</v>
          </cell>
          <cell r="V2146">
            <v>0</v>
          </cell>
          <cell r="W2146">
            <v>0</v>
          </cell>
          <cell r="AA2146">
            <v>0</v>
          </cell>
          <cell r="AB2146">
            <v>0</v>
          </cell>
          <cell r="AC2146">
            <v>0</v>
          </cell>
          <cell r="AD2146">
            <v>35</v>
          </cell>
          <cell r="AE2146">
            <v>501102</v>
          </cell>
          <cell r="AF2146">
            <v>0</v>
          </cell>
          <cell r="AI2146">
            <v>2282</v>
          </cell>
          <cell r="AK2146">
            <v>0</v>
          </cell>
          <cell r="AM2146">
            <v>315</v>
          </cell>
          <cell r="AN2146">
            <v>1</v>
          </cell>
          <cell r="AO2146">
            <v>393216</v>
          </cell>
          <cell r="AQ2146">
            <v>0</v>
          </cell>
          <cell r="AR2146">
            <v>0</v>
          </cell>
          <cell r="AS2146" t="str">
            <v>Ы</v>
          </cell>
          <cell r="AT2146" t="str">
            <v>Ы</v>
          </cell>
          <cell r="AU2146">
            <v>0</v>
          </cell>
          <cell r="AV2146">
            <v>0</v>
          </cell>
          <cell r="AW2146">
            <v>23</v>
          </cell>
          <cell r="AX2146">
            <v>1</v>
          </cell>
          <cell r="AY2146">
            <v>0</v>
          </cell>
          <cell r="AZ2146">
            <v>0</v>
          </cell>
          <cell r="BA2146">
            <v>0</v>
          </cell>
          <cell r="BB2146">
            <v>0</v>
          </cell>
          <cell r="BC2146">
            <v>38828</v>
          </cell>
        </row>
        <row r="2147">
          <cell r="A2147">
            <v>2006</v>
          </cell>
          <cell r="B2147">
            <v>3</v>
          </cell>
          <cell r="C2147">
            <v>159</v>
          </cell>
          <cell r="D2147">
            <v>21</v>
          </cell>
          <cell r="E2147">
            <v>792020</v>
          </cell>
          <cell r="F2147">
            <v>0</v>
          </cell>
          <cell r="G2147" t="str">
            <v>Затраты по ШПЗ (основные)</v>
          </cell>
          <cell r="H2147">
            <v>2011</v>
          </cell>
          <cell r="I2147">
            <v>7920</v>
          </cell>
          <cell r="J2147">
            <v>30318.84</v>
          </cell>
          <cell r="K2147">
            <v>1</v>
          </cell>
          <cell r="L2147">
            <v>0</v>
          </cell>
          <cell r="M2147">
            <v>0</v>
          </cell>
          <cell r="N2147">
            <v>0</v>
          </cell>
          <cell r="R2147">
            <v>0</v>
          </cell>
          <cell r="S2147">
            <v>0</v>
          </cell>
          <cell r="T2147">
            <v>0</v>
          </cell>
          <cell r="U2147">
            <v>35</v>
          </cell>
          <cell r="V2147">
            <v>0</v>
          </cell>
          <cell r="W2147">
            <v>0</v>
          </cell>
          <cell r="AA2147">
            <v>0</v>
          </cell>
          <cell r="AB2147">
            <v>0</v>
          </cell>
          <cell r="AC2147">
            <v>0</v>
          </cell>
          <cell r="AD2147">
            <v>35</v>
          </cell>
          <cell r="AE2147">
            <v>501103</v>
          </cell>
          <cell r="AF2147">
            <v>0</v>
          </cell>
          <cell r="AI2147">
            <v>2282</v>
          </cell>
          <cell r="AK2147">
            <v>0</v>
          </cell>
          <cell r="AM2147">
            <v>316</v>
          </cell>
          <cell r="AN2147">
            <v>1</v>
          </cell>
          <cell r="AO2147">
            <v>393216</v>
          </cell>
          <cell r="AQ2147">
            <v>0</v>
          </cell>
          <cell r="AR2147">
            <v>0</v>
          </cell>
          <cell r="AS2147" t="str">
            <v>Ы</v>
          </cell>
          <cell r="AT2147" t="str">
            <v>Ы</v>
          </cell>
          <cell r="AU2147">
            <v>0</v>
          </cell>
          <cell r="AV2147">
            <v>0</v>
          </cell>
          <cell r="AW2147">
            <v>23</v>
          </cell>
          <cell r="AX2147">
            <v>1</v>
          </cell>
          <cell r="AY2147">
            <v>0</v>
          </cell>
          <cell r="AZ2147">
            <v>0</v>
          </cell>
          <cell r="BA2147">
            <v>0</v>
          </cell>
          <cell r="BB2147">
            <v>0</v>
          </cell>
          <cell r="BC2147">
            <v>38828</v>
          </cell>
        </row>
        <row r="2148">
          <cell r="A2148">
            <v>2006</v>
          </cell>
          <cell r="B2148">
            <v>3</v>
          </cell>
          <cell r="C2148">
            <v>160</v>
          </cell>
          <cell r="D2148">
            <v>21</v>
          </cell>
          <cell r="E2148">
            <v>792020</v>
          </cell>
          <cell r="F2148">
            <v>0</v>
          </cell>
          <cell r="G2148" t="str">
            <v>Затраты по ШПЗ (основные)</v>
          </cell>
          <cell r="H2148">
            <v>2011</v>
          </cell>
          <cell r="I2148">
            <v>7920</v>
          </cell>
          <cell r="J2148">
            <v>57922.53</v>
          </cell>
          <cell r="K2148">
            <v>1</v>
          </cell>
          <cell r="L2148">
            <v>0</v>
          </cell>
          <cell r="M2148">
            <v>0</v>
          </cell>
          <cell r="N2148">
            <v>0</v>
          </cell>
          <cell r="R2148">
            <v>0</v>
          </cell>
          <cell r="S2148">
            <v>0</v>
          </cell>
          <cell r="T2148">
            <v>0</v>
          </cell>
          <cell r="U2148">
            <v>35</v>
          </cell>
          <cell r="V2148">
            <v>0</v>
          </cell>
          <cell r="W2148">
            <v>0</v>
          </cell>
          <cell r="AA2148">
            <v>0</v>
          </cell>
          <cell r="AB2148">
            <v>0</v>
          </cell>
          <cell r="AC2148">
            <v>0</v>
          </cell>
          <cell r="AD2148">
            <v>35</v>
          </cell>
          <cell r="AE2148">
            <v>501105</v>
          </cell>
          <cell r="AF2148">
            <v>0</v>
          </cell>
          <cell r="AI2148">
            <v>2282</v>
          </cell>
          <cell r="AK2148">
            <v>0</v>
          </cell>
          <cell r="AM2148">
            <v>317</v>
          </cell>
          <cell r="AN2148">
            <v>1</v>
          </cell>
          <cell r="AO2148">
            <v>393216</v>
          </cell>
          <cell r="AQ2148">
            <v>0</v>
          </cell>
          <cell r="AR2148">
            <v>0</v>
          </cell>
          <cell r="AS2148" t="str">
            <v>Ы</v>
          </cell>
          <cell r="AT2148" t="str">
            <v>Ы</v>
          </cell>
          <cell r="AU2148">
            <v>0</v>
          </cell>
          <cell r="AV2148">
            <v>0</v>
          </cell>
          <cell r="AW2148">
            <v>23</v>
          </cell>
          <cell r="AX2148">
            <v>1</v>
          </cell>
          <cell r="AY2148">
            <v>0</v>
          </cell>
          <cell r="AZ2148">
            <v>0</v>
          </cell>
          <cell r="BA2148">
            <v>0</v>
          </cell>
          <cell r="BB2148">
            <v>0</v>
          </cell>
          <cell r="BC2148">
            <v>38828</v>
          </cell>
        </row>
        <row r="2149">
          <cell r="A2149">
            <v>2006</v>
          </cell>
          <cell r="B2149">
            <v>3</v>
          </cell>
          <cell r="C2149">
            <v>161</v>
          </cell>
          <cell r="D2149">
            <v>21</v>
          </cell>
          <cell r="E2149">
            <v>792020</v>
          </cell>
          <cell r="F2149">
            <v>0</v>
          </cell>
          <cell r="G2149" t="str">
            <v>Затраты по ШПЗ (основные)</v>
          </cell>
          <cell r="H2149">
            <v>2011</v>
          </cell>
          <cell r="I2149">
            <v>7920</v>
          </cell>
          <cell r="J2149">
            <v>10333.99</v>
          </cell>
          <cell r="K2149">
            <v>1</v>
          </cell>
          <cell r="L2149">
            <v>0</v>
          </cell>
          <cell r="M2149">
            <v>0</v>
          </cell>
          <cell r="N2149">
            <v>0</v>
          </cell>
          <cell r="R2149">
            <v>0</v>
          </cell>
          <cell r="S2149">
            <v>0</v>
          </cell>
          <cell r="T2149">
            <v>0</v>
          </cell>
          <cell r="U2149">
            <v>35</v>
          </cell>
          <cell r="V2149">
            <v>0</v>
          </cell>
          <cell r="W2149">
            <v>0</v>
          </cell>
          <cell r="AA2149">
            <v>0</v>
          </cell>
          <cell r="AB2149">
            <v>0</v>
          </cell>
          <cell r="AC2149">
            <v>0</v>
          </cell>
          <cell r="AD2149">
            <v>35</v>
          </cell>
          <cell r="AE2149">
            <v>501106</v>
          </cell>
          <cell r="AF2149">
            <v>0</v>
          </cell>
          <cell r="AI2149">
            <v>2282</v>
          </cell>
          <cell r="AK2149">
            <v>0</v>
          </cell>
          <cell r="AM2149">
            <v>318</v>
          </cell>
          <cell r="AN2149">
            <v>1</v>
          </cell>
          <cell r="AO2149">
            <v>393216</v>
          </cell>
          <cell r="AQ2149">
            <v>0</v>
          </cell>
          <cell r="AR2149">
            <v>0</v>
          </cell>
          <cell r="AS2149" t="str">
            <v>Ы</v>
          </cell>
          <cell r="AT2149" t="str">
            <v>Ы</v>
          </cell>
          <cell r="AU2149">
            <v>0</v>
          </cell>
          <cell r="AV2149">
            <v>0</v>
          </cell>
          <cell r="AW2149">
            <v>23</v>
          </cell>
          <cell r="AX2149">
            <v>1</v>
          </cell>
          <cell r="AY2149">
            <v>0</v>
          </cell>
          <cell r="AZ2149">
            <v>0</v>
          </cell>
          <cell r="BA2149">
            <v>0</v>
          </cell>
          <cell r="BB2149">
            <v>0</v>
          </cell>
          <cell r="BC2149">
            <v>38828</v>
          </cell>
        </row>
        <row r="2150">
          <cell r="A2150">
            <v>2006</v>
          </cell>
          <cell r="B2150">
            <v>3</v>
          </cell>
          <cell r="C2150">
            <v>162</v>
          </cell>
          <cell r="D2150">
            <v>21</v>
          </cell>
          <cell r="E2150">
            <v>792020</v>
          </cell>
          <cell r="F2150">
            <v>0</v>
          </cell>
          <cell r="G2150" t="str">
            <v>Затраты по ШПЗ (основные)</v>
          </cell>
          <cell r="H2150">
            <v>2011</v>
          </cell>
          <cell r="I2150">
            <v>7920</v>
          </cell>
          <cell r="J2150">
            <v>31517.55</v>
          </cell>
          <cell r="K2150">
            <v>1</v>
          </cell>
          <cell r="L2150">
            <v>0</v>
          </cell>
          <cell r="M2150">
            <v>0</v>
          </cell>
          <cell r="N2150">
            <v>0</v>
          </cell>
          <cell r="R2150">
            <v>0</v>
          </cell>
          <cell r="S2150">
            <v>0</v>
          </cell>
          <cell r="T2150">
            <v>0</v>
          </cell>
          <cell r="U2150">
            <v>35</v>
          </cell>
          <cell r="V2150">
            <v>0</v>
          </cell>
          <cell r="W2150">
            <v>0</v>
          </cell>
          <cell r="AA2150">
            <v>0</v>
          </cell>
          <cell r="AB2150">
            <v>0</v>
          </cell>
          <cell r="AC2150">
            <v>0</v>
          </cell>
          <cell r="AD2150">
            <v>35</v>
          </cell>
          <cell r="AE2150">
            <v>503000</v>
          </cell>
          <cell r="AF2150">
            <v>0</v>
          </cell>
          <cell r="AI2150">
            <v>2282</v>
          </cell>
          <cell r="AK2150">
            <v>0</v>
          </cell>
          <cell r="AM2150">
            <v>319</v>
          </cell>
          <cell r="AN2150">
            <v>1</v>
          </cell>
          <cell r="AO2150">
            <v>393216</v>
          </cell>
          <cell r="AQ2150">
            <v>0</v>
          </cell>
          <cell r="AR2150">
            <v>0</v>
          </cell>
          <cell r="AS2150" t="str">
            <v>Ы</v>
          </cell>
          <cell r="AT2150" t="str">
            <v>Ы</v>
          </cell>
          <cell r="AU2150">
            <v>0</v>
          </cell>
          <cell r="AV2150">
            <v>0</v>
          </cell>
          <cell r="AW2150">
            <v>23</v>
          </cell>
          <cell r="AX2150">
            <v>1</v>
          </cell>
          <cell r="AY2150">
            <v>0</v>
          </cell>
          <cell r="AZ2150">
            <v>0</v>
          </cell>
          <cell r="BA2150">
            <v>0</v>
          </cell>
          <cell r="BB2150">
            <v>0</v>
          </cell>
          <cell r="BC2150">
            <v>38828</v>
          </cell>
        </row>
        <row r="2151">
          <cell r="A2151">
            <v>2006</v>
          </cell>
          <cell r="B2151">
            <v>3</v>
          </cell>
          <cell r="C2151">
            <v>163</v>
          </cell>
          <cell r="D2151">
            <v>21</v>
          </cell>
          <cell r="E2151">
            <v>792020</v>
          </cell>
          <cell r="F2151">
            <v>0</v>
          </cell>
          <cell r="G2151" t="str">
            <v>Затраты по ШПЗ (основные)</v>
          </cell>
          <cell r="H2151">
            <v>2011</v>
          </cell>
          <cell r="I2151">
            <v>7920</v>
          </cell>
          <cell r="J2151">
            <v>2690.36</v>
          </cell>
          <cell r="K2151">
            <v>1</v>
          </cell>
          <cell r="L2151">
            <v>0</v>
          </cell>
          <cell r="M2151">
            <v>0</v>
          </cell>
          <cell r="N2151">
            <v>0</v>
          </cell>
          <cell r="R2151">
            <v>0</v>
          </cell>
          <cell r="S2151">
            <v>0</v>
          </cell>
          <cell r="T2151">
            <v>0</v>
          </cell>
          <cell r="U2151">
            <v>35</v>
          </cell>
          <cell r="V2151">
            <v>0</v>
          </cell>
          <cell r="W2151">
            <v>0</v>
          </cell>
          <cell r="AA2151">
            <v>0</v>
          </cell>
          <cell r="AB2151">
            <v>0</v>
          </cell>
          <cell r="AC2151">
            <v>0</v>
          </cell>
          <cell r="AD2151">
            <v>35</v>
          </cell>
          <cell r="AE2151">
            <v>504100</v>
          </cell>
          <cell r="AF2151">
            <v>0</v>
          </cell>
          <cell r="AI2151">
            <v>2282</v>
          </cell>
          <cell r="AK2151">
            <v>0</v>
          </cell>
          <cell r="AM2151">
            <v>320</v>
          </cell>
          <cell r="AN2151">
            <v>1</v>
          </cell>
          <cell r="AO2151">
            <v>393216</v>
          </cell>
          <cell r="AQ2151">
            <v>0</v>
          </cell>
          <cell r="AR2151">
            <v>0</v>
          </cell>
          <cell r="AS2151" t="str">
            <v>Ы</v>
          </cell>
          <cell r="AT2151" t="str">
            <v>Ы</v>
          </cell>
          <cell r="AU2151">
            <v>0</v>
          </cell>
          <cell r="AV2151">
            <v>0</v>
          </cell>
          <cell r="AW2151">
            <v>23</v>
          </cell>
          <cell r="AX2151">
            <v>1</v>
          </cell>
          <cell r="AY2151">
            <v>0</v>
          </cell>
          <cell r="AZ2151">
            <v>0</v>
          </cell>
          <cell r="BA2151">
            <v>0</v>
          </cell>
          <cell r="BB2151">
            <v>0</v>
          </cell>
          <cell r="BC2151">
            <v>38828</v>
          </cell>
        </row>
        <row r="2152">
          <cell r="A2152">
            <v>2006</v>
          </cell>
          <cell r="B2152">
            <v>3</v>
          </cell>
          <cell r="C2152">
            <v>164</v>
          </cell>
          <cell r="D2152">
            <v>21</v>
          </cell>
          <cell r="E2152">
            <v>792020</v>
          </cell>
          <cell r="F2152">
            <v>0</v>
          </cell>
          <cell r="G2152" t="str">
            <v>Затраты по ШПЗ (основные)</v>
          </cell>
          <cell r="H2152">
            <v>2011</v>
          </cell>
          <cell r="I2152">
            <v>7920</v>
          </cell>
          <cell r="J2152">
            <v>27135.01</v>
          </cell>
          <cell r="K2152">
            <v>1</v>
          </cell>
          <cell r="L2152">
            <v>0</v>
          </cell>
          <cell r="M2152">
            <v>0</v>
          </cell>
          <cell r="N2152">
            <v>0</v>
          </cell>
          <cell r="R2152">
            <v>0</v>
          </cell>
          <cell r="S2152">
            <v>0</v>
          </cell>
          <cell r="T2152">
            <v>0</v>
          </cell>
          <cell r="U2152">
            <v>35</v>
          </cell>
          <cell r="V2152">
            <v>0</v>
          </cell>
          <cell r="W2152">
            <v>0</v>
          </cell>
          <cell r="AA2152">
            <v>0</v>
          </cell>
          <cell r="AB2152">
            <v>0</v>
          </cell>
          <cell r="AC2152">
            <v>0</v>
          </cell>
          <cell r="AD2152">
            <v>35</v>
          </cell>
          <cell r="AE2152">
            <v>504200</v>
          </cell>
          <cell r="AF2152">
            <v>0</v>
          </cell>
          <cell r="AI2152">
            <v>2282</v>
          </cell>
          <cell r="AK2152">
            <v>0</v>
          </cell>
          <cell r="AM2152">
            <v>321</v>
          </cell>
          <cell r="AN2152">
            <v>1</v>
          </cell>
          <cell r="AO2152">
            <v>393216</v>
          </cell>
          <cell r="AQ2152">
            <v>0</v>
          </cell>
          <cell r="AR2152">
            <v>0</v>
          </cell>
          <cell r="AS2152" t="str">
            <v>Ы</v>
          </cell>
          <cell r="AT2152" t="str">
            <v>Ы</v>
          </cell>
          <cell r="AU2152">
            <v>0</v>
          </cell>
          <cell r="AV2152">
            <v>0</v>
          </cell>
          <cell r="AW2152">
            <v>23</v>
          </cell>
          <cell r="AX2152">
            <v>1</v>
          </cell>
          <cell r="AY2152">
            <v>0</v>
          </cell>
          <cell r="AZ2152">
            <v>0</v>
          </cell>
          <cell r="BA2152">
            <v>0</v>
          </cell>
          <cell r="BB2152">
            <v>0</v>
          </cell>
          <cell r="BC2152">
            <v>38828</v>
          </cell>
        </row>
        <row r="2153">
          <cell r="A2153">
            <v>2006</v>
          </cell>
          <cell r="B2153">
            <v>3</v>
          </cell>
          <cell r="C2153">
            <v>165</v>
          </cell>
          <cell r="D2153">
            <v>21</v>
          </cell>
          <cell r="E2153">
            <v>792020</v>
          </cell>
          <cell r="F2153">
            <v>0</v>
          </cell>
          <cell r="G2153" t="str">
            <v>Затраты по ШПЗ (основные)</v>
          </cell>
          <cell r="H2153">
            <v>2011</v>
          </cell>
          <cell r="I2153">
            <v>7920</v>
          </cell>
          <cell r="J2153">
            <v>3025.16</v>
          </cell>
          <cell r="K2153">
            <v>1</v>
          </cell>
          <cell r="L2153">
            <v>0</v>
          </cell>
          <cell r="M2153">
            <v>0</v>
          </cell>
          <cell r="N2153">
            <v>0</v>
          </cell>
          <cell r="R2153">
            <v>0</v>
          </cell>
          <cell r="S2153">
            <v>0</v>
          </cell>
          <cell r="T2153">
            <v>0</v>
          </cell>
          <cell r="U2153">
            <v>35</v>
          </cell>
          <cell r="V2153">
            <v>0</v>
          </cell>
          <cell r="W2153">
            <v>0</v>
          </cell>
          <cell r="AA2153">
            <v>0</v>
          </cell>
          <cell r="AB2153">
            <v>0</v>
          </cell>
          <cell r="AC2153">
            <v>0</v>
          </cell>
          <cell r="AD2153">
            <v>35</v>
          </cell>
          <cell r="AE2153">
            <v>504400</v>
          </cell>
          <cell r="AF2153">
            <v>0</v>
          </cell>
          <cell r="AI2153">
            <v>2282</v>
          </cell>
          <cell r="AK2153">
            <v>0</v>
          </cell>
          <cell r="AM2153">
            <v>322</v>
          </cell>
          <cell r="AN2153">
            <v>1</v>
          </cell>
          <cell r="AO2153">
            <v>393216</v>
          </cell>
          <cell r="AQ2153">
            <v>0</v>
          </cell>
          <cell r="AR2153">
            <v>0</v>
          </cell>
          <cell r="AS2153" t="str">
            <v>Ы</v>
          </cell>
          <cell r="AT2153" t="str">
            <v>Ы</v>
          </cell>
          <cell r="AU2153">
            <v>0</v>
          </cell>
          <cell r="AV2153">
            <v>0</v>
          </cell>
          <cell r="AW2153">
            <v>23</v>
          </cell>
          <cell r="AX2153">
            <v>1</v>
          </cell>
          <cell r="AY2153">
            <v>0</v>
          </cell>
          <cell r="AZ2153">
            <v>0</v>
          </cell>
          <cell r="BA2153">
            <v>0</v>
          </cell>
          <cell r="BB2153">
            <v>0</v>
          </cell>
          <cell r="BC2153">
            <v>38828</v>
          </cell>
        </row>
        <row r="2154">
          <cell r="A2154">
            <v>2006</v>
          </cell>
          <cell r="B2154">
            <v>3</v>
          </cell>
          <cell r="C2154">
            <v>166</v>
          </cell>
          <cell r="D2154">
            <v>21</v>
          </cell>
          <cell r="E2154">
            <v>792020</v>
          </cell>
          <cell r="F2154">
            <v>0</v>
          </cell>
          <cell r="G2154" t="str">
            <v>Затраты по ШПЗ (основные)</v>
          </cell>
          <cell r="H2154">
            <v>2011</v>
          </cell>
          <cell r="I2154">
            <v>7920</v>
          </cell>
          <cell r="J2154">
            <v>24413.37</v>
          </cell>
          <cell r="K2154">
            <v>1</v>
          </cell>
          <cell r="L2154">
            <v>0</v>
          </cell>
          <cell r="M2154">
            <v>0</v>
          </cell>
          <cell r="N2154">
            <v>0</v>
          </cell>
          <cell r="R2154">
            <v>0</v>
          </cell>
          <cell r="S2154">
            <v>0</v>
          </cell>
          <cell r="T2154">
            <v>0</v>
          </cell>
          <cell r="U2154">
            <v>35</v>
          </cell>
          <cell r="V2154">
            <v>0</v>
          </cell>
          <cell r="W2154">
            <v>0</v>
          </cell>
          <cell r="AA2154">
            <v>0</v>
          </cell>
          <cell r="AB2154">
            <v>0</v>
          </cell>
          <cell r="AC2154">
            <v>0</v>
          </cell>
          <cell r="AD2154">
            <v>35</v>
          </cell>
          <cell r="AE2154">
            <v>505100</v>
          </cell>
          <cell r="AF2154">
            <v>0</v>
          </cell>
          <cell r="AI2154">
            <v>2282</v>
          </cell>
          <cell r="AK2154">
            <v>0</v>
          </cell>
          <cell r="AM2154">
            <v>323</v>
          </cell>
          <cell r="AN2154">
            <v>1</v>
          </cell>
          <cell r="AO2154">
            <v>393216</v>
          </cell>
          <cell r="AQ2154">
            <v>0</v>
          </cell>
          <cell r="AR2154">
            <v>0</v>
          </cell>
          <cell r="AS2154" t="str">
            <v>Ы</v>
          </cell>
          <cell r="AT2154" t="str">
            <v>Ы</v>
          </cell>
          <cell r="AU2154">
            <v>0</v>
          </cell>
          <cell r="AV2154">
            <v>0</v>
          </cell>
          <cell r="AW2154">
            <v>23</v>
          </cell>
          <cell r="AX2154">
            <v>1</v>
          </cell>
          <cell r="AY2154">
            <v>0</v>
          </cell>
          <cell r="AZ2154">
            <v>0</v>
          </cell>
          <cell r="BA2154">
            <v>0</v>
          </cell>
          <cell r="BB2154">
            <v>0</v>
          </cell>
          <cell r="BC2154">
            <v>38828</v>
          </cell>
        </row>
        <row r="2155">
          <cell r="A2155">
            <v>2006</v>
          </cell>
          <cell r="B2155">
            <v>3</v>
          </cell>
          <cell r="C2155">
            <v>167</v>
          </cell>
          <cell r="D2155">
            <v>21</v>
          </cell>
          <cell r="E2155">
            <v>792020</v>
          </cell>
          <cell r="F2155">
            <v>0</v>
          </cell>
          <cell r="G2155" t="str">
            <v>Затраты по ШПЗ (основные)</v>
          </cell>
          <cell r="H2155">
            <v>2011</v>
          </cell>
          <cell r="I2155">
            <v>7920</v>
          </cell>
          <cell r="J2155">
            <v>55148.28</v>
          </cell>
          <cell r="K2155">
            <v>1</v>
          </cell>
          <cell r="L2155">
            <v>0</v>
          </cell>
          <cell r="M2155">
            <v>0</v>
          </cell>
          <cell r="N2155">
            <v>0</v>
          </cell>
          <cell r="R2155">
            <v>0</v>
          </cell>
          <cell r="S2155">
            <v>0</v>
          </cell>
          <cell r="T2155">
            <v>0</v>
          </cell>
          <cell r="U2155">
            <v>35</v>
          </cell>
          <cell r="V2155">
            <v>0</v>
          </cell>
          <cell r="W2155">
            <v>0</v>
          </cell>
          <cell r="AA2155">
            <v>0</v>
          </cell>
          <cell r="AB2155">
            <v>0</v>
          </cell>
          <cell r="AC2155">
            <v>0</v>
          </cell>
          <cell r="AD2155">
            <v>35</v>
          </cell>
          <cell r="AE2155">
            <v>505200</v>
          </cell>
          <cell r="AF2155">
            <v>0</v>
          </cell>
          <cell r="AI2155">
            <v>2282</v>
          </cell>
          <cell r="AK2155">
            <v>0</v>
          </cell>
          <cell r="AM2155">
            <v>324</v>
          </cell>
          <cell r="AN2155">
            <v>1</v>
          </cell>
          <cell r="AO2155">
            <v>393216</v>
          </cell>
          <cell r="AQ2155">
            <v>0</v>
          </cell>
          <cell r="AR2155">
            <v>0</v>
          </cell>
          <cell r="AS2155" t="str">
            <v>Ы</v>
          </cell>
          <cell r="AT2155" t="str">
            <v>Ы</v>
          </cell>
          <cell r="AU2155">
            <v>0</v>
          </cell>
          <cell r="AV2155">
            <v>0</v>
          </cell>
          <cell r="AW2155">
            <v>23</v>
          </cell>
          <cell r="AX2155">
            <v>1</v>
          </cell>
          <cell r="AY2155">
            <v>0</v>
          </cell>
          <cell r="AZ2155">
            <v>0</v>
          </cell>
          <cell r="BA2155">
            <v>0</v>
          </cell>
          <cell r="BB2155">
            <v>0</v>
          </cell>
          <cell r="BC2155">
            <v>38828</v>
          </cell>
        </row>
        <row r="2156">
          <cell r="A2156">
            <v>2006</v>
          </cell>
          <cell r="B2156">
            <v>3</v>
          </cell>
          <cell r="C2156">
            <v>168</v>
          </cell>
          <cell r="D2156">
            <v>21</v>
          </cell>
          <cell r="E2156">
            <v>792020</v>
          </cell>
          <cell r="F2156">
            <v>0</v>
          </cell>
          <cell r="G2156" t="str">
            <v>Затраты по ШПЗ (основные)</v>
          </cell>
          <cell r="H2156">
            <v>2011</v>
          </cell>
          <cell r="I2156">
            <v>7920</v>
          </cell>
          <cell r="J2156">
            <v>185.9</v>
          </cell>
          <cell r="K2156">
            <v>1</v>
          </cell>
          <cell r="L2156">
            <v>0</v>
          </cell>
          <cell r="M2156">
            <v>0</v>
          </cell>
          <cell r="N2156">
            <v>0</v>
          </cell>
          <cell r="R2156">
            <v>0</v>
          </cell>
          <cell r="S2156">
            <v>0</v>
          </cell>
          <cell r="T2156">
            <v>0</v>
          </cell>
          <cell r="U2156">
            <v>35</v>
          </cell>
          <cell r="V2156">
            <v>0</v>
          </cell>
          <cell r="W2156">
            <v>0</v>
          </cell>
          <cell r="AA2156">
            <v>0</v>
          </cell>
          <cell r="AB2156">
            <v>0</v>
          </cell>
          <cell r="AC2156">
            <v>0</v>
          </cell>
          <cell r="AD2156">
            <v>35</v>
          </cell>
          <cell r="AE2156">
            <v>505300</v>
          </cell>
          <cell r="AF2156">
            <v>0</v>
          </cell>
          <cell r="AI2156">
            <v>2282</v>
          </cell>
          <cell r="AK2156">
            <v>0</v>
          </cell>
          <cell r="AM2156">
            <v>325</v>
          </cell>
          <cell r="AN2156">
            <v>1</v>
          </cell>
          <cell r="AO2156">
            <v>393216</v>
          </cell>
          <cell r="AQ2156">
            <v>0</v>
          </cell>
          <cell r="AR2156">
            <v>0</v>
          </cell>
          <cell r="AS2156" t="str">
            <v>Ы</v>
          </cell>
          <cell r="AT2156" t="str">
            <v>Ы</v>
          </cell>
          <cell r="AU2156">
            <v>0</v>
          </cell>
          <cell r="AV2156">
            <v>0</v>
          </cell>
          <cell r="AW2156">
            <v>23</v>
          </cell>
          <cell r="AX2156">
            <v>1</v>
          </cell>
          <cell r="AY2156">
            <v>0</v>
          </cell>
          <cell r="AZ2156">
            <v>0</v>
          </cell>
          <cell r="BA2156">
            <v>0</v>
          </cell>
          <cell r="BB2156">
            <v>0</v>
          </cell>
          <cell r="BC2156">
            <v>38828</v>
          </cell>
        </row>
        <row r="2157">
          <cell r="A2157">
            <v>2006</v>
          </cell>
          <cell r="B2157">
            <v>3</v>
          </cell>
          <cell r="C2157">
            <v>169</v>
          </cell>
          <cell r="D2157">
            <v>21</v>
          </cell>
          <cell r="E2157">
            <v>792020</v>
          </cell>
          <cell r="F2157">
            <v>0</v>
          </cell>
          <cell r="G2157" t="str">
            <v>Затраты по ШПЗ (основные)</v>
          </cell>
          <cell r="H2157">
            <v>2011</v>
          </cell>
          <cell r="I2157">
            <v>7920</v>
          </cell>
          <cell r="J2157">
            <v>1863.33</v>
          </cell>
          <cell r="K2157">
            <v>1</v>
          </cell>
          <cell r="L2157">
            <v>0</v>
          </cell>
          <cell r="M2157">
            <v>0</v>
          </cell>
          <cell r="N2157">
            <v>0</v>
          </cell>
          <cell r="R2157">
            <v>0</v>
          </cell>
          <cell r="S2157">
            <v>0</v>
          </cell>
          <cell r="T2157">
            <v>0</v>
          </cell>
          <cell r="U2157">
            <v>35</v>
          </cell>
          <cell r="V2157">
            <v>0</v>
          </cell>
          <cell r="W2157">
            <v>0</v>
          </cell>
          <cell r="AA2157">
            <v>0</v>
          </cell>
          <cell r="AB2157">
            <v>0</v>
          </cell>
          <cell r="AC2157">
            <v>0</v>
          </cell>
          <cell r="AD2157">
            <v>35</v>
          </cell>
          <cell r="AE2157">
            <v>508700</v>
          </cell>
          <cell r="AF2157">
            <v>0</v>
          </cell>
          <cell r="AI2157">
            <v>2282</v>
          </cell>
          <cell r="AK2157">
            <v>0</v>
          </cell>
          <cell r="AM2157">
            <v>326</v>
          </cell>
          <cell r="AN2157">
            <v>1</v>
          </cell>
          <cell r="AO2157">
            <v>393216</v>
          </cell>
          <cell r="AQ2157">
            <v>0</v>
          </cell>
          <cell r="AR2157">
            <v>0</v>
          </cell>
          <cell r="AS2157" t="str">
            <v>Ы</v>
          </cell>
          <cell r="AT2157" t="str">
            <v>Ы</v>
          </cell>
          <cell r="AU2157">
            <v>0</v>
          </cell>
          <cell r="AV2157">
            <v>0</v>
          </cell>
          <cell r="AW2157">
            <v>23</v>
          </cell>
          <cell r="AX2157">
            <v>1</v>
          </cell>
          <cell r="AY2157">
            <v>0</v>
          </cell>
          <cell r="AZ2157">
            <v>0</v>
          </cell>
          <cell r="BA2157">
            <v>0</v>
          </cell>
          <cell r="BB2157">
            <v>0</v>
          </cell>
          <cell r="BC2157">
            <v>38828</v>
          </cell>
        </row>
        <row r="2158">
          <cell r="A2158">
            <v>2006</v>
          </cell>
          <cell r="B2158">
            <v>3</v>
          </cell>
          <cell r="C2158">
            <v>170</v>
          </cell>
          <cell r="D2158">
            <v>21</v>
          </cell>
          <cell r="E2158">
            <v>792020</v>
          </cell>
          <cell r="F2158">
            <v>0</v>
          </cell>
          <cell r="G2158" t="str">
            <v>Затраты по ШПЗ (основные)</v>
          </cell>
          <cell r="H2158">
            <v>2011</v>
          </cell>
          <cell r="I2158">
            <v>7920</v>
          </cell>
          <cell r="J2158">
            <v>286791.59999999998</v>
          </cell>
          <cell r="K2158">
            <v>1</v>
          </cell>
          <cell r="L2158">
            <v>0</v>
          </cell>
          <cell r="M2158">
            <v>0</v>
          </cell>
          <cell r="N2158">
            <v>0</v>
          </cell>
          <cell r="R2158">
            <v>0</v>
          </cell>
          <cell r="S2158">
            <v>0</v>
          </cell>
          <cell r="T2158">
            <v>0</v>
          </cell>
          <cell r="U2158">
            <v>35</v>
          </cell>
          <cell r="V2158">
            <v>0</v>
          </cell>
          <cell r="W2158">
            <v>0</v>
          </cell>
          <cell r="AA2158">
            <v>0</v>
          </cell>
          <cell r="AB2158">
            <v>0</v>
          </cell>
          <cell r="AC2158">
            <v>0</v>
          </cell>
          <cell r="AD2158">
            <v>35</v>
          </cell>
          <cell r="AE2158">
            <v>510100</v>
          </cell>
          <cell r="AF2158">
            <v>0</v>
          </cell>
          <cell r="AI2158">
            <v>2282</v>
          </cell>
          <cell r="AK2158">
            <v>0</v>
          </cell>
          <cell r="AM2158">
            <v>327</v>
          </cell>
          <cell r="AN2158">
            <v>1</v>
          </cell>
          <cell r="AO2158">
            <v>393216</v>
          </cell>
          <cell r="AQ2158">
            <v>0</v>
          </cell>
          <cell r="AR2158">
            <v>0</v>
          </cell>
          <cell r="AS2158" t="str">
            <v>Ы</v>
          </cell>
          <cell r="AT2158" t="str">
            <v>Ы</v>
          </cell>
          <cell r="AU2158">
            <v>0</v>
          </cell>
          <cell r="AV2158">
            <v>0</v>
          </cell>
          <cell r="AW2158">
            <v>23</v>
          </cell>
          <cell r="AX2158">
            <v>1</v>
          </cell>
          <cell r="AY2158">
            <v>0</v>
          </cell>
          <cell r="AZ2158">
            <v>0</v>
          </cell>
          <cell r="BA2158">
            <v>0</v>
          </cell>
          <cell r="BB2158">
            <v>0</v>
          </cell>
          <cell r="BC2158">
            <v>38828</v>
          </cell>
        </row>
        <row r="2159">
          <cell r="A2159">
            <v>2006</v>
          </cell>
          <cell r="B2159">
            <v>3</v>
          </cell>
          <cell r="C2159">
            <v>171</v>
          </cell>
          <cell r="D2159">
            <v>21</v>
          </cell>
          <cell r="E2159">
            <v>792020</v>
          </cell>
          <cell r="F2159">
            <v>0</v>
          </cell>
          <cell r="G2159" t="str">
            <v>Затраты по ШПЗ (основные)</v>
          </cell>
          <cell r="H2159">
            <v>2011</v>
          </cell>
          <cell r="I2159">
            <v>7920</v>
          </cell>
          <cell r="J2159">
            <v>1005.25</v>
          </cell>
          <cell r="K2159">
            <v>1</v>
          </cell>
          <cell r="L2159">
            <v>0</v>
          </cell>
          <cell r="M2159">
            <v>0</v>
          </cell>
          <cell r="N2159">
            <v>0</v>
          </cell>
          <cell r="R2159">
            <v>0</v>
          </cell>
          <cell r="S2159">
            <v>0</v>
          </cell>
          <cell r="T2159">
            <v>0</v>
          </cell>
          <cell r="U2159">
            <v>35</v>
          </cell>
          <cell r="V2159">
            <v>0</v>
          </cell>
          <cell r="W2159">
            <v>0</v>
          </cell>
          <cell r="AA2159">
            <v>0</v>
          </cell>
          <cell r="AB2159">
            <v>0</v>
          </cell>
          <cell r="AC2159">
            <v>0</v>
          </cell>
          <cell r="AD2159">
            <v>35</v>
          </cell>
          <cell r="AE2159">
            <v>510200</v>
          </cell>
          <cell r="AF2159">
            <v>0</v>
          </cell>
          <cell r="AI2159">
            <v>2282</v>
          </cell>
          <cell r="AK2159">
            <v>0</v>
          </cell>
          <cell r="AM2159">
            <v>328</v>
          </cell>
          <cell r="AN2159">
            <v>1</v>
          </cell>
          <cell r="AO2159">
            <v>393216</v>
          </cell>
          <cell r="AQ2159">
            <v>0</v>
          </cell>
          <cell r="AR2159">
            <v>0</v>
          </cell>
          <cell r="AS2159" t="str">
            <v>Ы</v>
          </cell>
          <cell r="AT2159" t="str">
            <v>Ы</v>
          </cell>
          <cell r="AU2159">
            <v>0</v>
          </cell>
          <cell r="AV2159">
            <v>0</v>
          </cell>
          <cell r="AW2159">
            <v>23</v>
          </cell>
          <cell r="AX2159">
            <v>1</v>
          </cell>
          <cell r="AY2159">
            <v>0</v>
          </cell>
          <cell r="AZ2159">
            <v>0</v>
          </cell>
          <cell r="BA2159">
            <v>0</v>
          </cell>
          <cell r="BB2159">
            <v>0</v>
          </cell>
          <cell r="BC2159">
            <v>38828</v>
          </cell>
        </row>
        <row r="2160">
          <cell r="A2160">
            <v>2006</v>
          </cell>
          <cell r="B2160">
            <v>3</v>
          </cell>
          <cell r="C2160">
            <v>172</v>
          </cell>
          <cell r="D2160">
            <v>21</v>
          </cell>
          <cell r="E2160">
            <v>792020</v>
          </cell>
          <cell r="F2160">
            <v>0</v>
          </cell>
          <cell r="G2160" t="str">
            <v>Затраты по ШПЗ (основные)</v>
          </cell>
          <cell r="H2160">
            <v>2011</v>
          </cell>
          <cell r="I2160">
            <v>7920</v>
          </cell>
          <cell r="J2160">
            <v>813.09</v>
          </cell>
          <cell r="K2160">
            <v>1</v>
          </cell>
          <cell r="L2160">
            <v>0</v>
          </cell>
          <cell r="M2160">
            <v>0</v>
          </cell>
          <cell r="N2160">
            <v>0</v>
          </cell>
          <cell r="R2160">
            <v>0</v>
          </cell>
          <cell r="S2160">
            <v>0</v>
          </cell>
          <cell r="T2160">
            <v>0</v>
          </cell>
          <cell r="U2160">
            <v>35</v>
          </cell>
          <cell r="V2160">
            <v>0</v>
          </cell>
          <cell r="W2160">
            <v>0</v>
          </cell>
          <cell r="AA2160">
            <v>0</v>
          </cell>
          <cell r="AB2160">
            <v>0</v>
          </cell>
          <cell r="AC2160">
            <v>0</v>
          </cell>
          <cell r="AD2160">
            <v>35</v>
          </cell>
          <cell r="AE2160">
            <v>510300</v>
          </cell>
          <cell r="AF2160">
            <v>0</v>
          </cell>
          <cell r="AI2160">
            <v>2282</v>
          </cell>
          <cell r="AK2160">
            <v>0</v>
          </cell>
          <cell r="AM2160">
            <v>329</v>
          </cell>
          <cell r="AN2160">
            <v>1</v>
          </cell>
          <cell r="AO2160">
            <v>393216</v>
          </cell>
          <cell r="AQ2160">
            <v>0</v>
          </cell>
          <cell r="AR2160">
            <v>0</v>
          </cell>
          <cell r="AS2160" t="str">
            <v>Ы</v>
          </cell>
          <cell r="AT2160" t="str">
            <v>Ы</v>
          </cell>
          <cell r="AU2160">
            <v>0</v>
          </cell>
          <cell r="AV2160">
            <v>0</v>
          </cell>
          <cell r="AW2160">
            <v>23</v>
          </cell>
          <cell r="AX2160">
            <v>1</v>
          </cell>
          <cell r="AY2160">
            <v>0</v>
          </cell>
          <cell r="AZ2160">
            <v>0</v>
          </cell>
          <cell r="BA2160">
            <v>0</v>
          </cell>
          <cell r="BB2160">
            <v>0</v>
          </cell>
          <cell r="BC2160">
            <v>38828</v>
          </cell>
        </row>
        <row r="2161">
          <cell r="A2161">
            <v>2006</v>
          </cell>
          <cell r="B2161">
            <v>3</v>
          </cell>
          <cell r="C2161">
            <v>173</v>
          </cell>
          <cell r="D2161">
            <v>21</v>
          </cell>
          <cell r="E2161">
            <v>792020</v>
          </cell>
          <cell r="F2161">
            <v>0</v>
          </cell>
          <cell r="G2161" t="str">
            <v>Затраты по ШПЗ (основные)</v>
          </cell>
          <cell r="H2161">
            <v>2011</v>
          </cell>
          <cell r="I2161">
            <v>7920</v>
          </cell>
          <cell r="J2161">
            <v>4733.1499999999996</v>
          </cell>
          <cell r="K2161">
            <v>1</v>
          </cell>
          <cell r="L2161">
            <v>0</v>
          </cell>
          <cell r="M2161">
            <v>0</v>
          </cell>
          <cell r="N2161">
            <v>0</v>
          </cell>
          <cell r="R2161">
            <v>0</v>
          </cell>
          <cell r="S2161">
            <v>0</v>
          </cell>
          <cell r="T2161">
            <v>0</v>
          </cell>
          <cell r="U2161">
            <v>35</v>
          </cell>
          <cell r="V2161">
            <v>0</v>
          </cell>
          <cell r="W2161">
            <v>0</v>
          </cell>
          <cell r="AA2161">
            <v>0</v>
          </cell>
          <cell r="AB2161">
            <v>0</v>
          </cell>
          <cell r="AC2161">
            <v>0</v>
          </cell>
          <cell r="AD2161">
            <v>35</v>
          </cell>
          <cell r="AE2161">
            <v>510400</v>
          </cell>
          <cell r="AF2161">
            <v>0</v>
          </cell>
          <cell r="AI2161">
            <v>2282</v>
          </cell>
          <cell r="AK2161">
            <v>0</v>
          </cell>
          <cell r="AM2161">
            <v>330</v>
          </cell>
          <cell r="AN2161">
            <v>1</v>
          </cell>
          <cell r="AO2161">
            <v>393216</v>
          </cell>
          <cell r="AQ2161">
            <v>0</v>
          </cell>
          <cell r="AR2161">
            <v>0</v>
          </cell>
          <cell r="AS2161" t="str">
            <v>Ы</v>
          </cell>
          <cell r="AT2161" t="str">
            <v>Ы</v>
          </cell>
          <cell r="AU2161">
            <v>0</v>
          </cell>
          <cell r="AV2161">
            <v>0</v>
          </cell>
          <cell r="AW2161">
            <v>23</v>
          </cell>
          <cell r="AX2161">
            <v>1</v>
          </cell>
          <cell r="AY2161">
            <v>0</v>
          </cell>
          <cell r="AZ2161">
            <v>0</v>
          </cell>
          <cell r="BA2161">
            <v>0</v>
          </cell>
          <cell r="BB2161">
            <v>0</v>
          </cell>
          <cell r="BC2161">
            <v>38828</v>
          </cell>
        </row>
        <row r="2162">
          <cell r="A2162">
            <v>2006</v>
          </cell>
          <cell r="B2162">
            <v>3</v>
          </cell>
          <cell r="C2162">
            <v>174</v>
          </cell>
          <cell r="D2162">
            <v>21</v>
          </cell>
          <cell r="E2162">
            <v>792020</v>
          </cell>
          <cell r="F2162">
            <v>0</v>
          </cell>
          <cell r="G2162" t="str">
            <v>Затраты по ШПЗ (основные)</v>
          </cell>
          <cell r="H2162">
            <v>2011</v>
          </cell>
          <cell r="I2162">
            <v>7920</v>
          </cell>
          <cell r="J2162">
            <v>337186.26</v>
          </cell>
          <cell r="K2162">
            <v>1</v>
          </cell>
          <cell r="L2162">
            <v>0</v>
          </cell>
          <cell r="M2162">
            <v>0</v>
          </cell>
          <cell r="N2162">
            <v>0</v>
          </cell>
          <cell r="R2162">
            <v>0</v>
          </cell>
          <cell r="S2162">
            <v>0</v>
          </cell>
          <cell r="T2162">
            <v>0</v>
          </cell>
          <cell r="U2162">
            <v>35</v>
          </cell>
          <cell r="V2162">
            <v>0</v>
          </cell>
          <cell r="W2162">
            <v>0</v>
          </cell>
          <cell r="AA2162">
            <v>0</v>
          </cell>
          <cell r="AB2162">
            <v>0</v>
          </cell>
          <cell r="AC2162">
            <v>0</v>
          </cell>
          <cell r="AD2162">
            <v>35</v>
          </cell>
          <cell r="AE2162">
            <v>510600</v>
          </cell>
          <cell r="AF2162">
            <v>0</v>
          </cell>
          <cell r="AI2162">
            <v>2282</v>
          </cell>
          <cell r="AK2162">
            <v>0</v>
          </cell>
          <cell r="AM2162">
            <v>331</v>
          </cell>
          <cell r="AN2162">
            <v>1</v>
          </cell>
          <cell r="AO2162">
            <v>393216</v>
          </cell>
          <cell r="AQ2162">
            <v>0</v>
          </cell>
          <cell r="AR2162">
            <v>0</v>
          </cell>
          <cell r="AS2162" t="str">
            <v>Ы</v>
          </cell>
          <cell r="AT2162" t="str">
            <v>Ы</v>
          </cell>
          <cell r="AU2162">
            <v>0</v>
          </cell>
          <cell r="AV2162">
            <v>0</v>
          </cell>
          <cell r="AW2162">
            <v>23</v>
          </cell>
          <cell r="AX2162">
            <v>1</v>
          </cell>
          <cell r="AY2162">
            <v>0</v>
          </cell>
          <cell r="AZ2162">
            <v>0</v>
          </cell>
          <cell r="BA2162">
            <v>0</v>
          </cell>
          <cell r="BB2162">
            <v>0</v>
          </cell>
          <cell r="BC2162">
            <v>38828</v>
          </cell>
        </row>
        <row r="2163">
          <cell r="A2163">
            <v>2006</v>
          </cell>
          <cell r="B2163">
            <v>3</v>
          </cell>
          <cell r="C2163">
            <v>175</v>
          </cell>
          <cell r="D2163">
            <v>21</v>
          </cell>
          <cell r="E2163">
            <v>792020</v>
          </cell>
          <cell r="F2163">
            <v>0</v>
          </cell>
          <cell r="G2163" t="str">
            <v>Затраты по ШПЗ (основные)</v>
          </cell>
          <cell r="H2163">
            <v>2011</v>
          </cell>
          <cell r="I2163">
            <v>7920</v>
          </cell>
          <cell r="J2163">
            <v>24.14</v>
          </cell>
          <cell r="K2163">
            <v>1</v>
          </cell>
          <cell r="L2163">
            <v>0</v>
          </cell>
          <cell r="M2163">
            <v>0</v>
          </cell>
          <cell r="N2163">
            <v>0</v>
          </cell>
          <cell r="R2163">
            <v>0</v>
          </cell>
          <cell r="S2163">
            <v>0</v>
          </cell>
          <cell r="T2163">
            <v>0</v>
          </cell>
          <cell r="U2163">
            <v>35</v>
          </cell>
          <cell r="V2163">
            <v>0</v>
          </cell>
          <cell r="W2163">
            <v>0</v>
          </cell>
          <cell r="AA2163">
            <v>0</v>
          </cell>
          <cell r="AB2163">
            <v>0</v>
          </cell>
          <cell r="AC2163">
            <v>0</v>
          </cell>
          <cell r="AD2163">
            <v>35</v>
          </cell>
          <cell r="AE2163">
            <v>512000</v>
          </cell>
          <cell r="AF2163">
            <v>0</v>
          </cell>
          <cell r="AI2163">
            <v>2282</v>
          </cell>
          <cell r="AK2163">
            <v>0</v>
          </cell>
          <cell r="AM2163">
            <v>332</v>
          </cell>
          <cell r="AN2163">
            <v>1</v>
          </cell>
          <cell r="AO2163">
            <v>393216</v>
          </cell>
          <cell r="AQ2163">
            <v>0</v>
          </cell>
          <cell r="AR2163">
            <v>0</v>
          </cell>
          <cell r="AS2163" t="str">
            <v>Ы</v>
          </cell>
          <cell r="AT2163" t="str">
            <v>Ы</v>
          </cell>
          <cell r="AU2163">
            <v>0</v>
          </cell>
          <cell r="AV2163">
            <v>0</v>
          </cell>
          <cell r="AW2163">
            <v>23</v>
          </cell>
          <cell r="AX2163">
            <v>1</v>
          </cell>
          <cell r="AY2163">
            <v>0</v>
          </cell>
          <cell r="AZ2163">
            <v>0</v>
          </cell>
          <cell r="BA2163">
            <v>0</v>
          </cell>
          <cell r="BB2163">
            <v>0</v>
          </cell>
          <cell r="BC2163">
            <v>38828</v>
          </cell>
        </row>
        <row r="2164">
          <cell r="A2164">
            <v>2006</v>
          </cell>
          <cell r="B2164">
            <v>3</v>
          </cell>
          <cell r="C2164">
            <v>176</v>
          </cell>
          <cell r="D2164">
            <v>21</v>
          </cell>
          <cell r="E2164">
            <v>792020</v>
          </cell>
          <cell r="F2164">
            <v>0</v>
          </cell>
          <cell r="G2164" t="str">
            <v>Затраты по ШПЗ (основные)</v>
          </cell>
          <cell r="H2164">
            <v>2011</v>
          </cell>
          <cell r="I2164">
            <v>7920</v>
          </cell>
          <cell r="J2164">
            <v>4044.51</v>
          </cell>
          <cell r="K2164">
            <v>1</v>
          </cell>
          <cell r="L2164">
            <v>0</v>
          </cell>
          <cell r="M2164">
            <v>0</v>
          </cell>
          <cell r="N2164">
            <v>0</v>
          </cell>
          <cell r="R2164">
            <v>0</v>
          </cell>
          <cell r="S2164">
            <v>0</v>
          </cell>
          <cell r="T2164">
            <v>0</v>
          </cell>
          <cell r="U2164">
            <v>35</v>
          </cell>
          <cell r="V2164">
            <v>0</v>
          </cell>
          <cell r="W2164">
            <v>0</v>
          </cell>
          <cell r="AA2164">
            <v>0</v>
          </cell>
          <cell r="AB2164">
            <v>0</v>
          </cell>
          <cell r="AC2164">
            <v>0</v>
          </cell>
          <cell r="AD2164">
            <v>35</v>
          </cell>
          <cell r="AE2164">
            <v>530000</v>
          </cell>
          <cell r="AF2164">
            <v>0</v>
          </cell>
          <cell r="AI2164">
            <v>2282</v>
          </cell>
          <cell r="AK2164">
            <v>0</v>
          </cell>
          <cell r="AM2164">
            <v>333</v>
          </cell>
          <cell r="AN2164">
            <v>1</v>
          </cell>
          <cell r="AO2164">
            <v>393216</v>
          </cell>
          <cell r="AQ2164">
            <v>0</v>
          </cell>
          <cell r="AR2164">
            <v>0</v>
          </cell>
          <cell r="AS2164" t="str">
            <v>Ы</v>
          </cell>
          <cell r="AT2164" t="str">
            <v>Ы</v>
          </cell>
          <cell r="AU2164">
            <v>0</v>
          </cell>
          <cell r="AV2164">
            <v>0</v>
          </cell>
          <cell r="AW2164">
            <v>23</v>
          </cell>
          <cell r="AX2164">
            <v>1</v>
          </cell>
          <cell r="AY2164">
            <v>0</v>
          </cell>
          <cell r="AZ2164">
            <v>0</v>
          </cell>
          <cell r="BA2164">
            <v>0</v>
          </cell>
          <cell r="BB2164">
            <v>0</v>
          </cell>
          <cell r="BC2164">
            <v>38828</v>
          </cell>
        </row>
        <row r="2165">
          <cell r="A2165">
            <v>2006</v>
          </cell>
          <cell r="B2165">
            <v>3</v>
          </cell>
          <cell r="C2165">
            <v>209</v>
          </cell>
          <cell r="D2165">
            <v>21</v>
          </cell>
          <cell r="E2165">
            <v>792020</v>
          </cell>
          <cell r="F2165">
            <v>0</v>
          </cell>
          <cell r="G2165" t="str">
            <v>Затраты по ШПЗ (основные)</v>
          </cell>
          <cell r="H2165">
            <v>2011</v>
          </cell>
          <cell r="I2165">
            <v>7920</v>
          </cell>
          <cell r="J2165">
            <v>976663.88</v>
          </cell>
          <cell r="K2165">
            <v>1</v>
          </cell>
          <cell r="L2165">
            <v>0</v>
          </cell>
          <cell r="M2165">
            <v>0</v>
          </cell>
          <cell r="N2165">
            <v>0</v>
          </cell>
          <cell r="R2165">
            <v>0</v>
          </cell>
          <cell r="S2165">
            <v>0</v>
          </cell>
          <cell r="T2165">
            <v>0</v>
          </cell>
          <cell r="U2165">
            <v>42</v>
          </cell>
          <cell r="V2165">
            <v>0</v>
          </cell>
          <cell r="W2165">
            <v>0</v>
          </cell>
          <cell r="AA2165">
            <v>0</v>
          </cell>
          <cell r="AB2165">
            <v>0</v>
          </cell>
          <cell r="AC2165">
            <v>0</v>
          </cell>
          <cell r="AD2165">
            <v>42</v>
          </cell>
          <cell r="AE2165">
            <v>110000</v>
          </cell>
          <cell r="AF2165">
            <v>0</v>
          </cell>
          <cell r="AI2165">
            <v>2282</v>
          </cell>
          <cell r="AK2165">
            <v>0</v>
          </cell>
          <cell r="AM2165">
            <v>366</v>
          </cell>
          <cell r="AN2165">
            <v>1</v>
          </cell>
          <cell r="AO2165">
            <v>393216</v>
          </cell>
          <cell r="AQ2165">
            <v>0</v>
          </cell>
          <cell r="AR2165">
            <v>0</v>
          </cell>
          <cell r="AS2165" t="str">
            <v>Ы</v>
          </cell>
          <cell r="AT2165" t="str">
            <v>Ы</v>
          </cell>
          <cell r="AU2165">
            <v>0</v>
          </cell>
          <cell r="AV2165">
            <v>0</v>
          </cell>
          <cell r="AW2165">
            <v>23</v>
          </cell>
          <cell r="AX2165">
            <v>1</v>
          </cell>
          <cell r="AY2165">
            <v>0</v>
          </cell>
          <cell r="AZ2165">
            <v>0</v>
          </cell>
          <cell r="BA2165">
            <v>0</v>
          </cell>
          <cell r="BB2165">
            <v>0</v>
          </cell>
          <cell r="BC2165">
            <v>38828</v>
          </cell>
        </row>
        <row r="2166">
          <cell r="A2166">
            <v>2006</v>
          </cell>
          <cell r="B2166">
            <v>3</v>
          </cell>
          <cell r="C2166">
            <v>210</v>
          </cell>
          <cell r="D2166">
            <v>21</v>
          </cell>
          <cell r="E2166">
            <v>792020</v>
          </cell>
          <cell r="F2166">
            <v>0</v>
          </cell>
          <cell r="G2166" t="str">
            <v>Затраты по ШПЗ (основные)</v>
          </cell>
          <cell r="H2166">
            <v>2011</v>
          </cell>
          <cell r="I2166">
            <v>7920</v>
          </cell>
          <cell r="J2166">
            <v>9608.36</v>
          </cell>
          <cell r="K2166">
            <v>1</v>
          </cell>
          <cell r="L2166">
            <v>0</v>
          </cell>
          <cell r="M2166">
            <v>0</v>
          </cell>
          <cell r="N2166">
            <v>0</v>
          </cell>
          <cell r="R2166">
            <v>0</v>
          </cell>
          <cell r="S2166">
            <v>0</v>
          </cell>
          <cell r="T2166">
            <v>0</v>
          </cell>
          <cell r="U2166">
            <v>42</v>
          </cell>
          <cell r="V2166">
            <v>0</v>
          </cell>
          <cell r="W2166">
            <v>0</v>
          </cell>
          <cell r="AA2166">
            <v>0</v>
          </cell>
          <cell r="AB2166">
            <v>0</v>
          </cell>
          <cell r="AC2166">
            <v>0</v>
          </cell>
          <cell r="AD2166">
            <v>42</v>
          </cell>
          <cell r="AE2166">
            <v>114020</v>
          </cell>
          <cell r="AF2166">
            <v>0</v>
          </cell>
          <cell r="AI2166">
            <v>2282</v>
          </cell>
          <cell r="AK2166">
            <v>0</v>
          </cell>
          <cell r="AM2166">
            <v>367</v>
          </cell>
          <cell r="AN2166">
            <v>1</v>
          </cell>
          <cell r="AO2166">
            <v>393216</v>
          </cell>
          <cell r="AQ2166">
            <v>0</v>
          </cell>
          <cell r="AR2166">
            <v>0</v>
          </cell>
          <cell r="AS2166" t="str">
            <v>Ы</v>
          </cell>
          <cell r="AT2166" t="str">
            <v>Ы</v>
          </cell>
          <cell r="AU2166">
            <v>0</v>
          </cell>
          <cell r="AV2166">
            <v>0</v>
          </cell>
          <cell r="AW2166">
            <v>23</v>
          </cell>
          <cell r="AX2166">
            <v>1</v>
          </cell>
          <cell r="AY2166">
            <v>0</v>
          </cell>
          <cell r="AZ2166">
            <v>0</v>
          </cell>
          <cell r="BA2166">
            <v>0</v>
          </cell>
          <cell r="BB2166">
            <v>0</v>
          </cell>
          <cell r="BC2166">
            <v>38828</v>
          </cell>
        </row>
        <row r="2167">
          <cell r="A2167">
            <v>2006</v>
          </cell>
          <cell r="B2167">
            <v>3</v>
          </cell>
          <cell r="C2167">
            <v>211</v>
          </cell>
          <cell r="D2167">
            <v>21</v>
          </cell>
          <cell r="E2167">
            <v>792020</v>
          </cell>
          <cell r="F2167">
            <v>0</v>
          </cell>
          <cell r="G2167" t="str">
            <v>Затраты по ШПЗ (основные)</v>
          </cell>
          <cell r="H2167">
            <v>2011</v>
          </cell>
          <cell r="I2167">
            <v>7920</v>
          </cell>
          <cell r="J2167">
            <v>1707512.23</v>
          </cell>
          <cell r="K2167">
            <v>1</v>
          </cell>
          <cell r="L2167">
            <v>0</v>
          </cell>
          <cell r="M2167">
            <v>0</v>
          </cell>
          <cell r="N2167">
            <v>0</v>
          </cell>
          <cell r="R2167">
            <v>0</v>
          </cell>
          <cell r="S2167">
            <v>0</v>
          </cell>
          <cell r="T2167">
            <v>0</v>
          </cell>
          <cell r="U2167">
            <v>42</v>
          </cell>
          <cell r="V2167">
            <v>0</v>
          </cell>
          <cell r="W2167">
            <v>0</v>
          </cell>
          <cell r="AA2167">
            <v>0</v>
          </cell>
          <cell r="AB2167">
            <v>0</v>
          </cell>
          <cell r="AC2167">
            <v>0</v>
          </cell>
          <cell r="AD2167">
            <v>42</v>
          </cell>
          <cell r="AE2167">
            <v>116000</v>
          </cell>
          <cell r="AF2167">
            <v>0</v>
          </cell>
          <cell r="AI2167">
            <v>2282</v>
          </cell>
          <cell r="AK2167">
            <v>0</v>
          </cell>
          <cell r="AM2167">
            <v>368</v>
          </cell>
          <cell r="AN2167">
            <v>1</v>
          </cell>
          <cell r="AO2167">
            <v>393216</v>
          </cell>
          <cell r="AQ2167">
            <v>0</v>
          </cell>
          <cell r="AR2167">
            <v>0</v>
          </cell>
          <cell r="AS2167" t="str">
            <v>Ы</v>
          </cell>
          <cell r="AT2167" t="str">
            <v>Ы</v>
          </cell>
          <cell r="AU2167">
            <v>0</v>
          </cell>
          <cell r="AV2167">
            <v>0</v>
          </cell>
          <cell r="AW2167">
            <v>23</v>
          </cell>
          <cell r="AX2167">
            <v>1</v>
          </cell>
          <cell r="AY2167">
            <v>0</v>
          </cell>
          <cell r="AZ2167">
            <v>0</v>
          </cell>
          <cell r="BA2167">
            <v>0</v>
          </cell>
          <cell r="BB2167">
            <v>0</v>
          </cell>
          <cell r="BC2167">
            <v>38828</v>
          </cell>
        </row>
        <row r="2168">
          <cell r="A2168">
            <v>2006</v>
          </cell>
          <cell r="B2168">
            <v>3</v>
          </cell>
          <cell r="C2168">
            <v>212</v>
          </cell>
          <cell r="D2168">
            <v>21</v>
          </cell>
          <cell r="E2168">
            <v>792020</v>
          </cell>
          <cell r="F2168">
            <v>0</v>
          </cell>
          <cell r="G2168" t="str">
            <v>Затраты по ШПЗ (основные)</v>
          </cell>
          <cell r="H2168">
            <v>2011</v>
          </cell>
          <cell r="I2168">
            <v>7920</v>
          </cell>
          <cell r="J2168">
            <v>96192.99</v>
          </cell>
          <cell r="K2168">
            <v>1</v>
          </cell>
          <cell r="L2168">
            <v>0</v>
          </cell>
          <cell r="M2168">
            <v>0</v>
          </cell>
          <cell r="N2168">
            <v>0</v>
          </cell>
          <cell r="R2168">
            <v>0</v>
          </cell>
          <cell r="S2168">
            <v>0</v>
          </cell>
          <cell r="T2168">
            <v>0</v>
          </cell>
          <cell r="U2168">
            <v>42</v>
          </cell>
          <cell r="V2168">
            <v>0</v>
          </cell>
          <cell r="W2168">
            <v>0</v>
          </cell>
          <cell r="AA2168">
            <v>0</v>
          </cell>
          <cell r="AB2168">
            <v>0</v>
          </cell>
          <cell r="AC2168">
            <v>0</v>
          </cell>
          <cell r="AD2168">
            <v>42</v>
          </cell>
          <cell r="AE2168">
            <v>117000</v>
          </cell>
          <cell r="AF2168">
            <v>0</v>
          </cell>
          <cell r="AI2168">
            <v>2282</v>
          </cell>
          <cell r="AK2168">
            <v>0</v>
          </cell>
          <cell r="AM2168">
            <v>369</v>
          </cell>
          <cell r="AN2168">
            <v>1</v>
          </cell>
          <cell r="AO2168">
            <v>393216</v>
          </cell>
          <cell r="AQ2168">
            <v>0</v>
          </cell>
          <cell r="AR2168">
            <v>0</v>
          </cell>
          <cell r="AS2168" t="str">
            <v>Ы</v>
          </cell>
          <cell r="AT2168" t="str">
            <v>Ы</v>
          </cell>
          <cell r="AU2168">
            <v>0</v>
          </cell>
          <cell r="AV2168">
            <v>0</v>
          </cell>
          <cell r="AW2168">
            <v>23</v>
          </cell>
          <cell r="AX2168">
            <v>1</v>
          </cell>
          <cell r="AY2168">
            <v>0</v>
          </cell>
          <cell r="AZ2168">
            <v>0</v>
          </cell>
          <cell r="BA2168">
            <v>0</v>
          </cell>
          <cell r="BB2168">
            <v>0</v>
          </cell>
          <cell r="BC2168">
            <v>38828</v>
          </cell>
        </row>
        <row r="2169">
          <cell r="A2169">
            <v>2006</v>
          </cell>
          <cell r="B2169">
            <v>3</v>
          </cell>
          <cell r="C2169">
            <v>213</v>
          </cell>
          <cell r="D2169">
            <v>21</v>
          </cell>
          <cell r="E2169">
            <v>792020</v>
          </cell>
          <cell r="F2169">
            <v>0</v>
          </cell>
          <cell r="G2169" t="str">
            <v>Затраты по ШПЗ (основные)</v>
          </cell>
          <cell r="H2169">
            <v>2011</v>
          </cell>
          <cell r="I2169">
            <v>7920</v>
          </cell>
          <cell r="J2169">
            <v>169053.17</v>
          </cell>
          <cell r="K2169">
            <v>1</v>
          </cell>
          <cell r="L2169">
            <v>0</v>
          </cell>
          <cell r="M2169">
            <v>0</v>
          </cell>
          <cell r="N2169">
            <v>0</v>
          </cell>
          <cell r="R2169">
            <v>0</v>
          </cell>
          <cell r="S2169">
            <v>0</v>
          </cell>
          <cell r="T2169">
            <v>0</v>
          </cell>
          <cell r="U2169">
            <v>42</v>
          </cell>
          <cell r="V2169">
            <v>0</v>
          </cell>
          <cell r="W2169">
            <v>0</v>
          </cell>
          <cell r="AA2169">
            <v>0</v>
          </cell>
          <cell r="AB2169">
            <v>0</v>
          </cell>
          <cell r="AC2169">
            <v>0</v>
          </cell>
          <cell r="AD2169">
            <v>42</v>
          </cell>
          <cell r="AE2169">
            <v>118000</v>
          </cell>
          <cell r="AF2169">
            <v>0</v>
          </cell>
          <cell r="AI2169">
            <v>2282</v>
          </cell>
          <cell r="AK2169">
            <v>0</v>
          </cell>
          <cell r="AM2169">
            <v>370</v>
          </cell>
          <cell r="AN2169">
            <v>1</v>
          </cell>
          <cell r="AO2169">
            <v>393216</v>
          </cell>
          <cell r="AQ2169">
            <v>0</v>
          </cell>
          <cell r="AR2169">
            <v>0</v>
          </cell>
          <cell r="AS2169" t="str">
            <v>Ы</v>
          </cell>
          <cell r="AT2169" t="str">
            <v>Ы</v>
          </cell>
          <cell r="AU2169">
            <v>0</v>
          </cell>
          <cell r="AV2169">
            <v>0</v>
          </cell>
          <cell r="AW2169">
            <v>23</v>
          </cell>
          <cell r="AX2169">
            <v>1</v>
          </cell>
          <cell r="AY2169">
            <v>0</v>
          </cell>
          <cell r="AZ2169">
            <v>0</v>
          </cell>
          <cell r="BA2169">
            <v>0</v>
          </cell>
          <cell r="BB2169">
            <v>0</v>
          </cell>
          <cell r="BC2169">
            <v>38828</v>
          </cell>
        </row>
        <row r="2170">
          <cell r="A2170">
            <v>2006</v>
          </cell>
          <cell r="B2170">
            <v>3</v>
          </cell>
          <cell r="C2170">
            <v>214</v>
          </cell>
          <cell r="D2170">
            <v>21</v>
          </cell>
          <cell r="E2170">
            <v>792020</v>
          </cell>
          <cell r="F2170">
            <v>0</v>
          </cell>
          <cell r="G2170" t="str">
            <v>Затраты по ШПЗ (основные)</v>
          </cell>
          <cell r="H2170">
            <v>2011</v>
          </cell>
          <cell r="I2170">
            <v>7920</v>
          </cell>
          <cell r="J2170">
            <v>51131.66</v>
          </cell>
          <cell r="K2170">
            <v>1</v>
          </cell>
          <cell r="L2170">
            <v>0</v>
          </cell>
          <cell r="M2170">
            <v>0</v>
          </cell>
          <cell r="N2170">
            <v>0</v>
          </cell>
          <cell r="R2170">
            <v>0</v>
          </cell>
          <cell r="S2170">
            <v>0</v>
          </cell>
          <cell r="T2170">
            <v>0</v>
          </cell>
          <cell r="U2170">
            <v>42</v>
          </cell>
          <cell r="V2170">
            <v>0</v>
          </cell>
          <cell r="W2170">
            <v>0</v>
          </cell>
          <cell r="AA2170">
            <v>0</v>
          </cell>
          <cell r="AB2170">
            <v>0</v>
          </cell>
          <cell r="AC2170">
            <v>0</v>
          </cell>
          <cell r="AD2170">
            <v>42</v>
          </cell>
          <cell r="AE2170">
            <v>130000</v>
          </cell>
          <cell r="AF2170">
            <v>0</v>
          </cell>
          <cell r="AI2170">
            <v>2282</v>
          </cell>
          <cell r="AK2170">
            <v>0</v>
          </cell>
          <cell r="AM2170">
            <v>371</v>
          </cell>
          <cell r="AN2170">
            <v>1</v>
          </cell>
          <cell r="AO2170">
            <v>393216</v>
          </cell>
          <cell r="AQ2170">
            <v>0</v>
          </cell>
          <cell r="AR2170">
            <v>0</v>
          </cell>
          <cell r="AS2170" t="str">
            <v>Ы</v>
          </cell>
          <cell r="AT2170" t="str">
            <v>Ы</v>
          </cell>
          <cell r="AU2170">
            <v>0</v>
          </cell>
          <cell r="AV2170">
            <v>0</v>
          </cell>
          <cell r="AW2170">
            <v>23</v>
          </cell>
          <cell r="AX2170">
            <v>1</v>
          </cell>
          <cell r="AY2170">
            <v>0</v>
          </cell>
          <cell r="AZ2170">
            <v>0</v>
          </cell>
          <cell r="BA2170">
            <v>0</v>
          </cell>
          <cell r="BB2170">
            <v>0</v>
          </cell>
          <cell r="BC2170">
            <v>38828</v>
          </cell>
        </row>
        <row r="2171">
          <cell r="A2171">
            <v>2006</v>
          </cell>
          <cell r="B2171">
            <v>3</v>
          </cell>
          <cell r="C2171">
            <v>215</v>
          </cell>
          <cell r="D2171">
            <v>21</v>
          </cell>
          <cell r="E2171">
            <v>792020</v>
          </cell>
          <cell r="F2171">
            <v>0</v>
          </cell>
          <cell r="G2171" t="str">
            <v>Затраты по ШПЗ (основные)</v>
          </cell>
          <cell r="H2171">
            <v>2011</v>
          </cell>
          <cell r="I2171">
            <v>7920</v>
          </cell>
          <cell r="J2171">
            <v>311587.96999999997</v>
          </cell>
          <cell r="K2171">
            <v>1</v>
          </cell>
          <cell r="L2171">
            <v>0</v>
          </cell>
          <cell r="M2171">
            <v>0</v>
          </cell>
          <cell r="N2171">
            <v>0</v>
          </cell>
          <cell r="R2171">
            <v>0</v>
          </cell>
          <cell r="S2171">
            <v>0</v>
          </cell>
          <cell r="T2171">
            <v>0</v>
          </cell>
          <cell r="U2171">
            <v>42</v>
          </cell>
          <cell r="V2171">
            <v>0</v>
          </cell>
          <cell r="W2171">
            <v>0</v>
          </cell>
          <cell r="AA2171">
            <v>0</v>
          </cell>
          <cell r="AB2171">
            <v>0</v>
          </cell>
          <cell r="AC2171">
            <v>0</v>
          </cell>
          <cell r="AD2171">
            <v>42</v>
          </cell>
          <cell r="AE2171">
            <v>131000</v>
          </cell>
          <cell r="AF2171">
            <v>0</v>
          </cell>
          <cell r="AI2171">
            <v>2282</v>
          </cell>
          <cell r="AK2171">
            <v>0</v>
          </cell>
          <cell r="AM2171">
            <v>372</v>
          </cell>
          <cell r="AN2171">
            <v>1</v>
          </cell>
          <cell r="AO2171">
            <v>393216</v>
          </cell>
          <cell r="AQ2171">
            <v>0</v>
          </cell>
          <cell r="AR2171">
            <v>0</v>
          </cell>
          <cell r="AS2171" t="str">
            <v>Ы</v>
          </cell>
          <cell r="AT2171" t="str">
            <v>Ы</v>
          </cell>
          <cell r="AU2171">
            <v>0</v>
          </cell>
          <cell r="AV2171">
            <v>0</v>
          </cell>
          <cell r="AW2171">
            <v>23</v>
          </cell>
          <cell r="AX2171">
            <v>1</v>
          </cell>
          <cell r="AY2171">
            <v>0</v>
          </cell>
          <cell r="AZ2171">
            <v>0</v>
          </cell>
          <cell r="BA2171">
            <v>0</v>
          </cell>
          <cell r="BB2171">
            <v>0</v>
          </cell>
          <cell r="BC2171">
            <v>38828</v>
          </cell>
        </row>
        <row r="2172">
          <cell r="A2172">
            <v>2006</v>
          </cell>
          <cell r="B2172">
            <v>3</v>
          </cell>
          <cell r="C2172">
            <v>216</v>
          </cell>
          <cell r="D2172">
            <v>21</v>
          </cell>
          <cell r="E2172">
            <v>792020</v>
          </cell>
          <cell r="F2172">
            <v>0</v>
          </cell>
          <cell r="G2172" t="str">
            <v>Затраты по ШПЗ (основные)</v>
          </cell>
          <cell r="H2172">
            <v>2011</v>
          </cell>
          <cell r="I2172">
            <v>7920</v>
          </cell>
          <cell r="J2172">
            <v>-274034.17</v>
          </cell>
          <cell r="K2172">
            <v>1</v>
          </cell>
          <cell r="L2172">
            <v>0</v>
          </cell>
          <cell r="M2172">
            <v>0</v>
          </cell>
          <cell r="N2172">
            <v>0</v>
          </cell>
          <cell r="R2172">
            <v>0</v>
          </cell>
          <cell r="S2172">
            <v>0</v>
          </cell>
          <cell r="T2172">
            <v>0</v>
          </cell>
          <cell r="U2172">
            <v>42</v>
          </cell>
          <cell r="V2172">
            <v>0</v>
          </cell>
          <cell r="W2172">
            <v>0</v>
          </cell>
          <cell r="AA2172">
            <v>0</v>
          </cell>
          <cell r="AB2172">
            <v>0</v>
          </cell>
          <cell r="AC2172">
            <v>0</v>
          </cell>
          <cell r="AD2172">
            <v>42</v>
          </cell>
          <cell r="AE2172">
            <v>131100</v>
          </cell>
          <cell r="AF2172">
            <v>0</v>
          </cell>
          <cell r="AI2172">
            <v>2282</v>
          </cell>
          <cell r="AK2172">
            <v>0</v>
          </cell>
          <cell r="AM2172">
            <v>373</v>
          </cell>
          <cell r="AN2172">
            <v>1</v>
          </cell>
          <cell r="AO2172">
            <v>393216</v>
          </cell>
          <cell r="AQ2172">
            <v>0</v>
          </cell>
          <cell r="AR2172">
            <v>0</v>
          </cell>
          <cell r="AS2172" t="str">
            <v>Ы</v>
          </cell>
          <cell r="AT2172" t="str">
            <v>Ы</v>
          </cell>
          <cell r="AU2172">
            <v>0</v>
          </cell>
          <cell r="AV2172">
            <v>0</v>
          </cell>
          <cell r="AW2172">
            <v>23</v>
          </cell>
          <cell r="AX2172">
            <v>1</v>
          </cell>
          <cell r="AY2172">
            <v>0</v>
          </cell>
          <cell r="AZ2172">
            <v>0</v>
          </cell>
          <cell r="BA2172">
            <v>0</v>
          </cell>
          <cell r="BB2172">
            <v>0</v>
          </cell>
          <cell r="BC2172">
            <v>38828</v>
          </cell>
        </row>
        <row r="2173">
          <cell r="A2173">
            <v>2006</v>
          </cell>
          <cell r="B2173">
            <v>3</v>
          </cell>
          <cell r="C2173">
            <v>217</v>
          </cell>
          <cell r="D2173">
            <v>21</v>
          </cell>
          <cell r="E2173">
            <v>792020</v>
          </cell>
          <cell r="F2173">
            <v>0</v>
          </cell>
          <cell r="G2173" t="str">
            <v>Затраты по ШПЗ (основные)</v>
          </cell>
          <cell r="H2173">
            <v>2011</v>
          </cell>
          <cell r="I2173">
            <v>7920</v>
          </cell>
          <cell r="J2173">
            <v>299719.19</v>
          </cell>
          <cell r="K2173">
            <v>1</v>
          </cell>
          <cell r="L2173">
            <v>0</v>
          </cell>
          <cell r="M2173">
            <v>0</v>
          </cell>
          <cell r="N2173">
            <v>0</v>
          </cell>
          <cell r="R2173">
            <v>0</v>
          </cell>
          <cell r="S2173">
            <v>0</v>
          </cell>
          <cell r="T2173">
            <v>0</v>
          </cell>
          <cell r="U2173">
            <v>42</v>
          </cell>
          <cell r="V2173">
            <v>0</v>
          </cell>
          <cell r="W2173">
            <v>0</v>
          </cell>
          <cell r="AA2173">
            <v>0</v>
          </cell>
          <cell r="AB2173">
            <v>0</v>
          </cell>
          <cell r="AC2173">
            <v>0</v>
          </cell>
          <cell r="AD2173">
            <v>42</v>
          </cell>
          <cell r="AE2173">
            <v>132000</v>
          </cell>
          <cell r="AF2173">
            <v>0</v>
          </cell>
          <cell r="AI2173">
            <v>2282</v>
          </cell>
          <cell r="AK2173">
            <v>0</v>
          </cell>
          <cell r="AM2173">
            <v>374</v>
          </cell>
          <cell r="AN2173">
            <v>1</v>
          </cell>
          <cell r="AO2173">
            <v>393216</v>
          </cell>
          <cell r="AQ2173">
            <v>0</v>
          </cell>
          <cell r="AR2173">
            <v>0</v>
          </cell>
          <cell r="AS2173" t="str">
            <v>Ы</v>
          </cell>
          <cell r="AT2173" t="str">
            <v>Ы</v>
          </cell>
          <cell r="AU2173">
            <v>0</v>
          </cell>
          <cell r="AV2173">
            <v>0</v>
          </cell>
          <cell r="AW2173">
            <v>23</v>
          </cell>
          <cell r="AX2173">
            <v>1</v>
          </cell>
          <cell r="AY2173">
            <v>0</v>
          </cell>
          <cell r="AZ2173">
            <v>0</v>
          </cell>
          <cell r="BA2173">
            <v>0</v>
          </cell>
          <cell r="BB2173">
            <v>0</v>
          </cell>
          <cell r="BC2173">
            <v>38828</v>
          </cell>
        </row>
        <row r="2174">
          <cell r="A2174">
            <v>2006</v>
          </cell>
          <cell r="B2174">
            <v>3</v>
          </cell>
          <cell r="C2174">
            <v>218</v>
          </cell>
          <cell r="D2174">
            <v>21</v>
          </cell>
          <cell r="E2174">
            <v>792020</v>
          </cell>
          <cell r="F2174">
            <v>0</v>
          </cell>
          <cell r="G2174" t="str">
            <v>Затраты по ШПЗ (основные)</v>
          </cell>
          <cell r="H2174">
            <v>2011</v>
          </cell>
          <cell r="I2174">
            <v>7920</v>
          </cell>
          <cell r="J2174">
            <v>4237.29</v>
          </cell>
          <cell r="K2174">
            <v>1</v>
          </cell>
          <cell r="L2174">
            <v>0</v>
          </cell>
          <cell r="M2174">
            <v>0</v>
          </cell>
          <cell r="N2174">
            <v>0</v>
          </cell>
          <cell r="R2174">
            <v>0</v>
          </cell>
          <cell r="S2174">
            <v>0</v>
          </cell>
          <cell r="T2174">
            <v>0</v>
          </cell>
          <cell r="U2174">
            <v>42</v>
          </cell>
          <cell r="V2174">
            <v>0</v>
          </cell>
          <cell r="W2174">
            <v>0</v>
          </cell>
          <cell r="AA2174">
            <v>0</v>
          </cell>
          <cell r="AB2174">
            <v>0</v>
          </cell>
          <cell r="AC2174">
            <v>0</v>
          </cell>
          <cell r="AD2174">
            <v>42</v>
          </cell>
          <cell r="AE2174">
            <v>133100</v>
          </cell>
          <cell r="AF2174">
            <v>0</v>
          </cell>
          <cell r="AI2174">
            <v>2282</v>
          </cell>
          <cell r="AK2174">
            <v>0</v>
          </cell>
          <cell r="AM2174">
            <v>375</v>
          </cell>
          <cell r="AN2174">
            <v>1</v>
          </cell>
          <cell r="AO2174">
            <v>393216</v>
          </cell>
          <cell r="AQ2174">
            <v>0</v>
          </cell>
          <cell r="AR2174">
            <v>0</v>
          </cell>
          <cell r="AS2174" t="str">
            <v>Ы</v>
          </cell>
          <cell r="AT2174" t="str">
            <v>Ы</v>
          </cell>
          <cell r="AU2174">
            <v>0</v>
          </cell>
          <cell r="AV2174">
            <v>0</v>
          </cell>
          <cell r="AW2174">
            <v>23</v>
          </cell>
          <cell r="AX2174">
            <v>1</v>
          </cell>
          <cell r="AY2174">
            <v>0</v>
          </cell>
          <cell r="AZ2174">
            <v>0</v>
          </cell>
          <cell r="BA2174">
            <v>0</v>
          </cell>
          <cell r="BB2174">
            <v>0</v>
          </cell>
          <cell r="BC2174">
            <v>38828</v>
          </cell>
        </row>
        <row r="2175">
          <cell r="A2175">
            <v>2006</v>
          </cell>
          <cell r="B2175">
            <v>3</v>
          </cell>
          <cell r="C2175">
            <v>219</v>
          </cell>
          <cell r="D2175">
            <v>21</v>
          </cell>
          <cell r="E2175">
            <v>792020</v>
          </cell>
          <cell r="F2175">
            <v>0</v>
          </cell>
          <cell r="G2175" t="str">
            <v>Затраты по ШПЗ (основные)</v>
          </cell>
          <cell r="H2175">
            <v>2011</v>
          </cell>
          <cell r="I2175">
            <v>7920</v>
          </cell>
          <cell r="J2175">
            <v>10414600.02</v>
          </cell>
          <cell r="K2175">
            <v>1</v>
          </cell>
          <cell r="L2175">
            <v>0</v>
          </cell>
          <cell r="M2175">
            <v>0</v>
          </cell>
          <cell r="N2175">
            <v>0</v>
          </cell>
          <cell r="R2175">
            <v>0</v>
          </cell>
          <cell r="S2175">
            <v>0</v>
          </cell>
          <cell r="T2175">
            <v>0</v>
          </cell>
          <cell r="U2175">
            <v>42</v>
          </cell>
          <cell r="V2175">
            <v>0</v>
          </cell>
          <cell r="W2175">
            <v>0</v>
          </cell>
          <cell r="AA2175">
            <v>0</v>
          </cell>
          <cell r="AB2175">
            <v>0</v>
          </cell>
          <cell r="AC2175">
            <v>0</v>
          </cell>
          <cell r="AD2175">
            <v>42</v>
          </cell>
          <cell r="AE2175">
            <v>133200</v>
          </cell>
          <cell r="AF2175">
            <v>0</v>
          </cell>
          <cell r="AI2175">
            <v>2282</v>
          </cell>
          <cell r="AK2175">
            <v>0</v>
          </cell>
          <cell r="AM2175">
            <v>376</v>
          </cell>
          <cell r="AN2175">
            <v>1</v>
          </cell>
          <cell r="AO2175">
            <v>393216</v>
          </cell>
          <cell r="AQ2175">
            <v>0</v>
          </cell>
          <cell r="AR2175">
            <v>0</v>
          </cell>
          <cell r="AS2175" t="str">
            <v>Ы</v>
          </cell>
          <cell r="AT2175" t="str">
            <v>Ы</v>
          </cell>
          <cell r="AU2175">
            <v>0</v>
          </cell>
          <cell r="AV2175">
            <v>0</v>
          </cell>
          <cell r="AW2175">
            <v>23</v>
          </cell>
          <cell r="AX2175">
            <v>1</v>
          </cell>
          <cell r="AY2175">
            <v>0</v>
          </cell>
          <cell r="AZ2175">
            <v>0</v>
          </cell>
          <cell r="BA2175">
            <v>0</v>
          </cell>
          <cell r="BB2175">
            <v>0</v>
          </cell>
          <cell r="BC2175">
            <v>38828</v>
          </cell>
        </row>
        <row r="2176">
          <cell r="A2176">
            <v>2006</v>
          </cell>
          <cell r="B2176">
            <v>3</v>
          </cell>
          <cell r="C2176">
            <v>220</v>
          </cell>
          <cell r="D2176">
            <v>21</v>
          </cell>
          <cell r="E2176">
            <v>792020</v>
          </cell>
          <cell r="F2176">
            <v>0</v>
          </cell>
          <cell r="G2176" t="str">
            <v>Затраты по ШПЗ (основные)</v>
          </cell>
          <cell r="H2176">
            <v>2011</v>
          </cell>
          <cell r="I2176">
            <v>7920</v>
          </cell>
          <cell r="J2176">
            <v>32776.699999999997</v>
          </cell>
          <cell r="K2176">
            <v>1</v>
          </cell>
          <cell r="L2176">
            <v>0</v>
          </cell>
          <cell r="M2176">
            <v>0</v>
          </cell>
          <cell r="N2176">
            <v>0</v>
          </cell>
          <cell r="R2176">
            <v>0</v>
          </cell>
          <cell r="S2176">
            <v>0</v>
          </cell>
          <cell r="T2176">
            <v>0</v>
          </cell>
          <cell r="U2176">
            <v>42</v>
          </cell>
          <cell r="V2176">
            <v>0</v>
          </cell>
          <cell r="W2176">
            <v>0</v>
          </cell>
          <cell r="AA2176">
            <v>0</v>
          </cell>
          <cell r="AB2176">
            <v>0</v>
          </cell>
          <cell r="AC2176">
            <v>0</v>
          </cell>
          <cell r="AD2176">
            <v>42</v>
          </cell>
          <cell r="AE2176">
            <v>135000</v>
          </cell>
          <cell r="AF2176">
            <v>0</v>
          </cell>
          <cell r="AI2176">
            <v>2282</v>
          </cell>
          <cell r="AK2176">
            <v>0</v>
          </cell>
          <cell r="AM2176">
            <v>377</v>
          </cell>
          <cell r="AN2176">
            <v>1</v>
          </cell>
          <cell r="AO2176">
            <v>393216</v>
          </cell>
          <cell r="AQ2176">
            <v>0</v>
          </cell>
          <cell r="AR2176">
            <v>0</v>
          </cell>
          <cell r="AS2176" t="str">
            <v>Ы</v>
          </cell>
          <cell r="AT2176" t="str">
            <v>Ы</v>
          </cell>
          <cell r="AU2176">
            <v>0</v>
          </cell>
          <cell r="AV2176">
            <v>0</v>
          </cell>
          <cell r="AW2176">
            <v>23</v>
          </cell>
          <cell r="AX2176">
            <v>1</v>
          </cell>
          <cell r="AY2176">
            <v>0</v>
          </cell>
          <cell r="AZ2176">
            <v>0</v>
          </cell>
          <cell r="BA2176">
            <v>0</v>
          </cell>
          <cell r="BB2176">
            <v>0</v>
          </cell>
          <cell r="BC2176">
            <v>38828</v>
          </cell>
        </row>
        <row r="2177">
          <cell r="A2177">
            <v>2006</v>
          </cell>
          <cell r="B2177">
            <v>3</v>
          </cell>
          <cell r="C2177">
            <v>221</v>
          </cell>
          <cell r="D2177">
            <v>21</v>
          </cell>
          <cell r="E2177">
            <v>792020</v>
          </cell>
          <cell r="F2177">
            <v>0</v>
          </cell>
          <cell r="G2177" t="str">
            <v>Затраты по ШПЗ (основные)</v>
          </cell>
          <cell r="H2177">
            <v>2011</v>
          </cell>
          <cell r="I2177">
            <v>7920</v>
          </cell>
          <cell r="J2177">
            <v>1145577.8700000001</v>
          </cell>
          <cell r="K2177">
            <v>1</v>
          </cell>
          <cell r="L2177">
            <v>0</v>
          </cell>
          <cell r="M2177">
            <v>0</v>
          </cell>
          <cell r="N2177">
            <v>0</v>
          </cell>
          <cell r="R2177">
            <v>0</v>
          </cell>
          <cell r="S2177">
            <v>0</v>
          </cell>
          <cell r="T2177">
            <v>0</v>
          </cell>
          <cell r="U2177">
            <v>42</v>
          </cell>
          <cell r="V2177">
            <v>0</v>
          </cell>
          <cell r="W2177">
            <v>0</v>
          </cell>
          <cell r="AA2177">
            <v>0</v>
          </cell>
          <cell r="AB2177">
            <v>0</v>
          </cell>
          <cell r="AC2177">
            <v>0</v>
          </cell>
          <cell r="AD2177">
            <v>42</v>
          </cell>
          <cell r="AE2177">
            <v>143000</v>
          </cell>
          <cell r="AF2177">
            <v>0</v>
          </cell>
          <cell r="AI2177">
            <v>2282</v>
          </cell>
          <cell r="AK2177">
            <v>0</v>
          </cell>
          <cell r="AM2177">
            <v>378</v>
          </cell>
          <cell r="AN2177">
            <v>1</v>
          </cell>
          <cell r="AO2177">
            <v>393216</v>
          </cell>
          <cell r="AQ2177">
            <v>0</v>
          </cell>
          <cell r="AR2177">
            <v>0</v>
          </cell>
          <cell r="AS2177" t="str">
            <v>Ы</v>
          </cell>
          <cell r="AT2177" t="str">
            <v>Ы</v>
          </cell>
          <cell r="AU2177">
            <v>0</v>
          </cell>
          <cell r="AV2177">
            <v>0</v>
          </cell>
          <cell r="AW2177">
            <v>23</v>
          </cell>
          <cell r="AX2177">
            <v>1</v>
          </cell>
          <cell r="AY2177">
            <v>0</v>
          </cell>
          <cell r="AZ2177">
            <v>0</v>
          </cell>
          <cell r="BA2177">
            <v>0</v>
          </cell>
          <cell r="BB2177">
            <v>0</v>
          </cell>
          <cell r="BC2177">
            <v>38828</v>
          </cell>
        </row>
        <row r="2178">
          <cell r="A2178">
            <v>2006</v>
          </cell>
          <cell r="B2178">
            <v>3</v>
          </cell>
          <cell r="C2178">
            <v>222</v>
          </cell>
          <cell r="D2178">
            <v>21</v>
          </cell>
          <cell r="E2178">
            <v>792020</v>
          </cell>
          <cell r="F2178">
            <v>0</v>
          </cell>
          <cell r="G2178" t="str">
            <v>Затраты по ШПЗ (основные)</v>
          </cell>
          <cell r="H2178">
            <v>2011</v>
          </cell>
          <cell r="I2178">
            <v>7920</v>
          </cell>
          <cell r="J2178">
            <v>356143.87</v>
          </cell>
          <cell r="K2178">
            <v>1</v>
          </cell>
          <cell r="L2178">
            <v>0</v>
          </cell>
          <cell r="M2178">
            <v>0</v>
          </cell>
          <cell r="N2178">
            <v>0</v>
          </cell>
          <cell r="R2178">
            <v>0</v>
          </cell>
          <cell r="S2178">
            <v>0</v>
          </cell>
          <cell r="T2178">
            <v>0</v>
          </cell>
          <cell r="U2178">
            <v>42</v>
          </cell>
          <cell r="V2178">
            <v>0</v>
          </cell>
          <cell r="W2178">
            <v>0</v>
          </cell>
          <cell r="AA2178">
            <v>0</v>
          </cell>
          <cell r="AB2178">
            <v>0</v>
          </cell>
          <cell r="AC2178">
            <v>0</v>
          </cell>
          <cell r="AD2178">
            <v>42</v>
          </cell>
          <cell r="AE2178">
            <v>151000</v>
          </cell>
          <cell r="AF2178">
            <v>0</v>
          </cell>
          <cell r="AI2178">
            <v>2282</v>
          </cell>
          <cell r="AK2178">
            <v>0</v>
          </cell>
          <cell r="AM2178">
            <v>379</v>
          </cell>
          <cell r="AN2178">
            <v>1</v>
          </cell>
          <cell r="AO2178">
            <v>393216</v>
          </cell>
          <cell r="AQ2178">
            <v>0</v>
          </cell>
          <cell r="AR2178">
            <v>0</v>
          </cell>
          <cell r="AS2178" t="str">
            <v>Ы</v>
          </cell>
          <cell r="AT2178" t="str">
            <v>Ы</v>
          </cell>
          <cell r="AU2178">
            <v>0</v>
          </cell>
          <cell r="AV2178">
            <v>0</v>
          </cell>
          <cell r="AW2178">
            <v>23</v>
          </cell>
          <cell r="AX2178">
            <v>1</v>
          </cell>
          <cell r="AY2178">
            <v>0</v>
          </cell>
          <cell r="AZ2178">
            <v>0</v>
          </cell>
          <cell r="BA2178">
            <v>0</v>
          </cell>
          <cell r="BB2178">
            <v>0</v>
          </cell>
          <cell r="BC2178">
            <v>38828</v>
          </cell>
        </row>
        <row r="2179">
          <cell r="A2179">
            <v>2006</v>
          </cell>
          <cell r="B2179">
            <v>3</v>
          </cell>
          <cell r="C2179">
            <v>223</v>
          </cell>
          <cell r="D2179">
            <v>21</v>
          </cell>
          <cell r="E2179">
            <v>792020</v>
          </cell>
          <cell r="F2179">
            <v>0</v>
          </cell>
          <cell r="G2179" t="str">
            <v>Затраты по ШПЗ (основные)</v>
          </cell>
          <cell r="H2179">
            <v>2011</v>
          </cell>
          <cell r="I2179">
            <v>7920</v>
          </cell>
          <cell r="J2179">
            <v>727461.24</v>
          </cell>
          <cell r="K2179">
            <v>1</v>
          </cell>
          <cell r="L2179">
            <v>0</v>
          </cell>
          <cell r="M2179">
            <v>0</v>
          </cell>
          <cell r="N2179">
            <v>0</v>
          </cell>
          <cell r="R2179">
            <v>0</v>
          </cell>
          <cell r="S2179">
            <v>0</v>
          </cell>
          <cell r="T2179">
            <v>0</v>
          </cell>
          <cell r="U2179">
            <v>42</v>
          </cell>
          <cell r="V2179">
            <v>0</v>
          </cell>
          <cell r="W2179">
            <v>0</v>
          </cell>
          <cell r="AA2179">
            <v>0</v>
          </cell>
          <cell r="AB2179">
            <v>0</v>
          </cell>
          <cell r="AC2179">
            <v>0</v>
          </cell>
          <cell r="AD2179">
            <v>42</v>
          </cell>
          <cell r="AE2179">
            <v>152000</v>
          </cell>
          <cell r="AF2179">
            <v>0</v>
          </cell>
          <cell r="AI2179">
            <v>2282</v>
          </cell>
          <cell r="AK2179">
            <v>0</v>
          </cell>
          <cell r="AM2179">
            <v>380</v>
          </cell>
          <cell r="AN2179">
            <v>1</v>
          </cell>
          <cell r="AO2179">
            <v>393216</v>
          </cell>
          <cell r="AQ2179">
            <v>0</v>
          </cell>
          <cell r="AR2179">
            <v>0</v>
          </cell>
          <cell r="AS2179" t="str">
            <v>Ы</v>
          </cell>
          <cell r="AT2179" t="str">
            <v>Ы</v>
          </cell>
          <cell r="AU2179">
            <v>0</v>
          </cell>
          <cell r="AV2179">
            <v>0</v>
          </cell>
          <cell r="AW2179">
            <v>23</v>
          </cell>
          <cell r="AX2179">
            <v>1</v>
          </cell>
          <cell r="AY2179">
            <v>0</v>
          </cell>
          <cell r="AZ2179">
            <v>0</v>
          </cell>
          <cell r="BA2179">
            <v>0</v>
          </cell>
          <cell r="BB2179">
            <v>0</v>
          </cell>
          <cell r="BC2179">
            <v>38828</v>
          </cell>
        </row>
        <row r="2180">
          <cell r="A2180">
            <v>2006</v>
          </cell>
          <cell r="B2180">
            <v>3</v>
          </cell>
          <cell r="C2180">
            <v>224</v>
          </cell>
          <cell r="D2180">
            <v>21</v>
          </cell>
          <cell r="E2180">
            <v>792020</v>
          </cell>
          <cell r="F2180">
            <v>0</v>
          </cell>
          <cell r="G2180" t="str">
            <v>Затраты по ШПЗ (основные)</v>
          </cell>
          <cell r="H2180">
            <v>2011</v>
          </cell>
          <cell r="I2180">
            <v>7920</v>
          </cell>
          <cell r="J2180">
            <v>7192093.1100000003</v>
          </cell>
          <cell r="K2180">
            <v>1</v>
          </cell>
          <cell r="L2180">
            <v>0</v>
          </cell>
          <cell r="M2180">
            <v>0</v>
          </cell>
          <cell r="N2180">
            <v>0</v>
          </cell>
          <cell r="R2180">
            <v>0</v>
          </cell>
          <cell r="S2180">
            <v>0</v>
          </cell>
          <cell r="T2180">
            <v>0</v>
          </cell>
          <cell r="U2180">
            <v>42</v>
          </cell>
          <cell r="V2180">
            <v>0</v>
          </cell>
          <cell r="W2180">
            <v>0</v>
          </cell>
          <cell r="AA2180">
            <v>0</v>
          </cell>
          <cell r="AB2180">
            <v>0</v>
          </cell>
          <cell r="AC2180">
            <v>0</v>
          </cell>
          <cell r="AD2180">
            <v>42</v>
          </cell>
          <cell r="AE2180">
            <v>220000</v>
          </cell>
          <cell r="AF2180">
            <v>0</v>
          </cell>
          <cell r="AI2180">
            <v>2282</v>
          </cell>
          <cell r="AK2180">
            <v>0</v>
          </cell>
          <cell r="AM2180">
            <v>381</v>
          </cell>
          <cell r="AN2180">
            <v>1</v>
          </cell>
          <cell r="AO2180">
            <v>393216</v>
          </cell>
          <cell r="AQ2180">
            <v>0</v>
          </cell>
          <cell r="AR2180">
            <v>0</v>
          </cell>
          <cell r="AS2180" t="str">
            <v>Ы</v>
          </cell>
          <cell r="AT2180" t="str">
            <v>Ы</v>
          </cell>
          <cell r="AU2180">
            <v>0</v>
          </cell>
          <cell r="AV2180">
            <v>0</v>
          </cell>
          <cell r="AW2180">
            <v>23</v>
          </cell>
          <cell r="AX2180">
            <v>1</v>
          </cell>
          <cell r="AY2180">
            <v>0</v>
          </cell>
          <cell r="AZ2180">
            <v>0</v>
          </cell>
          <cell r="BA2180">
            <v>0</v>
          </cell>
          <cell r="BB2180">
            <v>0</v>
          </cell>
          <cell r="BC2180">
            <v>38828</v>
          </cell>
        </row>
        <row r="2181">
          <cell r="A2181">
            <v>2006</v>
          </cell>
          <cell r="B2181">
            <v>3</v>
          </cell>
          <cell r="C2181">
            <v>225</v>
          </cell>
          <cell r="D2181">
            <v>21</v>
          </cell>
          <cell r="E2181">
            <v>792020</v>
          </cell>
          <cell r="F2181">
            <v>0</v>
          </cell>
          <cell r="G2181" t="str">
            <v>Затраты по ШПЗ (основные)</v>
          </cell>
          <cell r="H2181">
            <v>2011</v>
          </cell>
          <cell r="I2181">
            <v>7920</v>
          </cell>
          <cell r="J2181">
            <v>3773963.83</v>
          </cell>
          <cell r="K2181">
            <v>1</v>
          </cell>
          <cell r="L2181">
            <v>0</v>
          </cell>
          <cell r="M2181">
            <v>0</v>
          </cell>
          <cell r="N2181">
            <v>0</v>
          </cell>
          <cell r="R2181">
            <v>0</v>
          </cell>
          <cell r="S2181">
            <v>0</v>
          </cell>
          <cell r="T2181">
            <v>0</v>
          </cell>
          <cell r="U2181">
            <v>42</v>
          </cell>
          <cell r="V2181">
            <v>0</v>
          </cell>
          <cell r="W2181">
            <v>0</v>
          </cell>
          <cell r="AA2181">
            <v>0</v>
          </cell>
          <cell r="AB2181">
            <v>0</v>
          </cell>
          <cell r="AC2181">
            <v>0</v>
          </cell>
          <cell r="AD2181">
            <v>42</v>
          </cell>
          <cell r="AE2181">
            <v>230000</v>
          </cell>
          <cell r="AF2181">
            <v>0</v>
          </cell>
          <cell r="AI2181">
            <v>2282</v>
          </cell>
          <cell r="AK2181">
            <v>0</v>
          </cell>
          <cell r="AM2181">
            <v>382</v>
          </cell>
          <cell r="AN2181">
            <v>1</v>
          </cell>
          <cell r="AO2181">
            <v>393216</v>
          </cell>
          <cell r="AQ2181">
            <v>0</v>
          </cell>
          <cell r="AR2181">
            <v>0</v>
          </cell>
          <cell r="AS2181" t="str">
            <v>Ы</v>
          </cell>
          <cell r="AT2181" t="str">
            <v>Ы</v>
          </cell>
          <cell r="AU2181">
            <v>0</v>
          </cell>
          <cell r="AV2181">
            <v>0</v>
          </cell>
          <cell r="AW2181">
            <v>23</v>
          </cell>
          <cell r="AX2181">
            <v>1</v>
          </cell>
          <cell r="AY2181">
            <v>0</v>
          </cell>
          <cell r="AZ2181">
            <v>0</v>
          </cell>
          <cell r="BA2181">
            <v>0</v>
          </cell>
          <cell r="BB2181">
            <v>0</v>
          </cell>
          <cell r="BC2181">
            <v>38828</v>
          </cell>
        </row>
        <row r="2182">
          <cell r="A2182">
            <v>2006</v>
          </cell>
          <cell r="B2182">
            <v>3</v>
          </cell>
          <cell r="C2182">
            <v>226</v>
          </cell>
          <cell r="D2182">
            <v>21</v>
          </cell>
          <cell r="E2182">
            <v>792020</v>
          </cell>
          <cell r="F2182">
            <v>0</v>
          </cell>
          <cell r="G2182" t="str">
            <v>Затраты по ШПЗ (основные)</v>
          </cell>
          <cell r="H2182">
            <v>2011</v>
          </cell>
          <cell r="I2182">
            <v>7920</v>
          </cell>
          <cell r="J2182">
            <v>570463.51</v>
          </cell>
          <cell r="K2182">
            <v>1</v>
          </cell>
          <cell r="L2182">
            <v>0</v>
          </cell>
          <cell r="M2182">
            <v>0</v>
          </cell>
          <cell r="N2182">
            <v>0</v>
          </cell>
          <cell r="R2182">
            <v>0</v>
          </cell>
          <cell r="S2182">
            <v>0</v>
          </cell>
          <cell r="T2182">
            <v>0</v>
          </cell>
          <cell r="U2182">
            <v>42</v>
          </cell>
          <cell r="V2182">
            <v>0</v>
          </cell>
          <cell r="W2182">
            <v>0</v>
          </cell>
          <cell r="AA2182">
            <v>0</v>
          </cell>
          <cell r="AB2182">
            <v>0</v>
          </cell>
          <cell r="AC2182">
            <v>0</v>
          </cell>
          <cell r="AD2182">
            <v>42</v>
          </cell>
          <cell r="AE2182">
            <v>260000</v>
          </cell>
          <cell r="AF2182">
            <v>0</v>
          </cell>
          <cell r="AI2182">
            <v>2282</v>
          </cell>
          <cell r="AK2182">
            <v>0</v>
          </cell>
          <cell r="AM2182">
            <v>383</v>
          </cell>
          <cell r="AN2182">
            <v>1</v>
          </cell>
          <cell r="AO2182">
            <v>393216</v>
          </cell>
          <cell r="AQ2182">
            <v>0</v>
          </cell>
          <cell r="AR2182">
            <v>0</v>
          </cell>
          <cell r="AS2182" t="str">
            <v>Ы</v>
          </cell>
          <cell r="AT2182" t="str">
            <v>Ы</v>
          </cell>
          <cell r="AU2182">
            <v>0</v>
          </cell>
          <cell r="AV2182">
            <v>0</v>
          </cell>
          <cell r="AW2182">
            <v>23</v>
          </cell>
          <cell r="AX2182">
            <v>1</v>
          </cell>
          <cell r="AY2182">
            <v>0</v>
          </cell>
          <cell r="AZ2182">
            <v>0</v>
          </cell>
          <cell r="BA2182">
            <v>0</v>
          </cell>
          <cell r="BB2182">
            <v>0</v>
          </cell>
          <cell r="BC2182">
            <v>38828</v>
          </cell>
        </row>
        <row r="2183">
          <cell r="A2183">
            <v>2006</v>
          </cell>
          <cell r="B2183">
            <v>3</v>
          </cell>
          <cell r="C2183">
            <v>227</v>
          </cell>
          <cell r="D2183">
            <v>21</v>
          </cell>
          <cell r="E2183">
            <v>792020</v>
          </cell>
          <cell r="F2183">
            <v>0</v>
          </cell>
          <cell r="G2183" t="str">
            <v>Затраты по ШПЗ (основные)</v>
          </cell>
          <cell r="H2183">
            <v>2011</v>
          </cell>
          <cell r="I2183">
            <v>7920</v>
          </cell>
          <cell r="J2183">
            <v>929454.17</v>
          </cell>
          <cell r="K2183">
            <v>1</v>
          </cell>
          <cell r="L2183">
            <v>0</v>
          </cell>
          <cell r="M2183">
            <v>0</v>
          </cell>
          <cell r="N2183">
            <v>0</v>
          </cell>
          <cell r="R2183">
            <v>0</v>
          </cell>
          <cell r="S2183">
            <v>0</v>
          </cell>
          <cell r="T2183">
            <v>0</v>
          </cell>
          <cell r="U2183">
            <v>42</v>
          </cell>
          <cell r="V2183">
            <v>0</v>
          </cell>
          <cell r="W2183">
            <v>0</v>
          </cell>
          <cell r="AA2183">
            <v>0</v>
          </cell>
          <cell r="AB2183">
            <v>0</v>
          </cell>
          <cell r="AC2183">
            <v>0</v>
          </cell>
          <cell r="AD2183">
            <v>42</v>
          </cell>
          <cell r="AE2183">
            <v>270000</v>
          </cell>
          <cell r="AF2183">
            <v>0</v>
          </cell>
          <cell r="AI2183">
            <v>2282</v>
          </cell>
          <cell r="AK2183">
            <v>0</v>
          </cell>
          <cell r="AM2183">
            <v>384</v>
          </cell>
          <cell r="AN2183">
            <v>1</v>
          </cell>
          <cell r="AO2183">
            <v>393216</v>
          </cell>
          <cell r="AQ2183">
            <v>0</v>
          </cell>
          <cell r="AR2183">
            <v>0</v>
          </cell>
          <cell r="AS2183" t="str">
            <v>Ы</v>
          </cell>
          <cell r="AT2183" t="str">
            <v>Ы</v>
          </cell>
          <cell r="AU2183">
            <v>0</v>
          </cell>
          <cell r="AV2183">
            <v>0</v>
          </cell>
          <cell r="AW2183">
            <v>23</v>
          </cell>
          <cell r="AX2183">
            <v>1</v>
          </cell>
          <cell r="AY2183">
            <v>0</v>
          </cell>
          <cell r="AZ2183">
            <v>0</v>
          </cell>
          <cell r="BA2183">
            <v>0</v>
          </cell>
          <cell r="BB2183">
            <v>0</v>
          </cell>
          <cell r="BC2183">
            <v>38828</v>
          </cell>
        </row>
        <row r="2184">
          <cell r="A2184">
            <v>2006</v>
          </cell>
          <cell r="B2184">
            <v>3</v>
          </cell>
          <cell r="C2184">
            <v>228</v>
          </cell>
          <cell r="D2184">
            <v>21</v>
          </cell>
          <cell r="E2184">
            <v>792020</v>
          </cell>
          <cell r="F2184">
            <v>0</v>
          </cell>
          <cell r="G2184" t="str">
            <v>Затраты по ШПЗ (основные)</v>
          </cell>
          <cell r="H2184">
            <v>2011</v>
          </cell>
          <cell r="I2184">
            <v>7920</v>
          </cell>
          <cell r="J2184">
            <v>57726.19</v>
          </cell>
          <cell r="K2184">
            <v>1</v>
          </cell>
          <cell r="L2184">
            <v>0</v>
          </cell>
          <cell r="M2184">
            <v>0</v>
          </cell>
          <cell r="N2184">
            <v>0</v>
          </cell>
          <cell r="R2184">
            <v>0</v>
          </cell>
          <cell r="S2184">
            <v>0</v>
          </cell>
          <cell r="T2184">
            <v>0</v>
          </cell>
          <cell r="U2184">
            <v>42</v>
          </cell>
          <cell r="V2184">
            <v>0</v>
          </cell>
          <cell r="W2184">
            <v>0</v>
          </cell>
          <cell r="AA2184">
            <v>0</v>
          </cell>
          <cell r="AB2184">
            <v>0</v>
          </cell>
          <cell r="AC2184">
            <v>0</v>
          </cell>
          <cell r="AD2184">
            <v>42</v>
          </cell>
          <cell r="AE2184">
            <v>280000</v>
          </cell>
          <cell r="AF2184">
            <v>0</v>
          </cell>
          <cell r="AI2184">
            <v>2282</v>
          </cell>
          <cell r="AK2184">
            <v>0</v>
          </cell>
          <cell r="AM2184">
            <v>385</v>
          </cell>
          <cell r="AN2184">
            <v>1</v>
          </cell>
          <cell r="AO2184">
            <v>393216</v>
          </cell>
          <cell r="AQ2184">
            <v>0</v>
          </cell>
          <cell r="AR2184">
            <v>0</v>
          </cell>
          <cell r="AS2184" t="str">
            <v>Ы</v>
          </cell>
          <cell r="AT2184" t="str">
            <v>Ы</v>
          </cell>
          <cell r="AU2184">
            <v>0</v>
          </cell>
          <cell r="AV2184">
            <v>0</v>
          </cell>
          <cell r="AW2184">
            <v>23</v>
          </cell>
          <cell r="AX2184">
            <v>1</v>
          </cell>
          <cell r="AY2184">
            <v>0</v>
          </cell>
          <cell r="AZ2184">
            <v>0</v>
          </cell>
          <cell r="BA2184">
            <v>0</v>
          </cell>
          <cell r="BB2184">
            <v>0</v>
          </cell>
          <cell r="BC2184">
            <v>38828</v>
          </cell>
        </row>
        <row r="2185">
          <cell r="A2185">
            <v>2006</v>
          </cell>
          <cell r="B2185">
            <v>3</v>
          </cell>
          <cell r="C2185">
            <v>229</v>
          </cell>
          <cell r="D2185">
            <v>21</v>
          </cell>
          <cell r="E2185">
            <v>792020</v>
          </cell>
          <cell r="F2185">
            <v>0</v>
          </cell>
          <cell r="G2185" t="str">
            <v>Затраты по ШПЗ (основные)</v>
          </cell>
          <cell r="H2185">
            <v>2011</v>
          </cell>
          <cell r="I2185">
            <v>7920</v>
          </cell>
          <cell r="J2185">
            <v>321914.96999999997</v>
          </cell>
          <cell r="K2185">
            <v>1</v>
          </cell>
          <cell r="L2185">
            <v>0</v>
          </cell>
          <cell r="M2185">
            <v>0</v>
          </cell>
          <cell r="N2185">
            <v>0</v>
          </cell>
          <cell r="R2185">
            <v>0</v>
          </cell>
          <cell r="S2185">
            <v>0</v>
          </cell>
          <cell r="T2185">
            <v>0</v>
          </cell>
          <cell r="U2185">
            <v>42</v>
          </cell>
          <cell r="V2185">
            <v>0</v>
          </cell>
          <cell r="W2185">
            <v>0</v>
          </cell>
          <cell r="AA2185">
            <v>0</v>
          </cell>
          <cell r="AB2185">
            <v>0</v>
          </cell>
          <cell r="AC2185">
            <v>0</v>
          </cell>
          <cell r="AD2185">
            <v>42</v>
          </cell>
          <cell r="AE2185">
            <v>280100</v>
          </cell>
          <cell r="AF2185">
            <v>0</v>
          </cell>
          <cell r="AI2185">
            <v>2282</v>
          </cell>
          <cell r="AK2185">
            <v>0</v>
          </cell>
          <cell r="AM2185">
            <v>386</v>
          </cell>
          <cell r="AN2185">
            <v>1</v>
          </cell>
          <cell r="AO2185">
            <v>393216</v>
          </cell>
          <cell r="AQ2185">
            <v>0</v>
          </cell>
          <cell r="AR2185">
            <v>0</v>
          </cell>
          <cell r="AS2185" t="str">
            <v>Ы</v>
          </cell>
          <cell r="AT2185" t="str">
            <v>Ы</v>
          </cell>
          <cell r="AU2185">
            <v>0</v>
          </cell>
          <cell r="AV2185">
            <v>0</v>
          </cell>
          <cell r="AW2185">
            <v>23</v>
          </cell>
          <cell r="AX2185">
            <v>1</v>
          </cell>
          <cell r="AY2185">
            <v>0</v>
          </cell>
          <cell r="AZ2185">
            <v>0</v>
          </cell>
          <cell r="BA2185">
            <v>0</v>
          </cell>
          <cell r="BB2185">
            <v>0</v>
          </cell>
          <cell r="BC2185">
            <v>38828</v>
          </cell>
        </row>
        <row r="2186">
          <cell r="A2186">
            <v>2006</v>
          </cell>
          <cell r="B2186">
            <v>3</v>
          </cell>
          <cell r="C2186">
            <v>230</v>
          </cell>
          <cell r="D2186">
            <v>21</v>
          </cell>
          <cell r="E2186">
            <v>792020</v>
          </cell>
          <cell r="F2186">
            <v>0</v>
          </cell>
          <cell r="G2186" t="str">
            <v>Затраты по ШПЗ (основные)</v>
          </cell>
          <cell r="H2186">
            <v>2011</v>
          </cell>
          <cell r="I2186">
            <v>7920</v>
          </cell>
          <cell r="J2186">
            <v>41843.949999999997</v>
          </cell>
          <cell r="K2186">
            <v>1</v>
          </cell>
          <cell r="L2186">
            <v>0</v>
          </cell>
          <cell r="M2186">
            <v>0</v>
          </cell>
          <cell r="N2186">
            <v>0</v>
          </cell>
          <cell r="R2186">
            <v>0</v>
          </cell>
          <cell r="S2186">
            <v>0</v>
          </cell>
          <cell r="T2186">
            <v>0</v>
          </cell>
          <cell r="U2186">
            <v>42</v>
          </cell>
          <cell r="V2186">
            <v>0</v>
          </cell>
          <cell r="W2186">
            <v>0</v>
          </cell>
          <cell r="AA2186">
            <v>0</v>
          </cell>
          <cell r="AB2186">
            <v>0</v>
          </cell>
          <cell r="AC2186">
            <v>0</v>
          </cell>
          <cell r="AD2186">
            <v>42</v>
          </cell>
          <cell r="AE2186">
            <v>280200</v>
          </cell>
          <cell r="AF2186">
            <v>0</v>
          </cell>
          <cell r="AI2186">
            <v>2282</v>
          </cell>
          <cell r="AK2186">
            <v>0</v>
          </cell>
          <cell r="AM2186">
            <v>387</v>
          </cell>
          <cell r="AN2186">
            <v>1</v>
          </cell>
          <cell r="AO2186">
            <v>393216</v>
          </cell>
          <cell r="AQ2186">
            <v>0</v>
          </cell>
          <cell r="AR2186">
            <v>0</v>
          </cell>
          <cell r="AS2186" t="str">
            <v>Ы</v>
          </cell>
          <cell r="AT2186" t="str">
            <v>Ы</v>
          </cell>
          <cell r="AU2186">
            <v>0</v>
          </cell>
          <cell r="AV2186">
            <v>0</v>
          </cell>
          <cell r="AW2186">
            <v>23</v>
          </cell>
          <cell r="AX2186">
            <v>1</v>
          </cell>
          <cell r="AY2186">
            <v>0</v>
          </cell>
          <cell r="AZ2186">
            <v>0</v>
          </cell>
          <cell r="BA2186">
            <v>0</v>
          </cell>
          <cell r="BB2186">
            <v>0</v>
          </cell>
          <cell r="BC2186">
            <v>38828</v>
          </cell>
        </row>
        <row r="2187">
          <cell r="A2187">
            <v>2006</v>
          </cell>
          <cell r="B2187">
            <v>3</v>
          </cell>
          <cell r="C2187">
            <v>231</v>
          </cell>
          <cell r="D2187">
            <v>21</v>
          </cell>
          <cell r="E2187">
            <v>792020</v>
          </cell>
          <cell r="F2187">
            <v>0</v>
          </cell>
          <cell r="G2187" t="str">
            <v>Затраты по ШПЗ (основные)</v>
          </cell>
          <cell r="H2187">
            <v>2011</v>
          </cell>
          <cell r="I2187">
            <v>7920</v>
          </cell>
          <cell r="J2187">
            <v>563652.56999999995</v>
          </cell>
          <cell r="K2187">
            <v>1</v>
          </cell>
          <cell r="L2187">
            <v>0</v>
          </cell>
          <cell r="M2187">
            <v>0</v>
          </cell>
          <cell r="N2187">
            <v>0</v>
          </cell>
          <cell r="R2187">
            <v>0</v>
          </cell>
          <cell r="S2187">
            <v>0</v>
          </cell>
          <cell r="T2187">
            <v>0</v>
          </cell>
          <cell r="U2187">
            <v>42</v>
          </cell>
          <cell r="V2187">
            <v>0</v>
          </cell>
          <cell r="W2187">
            <v>0</v>
          </cell>
          <cell r="AA2187">
            <v>0</v>
          </cell>
          <cell r="AB2187">
            <v>0</v>
          </cell>
          <cell r="AC2187">
            <v>0</v>
          </cell>
          <cell r="AD2187">
            <v>42</v>
          </cell>
          <cell r="AE2187">
            <v>280400</v>
          </cell>
          <cell r="AF2187">
            <v>0</v>
          </cell>
          <cell r="AI2187">
            <v>2282</v>
          </cell>
          <cell r="AK2187">
            <v>0</v>
          </cell>
          <cell r="AM2187">
            <v>388</v>
          </cell>
          <cell r="AN2187">
            <v>1</v>
          </cell>
          <cell r="AO2187">
            <v>393216</v>
          </cell>
          <cell r="AQ2187">
            <v>0</v>
          </cell>
          <cell r="AR2187">
            <v>0</v>
          </cell>
          <cell r="AS2187" t="str">
            <v>Ы</v>
          </cell>
          <cell r="AT2187" t="str">
            <v>Ы</v>
          </cell>
          <cell r="AU2187">
            <v>0</v>
          </cell>
          <cell r="AV2187">
            <v>0</v>
          </cell>
          <cell r="AW2187">
            <v>23</v>
          </cell>
          <cell r="AX2187">
            <v>1</v>
          </cell>
          <cell r="AY2187">
            <v>0</v>
          </cell>
          <cell r="AZ2187">
            <v>0</v>
          </cell>
          <cell r="BA2187">
            <v>0</v>
          </cell>
          <cell r="BB2187">
            <v>0</v>
          </cell>
          <cell r="BC2187">
            <v>38828</v>
          </cell>
        </row>
        <row r="2188">
          <cell r="A2188">
            <v>2006</v>
          </cell>
          <cell r="B2188">
            <v>3</v>
          </cell>
          <cell r="C2188">
            <v>232</v>
          </cell>
          <cell r="D2188">
            <v>21</v>
          </cell>
          <cell r="E2188">
            <v>792020</v>
          </cell>
          <cell r="F2188">
            <v>0</v>
          </cell>
          <cell r="G2188" t="str">
            <v>Затраты по ШПЗ (основные)</v>
          </cell>
          <cell r="H2188">
            <v>2011</v>
          </cell>
          <cell r="I2188">
            <v>7920</v>
          </cell>
          <cell r="J2188">
            <v>163752.63</v>
          </cell>
          <cell r="K2188">
            <v>1</v>
          </cell>
          <cell r="L2188">
            <v>0</v>
          </cell>
          <cell r="M2188">
            <v>0</v>
          </cell>
          <cell r="N2188">
            <v>0</v>
          </cell>
          <cell r="R2188">
            <v>0</v>
          </cell>
          <cell r="S2188">
            <v>0</v>
          </cell>
          <cell r="T2188">
            <v>0</v>
          </cell>
          <cell r="U2188">
            <v>42</v>
          </cell>
          <cell r="V2188">
            <v>0</v>
          </cell>
          <cell r="W2188">
            <v>0</v>
          </cell>
          <cell r="AA2188">
            <v>0</v>
          </cell>
          <cell r="AB2188">
            <v>0</v>
          </cell>
          <cell r="AC2188">
            <v>0</v>
          </cell>
          <cell r="AD2188">
            <v>42</v>
          </cell>
          <cell r="AE2188">
            <v>281100</v>
          </cell>
          <cell r="AF2188">
            <v>0</v>
          </cell>
          <cell r="AI2188">
            <v>2282</v>
          </cell>
          <cell r="AK2188">
            <v>0</v>
          </cell>
          <cell r="AM2188">
            <v>389</v>
          </cell>
          <cell r="AN2188">
            <v>1</v>
          </cell>
          <cell r="AO2188">
            <v>393216</v>
          </cell>
          <cell r="AQ2188">
            <v>0</v>
          </cell>
          <cell r="AR2188">
            <v>0</v>
          </cell>
          <cell r="AS2188" t="str">
            <v>Ы</v>
          </cell>
          <cell r="AT2188" t="str">
            <v>Ы</v>
          </cell>
          <cell r="AU2188">
            <v>0</v>
          </cell>
          <cell r="AV2188">
            <v>0</v>
          </cell>
          <cell r="AW2188">
            <v>23</v>
          </cell>
          <cell r="AX2188">
            <v>1</v>
          </cell>
          <cell r="AY2188">
            <v>0</v>
          </cell>
          <cell r="AZ2188">
            <v>0</v>
          </cell>
          <cell r="BA2188">
            <v>0</v>
          </cell>
          <cell r="BB2188">
            <v>0</v>
          </cell>
          <cell r="BC2188">
            <v>38828</v>
          </cell>
        </row>
        <row r="2189">
          <cell r="A2189">
            <v>2006</v>
          </cell>
          <cell r="B2189">
            <v>3</v>
          </cell>
          <cell r="C2189">
            <v>233</v>
          </cell>
          <cell r="D2189">
            <v>21</v>
          </cell>
          <cell r="E2189">
            <v>792020</v>
          </cell>
          <cell r="F2189">
            <v>0</v>
          </cell>
          <cell r="G2189" t="str">
            <v>Затраты по ШПЗ (основные)</v>
          </cell>
          <cell r="H2189">
            <v>2011</v>
          </cell>
          <cell r="I2189">
            <v>7920</v>
          </cell>
          <cell r="J2189">
            <v>400</v>
          </cell>
          <cell r="K2189">
            <v>1</v>
          </cell>
          <cell r="L2189">
            <v>0</v>
          </cell>
          <cell r="M2189">
            <v>0</v>
          </cell>
          <cell r="N2189">
            <v>0</v>
          </cell>
          <cell r="R2189">
            <v>0</v>
          </cell>
          <cell r="S2189">
            <v>0</v>
          </cell>
          <cell r="T2189">
            <v>0</v>
          </cell>
          <cell r="U2189">
            <v>42</v>
          </cell>
          <cell r="V2189">
            <v>0</v>
          </cell>
          <cell r="W2189">
            <v>0</v>
          </cell>
          <cell r="AA2189">
            <v>0</v>
          </cell>
          <cell r="AB2189">
            <v>0</v>
          </cell>
          <cell r="AC2189">
            <v>0</v>
          </cell>
          <cell r="AD2189">
            <v>42</v>
          </cell>
          <cell r="AE2189">
            <v>282000</v>
          </cell>
          <cell r="AF2189">
            <v>0</v>
          </cell>
          <cell r="AI2189">
            <v>2282</v>
          </cell>
          <cell r="AK2189">
            <v>0</v>
          </cell>
          <cell r="AM2189">
            <v>390</v>
          </cell>
          <cell r="AN2189">
            <v>1</v>
          </cell>
          <cell r="AO2189">
            <v>393216</v>
          </cell>
          <cell r="AQ2189">
            <v>0</v>
          </cell>
          <cell r="AR2189">
            <v>0</v>
          </cell>
          <cell r="AS2189" t="str">
            <v>Ы</v>
          </cell>
          <cell r="AT2189" t="str">
            <v>Ы</v>
          </cell>
          <cell r="AU2189">
            <v>0</v>
          </cell>
          <cell r="AV2189">
            <v>0</v>
          </cell>
          <cell r="AW2189">
            <v>23</v>
          </cell>
          <cell r="AX2189">
            <v>1</v>
          </cell>
          <cell r="AY2189">
            <v>0</v>
          </cell>
          <cell r="AZ2189">
            <v>0</v>
          </cell>
          <cell r="BA2189">
            <v>0</v>
          </cell>
          <cell r="BB2189">
            <v>0</v>
          </cell>
          <cell r="BC2189">
            <v>38828</v>
          </cell>
        </row>
        <row r="2190">
          <cell r="A2190">
            <v>2006</v>
          </cell>
          <cell r="B2190">
            <v>3</v>
          </cell>
          <cell r="C2190">
            <v>234</v>
          </cell>
          <cell r="D2190">
            <v>21</v>
          </cell>
          <cell r="E2190">
            <v>792020</v>
          </cell>
          <cell r="F2190">
            <v>0</v>
          </cell>
          <cell r="G2190" t="str">
            <v>Затраты по ШПЗ (основные)</v>
          </cell>
          <cell r="H2190">
            <v>2011</v>
          </cell>
          <cell r="I2190">
            <v>7920</v>
          </cell>
          <cell r="J2190">
            <v>55816.33</v>
          </cell>
          <cell r="K2190">
            <v>1</v>
          </cell>
          <cell r="L2190">
            <v>0</v>
          </cell>
          <cell r="M2190">
            <v>0</v>
          </cell>
          <cell r="N2190">
            <v>0</v>
          </cell>
          <cell r="R2190">
            <v>0</v>
          </cell>
          <cell r="S2190">
            <v>0</v>
          </cell>
          <cell r="T2190">
            <v>0</v>
          </cell>
          <cell r="U2190">
            <v>42</v>
          </cell>
          <cell r="V2190">
            <v>0</v>
          </cell>
          <cell r="W2190">
            <v>0</v>
          </cell>
          <cell r="AA2190">
            <v>0</v>
          </cell>
          <cell r="AB2190">
            <v>0</v>
          </cell>
          <cell r="AC2190">
            <v>0</v>
          </cell>
          <cell r="AD2190">
            <v>42</v>
          </cell>
          <cell r="AE2190">
            <v>282200</v>
          </cell>
          <cell r="AF2190">
            <v>0</v>
          </cell>
          <cell r="AI2190">
            <v>2282</v>
          </cell>
          <cell r="AK2190">
            <v>0</v>
          </cell>
          <cell r="AM2190">
            <v>391</v>
          </cell>
          <cell r="AN2190">
            <v>1</v>
          </cell>
          <cell r="AO2190">
            <v>393216</v>
          </cell>
          <cell r="AQ2190">
            <v>0</v>
          </cell>
          <cell r="AR2190">
            <v>0</v>
          </cell>
          <cell r="AS2190" t="str">
            <v>Ы</v>
          </cell>
          <cell r="AT2190" t="str">
            <v>Ы</v>
          </cell>
          <cell r="AU2190">
            <v>0</v>
          </cell>
          <cell r="AV2190">
            <v>0</v>
          </cell>
          <cell r="AW2190">
            <v>23</v>
          </cell>
          <cell r="AX2190">
            <v>1</v>
          </cell>
          <cell r="AY2190">
            <v>0</v>
          </cell>
          <cell r="AZ2190">
            <v>0</v>
          </cell>
          <cell r="BA2190">
            <v>0</v>
          </cell>
          <cell r="BB2190">
            <v>0</v>
          </cell>
          <cell r="BC2190">
            <v>38828</v>
          </cell>
        </row>
        <row r="2191">
          <cell r="A2191">
            <v>2006</v>
          </cell>
          <cell r="B2191">
            <v>3</v>
          </cell>
          <cell r="C2191">
            <v>235</v>
          </cell>
          <cell r="D2191">
            <v>21</v>
          </cell>
          <cell r="E2191">
            <v>792020</v>
          </cell>
          <cell r="F2191">
            <v>0</v>
          </cell>
          <cell r="G2191" t="str">
            <v>Затраты по ШПЗ (основные)</v>
          </cell>
          <cell r="H2191">
            <v>2011</v>
          </cell>
          <cell r="I2191">
            <v>7920</v>
          </cell>
          <cell r="J2191">
            <v>414.94</v>
          </cell>
          <cell r="K2191">
            <v>1</v>
          </cell>
          <cell r="L2191">
            <v>0</v>
          </cell>
          <cell r="M2191">
            <v>0</v>
          </cell>
          <cell r="N2191">
            <v>0</v>
          </cell>
          <cell r="R2191">
            <v>0</v>
          </cell>
          <cell r="S2191">
            <v>0</v>
          </cell>
          <cell r="T2191">
            <v>0</v>
          </cell>
          <cell r="U2191">
            <v>42</v>
          </cell>
          <cell r="V2191">
            <v>0</v>
          </cell>
          <cell r="W2191">
            <v>0</v>
          </cell>
          <cell r="AA2191">
            <v>0</v>
          </cell>
          <cell r="AB2191">
            <v>0</v>
          </cell>
          <cell r="AC2191">
            <v>0</v>
          </cell>
          <cell r="AD2191">
            <v>42</v>
          </cell>
          <cell r="AE2191">
            <v>282600</v>
          </cell>
          <cell r="AF2191">
            <v>0</v>
          </cell>
          <cell r="AI2191">
            <v>2282</v>
          </cell>
          <cell r="AK2191">
            <v>0</v>
          </cell>
          <cell r="AM2191">
            <v>392</v>
          </cell>
          <cell r="AN2191">
            <v>1</v>
          </cell>
          <cell r="AO2191">
            <v>393216</v>
          </cell>
          <cell r="AQ2191">
            <v>0</v>
          </cell>
          <cell r="AR2191">
            <v>0</v>
          </cell>
          <cell r="AS2191" t="str">
            <v>Ы</v>
          </cell>
          <cell r="AT2191" t="str">
            <v>Ы</v>
          </cell>
          <cell r="AU2191">
            <v>0</v>
          </cell>
          <cell r="AV2191">
            <v>0</v>
          </cell>
          <cell r="AW2191">
            <v>23</v>
          </cell>
          <cell r="AX2191">
            <v>1</v>
          </cell>
          <cell r="AY2191">
            <v>0</v>
          </cell>
          <cell r="AZ2191">
            <v>0</v>
          </cell>
          <cell r="BA2191">
            <v>0</v>
          </cell>
          <cell r="BB2191">
            <v>0</v>
          </cell>
          <cell r="BC2191">
            <v>38828</v>
          </cell>
        </row>
        <row r="2192">
          <cell r="A2192">
            <v>2006</v>
          </cell>
          <cell r="B2192">
            <v>3</v>
          </cell>
          <cell r="C2192">
            <v>236</v>
          </cell>
          <cell r="D2192">
            <v>21</v>
          </cell>
          <cell r="E2192">
            <v>792020</v>
          </cell>
          <cell r="F2192">
            <v>0</v>
          </cell>
          <cell r="G2192" t="str">
            <v>Затраты по ШПЗ (основные)</v>
          </cell>
          <cell r="H2192">
            <v>2011</v>
          </cell>
          <cell r="I2192">
            <v>7920</v>
          </cell>
          <cell r="J2192">
            <v>211594.44</v>
          </cell>
          <cell r="K2192">
            <v>1</v>
          </cell>
          <cell r="L2192">
            <v>0</v>
          </cell>
          <cell r="M2192">
            <v>0</v>
          </cell>
          <cell r="N2192">
            <v>0</v>
          </cell>
          <cell r="R2192">
            <v>0</v>
          </cell>
          <cell r="S2192">
            <v>0</v>
          </cell>
          <cell r="T2192">
            <v>0</v>
          </cell>
          <cell r="U2192">
            <v>42</v>
          </cell>
          <cell r="V2192">
            <v>0</v>
          </cell>
          <cell r="W2192">
            <v>0</v>
          </cell>
          <cell r="AA2192">
            <v>0</v>
          </cell>
          <cell r="AB2192">
            <v>0</v>
          </cell>
          <cell r="AC2192">
            <v>0</v>
          </cell>
          <cell r="AD2192">
            <v>42</v>
          </cell>
          <cell r="AE2192">
            <v>283000</v>
          </cell>
          <cell r="AF2192">
            <v>0</v>
          </cell>
          <cell r="AI2192">
            <v>2282</v>
          </cell>
          <cell r="AK2192">
            <v>0</v>
          </cell>
          <cell r="AM2192">
            <v>393</v>
          </cell>
          <cell r="AN2192">
            <v>1</v>
          </cell>
          <cell r="AO2192">
            <v>393216</v>
          </cell>
          <cell r="AQ2192">
            <v>0</v>
          </cell>
          <cell r="AR2192">
            <v>0</v>
          </cell>
          <cell r="AS2192" t="str">
            <v>Ы</v>
          </cell>
          <cell r="AT2192" t="str">
            <v>Ы</v>
          </cell>
          <cell r="AU2192">
            <v>0</v>
          </cell>
          <cell r="AV2192">
            <v>0</v>
          </cell>
          <cell r="AW2192">
            <v>23</v>
          </cell>
          <cell r="AX2192">
            <v>1</v>
          </cell>
          <cell r="AY2192">
            <v>0</v>
          </cell>
          <cell r="AZ2192">
            <v>0</v>
          </cell>
          <cell r="BA2192">
            <v>0</v>
          </cell>
          <cell r="BB2192">
            <v>0</v>
          </cell>
          <cell r="BC2192">
            <v>38828</v>
          </cell>
        </row>
        <row r="2193">
          <cell r="A2193">
            <v>2006</v>
          </cell>
          <cell r="B2193">
            <v>3</v>
          </cell>
          <cell r="C2193">
            <v>237</v>
          </cell>
          <cell r="D2193">
            <v>21</v>
          </cell>
          <cell r="E2193">
            <v>792020</v>
          </cell>
          <cell r="F2193">
            <v>0</v>
          </cell>
          <cell r="G2193" t="str">
            <v>Затраты по ШПЗ (основные)</v>
          </cell>
          <cell r="H2193">
            <v>2011</v>
          </cell>
          <cell r="I2193">
            <v>7920</v>
          </cell>
          <cell r="J2193">
            <v>61737.56</v>
          </cell>
          <cell r="K2193">
            <v>1</v>
          </cell>
          <cell r="L2193">
            <v>0</v>
          </cell>
          <cell r="M2193">
            <v>0</v>
          </cell>
          <cell r="N2193">
            <v>0</v>
          </cell>
          <cell r="R2193">
            <v>0</v>
          </cell>
          <cell r="S2193">
            <v>0</v>
          </cell>
          <cell r="T2193">
            <v>0</v>
          </cell>
          <cell r="U2193">
            <v>42</v>
          </cell>
          <cell r="V2193">
            <v>0</v>
          </cell>
          <cell r="W2193">
            <v>0</v>
          </cell>
          <cell r="AA2193">
            <v>0</v>
          </cell>
          <cell r="AB2193">
            <v>0</v>
          </cell>
          <cell r="AC2193">
            <v>0</v>
          </cell>
          <cell r="AD2193">
            <v>42</v>
          </cell>
          <cell r="AE2193">
            <v>285000</v>
          </cell>
          <cell r="AF2193">
            <v>0</v>
          </cell>
          <cell r="AI2193">
            <v>2282</v>
          </cell>
          <cell r="AK2193">
            <v>0</v>
          </cell>
          <cell r="AM2193">
            <v>394</v>
          </cell>
          <cell r="AN2193">
            <v>1</v>
          </cell>
          <cell r="AO2193">
            <v>393216</v>
          </cell>
          <cell r="AQ2193">
            <v>0</v>
          </cell>
          <cell r="AR2193">
            <v>0</v>
          </cell>
          <cell r="AS2193" t="str">
            <v>Ы</v>
          </cell>
          <cell r="AT2193" t="str">
            <v>Ы</v>
          </cell>
          <cell r="AU2193">
            <v>0</v>
          </cell>
          <cell r="AV2193">
            <v>0</v>
          </cell>
          <cell r="AW2193">
            <v>23</v>
          </cell>
          <cell r="AX2193">
            <v>1</v>
          </cell>
          <cell r="AY2193">
            <v>0</v>
          </cell>
          <cell r="AZ2193">
            <v>0</v>
          </cell>
          <cell r="BA2193">
            <v>0</v>
          </cell>
          <cell r="BB2193">
            <v>0</v>
          </cell>
          <cell r="BC2193">
            <v>38828</v>
          </cell>
        </row>
        <row r="2194">
          <cell r="A2194">
            <v>2006</v>
          </cell>
          <cell r="B2194">
            <v>3</v>
          </cell>
          <cell r="C2194">
            <v>238</v>
          </cell>
          <cell r="D2194">
            <v>21</v>
          </cell>
          <cell r="E2194">
            <v>792020</v>
          </cell>
          <cell r="F2194">
            <v>0</v>
          </cell>
          <cell r="G2194" t="str">
            <v>Затраты по ШПЗ (основные)</v>
          </cell>
          <cell r="H2194">
            <v>2011</v>
          </cell>
          <cell r="I2194">
            <v>7920</v>
          </cell>
          <cell r="J2194">
            <v>400436.59</v>
          </cell>
          <cell r="K2194">
            <v>1</v>
          </cell>
          <cell r="L2194">
            <v>0</v>
          </cell>
          <cell r="M2194">
            <v>0</v>
          </cell>
          <cell r="N2194">
            <v>0</v>
          </cell>
          <cell r="R2194">
            <v>0</v>
          </cell>
          <cell r="S2194">
            <v>0</v>
          </cell>
          <cell r="T2194">
            <v>0</v>
          </cell>
          <cell r="U2194">
            <v>42</v>
          </cell>
          <cell r="V2194">
            <v>0</v>
          </cell>
          <cell r="W2194">
            <v>0</v>
          </cell>
          <cell r="AA2194">
            <v>0</v>
          </cell>
          <cell r="AB2194">
            <v>0</v>
          </cell>
          <cell r="AC2194">
            <v>0</v>
          </cell>
          <cell r="AD2194">
            <v>42</v>
          </cell>
          <cell r="AE2194">
            <v>311000</v>
          </cell>
          <cell r="AF2194">
            <v>0</v>
          </cell>
          <cell r="AI2194">
            <v>2282</v>
          </cell>
          <cell r="AK2194">
            <v>0</v>
          </cell>
          <cell r="AM2194">
            <v>395</v>
          </cell>
          <cell r="AN2194">
            <v>1</v>
          </cell>
          <cell r="AO2194">
            <v>393216</v>
          </cell>
          <cell r="AQ2194">
            <v>0</v>
          </cell>
          <cell r="AR2194">
            <v>0</v>
          </cell>
          <cell r="AS2194" t="str">
            <v>Ы</v>
          </cell>
          <cell r="AT2194" t="str">
            <v>Ы</v>
          </cell>
          <cell r="AU2194">
            <v>0</v>
          </cell>
          <cell r="AV2194">
            <v>0</v>
          </cell>
          <cell r="AW2194">
            <v>23</v>
          </cell>
          <cell r="AX2194">
            <v>1</v>
          </cell>
          <cell r="AY2194">
            <v>0</v>
          </cell>
          <cell r="AZ2194">
            <v>0</v>
          </cell>
          <cell r="BA2194">
            <v>0</v>
          </cell>
          <cell r="BB2194">
            <v>0</v>
          </cell>
          <cell r="BC2194">
            <v>38828</v>
          </cell>
        </row>
        <row r="2195">
          <cell r="A2195">
            <v>2006</v>
          </cell>
          <cell r="B2195">
            <v>3</v>
          </cell>
          <cell r="C2195">
            <v>239</v>
          </cell>
          <cell r="D2195">
            <v>21</v>
          </cell>
          <cell r="E2195">
            <v>792020</v>
          </cell>
          <cell r="F2195">
            <v>0</v>
          </cell>
          <cell r="G2195" t="str">
            <v>Затраты по ШПЗ (основные)</v>
          </cell>
          <cell r="H2195">
            <v>2011</v>
          </cell>
          <cell r="I2195">
            <v>7920</v>
          </cell>
          <cell r="J2195">
            <v>2764251.9</v>
          </cell>
          <cell r="K2195">
            <v>1</v>
          </cell>
          <cell r="L2195">
            <v>0</v>
          </cell>
          <cell r="M2195">
            <v>0</v>
          </cell>
          <cell r="N2195">
            <v>0</v>
          </cell>
          <cell r="R2195">
            <v>0</v>
          </cell>
          <cell r="S2195">
            <v>0</v>
          </cell>
          <cell r="T2195">
            <v>0</v>
          </cell>
          <cell r="U2195">
            <v>42</v>
          </cell>
          <cell r="V2195">
            <v>0</v>
          </cell>
          <cell r="W2195">
            <v>0</v>
          </cell>
          <cell r="AA2195">
            <v>0</v>
          </cell>
          <cell r="AB2195">
            <v>0</v>
          </cell>
          <cell r="AC2195">
            <v>0</v>
          </cell>
          <cell r="AD2195">
            <v>42</v>
          </cell>
          <cell r="AE2195">
            <v>312000</v>
          </cell>
          <cell r="AF2195">
            <v>0</v>
          </cell>
          <cell r="AI2195">
            <v>2282</v>
          </cell>
          <cell r="AK2195">
            <v>0</v>
          </cell>
          <cell r="AM2195">
            <v>396</v>
          </cell>
          <cell r="AN2195">
            <v>1</v>
          </cell>
          <cell r="AO2195">
            <v>393216</v>
          </cell>
          <cell r="AQ2195">
            <v>0</v>
          </cell>
          <cell r="AR2195">
            <v>0</v>
          </cell>
          <cell r="AS2195" t="str">
            <v>Ы</v>
          </cell>
          <cell r="AT2195" t="str">
            <v>Ы</v>
          </cell>
          <cell r="AU2195">
            <v>0</v>
          </cell>
          <cell r="AV2195">
            <v>0</v>
          </cell>
          <cell r="AW2195">
            <v>23</v>
          </cell>
          <cell r="AX2195">
            <v>1</v>
          </cell>
          <cell r="AY2195">
            <v>0</v>
          </cell>
          <cell r="AZ2195">
            <v>0</v>
          </cell>
          <cell r="BA2195">
            <v>0</v>
          </cell>
          <cell r="BB2195">
            <v>0</v>
          </cell>
          <cell r="BC2195">
            <v>38828</v>
          </cell>
        </row>
        <row r="2196">
          <cell r="A2196">
            <v>2006</v>
          </cell>
          <cell r="B2196">
            <v>3</v>
          </cell>
          <cell r="C2196">
            <v>240</v>
          </cell>
          <cell r="D2196">
            <v>21</v>
          </cell>
          <cell r="E2196">
            <v>792020</v>
          </cell>
          <cell r="F2196">
            <v>0</v>
          </cell>
          <cell r="G2196" t="str">
            <v>Затраты по ШПЗ (основные)</v>
          </cell>
          <cell r="H2196">
            <v>2011</v>
          </cell>
          <cell r="I2196">
            <v>7920</v>
          </cell>
          <cell r="J2196">
            <v>151889.68</v>
          </cell>
          <cell r="K2196">
            <v>1</v>
          </cell>
          <cell r="L2196">
            <v>0</v>
          </cell>
          <cell r="M2196">
            <v>0</v>
          </cell>
          <cell r="N2196">
            <v>0</v>
          </cell>
          <cell r="R2196">
            <v>0</v>
          </cell>
          <cell r="S2196">
            <v>0</v>
          </cell>
          <cell r="T2196">
            <v>0</v>
          </cell>
          <cell r="U2196">
            <v>42</v>
          </cell>
          <cell r="V2196">
            <v>0</v>
          </cell>
          <cell r="W2196">
            <v>0</v>
          </cell>
          <cell r="AA2196">
            <v>0</v>
          </cell>
          <cell r="AB2196">
            <v>0</v>
          </cell>
          <cell r="AC2196">
            <v>0</v>
          </cell>
          <cell r="AD2196">
            <v>42</v>
          </cell>
          <cell r="AE2196">
            <v>313000</v>
          </cell>
          <cell r="AF2196">
            <v>0</v>
          </cell>
          <cell r="AI2196">
            <v>2282</v>
          </cell>
          <cell r="AK2196">
            <v>0</v>
          </cell>
          <cell r="AM2196">
            <v>397</v>
          </cell>
          <cell r="AN2196">
            <v>1</v>
          </cell>
          <cell r="AO2196">
            <v>393216</v>
          </cell>
          <cell r="AQ2196">
            <v>0</v>
          </cell>
          <cell r="AR2196">
            <v>0</v>
          </cell>
          <cell r="AS2196" t="str">
            <v>Ы</v>
          </cell>
          <cell r="AT2196" t="str">
            <v>Ы</v>
          </cell>
          <cell r="AU2196">
            <v>0</v>
          </cell>
          <cell r="AV2196">
            <v>0</v>
          </cell>
          <cell r="AW2196">
            <v>23</v>
          </cell>
          <cell r="AX2196">
            <v>1</v>
          </cell>
          <cell r="AY2196">
            <v>0</v>
          </cell>
          <cell r="AZ2196">
            <v>0</v>
          </cell>
          <cell r="BA2196">
            <v>0</v>
          </cell>
          <cell r="BB2196">
            <v>0</v>
          </cell>
          <cell r="BC2196">
            <v>38828</v>
          </cell>
        </row>
        <row r="2197">
          <cell r="A2197">
            <v>2006</v>
          </cell>
          <cell r="B2197">
            <v>3</v>
          </cell>
          <cell r="C2197">
            <v>241</v>
          </cell>
          <cell r="D2197">
            <v>21</v>
          </cell>
          <cell r="E2197">
            <v>792020</v>
          </cell>
          <cell r="F2197">
            <v>0</v>
          </cell>
          <cell r="G2197" t="str">
            <v>Затраты по ШПЗ (основные)</v>
          </cell>
          <cell r="H2197">
            <v>2011</v>
          </cell>
          <cell r="I2197">
            <v>7920</v>
          </cell>
          <cell r="J2197">
            <v>276163.53999999998</v>
          </cell>
          <cell r="K2197">
            <v>1</v>
          </cell>
          <cell r="L2197">
            <v>0</v>
          </cell>
          <cell r="M2197">
            <v>0</v>
          </cell>
          <cell r="N2197">
            <v>0</v>
          </cell>
          <cell r="R2197">
            <v>0</v>
          </cell>
          <cell r="S2197">
            <v>0</v>
          </cell>
          <cell r="T2197">
            <v>0</v>
          </cell>
          <cell r="U2197">
            <v>42</v>
          </cell>
          <cell r="V2197">
            <v>0</v>
          </cell>
          <cell r="W2197">
            <v>0</v>
          </cell>
          <cell r="AA2197">
            <v>0</v>
          </cell>
          <cell r="AB2197">
            <v>0</v>
          </cell>
          <cell r="AC2197">
            <v>0</v>
          </cell>
          <cell r="AD2197">
            <v>42</v>
          </cell>
          <cell r="AE2197">
            <v>314000</v>
          </cell>
          <cell r="AF2197">
            <v>0</v>
          </cell>
          <cell r="AI2197">
            <v>2282</v>
          </cell>
          <cell r="AK2197">
            <v>0</v>
          </cell>
          <cell r="AM2197">
            <v>398</v>
          </cell>
          <cell r="AN2197">
            <v>1</v>
          </cell>
          <cell r="AO2197">
            <v>393216</v>
          </cell>
          <cell r="AQ2197">
            <v>0</v>
          </cell>
          <cell r="AR2197">
            <v>0</v>
          </cell>
          <cell r="AS2197" t="str">
            <v>Ы</v>
          </cell>
          <cell r="AT2197" t="str">
            <v>Ы</v>
          </cell>
          <cell r="AU2197">
            <v>0</v>
          </cell>
          <cell r="AV2197">
            <v>0</v>
          </cell>
          <cell r="AW2197">
            <v>23</v>
          </cell>
          <cell r="AX2197">
            <v>1</v>
          </cell>
          <cell r="AY2197">
            <v>0</v>
          </cell>
          <cell r="AZ2197">
            <v>0</v>
          </cell>
          <cell r="BA2197">
            <v>0</v>
          </cell>
          <cell r="BB2197">
            <v>0</v>
          </cell>
          <cell r="BC2197">
            <v>38828</v>
          </cell>
        </row>
        <row r="2198">
          <cell r="A2198">
            <v>2006</v>
          </cell>
          <cell r="B2198">
            <v>3</v>
          </cell>
          <cell r="C2198">
            <v>242</v>
          </cell>
          <cell r="D2198">
            <v>21</v>
          </cell>
          <cell r="E2198">
            <v>792020</v>
          </cell>
          <cell r="F2198">
            <v>0</v>
          </cell>
          <cell r="G2198" t="str">
            <v>Затраты по ШПЗ (основные)</v>
          </cell>
          <cell r="H2198">
            <v>2011</v>
          </cell>
          <cell r="I2198">
            <v>7920</v>
          </cell>
          <cell r="J2198">
            <v>55278.14</v>
          </cell>
          <cell r="K2198">
            <v>1</v>
          </cell>
          <cell r="L2198">
            <v>0</v>
          </cell>
          <cell r="M2198">
            <v>0</v>
          </cell>
          <cell r="N2198">
            <v>0</v>
          </cell>
          <cell r="R2198">
            <v>0</v>
          </cell>
          <cell r="S2198">
            <v>0</v>
          </cell>
          <cell r="T2198">
            <v>0</v>
          </cell>
          <cell r="U2198">
            <v>42</v>
          </cell>
          <cell r="V2198">
            <v>0</v>
          </cell>
          <cell r="W2198">
            <v>0</v>
          </cell>
          <cell r="AA2198">
            <v>0</v>
          </cell>
          <cell r="AB2198">
            <v>0</v>
          </cell>
          <cell r="AC2198">
            <v>0</v>
          </cell>
          <cell r="AD2198">
            <v>42</v>
          </cell>
          <cell r="AE2198">
            <v>315000</v>
          </cell>
          <cell r="AF2198">
            <v>0</v>
          </cell>
          <cell r="AI2198">
            <v>2282</v>
          </cell>
          <cell r="AK2198">
            <v>0</v>
          </cell>
          <cell r="AM2198">
            <v>399</v>
          </cell>
          <cell r="AN2198">
            <v>1</v>
          </cell>
          <cell r="AO2198">
            <v>393216</v>
          </cell>
          <cell r="AQ2198">
            <v>0</v>
          </cell>
          <cell r="AR2198">
            <v>0</v>
          </cell>
          <cell r="AS2198" t="str">
            <v>Ы</v>
          </cell>
          <cell r="AT2198" t="str">
            <v>Ы</v>
          </cell>
          <cell r="AU2198">
            <v>0</v>
          </cell>
          <cell r="AV2198">
            <v>0</v>
          </cell>
          <cell r="AW2198">
            <v>23</v>
          </cell>
          <cell r="AX2198">
            <v>1</v>
          </cell>
          <cell r="AY2198">
            <v>0</v>
          </cell>
          <cell r="AZ2198">
            <v>0</v>
          </cell>
          <cell r="BA2198">
            <v>0</v>
          </cell>
          <cell r="BB2198">
            <v>0</v>
          </cell>
          <cell r="BC2198">
            <v>38828</v>
          </cell>
        </row>
        <row r="2199">
          <cell r="A2199">
            <v>2006</v>
          </cell>
          <cell r="B2199">
            <v>3</v>
          </cell>
          <cell r="C2199">
            <v>243</v>
          </cell>
          <cell r="D2199">
            <v>21</v>
          </cell>
          <cell r="E2199">
            <v>792020</v>
          </cell>
          <cell r="F2199">
            <v>0</v>
          </cell>
          <cell r="G2199" t="str">
            <v>Затраты по ШПЗ (основные)</v>
          </cell>
          <cell r="H2199">
            <v>2011</v>
          </cell>
          <cell r="I2199">
            <v>7920</v>
          </cell>
          <cell r="J2199">
            <v>7822482.4199999999</v>
          </cell>
          <cell r="K2199">
            <v>1</v>
          </cell>
          <cell r="L2199">
            <v>0</v>
          </cell>
          <cell r="M2199">
            <v>0</v>
          </cell>
          <cell r="N2199">
            <v>0</v>
          </cell>
          <cell r="R2199">
            <v>0</v>
          </cell>
          <cell r="S2199">
            <v>0</v>
          </cell>
          <cell r="T2199">
            <v>0</v>
          </cell>
          <cell r="U2199">
            <v>42</v>
          </cell>
          <cell r="V2199">
            <v>0</v>
          </cell>
          <cell r="W2199">
            <v>0</v>
          </cell>
          <cell r="AA2199">
            <v>0</v>
          </cell>
          <cell r="AB2199">
            <v>0</v>
          </cell>
          <cell r="AC2199">
            <v>0</v>
          </cell>
          <cell r="AD2199">
            <v>42</v>
          </cell>
          <cell r="AE2199">
            <v>410000</v>
          </cell>
          <cell r="AF2199">
            <v>0</v>
          </cell>
          <cell r="AI2199">
            <v>2282</v>
          </cell>
          <cell r="AK2199">
            <v>0</v>
          </cell>
          <cell r="AM2199">
            <v>400</v>
          </cell>
          <cell r="AN2199">
            <v>1</v>
          </cell>
          <cell r="AO2199">
            <v>393216</v>
          </cell>
          <cell r="AQ2199">
            <v>0</v>
          </cell>
          <cell r="AR2199">
            <v>0</v>
          </cell>
          <cell r="AS2199" t="str">
            <v>Ы</v>
          </cell>
          <cell r="AT2199" t="str">
            <v>Ы</v>
          </cell>
          <cell r="AU2199">
            <v>0</v>
          </cell>
          <cell r="AV2199">
            <v>0</v>
          </cell>
          <cell r="AW2199">
            <v>23</v>
          </cell>
          <cell r="AX2199">
            <v>1</v>
          </cell>
          <cell r="AY2199">
            <v>0</v>
          </cell>
          <cell r="AZ2199">
            <v>0</v>
          </cell>
          <cell r="BA2199">
            <v>0</v>
          </cell>
          <cell r="BB2199">
            <v>0</v>
          </cell>
          <cell r="BC2199">
            <v>38828</v>
          </cell>
        </row>
        <row r="2200">
          <cell r="A2200">
            <v>2006</v>
          </cell>
          <cell r="B2200">
            <v>3</v>
          </cell>
          <cell r="C2200">
            <v>244</v>
          </cell>
          <cell r="D2200">
            <v>21</v>
          </cell>
          <cell r="E2200">
            <v>792020</v>
          </cell>
          <cell r="F2200">
            <v>0</v>
          </cell>
          <cell r="G2200" t="str">
            <v>Затраты по ШПЗ (основные)</v>
          </cell>
          <cell r="H2200">
            <v>2011</v>
          </cell>
          <cell r="I2200">
            <v>7920</v>
          </cell>
          <cell r="J2200">
            <v>1348242</v>
          </cell>
          <cell r="K2200">
            <v>1</v>
          </cell>
          <cell r="L2200">
            <v>0</v>
          </cell>
          <cell r="M2200">
            <v>0</v>
          </cell>
          <cell r="N2200">
            <v>0</v>
          </cell>
          <cell r="R2200">
            <v>0</v>
          </cell>
          <cell r="S2200">
            <v>0</v>
          </cell>
          <cell r="T2200">
            <v>0</v>
          </cell>
          <cell r="U2200">
            <v>42</v>
          </cell>
          <cell r="V2200">
            <v>0</v>
          </cell>
          <cell r="W2200">
            <v>0</v>
          </cell>
          <cell r="AA2200">
            <v>0</v>
          </cell>
          <cell r="AB2200">
            <v>0</v>
          </cell>
          <cell r="AC2200">
            <v>0</v>
          </cell>
          <cell r="AD2200">
            <v>42</v>
          </cell>
          <cell r="AE2200">
            <v>420000</v>
          </cell>
          <cell r="AF2200">
            <v>0</v>
          </cell>
          <cell r="AI2200">
            <v>2282</v>
          </cell>
          <cell r="AK2200">
            <v>0</v>
          </cell>
          <cell r="AM2200">
            <v>401</v>
          </cell>
          <cell r="AN2200">
            <v>1</v>
          </cell>
          <cell r="AO2200">
            <v>393216</v>
          </cell>
          <cell r="AQ2200">
            <v>0</v>
          </cell>
          <cell r="AR2200">
            <v>0</v>
          </cell>
          <cell r="AS2200" t="str">
            <v>Ы</v>
          </cell>
          <cell r="AT2200" t="str">
            <v>Ы</v>
          </cell>
          <cell r="AU2200">
            <v>0</v>
          </cell>
          <cell r="AV2200">
            <v>0</v>
          </cell>
          <cell r="AW2200">
            <v>23</v>
          </cell>
          <cell r="AX2200">
            <v>1</v>
          </cell>
          <cell r="AY2200">
            <v>0</v>
          </cell>
          <cell r="AZ2200">
            <v>0</v>
          </cell>
          <cell r="BA2200">
            <v>0</v>
          </cell>
          <cell r="BB2200">
            <v>0</v>
          </cell>
          <cell r="BC2200">
            <v>38828</v>
          </cell>
        </row>
        <row r="2201">
          <cell r="A2201">
            <v>2006</v>
          </cell>
          <cell r="B2201">
            <v>3</v>
          </cell>
          <cell r="C2201">
            <v>245</v>
          </cell>
          <cell r="D2201">
            <v>21</v>
          </cell>
          <cell r="E2201">
            <v>792020</v>
          </cell>
          <cell r="F2201">
            <v>0</v>
          </cell>
          <cell r="G2201" t="str">
            <v>Затраты по ШПЗ (основные)</v>
          </cell>
          <cell r="H2201">
            <v>2011</v>
          </cell>
          <cell r="I2201">
            <v>7920</v>
          </cell>
          <cell r="J2201">
            <v>26895186.640000001</v>
          </cell>
          <cell r="K2201">
            <v>1</v>
          </cell>
          <cell r="L2201">
            <v>0</v>
          </cell>
          <cell r="M2201">
            <v>0</v>
          </cell>
          <cell r="N2201">
            <v>0</v>
          </cell>
          <cell r="R2201">
            <v>0</v>
          </cell>
          <cell r="S2201">
            <v>0</v>
          </cell>
          <cell r="T2201">
            <v>0</v>
          </cell>
          <cell r="U2201">
            <v>42</v>
          </cell>
          <cell r="V2201">
            <v>0</v>
          </cell>
          <cell r="W2201">
            <v>0</v>
          </cell>
          <cell r="AA2201">
            <v>0</v>
          </cell>
          <cell r="AB2201">
            <v>0</v>
          </cell>
          <cell r="AC2201">
            <v>0</v>
          </cell>
          <cell r="AD2201">
            <v>42</v>
          </cell>
          <cell r="AE2201">
            <v>430000</v>
          </cell>
          <cell r="AF2201">
            <v>0</v>
          </cell>
          <cell r="AI2201">
            <v>2282</v>
          </cell>
          <cell r="AK2201">
            <v>0</v>
          </cell>
          <cell r="AM2201">
            <v>402</v>
          </cell>
          <cell r="AN2201">
            <v>1</v>
          </cell>
          <cell r="AO2201">
            <v>393216</v>
          </cell>
          <cell r="AQ2201">
            <v>0</v>
          </cell>
          <cell r="AR2201">
            <v>0</v>
          </cell>
          <cell r="AS2201" t="str">
            <v>Ы</v>
          </cell>
          <cell r="AT2201" t="str">
            <v>Ы</v>
          </cell>
          <cell r="AU2201">
            <v>0</v>
          </cell>
          <cell r="AV2201">
            <v>0</v>
          </cell>
          <cell r="AW2201">
            <v>23</v>
          </cell>
          <cell r="AX2201">
            <v>1</v>
          </cell>
          <cell r="AY2201">
            <v>0</v>
          </cell>
          <cell r="AZ2201">
            <v>0</v>
          </cell>
          <cell r="BA2201">
            <v>0</v>
          </cell>
          <cell r="BB2201">
            <v>0</v>
          </cell>
          <cell r="BC2201">
            <v>38828</v>
          </cell>
        </row>
        <row r="2202">
          <cell r="A2202">
            <v>2006</v>
          </cell>
          <cell r="B2202">
            <v>3</v>
          </cell>
          <cell r="C2202">
            <v>246</v>
          </cell>
          <cell r="D2202">
            <v>21</v>
          </cell>
          <cell r="E2202">
            <v>792020</v>
          </cell>
          <cell r="F2202">
            <v>0</v>
          </cell>
          <cell r="G2202" t="str">
            <v>Затраты по ШПЗ (основные)</v>
          </cell>
          <cell r="H2202">
            <v>2011</v>
          </cell>
          <cell r="I2202">
            <v>7920</v>
          </cell>
          <cell r="J2202">
            <v>243325.96</v>
          </cell>
          <cell r="K2202">
            <v>1</v>
          </cell>
          <cell r="L2202">
            <v>0</v>
          </cell>
          <cell r="M2202">
            <v>0</v>
          </cell>
          <cell r="N2202">
            <v>0</v>
          </cell>
          <cell r="R2202">
            <v>0</v>
          </cell>
          <cell r="S2202">
            <v>0</v>
          </cell>
          <cell r="T2202">
            <v>0</v>
          </cell>
          <cell r="U2202">
            <v>42</v>
          </cell>
          <cell r="V2202">
            <v>0</v>
          </cell>
          <cell r="W2202">
            <v>0</v>
          </cell>
          <cell r="AA2202">
            <v>0</v>
          </cell>
          <cell r="AB2202">
            <v>0</v>
          </cell>
          <cell r="AC2202">
            <v>0</v>
          </cell>
          <cell r="AD2202">
            <v>42</v>
          </cell>
          <cell r="AE2202">
            <v>450000</v>
          </cell>
          <cell r="AF2202">
            <v>0</v>
          </cell>
          <cell r="AI2202">
            <v>2282</v>
          </cell>
          <cell r="AK2202">
            <v>0</v>
          </cell>
          <cell r="AM2202">
            <v>403</v>
          </cell>
          <cell r="AN2202">
            <v>1</v>
          </cell>
          <cell r="AO2202">
            <v>393216</v>
          </cell>
          <cell r="AQ2202">
            <v>0</v>
          </cell>
          <cell r="AR2202">
            <v>0</v>
          </cell>
          <cell r="AS2202" t="str">
            <v>Ы</v>
          </cell>
          <cell r="AT2202" t="str">
            <v>Ы</v>
          </cell>
          <cell r="AU2202">
            <v>0</v>
          </cell>
          <cell r="AV2202">
            <v>0</v>
          </cell>
          <cell r="AW2202">
            <v>23</v>
          </cell>
          <cell r="AX2202">
            <v>1</v>
          </cell>
          <cell r="AY2202">
            <v>0</v>
          </cell>
          <cell r="AZ2202">
            <v>0</v>
          </cell>
          <cell r="BA2202">
            <v>0</v>
          </cell>
          <cell r="BB2202">
            <v>0</v>
          </cell>
          <cell r="BC2202">
            <v>38828</v>
          </cell>
        </row>
        <row r="2203">
          <cell r="A2203">
            <v>2006</v>
          </cell>
          <cell r="B2203">
            <v>3</v>
          </cell>
          <cell r="C2203">
            <v>247</v>
          </cell>
          <cell r="D2203">
            <v>21</v>
          </cell>
          <cell r="E2203">
            <v>792020</v>
          </cell>
          <cell r="F2203">
            <v>0</v>
          </cell>
          <cell r="G2203" t="str">
            <v>Затраты по ШПЗ (основные)</v>
          </cell>
          <cell r="H2203">
            <v>2011</v>
          </cell>
          <cell r="I2203">
            <v>7920</v>
          </cell>
          <cell r="J2203">
            <v>23974.55</v>
          </cell>
          <cell r="K2203">
            <v>1</v>
          </cell>
          <cell r="L2203">
            <v>0</v>
          </cell>
          <cell r="M2203">
            <v>0</v>
          </cell>
          <cell r="N2203">
            <v>0</v>
          </cell>
          <cell r="R2203">
            <v>0</v>
          </cell>
          <cell r="S2203">
            <v>0</v>
          </cell>
          <cell r="T2203">
            <v>0</v>
          </cell>
          <cell r="U2203">
            <v>42</v>
          </cell>
          <cell r="V2203">
            <v>0</v>
          </cell>
          <cell r="W2203">
            <v>0</v>
          </cell>
          <cell r="AA2203">
            <v>0</v>
          </cell>
          <cell r="AB2203">
            <v>0</v>
          </cell>
          <cell r="AC2203">
            <v>0</v>
          </cell>
          <cell r="AD2203">
            <v>42</v>
          </cell>
          <cell r="AE2203">
            <v>460000</v>
          </cell>
          <cell r="AF2203">
            <v>0</v>
          </cell>
          <cell r="AI2203">
            <v>2282</v>
          </cell>
          <cell r="AK2203">
            <v>0</v>
          </cell>
          <cell r="AM2203">
            <v>404</v>
          </cell>
          <cell r="AN2203">
            <v>1</v>
          </cell>
          <cell r="AO2203">
            <v>393216</v>
          </cell>
          <cell r="AQ2203">
            <v>0</v>
          </cell>
          <cell r="AR2203">
            <v>0</v>
          </cell>
          <cell r="AS2203" t="str">
            <v>Ы</v>
          </cell>
          <cell r="AT2203" t="str">
            <v>Ы</v>
          </cell>
          <cell r="AU2203">
            <v>0</v>
          </cell>
          <cell r="AV2203">
            <v>0</v>
          </cell>
          <cell r="AW2203">
            <v>23</v>
          </cell>
          <cell r="AX2203">
            <v>1</v>
          </cell>
          <cell r="AY2203">
            <v>0</v>
          </cell>
          <cell r="AZ2203">
            <v>0</v>
          </cell>
          <cell r="BA2203">
            <v>0</v>
          </cell>
          <cell r="BB2203">
            <v>0</v>
          </cell>
          <cell r="BC2203">
            <v>38828</v>
          </cell>
        </row>
        <row r="2204">
          <cell r="A2204">
            <v>2006</v>
          </cell>
          <cell r="B2204">
            <v>3</v>
          </cell>
          <cell r="C2204">
            <v>248</v>
          </cell>
          <cell r="D2204">
            <v>21</v>
          </cell>
          <cell r="E2204">
            <v>792020</v>
          </cell>
          <cell r="F2204">
            <v>0</v>
          </cell>
          <cell r="G2204" t="str">
            <v>Затраты по ШПЗ (основные)</v>
          </cell>
          <cell r="H2204">
            <v>2011</v>
          </cell>
          <cell r="I2204">
            <v>7920</v>
          </cell>
          <cell r="J2204">
            <v>10748.87</v>
          </cell>
          <cell r="K2204">
            <v>1</v>
          </cell>
          <cell r="L2204">
            <v>0</v>
          </cell>
          <cell r="M2204">
            <v>0</v>
          </cell>
          <cell r="N2204">
            <v>0</v>
          </cell>
          <cell r="R2204">
            <v>0</v>
          </cell>
          <cell r="S2204">
            <v>0</v>
          </cell>
          <cell r="T2204">
            <v>0</v>
          </cell>
          <cell r="U2204">
            <v>42</v>
          </cell>
          <cell r="V2204">
            <v>0</v>
          </cell>
          <cell r="W2204">
            <v>0</v>
          </cell>
          <cell r="AA2204">
            <v>0</v>
          </cell>
          <cell r="AB2204">
            <v>0</v>
          </cell>
          <cell r="AC2204">
            <v>0</v>
          </cell>
          <cell r="AD2204">
            <v>42</v>
          </cell>
          <cell r="AE2204">
            <v>465000</v>
          </cell>
          <cell r="AF2204">
            <v>0</v>
          </cell>
          <cell r="AI2204">
            <v>2282</v>
          </cell>
          <cell r="AK2204">
            <v>0</v>
          </cell>
          <cell r="AM2204">
            <v>405</v>
          </cell>
          <cell r="AN2204">
            <v>1</v>
          </cell>
          <cell r="AO2204">
            <v>393216</v>
          </cell>
          <cell r="AQ2204">
            <v>0</v>
          </cell>
          <cell r="AR2204">
            <v>0</v>
          </cell>
          <cell r="AS2204" t="str">
            <v>Ы</v>
          </cell>
          <cell r="AT2204" t="str">
            <v>Ы</v>
          </cell>
          <cell r="AU2204">
            <v>0</v>
          </cell>
          <cell r="AV2204">
            <v>0</v>
          </cell>
          <cell r="AW2204">
            <v>23</v>
          </cell>
          <cell r="AX2204">
            <v>1</v>
          </cell>
          <cell r="AY2204">
            <v>0</v>
          </cell>
          <cell r="AZ2204">
            <v>0</v>
          </cell>
          <cell r="BA2204">
            <v>0</v>
          </cell>
          <cell r="BB2204">
            <v>0</v>
          </cell>
          <cell r="BC2204">
            <v>38828</v>
          </cell>
        </row>
        <row r="2205">
          <cell r="A2205">
            <v>2006</v>
          </cell>
          <cell r="B2205">
            <v>3</v>
          </cell>
          <cell r="C2205">
            <v>249</v>
          </cell>
          <cell r="D2205">
            <v>21</v>
          </cell>
          <cell r="E2205">
            <v>792020</v>
          </cell>
          <cell r="F2205">
            <v>0</v>
          </cell>
          <cell r="G2205" t="str">
            <v>Затраты по ШПЗ (основные)</v>
          </cell>
          <cell r="H2205">
            <v>2011</v>
          </cell>
          <cell r="I2205">
            <v>7920</v>
          </cell>
          <cell r="J2205">
            <v>22718.73</v>
          </cell>
          <cell r="K2205">
            <v>1</v>
          </cell>
          <cell r="L2205">
            <v>0</v>
          </cell>
          <cell r="M2205">
            <v>0</v>
          </cell>
          <cell r="N2205">
            <v>0</v>
          </cell>
          <cell r="R2205">
            <v>0</v>
          </cell>
          <cell r="S2205">
            <v>0</v>
          </cell>
          <cell r="T2205">
            <v>0</v>
          </cell>
          <cell r="U2205">
            <v>42</v>
          </cell>
          <cell r="V2205">
            <v>0</v>
          </cell>
          <cell r="W2205">
            <v>0</v>
          </cell>
          <cell r="AA2205">
            <v>0</v>
          </cell>
          <cell r="AB2205">
            <v>0</v>
          </cell>
          <cell r="AC2205">
            <v>0</v>
          </cell>
          <cell r="AD2205">
            <v>42</v>
          </cell>
          <cell r="AE2205">
            <v>501103</v>
          </cell>
          <cell r="AF2205">
            <v>0</v>
          </cell>
          <cell r="AI2205">
            <v>2282</v>
          </cell>
          <cell r="AK2205">
            <v>0</v>
          </cell>
          <cell r="AM2205">
            <v>406</v>
          </cell>
          <cell r="AN2205">
            <v>1</v>
          </cell>
          <cell r="AO2205">
            <v>393216</v>
          </cell>
          <cell r="AQ2205">
            <v>0</v>
          </cell>
          <cell r="AR2205">
            <v>0</v>
          </cell>
          <cell r="AS2205" t="str">
            <v>Ы</v>
          </cell>
          <cell r="AT2205" t="str">
            <v>Ы</v>
          </cell>
          <cell r="AU2205">
            <v>0</v>
          </cell>
          <cell r="AV2205">
            <v>0</v>
          </cell>
          <cell r="AW2205">
            <v>23</v>
          </cell>
          <cell r="AX2205">
            <v>1</v>
          </cell>
          <cell r="AY2205">
            <v>0</v>
          </cell>
          <cell r="AZ2205">
            <v>0</v>
          </cell>
          <cell r="BA2205">
            <v>0</v>
          </cell>
          <cell r="BB2205">
            <v>0</v>
          </cell>
          <cell r="BC2205">
            <v>38828</v>
          </cell>
        </row>
        <row r="2206">
          <cell r="A2206">
            <v>2006</v>
          </cell>
          <cell r="B2206">
            <v>3</v>
          </cell>
          <cell r="C2206">
            <v>250</v>
          </cell>
          <cell r="D2206">
            <v>21</v>
          </cell>
          <cell r="E2206">
            <v>792020</v>
          </cell>
          <cell r="F2206">
            <v>0</v>
          </cell>
          <cell r="G2206" t="str">
            <v>Затраты по ШПЗ (основные)</v>
          </cell>
          <cell r="H2206">
            <v>2011</v>
          </cell>
          <cell r="I2206">
            <v>7920</v>
          </cell>
          <cell r="J2206">
            <v>63489.31</v>
          </cell>
          <cell r="K2206">
            <v>1</v>
          </cell>
          <cell r="L2206">
            <v>0</v>
          </cell>
          <cell r="M2206">
            <v>0</v>
          </cell>
          <cell r="N2206">
            <v>0</v>
          </cell>
          <cell r="R2206">
            <v>0</v>
          </cell>
          <cell r="S2206">
            <v>0</v>
          </cell>
          <cell r="T2206">
            <v>0</v>
          </cell>
          <cell r="U2206">
            <v>42</v>
          </cell>
          <cell r="V2206">
            <v>0</v>
          </cell>
          <cell r="W2206">
            <v>0</v>
          </cell>
          <cell r="AA2206">
            <v>0</v>
          </cell>
          <cell r="AB2206">
            <v>0</v>
          </cell>
          <cell r="AC2206">
            <v>0</v>
          </cell>
          <cell r="AD2206">
            <v>42</v>
          </cell>
          <cell r="AE2206">
            <v>501106</v>
          </cell>
          <cell r="AF2206">
            <v>0</v>
          </cell>
          <cell r="AI2206">
            <v>2282</v>
          </cell>
          <cell r="AK2206">
            <v>0</v>
          </cell>
          <cell r="AM2206">
            <v>407</v>
          </cell>
          <cell r="AN2206">
            <v>1</v>
          </cell>
          <cell r="AO2206">
            <v>393216</v>
          </cell>
          <cell r="AQ2206">
            <v>0</v>
          </cell>
          <cell r="AR2206">
            <v>0</v>
          </cell>
          <cell r="AS2206" t="str">
            <v>Ы</v>
          </cell>
          <cell r="AT2206" t="str">
            <v>Ы</v>
          </cell>
          <cell r="AU2206">
            <v>0</v>
          </cell>
          <cell r="AV2206">
            <v>0</v>
          </cell>
          <cell r="AW2206">
            <v>23</v>
          </cell>
          <cell r="AX2206">
            <v>1</v>
          </cell>
          <cell r="AY2206">
            <v>0</v>
          </cell>
          <cell r="AZ2206">
            <v>0</v>
          </cell>
          <cell r="BA2206">
            <v>0</v>
          </cell>
          <cell r="BB2206">
            <v>0</v>
          </cell>
          <cell r="BC2206">
            <v>38828</v>
          </cell>
        </row>
        <row r="2207">
          <cell r="A2207">
            <v>2006</v>
          </cell>
          <cell r="B2207">
            <v>3</v>
          </cell>
          <cell r="C2207">
            <v>251</v>
          </cell>
          <cell r="D2207">
            <v>21</v>
          </cell>
          <cell r="E2207">
            <v>792020</v>
          </cell>
          <cell r="F2207">
            <v>0</v>
          </cell>
          <cell r="G2207" t="str">
            <v>Затраты по ШПЗ (основные)</v>
          </cell>
          <cell r="H2207">
            <v>2011</v>
          </cell>
          <cell r="I2207">
            <v>7920</v>
          </cell>
          <cell r="J2207">
            <v>1179807.4099999999</v>
          </cell>
          <cell r="K2207">
            <v>1</v>
          </cell>
          <cell r="L2207">
            <v>0</v>
          </cell>
          <cell r="M2207">
            <v>0</v>
          </cell>
          <cell r="N2207">
            <v>0</v>
          </cell>
          <cell r="R2207">
            <v>0</v>
          </cell>
          <cell r="S2207">
            <v>0</v>
          </cell>
          <cell r="T2207">
            <v>0</v>
          </cell>
          <cell r="U2207">
            <v>42</v>
          </cell>
          <cell r="V2207">
            <v>0</v>
          </cell>
          <cell r="W2207">
            <v>0</v>
          </cell>
          <cell r="AA2207">
            <v>0</v>
          </cell>
          <cell r="AB2207">
            <v>0</v>
          </cell>
          <cell r="AC2207">
            <v>0</v>
          </cell>
          <cell r="AD2207">
            <v>42</v>
          </cell>
          <cell r="AE2207">
            <v>502100</v>
          </cell>
          <cell r="AF2207">
            <v>0</v>
          </cell>
          <cell r="AI2207">
            <v>2282</v>
          </cell>
          <cell r="AK2207">
            <v>0</v>
          </cell>
          <cell r="AM2207">
            <v>408</v>
          </cell>
          <cell r="AN2207">
            <v>1</v>
          </cell>
          <cell r="AO2207">
            <v>393216</v>
          </cell>
          <cell r="AQ2207">
            <v>0</v>
          </cell>
          <cell r="AR2207">
            <v>0</v>
          </cell>
          <cell r="AS2207" t="str">
            <v>Ы</v>
          </cell>
          <cell r="AT2207" t="str">
            <v>Ы</v>
          </cell>
          <cell r="AU2207">
            <v>0</v>
          </cell>
          <cell r="AV2207">
            <v>0</v>
          </cell>
          <cell r="AW2207">
            <v>23</v>
          </cell>
          <cell r="AX2207">
            <v>1</v>
          </cell>
          <cell r="AY2207">
            <v>0</v>
          </cell>
          <cell r="AZ2207">
            <v>0</v>
          </cell>
          <cell r="BA2207">
            <v>0</v>
          </cell>
          <cell r="BB2207">
            <v>0</v>
          </cell>
          <cell r="BC2207">
            <v>38828</v>
          </cell>
        </row>
        <row r="2208">
          <cell r="A2208">
            <v>2006</v>
          </cell>
          <cell r="B2208">
            <v>3</v>
          </cell>
          <cell r="C2208">
            <v>252</v>
          </cell>
          <cell r="D2208">
            <v>21</v>
          </cell>
          <cell r="E2208">
            <v>792020</v>
          </cell>
          <cell r="F2208">
            <v>0</v>
          </cell>
          <cell r="G2208" t="str">
            <v>Затраты по ШПЗ (основные)</v>
          </cell>
          <cell r="H2208">
            <v>2011</v>
          </cell>
          <cell r="I2208">
            <v>7920</v>
          </cell>
          <cell r="J2208">
            <v>6308.61</v>
          </cell>
          <cell r="K2208">
            <v>1</v>
          </cell>
          <cell r="L2208">
            <v>0</v>
          </cell>
          <cell r="M2208">
            <v>0</v>
          </cell>
          <cell r="N2208">
            <v>0</v>
          </cell>
          <cell r="R2208">
            <v>0</v>
          </cell>
          <cell r="S2208">
            <v>0</v>
          </cell>
          <cell r="T2208">
            <v>0</v>
          </cell>
          <cell r="U2208">
            <v>42</v>
          </cell>
          <cell r="V2208">
            <v>0</v>
          </cell>
          <cell r="W2208">
            <v>0</v>
          </cell>
          <cell r="AA2208">
            <v>0</v>
          </cell>
          <cell r="AB2208">
            <v>0</v>
          </cell>
          <cell r="AC2208">
            <v>0</v>
          </cell>
          <cell r="AD2208">
            <v>42</v>
          </cell>
          <cell r="AE2208">
            <v>502400</v>
          </cell>
          <cell r="AF2208">
            <v>0</v>
          </cell>
          <cell r="AI2208">
            <v>2282</v>
          </cell>
          <cell r="AK2208">
            <v>0</v>
          </cell>
          <cell r="AM2208">
            <v>409</v>
          </cell>
          <cell r="AN2208">
            <v>1</v>
          </cell>
          <cell r="AO2208">
            <v>393216</v>
          </cell>
          <cell r="AQ2208">
            <v>0</v>
          </cell>
          <cell r="AR2208">
            <v>0</v>
          </cell>
          <cell r="AS2208" t="str">
            <v>Ы</v>
          </cell>
          <cell r="AT2208" t="str">
            <v>Ы</v>
          </cell>
          <cell r="AU2208">
            <v>0</v>
          </cell>
          <cell r="AV2208">
            <v>0</v>
          </cell>
          <cell r="AW2208">
            <v>23</v>
          </cell>
          <cell r="AX2208">
            <v>1</v>
          </cell>
          <cell r="AY2208">
            <v>0</v>
          </cell>
          <cell r="AZ2208">
            <v>0</v>
          </cell>
          <cell r="BA2208">
            <v>0</v>
          </cell>
          <cell r="BB2208">
            <v>0</v>
          </cell>
          <cell r="BC2208">
            <v>38828</v>
          </cell>
        </row>
        <row r="2209">
          <cell r="A2209">
            <v>2006</v>
          </cell>
          <cell r="B2209">
            <v>3</v>
          </cell>
          <cell r="C2209">
            <v>253</v>
          </cell>
          <cell r="D2209">
            <v>21</v>
          </cell>
          <cell r="E2209">
            <v>792020</v>
          </cell>
          <cell r="F2209">
            <v>0</v>
          </cell>
          <cell r="G2209" t="str">
            <v>Затраты по ШПЗ (основные)</v>
          </cell>
          <cell r="H2209">
            <v>2011</v>
          </cell>
          <cell r="I2209">
            <v>7920</v>
          </cell>
          <cell r="J2209">
            <v>18133.04</v>
          </cell>
          <cell r="K2209">
            <v>1</v>
          </cell>
          <cell r="L2209">
            <v>0</v>
          </cell>
          <cell r="M2209">
            <v>0</v>
          </cell>
          <cell r="N2209">
            <v>0</v>
          </cell>
          <cell r="R2209">
            <v>0</v>
          </cell>
          <cell r="S2209">
            <v>0</v>
          </cell>
          <cell r="T2209">
            <v>0</v>
          </cell>
          <cell r="U2209">
            <v>42</v>
          </cell>
          <cell r="V2209">
            <v>0</v>
          </cell>
          <cell r="W2209">
            <v>0</v>
          </cell>
          <cell r="AA2209">
            <v>0</v>
          </cell>
          <cell r="AB2209">
            <v>0</v>
          </cell>
          <cell r="AC2209">
            <v>0</v>
          </cell>
          <cell r="AD2209">
            <v>42</v>
          </cell>
          <cell r="AE2209">
            <v>503000</v>
          </cell>
          <cell r="AF2209">
            <v>0</v>
          </cell>
          <cell r="AI2209">
            <v>2282</v>
          </cell>
          <cell r="AK2209">
            <v>0</v>
          </cell>
          <cell r="AM2209">
            <v>410</v>
          </cell>
          <cell r="AN2209">
            <v>1</v>
          </cell>
          <cell r="AO2209">
            <v>393216</v>
          </cell>
          <cell r="AQ2209">
            <v>0</v>
          </cell>
          <cell r="AR2209">
            <v>0</v>
          </cell>
          <cell r="AS2209" t="str">
            <v>Ы</v>
          </cell>
          <cell r="AT2209" t="str">
            <v>Ы</v>
          </cell>
          <cell r="AU2209">
            <v>0</v>
          </cell>
          <cell r="AV2209">
            <v>0</v>
          </cell>
          <cell r="AW2209">
            <v>23</v>
          </cell>
          <cell r="AX2209">
            <v>1</v>
          </cell>
          <cell r="AY2209">
            <v>0</v>
          </cell>
          <cell r="AZ2209">
            <v>0</v>
          </cell>
          <cell r="BA2209">
            <v>0</v>
          </cell>
          <cell r="BB2209">
            <v>0</v>
          </cell>
          <cell r="BC2209">
            <v>38828</v>
          </cell>
        </row>
        <row r="2210">
          <cell r="A2210">
            <v>2006</v>
          </cell>
          <cell r="B2210">
            <v>3</v>
          </cell>
          <cell r="C2210">
            <v>254</v>
          </cell>
          <cell r="D2210">
            <v>21</v>
          </cell>
          <cell r="E2210">
            <v>792020</v>
          </cell>
          <cell r="F2210">
            <v>0</v>
          </cell>
          <cell r="G2210" t="str">
            <v>Затраты по ШПЗ (основные)</v>
          </cell>
          <cell r="H2210">
            <v>2011</v>
          </cell>
          <cell r="I2210">
            <v>7920</v>
          </cell>
          <cell r="J2210">
            <v>127563.69</v>
          </cell>
          <cell r="K2210">
            <v>1</v>
          </cell>
          <cell r="L2210">
            <v>0</v>
          </cell>
          <cell r="M2210">
            <v>0</v>
          </cell>
          <cell r="N2210">
            <v>0</v>
          </cell>
          <cell r="R2210">
            <v>0</v>
          </cell>
          <cell r="S2210">
            <v>0</v>
          </cell>
          <cell r="T2210">
            <v>0</v>
          </cell>
          <cell r="U2210">
            <v>42</v>
          </cell>
          <cell r="V2210">
            <v>0</v>
          </cell>
          <cell r="W2210">
            <v>0</v>
          </cell>
          <cell r="AA2210">
            <v>0</v>
          </cell>
          <cell r="AB2210">
            <v>0</v>
          </cell>
          <cell r="AC2210">
            <v>0</v>
          </cell>
          <cell r="AD2210">
            <v>42</v>
          </cell>
          <cell r="AE2210">
            <v>504900</v>
          </cell>
          <cell r="AF2210">
            <v>0</v>
          </cell>
          <cell r="AI2210">
            <v>2282</v>
          </cell>
          <cell r="AK2210">
            <v>0</v>
          </cell>
          <cell r="AM2210">
            <v>411</v>
          </cell>
          <cell r="AN2210">
            <v>1</v>
          </cell>
          <cell r="AO2210">
            <v>393216</v>
          </cell>
          <cell r="AQ2210">
            <v>0</v>
          </cell>
          <cell r="AR2210">
            <v>0</v>
          </cell>
          <cell r="AS2210" t="str">
            <v>Ы</v>
          </cell>
          <cell r="AT2210" t="str">
            <v>Ы</v>
          </cell>
          <cell r="AU2210">
            <v>0</v>
          </cell>
          <cell r="AV2210">
            <v>0</v>
          </cell>
          <cell r="AW2210">
            <v>23</v>
          </cell>
          <cell r="AX2210">
            <v>1</v>
          </cell>
          <cell r="AY2210">
            <v>0</v>
          </cell>
          <cell r="AZ2210">
            <v>0</v>
          </cell>
          <cell r="BA2210">
            <v>0</v>
          </cell>
          <cell r="BB2210">
            <v>0</v>
          </cell>
          <cell r="BC2210">
            <v>38828</v>
          </cell>
        </row>
        <row r="2211">
          <cell r="A2211">
            <v>2006</v>
          </cell>
          <cell r="B2211">
            <v>3</v>
          </cell>
          <cell r="C2211">
            <v>255</v>
          </cell>
          <cell r="D2211">
            <v>21</v>
          </cell>
          <cell r="E2211">
            <v>792020</v>
          </cell>
          <cell r="F2211">
            <v>0</v>
          </cell>
          <cell r="G2211" t="str">
            <v>Затраты по ШПЗ (основные)</v>
          </cell>
          <cell r="H2211">
            <v>2011</v>
          </cell>
          <cell r="I2211">
            <v>7920</v>
          </cell>
          <cell r="J2211">
            <v>95452.19</v>
          </cell>
          <cell r="K2211">
            <v>1</v>
          </cell>
          <cell r="L2211">
            <v>0</v>
          </cell>
          <cell r="M2211">
            <v>0</v>
          </cell>
          <cell r="N2211">
            <v>0</v>
          </cell>
          <cell r="R2211">
            <v>0</v>
          </cell>
          <cell r="S2211">
            <v>0</v>
          </cell>
          <cell r="T2211">
            <v>0</v>
          </cell>
          <cell r="U2211">
            <v>42</v>
          </cell>
          <cell r="V2211">
            <v>0</v>
          </cell>
          <cell r="W2211">
            <v>0</v>
          </cell>
          <cell r="AA2211">
            <v>0</v>
          </cell>
          <cell r="AB2211">
            <v>0</v>
          </cell>
          <cell r="AC2211">
            <v>0</v>
          </cell>
          <cell r="AD2211">
            <v>42</v>
          </cell>
          <cell r="AE2211">
            <v>505100</v>
          </cell>
          <cell r="AF2211">
            <v>0</v>
          </cell>
          <cell r="AI2211">
            <v>2282</v>
          </cell>
          <cell r="AK2211">
            <v>0</v>
          </cell>
          <cell r="AM2211">
            <v>412</v>
          </cell>
          <cell r="AN2211">
            <v>1</v>
          </cell>
          <cell r="AO2211">
            <v>393216</v>
          </cell>
          <cell r="AQ2211">
            <v>0</v>
          </cell>
          <cell r="AR2211">
            <v>0</v>
          </cell>
          <cell r="AS2211" t="str">
            <v>Ы</v>
          </cell>
          <cell r="AT2211" t="str">
            <v>Ы</v>
          </cell>
          <cell r="AU2211">
            <v>0</v>
          </cell>
          <cell r="AV2211">
            <v>0</v>
          </cell>
          <cell r="AW2211">
            <v>23</v>
          </cell>
          <cell r="AX2211">
            <v>1</v>
          </cell>
          <cell r="AY2211">
            <v>0</v>
          </cell>
          <cell r="AZ2211">
            <v>0</v>
          </cell>
          <cell r="BA2211">
            <v>0</v>
          </cell>
          <cell r="BB2211">
            <v>0</v>
          </cell>
          <cell r="BC2211">
            <v>38828</v>
          </cell>
        </row>
        <row r="2212">
          <cell r="A2212">
            <v>2006</v>
          </cell>
          <cell r="B2212">
            <v>3</v>
          </cell>
          <cell r="C2212">
            <v>256</v>
          </cell>
          <cell r="D2212">
            <v>21</v>
          </cell>
          <cell r="E2212">
            <v>792020</v>
          </cell>
          <cell r="F2212">
            <v>0</v>
          </cell>
          <cell r="G2212" t="str">
            <v>Затраты по ШПЗ (основные)</v>
          </cell>
          <cell r="H2212">
            <v>2011</v>
          </cell>
          <cell r="I2212">
            <v>7920</v>
          </cell>
          <cell r="J2212">
            <v>264463.34999999998</v>
          </cell>
          <cell r="K2212">
            <v>1</v>
          </cell>
          <cell r="L2212">
            <v>0</v>
          </cell>
          <cell r="M2212">
            <v>0</v>
          </cell>
          <cell r="N2212">
            <v>0</v>
          </cell>
          <cell r="R2212">
            <v>0</v>
          </cell>
          <cell r="S2212">
            <v>0</v>
          </cell>
          <cell r="T2212">
            <v>0</v>
          </cell>
          <cell r="U2212">
            <v>42</v>
          </cell>
          <cell r="V2212">
            <v>0</v>
          </cell>
          <cell r="W2212">
            <v>0</v>
          </cell>
          <cell r="AA2212">
            <v>0</v>
          </cell>
          <cell r="AB2212">
            <v>0</v>
          </cell>
          <cell r="AC2212">
            <v>0</v>
          </cell>
          <cell r="AD2212">
            <v>42</v>
          </cell>
          <cell r="AE2212">
            <v>505200</v>
          </cell>
          <cell r="AF2212">
            <v>0</v>
          </cell>
          <cell r="AI2212">
            <v>2282</v>
          </cell>
          <cell r="AK2212">
            <v>0</v>
          </cell>
          <cell r="AM2212">
            <v>413</v>
          </cell>
          <cell r="AN2212">
            <v>1</v>
          </cell>
          <cell r="AO2212">
            <v>393216</v>
          </cell>
          <cell r="AQ2212">
            <v>0</v>
          </cell>
          <cell r="AR2212">
            <v>0</v>
          </cell>
          <cell r="AS2212" t="str">
            <v>Ы</v>
          </cell>
          <cell r="AT2212" t="str">
            <v>Ы</v>
          </cell>
          <cell r="AU2212">
            <v>0</v>
          </cell>
          <cell r="AV2212">
            <v>0</v>
          </cell>
          <cell r="AW2212">
            <v>23</v>
          </cell>
          <cell r="AX2212">
            <v>1</v>
          </cell>
          <cell r="AY2212">
            <v>0</v>
          </cell>
          <cell r="AZ2212">
            <v>0</v>
          </cell>
          <cell r="BA2212">
            <v>0</v>
          </cell>
          <cell r="BB2212">
            <v>0</v>
          </cell>
          <cell r="BC2212">
            <v>38828</v>
          </cell>
        </row>
        <row r="2213">
          <cell r="A2213">
            <v>2006</v>
          </cell>
          <cell r="B2213">
            <v>3</v>
          </cell>
          <cell r="C2213">
            <v>257</v>
          </cell>
          <cell r="D2213">
            <v>21</v>
          </cell>
          <cell r="E2213">
            <v>792020</v>
          </cell>
          <cell r="F2213">
            <v>0</v>
          </cell>
          <cell r="G2213" t="str">
            <v>Затраты по ШПЗ (основные)</v>
          </cell>
          <cell r="H2213">
            <v>2011</v>
          </cell>
          <cell r="I2213">
            <v>7920</v>
          </cell>
          <cell r="J2213">
            <v>3613</v>
          </cell>
          <cell r="K2213">
            <v>1</v>
          </cell>
          <cell r="L2213">
            <v>0</v>
          </cell>
          <cell r="M2213">
            <v>0</v>
          </cell>
          <cell r="N2213">
            <v>0</v>
          </cell>
          <cell r="R2213">
            <v>0</v>
          </cell>
          <cell r="S2213">
            <v>0</v>
          </cell>
          <cell r="T2213">
            <v>0</v>
          </cell>
          <cell r="U2213">
            <v>42</v>
          </cell>
          <cell r="V2213">
            <v>0</v>
          </cell>
          <cell r="W2213">
            <v>0</v>
          </cell>
          <cell r="AA2213">
            <v>0</v>
          </cell>
          <cell r="AB2213">
            <v>0</v>
          </cell>
          <cell r="AC2213">
            <v>0</v>
          </cell>
          <cell r="AD2213">
            <v>42</v>
          </cell>
          <cell r="AE2213">
            <v>505400</v>
          </cell>
          <cell r="AF2213">
            <v>0</v>
          </cell>
          <cell r="AI2213">
            <v>2282</v>
          </cell>
          <cell r="AK2213">
            <v>0</v>
          </cell>
          <cell r="AM2213">
            <v>414</v>
          </cell>
          <cell r="AN2213">
            <v>1</v>
          </cell>
          <cell r="AO2213">
            <v>393216</v>
          </cell>
          <cell r="AQ2213">
            <v>0</v>
          </cell>
          <cell r="AR2213">
            <v>0</v>
          </cell>
          <cell r="AS2213" t="str">
            <v>Ы</v>
          </cell>
          <cell r="AT2213" t="str">
            <v>Ы</v>
          </cell>
          <cell r="AU2213">
            <v>0</v>
          </cell>
          <cell r="AV2213">
            <v>0</v>
          </cell>
          <cell r="AW2213">
            <v>23</v>
          </cell>
          <cell r="AX2213">
            <v>1</v>
          </cell>
          <cell r="AY2213">
            <v>0</v>
          </cell>
          <cell r="AZ2213">
            <v>0</v>
          </cell>
          <cell r="BA2213">
            <v>0</v>
          </cell>
          <cell r="BB2213">
            <v>0</v>
          </cell>
          <cell r="BC2213">
            <v>38828</v>
          </cell>
        </row>
        <row r="2214">
          <cell r="A2214">
            <v>2006</v>
          </cell>
          <cell r="B2214">
            <v>3</v>
          </cell>
          <cell r="C2214">
            <v>258</v>
          </cell>
          <cell r="D2214">
            <v>21</v>
          </cell>
          <cell r="E2214">
            <v>792020</v>
          </cell>
          <cell r="F2214">
            <v>0</v>
          </cell>
          <cell r="G2214" t="str">
            <v>Затраты по ШПЗ (основные)</v>
          </cell>
          <cell r="H2214">
            <v>2011</v>
          </cell>
          <cell r="I2214">
            <v>7920</v>
          </cell>
          <cell r="J2214">
            <v>3709.08</v>
          </cell>
          <cell r="K2214">
            <v>1</v>
          </cell>
          <cell r="L2214">
            <v>0</v>
          </cell>
          <cell r="M2214">
            <v>0</v>
          </cell>
          <cell r="N2214">
            <v>0</v>
          </cell>
          <cell r="R2214">
            <v>0</v>
          </cell>
          <cell r="S2214">
            <v>0</v>
          </cell>
          <cell r="T2214">
            <v>0</v>
          </cell>
          <cell r="U2214">
            <v>42</v>
          </cell>
          <cell r="V2214">
            <v>0</v>
          </cell>
          <cell r="W2214">
            <v>0</v>
          </cell>
          <cell r="AA2214">
            <v>0</v>
          </cell>
          <cell r="AB2214">
            <v>0</v>
          </cell>
          <cell r="AC2214">
            <v>0</v>
          </cell>
          <cell r="AD2214">
            <v>42</v>
          </cell>
          <cell r="AE2214">
            <v>506200</v>
          </cell>
          <cell r="AF2214">
            <v>0</v>
          </cell>
          <cell r="AI2214">
            <v>2282</v>
          </cell>
          <cell r="AK2214">
            <v>0</v>
          </cell>
          <cell r="AM2214">
            <v>415</v>
          </cell>
          <cell r="AN2214">
            <v>1</v>
          </cell>
          <cell r="AO2214">
            <v>393216</v>
          </cell>
          <cell r="AQ2214">
            <v>0</v>
          </cell>
          <cell r="AR2214">
            <v>0</v>
          </cell>
          <cell r="AS2214" t="str">
            <v>Ы</v>
          </cell>
          <cell r="AT2214" t="str">
            <v>Ы</v>
          </cell>
          <cell r="AU2214">
            <v>0</v>
          </cell>
          <cell r="AV2214">
            <v>0</v>
          </cell>
          <cell r="AW2214">
            <v>23</v>
          </cell>
          <cell r="AX2214">
            <v>1</v>
          </cell>
          <cell r="AY2214">
            <v>0</v>
          </cell>
          <cell r="AZ2214">
            <v>0</v>
          </cell>
          <cell r="BA2214">
            <v>0</v>
          </cell>
          <cell r="BB2214">
            <v>0</v>
          </cell>
          <cell r="BC2214">
            <v>38828</v>
          </cell>
        </row>
        <row r="2215">
          <cell r="A2215">
            <v>2006</v>
          </cell>
          <cell r="B2215">
            <v>3</v>
          </cell>
          <cell r="C2215">
            <v>259</v>
          </cell>
          <cell r="D2215">
            <v>21</v>
          </cell>
          <cell r="E2215">
            <v>792020</v>
          </cell>
          <cell r="F2215">
            <v>0</v>
          </cell>
          <cell r="G2215" t="str">
            <v>Затраты по ШПЗ (основные)</v>
          </cell>
          <cell r="H2215">
            <v>2011</v>
          </cell>
          <cell r="I2215">
            <v>7920</v>
          </cell>
          <cell r="J2215">
            <v>149.96</v>
          </cell>
          <cell r="K2215">
            <v>1</v>
          </cell>
          <cell r="L2215">
            <v>0</v>
          </cell>
          <cell r="M2215">
            <v>0</v>
          </cell>
          <cell r="N2215">
            <v>0</v>
          </cell>
          <cell r="R2215">
            <v>0</v>
          </cell>
          <cell r="S2215">
            <v>0</v>
          </cell>
          <cell r="T2215">
            <v>0</v>
          </cell>
          <cell r="U2215">
            <v>42</v>
          </cell>
          <cell r="V2215">
            <v>0</v>
          </cell>
          <cell r="W2215">
            <v>0</v>
          </cell>
          <cell r="AA2215">
            <v>0</v>
          </cell>
          <cell r="AB2215">
            <v>0</v>
          </cell>
          <cell r="AC2215">
            <v>0</v>
          </cell>
          <cell r="AD2215">
            <v>42</v>
          </cell>
          <cell r="AE2215">
            <v>508400</v>
          </cell>
          <cell r="AF2215">
            <v>0</v>
          </cell>
          <cell r="AI2215">
            <v>2282</v>
          </cell>
          <cell r="AK2215">
            <v>0</v>
          </cell>
          <cell r="AM2215">
            <v>416</v>
          </cell>
          <cell r="AN2215">
            <v>1</v>
          </cell>
          <cell r="AO2215">
            <v>393216</v>
          </cell>
          <cell r="AQ2215">
            <v>0</v>
          </cell>
          <cell r="AR2215">
            <v>0</v>
          </cell>
          <cell r="AS2215" t="str">
            <v>Ы</v>
          </cell>
          <cell r="AT2215" t="str">
            <v>Ы</v>
          </cell>
          <cell r="AU2215">
            <v>0</v>
          </cell>
          <cell r="AV2215">
            <v>0</v>
          </cell>
          <cell r="AW2215">
            <v>23</v>
          </cell>
          <cell r="AX2215">
            <v>1</v>
          </cell>
          <cell r="AY2215">
            <v>0</v>
          </cell>
          <cell r="AZ2215">
            <v>0</v>
          </cell>
          <cell r="BA2215">
            <v>0</v>
          </cell>
          <cell r="BB2215">
            <v>0</v>
          </cell>
          <cell r="BC2215">
            <v>38828</v>
          </cell>
        </row>
        <row r="2216">
          <cell r="A2216">
            <v>2006</v>
          </cell>
          <cell r="B2216">
            <v>3</v>
          </cell>
          <cell r="C2216">
            <v>260</v>
          </cell>
          <cell r="D2216">
            <v>21</v>
          </cell>
          <cell r="E2216">
            <v>792020</v>
          </cell>
          <cell r="F2216">
            <v>0</v>
          </cell>
          <cell r="G2216" t="str">
            <v>Затраты по ШПЗ (основные)</v>
          </cell>
          <cell r="H2216">
            <v>2011</v>
          </cell>
          <cell r="I2216">
            <v>7920</v>
          </cell>
          <cell r="J2216">
            <v>2699.33</v>
          </cell>
          <cell r="K2216">
            <v>1</v>
          </cell>
          <cell r="L2216">
            <v>0</v>
          </cell>
          <cell r="M2216">
            <v>0</v>
          </cell>
          <cell r="N2216">
            <v>0</v>
          </cell>
          <cell r="R2216">
            <v>0</v>
          </cell>
          <cell r="S2216">
            <v>0</v>
          </cell>
          <cell r="T2216">
            <v>0</v>
          </cell>
          <cell r="U2216">
            <v>42</v>
          </cell>
          <cell r="V2216">
            <v>0</v>
          </cell>
          <cell r="W2216">
            <v>0</v>
          </cell>
          <cell r="AA2216">
            <v>0</v>
          </cell>
          <cell r="AB2216">
            <v>0</v>
          </cell>
          <cell r="AC2216">
            <v>0</v>
          </cell>
          <cell r="AD2216">
            <v>42</v>
          </cell>
          <cell r="AE2216">
            <v>508700</v>
          </cell>
          <cell r="AF2216">
            <v>0</v>
          </cell>
          <cell r="AI2216">
            <v>2282</v>
          </cell>
          <cell r="AK2216">
            <v>0</v>
          </cell>
          <cell r="AM2216">
            <v>417</v>
          </cell>
          <cell r="AN2216">
            <v>1</v>
          </cell>
          <cell r="AO2216">
            <v>393216</v>
          </cell>
          <cell r="AQ2216">
            <v>0</v>
          </cell>
          <cell r="AR2216">
            <v>0</v>
          </cell>
          <cell r="AS2216" t="str">
            <v>Ы</v>
          </cell>
          <cell r="AT2216" t="str">
            <v>Ы</v>
          </cell>
          <cell r="AU2216">
            <v>0</v>
          </cell>
          <cell r="AV2216">
            <v>0</v>
          </cell>
          <cell r="AW2216">
            <v>23</v>
          </cell>
          <cell r="AX2216">
            <v>1</v>
          </cell>
          <cell r="AY2216">
            <v>0</v>
          </cell>
          <cell r="AZ2216">
            <v>0</v>
          </cell>
          <cell r="BA2216">
            <v>0</v>
          </cell>
          <cell r="BB2216">
            <v>0</v>
          </cell>
          <cell r="BC2216">
            <v>38828</v>
          </cell>
        </row>
        <row r="2217">
          <cell r="A2217">
            <v>2006</v>
          </cell>
          <cell r="B2217">
            <v>3</v>
          </cell>
          <cell r="C2217">
            <v>261</v>
          </cell>
          <cell r="D2217">
            <v>21</v>
          </cell>
          <cell r="E2217">
            <v>792020</v>
          </cell>
          <cell r="F2217">
            <v>0</v>
          </cell>
          <cell r="G2217" t="str">
            <v>Затраты по ШПЗ (основные)</v>
          </cell>
          <cell r="H2217">
            <v>2011</v>
          </cell>
          <cell r="I2217">
            <v>7920</v>
          </cell>
          <cell r="J2217">
            <v>705652.15</v>
          </cell>
          <cell r="K2217">
            <v>1</v>
          </cell>
          <cell r="L2217">
            <v>0</v>
          </cell>
          <cell r="M2217">
            <v>0</v>
          </cell>
          <cell r="N2217">
            <v>0</v>
          </cell>
          <cell r="R2217">
            <v>0</v>
          </cell>
          <cell r="S2217">
            <v>0</v>
          </cell>
          <cell r="T2217">
            <v>0</v>
          </cell>
          <cell r="U2217">
            <v>42</v>
          </cell>
          <cell r="V2217">
            <v>0</v>
          </cell>
          <cell r="W2217">
            <v>0</v>
          </cell>
          <cell r="AA2217">
            <v>0</v>
          </cell>
          <cell r="AB2217">
            <v>0</v>
          </cell>
          <cell r="AC2217">
            <v>0</v>
          </cell>
          <cell r="AD2217">
            <v>42</v>
          </cell>
          <cell r="AE2217">
            <v>510100</v>
          </cell>
          <cell r="AF2217">
            <v>0</v>
          </cell>
          <cell r="AI2217">
            <v>2282</v>
          </cell>
          <cell r="AK2217">
            <v>0</v>
          </cell>
          <cell r="AM2217">
            <v>418</v>
          </cell>
          <cell r="AN2217">
            <v>1</v>
          </cell>
          <cell r="AO2217">
            <v>393216</v>
          </cell>
          <cell r="AQ2217">
            <v>0</v>
          </cell>
          <cell r="AR2217">
            <v>0</v>
          </cell>
          <cell r="AS2217" t="str">
            <v>Ы</v>
          </cell>
          <cell r="AT2217" t="str">
            <v>Ы</v>
          </cell>
          <cell r="AU2217">
            <v>0</v>
          </cell>
          <cell r="AV2217">
            <v>0</v>
          </cell>
          <cell r="AW2217">
            <v>23</v>
          </cell>
          <cell r="AX2217">
            <v>1</v>
          </cell>
          <cell r="AY2217">
            <v>0</v>
          </cell>
          <cell r="AZ2217">
            <v>0</v>
          </cell>
          <cell r="BA2217">
            <v>0</v>
          </cell>
          <cell r="BB2217">
            <v>0</v>
          </cell>
          <cell r="BC2217">
            <v>38828</v>
          </cell>
        </row>
        <row r="2218">
          <cell r="A2218">
            <v>2006</v>
          </cell>
          <cell r="B2218">
            <v>3</v>
          </cell>
          <cell r="C2218">
            <v>262</v>
          </cell>
          <cell r="D2218">
            <v>21</v>
          </cell>
          <cell r="E2218">
            <v>792020</v>
          </cell>
          <cell r="F2218">
            <v>0</v>
          </cell>
          <cell r="G2218" t="str">
            <v>Затраты по ШПЗ (основные)</v>
          </cell>
          <cell r="H2218">
            <v>2011</v>
          </cell>
          <cell r="I2218">
            <v>7920</v>
          </cell>
          <cell r="J2218">
            <v>1322.02</v>
          </cell>
          <cell r="K2218">
            <v>1</v>
          </cell>
          <cell r="L2218">
            <v>0</v>
          </cell>
          <cell r="M2218">
            <v>0</v>
          </cell>
          <cell r="N2218">
            <v>0</v>
          </cell>
          <cell r="R2218">
            <v>0</v>
          </cell>
          <cell r="S2218">
            <v>0</v>
          </cell>
          <cell r="T2218">
            <v>0</v>
          </cell>
          <cell r="U2218">
            <v>42</v>
          </cell>
          <cell r="V2218">
            <v>0</v>
          </cell>
          <cell r="W2218">
            <v>0</v>
          </cell>
          <cell r="AA2218">
            <v>0</v>
          </cell>
          <cell r="AB2218">
            <v>0</v>
          </cell>
          <cell r="AC2218">
            <v>0</v>
          </cell>
          <cell r="AD2218">
            <v>42</v>
          </cell>
          <cell r="AE2218">
            <v>510200</v>
          </cell>
          <cell r="AF2218">
            <v>0</v>
          </cell>
          <cell r="AI2218">
            <v>2282</v>
          </cell>
          <cell r="AK2218">
            <v>0</v>
          </cell>
          <cell r="AM2218">
            <v>419</v>
          </cell>
          <cell r="AN2218">
            <v>1</v>
          </cell>
          <cell r="AO2218">
            <v>393216</v>
          </cell>
          <cell r="AQ2218">
            <v>0</v>
          </cell>
          <cell r="AR2218">
            <v>0</v>
          </cell>
          <cell r="AS2218" t="str">
            <v>Ы</v>
          </cell>
          <cell r="AT2218" t="str">
            <v>Ы</v>
          </cell>
          <cell r="AU2218">
            <v>0</v>
          </cell>
          <cell r="AV2218">
            <v>0</v>
          </cell>
          <cell r="AW2218">
            <v>23</v>
          </cell>
          <cell r="AX2218">
            <v>1</v>
          </cell>
          <cell r="AY2218">
            <v>0</v>
          </cell>
          <cell r="AZ2218">
            <v>0</v>
          </cell>
          <cell r="BA2218">
            <v>0</v>
          </cell>
          <cell r="BB2218">
            <v>0</v>
          </cell>
          <cell r="BC2218">
            <v>38828</v>
          </cell>
        </row>
        <row r="2219">
          <cell r="A2219">
            <v>2006</v>
          </cell>
          <cell r="B2219">
            <v>3</v>
          </cell>
          <cell r="C2219">
            <v>263</v>
          </cell>
          <cell r="D2219">
            <v>21</v>
          </cell>
          <cell r="E2219">
            <v>792020</v>
          </cell>
          <cell r="F2219">
            <v>0</v>
          </cell>
          <cell r="G2219" t="str">
            <v>Затраты по ШПЗ (основные)</v>
          </cell>
          <cell r="H2219">
            <v>2011</v>
          </cell>
          <cell r="I2219">
            <v>7920</v>
          </cell>
          <cell r="J2219">
            <v>-220432.01</v>
          </cell>
          <cell r="K2219">
            <v>1</v>
          </cell>
          <cell r="L2219">
            <v>0</v>
          </cell>
          <cell r="M2219">
            <v>0</v>
          </cell>
          <cell r="N2219">
            <v>0</v>
          </cell>
          <cell r="R2219">
            <v>0</v>
          </cell>
          <cell r="S2219">
            <v>0</v>
          </cell>
          <cell r="T2219">
            <v>0</v>
          </cell>
          <cell r="U2219">
            <v>42</v>
          </cell>
          <cell r="V2219">
            <v>0</v>
          </cell>
          <cell r="W2219">
            <v>0</v>
          </cell>
          <cell r="AA2219">
            <v>0</v>
          </cell>
          <cell r="AB2219">
            <v>0</v>
          </cell>
          <cell r="AC2219">
            <v>0</v>
          </cell>
          <cell r="AD2219">
            <v>42</v>
          </cell>
          <cell r="AE2219">
            <v>510300</v>
          </cell>
          <cell r="AF2219">
            <v>0</v>
          </cell>
          <cell r="AI2219">
            <v>2282</v>
          </cell>
          <cell r="AK2219">
            <v>0</v>
          </cell>
          <cell r="AM2219">
            <v>420</v>
          </cell>
          <cell r="AN2219">
            <v>1</v>
          </cell>
          <cell r="AO2219">
            <v>393216</v>
          </cell>
          <cell r="AQ2219">
            <v>0</v>
          </cell>
          <cell r="AR2219">
            <v>0</v>
          </cell>
          <cell r="AS2219" t="str">
            <v>Ы</v>
          </cell>
          <cell r="AT2219" t="str">
            <v>Ы</v>
          </cell>
          <cell r="AU2219">
            <v>0</v>
          </cell>
          <cell r="AV2219">
            <v>0</v>
          </cell>
          <cell r="AW2219">
            <v>23</v>
          </cell>
          <cell r="AX2219">
            <v>1</v>
          </cell>
          <cell r="AY2219">
            <v>0</v>
          </cell>
          <cell r="AZ2219">
            <v>0</v>
          </cell>
          <cell r="BA2219">
            <v>0</v>
          </cell>
          <cell r="BB2219">
            <v>0</v>
          </cell>
          <cell r="BC2219">
            <v>38828</v>
          </cell>
        </row>
        <row r="2220">
          <cell r="A2220">
            <v>2006</v>
          </cell>
          <cell r="B2220">
            <v>3</v>
          </cell>
          <cell r="C2220">
            <v>264</v>
          </cell>
          <cell r="D2220">
            <v>21</v>
          </cell>
          <cell r="E2220">
            <v>792020</v>
          </cell>
          <cell r="F2220">
            <v>0</v>
          </cell>
          <cell r="G2220" t="str">
            <v>Затраты по ШПЗ (основные)</v>
          </cell>
          <cell r="H2220">
            <v>2011</v>
          </cell>
          <cell r="I2220">
            <v>7920</v>
          </cell>
          <cell r="J2220">
            <v>7392.04</v>
          </cell>
          <cell r="K2220">
            <v>1</v>
          </cell>
          <cell r="L2220">
            <v>0</v>
          </cell>
          <cell r="M2220">
            <v>0</v>
          </cell>
          <cell r="N2220">
            <v>0</v>
          </cell>
          <cell r="R2220">
            <v>0</v>
          </cell>
          <cell r="S2220">
            <v>0</v>
          </cell>
          <cell r="T2220">
            <v>0</v>
          </cell>
          <cell r="U2220">
            <v>42</v>
          </cell>
          <cell r="V2220">
            <v>0</v>
          </cell>
          <cell r="W2220">
            <v>0</v>
          </cell>
          <cell r="AA2220">
            <v>0</v>
          </cell>
          <cell r="AB2220">
            <v>0</v>
          </cell>
          <cell r="AC2220">
            <v>0</v>
          </cell>
          <cell r="AD2220">
            <v>42</v>
          </cell>
          <cell r="AE2220">
            <v>510400</v>
          </cell>
          <cell r="AF2220">
            <v>0</v>
          </cell>
          <cell r="AI2220">
            <v>2282</v>
          </cell>
          <cell r="AK2220">
            <v>0</v>
          </cell>
          <cell r="AM2220">
            <v>421</v>
          </cell>
          <cell r="AN2220">
            <v>1</v>
          </cell>
          <cell r="AO2220">
            <v>393216</v>
          </cell>
          <cell r="AQ2220">
            <v>0</v>
          </cell>
          <cell r="AR2220">
            <v>0</v>
          </cell>
          <cell r="AS2220" t="str">
            <v>Ы</v>
          </cell>
          <cell r="AT2220" t="str">
            <v>Ы</v>
          </cell>
          <cell r="AU2220">
            <v>0</v>
          </cell>
          <cell r="AV2220">
            <v>0</v>
          </cell>
          <cell r="AW2220">
            <v>23</v>
          </cell>
          <cell r="AX2220">
            <v>1</v>
          </cell>
          <cell r="AY2220">
            <v>0</v>
          </cell>
          <cell r="AZ2220">
            <v>0</v>
          </cell>
          <cell r="BA2220">
            <v>0</v>
          </cell>
          <cell r="BB2220">
            <v>0</v>
          </cell>
          <cell r="BC2220">
            <v>38828</v>
          </cell>
        </row>
        <row r="2221">
          <cell r="A2221">
            <v>2006</v>
          </cell>
          <cell r="B2221">
            <v>3</v>
          </cell>
          <cell r="C2221">
            <v>265</v>
          </cell>
          <cell r="D2221">
            <v>21</v>
          </cell>
          <cell r="E2221">
            <v>792020</v>
          </cell>
          <cell r="F2221">
            <v>0</v>
          </cell>
          <cell r="G2221" t="str">
            <v>Затраты по ШПЗ (основные)</v>
          </cell>
          <cell r="H2221">
            <v>2011</v>
          </cell>
          <cell r="I2221">
            <v>7920</v>
          </cell>
          <cell r="J2221">
            <v>5273.75</v>
          </cell>
          <cell r="K2221">
            <v>1</v>
          </cell>
          <cell r="L2221">
            <v>0</v>
          </cell>
          <cell r="M2221">
            <v>0</v>
          </cell>
          <cell r="N2221">
            <v>0</v>
          </cell>
          <cell r="R2221">
            <v>0</v>
          </cell>
          <cell r="S2221">
            <v>0</v>
          </cell>
          <cell r="T2221">
            <v>0</v>
          </cell>
          <cell r="U2221">
            <v>42</v>
          </cell>
          <cell r="V2221">
            <v>0</v>
          </cell>
          <cell r="W2221">
            <v>0</v>
          </cell>
          <cell r="AA2221">
            <v>0</v>
          </cell>
          <cell r="AB2221">
            <v>0</v>
          </cell>
          <cell r="AC2221">
            <v>0</v>
          </cell>
          <cell r="AD2221">
            <v>42</v>
          </cell>
          <cell r="AE2221">
            <v>510500</v>
          </cell>
          <cell r="AF2221">
            <v>0</v>
          </cell>
          <cell r="AI2221">
            <v>2282</v>
          </cell>
          <cell r="AK2221">
            <v>0</v>
          </cell>
          <cell r="AM2221">
            <v>422</v>
          </cell>
          <cell r="AN2221">
            <v>1</v>
          </cell>
          <cell r="AO2221">
            <v>393216</v>
          </cell>
          <cell r="AQ2221">
            <v>0</v>
          </cell>
          <cell r="AR2221">
            <v>0</v>
          </cell>
          <cell r="AS2221" t="str">
            <v>Ы</v>
          </cell>
          <cell r="AT2221" t="str">
            <v>Ы</v>
          </cell>
          <cell r="AU2221">
            <v>0</v>
          </cell>
          <cell r="AV2221">
            <v>0</v>
          </cell>
          <cell r="AW2221">
            <v>23</v>
          </cell>
          <cell r="AX2221">
            <v>1</v>
          </cell>
          <cell r="AY2221">
            <v>0</v>
          </cell>
          <cell r="AZ2221">
            <v>0</v>
          </cell>
          <cell r="BA2221">
            <v>0</v>
          </cell>
          <cell r="BB2221">
            <v>0</v>
          </cell>
          <cell r="BC2221">
            <v>38828</v>
          </cell>
        </row>
        <row r="2222">
          <cell r="A2222">
            <v>2006</v>
          </cell>
          <cell r="B2222">
            <v>3</v>
          </cell>
          <cell r="C2222">
            <v>266</v>
          </cell>
          <cell r="D2222">
            <v>21</v>
          </cell>
          <cell r="E2222">
            <v>792020</v>
          </cell>
          <cell r="F2222">
            <v>0</v>
          </cell>
          <cell r="G2222" t="str">
            <v>Затраты по ШПЗ (основные)</v>
          </cell>
          <cell r="H2222">
            <v>2011</v>
          </cell>
          <cell r="I2222">
            <v>7920</v>
          </cell>
          <cell r="J2222">
            <v>721527.97</v>
          </cell>
          <cell r="K2222">
            <v>1</v>
          </cell>
          <cell r="L2222">
            <v>0</v>
          </cell>
          <cell r="M2222">
            <v>0</v>
          </cell>
          <cell r="N2222">
            <v>0</v>
          </cell>
          <cell r="R2222">
            <v>0</v>
          </cell>
          <cell r="S2222">
            <v>0</v>
          </cell>
          <cell r="T2222">
            <v>0</v>
          </cell>
          <cell r="U2222">
            <v>42</v>
          </cell>
          <cell r="V2222">
            <v>0</v>
          </cell>
          <cell r="W2222">
            <v>0</v>
          </cell>
          <cell r="AA2222">
            <v>0</v>
          </cell>
          <cell r="AB2222">
            <v>0</v>
          </cell>
          <cell r="AC2222">
            <v>0</v>
          </cell>
          <cell r="AD2222">
            <v>42</v>
          </cell>
          <cell r="AE2222">
            <v>510600</v>
          </cell>
          <cell r="AF2222">
            <v>0</v>
          </cell>
          <cell r="AI2222">
            <v>2282</v>
          </cell>
          <cell r="AK2222">
            <v>0</v>
          </cell>
          <cell r="AM2222">
            <v>423</v>
          </cell>
          <cell r="AN2222">
            <v>1</v>
          </cell>
          <cell r="AO2222">
            <v>393216</v>
          </cell>
          <cell r="AQ2222">
            <v>0</v>
          </cell>
          <cell r="AR2222">
            <v>0</v>
          </cell>
          <cell r="AS2222" t="str">
            <v>Ы</v>
          </cell>
          <cell r="AT2222" t="str">
            <v>Ы</v>
          </cell>
          <cell r="AU2222">
            <v>0</v>
          </cell>
          <cell r="AV2222">
            <v>0</v>
          </cell>
          <cell r="AW2222">
            <v>23</v>
          </cell>
          <cell r="AX2222">
            <v>1</v>
          </cell>
          <cell r="AY2222">
            <v>0</v>
          </cell>
          <cell r="AZ2222">
            <v>0</v>
          </cell>
          <cell r="BA2222">
            <v>0</v>
          </cell>
          <cell r="BB2222">
            <v>0</v>
          </cell>
          <cell r="BC2222">
            <v>38828</v>
          </cell>
        </row>
        <row r="2223">
          <cell r="A2223">
            <v>2006</v>
          </cell>
          <cell r="B2223">
            <v>3</v>
          </cell>
          <cell r="C2223">
            <v>267</v>
          </cell>
          <cell r="D2223">
            <v>21</v>
          </cell>
          <cell r="E2223">
            <v>792020</v>
          </cell>
          <cell r="F2223">
            <v>0</v>
          </cell>
          <cell r="G2223" t="str">
            <v>Затраты по ШПЗ (основные)</v>
          </cell>
          <cell r="H2223">
            <v>2011</v>
          </cell>
          <cell r="I2223">
            <v>7920</v>
          </cell>
          <cell r="J2223">
            <v>1912.03</v>
          </cell>
          <cell r="K2223">
            <v>1</v>
          </cell>
          <cell r="L2223">
            <v>0</v>
          </cell>
          <cell r="M2223">
            <v>0</v>
          </cell>
          <cell r="N2223">
            <v>0</v>
          </cell>
          <cell r="R2223">
            <v>0</v>
          </cell>
          <cell r="S2223">
            <v>0</v>
          </cell>
          <cell r="T2223">
            <v>0</v>
          </cell>
          <cell r="U2223">
            <v>42</v>
          </cell>
          <cell r="V2223">
            <v>0</v>
          </cell>
          <cell r="W2223">
            <v>0</v>
          </cell>
          <cell r="AA2223">
            <v>0</v>
          </cell>
          <cell r="AB2223">
            <v>0</v>
          </cell>
          <cell r="AC2223">
            <v>0</v>
          </cell>
          <cell r="AD2223">
            <v>42</v>
          </cell>
          <cell r="AE2223">
            <v>510630</v>
          </cell>
          <cell r="AF2223">
            <v>0</v>
          </cell>
          <cell r="AI2223">
            <v>2282</v>
          </cell>
          <cell r="AK2223">
            <v>0</v>
          </cell>
          <cell r="AM2223">
            <v>424</v>
          </cell>
          <cell r="AN2223">
            <v>1</v>
          </cell>
          <cell r="AO2223">
            <v>393216</v>
          </cell>
          <cell r="AQ2223">
            <v>0</v>
          </cell>
          <cell r="AR2223">
            <v>0</v>
          </cell>
          <cell r="AS2223" t="str">
            <v>Ы</v>
          </cell>
          <cell r="AT2223" t="str">
            <v>Ы</v>
          </cell>
          <cell r="AU2223">
            <v>0</v>
          </cell>
          <cell r="AV2223">
            <v>0</v>
          </cell>
          <cell r="AW2223">
            <v>23</v>
          </cell>
          <cell r="AX2223">
            <v>1</v>
          </cell>
          <cell r="AY2223">
            <v>0</v>
          </cell>
          <cell r="AZ2223">
            <v>0</v>
          </cell>
          <cell r="BA2223">
            <v>0</v>
          </cell>
          <cell r="BB2223">
            <v>0</v>
          </cell>
          <cell r="BC2223">
            <v>38828</v>
          </cell>
        </row>
        <row r="2224">
          <cell r="A2224">
            <v>2006</v>
          </cell>
          <cell r="B2224">
            <v>3</v>
          </cell>
          <cell r="C2224">
            <v>294</v>
          </cell>
          <cell r="D2224">
            <v>21</v>
          </cell>
          <cell r="E2224">
            <v>792020</v>
          </cell>
          <cell r="F2224">
            <v>0</v>
          </cell>
          <cell r="G2224" t="str">
            <v>Затраты по ШПЗ (основные)</v>
          </cell>
          <cell r="H2224">
            <v>2011</v>
          </cell>
          <cell r="I2224">
            <v>7920</v>
          </cell>
          <cell r="J2224">
            <v>466863.17</v>
          </cell>
          <cell r="K2224">
            <v>1</v>
          </cell>
          <cell r="L2224">
            <v>0</v>
          </cell>
          <cell r="M2224">
            <v>0</v>
          </cell>
          <cell r="N2224">
            <v>0</v>
          </cell>
          <cell r="R2224">
            <v>0</v>
          </cell>
          <cell r="S2224">
            <v>0</v>
          </cell>
          <cell r="T2224">
            <v>0</v>
          </cell>
          <cell r="U2224">
            <v>31</v>
          </cell>
          <cell r="V2224">
            <v>0</v>
          </cell>
          <cell r="W2224">
            <v>0</v>
          </cell>
          <cell r="AA2224">
            <v>0</v>
          </cell>
          <cell r="AB2224">
            <v>0</v>
          </cell>
          <cell r="AC2224">
            <v>0</v>
          </cell>
          <cell r="AD2224">
            <v>31</v>
          </cell>
          <cell r="AE2224">
            <v>110000</v>
          </cell>
          <cell r="AF2224">
            <v>0</v>
          </cell>
          <cell r="AI2224">
            <v>2282</v>
          </cell>
          <cell r="AK2224">
            <v>0</v>
          </cell>
          <cell r="AM2224">
            <v>451</v>
          </cell>
          <cell r="AN2224">
            <v>1</v>
          </cell>
          <cell r="AO2224">
            <v>393216</v>
          </cell>
          <cell r="AQ2224">
            <v>0</v>
          </cell>
          <cell r="AR2224">
            <v>0</v>
          </cell>
          <cell r="AS2224" t="str">
            <v>Ы</v>
          </cell>
          <cell r="AT2224" t="str">
            <v>Ы</v>
          </cell>
          <cell r="AU2224">
            <v>0</v>
          </cell>
          <cell r="AV2224">
            <v>0</v>
          </cell>
          <cell r="AW2224">
            <v>23</v>
          </cell>
          <cell r="AX2224">
            <v>1</v>
          </cell>
          <cell r="AY2224">
            <v>0</v>
          </cell>
          <cell r="AZ2224">
            <v>0</v>
          </cell>
          <cell r="BA2224">
            <v>0</v>
          </cell>
          <cell r="BB2224">
            <v>0</v>
          </cell>
          <cell r="BC2224">
            <v>38828</v>
          </cell>
        </row>
        <row r="2225">
          <cell r="A2225">
            <v>2006</v>
          </cell>
          <cell r="B2225">
            <v>3</v>
          </cell>
          <cell r="C2225">
            <v>295</v>
          </cell>
          <cell r="D2225">
            <v>21</v>
          </cell>
          <cell r="E2225">
            <v>792020</v>
          </cell>
          <cell r="F2225">
            <v>0</v>
          </cell>
          <cell r="G2225" t="str">
            <v>Затраты по ШПЗ (основные)</v>
          </cell>
          <cell r="H2225">
            <v>2011</v>
          </cell>
          <cell r="I2225">
            <v>7920</v>
          </cell>
          <cell r="J2225">
            <v>8052.47</v>
          </cell>
          <cell r="K2225">
            <v>1</v>
          </cell>
          <cell r="L2225">
            <v>0</v>
          </cell>
          <cell r="M2225">
            <v>0</v>
          </cell>
          <cell r="N2225">
            <v>0</v>
          </cell>
          <cell r="R2225">
            <v>0</v>
          </cell>
          <cell r="S2225">
            <v>0</v>
          </cell>
          <cell r="T2225">
            <v>0</v>
          </cell>
          <cell r="U2225">
            <v>31</v>
          </cell>
          <cell r="V2225">
            <v>0</v>
          </cell>
          <cell r="W2225">
            <v>0</v>
          </cell>
          <cell r="AA2225">
            <v>0</v>
          </cell>
          <cell r="AB2225">
            <v>0</v>
          </cell>
          <cell r="AC2225">
            <v>0</v>
          </cell>
          <cell r="AD2225">
            <v>31</v>
          </cell>
          <cell r="AE2225">
            <v>114020</v>
          </cell>
          <cell r="AF2225">
            <v>0</v>
          </cell>
          <cell r="AI2225">
            <v>2282</v>
          </cell>
          <cell r="AK2225">
            <v>0</v>
          </cell>
          <cell r="AM2225">
            <v>452</v>
          </cell>
          <cell r="AN2225">
            <v>1</v>
          </cell>
          <cell r="AO2225">
            <v>393216</v>
          </cell>
          <cell r="AQ2225">
            <v>0</v>
          </cell>
          <cell r="AR2225">
            <v>0</v>
          </cell>
          <cell r="AS2225" t="str">
            <v>Ы</v>
          </cell>
          <cell r="AT2225" t="str">
            <v>Ы</v>
          </cell>
          <cell r="AU2225">
            <v>0</v>
          </cell>
          <cell r="AV2225">
            <v>0</v>
          </cell>
          <cell r="AW2225">
            <v>23</v>
          </cell>
          <cell r="AX2225">
            <v>1</v>
          </cell>
          <cell r="AY2225">
            <v>0</v>
          </cell>
          <cell r="AZ2225">
            <v>0</v>
          </cell>
          <cell r="BA2225">
            <v>0</v>
          </cell>
          <cell r="BB2225">
            <v>0</v>
          </cell>
          <cell r="BC2225">
            <v>38828</v>
          </cell>
        </row>
        <row r="2226">
          <cell r="A2226">
            <v>2006</v>
          </cell>
          <cell r="B2226">
            <v>3</v>
          </cell>
          <cell r="C2226">
            <v>296</v>
          </cell>
          <cell r="D2226">
            <v>21</v>
          </cell>
          <cell r="E2226">
            <v>792020</v>
          </cell>
          <cell r="F2226">
            <v>0</v>
          </cell>
          <cell r="G2226" t="str">
            <v>Затраты по ШПЗ (основные)</v>
          </cell>
          <cell r="H2226">
            <v>2011</v>
          </cell>
          <cell r="I2226">
            <v>7920</v>
          </cell>
          <cell r="J2226">
            <v>15957.53</v>
          </cell>
          <cell r="K2226">
            <v>1</v>
          </cell>
          <cell r="L2226">
            <v>0</v>
          </cell>
          <cell r="M2226">
            <v>0</v>
          </cell>
          <cell r="N2226">
            <v>0</v>
          </cell>
          <cell r="R2226">
            <v>0</v>
          </cell>
          <cell r="S2226">
            <v>0</v>
          </cell>
          <cell r="T2226">
            <v>0</v>
          </cell>
          <cell r="U2226">
            <v>31</v>
          </cell>
          <cell r="V2226">
            <v>0</v>
          </cell>
          <cell r="W2226">
            <v>0</v>
          </cell>
          <cell r="AA2226">
            <v>0</v>
          </cell>
          <cell r="AB2226">
            <v>0</v>
          </cell>
          <cell r="AC2226">
            <v>0</v>
          </cell>
          <cell r="AD2226">
            <v>31</v>
          </cell>
          <cell r="AE2226">
            <v>117000</v>
          </cell>
          <cell r="AF2226">
            <v>0</v>
          </cell>
          <cell r="AI2226">
            <v>2282</v>
          </cell>
          <cell r="AK2226">
            <v>0</v>
          </cell>
          <cell r="AM2226">
            <v>453</v>
          </cell>
          <cell r="AN2226">
            <v>1</v>
          </cell>
          <cell r="AO2226">
            <v>393216</v>
          </cell>
          <cell r="AQ2226">
            <v>0</v>
          </cell>
          <cell r="AR2226">
            <v>0</v>
          </cell>
          <cell r="AS2226" t="str">
            <v>Ы</v>
          </cell>
          <cell r="AT2226" t="str">
            <v>Ы</v>
          </cell>
          <cell r="AU2226">
            <v>0</v>
          </cell>
          <cell r="AV2226">
            <v>0</v>
          </cell>
          <cell r="AW2226">
            <v>23</v>
          </cell>
          <cell r="AX2226">
            <v>1</v>
          </cell>
          <cell r="AY2226">
            <v>0</v>
          </cell>
          <cell r="AZ2226">
            <v>0</v>
          </cell>
          <cell r="BA2226">
            <v>0</v>
          </cell>
          <cell r="BB2226">
            <v>0</v>
          </cell>
          <cell r="BC2226">
            <v>38828</v>
          </cell>
        </row>
        <row r="2227">
          <cell r="A2227">
            <v>2006</v>
          </cell>
          <cell r="B2227">
            <v>3</v>
          </cell>
          <cell r="C2227">
            <v>297</v>
          </cell>
          <cell r="D2227">
            <v>21</v>
          </cell>
          <cell r="E2227">
            <v>792020</v>
          </cell>
          <cell r="F2227">
            <v>0</v>
          </cell>
          <cell r="G2227" t="str">
            <v>Затраты по ШПЗ (основные)</v>
          </cell>
          <cell r="H2227">
            <v>2011</v>
          </cell>
          <cell r="I2227">
            <v>7920</v>
          </cell>
          <cell r="J2227">
            <v>21659</v>
          </cell>
          <cell r="K2227">
            <v>1</v>
          </cell>
          <cell r="L2227">
            <v>0</v>
          </cell>
          <cell r="M2227">
            <v>0</v>
          </cell>
          <cell r="N2227">
            <v>0</v>
          </cell>
          <cell r="R2227">
            <v>0</v>
          </cell>
          <cell r="S2227">
            <v>0</v>
          </cell>
          <cell r="T2227">
            <v>0</v>
          </cell>
          <cell r="U2227">
            <v>31</v>
          </cell>
          <cell r="V2227">
            <v>0</v>
          </cell>
          <cell r="W2227">
            <v>0</v>
          </cell>
          <cell r="AA2227">
            <v>0</v>
          </cell>
          <cell r="AB2227">
            <v>0</v>
          </cell>
          <cell r="AC2227">
            <v>0</v>
          </cell>
          <cell r="AD2227">
            <v>31</v>
          </cell>
          <cell r="AE2227">
            <v>118000</v>
          </cell>
          <cell r="AF2227">
            <v>0</v>
          </cell>
          <cell r="AI2227">
            <v>2282</v>
          </cell>
          <cell r="AK2227">
            <v>0</v>
          </cell>
          <cell r="AM2227">
            <v>454</v>
          </cell>
          <cell r="AN2227">
            <v>1</v>
          </cell>
          <cell r="AO2227">
            <v>393216</v>
          </cell>
          <cell r="AQ2227">
            <v>0</v>
          </cell>
          <cell r="AR2227">
            <v>0</v>
          </cell>
          <cell r="AS2227" t="str">
            <v>Ы</v>
          </cell>
          <cell r="AT2227" t="str">
            <v>Ы</v>
          </cell>
          <cell r="AU2227">
            <v>0</v>
          </cell>
          <cell r="AV2227">
            <v>0</v>
          </cell>
          <cell r="AW2227">
            <v>23</v>
          </cell>
          <cell r="AX2227">
            <v>1</v>
          </cell>
          <cell r="AY2227">
            <v>0</v>
          </cell>
          <cell r="AZ2227">
            <v>0</v>
          </cell>
          <cell r="BA2227">
            <v>0</v>
          </cell>
          <cell r="BB2227">
            <v>0</v>
          </cell>
          <cell r="BC2227">
            <v>38828</v>
          </cell>
        </row>
        <row r="2228">
          <cell r="A2228">
            <v>2006</v>
          </cell>
          <cell r="B2228">
            <v>3</v>
          </cell>
          <cell r="C2228">
            <v>298</v>
          </cell>
          <cell r="D2228">
            <v>21</v>
          </cell>
          <cell r="E2228">
            <v>792020</v>
          </cell>
          <cell r="F2228">
            <v>0</v>
          </cell>
          <cell r="G2228" t="str">
            <v>Затраты по ШПЗ (основные)</v>
          </cell>
          <cell r="H2228">
            <v>2011</v>
          </cell>
          <cell r="I2228">
            <v>7920</v>
          </cell>
          <cell r="J2228">
            <v>2430</v>
          </cell>
          <cell r="K2228">
            <v>1</v>
          </cell>
          <cell r="L2228">
            <v>0</v>
          </cell>
          <cell r="M2228">
            <v>0</v>
          </cell>
          <cell r="N2228">
            <v>0</v>
          </cell>
          <cell r="R2228">
            <v>0</v>
          </cell>
          <cell r="S2228">
            <v>0</v>
          </cell>
          <cell r="T2228">
            <v>0</v>
          </cell>
          <cell r="U2228">
            <v>31</v>
          </cell>
          <cell r="V2228">
            <v>0</v>
          </cell>
          <cell r="W2228">
            <v>0</v>
          </cell>
          <cell r="AA2228">
            <v>0</v>
          </cell>
          <cell r="AB2228">
            <v>0</v>
          </cell>
          <cell r="AC2228">
            <v>0</v>
          </cell>
          <cell r="AD2228">
            <v>31</v>
          </cell>
          <cell r="AE2228">
            <v>130100</v>
          </cell>
          <cell r="AF2228">
            <v>0</v>
          </cell>
          <cell r="AI2228">
            <v>2282</v>
          </cell>
          <cell r="AK2228">
            <v>0</v>
          </cell>
          <cell r="AM2228">
            <v>455</v>
          </cell>
          <cell r="AN2228">
            <v>1</v>
          </cell>
          <cell r="AO2228">
            <v>393216</v>
          </cell>
          <cell r="AQ2228">
            <v>0</v>
          </cell>
          <cell r="AR2228">
            <v>0</v>
          </cell>
          <cell r="AS2228" t="str">
            <v>Ы</v>
          </cell>
          <cell r="AT2228" t="str">
            <v>Ы</v>
          </cell>
          <cell r="AU2228">
            <v>0</v>
          </cell>
          <cell r="AV2228">
            <v>0</v>
          </cell>
          <cell r="AW2228">
            <v>23</v>
          </cell>
          <cell r="AX2228">
            <v>1</v>
          </cell>
          <cell r="AY2228">
            <v>0</v>
          </cell>
          <cell r="AZ2228">
            <v>0</v>
          </cell>
          <cell r="BA2228">
            <v>0</v>
          </cell>
          <cell r="BB2228">
            <v>0</v>
          </cell>
          <cell r="BC2228">
            <v>38828</v>
          </cell>
        </row>
        <row r="2229">
          <cell r="A2229">
            <v>2006</v>
          </cell>
          <cell r="B2229">
            <v>3</v>
          </cell>
          <cell r="C2229">
            <v>299</v>
          </cell>
          <cell r="D2229">
            <v>21</v>
          </cell>
          <cell r="E2229">
            <v>792020</v>
          </cell>
          <cell r="F2229">
            <v>0</v>
          </cell>
          <cell r="G2229" t="str">
            <v>Затраты по ШПЗ (основные)</v>
          </cell>
          <cell r="H2229">
            <v>2011</v>
          </cell>
          <cell r="I2229">
            <v>7920</v>
          </cell>
          <cell r="J2229">
            <v>11089.83</v>
          </cell>
          <cell r="K2229">
            <v>1</v>
          </cell>
          <cell r="L2229">
            <v>0</v>
          </cell>
          <cell r="M2229">
            <v>0</v>
          </cell>
          <cell r="N2229">
            <v>0</v>
          </cell>
          <cell r="R2229">
            <v>0</v>
          </cell>
          <cell r="S2229">
            <v>0</v>
          </cell>
          <cell r="T2229">
            <v>0</v>
          </cell>
          <cell r="U2229">
            <v>31</v>
          </cell>
          <cell r="V2229">
            <v>0</v>
          </cell>
          <cell r="W2229">
            <v>0</v>
          </cell>
          <cell r="AA2229">
            <v>0</v>
          </cell>
          <cell r="AB2229">
            <v>0</v>
          </cell>
          <cell r="AC2229">
            <v>0</v>
          </cell>
          <cell r="AD2229">
            <v>31</v>
          </cell>
          <cell r="AE2229">
            <v>132000</v>
          </cell>
          <cell r="AF2229">
            <v>0</v>
          </cell>
          <cell r="AI2229">
            <v>2282</v>
          </cell>
          <cell r="AK2229">
            <v>0</v>
          </cell>
          <cell r="AM2229">
            <v>456</v>
          </cell>
          <cell r="AN2229">
            <v>1</v>
          </cell>
          <cell r="AO2229">
            <v>393216</v>
          </cell>
          <cell r="AQ2229">
            <v>0</v>
          </cell>
          <cell r="AR2229">
            <v>0</v>
          </cell>
          <cell r="AS2229" t="str">
            <v>Ы</v>
          </cell>
          <cell r="AT2229" t="str">
            <v>Ы</v>
          </cell>
          <cell r="AU2229">
            <v>0</v>
          </cell>
          <cell r="AV2229">
            <v>0</v>
          </cell>
          <cell r="AW2229">
            <v>23</v>
          </cell>
          <cell r="AX2229">
            <v>1</v>
          </cell>
          <cell r="AY2229">
            <v>0</v>
          </cell>
          <cell r="AZ2229">
            <v>0</v>
          </cell>
          <cell r="BA2229">
            <v>0</v>
          </cell>
          <cell r="BB2229">
            <v>0</v>
          </cell>
          <cell r="BC2229">
            <v>38828</v>
          </cell>
        </row>
        <row r="2230">
          <cell r="A2230">
            <v>2006</v>
          </cell>
          <cell r="B2230">
            <v>3</v>
          </cell>
          <cell r="C2230">
            <v>300</v>
          </cell>
          <cell r="D2230">
            <v>21</v>
          </cell>
          <cell r="E2230">
            <v>792020</v>
          </cell>
          <cell r="F2230">
            <v>0</v>
          </cell>
          <cell r="G2230" t="str">
            <v>Затраты по ШПЗ (основные)</v>
          </cell>
          <cell r="H2230">
            <v>2011</v>
          </cell>
          <cell r="I2230">
            <v>7920</v>
          </cell>
          <cell r="J2230">
            <v>1430.72</v>
          </cell>
          <cell r="K2230">
            <v>1</v>
          </cell>
          <cell r="L2230">
            <v>0</v>
          </cell>
          <cell r="M2230">
            <v>0</v>
          </cell>
          <cell r="N2230">
            <v>0</v>
          </cell>
          <cell r="R2230">
            <v>0</v>
          </cell>
          <cell r="S2230">
            <v>0</v>
          </cell>
          <cell r="T2230">
            <v>0</v>
          </cell>
          <cell r="U2230">
            <v>31</v>
          </cell>
          <cell r="V2230">
            <v>0</v>
          </cell>
          <cell r="W2230">
            <v>0</v>
          </cell>
          <cell r="AA2230">
            <v>0</v>
          </cell>
          <cell r="AB2230">
            <v>0</v>
          </cell>
          <cell r="AC2230">
            <v>0</v>
          </cell>
          <cell r="AD2230">
            <v>31</v>
          </cell>
          <cell r="AE2230">
            <v>135000</v>
          </cell>
          <cell r="AF2230">
            <v>0</v>
          </cell>
          <cell r="AI2230">
            <v>2282</v>
          </cell>
          <cell r="AK2230">
            <v>0</v>
          </cell>
          <cell r="AM2230">
            <v>457</v>
          </cell>
          <cell r="AN2230">
            <v>1</v>
          </cell>
          <cell r="AO2230">
            <v>393216</v>
          </cell>
          <cell r="AQ2230">
            <v>0</v>
          </cell>
          <cell r="AR2230">
            <v>0</v>
          </cell>
          <cell r="AS2230" t="str">
            <v>Ы</v>
          </cell>
          <cell r="AT2230" t="str">
            <v>Ы</v>
          </cell>
          <cell r="AU2230">
            <v>0</v>
          </cell>
          <cell r="AV2230">
            <v>0</v>
          </cell>
          <cell r="AW2230">
            <v>23</v>
          </cell>
          <cell r="AX2230">
            <v>1</v>
          </cell>
          <cell r="AY2230">
            <v>0</v>
          </cell>
          <cell r="AZ2230">
            <v>0</v>
          </cell>
          <cell r="BA2230">
            <v>0</v>
          </cell>
          <cell r="BB2230">
            <v>0</v>
          </cell>
          <cell r="BC2230">
            <v>38828</v>
          </cell>
        </row>
        <row r="2231">
          <cell r="A2231">
            <v>2006</v>
          </cell>
          <cell r="B2231">
            <v>3</v>
          </cell>
          <cell r="C2231">
            <v>301</v>
          </cell>
          <cell r="D2231">
            <v>21</v>
          </cell>
          <cell r="E2231">
            <v>792020</v>
          </cell>
          <cell r="F2231">
            <v>0</v>
          </cell>
          <cell r="G2231" t="str">
            <v>Затраты по ШПЗ (основные)</v>
          </cell>
          <cell r="H2231">
            <v>2011</v>
          </cell>
          <cell r="I2231">
            <v>7920</v>
          </cell>
          <cell r="J2231">
            <v>305198.26</v>
          </cell>
          <cell r="K2231">
            <v>1</v>
          </cell>
          <cell r="L2231">
            <v>0</v>
          </cell>
          <cell r="M2231">
            <v>0</v>
          </cell>
          <cell r="N2231">
            <v>0</v>
          </cell>
          <cell r="R2231">
            <v>0</v>
          </cell>
          <cell r="S2231">
            <v>0</v>
          </cell>
          <cell r="T2231">
            <v>0</v>
          </cell>
          <cell r="U2231">
            <v>31</v>
          </cell>
          <cell r="V2231">
            <v>0</v>
          </cell>
          <cell r="W2231">
            <v>0</v>
          </cell>
          <cell r="AA2231">
            <v>0</v>
          </cell>
          <cell r="AB2231">
            <v>0</v>
          </cell>
          <cell r="AC2231">
            <v>0</v>
          </cell>
          <cell r="AD2231">
            <v>31</v>
          </cell>
          <cell r="AE2231">
            <v>143000</v>
          </cell>
          <cell r="AF2231">
            <v>0</v>
          </cell>
          <cell r="AI2231">
            <v>2282</v>
          </cell>
          <cell r="AK2231">
            <v>0</v>
          </cell>
          <cell r="AM2231">
            <v>458</v>
          </cell>
          <cell r="AN2231">
            <v>1</v>
          </cell>
          <cell r="AO2231">
            <v>393216</v>
          </cell>
          <cell r="AQ2231">
            <v>0</v>
          </cell>
          <cell r="AR2231">
            <v>0</v>
          </cell>
          <cell r="AS2231" t="str">
            <v>Ы</v>
          </cell>
          <cell r="AT2231" t="str">
            <v>Ы</v>
          </cell>
          <cell r="AU2231">
            <v>0</v>
          </cell>
          <cell r="AV2231">
            <v>0</v>
          </cell>
          <cell r="AW2231">
            <v>23</v>
          </cell>
          <cell r="AX2231">
            <v>1</v>
          </cell>
          <cell r="AY2231">
            <v>0</v>
          </cell>
          <cell r="AZ2231">
            <v>0</v>
          </cell>
          <cell r="BA2231">
            <v>0</v>
          </cell>
          <cell r="BB2231">
            <v>0</v>
          </cell>
          <cell r="BC2231">
            <v>38828</v>
          </cell>
        </row>
        <row r="2232">
          <cell r="A2232">
            <v>2006</v>
          </cell>
          <cell r="B2232">
            <v>3</v>
          </cell>
          <cell r="C2232">
            <v>302</v>
          </cell>
          <cell r="D2232">
            <v>21</v>
          </cell>
          <cell r="E2232">
            <v>792020</v>
          </cell>
          <cell r="F2232">
            <v>0</v>
          </cell>
          <cell r="G2232" t="str">
            <v>Затраты по ШПЗ (основные)</v>
          </cell>
          <cell r="H2232">
            <v>2011</v>
          </cell>
          <cell r="I2232">
            <v>7920</v>
          </cell>
          <cell r="J2232">
            <v>1604199.76</v>
          </cell>
          <cell r="K2232">
            <v>1</v>
          </cell>
          <cell r="L2232">
            <v>0</v>
          </cell>
          <cell r="M2232">
            <v>0</v>
          </cell>
          <cell r="N2232">
            <v>0</v>
          </cell>
          <cell r="R2232">
            <v>0</v>
          </cell>
          <cell r="S2232">
            <v>0</v>
          </cell>
          <cell r="T2232">
            <v>0</v>
          </cell>
          <cell r="U2232">
            <v>31</v>
          </cell>
          <cell r="V2232">
            <v>0</v>
          </cell>
          <cell r="W2232">
            <v>0</v>
          </cell>
          <cell r="AA2232">
            <v>0</v>
          </cell>
          <cell r="AB2232">
            <v>0</v>
          </cell>
          <cell r="AC2232">
            <v>0</v>
          </cell>
          <cell r="AD2232">
            <v>31</v>
          </cell>
          <cell r="AE2232">
            <v>151000</v>
          </cell>
          <cell r="AF2232">
            <v>0</v>
          </cell>
          <cell r="AI2232">
            <v>2282</v>
          </cell>
          <cell r="AK2232">
            <v>0</v>
          </cell>
          <cell r="AM2232">
            <v>459</v>
          </cell>
          <cell r="AN2232">
            <v>1</v>
          </cell>
          <cell r="AO2232">
            <v>393216</v>
          </cell>
          <cell r="AQ2232">
            <v>0</v>
          </cell>
          <cell r="AR2232">
            <v>0</v>
          </cell>
          <cell r="AS2232" t="str">
            <v>Ы</v>
          </cell>
          <cell r="AT2232" t="str">
            <v>Ы</v>
          </cell>
          <cell r="AU2232">
            <v>0</v>
          </cell>
          <cell r="AV2232">
            <v>0</v>
          </cell>
          <cell r="AW2232">
            <v>23</v>
          </cell>
          <cell r="AX2232">
            <v>1</v>
          </cell>
          <cell r="AY2232">
            <v>0</v>
          </cell>
          <cell r="AZ2232">
            <v>0</v>
          </cell>
          <cell r="BA2232">
            <v>0</v>
          </cell>
          <cell r="BB2232">
            <v>0</v>
          </cell>
          <cell r="BC2232">
            <v>38828</v>
          </cell>
        </row>
        <row r="2233">
          <cell r="A2233">
            <v>2006</v>
          </cell>
          <cell r="B2233">
            <v>3</v>
          </cell>
          <cell r="C2233">
            <v>303</v>
          </cell>
          <cell r="D2233">
            <v>21</v>
          </cell>
          <cell r="E2233">
            <v>792020</v>
          </cell>
          <cell r="F2233">
            <v>0</v>
          </cell>
          <cell r="G2233" t="str">
            <v>Затраты по ШПЗ (основные)</v>
          </cell>
          <cell r="H2233">
            <v>2011</v>
          </cell>
          <cell r="I2233">
            <v>7920</v>
          </cell>
          <cell r="J2233">
            <v>144395.64000000001</v>
          </cell>
          <cell r="K2233">
            <v>1</v>
          </cell>
          <cell r="L2233">
            <v>0</v>
          </cell>
          <cell r="M2233">
            <v>0</v>
          </cell>
          <cell r="N2233">
            <v>0</v>
          </cell>
          <cell r="R2233">
            <v>0</v>
          </cell>
          <cell r="S2233">
            <v>0</v>
          </cell>
          <cell r="T2233">
            <v>0</v>
          </cell>
          <cell r="U2233">
            <v>31</v>
          </cell>
          <cell r="V2233">
            <v>0</v>
          </cell>
          <cell r="W2233">
            <v>0</v>
          </cell>
          <cell r="AA2233">
            <v>0</v>
          </cell>
          <cell r="AB2233">
            <v>0</v>
          </cell>
          <cell r="AC2233">
            <v>0</v>
          </cell>
          <cell r="AD2233">
            <v>31</v>
          </cell>
          <cell r="AE2233">
            <v>152000</v>
          </cell>
          <cell r="AF2233">
            <v>0</v>
          </cell>
          <cell r="AI2233">
            <v>2282</v>
          </cell>
          <cell r="AK2233">
            <v>0</v>
          </cell>
          <cell r="AM2233">
            <v>460</v>
          </cell>
          <cell r="AN2233">
            <v>1</v>
          </cell>
          <cell r="AO2233">
            <v>393216</v>
          </cell>
          <cell r="AQ2233">
            <v>0</v>
          </cell>
          <cell r="AR2233">
            <v>0</v>
          </cell>
          <cell r="AS2233" t="str">
            <v>Ы</v>
          </cell>
          <cell r="AT2233" t="str">
            <v>Ы</v>
          </cell>
          <cell r="AU2233">
            <v>0</v>
          </cell>
          <cell r="AV2233">
            <v>0</v>
          </cell>
          <cell r="AW2233">
            <v>23</v>
          </cell>
          <cell r="AX2233">
            <v>1</v>
          </cell>
          <cell r="AY2233">
            <v>0</v>
          </cell>
          <cell r="AZ2233">
            <v>0</v>
          </cell>
          <cell r="BA2233">
            <v>0</v>
          </cell>
          <cell r="BB2233">
            <v>0</v>
          </cell>
          <cell r="BC2233">
            <v>38828</v>
          </cell>
        </row>
        <row r="2234">
          <cell r="A2234">
            <v>2006</v>
          </cell>
          <cell r="B2234">
            <v>3</v>
          </cell>
          <cell r="C2234">
            <v>304</v>
          </cell>
          <cell r="D2234">
            <v>21</v>
          </cell>
          <cell r="E2234">
            <v>792020</v>
          </cell>
          <cell r="F2234">
            <v>0</v>
          </cell>
          <cell r="G2234" t="str">
            <v>Затраты по ШПЗ (основные)</v>
          </cell>
          <cell r="H2234">
            <v>2011</v>
          </cell>
          <cell r="I2234">
            <v>7920</v>
          </cell>
          <cell r="J2234">
            <v>2965499.73</v>
          </cell>
          <cell r="K2234">
            <v>1</v>
          </cell>
          <cell r="L2234">
            <v>0</v>
          </cell>
          <cell r="M2234">
            <v>0</v>
          </cell>
          <cell r="N2234">
            <v>0</v>
          </cell>
          <cell r="R2234">
            <v>0</v>
          </cell>
          <cell r="S2234">
            <v>0</v>
          </cell>
          <cell r="T2234">
            <v>0</v>
          </cell>
          <cell r="U2234">
            <v>31</v>
          </cell>
          <cell r="V2234">
            <v>0</v>
          </cell>
          <cell r="W2234">
            <v>0</v>
          </cell>
          <cell r="AA2234">
            <v>0</v>
          </cell>
          <cell r="AB2234">
            <v>0</v>
          </cell>
          <cell r="AC2234">
            <v>0</v>
          </cell>
          <cell r="AD2234">
            <v>31</v>
          </cell>
          <cell r="AE2234">
            <v>220000</v>
          </cell>
          <cell r="AF2234">
            <v>0</v>
          </cell>
          <cell r="AI2234">
            <v>2282</v>
          </cell>
          <cell r="AK2234">
            <v>0</v>
          </cell>
          <cell r="AM2234">
            <v>461</v>
          </cell>
          <cell r="AN2234">
            <v>1</v>
          </cell>
          <cell r="AO2234">
            <v>393216</v>
          </cell>
          <cell r="AQ2234">
            <v>0</v>
          </cell>
          <cell r="AR2234">
            <v>0</v>
          </cell>
          <cell r="AS2234" t="str">
            <v>Ы</v>
          </cell>
          <cell r="AT2234" t="str">
            <v>Ы</v>
          </cell>
          <cell r="AU2234">
            <v>0</v>
          </cell>
          <cell r="AV2234">
            <v>0</v>
          </cell>
          <cell r="AW2234">
            <v>23</v>
          </cell>
          <cell r="AX2234">
            <v>1</v>
          </cell>
          <cell r="AY2234">
            <v>0</v>
          </cell>
          <cell r="AZ2234">
            <v>0</v>
          </cell>
          <cell r="BA2234">
            <v>0</v>
          </cell>
          <cell r="BB2234">
            <v>0</v>
          </cell>
          <cell r="BC2234">
            <v>38828</v>
          </cell>
        </row>
        <row r="2235">
          <cell r="A2235">
            <v>2006</v>
          </cell>
          <cell r="B2235">
            <v>3</v>
          </cell>
          <cell r="C2235">
            <v>305</v>
          </cell>
          <cell r="D2235">
            <v>21</v>
          </cell>
          <cell r="E2235">
            <v>792020</v>
          </cell>
          <cell r="F2235">
            <v>0</v>
          </cell>
          <cell r="G2235" t="str">
            <v>Затраты по ШПЗ (основные)</v>
          </cell>
          <cell r="H2235">
            <v>2011</v>
          </cell>
          <cell r="I2235">
            <v>7920</v>
          </cell>
          <cell r="J2235">
            <v>1673057</v>
          </cell>
          <cell r="K2235">
            <v>1</v>
          </cell>
          <cell r="L2235">
            <v>0</v>
          </cell>
          <cell r="M2235">
            <v>0</v>
          </cell>
          <cell r="N2235">
            <v>0</v>
          </cell>
          <cell r="R2235">
            <v>0</v>
          </cell>
          <cell r="S2235">
            <v>0</v>
          </cell>
          <cell r="T2235">
            <v>0</v>
          </cell>
          <cell r="U2235">
            <v>31</v>
          </cell>
          <cell r="V2235">
            <v>0</v>
          </cell>
          <cell r="W2235">
            <v>0</v>
          </cell>
          <cell r="AA2235">
            <v>0</v>
          </cell>
          <cell r="AB2235">
            <v>0</v>
          </cell>
          <cell r="AC2235">
            <v>0</v>
          </cell>
          <cell r="AD2235">
            <v>31</v>
          </cell>
          <cell r="AE2235">
            <v>230000</v>
          </cell>
          <cell r="AF2235">
            <v>0</v>
          </cell>
          <cell r="AI2235">
            <v>2282</v>
          </cell>
          <cell r="AK2235">
            <v>0</v>
          </cell>
          <cell r="AM2235">
            <v>462</v>
          </cell>
          <cell r="AN2235">
            <v>1</v>
          </cell>
          <cell r="AO2235">
            <v>393216</v>
          </cell>
          <cell r="AQ2235">
            <v>0</v>
          </cell>
          <cell r="AR2235">
            <v>0</v>
          </cell>
          <cell r="AS2235" t="str">
            <v>Ы</v>
          </cell>
          <cell r="AT2235" t="str">
            <v>Ы</v>
          </cell>
          <cell r="AU2235">
            <v>0</v>
          </cell>
          <cell r="AV2235">
            <v>0</v>
          </cell>
          <cell r="AW2235">
            <v>23</v>
          </cell>
          <cell r="AX2235">
            <v>1</v>
          </cell>
          <cell r="AY2235">
            <v>0</v>
          </cell>
          <cell r="AZ2235">
            <v>0</v>
          </cell>
          <cell r="BA2235">
            <v>0</v>
          </cell>
          <cell r="BB2235">
            <v>0</v>
          </cell>
          <cell r="BC2235">
            <v>38828</v>
          </cell>
        </row>
        <row r="2236">
          <cell r="A2236">
            <v>2006</v>
          </cell>
          <cell r="B2236">
            <v>3</v>
          </cell>
          <cell r="C2236">
            <v>306</v>
          </cell>
          <cell r="D2236">
            <v>21</v>
          </cell>
          <cell r="E2236">
            <v>792020</v>
          </cell>
          <cell r="F2236">
            <v>0</v>
          </cell>
          <cell r="G2236" t="str">
            <v>Затраты по ШПЗ (основные)</v>
          </cell>
          <cell r="H2236">
            <v>2011</v>
          </cell>
          <cell r="I2236">
            <v>7920</v>
          </cell>
          <cell r="J2236">
            <v>223128.28</v>
          </cell>
          <cell r="K2236">
            <v>1</v>
          </cell>
          <cell r="L2236">
            <v>0</v>
          </cell>
          <cell r="M2236">
            <v>0</v>
          </cell>
          <cell r="N2236">
            <v>0</v>
          </cell>
          <cell r="R2236">
            <v>0</v>
          </cell>
          <cell r="S2236">
            <v>0</v>
          </cell>
          <cell r="T2236">
            <v>0</v>
          </cell>
          <cell r="U2236">
            <v>31</v>
          </cell>
          <cell r="V2236">
            <v>0</v>
          </cell>
          <cell r="W2236">
            <v>0</v>
          </cell>
          <cell r="AA2236">
            <v>0</v>
          </cell>
          <cell r="AB2236">
            <v>0</v>
          </cell>
          <cell r="AC2236">
            <v>0</v>
          </cell>
          <cell r="AD2236">
            <v>31</v>
          </cell>
          <cell r="AE2236">
            <v>260000</v>
          </cell>
          <cell r="AF2236">
            <v>0</v>
          </cell>
          <cell r="AI2236">
            <v>2282</v>
          </cell>
          <cell r="AK2236">
            <v>0</v>
          </cell>
          <cell r="AM2236">
            <v>463</v>
          </cell>
          <cell r="AN2236">
            <v>1</v>
          </cell>
          <cell r="AO2236">
            <v>393216</v>
          </cell>
          <cell r="AQ2236">
            <v>0</v>
          </cell>
          <cell r="AR2236">
            <v>0</v>
          </cell>
          <cell r="AS2236" t="str">
            <v>Ы</v>
          </cell>
          <cell r="AT2236" t="str">
            <v>Ы</v>
          </cell>
          <cell r="AU2236">
            <v>0</v>
          </cell>
          <cell r="AV2236">
            <v>0</v>
          </cell>
          <cell r="AW2236">
            <v>23</v>
          </cell>
          <cell r="AX2236">
            <v>1</v>
          </cell>
          <cell r="AY2236">
            <v>0</v>
          </cell>
          <cell r="AZ2236">
            <v>0</v>
          </cell>
          <cell r="BA2236">
            <v>0</v>
          </cell>
          <cell r="BB2236">
            <v>0</v>
          </cell>
          <cell r="BC2236">
            <v>38828</v>
          </cell>
        </row>
        <row r="2237">
          <cell r="A2237">
            <v>2006</v>
          </cell>
          <cell r="B2237">
            <v>3</v>
          </cell>
          <cell r="C2237">
            <v>307</v>
          </cell>
          <cell r="D2237">
            <v>21</v>
          </cell>
          <cell r="E2237">
            <v>792020</v>
          </cell>
          <cell r="F2237">
            <v>0</v>
          </cell>
          <cell r="G2237" t="str">
            <v>Затраты по ШПЗ (основные)</v>
          </cell>
          <cell r="H2237">
            <v>2011</v>
          </cell>
          <cell r="I2237">
            <v>7920</v>
          </cell>
          <cell r="J2237">
            <v>366521.22</v>
          </cell>
          <cell r="K2237">
            <v>1</v>
          </cell>
          <cell r="L2237">
            <v>0</v>
          </cell>
          <cell r="M2237">
            <v>0</v>
          </cell>
          <cell r="N2237">
            <v>0</v>
          </cell>
          <cell r="R2237">
            <v>0</v>
          </cell>
          <cell r="S2237">
            <v>0</v>
          </cell>
          <cell r="T2237">
            <v>0</v>
          </cell>
          <cell r="U2237">
            <v>31</v>
          </cell>
          <cell r="V2237">
            <v>0</v>
          </cell>
          <cell r="W2237">
            <v>0</v>
          </cell>
          <cell r="AA2237">
            <v>0</v>
          </cell>
          <cell r="AB2237">
            <v>0</v>
          </cell>
          <cell r="AC2237">
            <v>0</v>
          </cell>
          <cell r="AD2237">
            <v>31</v>
          </cell>
          <cell r="AE2237">
            <v>270000</v>
          </cell>
          <cell r="AF2237">
            <v>0</v>
          </cell>
          <cell r="AI2237">
            <v>2282</v>
          </cell>
          <cell r="AK2237">
            <v>0</v>
          </cell>
          <cell r="AM2237">
            <v>464</v>
          </cell>
          <cell r="AN2237">
            <v>1</v>
          </cell>
          <cell r="AO2237">
            <v>393216</v>
          </cell>
          <cell r="AQ2237">
            <v>0</v>
          </cell>
          <cell r="AR2237">
            <v>0</v>
          </cell>
          <cell r="AS2237" t="str">
            <v>Ы</v>
          </cell>
          <cell r="AT2237" t="str">
            <v>Ы</v>
          </cell>
          <cell r="AU2237">
            <v>0</v>
          </cell>
          <cell r="AV2237">
            <v>0</v>
          </cell>
          <cell r="AW2237">
            <v>23</v>
          </cell>
          <cell r="AX2237">
            <v>1</v>
          </cell>
          <cell r="AY2237">
            <v>0</v>
          </cell>
          <cell r="AZ2237">
            <v>0</v>
          </cell>
          <cell r="BA2237">
            <v>0</v>
          </cell>
          <cell r="BB2237">
            <v>0</v>
          </cell>
          <cell r="BC2237">
            <v>38828</v>
          </cell>
        </row>
        <row r="2238">
          <cell r="A2238">
            <v>2006</v>
          </cell>
          <cell r="B2238">
            <v>3</v>
          </cell>
          <cell r="C2238">
            <v>308</v>
          </cell>
          <cell r="D2238">
            <v>21</v>
          </cell>
          <cell r="E2238">
            <v>792020</v>
          </cell>
          <cell r="F2238">
            <v>0</v>
          </cell>
          <cell r="G2238" t="str">
            <v>Затраты по ШПЗ (основные)</v>
          </cell>
          <cell r="H2238">
            <v>2011</v>
          </cell>
          <cell r="I2238">
            <v>7920</v>
          </cell>
          <cell r="J2238">
            <v>138599.46</v>
          </cell>
          <cell r="K2238">
            <v>1</v>
          </cell>
          <cell r="L2238">
            <v>0</v>
          </cell>
          <cell r="M2238">
            <v>0</v>
          </cell>
          <cell r="N2238">
            <v>0</v>
          </cell>
          <cell r="R2238">
            <v>0</v>
          </cell>
          <cell r="S2238">
            <v>0</v>
          </cell>
          <cell r="T2238">
            <v>0</v>
          </cell>
          <cell r="U2238">
            <v>31</v>
          </cell>
          <cell r="V2238">
            <v>0</v>
          </cell>
          <cell r="W2238">
            <v>0</v>
          </cell>
          <cell r="AA2238">
            <v>0</v>
          </cell>
          <cell r="AB2238">
            <v>0</v>
          </cell>
          <cell r="AC2238">
            <v>0</v>
          </cell>
          <cell r="AD2238">
            <v>31</v>
          </cell>
          <cell r="AE2238">
            <v>280100</v>
          </cell>
          <cell r="AF2238">
            <v>0</v>
          </cell>
          <cell r="AI2238">
            <v>2282</v>
          </cell>
          <cell r="AK2238">
            <v>0</v>
          </cell>
          <cell r="AM2238">
            <v>465</v>
          </cell>
          <cell r="AN2238">
            <v>1</v>
          </cell>
          <cell r="AO2238">
            <v>393216</v>
          </cell>
          <cell r="AQ2238">
            <v>0</v>
          </cell>
          <cell r="AR2238">
            <v>0</v>
          </cell>
          <cell r="AS2238" t="str">
            <v>Ы</v>
          </cell>
          <cell r="AT2238" t="str">
            <v>Ы</v>
          </cell>
          <cell r="AU2238">
            <v>0</v>
          </cell>
          <cell r="AV2238">
            <v>0</v>
          </cell>
          <cell r="AW2238">
            <v>23</v>
          </cell>
          <cell r="AX2238">
            <v>1</v>
          </cell>
          <cell r="AY2238">
            <v>0</v>
          </cell>
          <cell r="AZ2238">
            <v>0</v>
          </cell>
          <cell r="BA2238">
            <v>0</v>
          </cell>
          <cell r="BB2238">
            <v>0</v>
          </cell>
          <cell r="BC2238">
            <v>38828</v>
          </cell>
        </row>
        <row r="2239">
          <cell r="A2239">
            <v>2006</v>
          </cell>
          <cell r="B2239">
            <v>3</v>
          </cell>
          <cell r="C2239">
            <v>309</v>
          </cell>
          <cell r="D2239">
            <v>21</v>
          </cell>
          <cell r="E2239">
            <v>792020</v>
          </cell>
          <cell r="F2239">
            <v>0</v>
          </cell>
          <cell r="G2239" t="str">
            <v>Затраты по ШПЗ (основные)</v>
          </cell>
          <cell r="H2239">
            <v>2011</v>
          </cell>
          <cell r="I2239">
            <v>7920</v>
          </cell>
          <cell r="J2239">
            <v>22174.26</v>
          </cell>
          <cell r="K2239">
            <v>1</v>
          </cell>
          <cell r="L2239">
            <v>0</v>
          </cell>
          <cell r="M2239">
            <v>0</v>
          </cell>
          <cell r="N2239">
            <v>0</v>
          </cell>
          <cell r="R2239">
            <v>0</v>
          </cell>
          <cell r="S2239">
            <v>0</v>
          </cell>
          <cell r="T2239">
            <v>0</v>
          </cell>
          <cell r="U2239">
            <v>31</v>
          </cell>
          <cell r="V2239">
            <v>0</v>
          </cell>
          <cell r="W2239">
            <v>0</v>
          </cell>
          <cell r="AA2239">
            <v>0</v>
          </cell>
          <cell r="AB2239">
            <v>0</v>
          </cell>
          <cell r="AC2239">
            <v>0</v>
          </cell>
          <cell r="AD2239">
            <v>31</v>
          </cell>
          <cell r="AE2239">
            <v>280200</v>
          </cell>
          <cell r="AF2239">
            <v>0</v>
          </cell>
          <cell r="AI2239">
            <v>2282</v>
          </cell>
          <cell r="AK2239">
            <v>0</v>
          </cell>
          <cell r="AM2239">
            <v>466</v>
          </cell>
          <cell r="AN2239">
            <v>1</v>
          </cell>
          <cell r="AO2239">
            <v>393216</v>
          </cell>
          <cell r="AQ2239">
            <v>0</v>
          </cell>
          <cell r="AR2239">
            <v>0</v>
          </cell>
          <cell r="AS2239" t="str">
            <v>Ы</v>
          </cell>
          <cell r="AT2239" t="str">
            <v>Ы</v>
          </cell>
          <cell r="AU2239">
            <v>0</v>
          </cell>
          <cell r="AV2239">
            <v>0</v>
          </cell>
          <cell r="AW2239">
            <v>23</v>
          </cell>
          <cell r="AX2239">
            <v>1</v>
          </cell>
          <cell r="AY2239">
            <v>0</v>
          </cell>
          <cell r="AZ2239">
            <v>0</v>
          </cell>
          <cell r="BA2239">
            <v>0</v>
          </cell>
          <cell r="BB2239">
            <v>0</v>
          </cell>
          <cell r="BC2239">
            <v>38828</v>
          </cell>
        </row>
        <row r="2240">
          <cell r="A2240">
            <v>2006</v>
          </cell>
          <cell r="B2240">
            <v>3</v>
          </cell>
          <cell r="C2240">
            <v>310</v>
          </cell>
          <cell r="D2240">
            <v>21</v>
          </cell>
          <cell r="E2240">
            <v>792020</v>
          </cell>
          <cell r="F2240">
            <v>0</v>
          </cell>
          <cell r="G2240" t="str">
            <v>Затраты по ШПЗ (основные)</v>
          </cell>
          <cell r="H2240">
            <v>2011</v>
          </cell>
          <cell r="I2240">
            <v>7920</v>
          </cell>
          <cell r="J2240">
            <v>367834.51</v>
          </cell>
          <cell r="K2240">
            <v>1</v>
          </cell>
          <cell r="L2240">
            <v>0</v>
          </cell>
          <cell r="M2240">
            <v>0</v>
          </cell>
          <cell r="N2240">
            <v>0</v>
          </cell>
          <cell r="R2240">
            <v>0</v>
          </cell>
          <cell r="S2240">
            <v>0</v>
          </cell>
          <cell r="T2240">
            <v>0</v>
          </cell>
          <cell r="U2240">
            <v>31</v>
          </cell>
          <cell r="V2240">
            <v>0</v>
          </cell>
          <cell r="W2240">
            <v>0</v>
          </cell>
          <cell r="AA2240">
            <v>0</v>
          </cell>
          <cell r="AB2240">
            <v>0</v>
          </cell>
          <cell r="AC2240">
            <v>0</v>
          </cell>
          <cell r="AD2240">
            <v>31</v>
          </cell>
          <cell r="AE2240">
            <v>280400</v>
          </cell>
          <cell r="AF2240">
            <v>0</v>
          </cell>
          <cell r="AI2240">
            <v>2282</v>
          </cell>
          <cell r="AK2240">
            <v>0</v>
          </cell>
          <cell r="AM2240">
            <v>467</v>
          </cell>
          <cell r="AN2240">
            <v>1</v>
          </cell>
          <cell r="AO2240">
            <v>393216</v>
          </cell>
          <cell r="AQ2240">
            <v>0</v>
          </cell>
          <cell r="AR2240">
            <v>0</v>
          </cell>
          <cell r="AS2240" t="str">
            <v>Ы</v>
          </cell>
          <cell r="AT2240" t="str">
            <v>Ы</v>
          </cell>
          <cell r="AU2240">
            <v>0</v>
          </cell>
          <cell r="AV2240">
            <v>0</v>
          </cell>
          <cell r="AW2240">
            <v>23</v>
          </cell>
          <cell r="AX2240">
            <v>1</v>
          </cell>
          <cell r="AY2240">
            <v>0</v>
          </cell>
          <cell r="AZ2240">
            <v>0</v>
          </cell>
          <cell r="BA2240">
            <v>0</v>
          </cell>
          <cell r="BB2240">
            <v>0</v>
          </cell>
          <cell r="BC2240">
            <v>38828</v>
          </cell>
        </row>
        <row r="2241">
          <cell r="A2241">
            <v>2006</v>
          </cell>
          <cell r="B2241">
            <v>3</v>
          </cell>
          <cell r="C2241">
            <v>311</v>
          </cell>
          <cell r="D2241">
            <v>21</v>
          </cell>
          <cell r="E2241">
            <v>792020</v>
          </cell>
          <cell r="F2241">
            <v>0</v>
          </cell>
          <cell r="G2241" t="str">
            <v>Затраты по ШПЗ (основные)</v>
          </cell>
          <cell r="H2241">
            <v>2011</v>
          </cell>
          <cell r="I2241">
            <v>7920</v>
          </cell>
          <cell r="J2241">
            <v>99672.23</v>
          </cell>
          <cell r="K2241">
            <v>1</v>
          </cell>
          <cell r="L2241">
            <v>0</v>
          </cell>
          <cell r="M2241">
            <v>0</v>
          </cell>
          <cell r="N2241">
            <v>0</v>
          </cell>
          <cell r="R2241">
            <v>0</v>
          </cell>
          <cell r="S2241">
            <v>0</v>
          </cell>
          <cell r="T2241">
            <v>0</v>
          </cell>
          <cell r="U2241">
            <v>31</v>
          </cell>
          <cell r="V2241">
            <v>0</v>
          </cell>
          <cell r="W2241">
            <v>0</v>
          </cell>
          <cell r="AA2241">
            <v>0</v>
          </cell>
          <cell r="AB2241">
            <v>0</v>
          </cell>
          <cell r="AC2241">
            <v>0</v>
          </cell>
          <cell r="AD2241">
            <v>31</v>
          </cell>
          <cell r="AE2241">
            <v>281000</v>
          </cell>
          <cell r="AF2241">
            <v>0</v>
          </cell>
          <cell r="AI2241">
            <v>2282</v>
          </cell>
          <cell r="AK2241">
            <v>0</v>
          </cell>
          <cell r="AM2241">
            <v>468</v>
          </cell>
          <cell r="AN2241">
            <v>1</v>
          </cell>
          <cell r="AO2241">
            <v>393216</v>
          </cell>
          <cell r="AQ2241">
            <v>0</v>
          </cell>
          <cell r="AR2241">
            <v>0</v>
          </cell>
          <cell r="AS2241" t="str">
            <v>Ы</v>
          </cell>
          <cell r="AT2241" t="str">
            <v>Ы</v>
          </cell>
          <cell r="AU2241">
            <v>0</v>
          </cell>
          <cell r="AV2241">
            <v>0</v>
          </cell>
          <cell r="AW2241">
            <v>23</v>
          </cell>
          <cell r="AX2241">
            <v>1</v>
          </cell>
          <cell r="AY2241">
            <v>0</v>
          </cell>
          <cell r="AZ2241">
            <v>0</v>
          </cell>
          <cell r="BA2241">
            <v>0</v>
          </cell>
          <cell r="BB2241">
            <v>0</v>
          </cell>
          <cell r="BC2241">
            <v>38828</v>
          </cell>
        </row>
        <row r="2242">
          <cell r="A2242">
            <v>2006</v>
          </cell>
          <cell r="B2242">
            <v>3</v>
          </cell>
          <cell r="C2242">
            <v>312</v>
          </cell>
          <cell r="D2242">
            <v>21</v>
          </cell>
          <cell r="E2242">
            <v>792020</v>
          </cell>
          <cell r="F2242">
            <v>0</v>
          </cell>
          <cell r="G2242" t="str">
            <v>Затраты по ШПЗ (основные)</v>
          </cell>
          <cell r="H2242">
            <v>2011</v>
          </cell>
          <cell r="I2242">
            <v>7920</v>
          </cell>
          <cell r="J2242">
            <v>65248.77</v>
          </cell>
          <cell r="K2242">
            <v>1</v>
          </cell>
          <cell r="L2242">
            <v>0</v>
          </cell>
          <cell r="M2242">
            <v>0</v>
          </cell>
          <cell r="N2242">
            <v>0</v>
          </cell>
          <cell r="R2242">
            <v>0</v>
          </cell>
          <cell r="S2242">
            <v>0</v>
          </cell>
          <cell r="T2242">
            <v>0</v>
          </cell>
          <cell r="U2242">
            <v>31</v>
          </cell>
          <cell r="V2242">
            <v>0</v>
          </cell>
          <cell r="W2242">
            <v>0</v>
          </cell>
          <cell r="AA2242">
            <v>0</v>
          </cell>
          <cell r="AB2242">
            <v>0</v>
          </cell>
          <cell r="AC2242">
            <v>0</v>
          </cell>
          <cell r="AD2242">
            <v>31</v>
          </cell>
          <cell r="AE2242">
            <v>281100</v>
          </cell>
          <cell r="AF2242">
            <v>0</v>
          </cell>
          <cell r="AI2242">
            <v>2282</v>
          </cell>
          <cell r="AK2242">
            <v>0</v>
          </cell>
          <cell r="AM2242">
            <v>469</v>
          </cell>
          <cell r="AN2242">
            <v>1</v>
          </cell>
          <cell r="AO2242">
            <v>393216</v>
          </cell>
          <cell r="AQ2242">
            <v>0</v>
          </cell>
          <cell r="AR2242">
            <v>0</v>
          </cell>
          <cell r="AS2242" t="str">
            <v>Ы</v>
          </cell>
          <cell r="AT2242" t="str">
            <v>Ы</v>
          </cell>
          <cell r="AU2242">
            <v>0</v>
          </cell>
          <cell r="AV2242">
            <v>0</v>
          </cell>
          <cell r="AW2242">
            <v>23</v>
          </cell>
          <cell r="AX2242">
            <v>1</v>
          </cell>
          <cell r="AY2242">
            <v>0</v>
          </cell>
          <cell r="AZ2242">
            <v>0</v>
          </cell>
          <cell r="BA2242">
            <v>0</v>
          </cell>
          <cell r="BB2242">
            <v>0</v>
          </cell>
          <cell r="BC2242">
            <v>38828</v>
          </cell>
        </row>
        <row r="2243">
          <cell r="A2243">
            <v>2006</v>
          </cell>
          <cell r="B2243">
            <v>3</v>
          </cell>
          <cell r="C2243">
            <v>313</v>
          </cell>
          <cell r="D2243">
            <v>21</v>
          </cell>
          <cell r="E2243">
            <v>792020</v>
          </cell>
          <cell r="F2243">
            <v>0</v>
          </cell>
          <cell r="G2243" t="str">
            <v>Затраты по ШПЗ (основные)</v>
          </cell>
          <cell r="H2243">
            <v>2011</v>
          </cell>
          <cell r="I2243">
            <v>7920</v>
          </cell>
          <cell r="J2243">
            <v>3120.96</v>
          </cell>
          <cell r="K2243">
            <v>1</v>
          </cell>
          <cell r="L2243">
            <v>0</v>
          </cell>
          <cell r="M2243">
            <v>0</v>
          </cell>
          <cell r="N2243">
            <v>0</v>
          </cell>
          <cell r="R2243">
            <v>0</v>
          </cell>
          <cell r="S2243">
            <v>0</v>
          </cell>
          <cell r="T2243">
            <v>0</v>
          </cell>
          <cell r="U2243">
            <v>31</v>
          </cell>
          <cell r="V2243">
            <v>0</v>
          </cell>
          <cell r="W2243">
            <v>0</v>
          </cell>
          <cell r="AA2243">
            <v>0</v>
          </cell>
          <cell r="AB2243">
            <v>0</v>
          </cell>
          <cell r="AC2243">
            <v>0</v>
          </cell>
          <cell r="AD2243">
            <v>31</v>
          </cell>
          <cell r="AE2243">
            <v>281200</v>
          </cell>
          <cell r="AF2243">
            <v>0</v>
          </cell>
          <cell r="AI2243">
            <v>2282</v>
          </cell>
          <cell r="AK2243">
            <v>0</v>
          </cell>
          <cell r="AM2243">
            <v>470</v>
          </cell>
          <cell r="AN2243">
            <v>1</v>
          </cell>
          <cell r="AO2243">
            <v>393216</v>
          </cell>
          <cell r="AQ2243">
            <v>0</v>
          </cell>
          <cell r="AR2243">
            <v>0</v>
          </cell>
          <cell r="AS2243" t="str">
            <v>Ы</v>
          </cell>
          <cell r="AT2243" t="str">
            <v>Ы</v>
          </cell>
          <cell r="AU2243">
            <v>0</v>
          </cell>
          <cell r="AV2243">
            <v>0</v>
          </cell>
          <cell r="AW2243">
            <v>23</v>
          </cell>
          <cell r="AX2243">
            <v>1</v>
          </cell>
          <cell r="AY2243">
            <v>0</v>
          </cell>
          <cell r="AZ2243">
            <v>0</v>
          </cell>
          <cell r="BA2243">
            <v>0</v>
          </cell>
          <cell r="BB2243">
            <v>0</v>
          </cell>
          <cell r="BC2243">
            <v>38828</v>
          </cell>
        </row>
        <row r="2244">
          <cell r="A2244">
            <v>2006</v>
          </cell>
          <cell r="B2244">
            <v>3</v>
          </cell>
          <cell r="C2244">
            <v>314</v>
          </cell>
          <cell r="D2244">
            <v>21</v>
          </cell>
          <cell r="E2244">
            <v>792020</v>
          </cell>
          <cell r="F2244">
            <v>0</v>
          </cell>
          <cell r="G2244" t="str">
            <v>Затраты по ШПЗ (основные)</v>
          </cell>
          <cell r="H2244">
            <v>2011</v>
          </cell>
          <cell r="I2244">
            <v>7920</v>
          </cell>
          <cell r="J2244">
            <v>250</v>
          </cell>
          <cell r="K2244">
            <v>1</v>
          </cell>
          <cell r="L2244">
            <v>0</v>
          </cell>
          <cell r="M2244">
            <v>0</v>
          </cell>
          <cell r="N2244">
            <v>0</v>
          </cell>
          <cell r="R2244">
            <v>0</v>
          </cell>
          <cell r="S2244">
            <v>0</v>
          </cell>
          <cell r="T2244">
            <v>0</v>
          </cell>
          <cell r="U2244">
            <v>31</v>
          </cell>
          <cell r="V2244">
            <v>0</v>
          </cell>
          <cell r="W2244">
            <v>0</v>
          </cell>
          <cell r="AA2244">
            <v>0</v>
          </cell>
          <cell r="AB2244">
            <v>0</v>
          </cell>
          <cell r="AC2244">
            <v>0</v>
          </cell>
          <cell r="AD2244">
            <v>31</v>
          </cell>
          <cell r="AE2244">
            <v>282000</v>
          </cell>
          <cell r="AF2244">
            <v>0</v>
          </cell>
          <cell r="AI2244">
            <v>2282</v>
          </cell>
          <cell r="AK2244">
            <v>0</v>
          </cell>
          <cell r="AM2244">
            <v>471</v>
          </cell>
          <cell r="AN2244">
            <v>1</v>
          </cell>
          <cell r="AO2244">
            <v>393216</v>
          </cell>
          <cell r="AQ2244">
            <v>0</v>
          </cell>
          <cell r="AR2244">
            <v>0</v>
          </cell>
          <cell r="AS2244" t="str">
            <v>Ы</v>
          </cell>
          <cell r="AT2244" t="str">
            <v>Ы</v>
          </cell>
          <cell r="AU2244">
            <v>0</v>
          </cell>
          <cell r="AV2244">
            <v>0</v>
          </cell>
          <cell r="AW2244">
            <v>23</v>
          </cell>
          <cell r="AX2244">
            <v>1</v>
          </cell>
          <cell r="AY2244">
            <v>0</v>
          </cell>
          <cell r="AZ2244">
            <v>0</v>
          </cell>
          <cell r="BA2244">
            <v>0</v>
          </cell>
          <cell r="BB2244">
            <v>0</v>
          </cell>
          <cell r="BC2244">
            <v>38828</v>
          </cell>
        </row>
        <row r="2245">
          <cell r="A2245">
            <v>2006</v>
          </cell>
          <cell r="B2245">
            <v>3</v>
          </cell>
          <cell r="C2245">
            <v>315</v>
          </cell>
          <cell r="D2245">
            <v>21</v>
          </cell>
          <cell r="E2245">
            <v>792020</v>
          </cell>
          <cell r="F2245">
            <v>0</v>
          </cell>
          <cell r="G2245" t="str">
            <v>Затраты по ШПЗ (основные)</v>
          </cell>
          <cell r="H2245">
            <v>2011</v>
          </cell>
          <cell r="I2245">
            <v>7920</v>
          </cell>
          <cell r="J2245">
            <v>14602.38</v>
          </cell>
          <cell r="K2245">
            <v>1</v>
          </cell>
          <cell r="L2245">
            <v>0</v>
          </cell>
          <cell r="M2245">
            <v>0</v>
          </cell>
          <cell r="N2245">
            <v>0</v>
          </cell>
          <cell r="R2245">
            <v>0</v>
          </cell>
          <cell r="S2245">
            <v>0</v>
          </cell>
          <cell r="T2245">
            <v>0</v>
          </cell>
          <cell r="U2245">
            <v>31</v>
          </cell>
          <cell r="V2245">
            <v>0</v>
          </cell>
          <cell r="W2245">
            <v>0</v>
          </cell>
          <cell r="AA2245">
            <v>0</v>
          </cell>
          <cell r="AB2245">
            <v>0</v>
          </cell>
          <cell r="AC2245">
            <v>0</v>
          </cell>
          <cell r="AD2245">
            <v>31</v>
          </cell>
          <cell r="AE2245">
            <v>282200</v>
          </cell>
          <cell r="AF2245">
            <v>0</v>
          </cell>
          <cell r="AI2245">
            <v>2282</v>
          </cell>
          <cell r="AK2245">
            <v>0</v>
          </cell>
          <cell r="AM2245">
            <v>472</v>
          </cell>
          <cell r="AN2245">
            <v>1</v>
          </cell>
          <cell r="AO2245">
            <v>393216</v>
          </cell>
          <cell r="AQ2245">
            <v>0</v>
          </cell>
          <cell r="AR2245">
            <v>0</v>
          </cell>
          <cell r="AS2245" t="str">
            <v>Ы</v>
          </cell>
          <cell r="AT2245" t="str">
            <v>Ы</v>
          </cell>
          <cell r="AU2245">
            <v>0</v>
          </cell>
          <cell r="AV2245">
            <v>0</v>
          </cell>
          <cell r="AW2245">
            <v>23</v>
          </cell>
          <cell r="AX2245">
            <v>1</v>
          </cell>
          <cell r="AY2245">
            <v>0</v>
          </cell>
          <cell r="AZ2245">
            <v>0</v>
          </cell>
          <cell r="BA2245">
            <v>0</v>
          </cell>
          <cell r="BB2245">
            <v>0</v>
          </cell>
          <cell r="BC2245">
            <v>38828</v>
          </cell>
        </row>
        <row r="2246">
          <cell r="A2246">
            <v>2006</v>
          </cell>
          <cell r="B2246">
            <v>3</v>
          </cell>
          <cell r="C2246">
            <v>316</v>
          </cell>
          <cell r="D2246">
            <v>21</v>
          </cell>
          <cell r="E2246">
            <v>792020</v>
          </cell>
          <cell r="F2246">
            <v>0</v>
          </cell>
          <cell r="G2246" t="str">
            <v>Затраты по ШПЗ (основные)</v>
          </cell>
          <cell r="H2246">
            <v>2011</v>
          </cell>
          <cell r="I2246">
            <v>7920</v>
          </cell>
          <cell r="J2246">
            <v>122662</v>
          </cell>
          <cell r="K2246">
            <v>1</v>
          </cell>
          <cell r="L2246">
            <v>0</v>
          </cell>
          <cell r="M2246">
            <v>0</v>
          </cell>
          <cell r="N2246">
            <v>0</v>
          </cell>
          <cell r="R2246">
            <v>0</v>
          </cell>
          <cell r="S2246">
            <v>0</v>
          </cell>
          <cell r="T2246">
            <v>0</v>
          </cell>
          <cell r="U2246">
            <v>31</v>
          </cell>
          <cell r="V2246">
            <v>0</v>
          </cell>
          <cell r="W2246">
            <v>0</v>
          </cell>
          <cell r="AA2246">
            <v>0</v>
          </cell>
          <cell r="AB2246">
            <v>0</v>
          </cell>
          <cell r="AC2246">
            <v>0</v>
          </cell>
          <cell r="AD2246">
            <v>31</v>
          </cell>
          <cell r="AE2246">
            <v>283000</v>
          </cell>
          <cell r="AF2246">
            <v>0</v>
          </cell>
          <cell r="AI2246">
            <v>2282</v>
          </cell>
          <cell r="AK2246">
            <v>0</v>
          </cell>
          <cell r="AM2246">
            <v>473</v>
          </cell>
          <cell r="AN2246">
            <v>1</v>
          </cell>
          <cell r="AO2246">
            <v>393216</v>
          </cell>
          <cell r="AQ2246">
            <v>0</v>
          </cell>
          <cell r="AR2246">
            <v>0</v>
          </cell>
          <cell r="AS2246" t="str">
            <v>Ы</v>
          </cell>
          <cell r="AT2246" t="str">
            <v>Ы</v>
          </cell>
          <cell r="AU2246">
            <v>0</v>
          </cell>
          <cell r="AV2246">
            <v>0</v>
          </cell>
          <cell r="AW2246">
            <v>23</v>
          </cell>
          <cell r="AX2246">
            <v>1</v>
          </cell>
          <cell r="AY2246">
            <v>0</v>
          </cell>
          <cell r="AZ2246">
            <v>0</v>
          </cell>
          <cell r="BA2246">
            <v>0</v>
          </cell>
          <cell r="BB2246">
            <v>0</v>
          </cell>
          <cell r="BC2246">
            <v>38828</v>
          </cell>
        </row>
        <row r="2247">
          <cell r="A2247">
            <v>2006</v>
          </cell>
          <cell r="B2247">
            <v>3</v>
          </cell>
          <cell r="C2247">
            <v>317</v>
          </cell>
          <cell r="D2247">
            <v>21</v>
          </cell>
          <cell r="E2247">
            <v>792020</v>
          </cell>
          <cell r="F2247">
            <v>0</v>
          </cell>
          <cell r="G2247" t="str">
            <v>Затраты по ШПЗ (основные)</v>
          </cell>
          <cell r="H2247">
            <v>2011</v>
          </cell>
          <cell r="I2247">
            <v>7920</v>
          </cell>
          <cell r="J2247">
            <v>26133.81</v>
          </cell>
          <cell r="K2247">
            <v>1</v>
          </cell>
          <cell r="L2247">
            <v>0</v>
          </cell>
          <cell r="M2247">
            <v>0</v>
          </cell>
          <cell r="N2247">
            <v>0</v>
          </cell>
          <cell r="R2247">
            <v>0</v>
          </cell>
          <cell r="S2247">
            <v>0</v>
          </cell>
          <cell r="T2247">
            <v>0</v>
          </cell>
          <cell r="U2247">
            <v>31</v>
          </cell>
          <cell r="V2247">
            <v>0</v>
          </cell>
          <cell r="W2247">
            <v>0</v>
          </cell>
          <cell r="AA2247">
            <v>0</v>
          </cell>
          <cell r="AB2247">
            <v>0</v>
          </cell>
          <cell r="AC2247">
            <v>0</v>
          </cell>
          <cell r="AD2247">
            <v>31</v>
          </cell>
          <cell r="AE2247">
            <v>285000</v>
          </cell>
          <cell r="AF2247">
            <v>0</v>
          </cell>
          <cell r="AI2247">
            <v>2282</v>
          </cell>
          <cell r="AK2247">
            <v>0</v>
          </cell>
          <cell r="AM2247">
            <v>474</v>
          </cell>
          <cell r="AN2247">
            <v>1</v>
          </cell>
          <cell r="AO2247">
            <v>393216</v>
          </cell>
          <cell r="AQ2247">
            <v>0</v>
          </cell>
          <cell r="AR2247">
            <v>0</v>
          </cell>
          <cell r="AS2247" t="str">
            <v>Ы</v>
          </cell>
          <cell r="AT2247" t="str">
            <v>Ы</v>
          </cell>
          <cell r="AU2247">
            <v>0</v>
          </cell>
          <cell r="AV2247">
            <v>0</v>
          </cell>
          <cell r="AW2247">
            <v>23</v>
          </cell>
          <cell r="AX2247">
            <v>1</v>
          </cell>
          <cell r="AY2247">
            <v>0</v>
          </cell>
          <cell r="AZ2247">
            <v>0</v>
          </cell>
          <cell r="BA2247">
            <v>0</v>
          </cell>
          <cell r="BB2247">
            <v>0</v>
          </cell>
          <cell r="BC2247">
            <v>38828</v>
          </cell>
        </row>
        <row r="2248">
          <cell r="A2248">
            <v>2006</v>
          </cell>
          <cell r="B2248">
            <v>3</v>
          </cell>
          <cell r="C2248">
            <v>318</v>
          </cell>
          <cell r="D2248">
            <v>21</v>
          </cell>
          <cell r="E2248">
            <v>792020</v>
          </cell>
          <cell r="F2248">
            <v>0</v>
          </cell>
          <cell r="G2248" t="str">
            <v>Затраты по ШПЗ (основные)</v>
          </cell>
          <cell r="H2248">
            <v>2011</v>
          </cell>
          <cell r="I2248">
            <v>7920</v>
          </cell>
          <cell r="J2248">
            <v>175330.45</v>
          </cell>
          <cell r="K2248">
            <v>1</v>
          </cell>
          <cell r="L2248">
            <v>0</v>
          </cell>
          <cell r="M2248">
            <v>0</v>
          </cell>
          <cell r="N2248">
            <v>0</v>
          </cell>
          <cell r="R2248">
            <v>0</v>
          </cell>
          <cell r="S2248">
            <v>0</v>
          </cell>
          <cell r="T2248">
            <v>0</v>
          </cell>
          <cell r="U2248">
            <v>31</v>
          </cell>
          <cell r="V2248">
            <v>0</v>
          </cell>
          <cell r="W2248">
            <v>0</v>
          </cell>
          <cell r="AA2248">
            <v>0</v>
          </cell>
          <cell r="AB2248">
            <v>0</v>
          </cell>
          <cell r="AC2248">
            <v>0</v>
          </cell>
          <cell r="AD2248">
            <v>31</v>
          </cell>
          <cell r="AE2248">
            <v>311000</v>
          </cell>
          <cell r="AF2248">
            <v>0</v>
          </cell>
          <cell r="AI2248">
            <v>2282</v>
          </cell>
          <cell r="AK2248">
            <v>0</v>
          </cell>
          <cell r="AM2248">
            <v>475</v>
          </cell>
          <cell r="AN2248">
            <v>1</v>
          </cell>
          <cell r="AO2248">
            <v>393216</v>
          </cell>
          <cell r="AQ2248">
            <v>0</v>
          </cell>
          <cell r="AR2248">
            <v>0</v>
          </cell>
          <cell r="AS2248" t="str">
            <v>Ы</v>
          </cell>
          <cell r="AT2248" t="str">
            <v>Ы</v>
          </cell>
          <cell r="AU2248">
            <v>0</v>
          </cell>
          <cell r="AV2248">
            <v>0</v>
          </cell>
          <cell r="AW2248">
            <v>23</v>
          </cell>
          <cell r="AX2248">
            <v>1</v>
          </cell>
          <cell r="AY2248">
            <v>0</v>
          </cell>
          <cell r="AZ2248">
            <v>0</v>
          </cell>
          <cell r="BA2248">
            <v>0</v>
          </cell>
          <cell r="BB2248">
            <v>0</v>
          </cell>
          <cell r="BC2248">
            <v>38828</v>
          </cell>
        </row>
        <row r="2249">
          <cell r="A2249">
            <v>2006</v>
          </cell>
          <cell r="B2249">
            <v>3</v>
          </cell>
          <cell r="C2249">
            <v>319</v>
          </cell>
          <cell r="D2249">
            <v>21</v>
          </cell>
          <cell r="E2249">
            <v>792020</v>
          </cell>
          <cell r="F2249">
            <v>0</v>
          </cell>
          <cell r="G2249" t="str">
            <v>Затраты по ШПЗ (основные)</v>
          </cell>
          <cell r="H2249">
            <v>2011</v>
          </cell>
          <cell r="I2249">
            <v>7920</v>
          </cell>
          <cell r="J2249">
            <v>362752.64</v>
          </cell>
          <cell r="K2249">
            <v>1</v>
          </cell>
          <cell r="L2249">
            <v>0</v>
          </cell>
          <cell r="M2249">
            <v>0</v>
          </cell>
          <cell r="N2249">
            <v>0</v>
          </cell>
          <cell r="R2249">
            <v>0</v>
          </cell>
          <cell r="S2249">
            <v>0</v>
          </cell>
          <cell r="T2249">
            <v>0</v>
          </cell>
          <cell r="U2249">
            <v>31</v>
          </cell>
          <cell r="V2249">
            <v>0</v>
          </cell>
          <cell r="W2249">
            <v>0</v>
          </cell>
          <cell r="AA2249">
            <v>0</v>
          </cell>
          <cell r="AB2249">
            <v>0</v>
          </cell>
          <cell r="AC2249">
            <v>0</v>
          </cell>
          <cell r="AD2249">
            <v>31</v>
          </cell>
          <cell r="AE2249">
            <v>312000</v>
          </cell>
          <cell r="AF2249">
            <v>0</v>
          </cell>
          <cell r="AI2249">
            <v>2282</v>
          </cell>
          <cell r="AK2249">
            <v>0</v>
          </cell>
          <cell r="AM2249">
            <v>476</v>
          </cell>
          <cell r="AN2249">
            <v>1</v>
          </cell>
          <cell r="AO2249">
            <v>393216</v>
          </cell>
          <cell r="AQ2249">
            <v>0</v>
          </cell>
          <cell r="AR2249">
            <v>0</v>
          </cell>
          <cell r="AS2249" t="str">
            <v>Ы</v>
          </cell>
          <cell r="AT2249" t="str">
            <v>Ы</v>
          </cell>
          <cell r="AU2249">
            <v>0</v>
          </cell>
          <cell r="AV2249">
            <v>0</v>
          </cell>
          <cell r="AW2249">
            <v>23</v>
          </cell>
          <cell r="AX2249">
            <v>1</v>
          </cell>
          <cell r="AY2249">
            <v>0</v>
          </cell>
          <cell r="AZ2249">
            <v>0</v>
          </cell>
          <cell r="BA2249">
            <v>0</v>
          </cell>
          <cell r="BB2249">
            <v>0</v>
          </cell>
          <cell r="BC2249">
            <v>38828</v>
          </cell>
        </row>
        <row r="2250">
          <cell r="A2250">
            <v>2006</v>
          </cell>
          <cell r="B2250">
            <v>3</v>
          </cell>
          <cell r="C2250">
            <v>320</v>
          </cell>
          <cell r="D2250">
            <v>21</v>
          </cell>
          <cell r="E2250">
            <v>792020</v>
          </cell>
          <cell r="F2250">
            <v>0</v>
          </cell>
          <cell r="G2250" t="str">
            <v>Затраты по ШПЗ (основные)</v>
          </cell>
          <cell r="H2250">
            <v>2011</v>
          </cell>
          <cell r="I2250">
            <v>7920</v>
          </cell>
          <cell r="J2250">
            <v>70739.39</v>
          </cell>
          <cell r="K2250">
            <v>1</v>
          </cell>
          <cell r="L2250">
            <v>0</v>
          </cell>
          <cell r="M2250">
            <v>0</v>
          </cell>
          <cell r="N2250">
            <v>0</v>
          </cell>
          <cell r="R2250">
            <v>0</v>
          </cell>
          <cell r="S2250">
            <v>0</v>
          </cell>
          <cell r="T2250">
            <v>0</v>
          </cell>
          <cell r="U2250">
            <v>31</v>
          </cell>
          <cell r="V2250">
            <v>0</v>
          </cell>
          <cell r="W2250">
            <v>0</v>
          </cell>
          <cell r="AA2250">
            <v>0</v>
          </cell>
          <cell r="AB2250">
            <v>0</v>
          </cell>
          <cell r="AC2250">
            <v>0</v>
          </cell>
          <cell r="AD2250">
            <v>31</v>
          </cell>
          <cell r="AE2250">
            <v>312100</v>
          </cell>
          <cell r="AF2250">
            <v>0</v>
          </cell>
          <cell r="AI2250">
            <v>2282</v>
          </cell>
          <cell r="AK2250">
            <v>0</v>
          </cell>
          <cell r="AM2250">
            <v>477</v>
          </cell>
          <cell r="AN2250">
            <v>1</v>
          </cell>
          <cell r="AO2250">
            <v>393216</v>
          </cell>
          <cell r="AQ2250">
            <v>0</v>
          </cell>
          <cell r="AR2250">
            <v>0</v>
          </cell>
          <cell r="AS2250" t="str">
            <v>Ы</v>
          </cell>
          <cell r="AT2250" t="str">
            <v>Ы</v>
          </cell>
          <cell r="AU2250">
            <v>0</v>
          </cell>
          <cell r="AV2250">
            <v>0</v>
          </cell>
          <cell r="AW2250">
            <v>23</v>
          </cell>
          <cell r="AX2250">
            <v>1</v>
          </cell>
          <cell r="AY2250">
            <v>0</v>
          </cell>
          <cell r="AZ2250">
            <v>0</v>
          </cell>
          <cell r="BA2250">
            <v>0</v>
          </cell>
          <cell r="BB2250">
            <v>0</v>
          </cell>
          <cell r="BC2250">
            <v>38828</v>
          </cell>
        </row>
        <row r="2251">
          <cell r="A2251">
            <v>2006</v>
          </cell>
          <cell r="B2251">
            <v>3</v>
          </cell>
          <cell r="C2251">
            <v>321</v>
          </cell>
          <cell r="D2251">
            <v>21</v>
          </cell>
          <cell r="E2251">
            <v>792020</v>
          </cell>
          <cell r="F2251">
            <v>0</v>
          </cell>
          <cell r="G2251" t="str">
            <v>Затраты по ШПЗ (основные)</v>
          </cell>
          <cell r="H2251">
            <v>2011</v>
          </cell>
          <cell r="I2251">
            <v>7920</v>
          </cell>
          <cell r="J2251">
            <v>775683.47</v>
          </cell>
          <cell r="K2251">
            <v>1</v>
          </cell>
          <cell r="L2251">
            <v>0</v>
          </cell>
          <cell r="M2251">
            <v>0</v>
          </cell>
          <cell r="N2251">
            <v>0</v>
          </cell>
          <cell r="R2251">
            <v>0</v>
          </cell>
          <cell r="S2251">
            <v>0</v>
          </cell>
          <cell r="T2251">
            <v>0</v>
          </cell>
          <cell r="U2251">
            <v>31</v>
          </cell>
          <cell r="V2251">
            <v>0</v>
          </cell>
          <cell r="W2251">
            <v>0</v>
          </cell>
          <cell r="AA2251">
            <v>0</v>
          </cell>
          <cell r="AB2251">
            <v>0</v>
          </cell>
          <cell r="AC2251">
            <v>0</v>
          </cell>
          <cell r="AD2251">
            <v>31</v>
          </cell>
          <cell r="AE2251">
            <v>312200</v>
          </cell>
          <cell r="AF2251">
            <v>0</v>
          </cell>
          <cell r="AI2251">
            <v>2282</v>
          </cell>
          <cell r="AK2251">
            <v>0</v>
          </cell>
          <cell r="AM2251">
            <v>478</v>
          </cell>
          <cell r="AN2251">
            <v>1</v>
          </cell>
          <cell r="AO2251">
            <v>393216</v>
          </cell>
          <cell r="AQ2251">
            <v>0</v>
          </cell>
          <cell r="AR2251">
            <v>0</v>
          </cell>
          <cell r="AS2251" t="str">
            <v>Ы</v>
          </cell>
          <cell r="AT2251" t="str">
            <v>Ы</v>
          </cell>
          <cell r="AU2251">
            <v>0</v>
          </cell>
          <cell r="AV2251">
            <v>0</v>
          </cell>
          <cell r="AW2251">
            <v>23</v>
          </cell>
          <cell r="AX2251">
            <v>1</v>
          </cell>
          <cell r="AY2251">
            <v>0</v>
          </cell>
          <cell r="AZ2251">
            <v>0</v>
          </cell>
          <cell r="BA2251">
            <v>0</v>
          </cell>
          <cell r="BB2251">
            <v>0</v>
          </cell>
          <cell r="BC2251">
            <v>38828</v>
          </cell>
        </row>
        <row r="2252">
          <cell r="A2252">
            <v>2006</v>
          </cell>
          <cell r="B2252">
            <v>3</v>
          </cell>
          <cell r="C2252">
            <v>322</v>
          </cell>
          <cell r="D2252">
            <v>21</v>
          </cell>
          <cell r="E2252">
            <v>792020</v>
          </cell>
          <cell r="F2252">
            <v>0</v>
          </cell>
          <cell r="G2252" t="str">
            <v>Затраты по ШПЗ (основные)</v>
          </cell>
          <cell r="H2252">
            <v>2011</v>
          </cell>
          <cell r="I2252">
            <v>7920</v>
          </cell>
          <cell r="J2252">
            <v>66504.649999999994</v>
          </cell>
          <cell r="K2252">
            <v>1</v>
          </cell>
          <cell r="L2252">
            <v>0</v>
          </cell>
          <cell r="M2252">
            <v>0</v>
          </cell>
          <cell r="N2252">
            <v>0</v>
          </cell>
          <cell r="R2252">
            <v>0</v>
          </cell>
          <cell r="S2252">
            <v>0</v>
          </cell>
          <cell r="T2252">
            <v>0</v>
          </cell>
          <cell r="U2252">
            <v>31</v>
          </cell>
          <cell r="V2252">
            <v>0</v>
          </cell>
          <cell r="W2252">
            <v>0</v>
          </cell>
          <cell r="AA2252">
            <v>0</v>
          </cell>
          <cell r="AB2252">
            <v>0</v>
          </cell>
          <cell r="AC2252">
            <v>0</v>
          </cell>
          <cell r="AD2252">
            <v>31</v>
          </cell>
          <cell r="AE2252">
            <v>313000</v>
          </cell>
          <cell r="AF2252">
            <v>0</v>
          </cell>
          <cell r="AI2252">
            <v>2282</v>
          </cell>
          <cell r="AK2252">
            <v>0</v>
          </cell>
          <cell r="AM2252">
            <v>479</v>
          </cell>
          <cell r="AN2252">
            <v>1</v>
          </cell>
          <cell r="AO2252">
            <v>393216</v>
          </cell>
          <cell r="AQ2252">
            <v>0</v>
          </cell>
          <cell r="AR2252">
            <v>0</v>
          </cell>
          <cell r="AS2252" t="str">
            <v>Ы</v>
          </cell>
          <cell r="AT2252" t="str">
            <v>Ы</v>
          </cell>
          <cell r="AU2252">
            <v>0</v>
          </cell>
          <cell r="AV2252">
            <v>0</v>
          </cell>
          <cell r="AW2252">
            <v>23</v>
          </cell>
          <cell r="AX2252">
            <v>1</v>
          </cell>
          <cell r="AY2252">
            <v>0</v>
          </cell>
          <cell r="AZ2252">
            <v>0</v>
          </cell>
          <cell r="BA2252">
            <v>0</v>
          </cell>
          <cell r="BB2252">
            <v>0</v>
          </cell>
          <cell r="BC2252">
            <v>38828</v>
          </cell>
        </row>
        <row r="2253">
          <cell r="A2253">
            <v>2006</v>
          </cell>
          <cell r="B2253">
            <v>3</v>
          </cell>
          <cell r="C2253">
            <v>323</v>
          </cell>
          <cell r="D2253">
            <v>21</v>
          </cell>
          <cell r="E2253">
            <v>792020</v>
          </cell>
          <cell r="F2253">
            <v>0</v>
          </cell>
          <cell r="G2253" t="str">
            <v>Затраты по ШПЗ (основные)</v>
          </cell>
          <cell r="H2253">
            <v>2011</v>
          </cell>
          <cell r="I2253">
            <v>7920</v>
          </cell>
          <cell r="J2253">
            <v>120917.55</v>
          </cell>
          <cell r="K2253">
            <v>1</v>
          </cell>
          <cell r="L2253">
            <v>0</v>
          </cell>
          <cell r="M2253">
            <v>0</v>
          </cell>
          <cell r="N2253">
            <v>0</v>
          </cell>
          <cell r="R2253">
            <v>0</v>
          </cell>
          <cell r="S2253">
            <v>0</v>
          </cell>
          <cell r="T2253">
            <v>0</v>
          </cell>
          <cell r="U2253">
            <v>31</v>
          </cell>
          <cell r="V2253">
            <v>0</v>
          </cell>
          <cell r="W2253">
            <v>0</v>
          </cell>
          <cell r="AA2253">
            <v>0</v>
          </cell>
          <cell r="AB2253">
            <v>0</v>
          </cell>
          <cell r="AC2253">
            <v>0</v>
          </cell>
          <cell r="AD2253">
            <v>31</v>
          </cell>
          <cell r="AE2253">
            <v>314000</v>
          </cell>
          <cell r="AF2253">
            <v>0</v>
          </cell>
          <cell r="AI2253">
            <v>2282</v>
          </cell>
          <cell r="AK2253">
            <v>0</v>
          </cell>
          <cell r="AM2253">
            <v>480</v>
          </cell>
          <cell r="AN2253">
            <v>1</v>
          </cell>
          <cell r="AO2253">
            <v>393216</v>
          </cell>
          <cell r="AQ2253">
            <v>0</v>
          </cell>
          <cell r="AR2253">
            <v>0</v>
          </cell>
          <cell r="AS2253" t="str">
            <v>Ы</v>
          </cell>
          <cell r="AT2253" t="str">
            <v>Ы</v>
          </cell>
          <cell r="AU2253">
            <v>0</v>
          </cell>
          <cell r="AV2253">
            <v>0</v>
          </cell>
          <cell r="AW2253">
            <v>23</v>
          </cell>
          <cell r="AX2253">
            <v>1</v>
          </cell>
          <cell r="AY2253">
            <v>0</v>
          </cell>
          <cell r="AZ2253">
            <v>0</v>
          </cell>
          <cell r="BA2253">
            <v>0</v>
          </cell>
          <cell r="BB2253">
            <v>0</v>
          </cell>
          <cell r="BC2253">
            <v>38828</v>
          </cell>
        </row>
        <row r="2254">
          <cell r="A2254">
            <v>2006</v>
          </cell>
          <cell r="B2254">
            <v>3</v>
          </cell>
          <cell r="C2254">
            <v>324</v>
          </cell>
          <cell r="D2254">
            <v>21</v>
          </cell>
          <cell r="E2254">
            <v>792020</v>
          </cell>
          <cell r="F2254">
            <v>0</v>
          </cell>
          <cell r="G2254" t="str">
            <v>Затраты по ШПЗ (основные)</v>
          </cell>
          <cell r="H2254">
            <v>2011</v>
          </cell>
          <cell r="I2254">
            <v>7920</v>
          </cell>
          <cell r="J2254">
            <v>24183.51</v>
          </cell>
          <cell r="K2254">
            <v>1</v>
          </cell>
          <cell r="L2254">
            <v>0</v>
          </cell>
          <cell r="M2254">
            <v>0</v>
          </cell>
          <cell r="N2254">
            <v>0</v>
          </cell>
          <cell r="R2254">
            <v>0</v>
          </cell>
          <cell r="S2254">
            <v>0</v>
          </cell>
          <cell r="T2254">
            <v>0</v>
          </cell>
          <cell r="U2254">
            <v>31</v>
          </cell>
          <cell r="V2254">
            <v>0</v>
          </cell>
          <cell r="W2254">
            <v>0</v>
          </cell>
          <cell r="AA2254">
            <v>0</v>
          </cell>
          <cell r="AB2254">
            <v>0</v>
          </cell>
          <cell r="AC2254">
            <v>0</v>
          </cell>
          <cell r="AD2254">
            <v>31</v>
          </cell>
          <cell r="AE2254">
            <v>315000</v>
          </cell>
          <cell r="AF2254">
            <v>0</v>
          </cell>
          <cell r="AI2254">
            <v>2282</v>
          </cell>
          <cell r="AK2254">
            <v>0</v>
          </cell>
          <cell r="AM2254">
            <v>481</v>
          </cell>
          <cell r="AN2254">
            <v>1</v>
          </cell>
          <cell r="AO2254">
            <v>393216</v>
          </cell>
          <cell r="AQ2254">
            <v>0</v>
          </cell>
          <cell r="AR2254">
            <v>0</v>
          </cell>
          <cell r="AS2254" t="str">
            <v>Ы</v>
          </cell>
          <cell r="AT2254" t="str">
            <v>Ы</v>
          </cell>
          <cell r="AU2254">
            <v>0</v>
          </cell>
          <cell r="AV2254">
            <v>0</v>
          </cell>
          <cell r="AW2254">
            <v>23</v>
          </cell>
          <cell r="AX2254">
            <v>1</v>
          </cell>
          <cell r="AY2254">
            <v>0</v>
          </cell>
          <cell r="AZ2254">
            <v>0</v>
          </cell>
          <cell r="BA2254">
            <v>0</v>
          </cell>
          <cell r="BB2254">
            <v>0</v>
          </cell>
          <cell r="BC2254">
            <v>38828</v>
          </cell>
        </row>
        <row r="2255">
          <cell r="A2255">
            <v>2006</v>
          </cell>
          <cell r="B2255">
            <v>3</v>
          </cell>
          <cell r="C2255">
            <v>325</v>
          </cell>
          <cell r="D2255">
            <v>21</v>
          </cell>
          <cell r="E2255">
            <v>792020</v>
          </cell>
          <cell r="F2255">
            <v>0</v>
          </cell>
          <cell r="G2255" t="str">
            <v>Затраты по ШПЗ (основные)</v>
          </cell>
          <cell r="H2255">
            <v>2011</v>
          </cell>
          <cell r="I2255">
            <v>7920</v>
          </cell>
          <cell r="J2255">
            <v>1548875</v>
          </cell>
          <cell r="K2255">
            <v>1</v>
          </cell>
          <cell r="L2255">
            <v>0</v>
          </cell>
          <cell r="M2255">
            <v>0</v>
          </cell>
          <cell r="N2255">
            <v>0</v>
          </cell>
          <cell r="R2255">
            <v>0</v>
          </cell>
          <cell r="S2255">
            <v>0</v>
          </cell>
          <cell r="T2255">
            <v>0</v>
          </cell>
          <cell r="U2255">
            <v>31</v>
          </cell>
          <cell r="V2255">
            <v>0</v>
          </cell>
          <cell r="W2255">
            <v>0</v>
          </cell>
          <cell r="AA2255">
            <v>0</v>
          </cell>
          <cell r="AB2255">
            <v>0</v>
          </cell>
          <cell r="AC2255">
            <v>0</v>
          </cell>
          <cell r="AD2255">
            <v>31</v>
          </cell>
          <cell r="AE2255">
            <v>410000</v>
          </cell>
          <cell r="AF2255">
            <v>0</v>
          </cell>
          <cell r="AI2255">
            <v>2282</v>
          </cell>
          <cell r="AK2255">
            <v>0</v>
          </cell>
          <cell r="AM2255">
            <v>482</v>
          </cell>
          <cell r="AN2255">
            <v>1</v>
          </cell>
          <cell r="AO2255">
            <v>393216</v>
          </cell>
          <cell r="AQ2255">
            <v>0</v>
          </cell>
          <cell r="AR2255">
            <v>0</v>
          </cell>
          <cell r="AS2255" t="str">
            <v>Ы</v>
          </cell>
          <cell r="AT2255" t="str">
            <v>Ы</v>
          </cell>
          <cell r="AU2255">
            <v>0</v>
          </cell>
          <cell r="AV2255">
            <v>0</v>
          </cell>
          <cell r="AW2255">
            <v>23</v>
          </cell>
          <cell r="AX2255">
            <v>1</v>
          </cell>
          <cell r="AY2255">
            <v>0</v>
          </cell>
          <cell r="AZ2255">
            <v>0</v>
          </cell>
          <cell r="BA2255">
            <v>0</v>
          </cell>
          <cell r="BB2255">
            <v>0</v>
          </cell>
          <cell r="BC2255">
            <v>38828</v>
          </cell>
        </row>
        <row r="2256">
          <cell r="A2256">
            <v>2006</v>
          </cell>
          <cell r="B2256">
            <v>3</v>
          </cell>
          <cell r="C2256">
            <v>326</v>
          </cell>
          <cell r="D2256">
            <v>21</v>
          </cell>
          <cell r="E2256">
            <v>792020</v>
          </cell>
          <cell r="F2256">
            <v>0</v>
          </cell>
          <cell r="G2256" t="str">
            <v>Затраты по ШПЗ (основные)</v>
          </cell>
          <cell r="H2256">
            <v>2011</v>
          </cell>
          <cell r="I2256">
            <v>7920</v>
          </cell>
          <cell r="J2256">
            <v>11600</v>
          </cell>
          <cell r="K2256">
            <v>1</v>
          </cell>
          <cell r="L2256">
            <v>0</v>
          </cell>
          <cell r="M2256">
            <v>0</v>
          </cell>
          <cell r="N2256">
            <v>0</v>
          </cell>
          <cell r="R2256">
            <v>0</v>
          </cell>
          <cell r="S2256">
            <v>0</v>
          </cell>
          <cell r="T2256">
            <v>0</v>
          </cell>
          <cell r="U2256">
            <v>31</v>
          </cell>
          <cell r="V2256">
            <v>0</v>
          </cell>
          <cell r="W2256">
            <v>0</v>
          </cell>
          <cell r="AA2256">
            <v>0</v>
          </cell>
          <cell r="AB2256">
            <v>0</v>
          </cell>
          <cell r="AC2256">
            <v>0</v>
          </cell>
          <cell r="AD2256">
            <v>31</v>
          </cell>
          <cell r="AE2256">
            <v>410200</v>
          </cell>
          <cell r="AF2256">
            <v>0</v>
          </cell>
          <cell r="AI2256">
            <v>2282</v>
          </cell>
          <cell r="AK2256">
            <v>0</v>
          </cell>
          <cell r="AM2256">
            <v>483</v>
          </cell>
          <cell r="AN2256">
            <v>1</v>
          </cell>
          <cell r="AO2256">
            <v>393216</v>
          </cell>
          <cell r="AQ2256">
            <v>0</v>
          </cell>
          <cell r="AR2256">
            <v>0</v>
          </cell>
          <cell r="AS2256" t="str">
            <v>Ы</v>
          </cell>
          <cell r="AT2256" t="str">
            <v>Ы</v>
          </cell>
          <cell r="AU2256">
            <v>0</v>
          </cell>
          <cell r="AV2256">
            <v>0</v>
          </cell>
          <cell r="AW2256">
            <v>23</v>
          </cell>
          <cell r="AX2256">
            <v>1</v>
          </cell>
          <cell r="AY2256">
            <v>0</v>
          </cell>
          <cell r="AZ2256">
            <v>0</v>
          </cell>
          <cell r="BA2256">
            <v>0</v>
          </cell>
          <cell r="BB2256">
            <v>0</v>
          </cell>
          <cell r="BC2256">
            <v>38828</v>
          </cell>
        </row>
        <row r="2257">
          <cell r="A2257">
            <v>2006</v>
          </cell>
          <cell r="B2257">
            <v>3</v>
          </cell>
          <cell r="C2257">
            <v>327</v>
          </cell>
          <cell r="D2257">
            <v>21</v>
          </cell>
          <cell r="E2257">
            <v>792020</v>
          </cell>
          <cell r="F2257">
            <v>0</v>
          </cell>
          <cell r="G2257" t="str">
            <v>Затраты по ШПЗ (основные)</v>
          </cell>
          <cell r="H2257">
            <v>2011</v>
          </cell>
          <cell r="I2257">
            <v>7920</v>
          </cell>
          <cell r="J2257">
            <v>200211</v>
          </cell>
          <cell r="K2257">
            <v>1</v>
          </cell>
          <cell r="L2257">
            <v>0</v>
          </cell>
          <cell r="M2257">
            <v>0</v>
          </cell>
          <cell r="N2257">
            <v>0</v>
          </cell>
          <cell r="R2257">
            <v>0</v>
          </cell>
          <cell r="S2257">
            <v>0</v>
          </cell>
          <cell r="T2257">
            <v>0</v>
          </cell>
          <cell r="U2257">
            <v>31</v>
          </cell>
          <cell r="V2257">
            <v>0</v>
          </cell>
          <cell r="W2257">
            <v>0</v>
          </cell>
          <cell r="AA2257">
            <v>0</v>
          </cell>
          <cell r="AB2257">
            <v>0</v>
          </cell>
          <cell r="AC2257">
            <v>0</v>
          </cell>
          <cell r="AD2257">
            <v>31</v>
          </cell>
          <cell r="AE2257">
            <v>420000</v>
          </cell>
          <cell r="AF2257">
            <v>0</v>
          </cell>
          <cell r="AI2257">
            <v>2282</v>
          </cell>
          <cell r="AK2257">
            <v>0</v>
          </cell>
          <cell r="AM2257">
            <v>484</v>
          </cell>
          <cell r="AN2257">
            <v>1</v>
          </cell>
          <cell r="AO2257">
            <v>393216</v>
          </cell>
          <cell r="AQ2257">
            <v>0</v>
          </cell>
          <cell r="AR2257">
            <v>0</v>
          </cell>
          <cell r="AS2257" t="str">
            <v>Ы</v>
          </cell>
          <cell r="AT2257" t="str">
            <v>Ы</v>
          </cell>
          <cell r="AU2257">
            <v>0</v>
          </cell>
          <cell r="AV2257">
            <v>0</v>
          </cell>
          <cell r="AW2257">
            <v>23</v>
          </cell>
          <cell r="AX2257">
            <v>1</v>
          </cell>
          <cell r="AY2257">
            <v>0</v>
          </cell>
          <cell r="AZ2257">
            <v>0</v>
          </cell>
          <cell r="BA2257">
            <v>0</v>
          </cell>
          <cell r="BB2257">
            <v>0</v>
          </cell>
          <cell r="BC2257">
            <v>38828</v>
          </cell>
        </row>
        <row r="2258">
          <cell r="A2258">
            <v>2006</v>
          </cell>
          <cell r="B2258">
            <v>3</v>
          </cell>
          <cell r="C2258">
            <v>328</v>
          </cell>
          <cell r="D2258">
            <v>21</v>
          </cell>
          <cell r="E2258">
            <v>792020</v>
          </cell>
          <cell r="F2258">
            <v>0</v>
          </cell>
          <cell r="G2258" t="str">
            <v>Затраты по ШПЗ (основные)</v>
          </cell>
          <cell r="H2258">
            <v>2011</v>
          </cell>
          <cell r="I2258">
            <v>7920</v>
          </cell>
          <cell r="J2258">
            <v>2287801</v>
          </cell>
          <cell r="K2258">
            <v>1</v>
          </cell>
          <cell r="L2258">
            <v>0</v>
          </cell>
          <cell r="M2258">
            <v>0</v>
          </cell>
          <cell r="N2258">
            <v>0</v>
          </cell>
          <cell r="R2258">
            <v>0</v>
          </cell>
          <cell r="S2258">
            <v>0</v>
          </cell>
          <cell r="T2258">
            <v>0</v>
          </cell>
          <cell r="U2258">
            <v>31</v>
          </cell>
          <cell r="V2258">
            <v>0</v>
          </cell>
          <cell r="W2258">
            <v>0</v>
          </cell>
          <cell r="AA2258">
            <v>0</v>
          </cell>
          <cell r="AB2258">
            <v>0</v>
          </cell>
          <cell r="AC2258">
            <v>0</v>
          </cell>
          <cell r="AD2258">
            <v>31</v>
          </cell>
          <cell r="AE2258">
            <v>430000</v>
          </cell>
          <cell r="AF2258">
            <v>0</v>
          </cell>
          <cell r="AI2258">
            <v>2282</v>
          </cell>
          <cell r="AK2258">
            <v>0</v>
          </cell>
          <cell r="AM2258">
            <v>485</v>
          </cell>
          <cell r="AN2258">
            <v>1</v>
          </cell>
          <cell r="AO2258">
            <v>393216</v>
          </cell>
          <cell r="AQ2258">
            <v>0</v>
          </cell>
          <cell r="AR2258">
            <v>0</v>
          </cell>
          <cell r="AS2258" t="str">
            <v>Ы</v>
          </cell>
          <cell r="AT2258" t="str">
            <v>Ы</v>
          </cell>
          <cell r="AU2258">
            <v>0</v>
          </cell>
          <cell r="AV2258">
            <v>0</v>
          </cell>
          <cell r="AW2258">
            <v>23</v>
          </cell>
          <cell r="AX2258">
            <v>1</v>
          </cell>
          <cell r="AY2258">
            <v>0</v>
          </cell>
          <cell r="AZ2258">
            <v>0</v>
          </cell>
          <cell r="BA2258">
            <v>0</v>
          </cell>
          <cell r="BB2258">
            <v>0</v>
          </cell>
          <cell r="BC2258">
            <v>38828</v>
          </cell>
        </row>
        <row r="2259">
          <cell r="A2259">
            <v>2006</v>
          </cell>
          <cell r="B2259">
            <v>3</v>
          </cell>
          <cell r="C2259">
            <v>329</v>
          </cell>
          <cell r="D2259">
            <v>21</v>
          </cell>
          <cell r="E2259">
            <v>792020</v>
          </cell>
          <cell r="F2259">
            <v>0</v>
          </cell>
          <cell r="G2259" t="str">
            <v>Затраты по ШПЗ (основные)</v>
          </cell>
          <cell r="H2259">
            <v>2011</v>
          </cell>
          <cell r="I2259">
            <v>7920</v>
          </cell>
          <cell r="J2259">
            <v>1470856</v>
          </cell>
          <cell r="K2259">
            <v>1</v>
          </cell>
          <cell r="L2259">
            <v>0</v>
          </cell>
          <cell r="M2259">
            <v>0</v>
          </cell>
          <cell r="N2259">
            <v>0</v>
          </cell>
          <cell r="R2259">
            <v>0</v>
          </cell>
          <cell r="S2259">
            <v>0</v>
          </cell>
          <cell r="T2259">
            <v>0</v>
          </cell>
          <cell r="U2259">
            <v>31</v>
          </cell>
          <cell r="V2259">
            <v>0</v>
          </cell>
          <cell r="W2259">
            <v>0</v>
          </cell>
          <cell r="AA2259">
            <v>0</v>
          </cell>
          <cell r="AB2259">
            <v>0</v>
          </cell>
          <cell r="AC2259">
            <v>0</v>
          </cell>
          <cell r="AD2259">
            <v>31</v>
          </cell>
          <cell r="AE2259">
            <v>430110</v>
          </cell>
          <cell r="AF2259">
            <v>0</v>
          </cell>
          <cell r="AI2259">
            <v>2282</v>
          </cell>
          <cell r="AK2259">
            <v>0</v>
          </cell>
          <cell r="AM2259">
            <v>486</v>
          </cell>
          <cell r="AN2259">
            <v>1</v>
          </cell>
          <cell r="AO2259">
            <v>393216</v>
          </cell>
          <cell r="AQ2259">
            <v>0</v>
          </cell>
          <cell r="AR2259">
            <v>0</v>
          </cell>
          <cell r="AS2259" t="str">
            <v>Ы</v>
          </cell>
          <cell r="AT2259" t="str">
            <v>Ы</v>
          </cell>
          <cell r="AU2259">
            <v>0</v>
          </cell>
          <cell r="AV2259">
            <v>0</v>
          </cell>
          <cell r="AW2259">
            <v>23</v>
          </cell>
          <cell r="AX2259">
            <v>1</v>
          </cell>
          <cell r="AY2259">
            <v>0</v>
          </cell>
          <cell r="AZ2259">
            <v>0</v>
          </cell>
          <cell r="BA2259">
            <v>0</v>
          </cell>
          <cell r="BB2259">
            <v>0</v>
          </cell>
          <cell r="BC2259">
            <v>38828</v>
          </cell>
        </row>
        <row r="2260">
          <cell r="A2260">
            <v>2006</v>
          </cell>
          <cell r="B2260">
            <v>3</v>
          </cell>
          <cell r="C2260">
            <v>330</v>
          </cell>
          <cell r="D2260">
            <v>21</v>
          </cell>
          <cell r="E2260">
            <v>792020</v>
          </cell>
          <cell r="F2260">
            <v>0</v>
          </cell>
          <cell r="G2260" t="str">
            <v>Затраты по ШПЗ (основные)</v>
          </cell>
          <cell r="H2260">
            <v>2011</v>
          </cell>
          <cell r="I2260">
            <v>7920</v>
          </cell>
          <cell r="J2260">
            <v>37224</v>
          </cell>
          <cell r="K2260">
            <v>1</v>
          </cell>
          <cell r="L2260">
            <v>0</v>
          </cell>
          <cell r="M2260">
            <v>0</v>
          </cell>
          <cell r="N2260">
            <v>0</v>
          </cell>
          <cell r="R2260">
            <v>0</v>
          </cell>
          <cell r="S2260">
            <v>0</v>
          </cell>
          <cell r="T2260">
            <v>0</v>
          </cell>
          <cell r="U2260">
            <v>31</v>
          </cell>
          <cell r="V2260">
            <v>0</v>
          </cell>
          <cell r="W2260">
            <v>0</v>
          </cell>
          <cell r="AA2260">
            <v>0</v>
          </cell>
          <cell r="AB2260">
            <v>0</v>
          </cell>
          <cell r="AC2260">
            <v>0</v>
          </cell>
          <cell r="AD2260">
            <v>31</v>
          </cell>
          <cell r="AE2260">
            <v>430120</v>
          </cell>
          <cell r="AF2260">
            <v>0</v>
          </cell>
          <cell r="AI2260">
            <v>2282</v>
          </cell>
          <cell r="AK2260">
            <v>0</v>
          </cell>
          <cell r="AM2260">
            <v>487</v>
          </cell>
          <cell r="AN2260">
            <v>1</v>
          </cell>
          <cell r="AO2260">
            <v>393216</v>
          </cell>
          <cell r="AQ2260">
            <v>0</v>
          </cell>
          <cell r="AR2260">
            <v>0</v>
          </cell>
          <cell r="AS2260" t="str">
            <v>Ы</v>
          </cell>
          <cell r="AT2260" t="str">
            <v>Ы</v>
          </cell>
          <cell r="AU2260">
            <v>0</v>
          </cell>
          <cell r="AV2260">
            <v>0</v>
          </cell>
          <cell r="AW2260">
            <v>23</v>
          </cell>
          <cell r="AX2260">
            <v>1</v>
          </cell>
          <cell r="AY2260">
            <v>0</v>
          </cell>
          <cell r="AZ2260">
            <v>0</v>
          </cell>
          <cell r="BA2260">
            <v>0</v>
          </cell>
          <cell r="BB2260">
            <v>0</v>
          </cell>
          <cell r="BC2260">
            <v>38828</v>
          </cell>
        </row>
        <row r="2261">
          <cell r="A2261">
            <v>2006</v>
          </cell>
          <cell r="B2261">
            <v>3</v>
          </cell>
          <cell r="C2261">
            <v>331</v>
          </cell>
          <cell r="D2261">
            <v>21</v>
          </cell>
          <cell r="E2261">
            <v>792020</v>
          </cell>
          <cell r="F2261">
            <v>0</v>
          </cell>
          <cell r="G2261" t="str">
            <v>Затраты по ШПЗ (основные)</v>
          </cell>
          <cell r="H2261">
            <v>2011</v>
          </cell>
          <cell r="I2261">
            <v>7920</v>
          </cell>
          <cell r="J2261">
            <v>698033</v>
          </cell>
          <cell r="K2261">
            <v>1</v>
          </cell>
          <cell r="L2261">
            <v>0</v>
          </cell>
          <cell r="M2261">
            <v>0</v>
          </cell>
          <cell r="N2261">
            <v>0</v>
          </cell>
          <cell r="R2261">
            <v>0</v>
          </cell>
          <cell r="S2261">
            <v>0</v>
          </cell>
          <cell r="T2261">
            <v>0</v>
          </cell>
          <cell r="U2261">
            <v>31</v>
          </cell>
          <cell r="V2261">
            <v>0</v>
          </cell>
          <cell r="W2261">
            <v>0</v>
          </cell>
          <cell r="AA2261">
            <v>0</v>
          </cell>
          <cell r="AB2261">
            <v>0</v>
          </cell>
          <cell r="AC2261">
            <v>0</v>
          </cell>
          <cell r="AD2261">
            <v>31</v>
          </cell>
          <cell r="AE2261">
            <v>430130</v>
          </cell>
          <cell r="AF2261">
            <v>0</v>
          </cell>
          <cell r="AI2261">
            <v>2282</v>
          </cell>
          <cell r="AK2261">
            <v>0</v>
          </cell>
          <cell r="AM2261">
            <v>488</v>
          </cell>
          <cell r="AN2261">
            <v>1</v>
          </cell>
          <cell r="AO2261">
            <v>393216</v>
          </cell>
          <cell r="AQ2261">
            <v>0</v>
          </cell>
          <cell r="AR2261">
            <v>0</v>
          </cell>
          <cell r="AS2261" t="str">
            <v>Ы</v>
          </cell>
          <cell r="AT2261" t="str">
            <v>Ы</v>
          </cell>
          <cell r="AU2261">
            <v>0</v>
          </cell>
          <cell r="AV2261">
            <v>0</v>
          </cell>
          <cell r="AW2261">
            <v>23</v>
          </cell>
          <cell r="AX2261">
            <v>1</v>
          </cell>
          <cell r="AY2261">
            <v>0</v>
          </cell>
          <cell r="AZ2261">
            <v>0</v>
          </cell>
          <cell r="BA2261">
            <v>0</v>
          </cell>
          <cell r="BB2261">
            <v>0</v>
          </cell>
          <cell r="BC2261">
            <v>38828</v>
          </cell>
        </row>
        <row r="2262">
          <cell r="A2262">
            <v>2006</v>
          </cell>
          <cell r="B2262">
            <v>3</v>
          </cell>
          <cell r="C2262">
            <v>332</v>
          </cell>
          <cell r="D2262">
            <v>21</v>
          </cell>
          <cell r="E2262">
            <v>792020</v>
          </cell>
          <cell r="F2262">
            <v>0</v>
          </cell>
          <cell r="G2262" t="str">
            <v>Затраты по ШПЗ (основные)</v>
          </cell>
          <cell r="H2262">
            <v>2011</v>
          </cell>
          <cell r="I2262">
            <v>7920</v>
          </cell>
          <cell r="J2262">
            <v>66334</v>
          </cell>
          <cell r="K2262">
            <v>1</v>
          </cell>
          <cell r="L2262">
            <v>0</v>
          </cell>
          <cell r="M2262">
            <v>0</v>
          </cell>
          <cell r="N2262">
            <v>0</v>
          </cell>
          <cell r="R2262">
            <v>0</v>
          </cell>
          <cell r="S2262">
            <v>0</v>
          </cell>
          <cell r="T2262">
            <v>0</v>
          </cell>
          <cell r="U2262">
            <v>31</v>
          </cell>
          <cell r="V2262">
            <v>0</v>
          </cell>
          <cell r="W2262">
            <v>0</v>
          </cell>
          <cell r="AA2262">
            <v>0</v>
          </cell>
          <cell r="AB2262">
            <v>0</v>
          </cell>
          <cell r="AC2262">
            <v>0</v>
          </cell>
          <cell r="AD2262">
            <v>31</v>
          </cell>
          <cell r="AE2262">
            <v>430140</v>
          </cell>
          <cell r="AF2262">
            <v>0</v>
          </cell>
          <cell r="AI2262">
            <v>2282</v>
          </cell>
          <cell r="AK2262">
            <v>0</v>
          </cell>
          <cell r="AM2262">
            <v>489</v>
          </cell>
          <cell r="AN2262">
            <v>1</v>
          </cell>
          <cell r="AO2262">
            <v>393216</v>
          </cell>
          <cell r="AQ2262">
            <v>0</v>
          </cell>
          <cell r="AR2262">
            <v>0</v>
          </cell>
          <cell r="AS2262" t="str">
            <v>Ы</v>
          </cell>
          <cell r="AT2262" t="str">
            <v>Ы</v>
          </cell>
          <cell r="AU2262">
            <v>0</v>
          </cell>
          <cell r="AV2262">
            <v>0</v>
          </cell>
          <cell r="AW2262">
            <v>23</v>
          </cell>
          <cell r="AX2262">
            <v>1</v>
          </cell>
          <cell r="AY2262">
            <v>0</v>
          </cell>
          <cell r="AZ2262">
            <v>0</v>
          </cell>
          <cell r="BA2262">
            <v>0</v>
          </cell>
          <cell r="BB2262">
            <v>0</v>
          </cell>
          <cell r="BC2262">
            <v>38828</v>
          </cell>
        </row>
        <row r="2263">
          <cell r="A2263">
            <v>2006</v>
          </cell>
          <cell r="B2263">
            <v>3</v>
          </cell>
          <cell r="C2263">
            <v>333</v>
          </cell>
          <cell r="D2263">
            <v>21</v>
          </cell>
          <cell r="E2263">
            <v>792020</v>
          </cell>
          <cell r="F2263">
            <v>0</v>
          </cell>
          <cell r="G2263" t="str">
            <v>Затраты по ШПЗ (основные)</v>
          </cell>
          <cell r="H2263">
            <v>2011</v>
          </cell>
          <cell r="I2263">
            <v>7920</v>
          </cell>
          <cell r="J2263">
            <v>162308</v>
          </cell>
          <cell r="K2263">
            <v>1</v>
          </cell>
          <cell r="L2263">
            <v>0</v>
          </cell>
          <cell r="M2263">
            <v>0</v>
          </cell>
          <cell r="N2263">
            <v>0</v>
          </cell>
          <cell r="R2263">
            <v>0</v>
          </cell>
          <cell r="S2263">
            <v>0</v>
          </cell>
          <cell r="T2263">
            <v>0</v>
          </cell>
          <cell r="U2263">
            <v>31</v>
          </cell>
          <cell r="V2263">
            <v>0</v>
          </cell>
          <cell r="W2263">
            <v>0</v>
          </cell>
          <cell r="AA2263">
            <v>0</v>
          </cell>
          <cell r="AB2263">
            <v>0</v>
          </cell>
          <cell r="AC2263">
            <v>0</v>
          </cell>
          <cell r="AD2263">
            <v>31</v>
          </cell>
          <cell r="AE2263">
            <v>430220</v>
          </cell>
          <cell r="AF2263">
            <v>0</v>
          </cell>
          <cell r="AI2263">
            <v>2282</v>
          </cell>
          <cell r="AK2263">
            <v>0</v>
          </cell>
          <cell r="AM2263">
            <v>490</v>
          </cell>
          <cell r="AN2263">
            <v>1</v>
          </cell>
          <cell r="AO2263">
            <v>393216</v>
          </cell>
          <cell r="AQ2263">
            <v>0</v>
          </cell>
          <cell r="AR2263">
            <v>0</v>
          </cell>
          <cell r="AS2263" t="str">
            <v>Ы</v>
          </cell>
          <cell r="AT2263" t="str">
            <v>Ы</v>
          </cell>
          <cell r="AU2263">
            <v>0</v>
          </cell>
          <cell r="AV2263">
            <v>0</v>
          </cell>
          <cell r="AW2263">
            <v>23</v>
          </cell>
          <cell r="AX2263">
            <v>1</v>
          </cell>
          <cell r="AY2263">
            <v>0</v>
          </cell>
          <cell r="AZ2263">
            <v>0</v>
          </cell>
          <cell r="BA2263">
            <v>0</v>
          </cell>
          <cell r="BB2263">
            <v>0</v>
          </cell>
          <cell r="BC2263">
            <v>38828</v>
          </cell>
        </row>
        <row r="2264">
          <cell r="A2264">
            <v>2006</v>
          </cell>
          <cell r="B2264">
            <v>3</v>
          </cell>
          <cell r="C2264">
            <v>334</v>
          </cell>
          <cell r="D2264">
            <v>21</v>
          </cell>
          <cell r="E2264">
            <v>792020</v>
          </cell>
          <cell r="F2264">
            <v>0</v>
          </cell>
          <cell r="G2264" t="str">
            <v>Затраты по ШПЗ (основные)</v>
          </cell>
          <cell r="H2264">
            <v>2011</v>
          </cell>
          <cell r="I2264">
            <v>7920</v>
          </cell>
          <cell r="J2264">
            <v>151371</v>
          </cell>
          <cell r="K2264">
            <v>1</v>
          </cell>
          <cell r="L2264">
            <v>0</v>
          </cell>
          <cell r="M2264">
            <v>0</v>
          </cell>
          <cell r="N2264">
            <v>0</v>
          </cell>
          <cell r="R2264">
            <v>0</v>
          </cell>
          <cell r="S2264">
            <v>0</v>
          </cell>
          <cell r="T2264">
            <v>0</v>
          </cell>
          <cell r="U2264">
            <v>31</v>
          </cell>
          <cell r="V2264">
            <v>0</v>
          </cell>
          <cell r="W2264">
            <v>0</v>
          </cell>
          <cell r="AA2264">
            <v>0</v>
          </cell>
          <cell r="AB2264">
            <v>0</v>
          </cell>
          <cell r="AC2264">
            <v>0</v>
          </cell>
          <cell r="AD2264">
            <v>31</v>
          </cell>
          <cell r="AE2264">
            <v>430230</v>
          </cell>
          <cell r="AF2264">
            <v>0</v>
          </cell>
          <cell r="AI2264">
            <v>2282</v>
          </cell>
          <cell r="AK2264">
            <v>0</v>
          </cell>
          <cell r="AM2264">
            <v>491</v>
          </cell>
          <cell r="AN2264">
            <v>1</v>
          </cell>
          <cell r="AO2264">
            <v>393216</v>
          </cell>
          <cell r="AQ2264">
            <v>0</v>
          </cell>
          <cell r="AR2264">
            <v>0</v>
          </cell>
          <cell r="AS2264" t="str">
            <v>Ы</v>
          </cell>
          <cell r="AT2264" t="str">
            <v>Ы</v>
          </cell>
          <cell r="AU2264">
            <v>0</v>
          </cell>
          <cell r="AV2264">
            <v>0</v>
          </cell>
          <cell r="AW2264">
            <v>23</v>
          </cell>
          <cell r="AX2264">
            <v>1</v>
          </cell>
          <cell r="AY2264">
            <v>0</v>
          </cell>
          <cell r="AZ2264">
            <v>0</v>
          </cell>
          <cell r="BA2264">
            <v>0</v>
          </cell>
          <cell r="BB2264">
            <v>0</v>
          </cell>
          <cell r="BC2264">
            <v>38828</v>
          </cell>
        </row>
        <row r="2265">
          <cell r="A2265">
            <v>2006</v>
          </cell>
          <cell r="B2265">
            <v>3</v>
          </cell>
          <cell r="C2265">
            <v>335</v>
          </cell>
          <cell r="D2265">
            <v>21</v>
          </cell>
          <cell r="E2265">
            <v>792020</v>
          </cell>
          <cell r="F2265">
            <v>0</v>
          </cell>
          <cell r="G2265" t="str">
            <v>Затраты по ШПЗ (основные)</v>
          </cell>
          <cell r="H2265">
            <v>2011</v>
          </cell>
          <cell r="I2265">
            <v>7920</v>
          </cell>
          <cell r="J2265">
            <v>61460</v>
          </cell>
          <cell r="K2265">
            <v>1</v>
          </cell>
          <cell r="L2265">
            <v>0</v>
          </cell>
          <cell r="M2265">
            <v>0</v>
          </cell>
          <cell r="N2265">
            <v>0</v>
          </cell>
          <cell r="R2265">
            <v>0</v>
          </cell>
          <cell r="S2265">
            <v>0</v>
          </cell>
          <cell r="T2265">
            <v>0</v>
          </cell>
          <cell r="U2265">
            <v>31</v>
          </cell>
          <cell r="V2265">
            <v>0</v>
          </cell>
          <cell r="W2265">
            <v>0</v>
          </cell>
          <cell r="AA2265">
            <v>0</v>
          </cell>
          <cell r="AB2265">
            <v>0</v>
          </cell>
          <cell r="AC2265">
            <v>0</v>
          </cell>
          <cell r="AD2265">
            <v>31</v>
          </cell>
          <cell r="AE2265">
            <v>430240</v>
          </cell>
          <cell r="AF2265">
            <v>0</v>
          </cell>
          <cell r="AI2265">
            <v>2282</v>
          </cell>
          <cell r="AK2265">
            <v>0</v>
          </cell>
          <cell r="AM2265">
            <v>492</v>
          </cell>
          <cell r="AN2265">
            <v>1</v>
          </cell>
          <cell r="AO2265">
            <v>393216</v>
          </cell>
          <cell r="AQ2265">
            <v>0</v>
          </cell>
          <cell r="AR2265">
            <v>0</v>
          </cell>
          <cell r="AS2265" t="str">
            <v>Ы</v>
          </cell>
          <cell r="AT2265" t="str">
            <v>Ы</v>
          </cell>
          <cell r="AU2265">
            <v>0</v>
          </cell>
          <cell r="AV2265">
            <v>0</v>
          </cell>
          <cell r="AW2265">
            <v>23</v>
          </cell>
          <cell r="AX2265">
            <v>1</v>
          </cell>
          <cell r="AY2265">
            <v>0</v>
          </cell>
          <cell r="AZ2265">
            <v>0</v>
          </cell>
          <cell r="BA2265">
            <v>0</v>
          </cell>
          <cell r="BB2265">
            <v>0</v>
          </cell>
          <cell r="BC2265">
            <v>38828</v>
          </cell>
        </row>
        <row r="2266">
          <cell r="A2266">
            <v>2006</v>
          </cell>
          <cell r="B2266">
            <v>3</v>
          </cell>
          <cell r="C2266">
            <v>336</v>
          </cell>
          <cell r="D2266">
            <v>21</v>
          </cell>
          <cell r="E2266">
            <v>792020</v>
          </cell>
          <cell r="F2266">
            <v>0</v>
          </cell>
          <cell r="G2266" t="str">
            <v>Затраты по ШПЗ (основные)</v>
          </cell>
          <cell r="H2266">
            <v>2011</v>
          </cell>
          <cell r="I2266">
            <v>7920</v>
          </cell>
          <cell r="J2266">
            <v>135766</v>
          </cell>
          <cell r="K2266">
            <v>1</v>
          </cell>
          <cell r="L2266">
            <v>0</v>
          </cell>
          <cell r="M2266">
            <v>0</v>
          </cell>
          <cell r="N2266">
            <v>0</v>
          </cell>
          <cell r="R2266">
            <v>0</v>
          </cell>
          <cell r="S2266">
            <v>0</v>
          </cell>
          <cell r="T2266">
            <v>0</v>
          </cell>
          <cell r="U2266">
            <v>31</v>
          </cell>
          <cell r="V2266">
            <v>0</v>
          </cell>
          <cell r="W2266">
            <v>0</v>
          </cell>
          <cell r="AA2266">
            <v>0</v>
          </cell>
          <cell r="AB2266">
            <v>0</v>
          </cell>
          <cell r="AC2266">
            <v>0</v>
          </cell>
          <cell r="AD2266">
            <v>31</v>
          </cell>
          <cell r="AE2266">
            <v>450000</v>
          </cell>
          <cell r="AF2266">
            <v>0</v>
          </cell>
          <cell r="AI2266">
            <v>2282</v>
          </cell>
          <cell r="AK2266">
            <v>0</v>
          </cell>
          <cell r="AM2266">
            <v>493</v>
          </cell>
          <cell r="AN2266">
            <v>1</v>
          </cell>
          <cell r="AO2266">
            <v>393216</v>
          </cell>
          <cell r="AQ2266">
            <v>0</v>
          </cell>
          <cell r="AR2266">
            <v>0</v>
          </cell>
          <cell r="AS2266" t="str">
            <v>Ы</v>
          </cell>
          <cell r="AT2266" t="str">
            <v>Ы</v>
          </cell>
          <cell r="AU2266">
            <v>0</v>
          </cell>
          <cell r="AV2266">
            <v>0</v>
          </cell>
          <cell r="AW2266">
            <v>23</v>
          </cell>
          <cell r="AX2266">
            <v>1</v>
          </cell>
          <cell r="AY2266">
            <v>0</v>
          </cell>
          <cell r="AZ2266">
            <v>0</v>
          </cell>
          <cell r="BA2266">
            <v>0</v>
          </cell>
          <cell r="BB2266">
            <v>0</v>
          </cell>
          <cell r="BC2266">
            <v>38828</v>
          </cell>
        </row>
        <row r="2267">
          <cell r="A2267">
            <v>2006</v>
          </cell>
          <cell r="B2267">
            <v>3</v>
          </cell>
          <cell r="C2267">
            <v>337</v>
          </cell>
          <cell r="D2267">
            <v>21</v>
          </cell>
          <cell r="E2267">
            <v>792020</v>
          </cell>
          <cell r="F2267">
            <v>0</v>
          </cell>
          <cell r="G2267" t="str">
            <v>Затраты по ШПЗ (основные)</v>
          </cell>
          <cell r="H2267">
            <v>2011</v>
          </cell>
          <cell r="I2267">
            <v>7920</v>
          </cell>
          <cell r="J2267">
            <v>13560</v>
          </cell>
          <cell r="K2267">
            <v>1</v>
          </cell>
          <cell r="L2267">
            <v>0</v>
          </cell>
          <cell r="M2267">
            <v>0</v>
          </cell>
          <cell r="N2267">
            <v>0</v>
          </cell>
          <cell r="R2267">
            <v>0</v>
          </cell>
          <cell r="S2267">
            <v>0</v>
          </cell>
          <cell r="T2267">
            <v>0</v>
          </cell>
          <cell r="U2267">
            <v>31</v>
          </cell>
          <cell r="V2267">
            <v>0</v>
          </cell>
          <cell r="W2267">
            <v>0</v>
          </cell>
          <cell r="AA2267">
            <v>0</v>
          </cell>
          <cell r="AB2267">
            <v>0</v>
          </cell>
          <cell r="AC2267">
            <v>0</v>
          </cell>
          <cell r="AD2267">
            <v>31</v>
          </cell>
          <cell r="AE2267">
            <v>460000</v>
          </cell>
          <cell r="AF2267">
            <v>0</v>
          </cell>
          <cell r="AI2267">
            <v>2282</v>
          </cell>
          <cell r="AK2267">
            <v>0</v>
          </cell>
          <cell r="AM2267">
            <v>494</v>
          </cell>
          <cell r="AN2267">
            <v>1</v>
          </cell>
          <cell r="AO2267">
            <v>393216</v>
          </cell>
          <cell r="AQ2267">
            <v>0</v>
          </cell>
          <cell r="AR2267">
            <v>0</v>
          </cell>
          <cell r="AS2267" t="str">
            <v>Ы</v>
          </cell>
          <cell r="AT2267" t="str">
            <v>Ы</v>
          </cell>
          <cell r="AU2267">
            <v>0</v>
          </cell>
          <cell r="AV2267">
            <v>0</v>
          </cell>
          <cell r="AW2267">
            <v>23</v>
          </cell>
          <cell r="AX2267">
            <v>1</v>
          </cell>
          <cell r="AY2267">
            <v>0</v>
          </cell>
          <cell r="AZ2267">
            <v>0</v>
          </cell>
          <cell r="BA2267">
            <v>0</v>
          </cell>
          <cell r="BB2267">
            <v>0</v>
          </cell>
          <cell r="BC2267">
            <v>38828</v>
          </cell>
        </row>
        <row r="2268">
          <cell r="A2268">
            <v>2006</v>
          </cell>
          <cell r="B2268">
            <v>3</v>
          </cell>
          <cell r="C2268">
            <v>338</v>
          </cell>
          <cell r="D2268">
            <v>21</v>
          </cell>
          <cell r="E2268">
            <v>792020</v>
          </cell>
          <cell r="F2268">
            <v>0</v>
          </cell>
          <cell r="G2268" t="str">
            <v>Затраты по ШПЗ (основные)</v>
          </cell>
          <cell r="H2268">
            <v>2011</v>
          </cell>
          <cell r="I2268">
            <v>7920</v>
          </cell>
          <cell r="J2268">
            <v>991</v>
          </cell>
          <cell r="K2268">
            <v>1</v>
          </cell>
          <cell r="L2268">
            <v>0</v>
          </cell>
          <cell r="M2268">
            <v>0</v>
          </cell>
          <cell r="N2268">
            <v>0</v>
          </cell>
          <cell r="R2268">
            <v>0</v>
          </cell>
          <cell r="S2268">
            <v>0</v>
          </cell>
          <cell r="T2268">
            <v>0</v>
          </cell>
          <cell r="U2268">
            <v>31</v>
          </cell>
          <cell r="V2268">
            <v>0</v>
          </cell>
          <cell r="W2268">
            <v>0</v>
          </cell>
          <cell r="AA2268">
            <v>0</v>
          </cell>
          <cell r="AB2268">
            <v>0</v>
          </cell>
          <cell r="AC2268">
            <v>0</v>
          </cell>
          <cell r="AD2268">
            <v>31</v>
          </cell>
          <cell r="AE2268">
            <v>465000</v>
          </cell>
          <cell r="AF2268">
            <v>0</v>
          </cell>
          <cell r="AI2268">
            <v>2282</v>
          </cell>
          <cell r="AK2268">
            <v>0</v>
          </cell>
          <cell r="AM2268">
            <v>495</v>
          </cell>
          <cell r="AN2268">
            <v>1</v>
          </cell>
          <cell r="AO2268">
            <v>393216</v>
          </cell>
          <cell r="AQ2268">
            <v>0</v>
          </cell>
          <cell r="AR2268">
            <v>0</v>
          </cell>
          <cell r="AS2268" t="str">
            <v>Ы</v>
          </cell>
          <cell r="AT2268" t="str">
            <v>Ы</v>
          </cell>
          <cell r="AU2268">
            <v>0</v>
          </cell>
          <cell r="AV2268">
            <v>0</v>
          </cell>
          <cell r="AW2268">
            <v>23</v>
          </cell>
          <cell r="AX2268">
            <v>1</v>
          </cell>
          <cell r="AY2268">
            <v>0</v>
          </cell>
          <cell r="AZ2268">
            <v>0</v>
          </cell>
          <cell r="BA2268">
            <v>0</v>
          </cell>
          <cell r="BB2268">
            <v>0</v>
          </cell>
          <cell r="BC2268">
            <v>38828</v>
          </cell>
        </row>
        <row r="2269">
          <cell r="A2269">
            <v>2006</v>
          </cell>
          <cell r="B2269">
            <v>3</v>
          </cell>
          <cell r="C2269">
            <v>339</v>
          </cell>
          <cell r="D2269">
            <v>21</v>
          </cell>
          <cell r="E2269">
            <v>792020</v>
          </cell>
          <cell r="F2269">
            <v>0</v>
          </cell>
          <cell r="G2269" t="str">
            <v>Затраты по ШПЗ (основные)</v>
          </cell>
          <cell r="H2269">
            <v>2011</v>
          </cell>
          <cell r="I2269">
            <v>7920</v>
          </cell>
          <cell r="J2269">
            <v>-315165</v>
          </cell>
          <cell r="K2269">
            <v>1</v>
          </cell>
          <cell r="L2269">
            <v>0</v>
          </cell>
          <cell r="M2269">
            <v>0</v>
          </cell>
          <cell r="N2269">
            <v>0</v>
          </cell>
          <cell r="R2269">
            <v>0</v>
          </cell>
          <cell r="S2269">
            <v>0</v>
          </cell>
          <cell r="T2269">
            <v>0</v>
          </cell>
          <cell r="U2269">
            <v>31</v>
          </cell>
          <cell r="V2269">
            <v>0</v>
          </cell>
          <cell r="W2269">
            <v>0</v>
          </cell>
          <cell r="AA2269">
            <v>0</v>
          </cell>
          <cell r="AB2269">
            <v>0</v>
          </cell>
          <cell r="AC2269">
            <v>0</v>
          </cell>
          <cell r="AD2269">
            <v>31</v>
          </cell>
          <cell r="AE2269">
            <v>501102</v>
          </cell>
          <cell r="AF2269">
            <v>0</v>
          </cell>
          <cell r="AI2269">
            <v>2282</v>
          </cell>
          <cell r="AK2269">
            <v>0</v>
          </cell>
          <cell r="AM2269">
            <v>496</v>
          </cell>
          <cell r="AN2269">
            <v>1</v>
          </cell>
          <cell r="AO2269">
            <v>393216</v>
          </cell>
          <cell r="AQ2269">
            <v>0</v>
          </cell>
          <cell r="AR2269">
            <v>0</v>
          </cell>
          <cell r="AS2269" t="str">
            <v>Ы</v>
          </cell>
          <cell r="AT2269" t="str">
            <v>Ы</v>
          </cell>
          <cell r="AU2269">
            <v>0</v>
          </cell>
          <cell r="AV2269">
            <v>0</v>
          </cell>
          <cell r="AW2269">
            <v>23</v>
          </cell>
          <cell r="AX2269">
            <v>1</v>
          </cell>
          <cell r="AY2269">
            <v>0</v>
          </cell>
          <cell r="AZ2269">
            <v>0</v>
          </cell>
          <cell r="BA2269">
            <v>0</v>
          </cell>
          <cell r="BB2269">
            <v>0</v>
          </cell>
          <cell r="BC2269">
            <v>38828</v>
          </cell>
        </row>
        <row r="2270">
          <cell r="A2270">
            <v>2006</v>
          </cell>
          <cell r="B2270">
            <v>3</v>
          </cell>
          <cell r="C2270">
            <v>340</v>
          </cell>
          <cell r="D2270">
            <v>21</v>
          </cell>
          <cell r="E2270">
            <v>792020</v>
          </cell>
          <cell r="F2270">
            <v>0</v>
          </cell>
          <cell r="G2270" t="str">
            <v>Затраты по ШПЗ (основные)</v>
          </cell>
          <cell r="H2270">
            <v>2011</v>
          </cell>
          <cell r="I2270">
            <v>7920</v>
          </cell>
          <cell r="J2270">
            <v>122951</v>
          </cell>
          <cell r="K2270">
            <v>1</v>
          </cell>
          <cell r="L2270">
            <v>0</v>
          </cell>
          <cell r="M2270">
            <v>0</v>
          </cell>
          <cell r="N2270">
            <v>0</v>
          </cell>
          <cell r="R2270">
            <v>0</v>
          </cell>
          <cell r="S2270">
            <v>0</v>
          </cell>
          <cell r="T2270">
            <v>0</v>
          </cell>
          <cell r="U2270">
            <v>31</v>
          </cell>
          <cell r="V2270">
            <v>0</v>
          </cell>
          <cell r="W2270">
            <v>0</v>
          </cell>
          <cell r="AA2270">
            <v>0</v>
          </cell>
          <cell r="AB2270">
            <v>0</v>
          </cell>
          <cell r="AC2270">
            <v>0</v>
          </cell>
          <cell r="AD2270">
            <v>31</v>
          </cell>
          <cell r="AE2270">
            <v>501105</v>
          </cell>
          <cell r="AF2270">
            <v>0</v>
          </cell>
          <cell r="AI2270">
            <v>2282</v>
          </cell>
          <cell r="AK2270">
            <v>0</v>
          </cell>
          <cell r="AM2270">
            <v>497</v>
          </cell>
          <cell r="AN2270">
            <v>1</v>
          </cell>
          <cell r="AO2270">
            <v>393216</v>
          </cell>
          <cell r="AQ2270">
            <v>0</v>
          </cell>
          <cell r="AR2270">
            <v>0</v>
          </cell>
          <cell r="AS2270" t="str">
            <v>Ы</v>
          </cell>
          <cell r="AT2270" t="str">
            <v>Ы</v>
          </cell>
          <cell r="AU2270">
            <v>0</v>
          </cell>
          <cell r="AV2270">
            <v>0</v>
          </cell>
          <cell r="AW2270">
            <v>23</v>
          </cell>
          <cell r="AX2270">
            <v>1</v>
          </cell>
          <cell r="AY2270">
            <v>0</v>
          </cell>
          <cell r="AZ2270">
            <v>0</v>
          </cell>
          <cell r="BA2270">
            <v>0</v>
          </cell>
          <cell r="BB2270">
            <v>0</v>
          </cell>
          <cell r="BC2270">
            <v>38828</v>
          </cell>
        </row>
        <row r="2271">
          <cell r="A2271">
            <v>2006</v>
          </cell>
          <cell r="B2271">
            <v>3</v>
          </cell>
          <cell r="C2271">
            <v>341</v>
          </cell>
          <cell r="D2271">
            <v>21</v>
          </cell>
          <cell r="E2271">
            <v>792020</v>
          </cell>
          <cell r="F2271">
            <v>0</v>
          </cell>
          <cell r="G2271" t="str">
            <v>Затраты по ШПЗ (основные)</v>
          </cell>
          <cell r="H2271">
            <v>2011</v>
          </cell>
          <cell r="I2271">
            <v>7920</v>
          </cell>
          <cell r="J2271">
            <v>51507</v>
          </cell>
          <cell r="K2271">
            <v>1</v>
          </cell>
          <cell r="L2271">
            <v>0</v>
          </cell>
          <cell r="M2271">
            <v>0</v>
          </cell>
          <cell r="N2271">
            <v>0</v>
          </cell>
          <cell r="R2271">
            <v>0</v>
          </cell>
          <cell r="S2271">
            <v>0</v>
          </cell>
          <cell r="T2271">
            <v>0</v>
          </cell>
          <cell r="U2271">
            <v>31</v>
          </cell>
          <cell r="V2271">
            <v>0</v>
          </cell>
          <cell r="W2271">
            <v>0</v>
          </cell>
          <cell r="AA2271">
            <v>0</v>
          </cell>
          <cell r="AB2271">
            <v>0</v>
          </cell>
          <cell r="AC2271">
            <v>0</v>
          </cell>
          <cell r="AD2271">
            <v>31</v>
          </cell>
          <cell r="AE2271">
            <v>501106</v>
          </cell>
          <cell r="AF2271">
            <v>0</v>
          </cell>
          <cell r="AI2271">
            <v>2282</v>
          </cell>
          <cell r="AK2271">
            <v>0</v>
          </cell>
          <cell r="AM2271">
            <v>498</v>
          </cell>
          <cell r="AN2271">
            <v>1</v>
          </cell>
          <cell r="AO2271">
            <v>393216</v>
          </cell>
          <cell r="AQ2271">
            <v>0</v>
          </cell>
          <cell r="AR2271">
            <v>0</v>
          </cell>
          <cell r="AS2271" t="str">
            <v>Ы</v>
          </cell>
          <cell r="AT2271" t="str">
            <v>Ы</v>
          </cell>
          <cell r="AU2271">
            <v>0</v>
          </cell>
          <cell r="AV2271">
            <v>0</v>
          </cell>
          <cell r="AW2271">
            <v>23</v>
          </cell>
          <cell r="AX2271">
            <v>1</v>
          </cell>
          <cell r="AY2271">
            <v>0</v>
          </cell>
          <cell r="AZ2271">
            <v>0</v>
          </cell>
          <cell r="BA2271">
            <v>0</v>
          </cell>
          <cell r="BB2271">
            <v>0</v>
          </cell>
          <cell r="BC2271">
            <v>38828</v>
          </cell>
        </row>
        <row r="2272">
          <cell r="A2272">
            <v>2006</v>
          </cell>
          <cell r="B2272">
            <v>3</v>
          </cell>
          <cell r="C2272">
            <v>342</v>
          </cell>
          <cell r="D2272">
            <v>21</v>
          </cell>
          <cell r="E2272">
            <v>792020</v>
          </cell>
          <cell r="F2272">
            <v>0</v>
          </cell>
          <cell r="G2272" t="str">
            <v>Затраты по ШПЗ (основные)</v>
          </cell>
          <cell r="H2272">
            <v>2011</v>
          </cell>
          <cell r="I2272">
            <v>7920</v>
          </cell>
          <cell r="J2272">
            <v>21178</v>
          </cell>
          <cell r="K2272">
            <v>1</v>
          </cell>
          <cell r="L2272">
            <v>0</v>
          </cell>
          <cell r="M2272">
            <v>0</v>
          </cell>
          <cell r="N2272">
            <v>0</v>
          </cell>
          <cell r="R2272">
            <v>0</v>
          </cell>
          <cell r="S2272">
            <v>0</v>
          </cell>
          <cell r="T2272">
            <v>0</v>
          </cell>
          <cell r="U2272">
            <v>31</v>
          </cell>
          <cell r="V2272">
            <v>0</v>
          </cell>
          <cell r="W2272">
            <v>0</v>
          </cell>
          <cell r="AA2272">
            <v>0</v>
          </cell>
          <cell r="AB2272">
            <v>0</v>
          </cell>
          <cell r="AC2272">
            <v>0</v>
          </cell>
          <cell r="AD2272">
            <v>31</v>
          </cell>
          <cell r="AE2272">
            <v>502400</v>
          </cell>
          <cell r="AF2272">
            <v>0</v>
          </cell>
          <cell r="AI2272">
            <v>2282</v>
          </cell>
          <cell r="AK2272">
            <v>0</v>
          </cell>
          <cell r="AM2272">
            <v>499</v>
          </cell>
          <cell r="AN2272">
            <v>1</v>
          </cell>
          <cell r="AO2272">
            <v>393216</v>
          </cell>
          <cell r="AQ2272">
            <v>0</v>
          </cell>
          <cell r="AR2272">
            <v>0</v>
          </cell>
          <cell r="AS2272" t="str">
            <v>Ы</v>
          </cell>
          <cell r="AT2272" t="str">
            <v>Ы</v>
          </cell>
          <cell r="AU2272">
            <v>0</v>
          </cell>
          <cell r="AV2272">
            <v>0</v>
          </cell>
          <cell r="AW2272">
            <v>23</v>
          </cell>
          <cell r="AX2272">
            <v>1</v>
          </cell>
          <cell r="AY2272">
            <v>0</v>
          </cell>
          <cell r="AZ2272">
            <v>0</v>
          </cell>
          <cell r="BA2272">
            <v>0</v>
          </cell>
          <cell r="BB2272">
            <v>0</v>
          </cell>
          <cell r="BC2272">
            <v>38828</v>
          </cell>
        </row>
        <row r="2273">
          <cell r="A2273">
            <v>2006</v>
          </cell>
          <cell r="B2273">
            <v>3</v>
          </cell>
          <cell r="C2273">
            <v>343</v>
          </cell>
          <cell r="D2273">
            <v>21</v>
          </cell>
          <cell r="E2273">
            <v>792020</v>
          </cell>
          <cell r="F2273">
            <v>0</v>
          </cell>
          <cell r="G2273" t="str">
            <v>Затраты по ШПЗ (основные)</v>
          </cell>
          <cell r="H2273">
            <v>2011</v>
          </cell>
          <cell r="I2273">
            <v>7920</v>
          </cell>
          <cell r="J2273">
            <v>382690.9</v>
          </cell>
          <cell r="K2273">
            <v>1</v>
          </cell>
          <cell r="L2273">
            <v>0</v>
          </cell>
          <cell r="M2273">
            <v>0</v>
          </cell>
          <cell r="N2273">
            <v>0</v>
          </cell>
          <cell r="R2273">
            <v>0</v>
          </cell>
          <cell r="S2273">
            <v>0</v>
          </cell>
          <cell r="T2273">
            <v>0</v>
          </cell>
          <cell r="U2273">
            <v>31</v>
          </cell>
          <cell r="V2273">
            <v>0</v>
          </cell>
          <cell r="W2273">
            <v>0</v>
          </cell>
          <cell r="AA2273">
            <v>0</v>
          </cell>
          <cell r="AB2273">
            <v>0</v>
          </cell>
          <cell r="AC2273">
            <v>0</v>
          </cell>
          <cell r="AD2273">
            <v>31</v>
          </cell>
          <cell r="AE2273">
            <v>503000</v>
          </cell>
          <cell r="AF2273">
            <v>0</v>
          </cell>
          <cell r="AI2273">
            <v>2282</v>
          </cell>
          <cell r="AK2273">
            <v>0</v>
          </cell>
          <cell r="AM2273">
            <v>500</v>
          </cell>
          <cell r="AN2273">
            <v>1</v>
          </cell>
          <cell r="AO2273">
            <v>393216</v>
          </cell>
          <cell r="AQ2273">
            <v>0</v>
          </cell>
          <cell r="AR2273">
            <v>0</v>
          </cell>
          <cell r="AS2273" t="str">
            <v>Ы</v>
          </cell>
          <cell r="AT2273" t="str">
            <v>Ы</v>
          </cell>
          <cell r="AU2273">
            <v>0</v>
          </cell>
          <cell r="AV2273">
            <v>0</v>
          </cell>
          <cell r="AW2273">
            <v>23</v>
          </cell>
          <cell r="AX2273">
            <v>1</v>
          </cell>
          <cell r="AY2273">
            <v>0</v>
          </cell>
          <cell r="AZ2273">
            <v>0</v>
          </cell>
          <cell r="BA2273">
            <v>0</v>
          </cell>
          <cell r="BB2273">
            <v>0</v>
          </cell>
          <cell r="BC2273">
            <v>38828</v>
          </cell>
        </row>
        <row r="2274">
          <cell r="A2274">
            <v>2006</v>
          </cell>
          <cell r="B2274">
            <v>3</v>
          </cell>
          <cell r="C2274">
            <v>344</v>
          </cell>
          <cell r="D2274">
            <v>21</v>
          </cell>
          <cell r="E2274">
            <v>792020</v>
          </cell>
          <cell r="F2274">
            <v>0</v>
          </cell>
          <cell r="G2274" t="str">
            <v>Затраты по ШПЗ (основные)</v>
          </cell>
          <cell r="H2274">
            <v>2011</v>
          </cell>
          <cell r="I2274">
            <v>7920</v>
          </cell>
          <cell r="J2274">
            <v>5600</v>
          </cell>
          <cell r="K2274">
            <v>1</v>
          </cell>
          <cell r="L2274">
            <v>0</v>
          </cell>
          <cell r="M2274">
            <v>0</v>
          </cell>
          <cell r="N2274">
            <v>0</v>
          </cell>
          <cell r="R2274">
            <v>0</v>
          </cell>
          <cell r="S2274">
            <v>0</v>
          </cell>
          <cell r="T2274">
            <v>0</v>
          </cell>
          <cell r="U2274">
            <v>31</v>
          </cell>
          <cell r="V2274">
            <v>0</v>
          </cell>
          <cell r="W2274">
            <v>0</v>
          </cell>
          <cell r="AA2274">
            <v>0</v>
          </cell>
          <cell r="AB2274">
            <v>0</v>
          </cell>
          <cell r="AC2274">
            <v>0</v>
          </cell>
          <cell r="AD2274">
            <v>31</v>
          </cell>
          <cell r="AE2274">
            <v>504100</v>
          </cell>
          <cell r="AF2274">
            <v>0</v>
          </cell>
          <cell r="AI2274">
            <v>2282</v>
          </cell>
          <cell r="AK2274">
            <v>0</v>
          </cell>
          <cell r="AM2274">
            <v>501</v>
          </cell>
          <cell r="AN2274">
            <v>1</v>
          </cell>
          <cell r="AO2274">
            <v>393216</v>
          </cell>
          <cell r="AQ2274">
            <v>0</v>
          </cell>
          <cell r="AR2274">
            <v>0</v>
          </cell>
          <cell r="AS2274" t="str">
            <v>Ы</v>
          </cell>
          <cell r="AT2274" t="str">
            <v>Ы</v>
          </cell>
          <cell r="AU2274">
            <v>0</v>
          </cell>
          <cell r="AV2274">
            <v>0</v>
          </cell>
          <cell r="AW2274">
            <v>23</v>
          </cell>
          <cell r="AX2274">
            <v>1</v>
          </cell>
          <cell r="AY2274">
            <v>0</v>
          </cell>
          <cell r="AZ2274">
            <v>0</v>
          </cell>
          <cell r="BA2274">
            <v>0</v>
          </cell>
          <cell r="BB2274">
            <v>0</v>
          </cell>
          <cell r="BC2274">
            <v>38828</v>
          </cell>
        </row>
        <row r="2275">
          <cell r="A2275">
            <v>2006</v>
          </cell>
          <cell r="B2275">
            <v>3</v>
          </cell>
          <cell r="C2275">
            <v>345</v>
          </cell>
          <cell r="D2275">
            <v>21</v>
          </cell>
          <cell r="E2275">
            <v>792020</v>
          </cell>
          <cell r="F2275">
            <v>0</v>
          </cell>
          <cell r="G2275" t="str">
            <v>Затраты по ШПЗ (основные)</v>
          </cell>
          <cell r="H2275">
            <v>2011</v>
          </cell>
          <cell r="I2275">
            <v>7920</v>
          </cell>
          <cell r="J2275">
            <v>39565.32</v>
          </cell>
          <cell r="K2275">
            <v>1</v>
          </cell>
          <cell r="L2275">
            <v>0</v>
          </cell>
          <cell r="M2275">
            <v>0</v>
          </cell>
          <cell r="N2275">
            <v>0</v>
          </cell>
          <cell r="R2275">
            <v>0</v>
          </cell>
          <cell r="S2275">
            <v>0</v>
          </cell>
          <cell r="T2275">
            <v>0</v>
          </cell>
          <cell r="U2275">
            <v>31</v>
          </cell>
          <cell r="V2275">
            <v>0</v>
          </cell>
          <cell r="W2275">
            <v>0</v>
          </cell>
          <cell r="AA2275">
            <v>0</v>
          </cell>
          <cell r="AB2275">
            <v>0</v>
          </cell>
          <cell r="AC2275">
            <v>0</v>
          </cell>
          <cell r="AD2275">
            <v>31</v>
          </cell>
          <cell r="AE2275">
            <v>504200</v>
          </cell>
          <cell r="AF2275">
            <v>0</v>
          </cell>
          <cell r="AI2275">
            <v>2282</v>
          </cell>
          <cell r="AK2275">
            <v>0</v>
          </cell>
          <cell r="AM2275">
            <v>502</v>
          </cell>
          <cell r="AN2275">
            <v>1</v>
          </cell>
          <cell r="AO2275">
            <v>393216</v>
          </cell>
          <cell r="AQ2275">
            <v>0</v>
          </cell>
          <cell r="AR2275">
            <v>0</v>
          </cell>
          <cell r="AS2275" t="str">
            <v>Ы</v>
          </cell>
          <cell r="AT2275" t="str">
            <v>Ы</v>
          </cell>
          <cell r="AU2275">
            <v>0</v>
          </cell>
          <cell r="AV2275">
            <v>0</v>
          </cell>
          <cell r="AW2275">
            <v>23</v>
          </cell>
          <cell r="AX2275">
            <v>1</v>
          </cell>
          <cell r="AY2275">
            <v>0</v>
          </cell>
          <cell r="AZ2275">
            <v>0</v>
          </cell>
          <cell r="BA2275">
            <v>0</v>
          </cell>
          <cell r="BB2275">
            <v>0</v>
          </cell>
          <cell r="BC2275">
            <v>38828</v>
          </cell>
        </row>
        <row r="2276">
          <cell r="A2276">
            <v>2006</v>
          </cell>
          <cell r="B2276">
            <v>3</v>
          </cell>
          <cell r="C2276">
            <v>346</v>
          </cell>
          <cell r="D2276">
            <v>21</v>
          </cell>
          <cell r="E2276">
            <v>792020</v>
          </cell>
          <cell r="F2276">
            <v>0</v>
          </cell>
          <cell r="G2276" t="str">
            <v>Затраты по ШПЗ (основные)</v>
          </cell>
          <cell r="H2276">
            <v>2011</v>
          </cell>
          <cell r="I2276">
            <v>7920</v>
          </cell>
          <cell r="J2276">
            <v>180</v>
          </cell>
          <cell r="K2276">
            <v>1</v>
          </cell>
          <cell r="L2276">
            <v>0</v>
          </cell>
          <cell r="M2276">
            <v>0</v>
          </cell>
          <cell r="N2276">
            <v>0</v>
          </cell>
          <cell r="R2276">
            <v>0</v>
          </cell>
          <cell r="S2276">
            <v>0</v>
          </cell>
          <cell r="T2276">
            <v>0</v>
          </cell>
          <cell r="U2276">
            <v>31</v>
          </cell>
          <cell r="V2276">
            <v>0</v>
          </cell>
          <cell r="W2276">
            <v>0</v>
          </cell>
          <cell r="AA2276">
            <v>0</v>
          </cell>
          <cell r="AB2276">
            <v>0</v>
          </cell>
          <cell r="AC2276">
            <v>0</v>
          </cell>
          <cell r="AD2276">
            <v>31</v>
          </cell>
          <cell r="AE2276">
            <v>504400</v>
          </cell>
          <cell r="AF2276">
            <v>0</v>
          </cell>
          <cell r="AI2276">
            <v>2282</v>
          </cell>
          <cell r="AK2276">
            <v>0</v>
          </cell>
          <cell r="AM2276">
            <v>503</v>
          </cell>
          <cell r="AN2276">
            <v>1</v>
          </cell>
          <cell r="AO2276">
            <v>393216</v>
          </cell>
          <cell r="AQ2276">
            <v>0</v>
          </cell>
          <cell r="AR2276">
            <v>0</v>
          </cell>
          <cell r="AS2276" t="str">
            <v>Ы</v>
          </cell>
          <cell r="AT2276" t="str">
            <v>Ы</v>
          </cell>
          <cell r="AU2276">
            <v>0</v>
          </cell>
          <cell r="AV2276">
            <v>0</v>
          </cell>
          <cell r="AW2276">
            <v>23</v>
          </cell>
          <cell r="AX2276">
            <v>1</v>
          </cell>
          <cell r="AY2276">
            <v>0</v>
          </cell>
          <cell r="AZ2276">
            <v>0</v>
          </cell>
          <cell r="BA2276">
            <v>0</v>
          </cell>
          <cell r="BB2276">
            <v>0</v>
          </cell>
          <cell r="BC2276">
            <v>38828</v>
          </cell>
        </row>
        <row r="2277">
          <cell r="A2277">
            <v>2006</v>
          </cell>
          <cell r="B2277">
            <v>3</v>
          </cell>
          <cell r="C2277">
            <v>347</v>
          </cell>
          <cell r="D2277">
            <v>21</v>
          </cell>
          <cell r="E2277">
            <v>792020</v>
          </cell>
          <cell r="F2277">
            <v>0</v>
          </cell>
          <cell r="G2277" t="str">
            <v>Затраты по ШПЗ (основные)</v>
          </cell>
          <cell r="H2277">
            <v>2011</v>
          </cell>
          <cell r="I2277">
            <v>7920</v>
          </cell>
          <cell r="J2277">
            <v>7309</v>
          </cell>
          <cell r="K2277">
            <v>1</v>
          </cell>
          <cell r="L2277">
            <v>0</v>
          </cell>
          <cell r="M2277">
            <v>0</v>
          </cell>
          <cell r="N2277">
            <v>0</v>
          </cell>
          <cell r="R2277">
            <v>0</v>
          </cell>
          <cell r="S2277">
            <v>0</v>
          </cell>
          <cell r="T2277">
            <v>0</v>
          </cell>
          <cell r="U2277">
            <v>31</v>
          </cell>
          <cell r="V2277">
            <v>0</v>
          </cell>
          <cell r="W2277">
            <v>0</v>
          </cell>
          <cell r="AA2277">
            <v>0</v>
          </cell>
          <cell r="AB2277">
            <v>0</v>
          </cell>
          <cell r="AC2277">
            <v>0</v>
          </cell>
          <cell r="AD2277">
            <v>31</v>
          </cell>
          <cell r="AE2277">
            <v>504900</v>
          </cell>
          <cell r="AF2277">
            <v>0</v>
          </cell>
          <cell r="AI2277">
            <v>2282</v>
          </cell>
          <cell r="AK2277">
            <v>0</v>
          </cell>
          <cell r="AM2277">
            <v>504</v>
          </cell>
          <cell r="AN2277">
            <v>1</v>
          </cell>
          <cell r="AO2277">
            <v>393216</v>
          </cell>
          <cell r="AQ2277">
            <v>0</v>
          </cell>
          <cell r="AR2277">
            <v>0</v>
          </cell>
          <cell r="AS2277" t="str">
            <v>Ы</v>
          </cell>
          <cell r="AT2277" t="str">
            <v>Ы</v>
          </cell>
          <cell r="AU2277">
            <v>0</v>
          </cell>
          <cell r="AV2277">
            <v>0</v>
          </cell>
          <cell r="AW2277">
            <v>23</v>
          </cell>
          <cell r="AX2277">
            <v>1</v>
          </cell>
          <cell r="AY2277">
            <v>0</v>
          </cell>
          <cell r="AZ2277">
            <v>0</v>
          </cell>
          <cell r="BA2277">
            <v>0</v>
          </cell>
          <cell r="BB2277">
            <v>0</v>
          </cell>
          <cell r="BC2277">
            <v>38828</v>
          </cell>
        </row>
        <row r="2278">
          <cell r="A2278">
            <v>2006</v>
          </cell>
          <cell r="B2278">
            <v>3</v>
          </cell>
          <cell r="C2278">
            <v>348</v>
          </cell>
          <cell r="D2278">
            <v>21</v>
          </cell>
          <cell r="E2278">
            <v>792020</v>
          </cell>
          <cell r="F2278">
            <v>0</v>
          </cell>
          <cell r="G2278" t="str">
            <v>Затраты по ШПЗ (основные)</v>
          </cell>
          <cell r="H2278">
            <v>2011</v>
          </cell>
          <cell r="I2278">
            <v>7920</v>
          </cell>
          <cell r="J2278">
            <v>2688.02</v>
          </cell>
          <cell r="K2278">
            <v>1</v>
          </cell>
          <cell r="L2278">
            <v>0</v>
          </cell>
          <cell r="M2278">
            <v>0</v>
          </cell>
          <cell r="N2278">
            <v>0</v>
          </cell>
          <cell r="R2278">
            <v>0</v>
          </cell>
          <cell r="S2278">
            <v>0</v>
          </cell>
          <cell r="T2278">
            <v>0</v>
          </cell>
          <cell r="U2278">
            <v>31</v>
          </cell>
          <cell r="V2278">
            <v>0</v>
          </cell>
          <cell r="W2278">
            <v>0</v>
          </cell>
          <cell r="AA2278">
            <v>0</v>
          </cell>
          <cell r="AB2278">
            <v>0</v>
          </cell>
          <cell r="AC2278">
            <v>0</v>
          </cell>
          <cell r="AD2278">
            <v>31</v>
          </cell>
          <cell r="AE2278">
            <v>505100</v>
          </cell>
          <cell r="AF2278">
            <v>0</v>
          </cell>
          <cell r="AI2278">
            <v>2282</v>
          </cell>
          <cell r="AK2278">
            <v>0</v>
          </cell>
          <cell r="AM2278">
            <v>505</v>
          </cell>
          <cell r="AN2278">
            <v>1</v>
          </cell>
          <cell r="AO2278">
            <v>393216</v>
          </cell>
          <cell r="AQ2278">
            <v>0</v>
          </cell>
          <cell r="AR2278">
            <v>0</v>
          </cell>
          <cell r="AS2278" t="str">
            <v>Ы</v>
          </cell>
          <cell r="AT2278" t="str">
            <v>Ы</v>
          </cell>
          <cell r="AU2278">
            <v>0</v>
          </cell>
          <cell r="AV2278">
            <v>0</v>
          </cell>
          <cell r="AW2278">
            <v>23</v>
          </cell>
          <cell r="AX2278">
            <v>1</v>
          </cell>
          <cell r="AY2278">
            <v>0</v>
          </cell>
          <cell r="AZ2278">
            <v>0</v>
          </cell>
          <cell r="BA2278">
            <v>0</v>
          </cell>
          <cell r="BB2278">
            <v>0</v>
          </cell>
          <cell r="BC2278">
            <v>38828</v>
          </cell>
        </row>
        <row r="2279">
          <cell r="A2279">
            <v>2006</v>
          </cell>
          <cell r="B2279">
            <v>3</v>
          </cell>
          <cell r="C2279">
            <v>349</v>
          </cell>
          <cell r="D2279">
            <v>21</v>
          </cell>
          <cell r="E2279">
            <v>792020</v>
          </cell>
          <cell r="F2279">
            <v>0</v>
          </cell>
          <cell r="G2279" t="str">
            <v>Затраты по ШПЗ (основные)</v>
          </cell>
          <cell r="H2279">
            <v>2011</v>
          </cell>
          <cell r="I2279">
            <v>7920</v>
          </cell>
          <cell r="J2279">
            <v>199543.94</v>
          </cell>
          <cell r="K2279">
            <v>1</v>
          </cell>
          <cell r="L2279">
            <v>0</v>
          </cell>
          <cell r="M2279">
            <v>0</v>
          </cell>
          <cell r="N2279">
            <v>0</v>
          </cell>
          <cell r="R2279">
            <v>0</v>
          </cell>
          <cell r="S2279">
            <v>0</v>
          </cell>
          <cell r="T2279">
            <v>0</v>
          </cell>
          <cell r="U2279">
            <v>31</v>
          </cell>
          <cell r="V2279">
            <v>0</v>
          </cell>
          <cell r="W2279">
            <v>0</v>
          </cell>
          <cell r="AA2279">
            <v>0</v>
          </cell>
          <cell r="AB2279">
            <v>0</v>
          </cell>
          <cell r="AC2279">
            <v>0</v>
          </cell>
          <cell r="AD2279">
            <v>31</v>
          </cell>
          <cell r="AE2279">
            <v>505200</v>
          </cell>
          <cell r="AF2279">
            <v>0</v>
          </cell>
          <cell r="AI2279">
            <v>2282</v>
          </cell>
          <cell r="AK2279">
            <v>0</v>
          </cell>
          <cell r="AM2279">
            <v>506</v>
          </cell>
          <cell r="AN2279">
            <v>1</v>
          </cell>
          <cell r="AO2279">
            <v>393216</v>
          </cell>
          <cell r="AQ2279">
            <v>0</v>
          </cell>
          <cell r="AR2279">
            <v>0</v>
          </cell>
          <cell r="AS2279" t="str">
            <v>Ы</v>
          </cell>
          <cell r="AT2279" t="str">
            <v>Ы</v>
          </cell>
          <cell r="AU2279">
            <v>0</v>
          </cell>
          <cell r="AV2279">
            <v>0</v>
          </cell>
          <cell r="AW2279">
            <v>23</v>
          </cell>
          <cell r="AX2279">
            <v>1</v>
          </cell>
          <cell r="AY2279">
            <v>0</v>
          </cell>
          <cell r="AZ2279">
            <v>0</v>
          </cell>
          <cell r="BA2279">
            <v>0</v>
          </cell>
          <cell r="BB2279">
            <v>0</v>
          </cell>
          <cell r="BC2279">
            <v>38828</v>
          </cell>
        </row>
        <row r="2280">
          <cell r="A2280">
            <v>2006</v>
          </cell>
          <cell r="B2280">
            <v>3</v>
          </cell>
          <cell r="C2280">
            <v>350</v>
          </cell>
          <cell r="D2280">
            <v>21</v>
          </cell>
          <cell r="E2280">
            <v>792020</v>
          </cell>
          <cell r="F2280">
            <v>0</v>
          </cell>
          <cell r="G2280" t="str">
            <v>Затраты по ШПЗ (основные)</v>
          </cell>
          <cell r="H2280">
            <v>2011</v>
          </cell>
          <cell r="I2280">
            <v>7920</v>
          </cell>
          <cell r="J2280">
            <v>2785.19</v>
          </cell>
          <cell r="K2280">
            <v>1</v>
          </cell>
          <cell r="L2280">
            <v>0</v>
          </cell>
          <cell r="M2280">
            <v>0</v>
          </cell>
          <cell r="N2280">
            <v>0</v>
          </cell>
          <cell r="R2280">
            <v>0</v>
          </cell>
          <cell r="S2280">
            <v>0</v>
          </cell>
          <cell r="T2280">
            <v>0</v>
          </cell>
          <cell r="U2280">
            <v>31</v>
          </cell>
          <cell r="V2280">
            <v>0</v>
          </cell>
          <cell r="W2280">
            <v>0</v>
          </cell>
          <cell r="AA2280">
            <v>0</v>
          </cell>
          <cell r="AB2280">
            <v>0</v>
          </cell>
          <cell r="AC2280">
            <v>0</v>
          </cell>
          <cell r="AD2280">
            <v>31</v>
          </cell>
          <cell r="AE2280">
            <v>505300</v>
          </cell>
          <cell r="AF2280">
            <v>0</v>
          </cell>
          <cell r="AI2280">
            <v>2282</v>
          </cell>
          <cell r="AK2280">
            <v>0</v>
          </cell>
          <cell r="AM2280">
            <v>507</v>
          </cell>
          <cell r="AN2280">
            <v>1</v>
          </cell>
          <cell r="AO2280">
            <v>393216</v>
          </cell>
          <cell r="AQ2280">
            <v>0</v>
          </cell>
          <cell r="AR2280">
            <v>0</v>
          </cell>
          <cell r="AS2280" t="str">
            <v>Ы</v>
          </cell>
          <cell r="AT2280" t="str">
            <v>Ы</v>
          </cell>
          <cell r="AU2280">
            <v>0</v>
          </cell>
          <cell r="AV2280">
            <v>0</v>
          </cell>
          <cell r="AW2280">
            <v>23</v>
          </cell>
          <cell r="AX2280">
            <v>1</v>
          </cell>
          <cell r="AY2280">
            <v>0</v>
          </cell>
          <cell r="AZ2280">
            <v>0</v>
          </cell>
          <cell r="BA2280">
            <v>0</v>
          </cell>
          <cell r="BB2280">
            <v>0</v>
          </cell>
          <cell r="BC2280">
            <v>38828</v>
          </cell>
        </row>
        <row r="2281">
          <cell r="A2281">
            <v>2006</v>
          </cell>
          <cell r="B2281">
            <v>3</v>
          </cell>
          <cell r="C2281">
            <v>351</v>
          </cell>
          <cell r="D2281">
            <v>21</v>
          </cell>
          <cell r="E2281">
            <v>792020</v>
          </cell>
          <cell r="F2281">
            <v>0</v>
          </cell>
          <cell r="G2281" t="str">
            <v>Затраты по ШПЗ (основные)</v>
          </cell>
          <cell r="H2281">
            <v>2011</v>
          </cell>
          <cell r="I2281">
            <v>7920</v>
          </cell>
          <cell r="J2281">
            <v>2062</v>
          </cell>
          <cell r="K2281">
            <v>1</v>
          </cell>
          <cell r="L2281">
            <v>0</v>
          </cell>
          <cell r="M2281">
            <v>0</v>
          </cell>
          <cell r="N2281">
            <v>0</v>
          </cell>
          <cell r="R2281">
            <v>0</v>
          </cell>
          <cell r="S2281">
            <v>0</v>
          </cell>
          <cell r="T2281">
            <v>0</v>
          </cell>
          <cell r="U2281">
            <v>31</v>
          </cell>
          <cell r="V2281">
            <v>0</v>
          </cell>
          <cell r="W2281">
            <v>0</v>
          </cell>
          <cell r="AA2281">
            <v>0</v>
          </cell>
          <cell r="AB2281">
            <v>0</v>
          </cell>
          <cell r="AC2281">
            <v>0</v>
          </cell>
          <cell r="AD2281">
            <v>31</v>
          </cell>
          <cell r="AE2281">
            <v>505400</v>
          </cell>
          <cell r="AF2281">
            <v>0</v>
          </cell>
          <cell r="AI2281">
            <v>2282</v>
          </cell>
          <cell r="AK2281">
            <v>0</v>
          </cell>
          <cell r="AM2281">
            <v>508</v>
          </cell>
          <cell r="AN2281">
            <v>1</v>
          </cell>
          <cell r="AO2281">
            <v>393216</v>
          </cell>
          <cell r="AQ2281">
            <v>0</v>
          </cell>
          <cell r="AR2281">
            <v>0</v>
          </cell>
          <cell r="AS2281" t="str">
            <v>Ы</v>
          </cell>
          <cell r="AT2281" t="str">
            <v>Ы</v>
          </cell>
          <cell r="AU2281">
            <v>0</v>
          </cell>
          <cell r="AV2281">
            <v>0</v>
          </cell>
          <cell r="AW2281">
            <v>23</v>
          </cell>
          <cell r="AX2281">
            <v>1</v>
          </cell>
          <cell r="AY2281">
            <v>0</v>
          </cell>
          <cell r="AZ2281">
            <v>0</v>
          </cell>
          <cell r="BA2281">
            <v>0</v>
          </cell>
          <cell r="BB2281">
            <v>0</v>
          </cell>
          <cell r="BC2281">
            <v>38828</v>
          </cell>
        </row>
        <row r="2282">
          <cell r="A2282">
            <v>2006</v>
          </cell>
          <cell r="B2282">
            <v>3</v>
          </cell>
          <cell r="C2282">
            <v>352</v>
          </cell>
          <cell r="D2282">
            <v>21</v>
          </cell>
          <cell r="E2282">
            <v>792020</v>
          </cell>
          <cell r="F2282">
            <v>0</v>
          </cell>
          <cell r="G2282" t="str">
            <v>Затраты по ШПЗ (основные)</v>
          </cell>
          <cell r="H2282">
            <v>2011</v>
          </cell>
          <cell r="I2282">
            <v>7920</v>
          </cell>
          <cell r="J2282">
            <v>445314.38</v>
          </cell>
          <cell r="K2282">
            <v>1</v>
          </cell>
          <cell r="L2282">
            <v>0</v>
          </cell>
          <cell r="M2282">
            <v>0</v>
          </cell>
          <cell r="N2282">
            <v>0</v>
          </cell>
          <cell r="R2282">
            <v>0</v>
          </cell>
          <cell r="S2282">
            <v>0</v>
          </cell>
          <cell r="T2282">
            <v>0</v>
          </cell>
          <cell r="U2282">
            <v>31</v>
          </cell>
          <cell r="V2282">
            <v>0</v>
          </cell>
          <cell r="W2282">
            <v>0</v>
          </cell>
          <cell r="AA2282">
            <v>0</v>
          </cell>
          <cell r="AB2282">
            <v>0</v>
          </cell>
          <cell r="AC2282">
            <v>0</v>
          </cell>
          <cell r="AD2282">
            <v>31</v>
          </cell>
          <cell r="AE2282">
            <v>510100</v>
          </cell>
          <cell r="AF2282">
            <v>0</v>
          </cell>
          <cell r="AI2282">
            <v>2282</v>
          </cell>
          <cell r="AK2282">
            <v>0</v>
          </cell>
          <cell r="AM2282">
            <v>509</v>
          </cell>
          <cell r="AN2282">
            <v>1</v>
          </cell>
          <cell r="AO2282">
            <v>393216</v>
          </cell>
          <cell r="AQ2282">
            <v>0</v>
          </cell>
          <cell r="AR2282">
            <v>0</v>
          </cell>
          <cell r="AS2282" t="str">
            <v>Ы</v>
          </cell>
          <cell r="AT2282" t="str">
            <v>Ы</v>
          </cell>
          <cell r="AU2282">
            <v>0</v>
          </cell>
          <cell r="AV2282">
            <v>0</v>
          </cell>
          <cell r="AW2282">
            <v>23</v>
          </cell>
          <cell r="AX2282">
            <v>1</v>
          </cell>
          <cell r="AY2282">
            <v>0</v>
          </cell>
          <cell r="AZ2282">
            <v>0</v>
          </cell>
          <cell r="BA2282">
            <v>0</v>
          </cell>
          <cell r="BB2282">
            <v>0</v>
          </cell>
          <cell r="BC2282">
            <v>38828</v>
          </cell>
        </row>
        <row r="2283">
          <cell r="A2283">
            <v>2006</v>
          </cell>
          <cell r="B2283">
            <v>3</v>
          </cell>
          <cell r="C2283">
            <v>353</v>
          </cell>
          <cell r="D2283">
            <v>21</v>
          </cell>
          <cell r="E2283">
            <v>792020</v>
          </cell>
          <cell r="F2283">
            <v>0</v>
          </cell>
          <cell r="G2283" t="str">
            <v>Затраты по ШПЗ (основные)</v>
          </cell>
          <cell r="H2283">
            <v>2011</v>
          </cell>
          <cell r="I2283">
            <v>7920</v>
          </cell>
          <cell r="J2283">
            <v>644</v>
          </cell>
          <cell r="K2283">
            <v>1</v>
          </cell>
          <cell r="L2283">
            <v>0</v>
          </cell>
          <cell r="M2283">
            <v>0</v>
          </cell>
          <cell r="N2283">
            <v>0</v>
          </cell>
          <cell r="R2283">
            <v>0</v>
          </cell>
          <cell r="S2283">
            <v>0</v>
          </cell>
          <cell r="T2283">
            <v>0</v>
          </cell>
          <cell r="U2283">
            <v>31</v>
          </cell>
          <cell r="V2283">
            <v>0</v>
          </cell>
          <cell r="W2283">
            <v>0</v>
          </cell>
          <cell r="AA2283">
            <v>0</v>
          </cell>
          <cell r="AB2283">
            <v>0</v>
          </cell>
          <cell r="AC2283">
            <v>0</v>
          </cell>
          <cell r="AD2283">
            <v>31</v>
          </cell>
          <cell r="AE2283">
            <v>510200</v>
          </cell>
          <cell r="AF2283">
            <v>0</v>
          </cell>
          <cell r="AI2283">
            <v>2282</v>
          </cell>
          <cell r="AK2283">
            <v>0</v>
          </cell>
          <cell r="AM2283">
            <v>510</v>
          </cell>
          <cell r="AN2283">
            <v>1</v>
          </cell>
          <cell r="AO2283">
            <v>393216</v>
          </cell>
          <cell r="AQ2283">
            <v>0</v>
          </cell>
          <cell r="AR2283">
            <v>0</v>
          </cell>
          <cell r="AS2283" t="str">
            <v>Ы</v>
          </cell>
          <cell r="AT2283" t="str">
            <v>Ы</v>
          </cell>
          <cell r="AU2283">
            <v>0</v>
          </cell>
          <cell r="AV2283">
            <v>0</v>
          </cell>
          <cell r="AW2283">
            <v>23</v>
          </cell>
          <cell r="AX2283">
            <v>1</v>
          </cell>
          <cell r="AY2283">
            <v>0</v>
          </cell>
          <cell r="AZ2283">
            <v>0</v>
          </cell>
          <cell r="BA2283">
            <v>0</v>
          </cell>
          <cell r="BB2283">
            <v>0</v>
          </cell>
          <cell r="BC2283">
            <v>38828</v>
          </cell>
        </row>
        <row r="2284">
          <cell r="A2284">
            <v>2006</v>
          </cell>
          <cell r="B2284">
            <v>3</v>
          </cell>
          <cell r="C2284">
            <v>354</v>
          </cell>
          <cell r="D2284">
            <v>21</v>
          </cell>
          <cell r="E2284">
            <v>792020</v>
          </cell>
          <cell r="F2284">
            <v>0</v>
          </cell>
          <cell r="G2284" t="str">
            <v>Затраты по ШПЗ (основные)</v>
          </cell>
          <cell r="H2284">
            <v>2011</v>
          </cell>
          <cell r="I2284">
            <v>7920</v>
          </cell>
          <cell r="J2284">
            <v>3993.17</v>
          </cell>
          <cell r="K2284">
            <v>1</v>
          </cell>
          <cell r="L2284">
            <v>0</v>
          </cell>
          <cell r="M2284">
            <v>0</v>
          </cell>
          <cell r="N2284">
            <v>0</v>
          </cell>
          <cell r="R2284">
            <v>0</v>
          </cell>
          <cell r="S2284">
            <v>0</v>
          </cell>
          <cell r="T2284">
            <v>0</v>
          </cell>
          <cell r="U2284">
            <v>31</v>
          </cell>
          <cell r="V2284">
            <v>0</v>
          </cell>
          <cell r="W2284">
            <v>0</v>
          </cell>
          <cell r="AA2284">
            <v>0</v>
          </cell>
          <cell r="AB2284">
            <v>0</v>
          </cell>
          <cell r="AC2284">
            <v>0</v>
          </cell>
          <cell r="AD2284">
            <v>31</v>
          </cell>
          <cell r="AE2284">
            <v>510400</v>
          </cell>
          <cell r="AF2284">
            <v>0</v>
          </cell>
          <cell r="AI2284">
            <v>2282</v>
          </cell>
          <cell r="AK2284">
            <v>0</v>
          </cell>
          <cell r="AM2284">
            <v>511</v>
          </cell>
          <cell r="AN2284">
            <v>1</v>
          </cell>
          <cell r="AO2284">
            <v>393216</v>
          </cell>
          <cell r="AQ2284">
            <v>0</v>
          </cell>
          <cell r="AR2284">
            <v>0</v>
          </cell>
          <cell r="AS2284" t="str">
            <v>Ы</v>
          </cell>
          <cell r="AT2284" t="str">
            <v>Ы</v>
          </cell>
          <cell r="AU2284">
            <v>0</v>
          </cell>
          <cell r="AV2284">
            <v>0</v>
          </cell>
          <cell r="AW2284">
            <v>23</v>
          </cell>
          <cell r="AX2284">
            <v>1</v>
          </cell>
          <cell r="AY2284">
            <v>0</v>
          </cell>
          <cell r="AZ2284">
            <v>0</v>
          </cell>
          <cell r="BA2284">
            <v>0</v>
          </cell>
          <cell r="BB2284">
            <v>0</v>
          </cell>
          <cell r="BC2284">
            <v>38828</v>
          </cell>
        </row>
        <row r="2285">
          <cell r="A2285">
            <v>2006</v>
          </cell>
          <cell r="B2285">
            <v>3</v>
          </cell>
          <cell r="C2285">
            <v>355</v>
          </cell>
          <cell r="D2285">
            <v>21</v>
          </cell>
          <cell r="E2285">
            <v>792020</v>
          </cell>
          <cell r="F2285">
            <v>0</v>
          </cell>
          <cell r="G2285" t="str">
            <v>Затраты по ШПЗ (основные)</v>
          </cell>
          <cell r="H2285">
            <v>2011</v>
          </cell>
          <cell r="I2285">
            <v>7920</v>
          </cell>
          <cell r="J2285">
            <v>460347.24</v>
          </cell>
          <cell r="K2285">
            <v>1</v>
          </cell>
          <cell r="L2285">
            <v>0</v>
          </cell>
          <cell r="M2285">
            <v>0</v>
          </cell>
          <cell r="N2285">
            <v>0</v>
          </cell>
          <cell r="R2285">
            <v>0</v>
          </cell>
          <cell r="S2285">
            <v>0</v>
          </cell>
          <cell r="T2285">
            <v>0</v>
          </cell>
          <cell r="U2285">
            <v>31</v>
          </cell>
          <cell r="V2285">
            <v>0</v>
          </cell>
          <cell r="W2285">
            <v>0</v>
          </cell>
          <cell r="AA2285">
            <v>0</v>
          </cell>
          <cell r="AB2285">
            <v>0</v>
          </cell>
          <cell r="AC2285">
            <v>0</v>
          </cell>
          <cell r="AD2285">
            <v>31</v>
          </cell>
          <cell r="AE2285">
            <v>510600</v>
          </cell>
          <cell r="AF2285">
            <v>0</v>
          </cell>
          <cell r="AI2285">
            <v>2282</v>
          </cell>
          <cell r="AK2285">
            <v>0</v>
          </cell>
          <cell r="AM2285">
            <v>512</v>
          </cell>
          <cell r="AN2285">
            <v>1</v>
          </cell>
          <cell r="AO2285">
            <v>393216</v>
          </cell>
          <cell r="AQ2285">
            <v>0</v>
          </cell>
          <cell r="AR2285">
            <v>0</v>
          </cell>
          <cell r="AS2285" t="str">
            <v>Ы</v>
          </cell>
          <cell r="AT2285" t="str">
            <v>Ы</v>
          </cell>
          <cell r="AU2285">
            <v>0</v>
          </cell>
          <cell r="AV2285">
            <v>0</v>
          </cell>
          <cell r="AW2285">
            <v>23</v>
          </cell>
          <cell r="AX2285">
            <v>1</v>
          </cell>
          <cell r="AY2285">
            <v>0</v>
          </cell>
          <cell r="AZ2285">
            <v>0</v>
          </cell>
          <cell r="BA2285">
            <v>0</v>
          </cell>
          <cell r="BB2285">
            <v>0</v>
          </cell>
          <cell r="BC2285">
            <v>38828</v>
          </cell>
        </row>
        <row r="2286">
          <cell r="A2286">
            <v>2006</v>
          </cell>
          <cell r="B2286">
            <v>3</v>
          </cell>
          <cell r="C2286">
            <v>356</v>
          </cell>
          <cell r="D2286">
            <v>21</v>
          </cell>
          <cell r="E2286">
            <v>792020</v>
          </cell>
          <cell r="F2286">
            <v>0</v>
          </cell>
          <cell r="G2286" t="str">
            <v>Затраты по ШПЗ (основные)</v>
          </cell>
          <cell r="H2286">
            <v>2011</v>
          </cell>
          <cell r="I2286">
            <v>7920</v>
          </cell>
          <cell r="J2286">
            <v>16707.490000000002</v>
          </cell>
          <cell r="K2286">
            <v>1</v>
          </cell>
          <cell r="L2286">
            <v>0</v>
          </cell>
          <cell r="M2286">
            <v>0</v>
          </cell>
          <cell r="N2286">
            <v>0</v>
          </cell>
          <cell r="R2286">
            <v>0</v>
          </cell>
          <cell r="S2286">
            <v>0</v>
          </cell>
          <cell r="T2286">
            <v>0</v>
          </cell>
          <cell r="U2286">
            <v>31</v>
          </cell>
          <cell r="V2286">
            <v>0</v>
          </cell>
          <cell r="W2286">
            <v>0</v>
          </cell>
          <cell r="AA2286">
            <v>0</v>
          </cell>
          <cell r="AB2286">
            <v>0</v>
          </cell>
          <cell r="AC2286">
            <v>0</v>
          </cell>
          <cell r="AD2286">
            <v>31</v>
          </cell>
          <cell r="AE2286">
            <v>513600</v>
          </cell>
          <cell r="AF2286">
            <v>0</v>
          </cell>
          <cell r="AI2286">
            <v>2282</v>
          </cell>
          <cell r="AK2286">
            <v>0</v>
          </cell>
          <cell r="AM2286">
            <v>513</v>
          </cell>
          <cell r="AN2286">
            <v>1</v>
          </cell>
          <cell r="AO2286">
            <v>393216</v>
          </cell>
          <cell r="AQ2286">
            <v>0</v>
          </cell>
          <cell r="AR2286">
            <v>0</v>
          </cell>
          <cell r="AS2286" t="str">
            <v>Ы</v>
          </cell>
          <cell r="AT2286" t="str">
            <v>Ы</v>
          </cell>
          <cell r="AU2286">
            <v>0</v>
          </cell>
          <cell r="AV2286">
            <v>0</v>
          </cell>
          <cell r="AW2286">
            <v>23</v>
          </cell>
          <cell r="AX2286">
            <v>1</v>
          </cell>
          <cell r="AY2286">
            <v>0</v>
          </cell>
          <cell r="AZ2286">
            <v>0</v>
          </cell>
          <cell r="BA2286">
            <v>0</v>
          </cell>
          <cell r="BB2286">
            <v>0</v>
          </cell>
          <cell r="BC2286">
            <v>38828</v>
          </cell>
        </row>
        <row r="2287">
          <cell r="A2287">
            <v>2006</v>
          </cell>
          <cell r="B2287">
            <v>3</v>
          </cell>
          <cell r="C2287">
            <v>357</v>
          </cell>
          <cell r="D2287">
            <v>21</v>
          </cell>
          <cell r="E2287">
            <v>792020</v>
          </cell>
          <cell r="F2287">
            <v>0</v>
          </cell>
          <cell r="G2287" t="str">
            <v>Затраты по ШПЗ (основные)</v>
          </cell>
          <cell r="H2287">
            <v>2011</v>
          </cell>
          <cell r="I2287">
            <v>7920</v>
          </cell>
          <cell r="J2287">
            <v>3235.51</v>
          </cell>
          <cell r="K2287">
            <v>1</v>
          </cell>
          <cell r="L2287">
            <v>0</v>
          </cell>
          <cell r="M2287">
            <v>0</v>
          </cell>
          <cell r="N2287">
            <v>0</v>
          </cell>
          <cell r="R2287">
            <v>0</v>
          </cell>
          <cell r="S2287">
            <v>0</v>
          </cell>
          <cell r="T2287">
            <v>0</v>
          </cell>
          <cell r="U2287">
            <v>31</v>
          </cell>
          <cell r="V2287">
            <v>0</v>
          </cell>
          <cell r="W2287">
            <v>0</v>
          </cell>
          <cell r="AA2287">
            <v>0</v>
          </cell>
          <cell r="AB2287">
            <v>0</v>
          </cell>
          <cell r="AC2287">
            <v>0</v>
          </cell>
          <cell r="AD2287">
            <v>31</v>
          </cell>
          <cell r="AE2287">
            <v>530000</v>
          </cell>
          <cell r="AF2287">
            <v>0</v>
          </cell>
          <cell r="AI2287">
            <v>2282</v>
          </cell>
          <cell r="AK2287">
            <v>0</v>
          </cell>
          <cell r="AM2287">
            <v>514</v>
          </cell>
          <cell r="AN2287">
            <v>1</v>
          </cell>
          <cell r="AO2287">
            <v>393216</v>
          </cell>
          <cell r="AQ2287">
            <v>0</v>
          </cell>
          <cell r="AR2287">
            <v>0</v>
          </cell>
          <cell r="AS2287" t="str">
            <v>Ы</v>
          </cell>
          <cell r="AT2287" t="str">
            <v>Ы</v>
          </cell>
          <cell r="AU2287">
            <v>0</v>
          </cell>
          <cell r="AV2287">
            <v>0</v>
          </cell>
          <cell r="AW2287">
            <v>23</v>
          </cell>
          <cell r="AX2287">
            <v>1</v>
          </cell>
          <cell r="AY2287">
            <v>0</v>
          </cell>
          <cell r="AZ2287">
            <v>0</v>
          </cell>
          <cell r="BA2287">
            <v>0</v>
          </cell>
          <cell r="BB2287">
            <v>0</v>
          </cell>
          <cell r="BC2287">
            <v>38828</v>
          </cell>
        </row>
        <row r="2288">
          <cell r="A2288">
            <v>2006</v>
          </cell>
          <cell r="B2288">
            <v>3</v>
          </cell>
          <cell r="C2288">
            <v>358</v>
          </cell>
          <cell r="D2288">
            <v>21</v>
          </cell>
          <cell r="E2288">
            <v>792020</v>
          </cell>
          <cell r="F2288">
            <v>0</v>
          </cell>
          <cell r="G2288" t="str">
            <v>Затраты по ШПЗ (основные)</v>
          </cell>
          <cell r="H2288">
            <v>2011</v>
          </cell>
          <cell r="I2288">
            <v>7920</v>
          </cell>
          <cell r="J2288">
            <v>35486.089999999997</v>
          </cell>
          <cell r="K2288">
            <v>1</v>
          </cell>
          <cell r="L2288">
            <v>0</v>
          </cell>
          <cell r="M2288">
            <v>0</v>
          </cell>
          <cell r="N2288">
            <v>0</v>
          </cell>
          <cell r="R2288">
            <v>0</v>
          </cell>
          <cell r="S2288">
            <v>0</v>
          </cell>
          <cell r="T2288">
            <v>0</v>
          </cell>
          <cell r="U2288">
            <v>36</v>
          </cell>
          <cell r="V2288">
            <v>0</v>
          </cell>
          <cell r="W2288">
            <v>0</v>
          </cell>
          <cell r="AA2288">
            <v>0</v>
          </cell>
          <cell r="AB2288">
            <v>0</v>
          </cell>
          <cell r="AC2288">
            <v>0</v>
          </cell>
          <cell r="AD2288">
            <v>36</v>
          </cell>
          <cell r="AE2288">
            <v>110000</v>
          </cell>
          <cell r="AF2288">
            <v>0</v>
          </cell>
          <cell r="AI2288">
            <v>2282</v>
          </cell>
          <cell r="AK2288">
            <v>0</v>
          </cell>
          <cell r="AM2288">
            <v>515</v>
          </cell>
          <cell r="AN2288">
            <v>1</v>
          </cell>
          <cell r="AO2288">
            <v>393216</v>
          </cell>
          <cell r="AQ2288">
            <v>0</v>
          </cell>
          <cell r="AR2288">
            <v>0</v>
          </cell>
          <cell r="AS2288" t="str">
            <v>Ы</v>
          </cell>
          <cell r="AT2288" t="str">
            <v>Ы</v>
          </cell>
          <cell r="AU2288">
            <v>0</v>
          </cell>
          <cell r="AV2288">
            <v>0</v>
          </cell>
          <cell r="AW2288">
            <v>23</v>
          </cell>
          <cell r="AX2288">
            <v>1</v>
          </cell>
          <cell r="AY2288">
            <v>0</v>
          </cell>
          <cell r="AZ2288">
            <v>0</v>
          </cell>
          <cell r="BA2288">
            <v>0</v>
          </cell>
          <cell r="BB2288">
            <v>0</v>
          </cell>
          <cell r="BC2288">
            <v>38828</v>
          </cell>
        </row>
        <row r="2289">
          <cell r="A2289">
            <v>2006</v>
          </cell>
          <cell r="B2289">
            <v>3</v>
          </cell>
          <cell r="C2289">
            <v>359</v>
          </cell>
          <cell r="D2289">
            <v>21</v>
          </cell>
          <cell r="E2289">
            <v>792020</v>
          </cell>
          <cell r="F2289">
            <v>0</v>
          </cell>
          <cell r="G2289" t="str">
            <v>Затраты по ШПЗ (основные)</v>
          </cell>
          <cell r="H2289">
            <v>2011</v>
          </cell>
          <cell r="I2289">
            <v>7920</v>
          </cell>
          <cell r="J2289">
            <v>-7545.46</v>
          </cell>
          <cell r="K2289">
            <v>1</v>
          </cell>
          <cell r="L2289">
            <v>0</v>
          </cell>
          <cell r="M2289">
            <v>0</v>
          </cell>
          <cell r="N2289">
            <v>0</v>
          </cell>
          <cell r="R2289">
            <v>0</v>
          </cell>
          <cell r="S2289">
            <v>0</v>
          </cell>
          <cell r="T2289">
            <v>0</v>
          </cell>
          <cell r="U2289">
            <v>36</v>
          </cell>
          <cell r="V2289">
            <v>0</v>
          </cell>
          <cell r="W2289">
            <v>0</v>
          </cell>
          <cell r="AA2289">
            <v>0</v>
          </cell>
          <cell r="AB2289">
            <v>0</v>
          </cell>
          <cell r="AC2289">
            <v>0</v>
          </cell>
          <cell r="AD2289">
            <v>36</v>
          </cell>
          <cell r="AE2289">
            <v>114020</v>
          </cell>
          <cell r="AF2289">
            <v>0</v>
          </cell>
          <cell r="AI2289">
            <v>2282</v>
          </cell>
          <cell r="AK2289">
            <v>0</v>
          </cell>
          <cell r="AM2289">
            <v>516</v>
          </cell>
          <cell r="AN2289">
            <v>1</v>
          </cell>
          <cell r="AO2289">
            <v>393216</v>
          </cell>
          <cell r="AQ2289">
            <v>0</v>
          </cell>
          <cell r="AR2289">
            <v>0</v>
          </cell>
          <cell r="AS2289" t="str">
            <v>Ы</v>
          </cell>
          <cell r="AT2289" t="str">
            <v>Ы</v>
          </cell>
          <cell r="AU2289">
            <v>0</v>
          </cell>
          <cell r="AV2289">
            <v>0</v>
          </cell>
          <cell r="AW2289">
            <v>23</v>
          </cell>
          <cell r="AX2289">
            <v>1</v>
          </cell>
          <cell r="AY2289">
            <v>0</v>
          </cell>
          <cell r="AZ2289">
            <v>0</v>
          </cell>
          <cell r="BA2289">
            <v>0</v>
          </cell>
          <cell r="BB2289">
            <v>0</v>
          </cell>
          <cell r="BC2289">
            <v>38828</v>
          </cell>
        </row>
        <row r="2290">
          <cell r="A2290">
            <v>2006</v>
          </cell>
          <cell r="B2290">
            <v>3</v>
          </cell>
          <cell r="C2290">
            <v>360</v>
          </cell>
          <cell r="D2290">
            <v>21</v>
          </cell>
          <cell r="E2290">
            <v>792020</v>
          </cell>
          <cell r="F2290">
            <v>0</v>
          </cell>
          <cell r="G2290" t="str">
            <v>Затраты по ШПЗ (основные)</v>
          </cell>
          <cell r="H2290">
            <v>2011</v>
          </cell>
          <cell r="I2290">
            <v>7920</v>
          </cell>
          <cell r="J2290">
            <v>154021.37</v>
          </cell>
          <cell r="K2290">
            <v>1</v>
          </cell>
          <cell r="L2290">
            <v>0</v>
          </cell>
          <cell r="M2290">
            <v>0</v>
          </cell>
          <cell r="N2290">
            <v>0</v>
          </cell>
          <cell r="R2290">
            <v>0</v>
          </cell>
          <cell r="S2290">
            <v>0</v>
          </cell>
          <cell r="T2290">
            <v>0</v>
          </cell>
          <cell r="U2290">
            <v>36</v>
          </cell>
          <cell r="V2290">
            <v>0</v>
          </cell>
          <cell r="W2290">
            <v>0</v>
          </cell>
          <cell r="AA2290">
            <v>0</v>
          </cell>
          <cell r="AB2290">
            <v>0</v>
          </cell>
          <cell r="AC2290">
            <v>0</v>
          </cell>
          <cell r="AD2290">
            <v>36</v>
          </cell>
          <cell r="AE2290">
            <v>116000</v>
          </cell>
          <cell r="AF2290">
            <v>0</v>
          </cell>
          <cell r="AI2290">
            <v>2282</v>
          </cell>
          <cell r="AK2290">
            <v>0</v>
          </cell>
          <cell r="AM2290">
            <v>517</v>
          </cell>
          <cell r="AN2290">
            <v>1</v>
          </cell>
          <cell r="AO2290">
            <v>393216</v>
          </cell>
          <cell r="AQ2290">
            <v>0</v>
          </cell>
          <cell r="AR2290">
            <v>0</v>
          </cell>
          <cell r="AS2290" t="str">
            <v>Ы</v>
          </cell>
          <cell r="AT2290" t="str">
            <v>Ы</v>
          </cell>
          <cell r="AU2290">
            <v>0</v>
          </cell>
          <cell r="AV2290">
            <v>0</v>
          </cell>
          <cell r="AW2290">
            <v>23</v>
          </cell>
          <cell r="AX2290">
            <v>1</v>
          </cell>
          <cell r="AY2290">
            <v>0</v>
          </cell>
          <cell r="AZ2290">
            <v>0</v>
          </cell>
          <cell r="BA2290">
            <v>0</v>
          </cell>
          <cell r="BB2290">
            <v>0</v>
          </cell>
          <cell r="BC2290">
            <v>38828</v>
          </cell>
        </row>
        <row r="2291">
          <cell r="A2291">
            <v>2006</v>
          </cell>
          <cell r="B2291">
            <v>3</v>
          </cell>
          <cell r="C2291">
            <v>361</v>
          </cell>
          <cell r="D2291">
            <v>21</v>
          </cell>
          <cell r="E2291">
            <v>792020</v>
          </cell>
          <cell r="F2291">
            <v>0</v>
          </cell>
          <cell r="G2291" t="str">
            <v>Затраты по ШПЗ (основные)</v>
          </cell>
          <cell r="H2291">
            <v>2011</v>
          </cell>
          <cell r="I2291">
            <v>7920</v>
          </cell>
          <cell r="J2291">
            <v>6723.39</v>
          </cell>
          <cell r="K2291">
            <v>1</v>
          </cell>
          <cell r="L2291">
            <v>0</v>
          </cell>
          <cell r="M2291">
            <v>0</v>
          </cell>
          <cell r="N2291">
            <v>0</v>
          </cell>
          <cell r="R2291">
            <v>0</v>
          </cell>
          <cell r="S2291">
            <v>0</v>
          </cell>
          <cell r="T2291">
            <v>0</v>
          </cell>
          <cell r="U2291">
            <v>36</v>
          </cell>
          <cell r="V2291">
            <v>0</v>
          </cell>
          <cell r="W2291">
            <v>0</v>
          </cell>
          <cell r="AA2291">
            <v>0</v>
          </cell>
          <cell r="AB2291">
            <v>0</v>
          </cell>
          <cell r="AC2291">
            <v>0</v>
          </cell>
          <cell r="AD2291">
            <v>36</v>
          </cell>
          <cell r="AE2291">
            <v>117000</v>
          </cell>
          <cell r="AF2291">
            <v>0</v>
          </cell>
          <cell r="AI2291">
            <v>2282</v>
          </cell>
          <cell r="AK2291">
            <v>0</v>
          </cell>
          <cell r="AM2291">
            <v>518</v>
          </cell>
          <cell r="AN2291">
            <v>1</v>
          </cell>
          <cell r="AO2291">
            <v>393216</v>
          </cell>
          <cell r="AQ2291">
            <v>0</v>
          </cell>
          <cell r="AR2291">
            <v>0</v>
          </cell>
          <cell r="AS2291" t="str">
            <v>Ы</v>
          </cell>
          <cell r="AT2291" t="str">
            <v>Ы</v>
          </cell>
          <cell r="AU2291">
            <v>0</v>
          </cell>
          <cell r="AV2291">
            <v>0</v>
          </cell>
          <cell r="AW2291">
            <v>23</v>
          </cell>
          <cell r="AX2291">
            <v>1</v>
          </cell>
          <cell r="AY2291">
            <v>0</v>
          </cell>
          <cell r="AZ2291">
            <v>0</v>
          </cell>
          <cell r="BA2291">
            <v>0</v>
          </cell>
          <cell r="BB2291">
            <v>0</v>
          </cell>
          <cell r="BC2291">
            <v>38828</v>
          </cell>
        </row>
        <row r="2292">
          <cell r="A2292">
            <v>2006</v>
          </cell>
          <cell r="B2292">
            <v>3</v>
          </cell>
          <cell r="C2292">
            <v>362</v>
          </cell>
          <cell r="D2292">
            <v>21</v>
          </cell>
          <cell r="E2292">
            <v>792020</v>
          </cell>
          <cell r="F2292">
            <v>0</v>
          </cell>
          <cell r="G2292" t="str">
            <v>Затраты по ШПЗ (основные)</v>
          </cell>
          <cell r="H2292">
            <v>2011</v>
          </cell>
          <cell r="I2292">
            <v>7920</v>
          </cell>
          <cell r="J2292">
            <v>14140</v>
          </cell>
          <cell r="K2292">
            <v>1</v>
          </cell>
          <cell r="L2292">
            <v>0</v>
          </cell>
          <cell r="M2292">
            <v>0</v>
          </cell>
          <cell r="N2292">
            <v>0</v>
          </cell>
          <cell r="R2292">
            <v>0</v>
          </cell>
          <cell r="S2292">
            <v>0</v>
          </cell>
          <cell r="T2292">
            <v>0</v>
          </cell>
          <cell r="U2292">
            <v>36</v>
          </cell>
          <cell r="V2292">
            <v>0</v>
          </cell>
          <cell r="W2292">
            <v>0</v>
          </cell>
          <cell r="AA2292">
            <v>0</v>
          </cell>
          <cell r="AB2292">
            <v>0</v>
          </cell>
          <cell r="AC2292">
            <v>0</v>
          </cell>
          <cell r="AD2292">
            <v>36</v>
          </cell>
          <cell r="AE2292">
            <v>131000</v>
          </cell>
          <cell r="AF2292">
            <v>0</v>
          </cell>
          <cell r="AI2292">
            <v>2282</v>
          </cell>
          <cell r="AK2292">
            <v>0</v>
          </cell>
          <cell r="AM2292">
            <v>519</v>
          </cell>
          <cell r="AN2292">
            <v>1</v>
          </cell>
          <cell r="AO2292">
            <v>393216</v>
          </cell>
          <cell r="AQ2292">
            <v>0</v>
          </cell>
          <cell r="AR2292">
            <v>0</v>
          </cell>
          <cell r="AS2292" t="str">
            <v>Ы</v>
          </cell>
          <cell r="AT2292" t="str">
            <v>Ы</v>
          </cell>
          <cell r="AU2292">
            <v>0</v>
          </cell>
          <cell r="AV2292">
            <v>0</v>
          </cell>
          <cell r="AW2292">
            <v>23</v>
          </cell>
          <cell r="AX2292">
            <v>1</v>
          </cell>
          <cell r="AY2292">
            <v>0</v>
          </cell>
          <cell r="AZ2292">
            <v>0</v>
          </cell>
          <cell r="BA2292">
            <v>0</v>
          </cell>
          <cell r="BB2292">
            <v>0</v>
          </cell>
          <cell r="BC2292">
            <v>38828</v>
          </cell>
        </row>
        <row r="2293">
          <cell r="A2293">
            <v>2006</v>
          </cell>
          <cell r="B2293">
            <v>3</v>
          </cell>
          <cell r="C2293">
            <v>363</v>
          </cell>
          <cell r="D2293">
            <v>21</v>
          </cell>
          <cell r="E2293">
            <v>792020</v>
          </cell>
          <cell r="F2293">
            <v>0</v>
          </cell>
          <cell r="G2293" t="str">
            <v>Затраты по ШПЗ (основные)</v>
          </cell>
          <cell r="H2293">
            <v>2011</v>
          </cell>
          <cell r="I2293">
            <v>7920</v>
          </cell>
          <cell r="J2293">
            <v>6827.01</v>
          </cell>
          <cell r="K2293">
            <v>1</v>
          </cell>
          <cell r="L2293">
            <v>0</v>
          </cell>
          <cell r="M2293">
            <v>0</v>
          </cell>
          <cell r="N2293">
            <v>0</v>
          </cell>
          <cell r="R2293">
            <v>0</v>
          </cell>
          <cell r="S2293">
            <v>0</v>
          </cell>
          <cell r="T2293">
            <v>0</v>
          </cell>
          <cell r="U2293">
            <v>36</v>
          </cell>
          <cell r="V2293">
            <v>0</v>
          </cell>
          <cell r="W2293">
            <v>0</v>
          </cell>
          <cell r="AA2293">
            <v>0</v>
          </cell>
          <cell r="AB2293">
            <v>0</v>
          </cell>
          <cell r="AC2293">
            <v>0</v>
          </cell>
          <cell r="AD2293">
            <v>36</v>
          </cell>
          <cell r="AE2293">
            <v>132000</v>
          </cell>
          <cell r="AF2293">
            <v>0</v>
          </cell>
          <cell r="AI2293">
            <v>2282</v>
          </cell>
          <cell r="AK2293">
            <v>0</v>
          </cell>
          <cell r="AM2293">
            <v>520</v>
          </cell>
          <cell r="AN2293">
            <v>1</v>
          </cell>
          <cell r="AO2293">
            <v>393216</v>
          </cell>
          <cell r="AQ2293">
            <v>0</v>
          </cell>
          <cell r="AR2293">
            <v>0</v>
          </cell>
          <cell r="AS2293" t="str">
            <v>Ы</v>
          </cell>
          <cell r="AT2293" t="str">
            <v>Ы</v>
          </cell>
          <cell r="AU2293">
            <v>0</v>
          </cell>
          <cell r="AV2293">
            <v>0</v>
          </cell>
          <cell r="AW2293">
            <v>23</v>
          </cell>
          <cell r="AX2293">
            <v>1</v>
          </cell>
          <cell r="AY2293">
            <v>0</v>
          </cell>
          <cell r="AZ2293">
            <v>0</v>
          </cell>
          <cell r="BA2293">
            <v>0</v>
          </cell>
          <cell r="BB2293">
            <v>0</v>
          </cell>
          <cell r="BC2293">
            <v>38828</v>
          </cell>
        </row>
        <row r="2294">
          <cell r="A2294">
            <v>2006</v>
          </cell>
          <cell r="B2294">
            <v>3</v>
          </cell>
          <cell r="C2294">
            <v>364</v>
          </cell>
          <cell r="D2294">
            <v>21</v>
          </cell>
          <cell r="E2294">
            <v>792020</v>
          </cell>
          <cell r="F2294">
            <v>0</v>
          </cell>
          <cell r="G2294" t="str">
            <v>Затраты по ШПЗ (основные)</v>
          </cell>
          <cell r="H2294">
            <v>2011</v>
          </cell>
          <cell r="I2294">
            <v>7920</v>
          </cell>
          <cell r="J2294">
            <v>-1413.61</v>
          </cell>
          <cell r="K2294">
            <v>1</v>
          </cell>
          <cell r="L2294">
            <v>0</v>
          </cell>
          <cell r="M2294">
            <v>0</v>
          </cell>
          <cell r="N2294">
            <v>0</v>
          </cell>
          <cell r="R2294">
            <v>0</v>
          </cell>
          <cell r="S2294">
            <v>0</v>
          </cell>
          <cell r="T2294">
            <v>0</v>
          </cell>
          <cell r="U2294">
            <v>36</v>
          </cell>
          <cell r="V2294">
            <v>0</v>
          </cell>
          <cell r="W2294">
            <v>0</v>
          </cell>
          <cell r="AA2294">
            <v>0</v>
          </cell>
          <cell r="AB2294">
            <v>0</v>
          </cell>
          <cell r="AC2294">
            <v>0</v>
          </cell>
          <cell r="AD2294">
            <v>36</v>
          </cell>
          <cell r="AE2294">
            <v>135000</v>
          </cell>
          <cell r="AF2294">
            <v>0</v>
          </cell>
          <cell r="AI2294">
            <v>2282</v>
          </cell>
          <cell r="AK2294">
            <v>0</v>
          </cell>
          <cell r="AM2294">
            <v>521</v>
          </cell>
          <cell r="AN2294">
            <v>1</v>
          </cell>
          <cell r="AO2294">
            <v>393216</v>
          </cell>
          <cell r="AQ2294">
            <v>0</v>
          </cell>
          <cell r="AR2294">
            <v>0</v>
          </cell>
          <cell r="AS2294" t="str">
            <v>Ы</v>
          </cell>
          <cell r="AT2294" t="str">
            <v>Ы</v>
          </cell>
          <cell r="AU2294">
            <v>0</v>
          </cell>
          <cell r="AV2294">
            <v>0</v>
          </cell>
          <cell r="AW2294">
            <v>23</v>
          </cell>
          <cell r="AX2294">
            <v>1</v>
          </cell>
          <cell r="AY2294">
            <v>0</v>
          </cell>
          <cell r="AZ2294">
            <v>0</v>
          </cell>
          <cell r="BA2294">
            <v>0</v>
          </cell>
          <cell r="BB2294">
            <v>0</v>
          </cell>
          <cell r="BC2294">
            <v>38828</v>
          </cell>
        </row>
        <row r="2295">
          <cell r="A2295">
            <v>2006</v>
          </cell>
          <cell r="B2295">
            <v>3</v>
          </cell>
          <cell r="C2295">
            <v>365</v>
          </cell>
          <cell r="D2295">
            <v>21</v>
          </cell>
          <cell r="E2295">
            <v>792020</v>
          </cell>
          <cell r="F2295">
            <v>0</v>
          </cell>
          <cell r="G2295" t="str">
            <v>Затраты по ШПЗ (основные)</v>
          </cell>
          <cell r="H2295">
            <v>2011</v>
          </cell>
          <cell r="I2295">
            <v>7920</v>
          </cell>
          <cell r="J2295">
            <v>170674.54</v>
          </cell>
          <cell r="K2295">
            <v>1</v>
          </cell>
          <cell r="L2295">
            <v>0</v>
          </cell>
          <cell r="M2295">
            <v>0</v>
          </cell>
          <cell r="N2295">
            <v>0</v>
          </cell>
          <cell r="R2295">
            <v>0</v>
          </cell>
          <cell r="S2295">
            <v>0</v>
          </cell>
          <cell r="T2295">
            <v>0</v>
          </cell>
          <cell r="U2295">
            <v>36</v>
          </cell>
          <cell r="V2295">
            <v>0</v>
          </cell>
          <cell r="W2295">
            <v>0</v>
          </cell>
          <cell r="AA2295">
            <v>0</v>
          </cell>
          <cell r="AB2295">
            <v>0</v>
          </cell>
          <cell r="AC2295">
            <v>0</v>
          </cell>
          <cell r="AD2295">
            <v>36</v>
          </cell>
          <cell r="AE2295">
            <v>143000</v>
          </cell>
          <cell r="AF2295">
            <v>0</v>
          </cell>
          <cell r="AI2295">
            <v>2282</v>
          </cell>
          <cell r="AK2295">
            <v>0</v>
          </cell>
          <cell r="AM2295">
            <v>522</v>
          </cell>
          <cell r="AN2295">
            <v>1</v>
          </cell>
          <cell r="AO2295">
            <v>393216</v>
          </cell>
          <cell r="AQ2295">
            <v>0</v>
          </cell>
          <cell r="AR2295">
            <v>0</v>
          </cell>
          <cell r="AS2295" t="str">
            <v>Ы</v>
          </cell>
          <cell r="AT2295" t="str">
            <v>Ы</v>
          </cell>
          <cell r="AU2295">
            <v>0</v>
          </cell>
          <cell r="AV2295">
            <v>0</v>
          </cell>
          <cell r="AW2295">
            <v>23</v>
          </cell>
          <cell r="AX2295">
            <v>1</v>
          </cell>
          <cell r="AY2295">
            <v>0</v>
          </cell>
          <cell r="AZ2295">
            <v>0</v>
          </cell>
          <cell r="BA2295">
            <v>0</v>
          </cell>
          <cell r="BB2295">
            <v>0</v>
          </cell>
          <cell r="BC2295">
            <v>38828</v>
          </cell>
        </row>
        <row r="2296">
          <cell r="A2296">
            <v>2006</v>
          </cell>
          <cell r="B2296">
            <v>3</v>
          </cell>
          <cell r="C2296">
            <v>366</v>
          </cell>
          <cell r="D2296">
            <v>21</v>
          </cell>
          <cell r="E2296">
            <v>792020</v>
          </cell>
          <cell r="F2296">
            <v>0</v>
          </cell>
          <cell r="G2296" t="str">
            <v>Затраты по ШПЗ (основные)</v>
          </cell>
          <cell r="H2296">
            <v>2011</v>
          </cell>
          <cell r="I2296">
            <v>7920</v>
          </cell>
          <cell r="J2296">
            <v>194533.33</v>
          </cell>
          <cell r="K2296">
            <v>1</v>
          </cell>
          <cell r="L2296">
            <v>0</v>
          </cell>
          <cell r="M2296">
            <v>0</v>
          </cell>
          <cell r="N2296">
            <v>0</v>
          </cell>
          <cell r="R2296">
            <v>0</v>
          </cell>
          <cell r="S2296">
            <v>0</v>
          </cell>
          <cell r="T2296">
            <v>0</v>
          </cell>
          <cell r="U2296">
            <v>36</v>
          </cell>
          <cell r="V2296">
            <v>0</v>
          </cell>
          <cell r="W2296">
            <v>0</v>
          </cell>
          <cell r="AA2296">
            <v>0</v>
          </cell>
          <cell r="AB2296">
            <v>0</v>
          </cell>
          <cell r="AC2296">
            <v>0</v>
          </cell>
          <cell r="AD2296">
            <v>36</v>
          </cell>
          <cell r="AE2296">
            <v>151000</v>
          </cell>
          <cell r="AF2296">
            <v>0</v>
          </cell>
          <cell r="AI2296">
            <v>2282</v>
          </cell>
          <cell r="AK2296">
            <v>0</v>
          </cell>
          <cell r="AM2296">
            <v>523</v>
          </cell>
          <cell r="AN2296">
            <v>1</v>
          </cell>
          <cell r="AO2296">
            <v>393216</v>
          </cell>
          <cell r="AQ2296">
            <v>0</v>
          </cell>
          <cell r="AR2296">
            <v>0</v>
          </cell>
          <cell r="AS2296" t="str">
            <v>Ы</v>
          </cell>
          <cell r="AT2296" t="str">
            <v>Ы</v>
          </cell>
          <cell r="AU2296">
            <v>0</v>
          </cell>
          <cell r="AV2296">
            <v>0</v>
          </cell>
          <cell r="AW2296">
            <v>23</v>
          </cell>
          <cell r="AX2296">
            <v>1</v>
          </cell>
          <cell r="AY2296">
            <v>0</v>
          </cell>
          <cell r="AZ2296">
            <v>0</v>
          </cell>
          <cell r="BA2296">
            <v>0</v>
          </cell>
          <cell r="BB2296">
            <v>0</v>
          </cell>
          <cell r="BC2296">
            <v>38828</v>
          </cell>
        </row>
        <row r="2297">
          <cell r="A2297">
            <v>2006</v>
          </cell>
          <cell r="B2297">
            <v>3</v>
          </cell>
          <cell r="C2297">
            <v>367</v>
          </cell>
          <cell r="D2297">
            <v>21</v>
          </cell>
          <cell r="E2297">
            <v>792020</v>
          </cell>
          <cell r="F2297">
            <v>0</v>
          </cell>
          <cell r="G2297" t="str">
            <v>Затраты по ШПЗ (основные)</v>
          </cell>
          <cell r="H2297">
            <v>2011</v>
          </cell>
          <cell r="I2297">
            <v>7920</v>
          </cell>
          <cell r="J2297">
            <v>98418.18</v>
          </cell>
          <cell r="K2297">
            <v>1</v>
          </cell>
          <cell r="L2297">
            <v>0</v>
          </cell>
          <cell r="M2297">
            <v>0</v>
          </cell>
          <cell r="N2297">
            <v>0</v>
          </cell>
          <cell r="R2297">
            <v>0</v>
          </cell>
          <cell r="S2297">
            <v>0</v>
          </cell>
          <cell r="T2297">
            <v>0</v>
          </cell>
          <cell r="U2297">
            <v>36</v>
          </cell>
          <cell r="V2297">
            <v>0</v>
          </cell>
          <cell r="W2297">
            <v>0</v>
          </cell>
          <cell r="AA2297">
            <v>0</v>
          </cell>
          <cell r="AB2297">
            <v>0</v>
          </cell>
          <cell r="AC2297">
            <v>0</v>
          </cell>
          <cell r="AD2297">
            <v>36</v>
          </cell>
          <cell r="AE2297">
            <v>152000</v>
          </cell>
          <cell r="AF2297">
            <v>0</v>
          </cell>
          <cell r="AI2297">
            <v>2282</v>
          </cell>
          <cell r="AK2297">
            <v>0</v>
          </cell>
          <cell r="AM2297">
            <v>524</v>
          </cell>
          <cell r="AN2297">
            <v>1</v>
          </cell>
          <cell r="AO2297">
            <v>393216</v>
          </cell>
          <cell r="AQ2297">
            <v>0</v>
          </cell>
          <cell r="AR2297">
            <v>0</v>
          </cell>
          <cell r="AS2297" t="str">
            <v>Ы</v>
          </cell>
          <cell r="AT2297" t="str">
            <v>Ы</v>
          </cell>
          <cell r="AU2297">
            <v>0</v>
          </cell>
          <cell r="AV2297">
            <v>0</v>
          </cell>
          <cell r="AW2297">
            <v>23</v>
          </cell>
          <cell r="AX2297">
            <v>1</v>
          </cell>
          <cell r="AY2297">
            <v>0</v>
          </cell>
          <cell r="AZ2297">
            <v>0</v>
          </cell>
          <cell r="BA2297">
            <v>0</v>
          </cell>
          <cell r="BB2297">
            <v>0</v>
          </cell>
          <cell r="BC2297">
            <v>38828</v>
          </cell>
        </row>
        <row r="2298">
          <cell r="A2298">
            <v>2006</v>
          </cell>
          <cell r="B2298">
            <v>3</v>
          </cell>
          <cell r="C2298">
            <v>368</v>
          </cell>
          <cell r="D2298">
            <v>21</v>
          </cell>
          <cell r="E2298">
            <v>792020</v>
          </cell>
          <cell r="F2298">
            <v>0</v>
          </cell>
          <cell r="G2298" t="str">
            <v>Затраты по ШПЗ (основные)</v>
          </cell>
          <cell r="H2298">
            <v>2011</v>
          </cell>
          <cell r="I2298">
            <v>7920</v>
          </cell>
          <cell r="J2298">
            <v>1393065.91</v>
          </cell>
          <cell r="K2298">
            <v>1</v>
          </cell>
          <cell r="L2298">
            <v>0</v>
          </cell>
          <cell r="M2298">
            <v>0</v>
          </cell>
          <cell r="N2298">
            <v>0</v>
          </cell>
          <cell r="R2298">
            <v>0</v>
          </cell>
          <cell r="S2298">
            <v>0</v>
          </cell>
          <cell r="T2298">
            <v>0</v>
          </cell>
          <cell r="U2298">
            <v>36</v>
          </cell>
          <cell r="V2298">
            <v>0</v>
          </cell>
          <cell r="W2298">
            <v>0</v>
          </cell>
          <cell r="AA2298">
            <v>0</v>
          </cell>
          <cell r="AB2298">
            <v>0</v>
          </cell>
          <cell r="AC2298">
            <v>0</v>
          </cell>
          <cell r="AD2298">
            <v>36</v>
          </cell>
          <cell r="AE2298">
            <v>220000</v>
          </cell>
          <cell r="AF2298">
            <v>0</v>
          </cell>
          <cell r="AI2298">
            <v>2282</v>
          </cell>
          <cell r="AK2298">
            <v>0</v>
          </cell>
          <cell r="AM2298">
            <v>525</v>
          </cell>
          <cell r="AN2298">
            <v>1</v>
          </cell>
          <cell r="AO2298">
            <v>393216</v>
          </cell>
          <cell r="AQ2298">
            <v>0</v>
          </cell>
          <cell r="AR2298">
            <v>0</v>
          </cell>
          <cell r="AS2298" t="str">
            <v>Ы</v>
          </cell>
          <cell r="AT2298" t="str">
            <v>Ы</v>
          </cell>
          <cell r="AU2298">
            <v>0</v>
          </cell>
          <cell r="AV2298">
            <v>0</v>
          </cell>
          <cell r="AW2298">
            <v>23</v>
          </cell>
          <cell r="AX2298">
            <v>1</v>
          </cell>
          <cell r="AY2298">
            <v>0</v>
          </cell>
          <cell r="AZ2298">
            <v>0</v>
          </cell>
          <cell r="BA2298">
            <v>0</v>
          </cell>
          <cell r="BB2298">
            <v>0</v>
          </cell>
          <cell r="BC2298">
            <v>38828</v>
          </cell>
        </row>
        <row r="2299">
          <cell r="A2299">
            <v>2006</v>
          </cell>
          <cell r="B2299">
            <v>3</v>
          </cell>
          <cell r="C2299">
            <v>369</v>
          </cell>
          <cell r="D2299">
            <v>21</v>
          </cell>
          <cell r="E2299">
            <v>792020</v>
          </cell>
          <cell r="F2299">
            <v>0</v>
          </cell>
          <cell r="G2299" t="str">
            <v>Затраты по ШПЗ (основные)</v>
          </cell>
          <cell r="H2299">
            <v>2011</v>
          </cell>
          <cell r="I2299">
            <v>7920</v>
          </cell>
          <cell r="J2299">
            <v>778481.05</v>
          </cell>
          <cell r="K2299">
            <v>1</v>
          </cell>
          <cell r="L2299">
            <v>0</v>
          </cell>
          <cell r="M2299">
            <v>0</v>
          </cell>
          <cell r="N2299">
            <v>0</v>
          </cell>
          <cell r="R2299">
            <v>0</v>
          </cell>
          <cell r="S2299">
            <v>0</v>
          </cell>
          <cell r="T2299">
            <v>0</v>
          </cell>
          <cell r="U2299">
            <v>36</v>
          </cell>
          <cell r="V2299">
            <v>0</v>
          </cell>
          <cell r="W2299">
            <v>0</v>
          </cell>
          <cell r="AA2299">
            <v>0</v>
          </cell>
          <cell r="AB2299">
            <v>0</v>
          </cell>
          <cell r="AC2299">
            <v>0</v>
          </cell>
          <cell r="AD2299">
            <v>36</v>
          </cell>
          <cell r="AE2299">
            <v>230000</v>
          </cell>
          <cell r="AF2299">
            <v>0</v>
          </cell>
          <cell r="AI2299">
            <v>2282</v>
          </cell>
          <cell r="AK2299">
            <v>0</v>
          </cell>
          <cell r="AM2299">
            <v>526</v>
          </cell>
          <cell r="AN2299">
            <v>1</v>
          </cell>
          <cell r="AO2299">
            <v>393216</v>
          </cell>
          <cell r="AQ2299">
            <v>0</v>
          </cell>
          <cell r="AR2299">
            <v>0</v>
          </cell>
          <cell r="AS2299" t="str">
            <v>Ы</v>
          </cell>
          <cell r="AT2299" t="str">
            <v>Ы</v>
          </cell>
          <cell r="AU2299">
            <v>0</v>
          </cell>
          <cell r="AV2299">
            <v>0</v>
          </cell>
          <cell r="AW2299">
            <v>23</v>
          </cell>
          <cell r="AX2299">
            <v>1</v>
          </cell>
          <cell r="AY2299">
            <v>0</v>
          </cell>
          <cell r="AZ2299">
            <v>0</v>
          </cell>
          <cell r="BA2299">
            <v>0</v>
          </cell>
          <cell r="BB2299">
            <v>0</v>
          </cell>
          <cell r="BC2299">
            <v>38828</v>
          </cell>
        </row>
        <row r="2300">
          <cell r="A2300">
            <v>2006</v>
          </cell>
          <cell r="B2300">
            <v>3</v>
          </cell>
          <cell r="C2300">
            <v>370</v>
          </cell>
          <cell r="D2300">
            <v>21</v>
          </cell>
          <cell r="E2300">
            <v>792020</v>
          </cell>
          <cell r="F2300">
            <v>0</v>
          </cell>
          <cell r="G2300" t="str">
            <v>Затраты по ШПЗ (основные)</v>
          </cell>
          <cell r="H2300">
            <v>2011</v>
          </cell>
          <cell r="I2300">
            <v>7920</v>
          </cell>
          <cell r="J2300">
            <v>73769.84</v>
          </cell>
          <cell r="K2300">
            <v>1</v>
          </cell>
          <cell r="L2300">
            <v>0</v>
          </cell>
          <cell r="M2300">
            <v>0</v>
          </cell>
          <cell r="N2300">
            <v>0</v>
          </cell>
          <cell r="R2300">
            <v>0</v>
          </cell>
          <cell r="S2300">
            <v>0</v>
          </cell>
          <cell r="T2300">
            <v>0</v>
          </cell>
          <cell r="U2300">
            <v>36</v>
          </cell>
          <cell r="V2300">
            <v>0</v>
          </cell>
          <cell r="W2300">
            <v>0</v>
          </cell>
          <cell r="AA2300">
            <v>0</v>
          </cell>
          <cell r="AB2300">
            <v>0</v>
          </cell>
          <cell r="AC2300">
            <v>0</v>
          </cell>
          <cell r="AD2300">
            <v>36</v>
          </cell>
          <cell r="AE2300">
            <v>260000</v>
          </cell>
          <cell r="AF2300">
            <v>0</v>
          </cell>
          <cell r="AI2300">
            <v>2282</v>
          </cell>
          <cell r="AK2300">
            <v>0</v>
          </cell>
          <cell r="AM2300">
            <v>527</v>
          </cell>
          <cell r="AN2300">
            <v>1</v>
          </cell>
          <cell r="AO2300">
            <v>393216</v>
          </cell>
          <cell r="AQ2300">
            <v>0</v>
          </cell>
          <cell r="AR2300">
            <v>0</v>
          </cell>
          <cell r="AS2300" t="str">
            <v>Ы</v>
          </cell>
          <cell r="AT2300" t="str">
            <v>Ы</v>
          </cell>
          <cell r="AU2300">
            <v>0</v>
          </cell>
          <cell r="AV2300">
            <v>0</v>
          </cell>
          <cell r="AW2300">
            <v>23</v>
          </cell>
          <cell r="AX2300">
            <v>1</v>
          </cell>
          <cell r="AY2300">
            <v>0</v>
          </cell>
          <cell r="AZ2300">
            <v>0</v>
          </cell>
          <cell r="BA2300">
            <v>0</v>
          </cell>
          <cell r="BB2300">
            <v>0</v>
          </cell>
          <cell r="BC2300">
            <v>38828</v>
          </cell>
        </row>
        <row r="2301">
          <cell r="A2301">
            <v>2006</v>
          </cell>
          <cell r="B2301">
            <v>3</v>
          </cell>
          <cell r="C2301">
            <v>371</v>
          </cell>
          <cell r="D2301">
            <v>21</v>
          </cell>
          <cell r="E2301">
            <v>792020</v>
          </cell>
          <cell r="F2301">
            <v>0</v>
          </cell>
          <cell r="G2301" t="str">
            <v>Затраты по ШПЗ (основные)</v>
          </cell>
          <cell r="H2301">
            <v>2011</v>
          </cell>
          <cell r="I2301">
            <v>7920</v>
          </cell>
          <cell r="J2301">
            <v>193598.04</v>
          </cell>
          <cell r="K2301">
            <v>1</v>
          </cell>
          <cell r="L2301">
            <v>0</v>
          </cell>
          <cell r="M2301">
            <v>0</v>
          </cell>
          <cell r="N2301">
            <v>0</v>
          </cell>
          <cell r="R2301">
            <v>0</v>
          </cell>
          <cell r="S2301">
            <v>0</v>
          </cell>
          <cell r="T2301">
            <v>0</v>
          </cell>
          <cell r="U2301">
            <v>36</v>
          </cell>
          <cell r="V2301">
            <v>0</v>
          </cell>
          <cell r="W2301">
            <v>0</v>
          </cell>
          <cell r="AA2301">
            <v>0</v>
          </cell>
          <cell r="AB2301">
            <v>0</v>
          </cell>
          <cell r="AC2301">
            <v>0</v>
          </cell>
          <cell r="AD2301">
            <v>36</v>
          </cell>
          <cell r="AE2301">
            <v>270000</v>
          </cell>
          <cell r="AF2301">
            <v>0</v>
          </cell>
          <cell r="AI2301">
            <v>2282</v>
          </cell>
          <cell r="AK2301">
            <v>0</v>
          </cell>
          <cell r="AM2301">
            <v>528</v>
          </cell>
          <cell r="AN2301">
            <v>1</v>
          </cell>
          <cell r="AO2301">
            <v>393216</v>
          </cell>
          <cell r="AQ2301">
            <v>0</v>
          </cell>
          <cell r="AR2301">
            <v>0</v>
          </cell>
          <cell r="AS2301" t="str">
            <v>Ы</v>
          </cell>
          <cell r="AT2301" t="str">
            <v>Ы</v>
          </cell>
          <cell r="AU2301">
            <v>0</v>
          </cell>
          <cell r="AV2301">
            <v>0</v>
          </cell>
          <cell r="AW2301">
            <v>23</v>
          </cell>
          <cell r="AX2301">
            <v>1</v>
          </cell>
          <cell r="AY2301">
            <v>0</v>
          </cell>
          <cell r="AZ2301">
            <v>0</v>
          </cell>
          <cell r="BA2301">
            <v>0</v>
          </cell>
          <cell r="BB2301">
            <v>0</v>
          </cell>
          <cell r="BC2301">
            <v>38828</v>
          </cell>
        </row>
        <row r="2302">
          <cell r="A2302">
            <v>2006</v>
          </cell>
          <cell r="B2302">
            <v>3</v>
          </cell>
          <cell r="C2302">
            <v>372</v>
          </cell>
          <cell r="D2302">
            <v>21</v>
          </cell>
          <cell r="E2302">
            <v>792020</v>
          </cell>
          <cell r="F2302">
            <v>0</v>
          </cell>
          <cell r="G2302" t="str">
            <v>Затраты по ШПЗ (основные)</v>
          </cell>
          <cell r="H2302">
            <v>2011</v>
          </cell>
          <cell r="I2302">
            <v>7920</v>
          </cell>
          <cell r="J2302">
            <v>5308.79</v>
          </cell>
          <cell r="K2302">
            <v>1</v>
          </cell>
          <cell r="L2302">
            <v>0</v>
          </cell>
          <cell r="M2302">
            <v>0</v>
          </cell>
          <cell r="N2302">
            <v>0</v>
          </cell>
          <cell r="R2302">
            <v>0</v>
          </cell>
          <cell r="S2302">
            <v>0</v>
          </cell>
          <cell r="T2302">
            <v>0</v>
          </cell>
          <cell r="U2302">
            <v>36</v>
          </cell>
          <cell r="V2302">
            <v>0</v>
          </cell>
          <cell r="W2302">
            <v>0</v>
          </cell>
          <cell r="AA2302">
            <v>0</v>
          </cell>
          <cell r="AB2302">
            <v>0</v>
          </cell>
          <cell r="AC2302">
            <v>0</v>
          </cell>
          <cell r="AD2302">
            <v>36</v>
          </cell>
          <cell r="AE2302">
            <v>280000</v>
          </cell>
          <cell r="AF2302">
            <v>0</v>
          </cell>
          <cell r="AI2302">
            <v>2282</v>
          </cell>
          <cell r="AK2302">
            <v>0</v>
          </cell>
          <cell r="AM2302">
            <v>529</v>
          </cell>
          <cell r="AN2302">
            <v>1</v>
          </cell>
          <cell r="AO2302">
            <v>393216</v>
          </cell>
          <cell r="AQ2302">
            <v>0</v>
          </cell>
          <cell r="AR2302">
            <v>0</v>
          </cell>
          <cell r="AS2302" t="str">
            <v>Ы</v>
          </cell>
          <cell r="AT2302" t="str">
            <v>Ы</v>
          </cell>
          <cell r="AU2302">
            <v>0</v>
          </cell>
          <cell r="AV2302">
            <v>0</v>
          </cell>
          <cell r="AW2302">
            <v>23</v>
          </cell>
          <cell r="AX2302">
            <v>1</v>
          </cell>
          <cell r="AY2302">
            <v>0</v>
          </cell>
          <cell r="AZ2302">
            <v>0</v>
          </cell>
          <cell r="BA2302">
            <v>0</v>
          </cell>
          <cell r="BB2302">
            <v>0</v>
          </cell>
          <cell r="BC2302">
            <v>38828</v>
          </cell>
        </row>
        <row r="2303">
          <cell r="A2303">
            <v>2006</v>
          </cell>
          <cell r="B2303">
            <v>3</v>
          </cell>
          <cell r="C2303">
            <v>373</v>
          </cell>
          <cell r="D2303">
            <v>21</v>
          </cell>
          <cell r="E2303">
            <v>792020</v>
          </cell>
          <cell r="F2303">
            <v>0</v>
          </cell>
          <cell r="G2303" t="str">
            <v>Затраты по ШПЗ (основные)</v>
          </cell>
          <cell r="H2303">
            <v>2011</v>
          </cell>
          <cell r="I2303">
            <v>7920</v>
          </cell>
          <cell r="J2303">
            <v>70150.06</v>
          </cell>
          <cell r="K2303">
            <v>1</v>
          </cell>
          <cell r="L2303">
            <v>0</v>
          </cell>
          <cell r="M2303">
            <v>0</v>
          </cell>
          <cell r="N2303">
            <v>0</v>
          </cell>
          <cell r="R2303">
            <v>0</v>
          </cell>
          <cell r="S2303">
            <v>0</v>
          </cell>
          <cell r="T2303">
            <v>0</v>
          </cell>
          <cell r="U2303">
            <v>36</v>
          </cell>
          <cell r="V2303">
            <v>0</v>
          </cell>
          <cell r="W2303">
            <v>0</v>
          </cell>
          <cell r="AA2303">
            <v>0</v>
          </cell>
          <cell r="AB2303">
            <v>0</v>
          </cell>
          <cell r="AC2303">
            <v>0</v>
          </cell>
          <cell r="AD2303">
            <v>36</v>
          </cell>
          <cell r="AE2303">
            <v>280100</v>
          </cell>
          <cell r="AF2303">
            <v>0</v>
          </cell>
          <cell r="AI2303">
            <v>2282</v>
          </cell>
          <cell r="AK2303">
            <v>0</v>
          </cell>
          <cell r="AM2303">
            <v>530</v>
          </cell>
          <cell r="AN2303">
            <v>1</v>
          </cell>
          <cell r="AO2303">
            <v>393216</v>
          </cell>
          <cell r="AQ2303">
            <v>0</v>
          </cell>
          <cell r="AR2303">
            <v>0</v>
          </cell>
          <cell r="AS2303" t="str">
            <v>Ы</v>
          </cell>
          <cell r="AT2303" t="str">
            <v>Ы</v>
          </cell>
          <cell r="AU2303">
            <v>0</v>
          </cell>
          <cell r="AV2303">
            <v>0</v>
          </cell>
          <cell r="AW2303">
            <v>23</v>
          </cell>
          <cell r="AX2303">
            <v>1</v>
          </cell>
          <cell r="AY2303">
            <v>0</v>
          </cell>
          <cell r="AZ2303">
            <v>0</v>
          </cell>
          <cell r="BA2303">
            <v>0</v>
          </cell>
          <cell r="BB2303">
            <v>0</v>
          </cell>
          <cell r="BC2303">
            <v>38828</v>
          </cell>
        </row>
        <row r="2304">
          <cell r="A2304">
            <v>2006</v>
          </cell>
          <cell r="B2304">
            <v>3</v>
          </cell>
          <cell r="C2304">
            <v>374</v>
          </cell>
          <cell r="D2304">
            <v>21</v>
          </cell>
          <cell r="E2304">
            <v>792020</v>
          </cell>
          <cell r="F2304">
            <v>0</v>
          </cell>
          <cell r="G2304" t="str">
            <v>Затраты по ШПЗ (основные)</v>
          </cell>
          <cell r="H2304">
            <v>2011</v>
          </cell>
          <cell r="I2304">
            <v>7920</v>
          </cell>
          <cell r="J2304">
            <v>1730.28</v>
          </cell>
          <cell r="K2304">
            <v>1</v>
          </cell>
          <cell r="L2304">
            <v>0</v>
          </cell>
          <cell r="M2304">
            <v>0</v>
          </cell>
          <cell r="N2304">
            <v>0</v>
          </cell>
          <cell r="R2304">
            <v>0</v>
          </cell>
          <cell r="S2304">
            <v>0</v>
          </cell>
          <cell r="T2304">
            <v>0</v>
          </cell>
          <cell r="U2304">
            <v>36</v>
          </cell>
          <cell r="V2304">
            <v>0</v>
          </cell>
          <cell r="W2304">
            <v>0</v>
          </cell>
          <cell r="AA2304">
            <v>0</v>
          </cell>
          <cell r="AB2304">
            <v>0</v>
          </cell>
          <cell r="AC2304">
            <v>0</v>
          </cell>
          <cell r="AD2304">
            <v>36</v>
          </cell>
          <cell r="AE2304">
            <v>280200</v>
          </cell>
          <cell r="AF2304">
            <v>0</v>
          </cell>
          <cell r="AI2304">
            <v>2282</v>
          </cell>
          <cell r="AK2304">
            <v>0</v>
          </cell>
          <cell r="AM2304">
            <v>531</v>
          </cell>
          <cell r="AN2304">
            <v>1</v>
          </cell>
          <cell r="AO2304">
            <v>393216</v>
          </cell>
          <cell r="AQ2304">
            <v>0</v>
          </cell>
          <cell r="AR2304">
            <v>0</v>
          </cell>
          <cell r="AS2304" t="str">
            <v>Ы</v>
          </cell>
          <cell r="AT2304" t="str">
            <v>Ы</v>
          </cell>
          <cell r="AU2304">
            <v>0</v>
          </cell>
          <cell r="AV2304">
            <v>0</v>
          </cell>
          <cell r="AW2304">
            <v>23</v>
          </cell>
          <cell r="AX2304">
            <v>1</v>
          </cell>
          <cell r="AY2304">
            <v>0</v>
          </cell>
          <cell r="AZ2304">
            <v>0</v>
          </cell>
          <cell r="BA2304">
            <v>0</v>
          </cell>
          <cell r="BB2304">
            <v>0</v>
          </cell>
          <cell r="BC2304">
            <v>38828</v>
          </cell>
        </row>
        <row r="2305">
          <cell r="A2305">
            <v>2006</v>
          </cell>
          <cell r="B2305">
            <v>3</v>
          </cell>
          <cell r="C2305">
            <v>375</v>
          </cell>
          <cell r="D2305">
            <v>21</v>
          </cell>
          <cell r="E2305">
            <v>792020</v>
          </cell>
          <cell r="F2305">
            <v>0</v>
          </cell>
          <cell r="G2305" t="str">
            <v>Затраты по ШПЗ (основные)</v>
          </cell>
          <cell r="H2305">
            <v>2011</v>
          </cell>
          <cell r="I2305">
            <v>7920</v>
          </cell>
          <cell r="J2305">
            <v>13832.3</v>
          </cell>
          <cell r="K2305">
            <v>1</v>
          </cell>
          <cell r="L2305">
            <v>0</v>
          </cell>
          <cell r="M2305">
            <v>0</v>
          </cell>
          <cell r="N2305">
            <v>0</v>
          </cell>
          <cell r="R2305">
            <v>0</v>
          </cell>
          <cell r="S2305">
            <v>0</v>
          </cell>
          <cell r="T2305">
            <v>0</v>
          </cell>
          <cell r="U2305">
            <v>36</v>
          </cell>
          <cell r="V2305">
            <v>0</v>
          </cell>
          <cell r="W2305">
            <v>0</v>
          </cell>
          <cell r="AA2305">
            <v>0</v>
          </cell>
          <cell r="AB2305">
            <v>0</v>
          </cell>
          <cell r="AC2305">
            <v>0</v>
          </cell>
          <cell r="AD2305">
            <v>36</v>
          </cell>
          <cell r="AE2305">
            <v>280300</v>
          </cell>
          <cell r="AF2305">
            <v>0</v>
          </cell>
          <cell r="AI2305">
            <v>2282</v>
          </cell>
          <cell r="AK2305">
            <v>0</v>
          </cell>
          <cell r="AM2305">
            <v>532</v>
          </cell>
          <cell r="AN2305">
            <v>1</v>
          </cell>
          <cell r="AO2305">
            <v>393216</v>
          </cell>
          <cell r="AQ2305">
            <v>0</v>
          </cell>
          <cell r="AR2305">
            <v>0</v>
          </cell>
          <cell r="AS2305" t="str">
            <v>Ы</v>
          </cell>
          <cell r="AT2305" t="str">
            <v>Ы</v>
          </cell>
          <cell r="AU2305">
            <v>0</v>
          </cell>
          <cell r="AV2305">
            <v>0</v>
          </cell>
          <cell r="AW2305">
            <v>23</v>
          </cell>
          <cell r="AX2305">
            <v>1</v>
          </cell>
          <cell r="AY2305">
            <v>0</v>
          </cell>
          <cell r="AZ2305">
            <v>0</v>
          </cell>
          <cell r="BA2305">
            <v>0</v>
          </cell>
          <cell r="BB2305">
            <v>0</v>
          </cell>
          <cell r="BC2305">
            <v>38828</v>
          </cell>
        </row>
        <row r="2306">
          <cell r="A2306">
            <v>2006</v>
          </cell>
          <cell r="B2306">
            <v>3</v>
          </cell>
          <cell r="C2306">
            <v>376</v>
          </cell>
          <cell r="D2306">
            <v>21</v>
          </cell>
          <cell r="E2306">
            <v>792020</v>
          </cell>
          <cell r="F2306">
            <v>0</v>
          </cell>
          <cell r="G2306" t="str">
            <v>Затраты по ШПЗ (основные)</v>
          </cell>
          <cell r="H2306">
            <v>2011</v>
          </cell>
          <cell r="I2306">
            <v>7920</v>
          </cell>
          <cell r="J2306">
            <v>120538.99</v>
          </cell>
          <cell r="K2306">
            <v>1</v>
          </cell>
          <cell r="L2306">
            <v>0</v>
          </cell>
          <cell r="M2306">
            <v>0</v>
          </cell>
          <cell r="N2306">
            <v>0</v>
          </cell>
          <cell r="R2306">
            <v>0</v>
          </cell>
          <cell r="S2306">
            <v>0</v>
          </cell>
          <cell r="T2306">
            <v>0</v>
          </cell>
          <cell r="U2306">
            <v>36</v>
          </cell>
          <cell r="V2306">
            <v>0</v>
          </cell>
          <cell r="W2306">
            <v>0</v>
          </cell>
          <cell r="AA2306">
            <v>0</v>
          </cell>
          <cell r="AB2306">
            <v>0</v>
          </cell>
          <cell r="AC2306">
            <v>0</v>
          </cell>
          <cell r="AD2306">
            <v>36</v>
          </cell>
          <cell r="AE2306">
            <v>280400</v>
          </cell>
          <cell r="AF2306">
            <v>0</v>
          </cell>
          <cell r="AI2306">
            <v>2282</v>
          </cell>
          <cell r="AK2306">
            <v>0</v>
          </cell>
          <cell r="AM2306">
            <v>533</v>
          </cell>
          <cell r="AN2306">
            <v>1</v>
          </cell>
          <cell r="AO2306">
            <v>393216</v>
          </cell>
          <cell r="AQ2306">
            <v>0</v>
          </cell>
          <cell r="AR2306">
            <v>0</v>
          </cell>
          <cell r="AS2306" t="str">
            <v>Ы</v>
          </cell>
          <cell r="AT2306" t="str">
            <v>Ы</v>
          </cell>
          <cell r="AU2306">
            <v>0</v>
          </cell>
          <cell r="AV2306">
            <v>0</v>
          </cell>
          <cell r="AW2306">
            <v>23</v>
          </cell>
          <cell r="AX2306">
            <v>1</v>
          </cell>
          <cell r="AY2306">
            <v>0</v>
          </cell>
          <cell r="AZ2306">
            <v>0</v>
          </cell>
          <cell r="BA2306">
            <v>0</v>
          </cell>
          <cell r="BB2306">
            <v>0</v>
          </cell>
          <cell r="BC2306">
            <v>38828</v>
          </cell>
        </row>
        <row r="2307">
          <cell r="A2307">
            <v>2006</v>
          </cell>
          <cell r="B2307">
            <v>3</v>
          </cell>
          <cell r="C2307">
            <v>377</v>
          </cell>
          <cell r="D2307">
            <v>21</v>
          </cell>
          <cell r="E2307">
            <v>792020</v>
          </cell>
          <cell r="F2307">
            <v>0</v>
          </cell>
          <cell r="G2307" t="str">
            <v>Затраты по ШПЗ (основные)</v>
          </cell>
          <cell r="H2307">
            <v>2011</v>
          </cell>
          <cell r="I2307">
            <v>7920</v>
          </cell>
          <cell r="J2307">
            <v>20326.28</v>
          </cell>
          <cell r="K2307">
            <v>1</v>
          </cell>
          <cell r="L2307">
            <v>0</v>
          </cell>
          <cell r="M2307">
            <v>0</v>
          </cell>
          <cell r="N2307">
            <v>0</v>
          </cell>
          <cell r="R2307">
            <v>0</v>
          </cell>
          <cell r="S2307">
            <v>0</v>
          </cell>
          <cell r="T2307">
            <v>0</v>
          </cell>
          <cell r="U2307">
            <v>36</v>
          </cell>
          <cell r="V2307">
            <v>0</v>
          </cell>
          <cell r="W2307">
            <v>0</v>
          </cell>
          <cell r="AA2307">
            <v>0</v>
          </cell>
          <cell r="AB2307">
            <v>0</v>
          </cell>
          <cell r="AC2307">
            <v>0</v>
          </cell>
          <cell r="AD2307">
            <v>36</v>
          </cell>
          <cell r="AE2307">
            <v>281000</v>
          </cell>
          <cell r="AF2307">
            <v>0</v>
          </cell>
          <cell r="AI2307">
            <v>2282</v>
          </cell>
          <cell r="AK2307">
            <v>0</v>
          </cell>
          <cell r="AM2307">
            <v>534</v>
          </cell>
          <cell r="AN2307">
            <v>1</v>
          </cell>
          <cell r="AO2307">
            <v>393216</v>
          </cell>
          <cell r="AQ2307">
            <v>0</v>
          </cell>
          <cell r="AR2307">
            <v>0</v>
          </cell>
          <cell r="AS2307" t="str">
            <v>Ы</v>
          </cell>
          <cell r="AT2307" t="str">
            <v>Ы</v>
          </cell>
          <cell r="AU2307">
            <v>0</v>
          </cell>
          <cell r="AV2307">
            <v>0</v>
          </cell>
          <cell r="AW2307">
            <v>23</v>
          </cell>
          <cell r="AX2307">
            <v>1</v>
          </cell>
          <cell r="AY2307">
            <v>0</v>
          </cell>
          <cell r="AZ2307">
            <v>0</v>
          </cell>
          <cell r="BA2307">
            <v>0</v>
          </cell>
          <cell r="BB2307">
            <v>0</v>
          </cell>
          <cell r="BC2307">
            <v>38828</v>
          </cell>
        </row>
        <row r="2308">
          <cell r="A2308">
            <v>2006</v>
          </cell>
          <cell r="B2308">
            <v>3</v>
          </cell>
          <cell r="C2308">
            <v>378</v>
          </cell>
          <cell r="D2308">
            <v>21</v>
          </cell>
          <cell r="E2308">
            <v>792020</v>
          </cell>
          <cell r="F2308">
            <v>0</v>
          </cell>
          <cell r="G2308" t="str">
            <v>Затраты по ШПЗ (основные)</v>
          </cell>
          <cell r="H2308">
            <v>2011</v>
          </cell>
          <cell r="I2308">
            <v>7920</v>
          </cell>
          <cell r="J2308">
            <v>18112.87</v>
          </cell>
          <cell r="K2308">
            <v>1</v>
          </cell>
          <cell r="L2308">
            <v>0</v>
          </cell>
          <cell r="M2308">
            <v>0</v>
          </cell>
          <cell r="N2308">
            <v>0</v>
          </cell>
          <cell r="R2308">
            <v>0</v>
          </cell>
          <cell r="S2308">
            <v>0</v>
          </cell>
          <cell r="T2308">
            <v>0</v>
          </cell>
          <cell r="U2308">
            <v>36</v>
          </cell>
          <cell r="V2308">
            <v>0</v>
          </cell>
          <cell r="W2308">
            <v>0</v>
          </cell>
          <cell r="AA2308">
            <v>0</v>
          </cell>
          <cell r="AB2308">
            <v>0</v>
          </cell>
          <cell r="AC2308">
            <v>0</v>
          </cell>
          <cell r="AD2308">
            <v>36</v>
          </cell>
          <cell r="AE2308">
            <v>281100</v>
          </cell>
          <cell r="AF2308">
            <v>0</v>
          </cell>
          <cell r="AI2308">
            <v>2282</v>
          </cell>
          <cell r="AK2308">
            <v>0</v>
          </cell>
          <cell r="AM2308">
            <v>535</v>
          </cell>
          <cell r="AN2308">
            <v>1</v>
          </cell>
          <cell r="AO2308">
            <v>393216</v>
          </cell>
          <cell r="AQ2308">
            <v>0</v>
          </cell>
          <cell r="AR2308">
            <v>0</v>
          </cell>
          <cell r="AS2308" t="str">
            <v>Ы</v>
          </cell>
          <cell r="AT2308" t="str">
            <v>Ы</v>
          </cell>
          <cell r="AU2308">
            <v>0</v>
          </cell>
          <cell r="AV2308">
            <v>0</v>
          </cell>
          <cell r="AW2308">
            <v>23</v>
          </cell>
          <cell r="AX2308">
            <v>1</v>
          </cell>
          <cell r="AY2308">
            <v>0</v>
          </cell>
          <cell r="AZ2308">
            <v>0</v>
          </cell>
          <cell r="BA2308">
            <v>0</v>
          </cell>
          <cell r="BB2308">
            <v>0</v>
          </cell>
          <cell r="BC2308">
            <v>38828</v>
          </cell>
        </row>
        <row r="2309">
          <cell r="A2309">
            <v>2006</v>
          </cell>
          <cell r="B2309">
            <v>3</v>
          </cell>
          <cell r="C2309">
            <v>379</v>
          </cell>
          <cell r="D2309">
            <v>21</v>
          </cell>
          <cell r="E2309">
            <v>792020</v>
          </cell>
          <cell r="F2309">
            <v>0</v>
          </cell>
          <cell r="G2309" t="str">
            <v>Затраты по ШПЗ (основные)</v>
          </cell>
          <cell r="H2309">
            <v>2011</v>
          </cell>
          <cell r="I2309">
            <v>7920</v>
          </cell>
          <cell r="J2309">
            <v>13414.2</v>
          </cell>
          <cell r="K2309">
            <v>1</v>
          </cell>
          <cell r="L2309">
            <v>0</v>
          </cell>
          <cell r="M2309">
            <v>0</v>
          </cell>
          <cell r="N2309">
            <v>0</v>
          </cell>
          <cell r="R2309">
            <v>0</v>
          </cell>
          <cell r="S2309">
            <v>0</v>
          </cell>
          <cell r="T2309">
            <v>0</v>
          </cell>
          <cell r="U2309">
            <v>36</v>
          </cell>
          <cell r="V2309">
            <v>0</v>
          </cell>
          <cell r="W2309">
            <v>0</v>
          </cell>
          <cell r="AA2309">
            <v>0</v>
          </cell>
          <cell r="AB2309">
            <v>0</v>
          </cell>
          <cell r="AC2309">
            <v>0</v>
          </cell>
          <cell r="AD2309">
            <v>36</v>
          </cell>
          <cell r="AE2309">
            <v>281200</v>
          </cell>
          <cell r="AF2309">
            <v>0</v>
          </cell>
          <cell r="AI2309">
            <v>2282</v>
          </cell>
          <cell r="AK2309">
            <v>0</v>
          </cell>
          <cell r="AM2309">
            <v>536</v>
          </cell>
          <cell r="AN2309">
            <v>1</v>
          </cell>
          <cell r="AO2309">
            <v>393216</v>
          </cell>
          <cell r="AQ2309">
            <v>0</v>
          </cell>
          <cell r="AR2309">
            <v>0</v>
          </cell>
          <cell r="AS2309" t="str">
            <v>Ы</v>
          </cell>
          <cell r="AT2309" t="str">
            <v>Ы</v>
          </cell>
          <cell r="AU2309">
            <v>0</v>
          </cell>
          <cell r="AV2309">
            <v>0</v>
          </cell>
          <cell r="AW2309">
            <v>23</v>
          </cell>
          <cell r="AX2309">
            <v>1</v>
          </cell>
          <cell r="AY2309">
            <v>0</v>
          </cell>
          <cell r="AZ2309">
            <v>0</v>
          </cell>
          <cell r="BA2309">
            <v>0</v>
          </cell>
          <cell r="BB2309">
            <v>0</v>
          </cell>
          <cell r="BC2309">
            <v>38828</v>
          </cell>
        </row>
        <row r="2310">
          <cell r="A2310">
            <v>2006</v>
          </cell>
          <cell r="B2310">
            <v>3</v>
          </cell>
          <cell r="C2310">
            <v>380</v>
          </cell>
          <cell r="D2310">
            <v>21</v>
          </cell>
          <cell r="E2310">
            <v>792020</v>
          </cell>
          <cell r="F2310">
            <v>0</v>
          </cell>
          <cell r="G2310" t="str">
            <v>Затраты по ШПЗ (основные)</v>
          </cell>
          <cell r="H2310">
            <v>2011</v>
          </cell>
          <cell r="I2310">
            <v>7920</v>
          </cell>
          <cell r="J2310">
            <v>100</v>
          </cell>
          <cell r="K2310">
            <v>1</v>
          </cell>
          <cell r="L2310">
            <v>0</v>
          </cell>
          <cell r="M2310">
            <v>0</v>
          </cell>
          <cell r="N2310">
            <v>0</v>
          </cell>
          <cell r="R2310">
            <v>0</v>
          </cell>
          <cell r="S2310">
            <v>0</v>
          </cell>
          <cell r="T2310">
            <v>0</v>
          </cell>
          <cell r="U2310">
            <v>36</v>
          </cell>
          <cell r="V2310">
            <v>0</v>
          </cell>
          <cell r="W2310">
            <v>0</v>
          </cell>
          <cell r="AA2310">
            <v>0</v>
          </cell>
          <cell r="AB2310">
            <v>0</v>
          </cell>
          <cell r="AC2310">
            <v>0</v>
          </cell>
          <cell r="AD2310">
            <v>36</v>
          </cell>
          <cell r="AE2310">
            <v>282000</v>
          </cell>
          <cell r="AF2310">
            <v>0</v>
          </cell>
          <cell r="AI2310">
            <v>2282</v>
          </cell>
          <cell r="AK2310">
            <v>0</v>
          </cell>
          <cell r="AM2310">
            <v>537</v>
          </cell>
          <cell r="AN2310">
            <v>1</v>
          </cell>
          <cell r="AO2310">
            <v>393216</v>
          </cell>
          <cell r="AQ2310">
            <v>0</v>
          </cell>
          <cell r="AR2310">
            <v>0</v>
          </cell>
          <cell r="AS2310" t="str">
            <v>Ы</v>
          </cell>
          <cell r="AT2310" t="str">
            <v>Ы</v>
          </cell>
          <cell r="AU2310">
            <v>0</v>
          </cell>
          <cell r="AV2310">
            <v>0</v>
          </cell>
          <cell r="AW2310">
            <v>23</v>
          </cell>
          <cell r="AX2310">
            <v>1</v>
          </cell>
          <cell r="AY2310">
            <v>0</v>
          </cell>
          <cell r="AZ2310">
            <v>0</v>
          </cell>
          <cell r="BA2310">
            <v>0</v>
          </cell>
          <cell r="BB2310">
            <v>0</v>
          </cell>
          <cell r="BC2310">
            <v>38828</v>
          </cell>
        </row>
        <row r="2311">
          <cell r="A2311">
            <v>2006</v>
          </cell>
          <cell r="B2311">
            <v>3</v>
          </cell>
          <cell r="C2311">
            <v>381</v>
          </cell>
          <cell r="D2311">
            <v>21</v>
          </cell>
          <cell r="E2311">
            <v>792020</v>
          </cell>
          <cell r="F2311">
            <v>0</v>
          </cell>
          <cell r="G2311" t="str">
            <v>Затраты по ШПЗ (основные)</v>
          </cell>
          <cell r="H2311">
            <v>2011</v>
          </cell>
          <cell r="I2311">
            <v>7920</v>
          </cell>
          <cell r="J2311">
            <v>-1011.1</v>
          </cell>
          <cell r="K2311">
            <v>1</v>
          </cell>
          <cell r="L2311">
            <v>0</v>
          </cell>
          <cell r="M2311">
            <v>0</v>
          </cell>
          <cell r="N2311">
            <v>0</v>
          </cell>
          <cell r="R2311">
            <v>0</v>
          </cell>
          <cell r="S2311">
            <v>0</v>
          </cell>
          <cell r="T2311">
            <v>0</v>
          </cell>
          <cell r="U2311">
            <v>36</v>
          </cell>
          <cell r="V2311">
            <v>0</v>
          </cell>
          <cell r="W2311">
            <v>0</v>
          </cell>
          <cell r="AA2311">
            <v>0</v>
          </cell>
          <cell r="AB2311">
            <v>0</v>
          </cell>
          <cell r="AC2311">
            <v>0</v>
          </cell>
          <cell r="AD2311">
            <v>36</v>
          </cell>
          <cell r="AE2311">
            <v>282200</v>
          </cell>
          <cell r="AF2311">
            <v>0</v>
          </cell>
          <cell r="AI2311">
            <v>2282</v>
          </cell>
          <cell r="AK2311">
            <v>0</v>
          </cell>
          <cell r="AM2311">
            <v>538</v>
          </cell>
          <cell r="AN2311">
            <v>1</v>
          </cell>
          <cell r="AO2311">
            <v>393216</v>
          </cell>
          <cell r="AQ2311">
            <v>0</v>
          </cell>
          <cell r="AR2311">
            <v>0</v>
          </cell>
          <cell r="AS2311" t="str">
            <v>Ы</v>
          </cell>
          <cell r="AT2311" t="str">
            <v>Ы</v>
          </cell>
          <cell r="AU2311">
            <v>0</v>
          </cell>
          <cell r="AV2311">
            <v>0</v>
          </cell>
          <cell r="AW2311">
            <v>23</v>
          </cell>
          <cell r="AX2311">
            <v>1</v>
          </cell>
          <cell r="AY2311">
            <v>0</v>
          </cell>
          <cell r="AZ2311">
            <v>0</v>
          </cell>
          <cell r="BA2311">
            <v>0</v>
          </cell>
          <cell r="BB2311">
            <v>0</v>
          </cell>
          <cell r="BC2311">
            <v>38828</v>
          </cell>
        </row>
        <row r="2312">
          <cell r="A2312">
            <v>2006</v>
          </cell>
          <cell r="B2312">
            <v>3</v>
          </cell>
          <cell r="C2312">
            <v>382</v>
          </cell>
          <cell r="D2312">
            <v>21</v>
          </cell>
          <cell r="E2312">
            <v>792020</v>
          </cell>
          <cell r="F2312">
            <v>0</v>
          </cell>
          <cell r="G2312" t="str">
            <v>Затраты по ШПЗ (основные)</v>
          </cell>
          <cell r="H2312">
            <v>2011</v>
          </cell>
          <cell r="I2312">
            <v>7920</v>
          </cell>
          <cell r="J2312">
            <v>45537</v>
          </cell>
          <cell r="K2312">
            <v>1</v>
          </cell>
          <cell r="L2312">
            <v>0</v>
          </cell>
          <cell r="M2312">
            <v>0</v>
          </cell>
          <cell r="N2312">
            <v>0</v>
          </cell>
          <cell r="R2312">
            <v>0</v>
          </cell>
          <cell r="S2312">
            <v>0</v>
          </cell>
          <cell r="T2312">
            <v>0</v>
          </cell>
          <cell r="U2312">
            <v>36</v>
          </cell>
          <cell r="V2312">
            <v>0</v>
          </cell>
          <cell r="W2312">
            <v>0</v>
          </cell>
          <cell r="AA2312">
            <v>0</v>
          </cell>
          <cell r="AB2312">
            <v>0</v>
          </cell>
          <cell r="AC2312">
            <v>0</v>
          </cell>
          <cell r="AD2312">
            <v>36</v>
          </cell>
          <cell r="AE2312">
            <v>283000</v>
          </cell>
          <cell r="AF2312">
            <v>0</v>
          </cell>
          <cell r="AI2312">
            <v>2282</v>
          </cell>
          <cell r="AK2312">
            <v>0</v>
          </cell>
          <cell r="AM2312">
            <v>539</v>
          </cell>
          <cell r="AN2312">
            <v>1</v>
          </cell>
          <cell r="AO2312">
            <v>393216</v>
          </cell>
          <cell r="AQ2312">
            <v>0</v>
          </cell>
          <cell r="AR2312">
            <v>0</v>
          </cell>
          <cell r="AS2312" t="str">
            <v>Ы</v>
          </cell>
          <cell r="AT2312" t="str">
            <v>Ы</v>
          </cell>
          <cell r="AU2312">
            <v>0</v>
          </cell>
          <cell r="AV2312">
            <v>0</v>
          </cell>
          <cell r="AW2312">
            <v>23</v>
          </cell>
          <cell r="AX2312">
            <v>1</v>
          </cell>
          <cell r="AY2312">
            <v>0</v>
          </cell>
          <cell r="AZ2312">
            <v>0</v>
          </cell>
          <cell r="BA2312">
            <v>0</v>
          </cell>
          <cell r="BB2312">
            <v>0</v>
          </cell>
          <cell r="BC2312">
            <v>38828</v>
          </cell>
        </row>
        <row r="2313">
          <cell r="A2313">
            <v>2006</v>
          </cell>
          <cell r="B2313">
            <v>3</v>
          </cell>
          <cell r="C2313">
            <v>383</v>
          </cell>
          <cell r="D2313">
            <v>21</v>
          </cell>
          <cell r="E2313">
            <v>792020</v>
          </cell>
          <cell r="F2313">
            <v>0</v>
          </cell>
          <cell r="G2313" t="str">
            <v>Затраты по ШПЗ (основные)</v>
          </cell>
          <cell r="H2313">
            <v>2011</v>
          </cell>
          <cell r="I2313">
            <v>7920</v>
          </cell>
          <cell r="J2313">
            <v>20334.59</v>
          </cell>
          <cell r="K2313">
            <v>1</v>
          </cell>
          <cell r="L2313">
            <v>0</v>
          </cell>
          <cell r="M2313">
            <v>0</v>
          </cell>
          <cell r="N2313">
            <v>0</v>
          </cell>
          <cell r="R2313">
            <v>0</v>
          </cell>
          <cell r="S2313">
            <v>0</v>
          </cell>
          <cell r="T2313">
            <v>0</v>
          </cell>
          <cell r="U2313">
            <v>36</v>
          </cell>
          <cell r="V2313">
            <v>0</v>
          </cell>
          <cell r="W2313">
            <v>0</v>
          </cell>
          <cell r="AA2313">
            <v>0</v>
          </cell>
          <cell r="AB2313">
            <v>0</v>
          </cell>
          <cell r="AC2313">
            <v>0</v>
          </cell>
          <cell r="AD2313">
            <v>36</v>
          </cell>
          <cell r="AE2313">
            <v>285000</v>
          </cell>
          <cell r="AF2313">
            <v>0</v>
          </cell>
          <cell r="AI2313">
            <v>2282</v>
          </cell>
          <cell r="AK2313">
            <v>0</v>
          </cell>
          <cell r="AM2313">
            <v>540</v>
          </cell>
          <cell r="AN2313">
            <v>1</v>
          </cell>
          <cell r="AO2313">
            <v>393216</v>
          </cell>
          <cell r="AQ2313">
            <v>0</v>
          </cell>
          <cell r="AR2313">
            <v>0</v>
          </cell>
          <cell r="AS2313" t="str">
            <v>Ы</v>
          </cell>
          <cell r="AT2313" t="str">
            <v>Ы</v>
          </cell>
          <cell r="AU2313">
            <v>0</v>
          </cell>
          <cell r="AV2313">
            <v>0</v>
          </cell>
          <cell r="AW2313">
            <v>23</v>
          </cell>
          <cell r="AX2313">
            <v>1</v>
          </cell>
          <cell r="AY2313">
            <v>0</v>
          </cell>
          <cell r="AZ2313">
            <v>0</v>
          </cell>
          <cell r="BA2313">
            <v>0</v>
          </cell>
          <cell r="BB2313">
            <v>0</v>
          </cell>
          <cell r="BC2313">
            <v>38828</v>
          </cell>
        </row>
        <row r="2314">
          <cell r="A2314">
            <v>2006</v>
          </cell>
          <cell r="B2314">
            <v>3</v>
          </cell>
          <cell r="C2314">
            <v>384</v>
          </cell>
          <cell r="D2314">
            <v>21</v>
          </cell>
          <cell r="E2314">
            <v>792020</v>
          </cell>
          <cell r="F2314">
            <v>0</v>
          </cell>
          <cell r="G2314" t="str">
            <v>Затраты по ШПЗ (основные)</v>
          </cell>
          <cell r="H2314">
            <v>2011</v>
          </cell>
          <cell r="I2314">
            <v>7920</v>
          </cell>
          <cell r="J2314">
            <v>79512.95</v>
          </cell>
          <cell r="K2314">
            <v>1</v>
          </cell>
          <cell r="L2314">
            <v>0</v>
          </cell>
          <cell r="M2314">
            <v>0</v>
          </cell>
          <cell r="N2314">
            <v>0</v>
          </cell>
          <cell r="R2314">
            <v>0</v>
          </cell>
          <cell r="S2314">
            <v>0</v>
          </cell>
          <cell r="T2314">
            <v>0</v>
          </cell>
          <cell r="U2314">
            <v>36</v>
          </cell>
          <cell r="V2314">
            <v>0</v>
          </cell>
          <cell r="W2314">
            <v>0</v>
          </cell>
          <cell r="AA2314">
            <v>0</v>
          </cell>
          <cell r="AB2314">
            <v>0</v>
          </cell>
          <cell r="AC2314">
            <v>0</v>
          </cell>
          <cell r="AD2314">
            <v>36</v>
          </cell>
          <cell r="AE2314">
            <v>311000</v>
          </cell>
          <cell r="AF2314">
            <v>0</v>
          </cell>
          <cell r="AI2314">
            <v>2282</v>
          </cell>
          <cell r="AK2314">
            <v>0</v>
          </cell>
          <cell r="AM2314">
            <v>541</v>
          </cell>
          <cell r="AN2314">
            <v>1</v>
          </cell>
          <cell r="AO2314">
            <v>393216</v>
          </cell>
          <cell r="AQ2314">
            <v>0</v>
          </cell>
          <cell r="AR2314">
            <v>0</v>
          </cell>
          <cell r="AS2314" t="str">
            <v>Ы</v>
          </cell>
          <cell r="AT2314" t="str">
            <v>Ы</v>
          </cell>
          <cell r="AU2314">
            <v>0</v>
          </cell>
          <cell r="AV2314">
            <v>0</v>
          </cell>
          <cell r="AW2314">
            <v>23</v>
          </cell>
          <cell r="AX2314">
            <v>1</v>
          </cell>
          <cell r="AY2314">
            <v>0</v>
          </cell>
          <cell r="AZ2314">
            <v>0</v>
          </cell>
          <cell r="BA2314">
            <v>0</v>
          </cell>
          <cell r="BB2314">
            <v>0</v>
          </cell>
          <cell r="BC2314">
            <v>38828</v>
          </cell>
        </row>
        <row r="2315">
          <cell r="A2315">
            <v>2006</v>
          </cell>
          <cell r="B2315">
            <v>3</v>
          </cell>
          <cell r="C2315">
            <v>385</v>
          </cell>
          <cell r="D2315">
            <v>21</v>
          </cell>
          <cell r="E2315">
            <v>792020</v>
          </cell>
          <cell r="F2315">
            <v>0</v>
          </cell>
          <cell r="G2315" t="str">
            <v>Затраты по ШПЗ (основные)</v>
          </cell>
          <cell r="H2315">
            <v>2011</v>
          </cell>
          <cell r="I2315">
            <v>7920</v>
          </cell>
          <cell r="J2315">
            <v>274184.92</v>
          </cell>
          <cell r="K2315">
            <v>1</v>
          </cell>
          <cell r="L2315">
            <v>0</v>
          </cell>
          <cell r="M2315">
            <v>0</v>
          </cell>
          <cell r="N2315">
            <v>0</v>
          </cell>
          <cell r="R2315">
            <v>0</v>
          </cell>
          <cell r="S2315">
            <v>0</v>
          </cell>
          <cell r="T2315">
            <v>0</v>
          </cell>
          <cell r="U2315">
            <v>36</v>
          </cell>
          <cell r="V2315">
            <v>0</v>
          </cell>
          <cell r="W2315">
            <v>0</v>
          </cell>
          <cell r="AA2315">
            <v>0</v>
          </cell>
          <cell r="AB2315">
            <v>0</v>
          </cell>
          <cell r="AC2315">
            <v>0</v>
          </cell>
          <cell r="AD2315">
            <v>36</v>
          </cell>
          <cell r="AE2315">
            <v>312000</v>
          </cell>
          <cell r="AF2315">
            <v>0</v>
          </cell>
          <cell r="AI2315">
            <v>2282</v>
          </cell>
          <cell r="AK2315">
            <v>0</v>
          </cell>
          <cell r="AM2315">
            <v>542</v>
          </cell>
          <cell r="AN2315">
            <v>1</v>
          </cell>
          <cell r="AO2315">
            <v>393216</v>
          </cell>
          <cell r="AQ2315">
            <v>0</v>
          </cell>
          <cell r="AR2315">
            <v>0</v>
          </cell>
          <cell r="AS2315" t="str">
            <v>Ы</v>
          </cell>
          <cell r="AT2315" t="str">
            <v>Ы</v>
          </cell>
          <cell r="AU2315">
            <v>0</v>
          </cell>
          <cell r="AV2315">
            <v>0</v>
          </cell>
          <cell r="AW2315">
            <v>23</v>
          </cell>
          <cell r="AX2315">
            <v>1</v>
          </cell>
          <cell r="AY2315">
            <v>0</v>
          </cell>
          <cell r="AZ2315">
            <v>0</v>
          </cell>
          <cell r="BA2315">
            <v>0</v>
          </cell>
          <cell r="BB2315">
            <v>0</v>
          </cell>
          <cell r="BC2315">
            <v>38828</v>
          </cell>
        </row>
        <row r="2316">
          <cell r="A2316">
            <v>2006</v>
          </cell>
          <cell r="B2316">
            <v>3</v>
          </cell>
          <cell r="C2316">
            <v>386</v>
          </cell>
          <cell r="D2316">
            <v>21</v>
          </cell>
          <cell r="E2316">
            <v>792020</v>
          </cell>
          <cell r="F2316">
            <v>0</v>
          </cell>
          <cell r="G2316" t="str">
            <v>Затраты по ШПЗ (основные)</v>
          </cell>
          <cell r="H2316">
            <v>2011</v>
          </cell>
          <cell r="I2316">
            <v>7920</v>
          </cell>
          <cell r="J2316">
            <v>34913.94</v>
          </cell>
          <cell r="K2316">
            <v>1</v>
          </cell>
          <cell r="L2316">
            <v>0</v>
          </cell>
          <cell r="M2316">
            <v>0</v>
          </cell>
          <cell r="N2316">
            <v>0</v>
          </cell>
          <cell r="R2316">
            <v>0</v>
          </cell>
          <cell r="S2316">
            <v>0</v>
          </cell>
          <cell r="T2316">
            <v>0</v>
          </cell>
          <cell r="U2316">
            <v>36</v>
          </cell>
          <cell r="V2316">
            <v>0</v>
          </cell>
          <cell r="W2316">
            <v>0</v>
          </cell>
          <cell r="AA2316">
            <v>0</v>
          </cell>
          <cell r="AB2316">
            <v>0</v>
          </cell>
          <cell r="AC2316">
            <v>0</v>
          </cell>
          <cell r="AD2316">
            <v>36</v>
          </cell>
          <cell r="AE2316">
            <v>312100</v>
          </cell>
          <cell r="AF2316">
            <v>0</v>
          </cell>
          <cell r="AI2316">
            <v>2282</v>
          </cell>
          <cell r="AK2316">
            <v>0</v>
          </cell>
          <cell r="AM2316">
            <v>543</v>
          </cell>
          <cell r="AN2316">
            <v>1</v>
          </cell>
          <cell r="AO2316">
            <v>393216</v>
          </cell>
          <cell r="AQ2316">
            <v>0</v>
          </cell>
          <cell r="AR2316">
            <v>0</v>
          </cell>
          <cell r="AS2316" t="str">
            <v>Ы</v>
          </cell>
          <cell r="AT2316" t="str">
            <v>Ы</v>
          </cell>
          <cell r="AU2316">
            <v>0</v>
          </cell>
          <cell r="AV2316">
            <v>0</v>
          </cell>
          <cell r="AW2316">
            <v>23</v>
          </cell>
          <cell r="AX2316">
            <v>1</v>
          </cell>
          <cell r="AY2316">
            <v>0</v>
          </cell>
          <cell r="AZ2316">
            <v>0</v>
          </cell>
          <cell r="BA2316">
            <v>0</v>
          </cell>
          <cell r="BB2316">
            <v>0</v>
          </cell>
          <cell r="BC2316">
            <v>38828</v>
          </cell>
        </row>
        <row r="2317">
          <cell r="A2317">
            <v>2006</v>
          </cell>
          <cell r="B2317">
            <v>3</v>
          </cell>
          <cell r="C2317">
            <v>387</v>
          </cell>
          <cell r="D2317">
            <v>21</v>
          </cell>
          <cell r="E2317">
            <v>792020</v>
          </cell>
          <cell r="F2317">
            <v>0</v>
          </cell>
          <cell r="G2317" t="str">
            <v>Затраты по ШПЗ (основные)</v>
          </cell>
          <cell r="H2317">
            <v>2011</v>
          </cell>
          <cell r="I2317">
            <v>7920</v>
          </cell>
          <cell r="J2317">
            <v>239268.64</v>
          </cell>
          <cell r="K2317">
            <v>1</v>
          </cell>
          <cell r="L2317">
            <v>0</v>
          </cell>
          <cell r="M2317">
            <v>0</v>
          </cell>
          <cell r="N2317">
            <v>0</v>
          </cell>
          <cell r="R2317">
            <v>0</v>
          </cell>
          <cell r="S2317">
            <v>0</v>
          </cell>
          <cell r="T2317">
            <v>0</v>
          </cell>
          <cell r="U2317">
            <v>36</v>
          </cell>
          <cell r="V2317">
            <v>0</v>
          </cell>
          <cell r="W2317">
            <v>0</v>
          </cell>
          <cell r="AA2317">
            <v>0</v>
          </cell>
          <cell r="AB2317">
            <v>0</v>
          </cell>
          <cell r="AC2317">
            <v>0</v>
          </cell>
          <cell r="AD2317">
            <v>36</v>
          </cell>
          <cell r="AE2317">
            <v>312200</v>
          </cell>
          <cell r="AF2317">
            <v>0</v>
          </cell>
          <cell r="AI2317">
            <v>2282</v>
          </cell>
          <cell r="AK2317">
            <v>0</v>
          </cell>
          <cell r="AM2317">
            <v>544</v>
          </cell>
          <cell r="AN2317">
            <v>1</v>
          </cell>
          <cell r="AO2317">
            <v>393216</v>
          </cell>
          <cell r="AQ2317">
            <v>0</v>
          </cell>
          <cell r="AR2317">
            <v>0</v>
          </cell>
          <cell r="AS2317" t="str">
            <v>Ы</v>
          </cell>
          <cell r="AT2317" t="str">
            <v>Ы</v>
          </cell>
          <cell r="AU2317">
            <v>0</v>
          </cell>
          <cell r="AV2317">
            <v>0</v>
          </cell>
          <cell r="AW2317">
            <v>23</v>
          </cell>
          <cell r="AX2317">
            <v>1</v>
          </cell>
          <cell r="AY2317">
            <v>0</v>
          </cell>
          <cell r="AZ2317">
            <v>0</v>
          </cell>
          <cell r="BA2317">
            <v>0</v>
          </cell>
          <cell r="BB2317">
            <v>0</v>
          </cell>
          <cell r="BC2317">
            <v>38828</v>
          </cell>
        </row>
        <row r="2318">
          <cell r="A2318">
            <v>2006</v>
          </cell>
          <cell r="B2318">
            <v>3</v>
          </cell>
          <cell r="C2318">
            <v>388</v>
          </cell>
          <cell r="D2318">
            <v>21</v>
          </cell>
          <cell r="E2318">
            <v>792020</v>
          </cell>
          <cell r="F2318">
            <v>0</v>
          </cell>
          <cell r="G2318" t="str">
            <v>Затраты по ШПЗ (основные)</v>
          </cell>
          <cell r="H2318">
            <v>2011</v>
          </cell>
          <cell r="I2318">
            <v>7920</v>
          </cell>
          <cell r="J2318">
            <v>30160.09</v>
          </cell>
          <cell r="K2318">
            <v>1</v>
          </cell>
          <cell r="L2318">
            <v>0</v>
          </cell>
          <cell r="M2318">
            <v>0</v>
          </cell>
          <cell r="N2318">
            <v>0</v>
          </cell>
          <cell r="R2318">
            <v>0</v>
          </cell>
          <cell r="S2318">
            <v>0</v>
          </cell>
          <cell r="T2318">
            <v>0</v>
          </cell>
          <cell r="U2318">
            <v>36</v>
          </cell>
          <cell r="V2318">
            <v>0</v>
          </cell>
          <cell r="W2318">
            <v>0</v>
          </cell>
          <cell r="AA2318">
            <v>0</v>
          </cell>
          <cell r="AB2318">
            <v>0</v>
          </cell>
          <cell r="AC2318">
            <v>0</v>
          </cell>
          <cell r="AD2318">
            <v>36</v>
          </cell>
          <cell r="AE2318">
            <v>313000</v>
          </cell>
          <cell r="AF2318">
            <v>0</v>
          </cell>
          <cell r="AI2318">
            <v>2282</v>
          </cell>
          <cell r="AK2318">
            <v>0</v>
          </cell>
          <cell r="AM2318">
            <v>545</v>
          </cell>
          <cell r="AN2318">
            <v>1</v>
          </cell>
          <cell r="AO2318">
            <v>393216</v>
          </cell>
          <cell r="AQ2318">
            <v>0</v>
          </cell>
          <cell r="AR2318">
            <v>0</v>
          </cell>
          <cell r="AS2318" t="str">
            <v>Ы</v>
          </cell>
          <cell r="AT2318" t="str">
            <v>Ы</v>
          </cell>
          <cell r="AU2318">
            <v>0</v>
          </cell>
          <cell r="AV2318">
            <v>0</v>
          </cell>
          <cell r="AW2318">
            <v>23</v>
          </cell>
          <cell r="AX2318">
            <v>1</v>
          </cell>
          <cell r="AY2318">
            <v>0</v>
          </cell>
          <cell r="AZ2318">
            <v>0</v>
          </cell>
          <cell r="BA2318">
            <v>0</v>
          </cell>
          <cell r="BB2318">
            <v>0</v>
          </cell>
          <cell r="BC2318">
            <v>38828</v>
          </cell>
        </row>
        <row r="2319">
          <cell r="A2319">
            <v>2006</v>
          </cell>
          <cell r="B2319">
            <v>3</v>
          </cell>
          <cell r="C2319">
            <v>389</v>
          </cell>
          <cell r="D2319">
            <v>21</v>
          </cell>
          <cell r="E2319">
            <v>792020</v>
          </cell>
          <cell r="F2319">
            <v>0</v>
          </cell>
          <cell r="G2319" t="str">
            <v>Затраты по ШПЗ (основные)</v>
          </cell>
          <cell r="H2319">
            <v>2011</v>
          </cell>
          <cell r="I2319">
            <v>7920</v>
          </cell>
          <cell r="J2319">
            <v>54836.52</v>
          </cell>
          <cell r="K2319">
            <v>1</v>
          </cell>
          <cell r="L2319">
            <v>0</v>
          </cell>
          <cell r="M2319">
            <v>0</v>
          </cell>
          <cell r="N2319">
            <v>0</v>
          </cell>
          <cell r="R2319">
            <v>0</v>
          </cell>
          <cell r="S2319">
            <v>0</v>
          </cell>
          <cell r="T2319">
            <v>0</v>
          </cell>
          <cell r="U2319">
            <v>36</v>
          </cell>
          <cell r="V2319">
            <v>0</v>
          </cell>
          <cell r="W2319">
            <v>0</v>
          </cell>
          <cell r="AA2319">
            <v>0</v>
          </cell>
          <cell r="AB2319">
            <v>0</v>
          </cell>
          <cell r="AC2319">
            <v>0</v>
          </cell>
          <cell r="AD2319">
            <v>36</v>
          </cell>
          <cell r="AE2319">
            <v>314000</v>
          </cell>
          <cell r="AF2319">
            <v>0</v>
          </cell>
          <cell r="AI2319">
            <v>2282</v>
          </cell>
          <cell r="AK2319">
            <v>0</v>
          </cell>
          <cell r="AM2319">
            <v>546</v>
          </cell>
          <cell r="AN2319">
            <v>1</v>
          </cell>
          <cell r="AO2319">
            <v>393216</v>
          </cell>
          <cell r="AQ2319">
            <v>0</v>
          </cell>
          <cell r="AR2319">
            <v>0</v>
          </cell>
          <cell r="AS2319" t="str">
            <v>Ы</v>
          </cell>
          <cell r="AT2319" t="str">
            <v>Ы</v>
          </cell>
          <cell r="AU2319">
            <v>0</v>
          </cell>
          <cell r="AV2319">
            <v>0</v>
          </cell>
          <cell r="AW2319">
            <v>23</v>
          </cell>
          <cell r="AX2319">
            <v>1</v>
          </cell>
          <cell r="AY2319">
            <v>0</v>
          </cell>
          <cell r="AZ2319">
            <v>0</v>
          </cell>
          <cell r="BA2319">
            <v>0</v>
          </cell>
          <cell r="BB2319">
            <v>0</v>
          </cell>
          <cell r="BC2319">
            <v>38828</v>
          </cell>
        </row>
        <row r="2320">
          <cell r="A2320">
            <v>2006</v>
          </cell>
          <cell r="B2320">
            <v>3</v>
          </cell>
          <cell r="C2320">
            <v>390</v>
          </cell>
          <cell r="D2320">
            <v>21</v>
          </cell>
          <cell r="E2320">
            <v>792020</v>
          </cell>
          <cell r="F2320">
            <v>0</v>
          </cell>
          <cell r="G2320" t="str">
            <v>Затраты по ШПЗ (основные)</v>
          </cell>
          <cell r="H2320">
            <v>2011</v>
          </cell>
          <cell r="I2320">
            <v>7920</v>
          </cell>
          <cell r="J2320">
            <v>10967.3</v>
          </cell>
          <cell r="K2320">
            <v>1</v>
          </cell>
          <cell r="L2320">
            <v>0</v>
          </cell>
          <cell r="M2320">
            <v>0</v>
          </cell>
          <cell r="N2320">
            <v>0</v>
          </cell>
          <cell r="R2320">
            <v>0</v>
          </cell>
          <cell r="S2320">
            <v>0</v>
          </cell>
          <cell r="T2320">
            <v>0</v>
          </cell>
          <cell r="U2320">
            <v>36</v>
          </cell>
          <cell r="V2320">
            <v>0</v>
          </cell>
          <cell r="W2320">
            <v>0</v>
          </cell>
          <cell r="AA2320">
            <v>0</v>
          </cell>
          <cell r="AB2320">
            <v>0</v>
          </cell>
          <cell r="AC2320">
            <v>0</v>
          </cell>
          <cell r="AD2320">
            <v>36</v>
          </cell>
          <cell r="AE2320">
            <v>315000</v>
          </cell>
          <cell r="AF2320">
            <v>0</v>
          </cell>
          <cell r="AI2320">
            <v>2282</v>
          </cell>
          <cell r="AK2320">
            <v>0</v>
          </cell>
          <cell r="AM2320">
            <v>547</v>
          </cell>
          <cell r="AN2320">
            <v>1</v>
          </cell>
          <cell r="AO2320">
            <v>393216</v>
          </cell>
          <cell r="AQ2320">
            <v>0</v>
          </cell>
          <cell r="AR2320">
            <v>0</v>
          </cell>
          <cell r="AS2320" t="str">
            <v>Ы</v>
          </cell>
          <cell r="AT2320" t="str">
            <v>Ы</v>
          </cell>
          <cell r="AU2320">
            <v>0</v>
          </cell>
          <cell r="AV2320">
            <v>0</v>
          </cell>
          <cell r="AW2320">
            <v>23</v>
          </cell>
          <cell r="AX2320">
            <v>1</v>
          </cell>
          <cell r="AY2320">
            <v>0</v>
          </cell>
          <cell r="AZ2320">
            <v>0</v>
          </cell>
          <cell r="BA2320">
            <v>0</v>
          </cell>
          <cell r="BB2320">
            <v>0</v>
          </cell>
          <cell r="BC2320">
            <v>38828</v>
          </cell>
        </row>
        <row r="2321">
          <cell r="A2321">
            <v>2006</v>
          </cell>
          <cell r="B2321">
            <v>3</v>
          </cell>
          <cell r="C2321">
            <v>391</v>
          </cell>
          <cell r="D2321">
            <v>21</v>
          </cell>
          <cell r="E2321">
            <v>792020</v>
          </cell>
          <cell r="F2321">
            <v>0</v>
          </cell>
          <cell r="G2321" t="str">
            <v>Затраты по ШПЗ (основные)</v>
          </cell>
          <cell r="H2321">
            <v>2011</v>
          </cell>
          <cell r="I2321">
            <v>7920</v>
          </cell>
          <cell r="J2321">
            <v>509091</v>
          </cell>
          <cell r="K2321">
            <v>1</v>
          </cell>
          <cell r="L2321">
            <v>0</v>
          </cell>
          <cell r="M2321">
            <v>0</v>
          </cell>
          <cell r="N2321">
            <v>0</v>
          </cell>
          <cell r="R2321">
            <v>0</v>
          </cell>
          <cell r="S2321">
            <v>0</v>
          </cell>
          <cell r="T2321">
            <v>0</v>
          </cell>
          <cell r="U2321">
            <v>36</v>
          </cell>
          <cell r="V2321">
            <v>0</v>
          </cell>
          <cell r="W2321">
            <v>0</v>
          </cell>
          <cell r="AA2321">
            <v>0</v>
          </cell>
          <cell r="AB2321">
            <v>0</v>
          </cell>
          <cell r="AC2321">
            <v>0</v>
          </cell>
          <cell r="AD2321">
            <v>36</v>
          </cell>
          <cell r="AE2321">
            <v>410000</v>
          </cell>
          <cell r="AF2321">
            <v>0</v>
          </cell>
          <cell r="AI2321">
            <v>2282</v>
          </cell>
          <cell r="AK2321">
            <v>0</v>
          </cell>
          <cell r="AM2321">
            <v>548</v>
          </cell>
          <cell r="AN2321">
            <v>1</v>
          </cell>
          <cell r="AO2321">
            <v>393216</v>
          </cell>
          <cell r="AQ2321">
            <v>0</v>
          </cell>
          <cell r="AR2321">
            <v>0</v>
          </cell>
          <cell r="AS2321" t="str">
            <v>Ы</v>
          </cell>
          <cell r="AT2321" t="str">
            <v>Ы</v>
          </cell>
          <cell r="AU2321">
            <v>0</v>
          </cell>
          <cell r="AV2321">
            <v>0</v>
          </cell>
          <cell r="AW2321">
            <v>23</v>
          </cell>
          <cell r="AX2321">
            <v>1</v>
          </cell>
          <cell r="AY2321">
            <v>0</v>
          </cell>
          <cell r="AZ2321">
            <v>0</v>
          </cell>
          <cell r="BA2321">
            <v>0</v>
          </cell>
          <cell r="BB2321">
            <v>0</v>
          </cell>
          <cell r="BC2321">
            <v>38828</v>
          </cell>
        </row>
        <row r="2322">
          <cell r="A2322">
            <v>2006</v>
          </cell>
          <cell r="B2322">
            <v>3</v>
          </cell>
          <cell r="C2322">
            <v>392</v>
          </cell>
          <cell r="D2322">
            <v>21</v>
          </cell>
          <cell r="E2322">
            <v>792020</v>
          </cell>
          <cell r="F2322">
            <v>0</v>
          </cell>
          <cell r="G2322" t="str">
            <v>Затраты по ШПЗ (основные)</v>
          </cell>
          <cell r="H2322">
            <v>2011</v>
          </cell>
          <cell r="I2322">
            <v>7920</v>
          </cell>
          <cell r="J2322">
            <v>12430</v>
          </cell>
          <cell r="K2322">
            <v>1</v>
          </cell>
          <cell r="L2322">
            <v>0</v>
          </cell>
          <cell r="M2322">
            <v>0</v>
          </cell>
          <cell r="N2322">
            <v>0</v>
          </cell>
          <cell r="R2322">
            <v>0</v>
          </cell>
          <cell r="S2322">
            <v>0</v>
          </cell>
          <cell r="T2322">
            <v>0</v>
          </cell>
          <cell r="U2322">
            <v>36</v>
          </cell>
          <cell r="V2322">
            <v>0</v>
          </cell>
          <cell r="W2322">
            <v>0</v>
          </cell>
          <cell r="AA2322">
            <v>0</v>
          </cell>
          <cell r="AB2322">
            <v>0</v>
          </cell>
          <cell r="AC2322">
            <v>0</v>
          </cell>
          <cell r="AD2322">
            <v>36</v>
          </cell>
          <cell r="AE2322">
            <v>410200</v>
          </cell>
          <cell r="AF2322">
            <v>0</v>
          </cell>
          <cell r="AI2322">
            <v>2282</v>
          </cell>
          <cell r="AK2322">
            <v>0</v>
          </cell>
          <cell r="AM2322">
            <v>549</v>
          </cell>
          <cell r="AN2322">
            <v>1</v>
          </cell>
          <cell r="AO2322">
            <v>393216</v>
          </cell>
          <cell r="AQ2322">
            <v>0</v>
          </cell>
          <cell r="AR2322">
            <v>0</v>
          </cell>
          <cell r="AS2322" t="str">
            <v>Ы</v>
          </cell>
          <cell r="AT2322" t="str">
            <v>Ы</v>
          </cell>
          <cell r="AU2322">
            <v>0</v>
          </cell>
          <cell r="AV2322">
            <v>0</v>
          </cell>
          <cell r="AW2322">
            <v>23</v>
          </cell>
          <cell r="AX2322">
            <v>1</v>
          </cell>
          <cell r="AY2322">
            <v>0</v>
          </cell>
          <cell r="AZ2322">
            <v>0</v>
          </cell>
          <cell r="BA2322">
            <v>0</v>
          </cell>
          <cell r="BB2322">
            <v>0</v>
          </cell>
          <cell r="BC2322">
            <v>38828</v>
          </cell>
        </row>
        <row r="2323">
          <cell r="A2323">
            <v>2006</v>
          </cell>
          <cell r="B2323">
            <v>3</v>
          </cell>
          <cell r="C2323">
            <v>393</v>
          </cell>
          <cell r="D2323">
            <v>21</v>
          </cell>
          <cell r="E2323">
            <v>792020</v>
          </cell>
          <cell r="F2323">
            <v>0</v>
          </cell>
          <cell r="G2323" t="str">
            <v>Затраты по ШПЗ (основные)</v>
          </cell>
          <cell r="H2323">
            <v>2011</v>
          </cell>
          <cell r="I2323">
            <v>7920</v>
          </cell>
          <cell r="J2323">
            <v>82321</v>
          </cell>
          <cell r="K2323">
            <v>1</v>
          </cell>
          <cell r="L2323">
            <v>0</v>
          </cell>
          <cell r="M2323">
            <v>0</v>
          </cell>
          <cell r="N2323">
            <v>0</v>
          </cell>
          <cell r="R2323">
            <v>0</v>
          </cell>
          <cell r="S2323">
            <v>0</v>
          </cell>
          <cell r="T2323">
            <v>0</v>
          </cell>
          <cell r="U2323">
            <v>36</v>
          </cell>
          <cell r="V2323">
            <v>0</v>
          </cell>
          <cell r="W2323">
            <v>0</v>
          </cell>
          <cell r="AA2323">
            <v>0</v>
          </cell>
          <cell r="AB2323">
            <v>0</v>
          </cell>
          <cell r="AC2323">
            <v>0</v>
          </cell>
          <cell r="AD2323">
            <v>36</v>
          </cell>
          <cell r="AE2323">
            <v>420000</v>
          </cell>
          <cell r="AF2323">
            <v>0</v>
          </cell>
          <cell r="AI2323">
            <v>2282</v>
          </cell>
          <cell r="AK2323">
            <v>0</v>
          </cell>
          <cell r="AM2323">
            <v>550</v>
          </cell>
          <cell r="AN2323">
            <v>1</v>
          </cell>
          <cell r="AO2323">
            <v>393216</v>
          </cell>
          <cell r="AQ2323">
            <v>0</v>
          </cell>
          <cell r="AR2323">
            <v>0</v>
          </cell>
          <cell r="AS2323" t="str">
            <v>Ы</v>
          </cell>
          <cell r="AT2323" t="str">
            <v>Ы</v>
          </cell>
          <cell r="AU2323">
            <v>0</v>
          </cell>
          <cell r="AV2323">
            <v>0</v>
          </cell>
          <cell r="AW2323">
            <v>23</v>
          </cell>
          <cell r="AX2323">
            <v>1</v>
          </cell>
          <cell r="AY2323">
            <v>0</v>
          </cell>
          <cell r="AZ2323">
            <v>0</v>
          </cell>
          <cell r="BA2323">
            <v>0</v>
          </cell>
          <cell r="BB2323">
            <v>0</v>
          </cell>
          <cell r="BC2323">
            <v>38828</v>
          </cell>
        </row>
        <row r="2324">
          <cell r="A2324">
            <v>2006</v>
          </cell>
          <cell r="B2324">
            <v>3</v>
          </cell>
          <cell r="C2324">
            <v>394</v>
          </cell>
          <cell r="D2324">
            <v>21</v>
          </cell>
          <cell r="E2324">
            <v>792020</v>
          </cell>
          <cell r="F2324">
            <v>0</v>
          </cell>
          <cell r="G2324" t="str">
            <v>Затраты по ШПЗ (основные)</v>
          </cell>
          <cell r="H2324">
            <v>2011</v>
          </cell>
          <cell r="I2324">
            <v>7920</v>
          </cell>
          <cell r="J2324">
            <v>81172</v>
          </cell>
          <cell r="K2324">
            <v>1</v>
          </cell>
          <cell r="L2324">
            <v>0</v>
          </cell>
          <cell r="M2324">
            <v>0</v>
          </cell>
          <cell r="N2324">
            <v>0</v>
          </cell>
          <cell r="R2324">
            <v>0</v>
          </cell>
          <cell r="S2324">
            <v>0</v>
          </cell>
          <cell r="T2324">
            <v>0</v>
          </cell>
          <cell r="U2324">
            <v>36</v>
          </cell>
          <cell r="V2324">
            <v>0</v>
          </cell>
          <cell r="W2324">
            <v>0</v>
          </cell>
          <cell r="AA2324">
            <v>0</v>
          </cell>
          <cell r="AB2324">
            <v>0</v>
          </cell>
          <cell r="AC2324">
            <v>0</v>
          </cell>
          <cell r="AD2324">
            <v>36</v>
          </cell>
          <cell r="AE2324">
            <v>430000</v>
          </cell>
          <cell r="AF2324">
            <v>0</v>
          </cell>
          <cell r="AI2324">
            <v>2282</v>
          </cell>
          <cell r="AK2324">
            <v>0</v>
          </cell>
          <cell r="AM2324">
            <v>551</v>
          </cell>
          <cell r="AN2324">
            <v>1</v>
          </cell>
          <cell r="AO2324">
            <v>393216</v>
          </cell>
          <cell r="AQ2324">
            <v>0</v>
          </cell>
          <cell r="AR2324">
            <v>0</v>
          </cell>
          <cell r="AS2324" t="str">
            <v>Ы</v>
          </cell>
          <cell r="AT2324" t="str">
            <v>Ы</v>
          </cell>
          <cell r="AU2324">
            <v>0</v>
          </cell>
          <cell r="AV2324">
            <v>0</v>
          </cell>
          <cell r="AW2324">
            <v>23</v>
          </cell>
          <cell r="AX2324">
            <v>1</v>
          </cell>
          <cell r="AY2324">
            <v>0</v>
          </cell>
          <cell r="AZ2324">
            <v>0</v>
          </cell>
          <cell r="BA2324">
            <v>0</v>
          </cell>
          <cell r="BB2324">
            <v>0</v>
          </cell>
          <cell r="BC2324">
            <v>38828</v>
          </cell>
        </row>
        <row r="2325">
          <cell r="A2325">
            <v>2006</v>
          </cell>
          <cell r="B2325">
            <v>3</v>
          </cell>
          <cell r="C2325">
            <v>395</v>
          </cell>
          <cell r="D2325">
            <v>21</v>
          </cell>
          <cell r="E2325">
            <v>792020</v>
          </cell>
          <cell r="F2325">
            <v>0</v>
          </cell>
          <cell r="G2325" t="str">
            <v>Затраты по ШПЗ (основные)</v>
          </cell>
          <cell r="H2325">
            <v>2011</v>
          </cell>
          <cell r="I2325">
            <v>7920</v>
          </cell>
          <cell r="J2325">
            <v>568260</v>
          </cell>
          <cell r="K2325">
            <v>1</v>
          </cell>
          <cell r="L2325">
            <v>0</v>
          </cell>
          <cell r="M2325">
            <v>0</v>
          </cell>
          <cell r="N2325">
            <v>0</v>
          </cell>
          <cell r="R2325">
            <v>0</v>
          </cell>
          <cell r="S2325">
            <v>0</v>
          </cell>
          <cell r="T2325">
            <v>0</v>
          </cell>
          <cell r="U2325">
            <v>36</v>
          </cell>
          <cell r="V2325">
            <v>0</v>
          </cell>
          <cell r="W2325">
            <v>0</v>
          </cell>
          <cell r="AA2325">
            <v>0</v>
          </cell>
          <cell r="AB2325">
            <v>0</v>
          </cell>
          <cell r="AC2325">
            <v>0</v>
          </cell>
          <cell r="AD2325">
            <v>36</v>
          </cell>
          <cell r="AE2325">
            <v>430110</v>
          </cell>
          <cell r="AF2325">
            <v>0</v>
          </cell>
          <cell r="AI2325">
            <v>2282</v>
          </cell>
          <cell r="AK2325">
            <v>0</v>
          </cell>
          <cell r="AM2325">
            <v>552</v>
          </cell>
          <cell r="AN2325">
            <v>1</v>
          </cell>
          <cell r="AO2325">
            <v>393216</v>
          </cell>
          <cell r="AQ2325">
            <v>0</v>
          </cell>
          <cell r="AR2325">
            <v>0</v>
          </cell>
          <cell r="AS2325" t="str">
            <v>Ы</v>
          </cell>
          <cell r="AT2325" t="str">
            <v>Ы</v>
          </cell>
          <cell r="AU2325">
            <v>0</v>
          </cell>
          <cell r="AV2325">
            <v>0</v>
          </cell>
          <cell r="AW2325">
            <v>23</v>
          </cell>
          <cell r="AX2325">
            <v>1</v>
          </cell>
          <cell r="AY2325">
            <v>0</v>
          </cell>
          <cell r="AZ2325">
            <v>0</v>
          </cell>
          <cell r="BA2325">
            <v>0</v>
          </cell>
          <cell r="BB2325">
            <v>0</v>
          </cell>
          <cell r="BC2325">
            <v>38828</v>
          </cell>
        </row>
        <row r="2326">
          <cell r="A2326">
            <v>2006</v>
          </cell>
          <cell r="B2326">
            <v>3</v>
          </cell>
          <cell r="C2326">
            <v>396</v>
          </cell>
          <cell r="D2326">
            <v>21</v>
          </cell>
          <cell r="E2326">
            <v>792020</v>
          </cell>
          <cell r="F2326">
            <v>0</v>
          </cell>
          <cell r="G2326" t="str">
            <v>Затраты по ШПЗ (основные)</v>
          </cell>
          <cell r="H2326">
            <v>2011</v>
          </cell>
          <cell r="I2326">
            <v>7920</v>
          </cell>
          <cell r="J2326">
            <v>207683</v>
          </cell>
          <cell r="K2326">
            <v>1</v>
          </cell>
          <cell r="L2326">
            <v>0</v>
          </cell>
          <cell r="M2326">
            <v>0</v>
          </cell>
          <cell r="N2326">
            <v>0</v>
          </cell>
          <cell r="R2326">
            <v>0</v>
          </cell>
          <cell r="S2326">
            <v>0</v>
          </cell>
          <cell r="T2326">
            <v>0</v>
          </cell>
          <cell r="U2326">
            <v>36</v>
          </cell>
          <cell r="V2326">
            <v>0</v>
          </cell>
          <cell r="W2326">
            <v>0</v>
          </cell>
          <cell r="AA2326">
            <v>0</v>
          </cell>
          <cell r="AB2326">
            <v>0</v>
          </cell>
          <cell r="AC2326">
            <v>0</v>
          </cell>
          <cell r="AD2326">
            <v>36</v>
          </cell>
          <cell r="AE2326">
            <v>430120</v>
          </cell>
          <cell r="AF2326">
            <v>0</v>
          </cell>
          <cell r="AI2326">
            <v>2282</v>
          </cell>
          <cell r="AK2326">
            <v>0</v>
          </cell>
          <cell r="AM2326">
            <v>553</v>
          </cell>
          <cell r="AN2326">
            <v>1</v>
          </cell>
          <cell r="AO2326">
            <v>393216</v>
          </cell>
          <cell r="AQ2326">
            <v>0</v>
          </cell>
          <cell r="AR2326">
            <v>0</v>
          </cell>
          <cell r="AS2326" t="str">
            <v>Ы</v>
          </cell>
          <cell r="AT2326" t="str">
            <v>Ы</v>
          </cell>
          <cell r="AU2326">
            <v>0</v>
          </cell>
          <cell r="AV2326">
            <v>0</v>
          </cell>
          <cell r="AW2326">
            <v>23</v>
          </cell>
          <cell r="AX2326">
            <v>1</v>
          </cell>
          <cell r="AY2326">
            <v>0</v>
          </cell>
          <cell r="AZ2326">
            <v>0</v>
          </cell>
          <cell r="BA2326">
            <v>0</v>
          </cell>
          <cell r="BB2326">
            <v>0</v>
          </cell>
          <cell r="BC2326">
            <v>38828</v>
          </cell>
        </row>
        <row r="2327">
          <cell r="A2327">
            <v>2006</v>
          </cell>
          <cell r="B2327">
            <v>3</v>
          </cell>
          <cell r="C2327">
            <v>397</v>
          </cell>
          <cell r="D2327">
            <v>21</v>
          </cell>
          <cell r="E2327">
            <v>792020</v>
          </cell>
          <cell r="F2327">
            <v>0</v>
          </cell>
          <cell r="G2327" t="str">
            <v>Затраты по ШПЗ (основные)</v>
          </cell>
          <cell r="H2327">
            <v>2011</v>
          </cell>
          <cell r="I2327">
            <v>7920</v>
          </cell>
          <cell r="J2327">
            <v>651840</v>
          </cell>
          <cell r="K2327">
            <v>1</v>
          </cell>
          <cell r="L2327">
            <v>0</v>
          </cell>
          <cell r="M2327">
            <v>0</v>
          </cell>
          <cell r="N2327">
            <v>0</v>
          </cell>
          <cell r="R2327">
            <v>0</v>
          </cell>
          <cell r="S2327">
            <v>0</v>
          </cell>
          <cell r="T2327">
            <v>0</v>
          </cell>
          <cell r="U2327">
            <v>36</v>
          </cell>
          <cell r="V2327">
            <v>0</v>
          </cell>
          <cell r="W2327">
            <v>0</v>
          </cell>
          <cell r="AA2327">
            <v>0</v>
          </cell>
          <cell r="AB2327">
            <v>0</v>
          </cell>
          <cell r="AC2327">
            <v>0</v>
          </cell>
          <cell r="AD2327">
            <v>36</v>
          </cell>
          <cell r="AE2327">
            <v>430130</v>
          </cell>
          <cell r="AF2327">
            <v>0</v>
          </cell>
          <cell r="AI2327">
            <v>2282</v>
          </cell>
          <cell r="AK2327">
            <v>0</v>
          </cell>
          <cell r="AM2327">
            <v>554</v>
          </cell>
          <cell r="AN2327">
            <v>1</v>
          </cell>
          <cell r="AO2327">
            <v>393216</v>
          </cell>
          <cell r="AQ2327">
            <v>0</v>
          </cell>
          <cell r="AR2327">
            <v>0</v>
          </cell>
          <cell r="AS2327" t="str">
            <v>Ы</v>
          </cell>
          <cell r="AT2327" t="str">
            <v>Ы</v>
          </cell>
          <cell r="AU2327">
            <v>0</v>
          </cell>
          <cell r="AV2327">
            <v>0</v>
          </cell>
          <cell r="AW2327">
            <v>23</v>
          </cell>
          <cell r="AX2327">
            <v>1</v>
          </cell>
          <cell r="AY2327">
            <v>0</v>
          </cell>
          <cell r="AZ2327">
            <v>0</v>
          </cell>
          <cell r="BA2327">
            <v>0</v>
          </cell>
          <cell r="BB2327">
            <v>0</v>
          </cell>
          <cell r="BC2327">
            <v>38828</v>
          </cell>
        </row>
        <row r="2328">
          <cell r="A2328">
            <v>2006</v>
          </cell>
          <cell r="B2328">
            <v>3</v>
          </cell>
          <cell r="C2328">
            <v>398</v>
          </cell>
          <cell r="D2328">
            <v>21</v>
          </cell>
          <cell r="E2328">
            <v>792020</v>
          </cell>
          <cell r="F2328">
            <v>0</v>
          </cell>
          <cell r="G2328" t="str">
            <v>Затраты по ШПЗ (основные)</v>
          </cell>
          <cell r="H2328">
            <v>2011</v>
          </cell>
          <cell r="I2328">
            <v>7920</v>
          </cell>
          <cell r="J2328">
            <v>560413</v>
          </cell>
          <cell r="K2328">
            <v>1</v>
          </cell>
          <cell r="L2328">
            <v>0</v>
          </cell>
          <cell r="M2328">
            <v>0</v>
          </cell>
          <cell r="N2328">
            <v>0</v>
          </cell>
          <cell r="R2328">
            <v>0</v>
          </cell>
          <cell r="S2328">
            <v>0</v>
          </cell>
          <cell r="T2328">
            <v>0</v>
          </cell>
          <cell r="U2328">
            <v>36</v>
          </cell>
          <cell r="V2328">
            <v>0</v>
          </cell>
          <cell r="W2328">
            <v>0</v>
          </cell>
          <cell r="AA2328">
            <v>0</v>
          </cell>
          <cell r="AB2328">
            <v>0</v>
          </cell>
          <cell r="AC2328">
            <v>0</v>
          </cell>
          <cell r="AD2328">
            <v>36</v>
          </cell>
          <cell r="AE2328">
            <v>430140</v>
          </cell>
          <cell r="AF2328">
            <v>0</v>
          </cell>
          <cell r="AI2328">
            <v>2282</v>
          </cell>
          <cell r="AK2328">
            <v>0</v>
          </cell>
          <cell r="AM2328">
            <v>555</v>
          </cell>
          <cell r="AN2328">
            <v>1</v>
          </cell>
          <cell r="AO2328">
            <v>393216</v>
          </cell>
          <cell r="AQ2328">
            <v>0</v>
          </cell>
          <cell r="AR2328">
            <v>0</v>
          </cell>
          <cell r="AS2328" t="str">
            <v>Ы</v>
          </cell>
          <cell r="AT2328" t="str">
            <v>Ы</v>
          </cell>
          <cell r="AU2328">
            <v>0</v>
          </cell>
          <cell r="AV2328">
            <v>0</v>
          </cell>
          <cell r="AW2328">
            <v>23</v>
          </cell>
          <cell r="AX2328">
            <v>1</v>
          </cell>
          <cell r="AY2328">
            <v>0</v>
          </cell>
          <cell r="AZ2328">
            <v>0</v>
          </cell>
          <cell r="BA2328">
            <v>0</v>
          </cell>
          <cell r="BB2328">
            <v>0</v>
          </cell>
          <cell r="BC2328">
            <v>38828</v>
          </cell>
        </row>
        <row r="2329">
          <cell r="A2329">
            <v>2006</v>
          </cell>
          <cell r="B2329">
            <v>3</v>
          </cell>
          <cell r="C2329">
            <v>399</v>
          </cell>
          <cell r="D2329">
            <v>21</v>
          </cell>
          <cell r="E2329">
            <v>792020</v>
          </cell>
          <cell r="F2329">
            <v>0</v>
          </cell>
          <cell r="G2329" t="str">
            <v>Затраты по ШПЗ (основные)</v>
          </cell>
          <cell r="H2329">
            <v>2011</v>
          </cell>
          <cell r="I2329">
            <v>7920</v>
          </cell>
          <cell r="J2329">
            <v>90371</v>
          </cell>
          <cell r="K2329">
            <v>1</v>
          </cell>
          <cell r="L2329">
            <v>0</v>
          </cell>
          <cell r="M2329">
            <v>0</v>
          </cell>
          <cell r="N2329">
            <v>0</v>
          </cell>
          <cell r="R2329">
            <v>0</v>
          </cell>
          <cell r="S2329">
            <v>0</v>
          </cell>
          <cell r="T2329">
            <v>0</v>
          </cell>
          <cell r="U2329">
            <v>36</v>
          </cell>
          <cell r="V2329">
            <v>0</v>
          </cell>
          <cell r="W2329">
            <v>0</v>
          </cell>
          <cell r="AA2329">
            <v>0</v>
          </cell>
          <cell r="AB2329">
            <v>0</v>
          </cell>
          <cell r="AC2329">
            <v>0</v>
          </cell>
          <cell r="AD2329">
            <v>36</v>
          </cell>
          <cell r="AE2329">
            <v>430230</v>
          </cell>
          <cell r="AF2329">
            <v>0</v>
          </cell>
          <cell r="AI2329">
            <v>2282</v>
          </cell>
          <cell r="AK2329">
            <v>0</v>
          </cell>
          <cell r="AM2329">
            <v>556</v>
          </cell>
          <cell r="AN2329">
            <v>1</v>
          </cell>
          <cell r="AO2329">
            <v>393216</v>
          </cell>
          <cell r="AQ2329">
            <v>0</v>
          </cell>
          <cell r="AR2329">
            <v>0</v>
          </cell>
          <cell r="AS2329" t="str">
            <v>Ы</v>
          </cell>
          <cell r="AT2329" t="str">
            <v>Ы</v>
          </cell>
          <cell r="AU2329">
            <v>0</v>
          </cell>
          <cell r="AV2329">
            <v>0</v>
          </cell>
          <cell r="AW2329">
            <v>23</v>
          </cell>
          <cell r="AX2329">
            <v>1</v>
          </cell>
          <cell r="AY2329">
            <v>0</v>
          </cell>
          <cell r="AZ2329">
            <v>0</v>
          </cell>
          <cell r="BA2329">
            <v>0</v>
          </cell>
          <cell r="BB2329">
            <v>0</v>
          </cell>
          <cell r="BC2329">
            <v>38828</v>
          </cell>
        </row>
        <row r="2330">
          <cell r="A2330">
            <v>2006</v>
          </cell>
          <cell r="B2330">
            <v>3</v>
          </cell>
          <cell r="C2330">
            <v>400</v>
          </cell>
          <cell r="D2330">
            <v>21</v>
          </cell>
          <cell r="E2330">
            <v>792020</v>
          </cell>
          <cell r="F2330">
            <v>0</v>
          </cell>
          <cell r="G2330" t="str">
            <v>Затраты по ШПЗ (основные)</v>
          </cell>
          <cell r="H2330">
            <v>2011</v>
          </cell>
          <cell r="I2330">
            <v>7920</v>
          </cell>
          <cell r="J2330">
            <v>18533</v>
          </cell>
          <cell r="K2330">
            <v>1</v>
          </cell>
          <cell r="L2330">
            <v>0</v>
          </cell>
          <cell r="M2330">
            <v>0</v>
          </cell>
          <cell r="N2330">
            <v>0</v>
          </cell>
          <cell r="R2330">
            <v>0</v>
          </cell>
          <cell r="S2330">
            <v>0</v>
          </cell>
          <cell r="T2330">
            <v>0</v>
          </cell>
          <cell r="U2330">
            <v>36</v>
          </cell>
          <cell r="V2330">
            <v>0</v>
          </cell>
          <cell r="W2330">
            <v>0</v>
          </cell>
          <cell r="AA2330">
            <v>0</v>
          </cell>
          <cell r="AB2330">
            <v>0</v>
          </cell>
          <cell r="AC2330">
            <v>0</v>
          </cell>
          <cell r="AD2330">
            <v>36</v>
          </cell>
          <cell r="AE2330">
            <v>430240</v>
          </cell>
          <cell r="AF2330">
            <v>0</v>
          </cell>
          <cell r="AI2330">
            <v>2282</v>
          </cell>
          <cell r="AK2330">
            <v>0</v>
          </cell>
          <cell r="AM2330">
            <v>557</v>
          </cell>
          <cell r="AN2330">
            <v>1</v>
          </cell>
          <cell r="AO2330">
            <v>393216</v>
          </cell>
          <cell r="AQ2330">
            <v>0</v>
          </cell>
          <cell r="AR2330">
            <v>0</v>
          </cell>
          <cell r="AS2330" t="str">
            <v>Ы</v>
          </cell>
          <cell r="AT2330" t="str">
            <v>Ы</v>
          </cell>
          <cell r="AU2330">
            <v>0</v>
          </cell>
          <cell r="AV2330">
            <v>0</v>
          </cell>
          <cell r="AW2330">
            <v>23</v>
          </cell>
          <cell r="AX2330">
            <v>1</v>
          </cell>
          <cell r="AY2330">
            <v>0</v>
          </cell>
          <cell r="AZ2330">
            <v>0</v>
          </cell>
          <cell r="BA2330">
            <v>0</v>
          </cell>
          <cell r="BB2330">
            <v>0</v>
          </cell>
          <cell r="BC2330">
            <v>38828</v>
          </cell>
        </row>
        <row r="2331">
          <cell r="A2331">
            <v>2006</v>
          </cell>
          <cell r="B2331">
            <v>3</v>
          </cell>
          <cell r="C2331">
            <v>401</v>
          </cell>
          <cell r="D2331">
            <v>21</v>
          </cell>
          <cell r="E2331">
            <v>792020</v>
          </cell>
          <cell r="F2331">
            <v>0</v>
          </cell>
          <cell r="G2331" t="str">
            <v>Затраты по ШПЗ (основные)</v>
          </cell>
          <cell r="H2331">
            <v>2011</v>
          </cell>
          <cell r="I2331">
            <v>7920</v>
          </cell>
          <cell r="J2331">
            <v>41218</v>
          </cell>
          <cell r="K2331">
            <v>1</v>
          </cell>
          <cell r="L2331">
            <v>0</v>
          </cell>
          <cell r="M2331">
            <v>0</v>
          </cell>
          <cell r="N2331">
            <v>0</v>
          </cell>
          <cell r="R2331">
            <v>0</v>
          </cell>
          <cell r="S2331">
            <v>0</v>
          </cell>
          <cell r="T2331">
            <v>0</v>
          </cell>
          <cell r="U2331">
            <v>36</v>
          </cell>
          <cell r="V2331">
            <v>0</v>
          </cell>
          <cell r="W2331">
            <v>0</v>
          </cell>
          <cell r="AA2331">
            <v>0</v>
          </cell>
          <cell r="AB2331">
            <v>0</v>
          </cell>
          <cell r="AC2331">
            <v>0</v>
          </cell>
          <cell r="AD2331">
            <v>36</v>
          </cell>
          <cell r="AE2331">
            <v>450000</v>
          </cell>
          <cell r="AF2331">
            <v>0</v>
          </cell>
          <cell r="AI2331">
            <v>2282</v>
          </cell>
          <cell r="AK2331">
            <v>0</v>
          </cell>
          <cell r="AM2331">
            <v>558</v>
          </cell>
          <cell r="AN2331">
            <v>1</v>
          </cell>
          <cell r="AO2331">
            <v>393216</v>
          </cell>
          <cell r="AQ2331">
            <v>0</v>
          </cell>
          <cell r="AR2331">
            <v>0</v>
          </cell>
          <cell r="AS2331" t="str">
            <v>Ы</v>
          </cell>
          <cell r="AT2331" t="str">
            <v>Ы</v>
          </cell>
          <cell r="AU2331">
            <v>0</v>
          </cell>
          <cell r="AV2331">
            <v>0</v>
          </cell>
          <cell r="AW2331">
            <v>23</v>
          </cell>
          <cell r="AX2331">
            <v>1</v>
          </cell>
          <cell r="AY2331">
            <v>0</v>
          </cell>
          <cell r="AZ2331">
            <v>0</v>
          </cell>
          <cell r="BA2331">
            <v>0</v>
          </cell>
          <cell r="BB2331">
            <v>0</v>
          </cell>
          <cell r="BC2331">
            <v>38828</v>
          </cell>
        </row>
        <row r="2332">
          <cell r="A2332">
            <v>2006</v>
          </cell>
          <cell r="B2332">
            <v>3</v>
          </cell>
          <cell r="C2332">
            <v>402</v>
          </cell>
          <cell r="D2332">
            <v>21</v>
          </cell>
          <cell r="E2332">
            <v>792020</v>
          </cell>
          <cell r="F2332">
            <v>0</v>
          </cell>
          <cell r="G2332" t="str">
            <v>Затраты по ШПЗ (основные)</v>
          </cell>
          <cell r="H2332">
            <v>2011</v>
          </cell>
          <cell r="I2332">
            <v>7920</v>
          </cell>
          <cell r="J2332">
            <v>19402</v>
          </cell>
          <cell r="K2332">
            <v>1</v>
          </cell>
          <cell r="L2332">
            <v>0</v>
          </cell>
          <cell r="M2332">
            <v>0</v>
          </cell>
          <cell r="N2332">
            <v>0</v>
          </cell>
          <cell r="R2332">
            <v>0</v>
          </cell>
          <cell r="S2332">
            <v>0</v>
          </cell>
          <cell r="T2332">
            <v>0</v>
          </cell>
          <cell r="U2332">
            <v>36</v>
          </cell>
          <cell r="V2332">
            <v>0</v>
          </cell>
          <cell r="W2332">
            <v>0</v>
          </cell>
          <cell r="AA2332">
            <v>0</v>
          </cell>
          <cell r="AB2332">
            <v>0</v>
          </cell>
          <cell r="AC2332">
            <v>0</v>
          </cell>
          <cell r="AD2332">
            <v>36</v>
          </cell>
          <cell r="AE2332">
            <v>460000</v>
          </cell>
          <cell r="AF2332">
            <v>0</v>
          </cell>
          <cell r="AI2332">
            <v>2282</v>
          </cell>
          <cell r="AK2332">
            <v>0</v>
          </cell>
          <cell r="AM2332">
            <v>559</v>
          </cell>
          <cell r="AN2332">
            <v>1</v>
          </cell>
          <cell r="AO2332">
            <v>393216</v>
          </cell>
          <cell r="AQ2332">
            <v>0</v>
          </cell>
          <cell r="AR2332">
            <v>0</v>
          </cell>
          <cell r="AS2332" t="str">
            <v>Ы</v>
          </cell>
          <cell r="AT2332" t="str">
            <v>Ы</v>
          </cell>
          <cell r="AU2332">
            <v>0</v>
          </cell>
          <cell r="AV2332">
            <v>0</v>
          </cell>
          <cell r="AW2332">
            <v>23</v>
          </cell>
          <cell r="AX2332">
            <v>1</v>
          </cell>
          <cell r="AY2332">
            <v>0</v>
          </cell>
          <cell r="AZ2332">
            <v>0</v>
          </cell>
          <cell r="BA2332">
            <v>0</v>
          </cell>
          <cell r="BB2332">
            <v>0</v>
          </cell>
          <cell r="BC2332">
            <v>38828</v>
          </cell>
        </row>
        <row r="2333">
          <cell r="A2333">
            <v>2006</v>
          </cell>
          <cell r="B2333">
            <v>3</v>
          </cell>
          <cell r="C2333">
            <v>403</v>
          </cell>
          <cell r="D2333">
            <v>21</v>
          </cell>
          <cell r="E2333">
            <v>792020</v>
          </cell>
          <cell r="F2333">
            <v>0</v>
          </cell>
          <cell r="G2333" t="str">
            <v>Затраты по ШПЗ (основные)</v>
          </cell>
          <cell r="H2333">
            <v>2011</v>
          </cell>
          <cell r="I2333">
            <v>7920</v>
          </cell>
          <cell r="J2333">
            <v>2697</v>
          </cell>
          <cell r="K2333">
            <v>1</v>
          </cell>
          <cell r="L2333">
            <v>0</v>
          </cell>
          <cell r="M2333">
            <v>0</v>
          </cell>
          <cell r="N2333">
            <v>0</v>
          </cell>
          <cell r="R2333">
            <v>0</v>
          </cell>
          <cell r="S2333">
            <v>0</v>
          </cell>
          <cell r="T2333">
            <v>0</v>
          </cell>
          <cell r="U2333">
            <v>36</v>
          </cell>
          <cell r="V2333">
            <v>0</v>
          </cell>
          <cell r="W2333">
            <v>0</v>
          </cell>
          <cell r="AA2333">
            <v>0</v>
          </cell>
          <cell r="AB2333">
            <v>0</v>
          </cell>
          <cell r="AC2333">
            <v>0</v>
          </cell>
          <cell r="AD2333">
            <v>36</v>
          </cell>
          <cell r="AE2333">
            <v>465000</v>
          </cell>
          <cell r="AF2333">
            <v>0</v>
          </cell>
          <cell r="AI2333">
            <v>2282</v>
          </cell>
          <cell r="AK2333">
            <v>0</v>
          </cell>
          <cell r="AM2333">
            <v>560</v>
          </cell>
          <cell r="AN2333">
            <v>1</v>
          </cell>
          <cell r="AO2333">
            <v>393216</v>
          </cell>
          <cell r="AQ2333">
            <v>0</v>
          </cell>
          <cell r="AR2333">
            <v>0</v>
          </cell>
          <cell r="AS2333" t="str">
            <v>Ы</v>
          </cell>
          <cell r="AT2333" t="str">
            <v>Ы</v>
          </cell>
          <cell r="AU2333">
            <v>0</v>
          </cell>
          <cell r="AV2333">
            <v>0</v>
          </cell>
          <cell r="AW2333">
            <v>23</v>
          </cell>
          <cell r="AX2333">
            <v>1</v>
          </cell>
          <cell r="AY2333">
            <v>0</v>
          </cell>
          <cell r="AZ2333">
            <v>0</v>
          </cell>
          <cell r="BA2333">
            <v>0</v>
          </cell>
          <cell r="BB2333">
            <v>0</v>
          </cell>
          <cell r="BC2333">
            <v>38828</v>
          </cell>
        </row>
        <row r="2334">
          <cell r="A2334">
            <v>2006</v>
          </cell>
          <cell r="B2334">
            <v>3</v>
          </cell>
          <cell r="C2334">
            <v>404</v>
          </cell>
          <cell r="D2334">
            <v>21</v>
          </cell>
          <cell r="E2334">
            <v>792020</v>
          </cell>
          <cell r="F2334">
            <v>0</v>
          </cell>
          <cell r="G2334" t="str">
            <v>Затраты по ШПЗ (основные)</v>
          </cell>
          <cell r="H2334">
            <v>2011</v>
          </cell>
          <cell r="I2334">
            <v>7920</v>
          </cell>
          <cell r="J2334">
            <v>71103</v>
          </cell>
          <cell r="K2334">
            <v>1</v>
          </cell>
          <cell r="L2334">
            <v>0</v>
          </cell>
          <cell r="M2334">
            <v>0</v>
          </cell>
          <cell r="N2334">
            <v>0</v>
          </cell>
          <cell r="R2334">
            <v>0</v>
          </cell>
          <cell r="S2334">
            <v>0</v>
          </cell>
          <cell r="T2334">
            <v>0</v>
          </cell>
          <cell r="U2334">
            <v>36</v>
          </cell>
          <cell r="V2334">
            <v>0</v>
          </cell>
          <cell r="W2334">
            <v>0</v>
          </cell>
          <cell r="AA2334">
            <v>0</v>
          </cell>
          <cell r="AB2334">
            <v>0</v>
          </cell>
          <cell r="AC2334">
            <v>0</v>
          </cell>
          <cell r="AD2334">
            <v>36</v>
          </cell>
          <cell r="AE2334">
            <v>501102</v>
          </cell>
          <cell r="AF2334">
            <v>0</v>
          </cell>
          <cell r="AI2334">
            <v>2282</v>
          </cell>
          <cell r="AK2334">
            <v>0</v>
          </cell>
          <cell r="AM2334">
            <v>561</v>
          </cell>
          <cell r="AN2334">
            <v>1</v>
          </cell>
          <cell r="AO2334">
            <v>393216</v>
          </cell>
          <cell r="AQ2334">
            <v>0</v>
          </cell>
          <cell r="AR2334">
            <v>0</v>
          </cell>
          <cell r="AS2334" t="str">
            <v>Ы</v>
          </cell>
          <cell r="AT2334" t="str">
            <v>Ы</v>
          </cell>
          <cell r="AU2334">
            <v>0</v>
          </cell>
          <cell r="AV2334">
            <v>0</v>
          </cell>
          <cell r="AW2334">
            <v>23</v>
          </cell>
          <cell r="AX2334">
            <v>1</v>
          </cell>
          <cell r="AY2334">
            <v>0</v>
          </cell>
          <cell r="AZ2334">
            <v>0</v>
          </cell>
          <cell r="BA2334">
            <v>0</v>
          </cell>
          <cell r="BB2334">
            <v>0</v>
          </cell>
          <cell r="BC2334">
            <v>38828</v>
          </cell>
        </row>
        <row r="2335">
          <cell r="A2335">
            <v>2006</v>
          </cell>
          <cell r="B2335">
            <v>3</v>
          </cell>
          <cell r="C2335">
            <v>405</v>
          </cell>
          <cell r="D2335">
            <v>21</v>
          </cell>
          <cell r="E2335">
            <v>792020</v>
          </cell>
          <cell r="F2335">
            <v>0</v>
          </cell>
          <cell r="G2335" t="str">
            <v>Затраты по ШПЗ (основные)</v>
          </cell>
          <cell r="H2335">
            <v>2011</v>
          </cell>
          <cell r="I2335">
            <v>7920</v>
          </cell>
          <cell r="J2335">
            <v>136921.57999999999</v>
          </cell>
          <cell r="K2335">
            <v>1</v>
          </cell>
          <cell r="L2335">
            <v>0</v>
          </cell>
          <cell r="M2335">
            <v>0</v>
          </cell>
          <cell r="N2335">
            <v>0</v>
          </cell>
          <cell r="R2335">
            <v>0</v>
          </cell>
          <cell r="S2335">
            <v>0</v>
          </cell>
          <cell r="T2335">
            <v>0</v>
          </cell>
          <cell r="U2335">
            <v>36</v>
          </cell>
          <cell r="V2335">
            <v>0</v>
          </cell>
          <cell r="W2335">
            <v>0</v>
          </cell>
          <cell r="AA2335">
            <v>0</v>
          </cell>
          <cell r="AB2335">
            <v>0</v>
          </cell>
          <cell r="AC2335">
            <v>0</v>
          </cell>
          <cell r="AD2335">
            <v>36</v>
          </cell>
          <cell r="AE2335">
            <v>501103</v>
          </cell>
          <cell r="AF2335">
            <v>0</v>
          </cell>
          <cell r="AI2335">
            <v>2282</v>
          </cell>
          <cell r="AK2335">
            <v>0</v>
          </cell>
          <cell r="AM2335">
            <v>562</v>
          </cell>
          <cell r="AN2335">
            <v>1</v>
          </cell>
          <cell r="AO2335">
            <v>393216</v>
          </cell>
          <cell r="AQ2335">
            <v>0</v>
          </cell>
          <cell r="AR2335">
            <v>0</v>
          </cell>
          <cell r="AS2335" t="str">
            <v>Ы</v>
          </cell>
          <cell r="AT2335" t="str">
            <v>Ы</v>
          </cell>
          <cell r="AU2335">
            <v>0</v>
          </cell>
          <cell r="AV2335">
            <v>0</v>
          </cell>
          <cell r="AW2335">
            <v>23</v>
          </cell>
          <cell r="AX2335">
            <v>1</v>
          </cell>
          <cell r="AY2335">
            <v>0</v>
          </cell>
          <cell r="AZ2335">
            <v>0</v>
          </cell>
          <cell r="BA2335">
            <v>0</v>
          </cell>
          <cell r="BB2335">
            <v>0</v>
          </cell>
          <cell r="BC2335">
            <v>38828</v>
          </cell>
        </row>
        <row r="2336">
          <cell r="A2336">
            <v>2006</v>
          </cell>
          <cell r="B2336">
            <v>3</v>
          </cell>
          <cell r="C2336">
            <v>406</v>
          </cell>
          <cell r="D2336">
            <v>21</v>
          </cell>
          <cell r="E2336">
            <v>792020</v>
          </cell>
          <cell r="F2336">
            <v>0</v>
          </cell>
          <cell r="G2336" t="str">
            <v>Затраты по ШПЗ (основные)</v>
          </cell>
          <cell r="H2336">
            <v>2011</v>
          </cell>
          <cell r="I2336">
            <v>7920</v>
          </cell>
          <cell r="J2336">
            <v>75481</v>
          </cell>
          <cell r="K2336">
            <v>1</v>
          </cell>
          <cell r="L2336">
            <v>0</v>
          </cell>
          <cell r="M2336">
            <v>0</v>
          </cell>
          <cell r="N2336">
            <v>0</v>
          </cell>
          <cell r="R2336">
            <v>0</v>
          </cell>
          <cell r="S2336">
            <v>0</v>
          </cell>
          <cell r="T2336">
            <v>0</v>
          </cell>
          <cell r="U2336">
            <v>36</v>
          </cell>
          <cell r="V2336">
            <v>0</v>
          </cell>
          <cell r="W2336">
            <v>0</v>
          </cell>
          <cell r="AA2336">
            <v>0</v>
          </cell>
          <cell r="AB2336">
            <v>0</v>
          </cell>
          <cell r="AC2336">
            <v>0</v>
          </cell>
          <cell r="AD2336">
            <v>36</v>
          </cell>
          <cell r="AE2336">
            <v>501105</v>
          </cell>
          <cell r="AF2336">
            <v>0</v>
          </cell>
          <cell r="AI2336">
            <v>2282</v>
          </cell>
          <cell r="AK2336">
            <v>0</v>
          </cell>
          <cell r="AM2336">
            <v>563</v>
          </cell>
          <cell r="AN2336">
            <v>1</v>
          </cell>
          <cell r="AO2336">
            <v>393216</v>
          </cell>
          <cell r="AQ2336">
            <v>0</v>
          </cell>
          <cell r="AR2336">
            <v>0</v>
          </cell>
          <cell r="AS2336" t="str">
            <v>Ы</v>
          </cell>
          <cell r="AT2336" t="str">
            <v>Ы</v>
          </cell>
          <cell r="AU2336">
            <v>0</v>
          </cell>
          <cell r="AV2336">
            <v>0</v>
          </cell>
          <cell r="AW2336">
            <v>23</v>
          </cell>
          <cell r="AX2336">
            <v>1</v>
          </cell>
          <cell r="AY2336">
            <v>0</v>
          </cell>
          <cell r="AZ2336">
            <v>0</v>
          </cell>
          <cell r="BA2336">
            <v>0</v>
          </cell>
          <cell r="BB2336">
            <v>0</v>
          </cell>
          <cell r="BC2336">
            <v>38828</v>
          </cell>
        </row>
        <row r="2337">
          <cell r="A2337">
            <v>2006</v>
          </cell>
          <cell r="B2337">
            <v>3</v>
          </cell>
          <cell r="C2337">
            <v>407</v>
          </cell>
          <cell r="D2337">
            <v>21</v>
          </cell>
          <cell r="E2337">
            <v>792020</v>
          </cell>
          <cell r="F2337">
            <v>0</v>
          </cell>
          <cell r="G2337" t="str">
            <v>Затраты по ШПЗ (основные)</v>
          </cell>
          <cell r="H2337">
            <v>2011</v>
          </cell>
          <cell r="I2337">
            <v>7920</v>
          </cell>
          <cell r="J2337">
            <v>57388</v>
          </cell>
          <cell r="K2337">
            <v>1</v>
          </cell>
          <cell r="L2337">
            <v>0</v>
          </cell>
          <cell r="M2337">
            <v>0</v>
          </cell>
          <cell r="N2337">
            <v>0</v>
          </cell>
          <cell r="R2337">
            <v>0</v>
          </cell>
          <cell r="S2337">
            <v>0</v>
          </cell>
          <cell r="T2337">
            <v>0</v>
          </cell>
          <cell r="U2337">
            <v>36</v>
          </cell>
          <cell r="V2337">
            <v>0</v>
          </cell>
          <cell r="W2337">
            <v>0</v>
          </cell>
          <cell r="AA2337">
            <v>0</v>
          </cell>
          <cell r="AB2337">
            <v>0</v>
          </cell>
          <cell r="AC2337">
            <v>0</v>
          </cell>
          <cell r="AD2337">
            <v>36</v>
          </cell>
          <cell r="AE2337">
            <v>501106</v>
          </cell>
          <cell r="AF2337">
            <v>0</v>
          </cell>
          <cell r="AI2337">
            <v>2282</v>
          </cell>
          <cell r="AK2337">
            <v>0</v>
          </cell>
          <cell r="AM2337">
            <v>564</v>
          </cell>
          <cell r="AN2337">
            <v>1</v>
          </cell>
          <cell r="AO2337">
            <v>393216</v>
          </cell>
          <cell r="AQ2337">
            <v>0</v>
          </cell>
          <cell r="AR2337">
            <v>0</v>
          </cell>
          <cell r="AS2337" t="str">
            <v>Ы</v>
          </cell>
          <cell r="AT2337" t="str">
            <v>Ы</v>
          </cell>
          <cell r="AU2337">
            <v>0</v>
          </cell>
          <cell r="AV2337">
            <v>0</v>
          </cell>
          <cell r="AW2337">
            <v>23</v>
          </cell>
          <cell r="AX2337">
            <v>1</v>
          </cell>
          <cell r="AY2337">
            <v>0</v>
          </cell>
          <cell r="AZ2337">
            <v>0</v>
          </cell>
          <cell r="BA2337">
            <v>0</v>
          </cell>
          <cell r="BB2337">
            <v>0</v>
          </cell>
          <cell r="BC2337">
            <v>38828</v>
          </cell>
        </row>
        <row r="2338">
          <cell r="A2338">
            <v>2006</v>
          </cell>
          <cell r="B2338">
            <v>3</v>
          </cell>
          <cell r="C2338">
            <v>408</v>
          </cell>
          <cell r="D2338">
            <v>21</v>
          </cell>
          <cell r="E2338">
            <v>792020</v>
          </cell>
          <cell r="F2338">
            <v>0</v>
          </cell>
          <cell r="G2338" t="str">
            <v>Затраты по ШПЗ (основные)</v>
          </cell>
          <cell r="H2338">
            <v>2011</v>
          </cell>
          <cell r="I2338">
            <v>7920</v>
          </cell>
          <cell r="J2338">
            <v>6400</v>
          </cell>
          <cell r="K2338">
            <v>1</v>
          </cell>
          <cell r="L2338">
            <v>0</v>
          </cell>
          <cell r="M2338">
            <v>0</v>
          </cell>
          <cell r="N2338">
            <v>0</v>
          </cell>
          <cell r="R2338">
            <v>0</v>
          </cell>
          <cell r="S2338">
            <v>0</v>
          </cell>
          <cell r="T2338">
            <v>0</v>
          </cell>
          <cell r="U2338">
            <v>36</v>
          </cell>
          <cell r="V2338">
            <v>0</v>
          </cell>
          <cell r="W2338">
            <v>0</v>
          </cell>
          <cell r="AA2338">
            <v>0</v>
          </cell>
          <cell r="AB2338">
            <v>0</v>
          </cell>
          <cell r="AC2338">
            <v>0</v>
          </cell>
          <cell r="AD2338">
            <v>36</v>
          </cell>
          <cell r="AE2338">
            <v>504100</v>
          </cell>
          <cell r="AF2338">
            <v>0</v>
          </cell>
          <cell r="AI2338">
            <v>2282</v>
          </cell>
          <cell r="AK2338">
            <v>0</v>
          </cell>
          <cell r="AM2338">
            <v>565</v>
          </cell>
          <cell r="AN2338">
            <v>1</v>
          </cell>
          <cell r="AO2338">
            <v>393216</v>
          </cell>
          <cell r="AQ2338">
            <v>0</v>
          </cell>
          <cell r="AR2338">
            <v>0</v>
          </cell>
          <cell r="AS2338" t="str">
            <v>Ы</v>
          </cell>
          <cell r="AT2338" t="str">
            <v>Ы</v>
          </cell>
          <cell r="AU2338">
            <v>0</v>
          </cell>
          <cell r="AV2338">
            <v>0</v>
          </cell>
          <cell r="AW2338">
            <v>23</v>
          </cell>
          <cell r="AX2338">
            <v>1</v>
          </cell>
          <cell r="AY2338">
            <v>0</v>
          </cell>
          <cell r="AZ2338">
            <v>0</v>
          </cell>
          <cell r="BA2338">
            <v>0</v>
          </cell>
          <cell r="BB2338">
            <v>0</v>
          </cell>
          <cell r="BC2338">
            <v>38828</v>
          </cell>
        </row>
        <row r="2339">
          <cell r="A2339">
            <v>2006</v>
          </cell>
          <cell r="B2339">
            <v>3</v>
          </cell>
          <cell r="C2339">
            <v>409</v>
          </cell>
          <cell r="D2339">
            <v>21</v>
          </cell>
          <cell r="E2339">
            <v>792020</v>
          </cell>
          <cell r="F2339">
            <v>0</v>
          </cell>
          <cell r="G2339" t="str">
            <v>Затраты по ШПЗ (основные)</v>
          </cell>
          <cell r="H2339">
            <v>2011</v>
          </cell>
          <cell r="I2339">
            <v>7920</v>
          </cell>
          <cell r="J2339">
            <v>56881.36</v>
          </cell>
          <cell r="K2339">
            <v>1</v>
          </cell>
          <cell r="L2339">
            <v>0</v>
          </cell>
          <cell r="M2339">
            <v>0</v>
          </cell>
          <cell r="N2339">
            <v>0</v>
          </cell>
          <cell r="R2339">
            <v>0</v>
          </cell>
          <cell r="S2339">
            <v>0</v>
          </cell>
          <cell r="T2339">
            <v>0</v>
          </cell>
          <cell r="U2339">
            <v>36</v>
          </cell>
          <cell r="V2339">
            <v>0</v>
          </cell>
          <cell r="W2339">
            <v>0</v>
          </cell>
          <cell r="AA2339">
            <v>0</v>
          </cell>
          <cell r="AB2339">
            <v>0</v>
          </cell>
          <cell r="AC2339">
            <v>0</v>
          </cell>
          <cell r="AD2339">
            <v>36</v>
          </cell>
          <cell r="AE2339">
            <v>504200</v>
          </cell>
          <cell r="AF2339">
            <v>0</v>
          </cell>
          <cell r="AI2339">
            <v>2282</v>
          </cell>
          <cell r="AK2339">
            <v>0</v>
          </cell>
          <cell r="AM2339">
            <v>566</v>
          </cell>
          <cell r="AN2339">
            <v>1</v>
          </cell>
          <cell r="AO2339">
            <v>393216</v>
          </cell>
          <cell r="AQ2339">
            <v>0</v>
          </cell>
          <cell r="AR2339">
            <v>0</v>
          </cell>
          <cell r="AS2339" t="str">
            <v>Ы</v>
          </cell>
          <cell r="AT2339" t="str">
            <v>Ы</v>
          </cell>
          <cell r="AU2339">
            <v>0</v>
          </cell>
          <cell r="AV2339">
            <v>0</v>
          </cell>
          <cell r="AW2339">
            <v>23</v>
          </cell>
          <cell r="AX2339">
            <v>1</v>
          </cell>
          <cell r="AY2339">
            <v>0</v>
          </cell>
          <cell r="AZ2339">
            <v>0</v>
          </cell>
          <cell r="BA2339">
            <v>0</v>
          </cell>
          <cell r="BB2339">
            <v>0</v>
          </cell>
          <cell r="BC2339">
            <v>38828</v>
          </cell>
        </row>
        <row r="2340">
          <cell r="A2340">
            <v>2006</v>
          </cell>
          <cell r="B2340">
            <v>3</v>
          </cell>
          <cell r="C2340">
            <v>410</v>
          </cell>
          <cell r="D2340">
            <v>21</v>
          </cell>
          <cell r="E2340">
            <v>792020</v>
          </cell>
          <cell r="F2340">
            <v>0</v>
          </cell>
          <cell r="G2340" t="str">
            <v>Затраты по ШПЗ (основные)</v>
          </cell>
          <cell r="H2340">
            <v>2011</v>
          </cell>
          <cell r="I2340">
            <v>7920</v>
          </cell>
          <cell r="J2340">
            <v>1755.3</v>
          </cell>
          <cell r="K2340">
            <v>1</v>
          </cell>
          <cell r="L2340">
            <v>0</v>
          </cell>
          <cell r="M2340">
            <v>0</v>
          </cell>
          <cell r="N2340">
            <v>0</v>
          </cell>
          <cell r="R2340">
            <v>0</v>
          </cell>
          <cell r="S2340">
            <v>0</v>
          </cell>
          <cell r="T2340">
            <v>0</v>
          </cell>
          <cell r="U2340">
            <v>36</v>
          </cell>
          <cell r="V2340">
            <v>0</v>
          </cell>
          <cell r="W2340">
            <v>0</v>
          </cell>
          <cell r="AA2340">
            <v>0</v>
          </cell>
          <cell r="AB2340">
            <v>0</v>
          </cell>
          <cell r="AC2340">
            <v>0</v>
          </cell>
          <cell r="AD2340">
            <v>36</v>
          </cell>
          <cell r="AE2340">
            <v>504400</v>
          </cell>
          <cell r="AF2340">
            <v>0</v>
          </cell>
          <cell r="AI2340">
            <v>2282</v>
          </cell>
          <cell r="AK2340">
            <v>0</v>
          </cell>
          <cell r="AM2340">
            <v>567</v>
          </cell>
          <cell r="AN2340">
            <v>1</v>
          </cell>
          <cell r="AO2340">
            <v>393216</v>
          </cell>
          <cell r="AQ2340">
            <v>0</v>
          </cell>
          <cell r="AR2340">
            <v>0</v>
          </cell>
          <cell r="AS2340" t="str">
            <v>Ы</v>
          </cell>
          <cell r="AT2340" t="str">
            <v>Ы</v>
          </cell>
          <cell r="AU2340">
            <v>0</v>
          </cell>
          <cell r="AV2340">
            <v>0</v>
          </cell>
          <cell r="AW2340">
            <v>23</v>
          </cell>
          <cell r="AX2340">
            <v>1</v>
          </cell>
          <cell r="AY2340">
            <v>0</v>
          </cell>
          <cell r="AZ2340">
            <v>0</v>
          </cell>
          <cell r="BA2340">
            <v>0</v>
          </cell>
          <cell r="BB2340">
            <v>0</v>
          </cell>
          <cell r="BC2340">
            <v>38828</v>
          </cell>
        </row>
        <row r="2341">
          <cell r="A2341">
            <v>2006</v>
          </cell>
          <cell r="B2341">
            <v>3</v>
          </cell>
          <cell r="C2341">
            <v>411</v>
          </cell>
          <cell r="D2341">
            <v>21</v>
          </cell>
          <cell r="E2341">
            <v>792020</v>
          </cell>
          <cell r="F2341">
            <v>0</v>
          </cell>
          <cell r="G2341" t="str">
            <v>Затраты по ШПЗ (основные)</v>
          </cell>
          <cell r="H2341">
            <v>2011</v>
          </cell>
          <cell r="I2341">
            <v>7920</v>
          </cell>
          <cell r="J2341">
            <v>943</v>
          </cell>
          <cell r="K2341">
            <v>1</v>
          </cell>
          <cell r="L2341">
            <v>0</v>
          </cell>
          <cell r="M2341">
            <v>0</v>
          </cell>
          <cell r="N234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Производство электроэнергии"/>
      <sheetName val="Производство теплоэнергии"/>
      <sheetName val="Передача электроэнергии"/>
      <sheetName val="Передача теплоэнергии"/>
      <sheetName val="Финансы"/>
      <sheetName val="T1"/>
      <sheetName val="T2"/>
      <sheetName val="T3"/>
      <sheetName val="T4"/>
      <sheetName val="T5"/>
      <sheetName val="T6"/>
      <sheetName val="T7"/>
      <sheetName val="T8"/>
      <sheetName val="T9"/>
      <sheetName val="T10"/>
      <sheetName val="T11"/>
      <sheetName val="T12"/>
      <sheetName val="T13"/>
      <sheetName val="T14"/>
      <sheetName val="T15"/>
      <sheetName val="T15.1"/>
      <sheetName val="T15.2"/>
      <sheetName val="T15.3"/>
      <sheetName val="T15.4"/>
      <sheetName val="T16"/>
      <sheetName val="T16.1"/>
      <sheetName val="T16.2"/>
      <sheetName val="T16.3"/>
      <sheetName val="T16.4"/>
      <sheetName val="T17"/>
      <sheetName val="T17.1"/>
      <sheetName val="T17.2"/>
      <sheetName val="T17.3"/>
      <sheetName val="T17.4"/>
      <sheetName val="T18"/>
      <sheetName val="T18.1"/>
      <sheetName val="T18.2"/>
      <sheetName val="T19"/>
      <sheetName val="T19.1"/>
      <sheetName val="T19.2"/>
      <sheetName val="T20"/>
      <sheetName val="T21"/>
      <sheetName val="T21.1"/>
      <sheetName val="T21.2"/>
      <sheetName val="T21.3"/>
      <sheetName val="T21.4"/>
      <sheetName val="T22"/>
      <sheetName val="T23"/>
      <sheetName val="T24"/>
      <sheetName val="T24.1"/>
      <sheetName val="T25"/>
      <sheetName val="T25.1"/>
      <sheetName val="T26"/>
      <sheetName val="T27"/>
      <sheetName val="T28"/>
      <sheetName val="T28.1"/>
      <sheetName val="T28.2"/>
      <sheetName val="T28.3"/>
      <sheetName val="T29"/>
      <sheetName val="T29.1"/>
      <sheetName val="П1"/>
      <sheetName val="П2"/>
      <sheetName val="S29.1"/>
      <sheetName val="S29"/>
      <sheetName val="S28.3"/>
      <sheetName val="S28.2"/>
      <sheetName val="S28.1"/>
      <sheetName val="S28"/>
      <sheetName val="S22"/>
      <sheetName val="S12"/>
      <sheetName val="S11"/>
      <sheetName val="S10"/>
      <sheetName val="S9"/>
      <sheetName val="S8"/>
      <sheetName val="S6"/>
      <sheetName val="S3"/>
      <sheetName val="S2"/>
      <sheetName val="S1"/>
      <sheetName val="Лист"/>
      <sheetName val="Шаблоны"/>
      <sheetName val="SHPZ"/>
      <sheetName val="Рейтинг"/>
    </sheetNames>
    <sheetDataSet>
      <sheetData sheetId="0" refreshError="1"/>
      <sheetData sheetId="1" refreshError="1">
        <row r="95">
          <cell r="A95" t="str">
            <v>Базовые потребители электроэнергии</v>
          </cell>
        </row>
        <row r="111">
          <cell r="A111" t="str">
            <v>Бюджетные потребители электроэнергии</v>
          </cell>
        </row>
        <row r="124">
          <cell r="A124" t="str">
            <v>Потребители электроэнергии группы население</v>
          </cell>
        </row>
        <row r="132">
          <cell r="A132" t="str">
            <v>Прочие потребители электроэнергии</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Производство электроэнергии"/>
      <sheetName val="Производство теплоэнергии"/>
      <sheetName val="Передача электроэнергии"/>
      <sheetName val="Передача теплоэнергии"/>
      <sheetName val="Финансы"/>
      <sheetName val="T1"/>
      <sheetName val="T2"/>
      <sheetName val="T3"/>
      <sheetName val="T4"/>
      <sheetName val="T5"/>
      <sheetName val="T6"/>
      <sheetName val="T7"/>
      <sheetName val="T8"/>
      <sheetName val="T9"/>
      <sheetName val="T10"/>
      <sheetName val="T11"/>
      <sheetName val="T12"/>
      <sheetName val="T13"/>
      <sheetName val="T14"/>
      <sheetName val="T15"/>
      <sheetName val="T15.1"/>
      <sheetName val="T15.2"/>
      <sheetName val="T15.3"/>
      <sheetName val="T15.4"/>
      <sheetName val="T16"/>
      <sheetName val="T16.1"/>
      <sheetName val="T16.2"/>
      <sheetName val="T16.3"/>
      <sheetName val="T16.4"/>
      <sheetName val="T17"/>
      <sheetName val="T17.1"/>
      <sheetName val="T17.2"/>
      <sheetName val="T17.3"/>
      <sheetName val="T17.4"/>
      <sheetName val="T18"/>
      <sheetName val="T18.1"/>
      <sheetName val="T18.2"/>
      <sheetName val="T19"/>
      <sheetName val="T19.1"/>
      <sheetName val="T19.2"/>
      <sheetName val="T20"/>
      <sheetName val="T21"/>
      <sheetName val="T21.1"/>
      <sheetName val="T21.2"/>
      <sheetName val="T21.3"/>
      <sheetName val="T21.4"/>
      <sheetName val="T22"/>
      <sheetName val="T23"/>
      <sheetName val="T24"/>
      <sheetName val="T24.1"/>
      <sheetName val="T25"/>
      <sheetName val="T25.1"/>
      <sheetName val="T26"/>
      <sheetName val="T27"/>
      <sheetName val="T28"/>
      <sheetName val="T28.1"/>
      <sheetName val="T28.2"/>
      <sheetName val="T28.3"/>
      <sheetName val="T29"/>
      <sheetName val="T29.1"/>
      <sheetName val="П1"/>
      <sheetName val="П2"/>
      <sheetName val="S29.1"/>
      <sheetName val="S29"/>
      <sheetName val="S28.3"/>
      <sheetName val="S28.2"/>
      <sheetName val="S28.1"/>
      <sheetName val="S28"/>
      <sheetName val="S22"/>
      <sheetName val="S12"/>
      <sheetName val="S11"/>
      <sheetName val="S10"/>
      <sheetName val="S9"/>
      <sheetName val="S8"/>
      <sheetName val="S6"/>
      <sheetName val="S3"/>
      <sheetName val="S2"/>
      <sheetName val="S1"/>
      <sheetName val="Лист"/>
      <sheetName val="Шаблоны"/>
    </sheetNames>
    <sheetDataSet>
      <sheetData sheetId="0" refreshError="1"/>
      <sheetData sheetId="1" refreshError="1">
        <row r="95">
          <cell r="A95" t="str">
            <v>Базовые потребители электроэнергии</v>
          </cell>
        </row>
        <row r="111">
          <cell r="A111" t="str">
            <v>Бюджетные потребители электроэнергии</v>
          </cell>
        </row>
        <row r="124">
          <cell r="A124" t="str">
            <v>Потребители электроэнергии группы население</v>
          </cell>
        </row>
        <row r="132">
          <cell r="A132" t="str">
            <v>Прочие потребители электроэнергии</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равочники"/>
      <sheetName val="1"/>
      <sheetName val="Регионы"/>
      <sheetName val="Баланс ЭЭ"/>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Производство электроэнергии"/>
      <sheetName val="TEHSHEET"/>
      <sheetName val="Баланс"/>
      <sheetName val="Макро"/>
      <sheetName val="БД 2.3"/>
      <sheetName val="БИ-2-18-П"/>
      <sheetName val="БИ-2-19-П"/>
      <sheetName val="БИ-2-7-П"/>
      <sheetName val="БИ-2-9-П"/>
      <sheetName val="БИ-2-14-П"/>
      <sheetName val="БИ-2-16-П"/>
      <sheetName val="2"/>
      <sheetName val="3"/>
      <sheetName val="4"/>
      <sheetName val="Баланс_ЭЭ"/>
      <sheetName val="услуги_непроизводств_"/>
      <sheetName val="другие_затраты_с-ст"/>
      <sheetName val="налоги_в_с-ст"/>
      <sheetName val="%_за_кредит"/>
      <sheetName val="поощрение_(ДВ)"/>
      <sheetName val="другие_из_прибыли"/>
      <sheetName val="Производство_электроэнергии"/>
      <sheetName val="БД_2_3"/>
      <sheetName val="SHPZ"/>
      <sheetName val="Баланс_ЭЭ1"/>
      <sheetName val="услуги_непроизводств_1"/>
      <sheetName val="другие_затраты_с-ст1"/>
      <sheetName val="налоги_в_с-ст1"/>
      <sheetName val="%_за_кредит1"/>
      <sheetName val="поощрение_(ДВ)1"/>
      <sheetName val="другие_из_прибыли1"/>
      <sheetName val="Производство_электроэнергии1"/>
      <sheetName val="БД_2_31"/>
      <sheetName val="Баланс_ЭЭ2"/>
      <sheetName val="услуги_непроизводств_2"/>
      <sheetName val="другие_затраты_с-ст2"/>
      <sheetName val="налоги_в_с-ст2"/>
      <sheetName val="%_за_кредит2"/>
      <sheetName val="поощрение_(ДВ)2"/>
      <sheetName val="другие_из_прибыли2"/>
      <sheetName val="Производство_электроэнергии2"/>
      <sheetName val="БД_2_32"/>
      <sheetName val="для тарифов"/>
      <sheetName val="Лист1"/>
      <sheetName val="производство"/>
      <sheetName val="План Газпрома"/>
      <sheetName val="См.1"/>
      <sheetName val="4НКУ"/>
      <sheetName val="15.э"/>
      <sheetName val="5"/>
      <sheetName val="6"/>
      <sheetName val="мар 2001"/>
      <sheetName val="Приложение 1"/>
      <sheetName val="Приложение 2"/>
      <sheetName val="Приложение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отчет"/>
      <sheetName val="расшифровка"/>
      <sheetName val="Пенсионфонд"/>
      <sheetName val="отчет02"/>
      <sheetName val="расшифровка (2)"/>
      <sheetName val="РБП"/>
      <sheetName val="ИТ-бюджет"/>
      <sheetName val="SHPZ"/>
      <sheetName val="эл ст"/>
      <sheetName val="Журнал_печати"/>
      <sheetName val="Справочники"/>
      <sheetName val="СписочнаяЧисленность"/>
      <sheetName val="Производство электроэнергии"/>
      <sheetName val="Лист1"/>
      <sheetName val="ПРОГНОЗ_1"/>
      <sheetName val="Первичные данные"/>
      <sheetName val="мар 2001"/>
      <sheetName val="накладные в %% фак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л ст"/>
      <sheetName val="ýë ñò"/>
      <sheetName val="Лист13"/>
      <sheetName val="расшифровка"/>
      <sheetName val="1997"/>
      <sheetName val="1998"/>
      <sheetName val="СписочнаяЧисленность"/>
      <sheetName val="Справочники"/>
      <sheetName val="даты"/>
      <sheetName val="Аморт_осн"/>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15.э"/>
      <sheetName val="Детализация"/>
      <sheetName val="Справочник затрат_СБ"/>
      <sheetName val="Заголовок"/>
      <sheetName val="Прил_9"/>
      <sheetName val="SHPZ"/>
      <sheetName val="1.411.1"/>
      <sheetName val="ИПР ф.24"/>
      <sheetName val="ИП09"/>
      <sheetName val="P-99b"/>
      <sheetName val="перекрестка"/>
      <sheetName val="16"/>
      <sheetName val="18.2"/>
      <sheetName val="4"/>
      <sheetName val="6"/>
      <sheetName val="27"/>
      <sheetName val="t_Настройки"/>
      <sheetName val="Ввод параметров"/>
      <sheetName val="29"/>
      <sheetName val="20"/>
      <sheetName val="21"/>
      <sheetName val="23"/>
      <sheetName val="25"/>
      <sheetName val="26"/>
      <sheetName val="28"/>
      <sheetName val="19"/>
      <sheetName val="22"/>
      <sheetName val="24"/>
      <sheetName val="УФ-28"/>
      <sheetName val="УЗ-10"/>
      <sheetName val="Баланс"/>
      <sheetName val="ОПиУ"/>
      <sheetName val="Лизинг"/>
      <sheetName val="общие сведения"/>
    </sheetNames>
    <sheetDataSet>
      <sheetData sheetId="0" refreshError="1">
        <row r="360">
          <cell r="A360" t="str">
            <v>ИТОГО по электростанциям:</v>
          </cell>
          <cell r="B360" t="str">
            <v/>
          </cell>
          <cell r="D360">
            <v>1677.5819999999999</v>
          </cell>
          <cell r="E360">
            <v>961.71199999999988</v>
          </cell>
          <cell r="F360">
            <v>609.19800000000009</v>
          </cell>
          <cell r="H360">
            <v>137.38199999999998</v>
          </cell>
          <cell r="J360">
            <v>91.50800000000001</v>
          </cell>
          <cell r="K360">
            <v>1632.64</v>
          </cell>
        </row>
        <row r="368">
          <cell r="A368" t="str">
            <v>Тепловые сети</v>
          </cell>
          <cell r="G368" t="str">
            <v>30,0 км</v>
          </cell>
          <cell r="H368">
            <v>56.85</v>
          </cell>
          <cell r="I368" t="str">
            <v xml:space="preserve"> 22,0км</v>
          </cell>
          <cell r="J368">
            <v>40</v>
          </cell>
          <cell r="K368">
            <v>700</v>
          </cell>
          <cell r="L368" t="str">
            <v>Мосинжстрой</v>
          </cell>
        </row>
        <row r="369">
          <cell r="H369">
            <v>51.3</v>
          </cell>
          <cell r="J369">
            <v>37</v>
          </cell>
          <cell r="L369" t="str">
            <v>Спецстрой РФ</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УЗ-21"/>
      <sheetName val="УЗ-21(1кв)"/>
      <sheetName val="УЗ-21(1кв)факт"/>
      <sheetName val="УЗ-21(2кв)"/>
      <sheetName val="УЗ-21(3кв)"/>
      <sheetName val="УЗ-21(4кв)"/>
      <sheetName val="УЗ-22"/>
      <sheetName val="УЗ-22(1кв)"/>
      <sheetName val="УЗ-22(2кв)"/>
      <sheetName val="УЗ-22(3кв)"/>
      <sheetName val="УЗ-22(4кв)"/>
      <sheetName val="УЗ-23"/>
      <sheetName val="УЗ-24"/>
      <sheetName val="УЗ-25"/>
      <sheetName val="УЗ-26"/>
      <sheetName val="УЗ-26 (1)"/>
      <sheetName val="УЗ-26 (2)"/>
      <sheetName val="УЗ-26 (3)"/>
      <sheetName val="УЗ-26 (4)"/>
      <sheetName val="УЗ-27"/>
      <sheetName val="УЗ-27 (1)"/>
      <sheetName val="УЗ-27 (2)"/>
      <sheetName val="УЗ-27 (3)"/>
      <sheetName val="УЗ-27 (4)"/>
      <sheetName val="УП-28"/>
      <sheetName val="УП-29"/>
      <sheetName val="УП-30"/>
      <sheetName val="УП-32"/>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Enums"/>
      <sheetName val="GRES.2007.5"/>
      <sheetName val="эл ст"/>
      <sheetName val="ИТ-бюджет"/>
      <sheetName val="FST5"/>
      <sheetName val="Исходные"/>
      <sheetName val="Лист13"/>
      <sheetName val="Конст"/>
      <sheetName val="ИТОГИ  по Н,Р,Э,Q"/>
      <sheetName val="2008 -2010"/>
      <sheetName val="Регионы"/>
      <sheetName val="расшифровка"/>
      <sheetName val="1997"/>
      <sheetName val="1998"/>
      <sheetName val="2002(v2)"/>
      <sheetName val="2002(v1)"/>
      <sheetName val="Общий свод (2)"/>
      <sheetName val="t_настройки"/>
      <sheetName val="t_проверки"/>
      <sheetName val="Сценарные условия"/>
      <sheetName val="Список ДЗО"/>
      <sheetName val="4 Закупка электроэнергии"/>
      <sheetName val="5 Производственная программа"/>
      <sheetName val="0_1"/>
      <sheetName val="2_1"/>
      <sheetName val="2_2"/>
      <sheetName val="6_1"/>
      <sheetName val="17_1"/>
      <sheetName val="24_1"/>
      <sheetName val="GRES_2007_5"/>
      <sheetName val="эл_ст"/>
      <sheetName val="ИТОГИ__по_Н,Р,Э,Q"/>
      <sheetName val="2008_-2010"/>
      <sheetName val="Общий_свод_(2)"/>
      <sheetName val="Сценарные_условия"/>
      <sheetName val="Список_ДЗО"/>
      <sheetName val="4_Закупка_электроэнергии"/>
      <sheetName val="5_Производственная_программа"/>
      <sheetName val="0_11"/>
      <sheetName val="2_11"/>
      <sheetName val="2_21"/>
      <sheetName val="6_11"/>
      <sheetName val="17_11"/>
      <sheetName val="24_11"/>
      <sheetName val="GRES_2007_51"/>
      <sheetName val="эл_ст1"/>
      <sheetName val="ИТОГИ__по_Н,Р,Э,Q1"/>
      <sheetName val="2008_-20101"/>
      <sheetName val="Общий_свод_(2)1"/>
      <sheetName val="Сценарные_условия1"/>
      <sheetName val="Список_ДЗО1"/>
      <sheetName val="4_Закупка_электроэнергии1"/>
      <sheetName val="5_Производственная_программа1"/>
      <sheetName val="0_12"/>
      <sheetName val="2_12"/>
      <sheetName val="2_22"/>
      <sheetName val="6_12"/>
      <sheetName val="17_12"/>
      <sheetName val="24_12"/>
      <sheetName val="GRES_2007_52"/>
      <sheetName val="эл_ст2"/>
      <sheetName val="ИТОГИ__по_Н,Р,Э,Q2"/>
      <sheetName val="2008_-20102"/>
      <sheetName val="Общий_свод_(2)2"/>
      <sheetName val="Сценарные_условия2"/>
      <sheetName val="Список_ДЗО2"/>
      <sheetName val="4_Закупка_электроэнергии2"/>
      <sheetName val="5_Производственная_программа2"/>
      <sheetName val="FGL BS data"/>
      <sheetName val="Эффект"/>
      <sheetName val="Вариант XIII (аренда ГТУ)"/>
      <sheetName val="ЛЭП нов"/>
      <sheetName val="ПС рек"/>
      <sheetName val="Данные"/>
      <sheetName val="Исход.инф."/>
      <sheetName val="навигация"/>
      <sheetName val="Т19.1"/>
      <sheetName val="Т1.1.1"/>
      <sheetName val="Т1.2.1"/>
      <sheetName val="Т3"/>
      <sheetName val="списки"/>
      <sheetName val="продВ(I)"/>
      <sheetName val="Предприятие"/>
      <sheetName val="Source"/>
      <sheetName val="Месяцы"/>
    </sheetNames>
    <sheetDataSet>
      <sheetData sheetId="0" refreshError="1"/>
      <sheetData sheetId="1" refreshError="1"/>
      <sheetData sheetId="2" refreshError="1">
        <row r="4">
          <cell r="A4" t="str">
            <v>РГК</v>
          </cell>
        </row>
        <row r="10">
          <cell r="A10" t="str">
            <v>Станция-1</v>
          </cell>
        </row>
        <row r="11">
          <cell r="A11" t="str">
            <v>Станция-2</v>
          </cell>
        </row>
        <row r="19">
          <cell r="A19" t="str">
            <v>Уголь разреза-1</v>
          </cell>
        </row>
        <row r="20">
          <cell r="A20" t="str">
            <v>Уголь разреза-2</v>
          </cell>
        </row>
        <row r="26">
          <cell r="A26" t="str">
            <v>Торф</v>
          </cell>
        </row>
        <row r="27">
          <cell r="A27" t="str">
            <v>Сланцы</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табл."/>
      <sheetName val="Мощность"/>
      <sheetName val="Отпуск ээ"/>
      <sheetName val="Аморт-я"/>
      <sheetName val="Зарплата"/>
      <sheetName val="Вспом. мат-лы"/>
      <sheetName val="Услуги"/>
      <sheetName val="Ремонт"/>
      <sheetName val="Кредиты"/>
      <sheetName val="Прочие затраты"/>
      <sheetName val="соцразвитие"/>
      <sheetName val="Лист13"/>
      <sheetName val="Лист14"/>
      <sheetName val="Лист15"/>
      <sheetName val="Лист16"/>
      <sheetName val="ИТОГИ  по Н,Р,Э,Q"/>
      <sheetName val="Справочники"/>
      <sheetName val="Заголовок"/>
      <sheetName val="Закупки"/>
      <sheetName val="эл ст"/>
      <sheetName val="6"/>
      <sheetName val="Макро"/>
      <sheetName val="Производство электроэнергии"/>
      <sheetName val="10"/>
      <sheetName val="11"/>
      <sheetName val="12"/>
      <sheetName val="18.1"/>
      <sheetName val="19.1.1"/>
      <sheetName val="19.1.2"/>
      <sheetName val="19.2"/>
      <sheetName val="2.1"/>
      <sheetName val="21.1"/>
      <sheetName val="21.2.1"/>
      <sheetName val="21.2.2"/>
      <sheetName val="21.4"/>
      <sheetName val="27"/>
      <sheetName val="28.3"/>
      <sheetName val="29"/>
      <sheetName val="7"/>
      <sheetName val="1.1"/>
      <sheetName val="1.2"/>
      <sheetName val="14"/>
      <sheetName val="16"/>
      <sheetName val="18.2"/>
      <sheetName val="18"/>
      <sheetName val="2.2"/>
      <sheetName val="20.1"/>
      <sheetName val="21.3"/>
      <sheetName val="22"/>
      <sheetName val="23"/>
      <sheetName val="24"/>
      <sheetName val="24.1"/>
      <sheetName val="25.1"/>
      <sheetName val="25"/>
      <sheetName val="26"/>
      <sheetName val="28.1"/>
      <sheetName val="28.2"/>
      <sheetName val="28"/>
      <sheetName val="3"/>
      <sheetName val="4"/>
      <sheetName val="5"/>
      <sheetName val="8"/>
      <sheetName val="9"/>
      <sheetName val="P2.1"/>
      <sheetName val="P2.2"/>
      <sheetName val="УЗ-22(2002)"/>
      <sheetName val="УЗ-21(1кв.) (2)"/>
      <sheetName val="УЗ-21(2002)"/>
      <sheetName val="УЗ-22(3кв.) (2)"/>
      <sheetName val="Калькуляция кв"/>
      <sheetName val="Balance Sheet"/>
      <sheetName val="Константы"/>
      <sheetName val="инвестиции 2007"/>
      <sheetName val="1997"/>
      <sheetName val="1998"/>
      <sheetName val="хар-ка земли 1 "/>
      <sheetName val="Коррект"/>
      <sheetName val="9-1"/>
      <sheetName val="факт 2009 года"/>
      <sheetName val="Факт 2010 года"/>
      <sheetName val="План на 2011 год"/>
      <sheetName val="Свод__табл_"/>
      <sheetName val="Отпуск_ээ"/>
      <sheetName val="Вспом__мат-лы"/>
      <sheetName val="Прочие_затраты"/>
      <sheetName val="ИТОГИ__по_Н,Р,Э,Q"/>
      <sheetName val="эл_ст"/>
      <sheetName val="УЗ-21(1кв_)_(2)"/>
      <sheetName val="УЗ-22(3кв_)_(2)"/>
      <sheetName val="Производство_электроэнергии"/>
      <sheetName val="18_1"/>
      <sheetName val="19_1_1"/>
      <sheetName val="19_1_2"/>
      <sheetName val="19_2"/>
      <sheetName val="2_1"/>
      <sheetName val="21_1"/>
      <sheetName val="21_2_1"/>
      <sheetName val="21_2_2"/>
      <sheetName val="21_4"/>
      <sheetName val="28_3"/>
      <sheetName val="1_1"/>
      <sheetName val="1_2"/>
      <sheetName val="18_2"/>
      <sheetName val="2_2"/>
      <sheetName val="20_1"/>
      <sheetName val="21_3"/>
      <sheetName val="24_1"/>
      <sheetName val="25_1"/>
      <sheetName val="28_1"/>
      <sheetName val="28_2"/>
      <sheetName val="P2_1"/>
      <sheetName val="P2_2"/>
      <sheetName val="инвестиции_2007"/>
      <sheetName val="Калькуляция_кв"/>
      <sheetName val="Balance_Sheet"/>
      <sheetName val="Приложение 1"/>
      <sheetName val="1.11"/>
      <sheetName val="Table"/>
      <sheetName val="Справочник"/>
      <sheetName val="Ожид ФР"/>
      <sheetName val="FEK 2002.Н"/>
      <sheetName val="2007"/>
      <sheetName val="СписочнаяЧисленность"/>
      <sheetName val="Temp_TOV"/>
      <sheetName val="ф.2 за 4 кв.2005"/>
      <sheetName val="БФ-2-8-П"/>
      <sheetName val="Приложение 2.1"/>
      <sheetName val="ГоГРЭС"/>
      <sheetName val="19"/>
      <sheetName val="0"/>
      <sheetName val="1"/>
      <sheetName val="15"/>
      <sheetName val="17.1"/>
      <sheetName val="17"/>
      <sheetName val="20"/>
      <sheetName val="21"/>
      <sheetName val="30"/>
      <sheetName val="ГСМ_УР"/>
      <sheetName val="Услуги ПХ"/>
      <sheetName val="НЗП_УР"/>
      <sheetName val="ЭЭ_УР"/>
      <sheetName val="INV_KR"/>
      <sheetName val="ГСМ_РОК"/>
      <sheetName val="НЗП_РОК"/>
      <sheetName val="ПП"/>
      <sheetName val="ремонты_РОК"/>
      <sheetName val="Ээ_РОК"/>
      <sheetName val="Лист7"/>
      <sheetName val="БДДС"/>
      <sheetName val="БЮДЖЕТ"/>
      <sheetName val="Титульный лист С-П"/>
      <sheetName val="2002(v1)"/>
      <sheetName val="ФИНПЛАН"/>
      <sheetName val="13"/>
      <sheetName val="обслуживание"/>
      <sheetName val="SHPZ"/>
      <sheetName val=" накладные расходы"/>
      <sheetName val="жилой фонд"/>
      <sheetName val="Справ"/>
      <sheetName val="даты"/>
      <sheetName val="Фин план"/>
      <sheetName val="Списки"/>
      <sheetName val="Свод__табл_1"/>
      <sheetName val="Отпуск_ээ1"/>
      <sheetName val="Вспом__мат-лы1"/>
      <sheetName val="Прочие_затраты1"/>
      <sheetName val="ИТОГИ__по_Н,Р,Э,Q1"/>
      <sheetName val="эл_ст1"/>
      <sheetName val="Производство_электроэнергии1"/>
      <sheetName val="18_11"/>
      <sheetName val="19_1_11"/>
      <sheetName val="19_1_21"/>
      <sheetName val="19_21"/>
      <sheetName val="2_11"/>
      <sheetName val="21_11"/>
      <sheetName val="21_2_11"/>
      <sheetName val="21_2_21"/>
      <sheetName val="21_41"/>
      <sheetName val="28_31"/>
      <sheetName val="1_11"/>
      <sheetName val="1_21"/>
      <sheetName val="18_21"/>
      <sheetName val="2_21"/>
      <sheetName val="20_11"/>
      <sheetName val="21_31"/>
      <sheetName val="24_11"/>
      <sheetName val="25_11"/>
      <sheetName val="28_11"/>
      <sheetName val="28_21"/>
      <sheetName val="P2_11"/>
      <sheetName val="P2_21"/>
      <sheetName val="УЗ-21(1кв_)_(2)1"/>
      <sheetName val="УЗ-22(3кв_)_(2)1"/>
      <sheetName val="Калькуляция_кв1"/>
      <sheetName val="Balance_Sheet1"/>
      <sheetName val="инвестиции_20071"/>
      <sheetName val="хар-ка_земли_1_"/>
      <sheetName val="Приложение_1"/>
      <sheetName val="факт_2009_года"/>
      <sheetName val="Факт_2010_года"/>
      <sheetName val="План_на_2011_год"/>
      <sheetName val="1_111"/>
      <sheetName val="ф_2_за_4_кв_2005"/>
      <sheetName val="FEK_2002_Н"/>
      <sheetName val="Приложение_2_1"/>
      <sheetName val="17_1"/>
      <sheetName val="Услуги_ПХ"/>
      <sheetName val="Титульный_лист_С-П"/>
      <sheetName val="_накладные_расходы"/>
      <sheetName val="Ожид_ФР"/>
      <sheetName val="жилой_фонд"/>
      <sheetName val="Фин_план"/>
      <sheetName val="Свод__табл_2"/>
      <sheetName val="Отпуск_ээ2"/>
      <sheetName val="Вспом__мат-лы2"/>
      <sheetName val="Прочие_затраты2"/>
      <sheetName val="ИТОГИ__по_Н,Р,Э,Q2"/>
      <sheetName val="эл_ст2"/>
      <sheetName val="Производство_электроэнергии2"/>
      <sheetName val="18_12"/>
      <sheetName val="19_1_12"/>
      <sheetName val="19_1_22"/>
      <sheetName val="19_22"/>
      <sheetName val="2_12"/>
      <sheetName val="21_12"/>
      <sheetName val="21_2_12"/>
      <sheetName val="21_2_22"/>
      <sheetName val="21_42"/>
      <sheetName val="28_32"/>
      <sheetName val="1_12"/>
      <sheetName val="1_22"/>
      <sheetName val="18_22"/>
      <sheetName val="2_22"/>
      <sheetName val="20_12"/>
      <sheetName val="21_32"/>
      <sheetName val="24_12"/>
      <sheetName val="25_12"/>
      <sheetName val="28_12"/>
      <sheetName val="28_22"/>
      <sheetName val="P2_12"/>
      <sheetName val="P2_22"/>
      <sheetName val="УЗ-21(1кв_)_(2)2"/>
      <sheetName val="УЗ-22(3кв_)_(2)2"/>
      <sheetName val="Калькуляция_кв2"/>
      <sheetName val="Balance_Sheet2"/>
      <sheetName val="инвестиции_20072"/>
      <sheetName val="хар-ка_земли_1_1"/>
      <sheetName val="Приложение_11"/>
      <sheetName val="факт_2009_года1"/>
      <sheetName val="Факт_2010_года1"/>
      <sheetName val="План_на_2011_год1"/>
      <sheetName val="1_112"/>
      <sheetName val="ф_2_за_4_кв_20051"/>
      <sheetName val="FEK_2002_Н1"/>
      <sheetName val="Приложение_2_11"/>
      <sheetName val="17_11"/>
      <sheetName val="Услуги_ПХ1"/>
      <sheetName val="Титульный_лист_С-П1"/>
      <sheetName val="_накладные_расходы1"/>
      <sheetName val="Ожид_ФР1"/>
      <sheetName val="жилой_фонд1"/>
      <sheetName val="Фин_план1"/>
      <sheetName val="Свод__табл_3"/>
      <sheetName val="Отпуск_ээ3"/>
      <sheetName val="Вспом__мат-лы3"/>
      <sheetName val="Прочие_затраты3"/>
      <sheetName val="ИТОГИ__по_Н,Р,Э,Q3"/>
      <sheetName val="эл_ст3"/>
      <sheetName val="Производство_электроэнергии3"/>
      <sheetName val="18_13"/>
      <sheetName val="19_1_13"/>
      <sheetName val="19_1_23"/>
      <sheetName val="19_23"/>
      <sheetName val="2_13"/>
      <sheetName val="21_13"/>
      <sheetName val="21_2_13"/>
      <sheetName val="21_2_23"/>
      <sheetName val="21_43"/>
      <sheetName val="28_33"/>
      <sheetName val="1_13"/>
      <sheetName val="1_23"/>
      <sheetName val="18_23"/>
      <sheetName val="2_23"/>
      <sheetName val="20_13"/>
      <sheetName val="21_33"/>
      <sheetName val="24_13"/>
      <sheetName val="25_13"/>
      <sheetName val="28_13"/>
      <sheetName val="28_23"/>
      <sheetName val="P2_13"/>
      <sheetName val="P2_23"/>
      <sheetName val="УЗ-21(1кв_)_(2)3"/>
      <sheetName val="УЗ-22(3кв_)_(2)3"/>
      <sheetName val="Калькуляция_кв3"/>
      <sheetName val="Balance_Sheet3"/>
      <sheetName val="инвестиции_20073"/>
      <sheetName val="хар-ка_земли_1_2"/>
      <sheetName val="Приложение_12"/>
      <sheetName val="факт_2009_года2"/>
      <sheetName val="Факт_2010_года2"/>
      <sheetName val="План_на_2011_год2"/>
      <sheetName val="1_113"/>
      <sheetName val="ф_2_за_4_кв_20052"/>
      <sheetName val="FEK_2002_Н2"/>
      <sheetName val="Приложение_2_12"/>
      <sheetName val="17_12"/>
      <sheetName val="Услуги_ПХ2"/>
      <sheetName val="Титульный_лист_С-П2"/>
      <sheetName val="_накладные_расходы2"/>
      <sheetName val="Ожид_ФР2"/>
      <sheetName val="жилой_фонд2"/>
      <sheetName val="Фин_план2"/>
      <sheetName val="ИТ-бюджет"/>
      <sheetName val="ГПУ"/>
      <sheetName val="ДРЭУ"/>
      <sheetName val="МП"/>
      <sheetName val="МСЧ"/>
      <sheetName val="НГДУ"/>
      <sheetName val="РМУ"/>
      <sheetName val="РЭУ"/>
      <sheetName val="СБ"/>
      <sheetName val="СРТ"/>
      <sheetName val="УА"/>
      <sheetName val="УГРиЛМ"/>
      <sheetName val="УИиРС"/>
      <sheetName val="УИТ"/>
      <sheetName val="УНИПР"/>
      <sheetName val="УОМ"/>
      <sheetName val="УСО"/>
      <sheetName val="УТС"/>
      <sheetName val="УТТиСТ"/>
      <sheetName val="ЯРЭУ"/>
      <sheetName val="ЯСК"/>
      <sheetName val="Коды статей"/>
      <sheetName val="Дебет_Кредит"/>
      <sheetName val="ETС"/>
      <sheetName val="Исходные данные и тариф ЭЛЕКТР"/>
      <sheetName val="Детализация"/>
      <sheetName val="Справочник затрат_СБ"/>
      <sheetName val="Лизинг"/>
    </sheetNames>
    <sheetDataSet>
      <sheetData sheetId="0">
        <row r="2">
          <cell r="A2">
            <v>1.0489999999999999</v>
          </cell>
        </row>
      </sheetData>
      <sheetData sheetId="1">
        <row r="2">
          <cell r="A2">
            <v>1.0489999999999999</v>
          </cell>
        </row>
      </sheetData>
      <sheetData sheetId="2">
        <row r="2">
          <cell r="A2">
            <v>1.0489999999999999</v>
          </cell>
        </row>
      </sheetData>
      <sheetData sheetId="3">
        <row r="2">
          <cell r="A2">
            <v>1.0489999999999999</v>
          </cell>
        </row>
      </sheetData>
      <sheetData sheetId="4">
        <row r="2">
          <cell r="A2">
            <v>1.0489999999999999</v>
          </cell>
        </row>
      </sheetData>
      <sheetData sheetId="5">
        <row r="2">
          <cell r="A2">
            <v>1.0489999999999999</v>
          </cell>
        </row>
      </sheetData>
      <sheetData sheetId="6">
        <row r="2">
          <cell r="A2">
            <v>1.0489999999999999</v>
          </cell>
        </row>
      </sheetData>
      <sheetData sheetId="7">
        <row r="2">
          <cell r="A2">
            <v>1.0489999999999999</v>
          </cell>
        </row>
      </sheetData>
      <sheetData sheetId="8">
        <row r="2">
          <cell r="A2">
            <v>1.0489999999999999</v>
          </cell>
        </row>
      </sheetData>
      <sheetData sheetId="9">
        <row r="2">
          <cell r="A2">
            <v>1.0489999999999999</v>
          </cell>
        </row>
      </sheetData>
      <sheetData sheetId="10">
        <row r="2">
          <cell r="A2">
            <v>1.0489999999999999</v>
          </cell>
        </row>
      </sheetData>
      <sheetData sheetId="11" refreshError="1">
        <row r="2">
          <cell r="A2">
            <v>1.0489999999999999</v>
          </cell>
          <cell r="B2">
            <v>1.0860000000000001</v>
          </cell>
          <cell r="C2">
            <v>1.091</v>
          </cell>
          <cell r="D2">
            <v>1.1240000000000001</v>
          </cell>
        </row>
      </sheetData>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sheetData sheetId="80"/>
      <sheetData sheetId="81"/>
      <sheetData sheetId="82"/>
      <sheetData sheetId="83"/>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ЯНВ"/>
      <sheetName val="ФЕВ"/>
      <sheetName val="МАР"/>
      <sheetName val="АПР"/>
      <sheetName val="МАЙ"/>
      <sheetName val="ИЮН"/>
      <sheetName val="ИЮЛ"/>
      <sheetName val="АВГ"/>
      <sheetName val="СЕН"/>
      <sheetName val="ОКТ"/>
      <sheetName val="НОЯ"/>
      <sheetName val="ДЕК"/>
      <sheetName val="Регионы"/>
      <sheetName val="мощность"/>
      <sheetName val="Исходные"/>
      <sheetName val="Лист13"/>
      <sheetName val="Данные"/>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2">
          <cell r="A2" t="str">
            <v>Агинский Бурятский автономный округ</v>
          </cell>
        </row>
        <row r="3">
          <cell r="A3" t="str">
            <v>Алтайский край</v>
          </cell>
        </row>
        <row r="4">
          <cell r="A4" t="str">
            <v>Амурская область</v>
          </cell>
        </row>
        <row r="5">
          <cell r="A5" t="str">
            <v>Архангельская область</v>
          </cell>
        </row>
        <row r="6">
          <cell r="A6" t="str">
            <v>Астраханская область</v>
          </cell>
        </row>
        <row r="7">
          <cell r="A7" t="str">
            <v>г.Байконур</v>
          </cell>
        </row>
        <row r="8">
          <cell r="A8" t="str">
            <v>Белгородская область</v>
          </cell>
        </row>
        <row r="9">
          <cell r="A9" t="str">
            <v>Брянская область</v>
          </cell>
        </row>
        <row r="10">
          <cell r="A10" t="str">
            <v>Владимирская область</v>
          </cell>
        </row>
        <row r="11">
          <cell r="A11" t="str">
            <v>Волгоградская область</v>
          </cell>
        </row>
        <row r="12">
          <cell r="A12" t="str">
            <v>Вологодская область</v>
          </cell>
        </row>
        <row r="13">
          <cell r="A13" t="str">
            <v>Воронежская область</v>
          </cell>
        </row>
        <row r="14">
          <cell r="A14" t="str">
            <v>Еврейская автономная область</v>
          </cell>
        </row>
        <row r="15">
          <cell r="A15" t="str">
            <v>Ивановская область</v>
          </cell>
        </row>
        <row r="16">
          <cell r="A16" t="str">
            <v>Иркутская область</v>
          </cell>
        </row>
        <row r="17">
          <cell r="A17" t="str">
            <v>Кабардино-Балкарская республика</v>
          </cell>
        </row>
        <row r="18">
          <cell r="A18" t="str">
            <v>Калининградская область</v>
          </cell>
        </row>
        <row r="19">
          <cell r="A19" t="str">
            <v>Калужская область</v>
          </cell>
        </row>
        <row r="20">
          <cell r="A20" t="str">
            <v>Камчатская область</v>
          </cell>
        </row>
        <row r="21">
          <cell r="A21" t="str">
            <v>Карачаево-Черкесская республика</v>
          </cell>
        </row>
        <row r="22">
          <cell r="A22" t="str">
            <v>Кемеровская область</v>
          </cell>
        </row>
        <row r="23">
          <cell r="A23" t="str">
            <v>Кировская область</v>
          </cell>
        </row>
        <row r="24">
          <cell r="A24" t="str">
            <v>Корякский автономный округ</v>
          </cell>
        </row>
        <row r="25">
          <cell r="A25" t="str">
            <v>Костромская область</v>
          </cell>
        </row>
        <row r="26">
          <cell r="A26" t="str">
            <v>Краснодарский край</v>
          </cell>
        </row>
        <row r="27">
          <cell r="A27" t="str">
            <v>Красноярский край</v>
          </cell>
        </row>
        <row r="28">
          <cell r="A28" t="str">
            <v>Курганская область</v>
          </cell>
        </row>
        <row r="29">
          <cell r="A29" t="str">
            <v>Курская область</v>
          </cell>
        </row>
        <row r="30">
          <cell r="A30" t="str">
            <v>Ленинградская область</v>
          </cell>
        </row>
        <row r="31">
          <cell r="A31" t="str">
            <v>Липецкая область</v>
          </cell>
        </row>
        <row r="32">
          <cell r="A32" t="str">
            <v>Магаданская область</v>
          </cell>
        </row>
        <row r="33">
          <cell r="A33" t="str">
            <v>г. Москва и Московская область</v>
          </cell>
        </row>
        <row r="34">
          <cell r="A34" t="str">
            <v>Мурманская область</v>
          </cell>
        </row>
        <row r="35">
          <cell r="A35" t="str">
            <v>Ненецкий автономный округ</v>
          </cell>
        </row>
        <row r="36">
          <cell r="A36" t="str">
            <v>Нижегородская область</v>
          </cell>
        </row>
        <row r="37">
          <cell r="A37" t="str">
            <v>Новгородская область</v>
          </cell>
        </row>
        <row r="38">
          <cell r="A38" t="str">
            <v>Новосибирская область</v>
          </cell>
        </row>
        <row r="39">
          <cell r="A39" t="str">
            <v>Омская область</v>
          </cell>
        </row>
        <row r="40">
          <cell r="A40" t="str">
            <v>Оренбургская область</v>
          </cell>
        </row>
        <row r="41">
          <cell r="A41" t="str">
            <v>Орловская область</v>
          </cell>
        </row>
        <row r="42">
          <cell r="A42" t="str">
            <v>Пензенская область</v>
          </cell>
        </row>
        <row r="43">
          <cell r="A43" t="str">
            <v>Пермская область и Коми-Пермяцкий АО</v>
          </cell>
        </row>
        <row r="44">
          <cell r="A44" t="str">
            <v>Приморский край</v>
          </cell>
        </row>
        <row r="45">
          <cell r="A45" t="str">
            <v>Псковская область</v>
          </cell>
        </row>
        <row r="46">
          <cell r="A46" t="str">
            <v>Республика Адыгея</v>
          </cell>
        </row>
        <row r="47">
          <cell r="A47" t="str">
            <v>Республика Алтай</v>
          </cell>
        </row>
        <row r="48">
          <cell r="A48" t="str">
            <v>Республика Башкортостан</v>
          </cell>
        </row>
        <row r="49">
          <cell r="A49" t="str">
            <v>Республика Бурятия</v>
          </cell>
        </row>
        <row r="50">
          <cell r="A50" t="str">
            <v>Республика Дагестан</v>
          </cell>
        </row>
        <row r="51">
          <cell r="A51" t="str">
            <v>Республика Ингушетия</v>
          </cell>
        </row>
        <row r="52">
          <cell r="A52" t="str">
            <v>Республика Калмыкия</v>
          </cell>
        </row>
        <row r="53">
          <cell r="A53" t="str">
            <v>Республика Карелия</v>
          </cell>
        </row>
        <row r="54">
          <cell r="A54" t="str">
            <v>Республика Коми</v>
          </cell>
        </row>
        <row r="55">
          <cell r="A55" t="str">
            <v>Республика Марий Эл</v>
          </cell>
        </row>
        <row r="56">
          <cell r="A56" t="str">
            <v>Республика Мордовия</v>
          </cell>
        </row>
        <row r="57">
          <cell r="A57" t="str">
            <v>Республика Саха (Якутия)</v>
          </cell>
        </row>
        <row r="58">
          <cell r="A58" t="str">
            <v>Республика Северная Осетия-Алания</v>
          </cell>
        </row>
        <row r="59">
          <cell r="A59" t="str">
            <v>Республика Татарстан</v>
          </cell>
        </row>
        <row r="60">
          <cell r="A60" t="str">
            <v>Республика Тыва</v>
          </cell>
        </row>
        <row r="61">
          <cell r="A61" t="str">
            <v>Республика Хакасия</v>
          </cell>
        </row>
        <row r="62">
          <cell r="A62" t="str">
            <v>Ростовская область</v>
          </cell>
        </row>
        <row r="63">
          <cell r="A63" t="str">
            <v>Рязанская область</v>
          </cell>
        </row>
        <row r="64">
          <cell r="A64" t="str">
            <v>Самарская область</v>
          </cell>
        </row>
        <row r="65">
          <cell r="A65" t="str">
            <v>г. Санкт-Петербург и Ленинградская область</v>
          </cell>
        </row>
        <row r="66">
          <cell r="A66" t="str">
            <v>Саратовская область</v>
          </cell>
        </row>
        <row r="67">
          <cell r="A67" t="str">
            <v>Сахалинская область</v>
          </cell>
        </row>
        <row r="68">
          <cell r="A68" t="str">
            <v>Свердловская область</v>
          </cell>
        </row>
        <row r="69">
          <cell r="A69" t="str">
            <v>Смоленская область</v>
          </cell>
        </row>
        <row r="70">
          <cell r="A70" t="str">
            <v>Ставропольский край</v>
          </cell>
        </row>
        <row r="71">
          <cell r="A71" t="str">
            <v>Таймырский (Долгано-Ненецкий) автономный округ</v>
          </cell>
        </row>
        <row r="72">
          <cell r="A72" t="str">
            <v>Тамбовская область</v>
          </cell>
        </row>
        <row r="73">
          <cell r="A73" t="str">
            <v>Тверская область</v>
          </cell>
        </row>
        <row r="74">
          <cell r="A74" t="str">
            <v>Томская область</v>
          </cell>
        </row>
        <row r="75">
          <cell r="A75" t="str">
            <v>Тульская область</v>
          </cell>
        </row>
        <row r="76">
          <cell r="A76" t="str">
            <v>Тюменская область</v>
          </cell>
        </row>
        <row r="77">
          <cell r="A77" t="str">
            <v>Удмуртская республика</v>
          </cell>
        </row>
        <row r="78">
          <cell r="A78" t="str">
            <v>Ульяновская область</v>
          </cell>
        </row>
        <row r="79">
          <cell r="A79" t="str">
            <v>Усть-Ордынский Бурятский автономный округ</v>
          </cell>
        </row>
        <row r="80">
          <cell r="A80" t="str">
            <v>Хабаровский край</v>
          </cell>
        </row>
        <row r="81">
          <cell r="A81" t="str">
            <v>Ханты-Мансийский автономный округ</v>
          </cell>
        </row>
        <row r="82">
          <cell r="A82" t="str">
            <v>Челябинская область</v>
          </cell>
        </row>
        <row r="83">
          <cell r="A83" t="str">
            <v>Чеченская республика</v>
          </cell>
        </row>
        <row r="84">
          <cell r="A84" t="str">
            <v>Читинская область</v>
          </cell>
        </row>
        <row r="85">
          <cell r="A85" t="str">
            <v>Чувашская республика</v>
          </cell>
        </row>
        <row r="86">
          <cell r="A86" t="str">
            <v>Чукотский автономный округ</v>
          </cell>
        </row>
        <row r="87">
          <cell r="A87" t="str">
            <v>Ямало-Ненецкий автономный округ</v>
          </cell>
        </row>
        <row r="88">
          <cell r="A88" t="str">
            <v>Ярославская область</v>
          </cell>
        </row>
      </sheetData>
      <sheetData sheetId="14" refreshError="1"/>
      <sheetData sheetId="15" refreshError="1"/>
      <sheetData sheetId="16" refreshError="1"/>
      <sheetData sheetId="17"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 1.1.1"/>
      <sheetName val="П 1.1.2"/>
      <sheetName val="П 1.2.1"/>
      <sheetName val="П 1.2.2"/>
      <sheetName val="П 1.3"/>
      <sheetName val="П 1.4"/>
      <sheetName val="П 1.5"/>
      <sheetName val="Лист1 (2)"/>
      <sheetName val="П 1.6"/>
      <sheetName val="по1.6(сп)"/>
      <sheetName val="П 1.7"/>
      <sheetName val="П 1.8"/>
      <sheetName val="П 1.9"/>
      <sheetName val="П 1.10"/>
      <sheetName val="П 1.11"/>
      <sheetName val="П 1.12"/>
      <sheetName val="П 1.13"/>
      <sheetName val="П 1.14"/>
      <sheetName val="П 1.23"/>
      <sheetName val="аб_плата"/>
      <sheetName val="Трансп_ЭЭ"/>
      <sheetName val="П 1.16 (ФОТ)"/>
      <sheetName val="расх(почтамт)"/>
      <sheetName val="т1.15(смета8а)"/>
      <sheetName val="Прибыл"/>
      <sheetName val="расч_тар"/>
      <sheetName val="тар"/>
      <sheetName val="тт127"/>
      <sheetName val="П 1.15"/>
      <sheetName val="П 1.16"/>
      <sheetName val="выпад"/>
      <sheetName val="П 1.17"/>
      <sheetName val="П 1.17.1"/>
      <sheetName val="П 1.18"/>
      <sheetName val="П1.18.1"/>
      <sheetName val="П 1.18.2"/>
      <sheetName val="П 1.19"/>
      <sheetName val="П 1.19.1"/>
      <sheetName val="П 1.19.2"/>
      <sheetName val="П 1.20"/>
      <sheetName val="П 1.20.1"/>
      <sheetName val="П 1.20.2"/>
      <sheetName val="П 1.20.3"/>
      <sheetName val="П 1.20.4"/>
      <sheetName val="П 1.21"/>
      <sheetName val="П 1.21.1"/>
      <sheetName val="П 1.21.2"/>
      <sheetName val="П 1.21.3"/>
      <sheetName val="П 1.21.4"/>
      <sheetName val="П 1.22"/>
      <sheetName val="П 1.24"/>
      <sheetName val="П 1.24.1"/>
      <sheetName val="П 1.25"/>
      <sheetName val="П 1.26"/>
      <sheetName val="П 1.27"/>
      <sheetName val="П 1.28"/>
      <sheetName val="П 1.28.1"/>
      <sheetName val="П 1.28.2"/>
      <sheetName val="П 1.28.3"/>
      <sheetName val="П 1.29"/>
      <sheetName val="Лист13"/>
      <sheetName val="Вводные данные систем"/>
      <sheetName val="Настройки"/>
      <sheetName val="Справочники"/>
      <sheetName val="Заголовок"/>
      <sheetName val="эл ст"/>
      <sheetName val="ИТ-бюджет"/>
      <sheetName val="База по сделкам"/>
      <sheetName val="ИТОГИ  по Н,Р,Э,Q"/>
      <sheetName val="2002(v1)"/>
      <sheetName val="1.11"/>
      <sheetName val="FST5"/>
      <sheetName val="Исходные"/>
      <sheetName val="табл_мет_1"/>
      <sheetName val="1997"/>
      <sheetName val="1998"/>
      <sheetName val="Исходник"/>
      <sheetName val="штат"/>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Исходные"/>
      <sheetName val="Допущения"/>
      <sheetName val="Инвестиции"/>
      <sheetName val="Тарифы"/>
      <sheetName val="Финансы"/>
      <sheetName val="Данные"/>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Исходные"/>
      <sheetName val="Допущения"/>
      <sheetName val="Инвестиции"/>
      <sheetName val="Тарифы"/>
      <sheetName val="НВВ"/>
      <sheetName val="Финансы"/>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s>
    <sheetDataSet>
      <sheetData sheetId="0" refreshError="1"/>
      <sheetData sheetId="1" refreshError="1">
        <row r="5">
          <cell r="H5">
            <v>0.24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2007"/>
      <sheetName val="ЯНВ"/>
      <sheetName val="ФЕВ"/>
      <sheetName val="МАР"/>
      <sheetName val="АПР"/>
      <sheetName val="МАЙ"/>
      <sheetName val="ИЮН"/>
      <sheetName val="ИЮЛ"/>
      <sheetName val="АВГ"/>
      <sheetName val="СЕН"/>
      <sheetName val="ОКТ"/>
      <sheetName val="НОЯ"/>
      <sheetName val="ДЕК"/>
      <sheetName val="Регионы"/>
    </sheetNames>
    <sheetDataSet>
      <sheetData sheetId="0" refreshError="1"/>
      <sheetData sheetId="1">
        <row r="28">
          <cell r="A28" t="str">
            <v>ТЭЦ-1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s>
    <sheetDataSet>
      <sheetData sheetId="0"/>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спертиза"/>
      <sheetName val="п1.3."/>
      <sheetName val="п1.4."/>
      <sheetName val="мощн"/>
      <sheetName val="п1.5."/>
      <sheetName val="п 1.6."/>
      <sheetName val="амортиз по напряж."/>
      <sheetName val="п1.15."/>
      <sheetName val="проч"/>
      <sheetName val="п1.17."/>
      <sheetName val="п1.21.3"/>
      <sheetName val="п1.24. по 49-э 8"/>
      <sheetName val="распределение нвв"/>
      <sheetName val="п1.25."/>
      <sheetName val="расчет тарифов"/>
      <sheetName val="п2.2."/>
      <sheetName val="Регионы"/>
      <sheetName val="НВВ утв тариф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водные данные систем"/>
      <sheetName val="Базовые расходы (ЕИАС)"/>
      <sheetName val="Параметры"/>
      <sheetName val="Капитал"/>
      <sheetName val="Тариф"/>
      <sheetName val="Подстановка"/>
      <sheetName val="Итого с пилотами"/>
      <sheetName val="Служебное_1"/>
      <sheetName val="Слкжебное_2"/>
      <sheetName val="для ПЗ_1"/>
      <sheetName val="для ПЗ_2"/>
      <sheetName val="TEHSHEET"/>
      <sheetName val="2009"/>
      <sheetName val="14"/>
      <sheetName val="Лист"/>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s>
    <sheetDataSet>
      <sheetData sheetId="0" refreshError="1"/>
      <sheetData sheetId="1" refreshError="1"/>
      <sheetData sheetId="2" refreshError="1">
        <row r="37">
          <cell r="E37">
            <v>95.188674854791898</v>
          </cell>
          <cell r="F37">
            <v>105.054514260806</v>
          </cell>
          <cell r="G37">
            <v>102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ЧД3"/>
      <sheetName val="Темы"/>
      <sheetName val="Лист2"/>
      <sheetName val="ЧД2"/>
      <sheetName val="план 2000-3"/>
      <sheetName val="план 2000-2"/>
      <sheetName val="план 2000"/>
      <sheetName val="расшифровка"/>
      <sheetName val="расчет тарифов"/>
      <sheetName val="НП-2-12-П"/>
      <sheetName val="ИТ-бюджет"/>
      <sheetName val="Регионы"/>
      <sheetName val="pred"/>
      <sheetName val="Исходные"/>
      <sheetName val="РАСЧЕТ"/>
      <sheetName val="АНАЛИТ"/>
      <sheetName val="ПРОГНОЗ_1"/>
      <sheetName val="ф2"/>
      <sheetName val="Т2"/>
      <sheetName val="2007"/>
      <sheetName val="имена"/>
      <sheetName val="НВВ утв тарифы"/>
      <sheetName val="Справочники"/>
      <sheetName val="ОПТ"/>
      <sheetName val="Ф-2 (для АО-энерго)"/>
      <sheetName val="Смета"/>
      <sheetName val="Исходные данные и свод тарифов"/>
      <sheetName val="Temp_TOV"/>
      <sheetName val="По Концерну Экс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ьный лист"/>
      <sheetName val="Исходные данные (баланс)"/>
      <sheetName val="Содерж.сетей+потери"/>
      <sheetName val="Потери"/>
      <sheetName val="НВВ  "/>
      <sheetName val="Расходы_и_тариф_RAB"/>
      <sheetName val="Финпроекция_RAB"/>
      <sheetName val="RAB_критерии_индексация_2012"/>
      <sheetName val="Показатели_RAB"/>
      <sheetName val="1.1._к_порядку"/>
      <sheetName val="2.1. _к_порядку"/>
      <sheetName val="3_к_порядку"/>
      <sheetName val="4._к_порядку"/>
      <sheetName val="6._к_порядку"/>
    </sheetNames>
    <sheetDataSet>
      <sheetData sheetId="0">
        <row r="8">
          <cell r="K8">
            <v>1</v>
          </cell>
        </row>
      </sheetData>
      <sheetData sheetId="1">
        <row r="16">
          <cell r="B16">
            <v>4963.2299999999996</v>
          </cell>
        </row>
      </sheetData>
      <sheetData sheetId="2"/>
      <sheetData sheetId="3">
        <row r="21">
          <cell r="D21">
            <v>6869111.3716799999</v>
          </cell>
        </row>
      </sheetData>
      <sheetData sheetId="4">
        <row r="25">
          <cell r="D25" t="e">
            <v>#DIV/0!</v>
          </cell>
        </row>
      </sheetData>
      <sheetData sheetId="5"/>
      <sheetData sheetId="6"/>
      <sheetData sheetId="7"/>
      <sheetData sheetId="8"/>
      <sheetData sheetId="9"/>
      <sheetData sheetId="10"/>
      <sheetData sheetId="11"/>
      <sheetData sheetId="12"/>
      <sheetData sheetId="13"/>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Лист3"/>
      <sheetName val="Книга1"/>
      <sheetName val="план 2000"/>
      <sheetName val="расчет тарифов"/>
      <sheetName val="Исходные"/>
      <sheetName val="Расчет расходов"/>
      <sheetName val="ИТ-бюджет"/>
      <sheetName val="Пояснение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Лист3"/>
    </sheetNames>
    <sheetDataSet>
      <sheetData sheetId="0">
        <row r="10">
          <cell r="D10">
            <v>2963716.16</v>
          </cell>
        </row>
      </sheetData>
      <sheetData sheetId="1"/>
      <sheetData sheetId="2"/>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инд. тарифы"/>
      <sheetName val="1.2, Балансовые показатели"/>
      <sheetName val="1.1.доходы по единым котловым"/>
      <sheetName val="2. долгоср.параметры"/>
      <sheetName val="3. П.1.1.2 баланс мощности"/>
      <sheetName val="П1.3 тех.расход потерь"/>
      <sheetName val="П1.4 баланс электроэнергии"/>
      <sheetName val="П1.5 мощность"/>
      <sheetName val="П1.6 полезный отпуск"/>
      <sheetName val="П1.30 отпсук эл_эн"/>
      <sheetName val="максим мощность"/>
      <sheetName val="максим мощность без Кр. пол."/>
      <sheetName val="4. Выпадающие 2012_2014"/>
      <sheetName val="доп_аналитика НВВ"/>
      <sheetName val="5. подк.неподк."/>
      <sheetName val="приобр.имущ."/>
      <sheetName val="бездоговорное"/>
      <sheetName val="приобр.обор."/>
      <sheetName val="5. Расчет для выпадающих"/>
      <sheetName val="амортизация"/>
      <sheetName val="рем.прогр."/>
      <sheetName val="автотр."/>
      <sheetName val="антитеррор"/>
      <sheetName val="тех.док."/>
      <sheetName val="аттестация ЭТЛ"/>
      <sheetName val="сертиф и инспек."/>
      <sheetName val="инспек.контроль"/>
      <sheetName val="трансп.усл."/>
      <sheetName val="НИР"/>
      <sheetName val="госпошлина"/>
      <sheetName val="налоги"/>
      <sheetName val="суд.издер."/>
      <sheetName val="штрафы"/>
      <sheetName val="проценты"/>
      <sheetName val="5. Реестр выпадающих доходов"/>
      <sheetName val="6. Расчет выпадающих по потерям"/>
      <sheetName val="7.1 Выпадающие ИП 2012"/>
      <sheetName val="Расчет процентов"/>
      <sheetName val="7.2 Выпадающие ИП 2013"/>
      <sheetName val="расшиф."/>
      <sheetName val="Досуд. спор"/>
      <sheetName val="УЕ ВЛ, КЛ 2015_2019"/>
      <sheetName val="6. УЕ ВЛ,КЛ на 2016-1 вар"/>
      <sheetName val="УЕ ТП,КТП 2015_2019"/>
      <sheetName val="6. 1 УЕ ТП,КТП на 2016-1 вар"/>
      <sheetName val="5.1 отклонения"/>
      <sheetName val="6. расчет УЕ"/>
      <sheetName val="форма 1.3"/>
      <sheetName val="форма 1.6"/>
      <sheetName val="потери 2013"/>
      <sheetName val="потери 2014"/>
      <sheetName val="5.1. отклонения"/>
      <sheetName val="выпадающие по ИП 2012"/>
      <sheetName val="выпадающие по ИП 2013"/>
      <sheetName val="выпадающие по ИП 2014"/>
      <sheetName val="Лист3"/>
    </sheetNames>
    <sheetDataSet>
      <sheetData sheetId="0">
        <row r="91">
          <cell r="T91">
            <v>4460.0326499999992</v>
          </cell>
        </row>
        <row r="94">
          <cell r="T94">
            <v>1271.1401349999999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92">
          <cell r="Z92">
            <v>368373.10943581146</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107">
          <cell r="H107">
            <v>98245.424199999994</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Выпадающие 2014"/>
      <sheetName val="2. подк.неподк."/>
      <sheetName val="2.1. отклонения"/>
      <sheetName val="3. НВВ "/>
      <sheetName val="приобр.имущ."/>
      <sheetName val="бездоговорное"/>
      <sheetName val="приобр.обор."/>
      <sheetName val="5. Расчет для выпадающих"/>
      <sheetName val="амортизация"/>
      <sheetName val="рем.прогр."/>
      <sheetName val="автотр."/>
      <sheetName val="антитеррор"/>
      <sheetName val="тех.док."/>
      <sheetName val="аттестация ЭТЛ"/>
      <sheetName val="сертиф и инспек."/>
      <sheetName val="инспек.контроль"/>
      <sheetName val="трансп.усл."/>
      <sheetName val="НИР"/>
      <sheetName val="госпошлина"/>
      <sheetName val="налоги"/>
      <sheetName val="суд.издер."/>
      <sheetName val="штрафы"/>
      <sheetName val="проценты"/>
      <sheetName val="5. Реестр выпадающих доходов"/>
      <sheetName val="6. Расчет выпадающих по потерям"/>
      <sheetName val="7.1 Выпадающие ИП 2012"/>
      <sheetName val="Расчет процентов"/>
      <sheetName val="7.2 Выпадающие ИП 2013"/>
      <sheetName val="расшиф."/>
      <sheetName val="Досуд. спор"/>
      <sheetName val="форма 1.3"/>
      <sheetName val="форма 1.6"/>
      <sheetName val="БДР по видам деятельности 2013"/>
      <sheetName val="БДР по видам деятельности 2014"/>
      <sheetName val="потери 2013"/>
      <sheetName val="потери 2014"/>
      <sheetName val="выпадающие по ИП 2012"/>
      <sheetName val="выпадающие по ИП 2013"/>
      <sheetName val="выпадающие по ИП 2014"/>
      <sheetName val="Лист3"/>
    </sheetNames>
    <sheetDataSet>
      <sheetData sheetId="0" refreshError="1"/>
      <sheetData sheetId="1" refreshError="1">
        <row r="19">
          <cell r="V19">
            <v>348.81882822116933</v>
          </cell>
          <cell r="W19">
            <v>364.5156754911219</v>
          </cell>
          <cell r="X19">
            <v>969.85746178841623</v>
          </cell>
        </row>
        <row r="20">
          <cell r="V20">
            <v>388.39244749999989</v>
          </cell>
          <cell r="W20">
            <v>405.87010763749987</v>
          </cell>
          <cell r="X20">
            <v>1945.5006796043717</v>
          </cell>
        </row>
        <row r="21">
          <cell r="V21">
            <v>12141.517237820053</v>
          </cell>
          <cell r="W21">
            <v>12687.885513521955</v>
          </cell>
          <cell r="X21">
            <v>19441.68</v>
          </cell>
        </row>
        <row r="23">
          <cell r="V23">
            <v>2045.6766499999999</v>
          </cell>
          <cell r="W23">
            <v>2137.7320992499999</v>
          </cell>
          <cell r="X23">
            <v>2858.98</v>
          </cell>
        </row>
        <row r="24">
          <cell r="V24">
            <v>259.14756249999999</v>
          </cell>
          <cell r="W24">
            <v>270.80920281249996</v>
          </cell>
          <cell r="X24">
            <v>357.37099999999998</v>
          </cell>
        </row>
        <row r="25">
          <cell r="V25">
            <v>1821.5054602999996</v>
          </cell>
          <cell r="W25">
            <v>1903.4732060134995</v>
          </cell>
          <cell r="X25">
            <v>1903.4732060134995</v>
          </cell>
        </row>
        <row r="26">
          <cell r="V26">
            <v>701.39495933169087</v>
          </cell>
          <cell r="W26">
            <v>732.95773250161687</v>
          </cell>
          <cell r="X26">
            <v>796.94</v>
          </cell>
        </row>
        <row r="27">
          <cell r="V27">
            <v>0</v>
          </cell>
          <cell r="W27">
            <v>0</v>
          </cell>
          <cell r="X27">
            <v>1169.28</v>
          </cell>
        </row>
        <row r="28">
          <cell r="V28">
            <v>46.465101249999996</v>
          </cell>
          <cell r="W28">
            <v>48.556030806249993</v>
          </cell>
          <cell r="X28">
            <v>95.44</v>
          </cell>
        </row>
        <row r="29">
          <cell r="V29">
            <v>0</v>
          </cell>
          <cell r="W29">
            <v>724.28721275624991</v>
          </cell>
        </row>
        <row r="31">
          <cell r="V31">
            <v>624.25084002140966</v>
          </cell>
          <cell r="W31">
            <v>652.34212782237307</v>
          </cell>
          <cell r="X31">
            <v>752.11</v>
          </cell>
        </row>
        <row r="32">
          <cell r="V32">
            <v>1791.1896697871937</v>
          </cell>
          <cell r="W32">
            <v>1871.7932049276174</v>
          </cell>
          <cell r="X32">
            <v>2102.98</v>
          </cell>
        </row>
        <row r="33">
          <cell r="V33">
            <v>3475.4291426167297</v>
          </cell>
          <cell r="W33">
            <v>3631.8234540344824</v>
          </cell>
          <cell r="X33">
            <v>7141.74</v>
          </cell>
        </row>
        <row r="35">
          <cell r="V35">
            <v>25.359034999999999</v>
          </cell>
          <cell r="W35">
            <v>26.500191574999995</v>
          </cell>
          <cell r="X35">
            <v>26.500191574999995</v>
          </cell>
        </row>
        <row r="36">
          <cell r="V36">
            <v>374.26</v>
          </cell>
          <cell r="W36">
            <v>391.10169999999994</v>
          </cell>
          <cell r="X36">
            <v>391.10169999999994</v>
          </cell>
        </row>
        <row r="37">
          <cell r="V37">
            <v>694.85570499999994</v>
          </cell>
          <cell r="W37">
            <v>726.1242117249999</v>
          </cell>
          <cell r="X37">
            <v>2648.1181891200004</v>
          </cell>
        </row>
        <row r="38">
          <cell r="V38">
            <v>3975.9146837033086</v>
          </cell>
          <cell r="W38">
            <v>4154.8308444699569</v>
          </cell>
          <cell r="X38">
            <v>4167.5502868800004</v>
          </cell>
        </row>
        <row r="39">
          <cell r="V39">
            <v>724.19</v>
          </cell>
          <cell r="W39">
            <v>756.77855</v>
          </cell>
          <cell r="X39">
            <v>853.81099008000001</v>
          </cell>
        </row>
        <row r="41">
          <cell r="V41">
            <v>30.224431249999995</v>
          </cell>
          <cell r="W41">
            <v>31.584530656249992</v>
          </cell>
          <cell r="X41">
            <v>58.22</v>
          </cell>
        </row>
        <row r="42">
          <cell r="V42">
            <v>940.37583908140573</v>
          </cell>
          <cell r="W42">
            <v>982.69275184006892</v>
          </cell>
          <cell r="X42">
            <v>2359.31</v>
          </cell>
        </row>
        <row r="43">
          <cell r="V43">
            <v>161.51074124999997</v>
          </cell>
          <cell r="W43">
            <v>168.77872460624997</v>
          </cell>
          <cell r="X43">
            <v>249.38</v>
          </cell>
        </row>
        <row r="45">
          <cell r="V45">
            <v>76119.759441249989</v>
          </cell>
          <cell r="W45">
            <v>79545.148616106235</v>
          </cell>
          <cell r="X45">
            <v>110116.09748383379</v>
          </cell>
        </row>
        <row r="46">
          <cell r="V46">
            <v>51759.94</v>
          </cell>
          <cell r="W46">
            <v>54089.137300000002</v>
          </cell>
          <cell r="X46">
            <v>54089.137300000002</v>
          </cell>
        </row>
        <row r="47">
          <cell r="V47">
            <v>0</v>
          </cell>
          <cell r="W47">
            <v>0</v>
          </cell>
          <cell r="X47">
            <v>47.856180960000003</v>
          </cell>
        </row>
        <row r="48">
          <cell r="V48">
            <v>0</v>
          </cell>
          <cell r="W48">
            <v>0</v>
          </cell>
          <cell r="X48">
            <v>3923.2491927474757</v>
          </cell>
        </row>
        <row r="50">
          <cell r="V50">
            <v>3488.2100781781592</v>
          </cell>
          <cell r="W50">
            <v>3645.1795316961761</v>
          </cell>
          <cell r="X50">
            <v>5604.3094556515098</v>
          </cell>
        </row>
        <row r="51">
          <cell r="V51">
            <v>334.28</v>
          </cell>
          <cell r="W51">
            <v>349.32259999999997</v>
          </cell>
          <cell r="X51">
            <v>435.48975999999999</v>
          </cell>
        </row>
        <row r="52">
          <cell r="V52">
            <v>748.4853196020216</v>
          </cell>
          <cell r="W52">
            <v>782.16715898411258</v>
          </cell>
          <cell r="X52">
            <v>1987.3</v>
          </cell>
        </row>
        <row r="54">
          <cell r="V54">
            <v>819.04701919701756</v>
          </cell>
          <cell r="W54">
            <v>855.90413506088328</v>
          </cell>
          <cell r="X54">
            <v>1620.9</v>
          </cell>
        </row>
        <row r="55">
          <cell r="V55">
            <v>0</v>
          </cell>
          <cell r="W55">
            <v>0</v>
          </cell>
          <cell r="X55">
            <v>27574</v>
          </cell>
        </row>
        <row r="56">
          <cell r="V56">
            <v>1546.0618824999997</v>
          </cell>
          <cell r="W56">
            <v>1615.6346672124996</v>
          </cell>
          <cell r="X56">
            <v>5028.3</v>
          </cell>
        </row>
        <row r="57">
          <cell r="V57">
            <v>3871.6464427678188</v>
          </cell>
          <cell r="W57">
            <v>4045.8705326923705</v>
          </cell>
          <cell r="X57">
            <v>21477.1</v>
          </cell>
        </row>
        <row r="59">
          <cell r="V59">
            <v>443.79445375</v>
          </cell>
          <cell r="W59">
            <v>463.76520416874996</v>
          </cell>
          <cell r="X59">
            <v>3443.1847370314235</v>
          </cell>
        </row>
        <row r="60">
          <cell r="V60">
            <v>652.8742919887078</v>
          </cell>
          <cell r="W60">
            <v>682.25363512819956</v>
          </cell>
          <cell r="X60">
            <v>682.25363512819956</v>
          </cell>
        </row>
        <row r="61">
          <cell r="V61">
            <v>332.28528766139226</v>
          </cell>
          <cell r="W61">
            <v>347.23812560615488</v>
          </cell>
          <cell r="X61">
            <v>1158.55</v>
          </cell>
        </row>
        <row r="62">
          <cell r="V62">
            <v>3885.117150873873</v>
          </cell>
          <cell r="W62">
            <v>4059.9474226631969</v>
          </cell>
          <cell r="X62">
            <v>5042.1680000000006</v>
          </cell>
        </row>
        <row r="63">
          <cell r="V63">
            <v>4451.0308659483044</v>
          </cell>
          <cell r="W63">
            <v>4651.3272549159774</v>
          </cell>
          <cell r="X63">
            <v>5439.2998439999992</v>
          </cell>
        </row>
        <row r="64">
          <cell r="V64">
            <v>62.34</v>
          </cell>
          <cell r="W64">
            <v>65.145300000000006</v>
          </cell>
          <cell r="X64">
            <v>101.803</v>
          </cell>
        </row>
        <row r="65">
          <cell r="V65">
            <v>2223.8376649999996</v>
          </cell>
          <cell r="W65">
            <v>2323.9103599249993</v>
          </cell>
          <cell r="X65">
            <v>10791.408170000001</v>
          </cell>
        </row>
        <row r="66">
          <cell r="V66">
            <v>111.51009838930725</v>
          </cell>
          <cell r="W66">
            <v>116.52805281682606</v>
          </cell>
          <cell r="X66">
            <v>176.96</v>
          </cell>
        </row>
        <row r="68">
          <cell r="V68">
            <v>808.67313777138361</v>
          </cell>
          <cell r="W68">
            <v>845.06</v>
          </cell>
          <cell r="X68">
            <v>1127.56</v>
          </cell>
        </row>
        <row r="69">
          <cell r="V69">
            <v>0</v>
          </cell>
          <cell r="W69">
            <v>0</v>
          </cell>
          <cell r="X69">
            <v>1129.92</v>
          </cell>
        </row>
        <row r="70">
          <cell r="V70">
            <v>8.9142224999999993</v>
          </cell>
          <cell r="W70">
            <v>9.3153625124999984</v>
          </cell>
          <cell r="X70">
            <v>23.656956319999999</v>
          </cell>
        </row>
        <row r="71">
          <cell r="V71">
            <v>0</v>
          </cell>
          <cell r="W71">
            <v>0</v>
          </cell>
          <cell r="X71">
            <v>19407.099999999999</v>
          </cell>
        </row>
        <row r="76">
          <cell r="V76">
            <v>0</v>
          </cell>
          <cell r="W76">
            <v>0</v>
          </cell>
          <cell r="X76">
            <v>1392.1415932800003</v>
          </cell>
        </row>
        <row r="77">
          <cell r="V77">
            <v>0</v>
          </cell>
          <cell r="W77">
            <v>0</v>
          </cell>
          <cell r="X77">
            <v>167.30650800000001</v>
          </cell>
        </row>
        <row r="80">
          <cell r="V80">
            <v>0</v>
          </cell>
          <cell r="W80">
            <v>0</v>
          </cell>
          <cell r="X80">
            <v>3217.11</v>
          </cell>
        </row>
        <row r="81">
          <cell r="V81">
            <v>3222.1738787499994</v>
          </cell>
          <cell r="W81">
            <v>3273.0590032937498</v>
          </cell>
          <cell r="X81">
            <v>7731.9652857600013</v>
          </cell>
        </row>
        <row r="82">
          <cell r="V82">
            <v>58417.249008176252</v>
          </cell>
          <cell r="W82">
            <v>61140.137913544233</v>
          </cell>
          <cell r="X82">
            <v>80294.308680529488</v>
          </cell>
        </row>
        <row r="83">
          <cell r="V83">
            <v>962477.4773477799</v>
          </cell>
          <cell r="W83">
            <v>1005788.9638284299</v>
          </cell>
          <cell r="X83">
            <v>1961467.5</v>
          </cell>
        </row>
        <row r="85">
          <cell r="V85">
            <v>0</v>
          </cell>
          <cell r="W85">
            <v>0</v>
          </cell>
          <cell r="X85">
            <v>100</v>
          </cell>
        </row>
        <row r="86">
          <cell r="V86">
            <v>0</v>
          </cell>
          <cell r="W86">
            <v>0</v>
          </cell>
          <cell r="X86">
            <v>215</v>
          </cell>
        </row>
        <row r="87">
          <cell r="V87">
            <v>436.09</v>
          </cell>
          <cell r="W87">
            <v>455.71404999999993</v>
          </cell>
          <cell r="X87">
            <v>526.22</v>
          </cell>
        </row>
        <row r="88">
          <cell r="V88">
            <v>994.65</v>
          </cell>
          <cell r="W88">
            <v>1039.4092499999999</v>
          </cell>
          <cell r="X88">
            <v>1997.85</v>
          </cell>
        </row>
        <row r="89">
          <cell r="V89">
            <v>37214.33</v>
          </cell>
          <cell r="W89">
            <v>38888.974849999999</v>
          </cell>
          <cell r="X89">
            <v>69231.839999999997</v>
          </cell>
        </row>
        <row r="90">
          <cell r="X90">
            <v>69231.839999999997</v>
          </cell>
        </row>
        <row r="91">
          <cell r="V91">
            <v>0</v>
          </cell>
          <cell r="W91">
            <v>0</v>
          </cell>
          <cell r="X91">
            <v>559</v>
          </cell>
        </row>
        <row r="92">
          <cell r="V92">
            <v>954.12</v>
          </cell>
          <cell r="W92">
            <v>997.05539999999996</v>
          </cell>
          <cell r="X92">
            <v>1996.8</v>
          </cell>
        </row>
        <row r="93">
          <cell r="V93">
            <v>145.52000000000001</v>
          </cell>
          <cell r="W93">
            <v>152.0684</v>
          </cell>
          <cell r="X93">
            <v>336.2</v>
          </cell>
        </row>
        <row r="94">
          <cell r="V94">
            <v>655.66</v>
          </cell>
          <cell r="W94">
            <v>685.16469999999993</v>
          </cell>
          <cell r="X94">
            <v>1245.3</v>
          </cell>
        </row>
        <row r="95">
          <cell r="V95">
            <v>0.79</v>
          </cell>
          <cell r="W95">
            <v>0.82555000000000001</v>
          </cell>
          <cell r="X95">
            <v>3.3</v>
          </cell>
        </row>
        <row r="96">
          <cell r="V96">
            <v>879.75</v>
          </cell>
          <cell r="W96">
            <v>919.33874999999989</v>
          </cell>
          <cell r="X96">
            <v>2350.3000000000002</v>
          </cell>
        </row>
        <row r="97">
          <cell r="V97">
            <v>1541.56</v>
          </cell>
          <cell r="W97">
            <v>1610.9301999999998</v>
          </cell>
          <cell r="X97">
            <v>1470</v>
          </cell>
        </row>
        <row r="98">
          <cell r="V98">
            <v>0</v>
          </cell>
          <cell r="W98">
            <v>0</v>
          </cell>
          <cell r="X98">
            <v>1120</v>
          </cell>
        </row>
        <row r="99">
          <cell r="V99">
            <v>158.29</v>
          </cell>
          <cell r="W99">
            <v>165.41304999999997</v>
          </cell>
          <cell r="X99">
            <v>322.39999999999998</v>
          </cell>
        </row>
        <row r="100">
          <cell r="V100">
            <v>0</v>
          </cell>
          <cell r="W100">
            <v>0</v>
          </cell>
          <cell r="X100">
            <v>0</v>
          </cell>
        </row>
        <row r="103">
          <cell r="V103">
            <v>32447.679169999996</v>
          </cell>
          <cell r="W103">
            <v>33907.824732649991</v>
          </cell>
          <cell r="X103">
            <v>109702.51</v>
          </cell>
        </row>
        <row r="104">
          <cell r="V104">
            <v>15673.24</v>
          </cell>
          <cell r="W104">
            <v>16378.535799999998</v>
          </cell>
          <cell r="X104">
            <v>31725.15</v>
          </cell>
        </row>
        <row r="105">
          <cell r="V105">
            <v>816.06</v>
          </cell>
          <cell r="W105">
            <v>852.78269999999986</v>
          </cell>
          <cell r="X105">
            <v>2142.91</v>
          </cell>
        </row>
        <row r="106">
          <cell r="V106">
            <v>7579.7429775000001</v>
          </cell>
          <cell r="W106">
            <v>7920.8314114874993</v>
          </cell>
          <cell r="X106">
            <v>10806.28</v>
          </cell>
        </row>
        <row r="107">
          <cell r="V107">
            <v>52.5</v>
          </cell>
          <cell r="W107">
            <v>54.86</v>
          </cell>
          <cell r="X107">
            <v>55.2</v>
          </cell>
        </row>
        <row r="109">
          <cell r="V109">
            <v>0</v>
          </cell>
          <cell r="W109">
            <v>0</v>
          </cell>
          <cell r="X109">
            <v>1240.45</v>
          </cell>
        </row>
        <row r="110">
          <cell r="V110">
            <v>9759.2476962500004</v>
          </cell>
          <cell r="W110">
            <v>10198.413842581249</v>
          </cell>
          <cell r="X110">
            <v>12039.995869574399</v>
          </cell>
        </row>
        <row r="111">
          <cell r="V111">
            <v>1068</v>
          </cell>
          <cell r="W111">
            <v>1116.06</v>
          </cell>
          <cell r="X111">
            <v>9608.237127360002</v>
          </cell>
        </row>
        <row r="112">
          <cell r="V112">
            <v>4093.0767910949003</v>
          </cell>
          <cell r="W112">
            <v>4277.2652466941709</v>
          </cell>
          <cell r="X112">
            <v>6588.2101073927042</v>
          </cell>
        </row>
        <row r="113">
          <cell r="V113">
            <v>148.32086749999996</v>
          </cell>
          <cell r="W113">
            <v>154.99530653749994</v>
          </cell>
          <cell r="X113">
            <v>433</v>
          </cell>
        </row>
        <row r="114">
          <cell r="V114">
            <v>1550.6839220379297</v>
          </cell>
          <cell r="W114">
            <v>1620.4646985296365</v>
          </cell>
          <cell r="X114">
            <v>1768.2932799999999</v>
          </cell>
        </row>
        <row r="115">
          <cell r="V115">
            <v>280.93020235999995</v>
          </cell>
          <cell r="W115">
            <v>293.57206146619995</v>
          </cell>
          <cell r="X115">
            <v>390.38</v>
          </cell>
        </row>
        <row r="116">
          <cell r="V116">
            <v>558.94216499999993</v>
          </cell>
          <cell r="W116">
            <v>584.09456242499994</v>
          </cell>
          <cell r="X116">
            <v>798.37</v>
          </cell>
        </row>
        <row r="120">
          <cell r="V120">
            <v>4024.987161123061</v>
          </cell>
          <cell r="W120">
            <v>4206.1115833735985</v>
          </cell>
          <cell r="X120">
            <v>5767.3471704000003</v>
          </cell>
        </row>
        <row r="121">
          <cell r="V121">
            <v>2444.4438537721167</v>
          </cell>
          <cell r="W121">
            <v>2554.4438271918616</v>
          </cell>
          <cell r="X121">
            <v>3117.5947190400002</v>
          </cell>
        </row>
        <row r="122">
          <cell r="V122">
            <v>1467.9660349999997</v>
          </cell>
          <cell r="W122">
            <v>1534.0245065749996</v>
          </cell>
          <cell r="X122">
            <v>1534.0245065749996</v>
          </cell>
        </row>
        <row r="123">
          <cell r="V123">
            <v>200.14</v>
          </cell>
          <cell r="W123">
            <v>209.14629999999997</v>
          </cell>
          <cell r="X123">
            <v>209.14629999999997</v>
          </cell>
        </row>
        <row r="124">
          <cell r="V124">
            <v>139.06640749999997</v>
          </cell>
          <cell r="W124">
            <v>145.32439583749996</v>
          </cell>
          <cell r="X124">
            <v>3763.1256599999997</v>
          </cell>
        </row>
        <row r="125">
          <cell r="V125">
            <v>5332.2521217373433</v>
          </cell>
          <cell r="W125">
            <v>5572.2034672155232</v>
          </cell>
          <cell r="X125">
            <v>5572.2034672155232</v>
          </cell>
        </row>
        <row r="126">
          <cell r="V126">
            <v>800</v>
          </cell>
          <cell r="W126">
            <v>836</v>
          </cell>
          <cell r="X126">
            <v>836</v>
          </cell>
        </row>
        <row r="127">
          <cell r="V127">
            <v>70.047904199770684</v>
          </cell>
          <cell r="W127">
            <v>73.200059888760364</v>
          </cell>
          <cell r="X127">
            <v>73.200059888760364</v>
          </cell>
        </row>
        <row r="128">
          <cell r="V128">
            <v>0</v>
          </cell>
          <cell r="W128">
            <v>0</v>
          </cell>
          <cell r="X128">
            <v>0.66239999999999999</v>
          </cell>
        </row>
        <row r="130">
          <cell r="V130">
            <v>18308.048922764599</v>
          </cell>
          <cell r="W130">
            <v>19131.911124289007</v>
          </cell>
          <cell r="X130">
            <v>24542.5975</v>
          </cell>
        </row>
        <row r="132">
          <cell r="V132">
            <v>18717.472600651665</v>
          </cell>
          <cell r="W132">
            <v>19559.75886768099</v>
          </cell>
          <cell r="X132">
            <v>19559.75886768099</v>
          </cell>
        </row>
        <row r="133">
          <cell r="V133">
            <v>60815.949549348334</v>
          </cell>
          <cell r="W133">
            <v>63552.667279069006</v>
          </cell>
          <cell r="X133">
            <v>63552.667279069006</v>
          </cell>
        </row>
        <row r="134">
          <cell r="V134">
            <v>0</v>
          </cell>
          <cell r="W134">
            <v>0</v>
          </cell>
          <cell r="X134">
            <v>0</v>
          </cell>
        </row>
        <row r="135">
          <cell r="V135">
            <v>0</v>
          </cell>
          <cell r="W135">
            <v>0</v>
          </cell>
          <cell r="X135">
            <v>130</v>
          </cell>
        </row>
        <row r="137">
          <cell r="V137">
            <v>1083.1368500000001</v>
          </cell>
          <cell r="W137">
            <v>1131.87800825</v>
          </cell>
          <cell r="X137">
            <v>1131.87800825</v>
          </cell>
        </row>
        <row r="138">
          <cell r="V138">
            <v>1083.1368500000001</v>
          </cell>
          <cell r="W138">
            <v>1131.87800825</v>
          </cell>
          <cell r="X138">
            <v>1131.87800825</v>
          </cell>
        </row>
        <row r="140">
          <cell r="V140">
            <v>25.903414999999995</v>
          </cell>
          <cell r="W140">
            <v>27.069068674999993</v>
          </cell>
          <cell r="X140">
            <v>228.09</v>
          </cell>
        </row>
        <row r="142">
          <cell r="V142">
            <v>65091.762081356239</v>
          </cell>
          <cell r="W142">
            <v>68020.891375017265</v>
          </cell>
          <cell r="X142">
            <v>68020.891375017265</v>
          </cell>
        </row>
        <row r="143">
          <cell r="V143">
            <v>1876.7387087499999</v>
          </cell>
          <cell r="W143">
            <v>1961.1919506437498</v>
          </cell>
          <cell r="X143">
            <v>1961.1919506437498</v>
          </cell>
        </row>
        <row r="144">
          <cell r="V144">
            <v>722.06336374999989</v>
          </cell>
          <cell r="W144">
            <v>754.55621511874983</v>
          </cell>
          <cell r="X144">
            <v>2253.75</v>
          </cell>
        </row>
        <row r="145">
          <cell r="V145">
            <v>137.19345893796066</v>
          </cell>
          <cell r="W145">
            <v>143.36716459016887</v>
          </cell>
          <cell r="X145">
            <v>2475.7419199999999</v>
          </cell>
        </row>
        <row r="146">
          <cell r="V146">
            <v>1007.38653125</v>
          </cell>
          <cell r="W146">
            <v>1052.71892515625</v>
          </cell>
          <cell r="X146">
            <v>1506.84509267712</v>
          </cell>
        </row>
        <row r="147">
          <cell r="V147">
            <v>2894.3329136414918</v>
          </cell>
          <cell r="W147">
            <v>3024.5778947553586</v>
          </cell>
          <cell r="X147">
            <v>3024.5778947553586</v>
          </cell>
        </row>
        <row r="149">
          <cell r="V149">
            <v>1635.16</v>
          </cell>
          <cell r="W149">
            <v>1708.7394751625</v>
          </cell>
          <cell r="X149">
            <v>1708.7394751625</v>
          </cell>
        </row>
        <row r="150">
          <cell r="V150">
            <v>531.14476124999999</v>
          </cell>
          <cell r="W150">
            <v>555.04627550624991</v>
          </cell>
          <cell r="X150">
            <v>2354.6471200000005</v>
          </cell>
        </row>
        <row r="151">
          <cell r="V151">
            <v>558.94216499999993</v>
          </cell>
          <cell r="W151">
            <v>584.09456242499994</v>
          </cell>
          <cell r="X151">
            <v>48031.428820479996</v>
          </cell>
        </row>
        <row r="152">
          <cell r="V152">
            <v>0</v>
          </cell>
          <cell r="W152">
            <v>0</v>
          </cell>
          <cell r="X152">
            <v>0.79525536000000008</v>
          </cell>
        </row>
        <row r="153">
          <cell r="V153">
            <v>197.48934404138484</v>
          </cell>
          <cell r="W153">
            <v>206.37636452324713</v>
          </cell>
          <cell r="X153">
            <v>871.37</v>
          </cell>
        </row>
        <row r="154">
          <cell r="V154">
            <v>545.13829626056668</v>
          </cell>
          <cell r="W154">
            <v>569.66951959229209</v>
          </cell>
          <cell r="X154">
            <v>1273.3685527500002</v>
          </cell>
        </row>
        <row r="155">
          <cell r="V155">
            <v>3678.11481125</v>
          </cell>
          <cell r="W155">
            <v>3843.6299777562499</v>
          </cell>
          <cell r="X155">
            <v>5078.8</v>
          </cell>
        </row>
        <row r="157">
          <cell r="V157">
            <v>2597.8494074999999</v>
          </cell>
          <cell r="W157">
            <v>2714.7526308374995</v>
          </cell>
          <cell r="X157">
            <v>13512.59</v>
          </cell>
        </row>
        <row r="158">
          <cell r="V158">
            <v>69.751059601403242</v>
          </cell>
          <cell r="W158">
            <v>72.889857283466384</v>
          </cell>
          <cell r="X158">
            <v>262.75</v>
          </cell>
        </row>
        <row r="159">
          <cell r="V159">
            <v>0</v>
          </cell>
          <cell r="W159">
            <v>0</v>
          </cell>
          <cell r="X159">
            <v>85.472181599999999</v>
          </cell>
        </row>
        <row r="161">
          <cell r="V161">
            <v>0</v>
          </cell>
          <cell r="W161">
            <v>0</v>
          </cell>
          <cell r="X161">
            <v>58419.285000000003</v>
          </cell>
        </row>
        <row r="162">
          <cell r="V162">
            <v>0</v>
          </cell>
          <cell r="W162">
            <v>0</v>
          </cell>
          <cell r="X162">
            <v>722.52941999999996</v>
          </cell>
        </row>
        <row r="164">
          <cell r="V164">
            <v>0</v>
          </cell>
          <cell r="W164">
            <v>0</v>
          </cell>
          <cell r="X164">
            <v>0</v>
          </cell>
        </row>
        <row r="165">
          <cell r="V165">
            <v>1574.7984999999999</v>
          </cell>
          <cell r="W165">
            <v>1645.6644324999997</v>
          </cell>
          <cell r="X165">
            <v>4872.7468800000006</v>
          </cell>
        </row>
        <row r="166">
          <cell r="V166">
            <v>0</v>
          </cell>
          <cell r="W166">
            <v>0</v>
          </cell>
          <cell r="X166">
            <v>554.48400000000004</v>
          </cell>
        </row>
        <row r="167">
          <cell r="V167">
            <v>0</v>
          </cell>
          <cell r="W167">
            <v>0</v>
          </cell>
          <cell r="X167">
            <v>0</v>
          </cell>
        </row>
        <row r="169">
          <cell r="V169">
            <v>0</v>
          </cell>
          <cell r="W169">
            <v>0</v>
          </cell>
          <cell r="X169">
            <v>1536.56</v>
          </cell>
        </row>
        <row r="170">
          <cell r="V170">
            <v>0</v>
          </cell>
          <cell r="W170">
            <v>0</v>
          </cell>
          <cell r="X170">
            <v>0</v>
          </cell>
        </row>
        <row r="171">
          <cell r="V171">
            <v>18157.998824999999</v>
          </cell>
          <cell r="W171">
            <v>18975.108772124997</v>
          </cell>
          <cell r="X171">
            <v>20028.599999999999</v>
          </cell>
        </row>
        <row r="172">
          <cell r="V172">
            <v>0</v>
          </cell>
          <cell r="W172">
            <v>0</v>
          </cell>
          <cell r="X172">
            <v>0</v>
          </cell>
        </row>
        <row r="173">
          <cell r="V173">
            <v>0</v>
          </cell>
          <cell r="W173">
            <v>0</v>
          </cell>
          <cell r="X173">
            <v>351.24299999999999</v>
          </cell>
        </row>
        <row r="174">
          <cell r="V174">
            <v>0</v>
          </cell>
          <cell r="W174">
            <v>0</v>
          </cell>
          <cell r="X174">
            <v>3775.93</v>
          </cell>
        </row>
        <row r="175">
          <cell r="V175">
            <v>313.61855361417162</v>
          </cell>
          <cell r="W175">
            <v>327.73138852680933</v>
          </cell>
          <cell r="X175">
            <v>566.94491712000013</v>
          </cell>
        </row>
        <row r="176">
          <cell r="V176">
            <v>2026.66</v>
          </cell>
          <cell r="W176">
            <v>2117.8612178624999</v>
          </cell>
          <cell r="X176">
            <v>3782.08</v>
          </cell>
        </row>
        <row r="177">
          <cell r="V177">
            <v>0</v>
          </cell>
          <cell r="W177">
            <v>0</v>
          </cell>
          <cell r="X177">
            <v>519.4</v>
          </cell>
        </row>
        <row r="178">
          <cell r="V178">
            <v>49617.8491096254</v>
          </cell>
          <cell r="W178">
            <v>51850.65231955854</v>
          </cell>
          <cell r="X178">
            <v>94820.794550320003</v>
          </cell>
        </row>
        <row r="179">
          <cell r="V179">
            <v>0</v>
          </cell>
          <cell r="W179">
            <v>0</v>
          </cell>
          <cell r="X179">
            <v>196.46612880000001</v>
          </cell>
        </row>
        <row r="180">
          <cell r="V180">
            <v>0</v>
          </cell>
          <cell r="W180">
            <v>0</v>
          </cell>
          <cell r="X180">
            <v>0</v>
          </cell>
        </row>
        <row r="181">
          <cell r="V181">
            <v>0</v>
          </cell>
          <cell r="W181">
            <v>0</v>
          </cell>
          <cell r="X181">
            <v>131</v>
          </cell>
        </row>
        <row r="182">
          <cell r="V182">
            <v>0</v>
          </cell>
          <cell r="W182">
            <v>0</v>
          </cell>
          <cell r="X182">
            <v>10135.690736440678</v>
          </cell>
        </row>
        <row r="183">
          <cell r="V183">
            <v>0</v>
          </cell>
          <cell r="W183">
            <v>0</v>
          </cell>
          <cell r="X183">
            <v>30.04</v>
          </cell>
        </row>
        <row r="184">
          <cell r="V184">
            <v>693.09781124999995</v>
          </cell>
          <cell r="W184">
            <v>0</v>
          </cell>
          <cell r="X184">
            <v>724.28721275624991</v>
          </cell>
        </row>
        <row r="185">
          <cell r="V185">
            <v>0</v>
          </cell>
          <cell r="W185">
            <v>0</v>
          </cell>
          <cell r="X185">
            <v>212.5</v>
          </cell>
        </row>
        <row r="186">
          <cell r="V186">
            <v>0</v>
          </cell>
          <cell r="W186">
            <v>0</v>
          </cell>
          <cell r="X186">
            <v>1696.9915200000003</v>
          </cell>
        </row>
        <row r="187">
          <cell r="V187">
            <v>0</v>
          </cell>
          <cell r="W187">
            <v>0</v>
          </cell>
          <cell r="X187">
            <v>520</v>
          </cell>
        </row>
        <row r="188">
          <cell r="V188">
            <v>0</v>
          </cell>
          <cell r="W188">
            <v>0</v>
          </cell>
          <cell r="X188">
            <v>3440.68</v>
          </cell>
        </row>
        <row r="189">
          <cell r="V189">
            <v>0</v>
          </cell>
          <cell r="W189">
            <v>0</v>
          </cell>
          <cell r="X189">
            <v>246.69</v>
          </cell>
        </row>
        <row r="195">
          <cell r="V195">
            <v>644.24</v>
          </cell>
          <cell r="W195">
            <v>673.22973279374992</v>
          </cell>
          <cell r="X195">
            <v>673.22973279374992</v>
          </cell>
        </row>
        <row r="196">
          <cell r="V196">
            <v>2831.3551312500003</v>
          </cell>
          <cell r="W196">
            <v>2958.7661121562501</v>
          </cell>
          <cell r="X196">
            <v>2958.7661121562501</v>
          </cell>
        </row>
        <row r="197">
          <cell r="V197">
            <v>4593.8796124999999</v>
          </cell>
          <cell r="W197">
            <v>4800.6041950624995</v>
          </cell>
          <cell r="X197">
            <v>4800.6041950624995</v>
          </cell>
        </row>
        <row r="198">
          <cell r="V198">
            <v>0</v>
          </cell>
          <cell r="W198">
            <v>0</v>
          </cell>
          <cell r="X198">
            <v>66.52</v>
          </cell>
        </row>
        <row r="200">
          <cell r="V200">
            <v>6328.4246125</v>
          </cell>
          <cell r="W200">
            <v>6613.21</v>
          </cell>
          <cell r="X200">
            <v>6637.67</v>
          </cell>
        </row>
        <row r="201">
          <cell r="V201">
            <v>2104.7189763077477</v>
          </cell>
          <cell r="W201">
            <v>2199.4313302415962</v>
          </cell>
          <cell r="X201">
            <v>2199.4313302415962</v>
          </cell>
        </row>
        <row r="203">
          <cell r="V203">
            <v>2923.1111563005902</v>
          </cell>
          <cell r="W203">
            <v>3054.6511583341166</v>
          </cell>
          <cell r="X203">
            <v>3501.2715679999997</v>
          </cell>
        </row>
        <row r="204">
          <cell r="V204">
            <v>192.37028249999997</v>
          </cell>
          <cell r="W204">
            <v>201.02694521249995</v>
          </cell>
          <cell r="X204">
            <v>300.87273996333329</v>
          </cell>
        </row>
        <row r="205">
          <cell r="V205">
            <v>214.68195</v>
          </cell>
          <cell r="W205">
            <v>224.34263774999999</v>
          </cell>
          <cell r="X205">
            <v>844.44932400000016</v>
          </cell>
        </row>
        <row r="206">
          <cell r="V206">
            <v>1559.5959499999999</v>
          </cell>
          <cell r="W206">
            <v>1629.7777677499998</v>
          </cell>
          <cell r="X206">
            <v>2644.5540000000005</v>
          </cell>
        </row>
        <row r="207">
          <cell r="V207">
            <v>0</v>
          </cell>
          <cell r="W207">
            <v>0</v>
          </cell>
          <cell r="X207">
            <v>681.78182600000002</v>
          </cell>
        </row>
        <row r="209">
          <cell r="V209">
            <v>0</v>
          </cell>
          <cell r="W209">
            <v>0</v>
          </cell>
          <cell r="X209">
            <v>1297.5999999999999</v>
          </cell>
        </row>
        <row r="210">
          <cell r="V210">
            <v>0</v>
          </cell>
          <cell r="W210">
            <v>0</v>
          </cell>
          <cell r="X210">
            <v>0</v>
          </cell>
        </row>
        <row r="211">
          <cell r="V211">
            <v>775.74562044950346</v>
          </cell>
          <cell r="W211">
            <v>810.6541733697311</v>
          </cell>
          <cell r="X211">
            <v>4726.3938042086411</v>
          </cell>
        </row>
        <row r="212">
          <cell r="V212">
            <v>0</v>
          </cell>
          <cell r="W212">
            <v>0</v>
          </cell>
          <cell r="X212">
            <v>1000</v>
          </cell>
        </row>
        <row r="213">
          <cell r="V213">
            <v>768.27220286507793</v>
          </cell>
          <cell r="W213">
            <v>802.84445199400636</v>
          </cell>
          <cell r="X213">
            <v>802.84445199400636</v>
          </cell>
        </row>
        <row r="214">
          <cell r="V214">
            <v>0</v>
          </cell>
          <cell r="W214">
            <v>0</v>
          </cell>
          <cell r="X214">
            <v>0</v>
          </cell>
        </row>
        <row r="215">
          <cell r="V215">
            <v>0</v>
          </cell>
          <cell r="W215">
            <v>0</v>
          </cell>
          <cell r="X215">
            <v>0</v>
          </cell>
        </row>
        <row r="217">
          <cell r="V217">
            <v>664.47249624999995</v>
          </cell>
          <cell r="W217">
            <v>694.37375858124994</v>
          </cell>
          <cell r="X217">
            <v>920.91</v>
          </cell>
        </row>
        <row r="218">
          <cell r="V218">
            <v>0</v>
          </cell>
          <cell r="W218">
            <v>0</v>
          </cell>
          <cell r="X218">
            <v>1166.4000000000001</v>
          </cell>
        </row>
        <row r="219">
          <cell r="V219">
            <v>0</v>
          </cell>
          <cell r="W219">
            <v>0</v>
          </cell>
          <cell r="X219">
            <v>406.56</v>
          </cell>
        </row>
        <row r="220">
          <cell r="V220">
            <v>0</v>
          </cell>
          <cell r="W220">
            <v>0</v>
          </cell>
          <cell r="X220">
            <v>2235.0784600000002</v>
          </cell>
        </row>
        <row r="221">
          <cell r="V221">
            <v>0</v>
          </cell>
          <cell r="W221">
            <v>0</v>
          </cell>
        </row>
        <row r="223">
          <cell r="V223">
            <v>1175.6226337499997</v>
          </cell>
          <cell r="W223">
            <v>1228.5256522687496</v>
          </cell>
          <cell r="X223">
            <v>1255.9100000000001</v>
          </cell>
        </row>
        <row r="224">
          <cell r="V224">
            <v>864.90490067175563</v>
          </cell>
          <cell r="W224">
            <v>903.82562120198452</v>
          </cell>
          <cell r="X224">
            <v>1384.53</v>
          </cell>
        </row>
        <row r="225">
          <cell r="V225">
            <v>911.38284999999996</v>
          </cell>
          <cell r="W225">
            <v>952.39507824999987</v>
          </cell>
          <cell r="X225">
            <v>952.39507824999987</v>
          </cell>
        </row>
        <row r="226">
          <cell r="V226">
            <v>0</v>
          </cell>
          <cell r="W226">
            <v>0</v>
          </cell>
          <cell r="X226">
            <v>1876.63</v>
          </cell>
        </row>
        <row r="227">
          <cell r="V227">
            <v>162.47048266116133</v>
          </cell>
          <cell r="W227">
            <v>169.78165438091358</v>
          </cell>
          <cell r="X227">
            <v>208.13</v>
          </cell>
        </row>
        <row r="229">
          <cell r="V229">
            <v>0</v>
          </cell>
          <cell r="W229">
            <v>0</v>
          </cell>
          <cell r="X229">
            <v>0</v>
          </cell>
        </row>
        <row r="230">
          <cell r="V230">
            <v>147355.24709999998</v>
          </cell>
          <cell r="W230">
            <v>153986.23321949996</v>
          </cell>
          <cell r="X230">
            <v>1018013</v>
          </cell>
        </row>
        <row r="231">
          <cell r="V231">
            <v>147355.24709999998</v>
          </cell>
          <cell r="W231">
            <v>153986.23321949996</v>
          </cell>
          <cell r="X231">
            <v>500000</v>
          </cell>
        </row>
        <row r="232">
          <cell r="X232">
            <v>518013</v>
          </cell>
        </row>
        <row r="233">
          <cell r="V233">
            <v>22470.107157349998</v>
          </cell>
          <cell r="W233">
            <v>23481.261979430747</v>
          </cell>
          <cell r="X233">
            <v>38592.99</v>
          </cell>
        </row>
        <row r="235">
          <cell r="V235">
            <v>305659.3041537251</v>
          </cell>
          <cell r="W235">
            <v>319413.97284064273</v>
          </cell>
          <cell r="X235">
            <v>642070.35919999983</v>
          </cell>
        </row>
        <row r="236">
          <cell r="V236">
            <v>297196.02</v>
          </cell>
          <cell r="W236">
            <v>334238.02499999997</v>
          </cell>
          <cell r="X236">
            <v>973491.73</v>
          </cell>
        </row>
        <row r="238">
          <cell r="V238">
            <v>57418.25</v>
          </cell>
          <cell r="W238">
            <v>60002.071249999994</v>
          </cell>
        </row>
        <row r="239">
          <cell r="V239">
            <v>144204.47825999997</v>
          </cell>
          <cell r="W239">
            <v>150693.67978169996</v>
          </cell>
          <cell r="X239">
            <v>320096.00685322029</v>
          </cell>
        </row>
        <row r="240">
          <cell r="V240">
            <v>88888.551999999996</v>
          </cell>
          <cell r="W240">
            <v>92888.536839999986</v>
          </cell>
          <cell r="X240">
            <v>92888.536839999986</v>
          </cell>
        </row>
        <row r="241">
          <cell r="V241">
            <v>564085.91</v>
          </cell>
          <cell r="W241">
            <v>589469.77595000004</v>
          </cell>
          <cell r="X241">
            <v>589469.77595000004</v>
          </cell>
        </row>
        <row r="242">
          <cell r="V242">
            <v>72470.539999999994</v>
          </cell>
          <cell r="W242">
            <v>75731.714299999992</v>
          </cell>
          <cell r="X242">
            <v>75731.714299999992</v>
          </cell>
        </row>
        <row r="243">
          <cell r="V243">
            <v>5120.3999999999996</v>
          </cell>
          <cell r="W243">
            <v>5350.8179999999993</v>
          </cell>
          <cell r="X243">
            <v>5508.6079430508489</v>
          </cell>
        </row>
        <row r="244">
          <cell r="V244">
            <v>12796.04</v>
          </cell>
          <cell r="W244">
            <v>13371.861800000001</v>
          </cell>
          <cell r="X244">
            <v>13371.861800000001</v>
          </cell>
        </row>
        <row r="245">
          <cell r="V245">
            <v>112419.27122059999</v>
          </cell>
          <cell r="W245">
            <v>117478.13842552698</v>
          </cell>
          <cell r="X245">
            <v>147275.99940890036</v>
          </cell>
        </row>
        <row r="246">
          <cell r="V246">
            <v>1723.1736999999998</v>
          </cell>
          <cell r="W246">
            <v>1800.7165164999997</v>
          </cell>
          <cell r="X246">
            <v>1800.7165164999997</v>
          </cell>
        </row>
        <row r="247">
          <cell r="V247">
            <v>43428.9</v>
          </cell>
          <cell r="W247">
            <v>45383.200499999999</v>
          </cell>
          <cell r="X247">
            <v>46050.558721627123</v>
          </cell>
        </row>
        <row r="248">
          <cell r="V248">
            <v>160529.34</v>
          </cell>
          <cell r="W248">
            <v>167753.16029999999</v>
          </cell>
          <cell r="X248">
            <v>167753.16029999999</v>
          </cell>
        </row>
        <row r="249">
          <cell r="V249">
            <v>0</v>
          </cell>
          <cell r="W249">
            <v>0</v>
          </cell>
          <cell r="X249">
            <v>115.76357313600002</v>
          </cell>
        </row>
        <row r="251">
          <cell r="V251">
            <v>8260.75</v>
          </cell>
          <cell r="W251">
            <v>8632.4837499999994</v>
          </cell>
          <cell r="X251">
            <v>9615.84</v>
          </cell>
        </row>
        <row r="252">
          <cell r="V252">
            <v>978.11</v>
          </cell>
          <cell r="W252">
            <v>1022.1249499999999</v>
          </cell>
          <cell r="X252">
            <v>1022.1249499999999</v>
          </cell>
        </row>
        <row r="253">
          <cell r="V253">
            <v>38611.82</v>
          </cell>
          <cell r="W253">
            <v>40349.351899999994</v>
          </cell>
          <cell r="X253">
            <v>74315.759999999995</v>
          </cell>
        </row>
        <row r="254">
          <cell r="V254">
            <v>1351.72</v>
          </cell>
          <cell r="W254">
            <v>1412.5473999999999</v>
          </cell>
          <cell r="X254">
            <v>1471.14</v>
          </cell>
        </row>
        <row r="256">
          <cell r="V256">
            <v>94894.848929852014</v>
          </cell>
          <cell r="W256">
            <v>99875.162665224314</v>
          </cell>
          <cell r="X256">
            <v>240747.37227624294</v>
          </cell>
        </row>
        <row r="257">
          <cell r="V257">
            <v>0</v>
          </cell>
          <cell r="W257">
            <v>0</v>
          </cell>
          <cell r="X257">
            <v>0</v>
          </cell>
        </row>
        <row r="258">
          <cell r="V258">
            <v>0</v>
          </cell>
          <cell r="W258">
            <v>0</v>
          </cell>
          <cell r="X258">
            <v>0</v>
          </cell>
        </row>
        <row r="259">
          <cell r="V259">
            <v>0</v>
          </cell>
          <cell r="W259">
            <v>0</v>
          </cell>
          <cell r="X259">
            <v>0</v>
          </cell>
        </row>
        <row r="260">
          <cell r="V260">
            <v>0</v>
          </cell>
          <cell r="W260">
            <v>0</v>
          </cell>
          <cell r="X260">
            <v>0</v>
          </cell>
        </row>
        <row r="261">
          <cell r="V261">
            <v>0</v>
          </cell>
          <cell r="W261">
            <v>0</v>
          </cell>
          <cell r="X261">
            <v>0</v>
          </cell>
        </row>
        <row r="262">
          <cell r="V262">
            <v>0</v>
          </cell>
          <cell r="W262">
            <v>0</v>
          </cell>
          <cell r="X262">
            <v>0</v>
          </cell>
        </row>
        <row r="263">
          <cell r="V263">
            <v>345140.29777159984</v>
          </cell>
          <cell r="W263">
            <v>333453.19945632201</v>
          </cell>
          <cell r="X263">
            <v>5341487.6500000004</v>
          </cell>
        </row>
        <row r="264">
          <cell r="V264">
            <v>336598.63571940805</v>
          </cell>
          <cell r="W264">
            <v>354585.75646089728</v>
          </cell>
          <cell r="X264">
            <v>775756.23813897197</v>
          </cell>
        </row>
        <row r="266">
          <cell r="V266">
            <v>4671.9598899999992</v>
          </cell>
          <cell r="W266">
            <v>4882.1980850499986</v>
          </cell>
          <cell r="X266">
            <v>5116.54</v>
          </cell>
        </row>
        <row r="267">
          <cell r="V267">
            <v>20800</v>
          </cell>
          <cell r="W267">
            <v>21736</v>
          </cell>
          <cell r="X267">
            <v>21736</v>
          </cell>
        </row>
        <row r="269">
          <cell r="V269">
            <v>2949.29</v>
          </cell>
          <cell r="W269">
            <v>3082.0080499999999</v>
          </cell>
          <cell r="X269">
            <v>3485.1525999999999</v>
          </cell>
        </row>
        <row r="270">
          <cell r="V270">
            <v>0</v>
          </cell>
          <cell r="W270">
            <v>0</v>
          </cell>
          <cell r="X270">
            <v>0</v>
          </cell>
        </row>
        <row r="271">
          <cell r="V271">
            <v>0</v>
          </cell>
          <cell r="W271">
            <v>1</v>
          </cell>
          <cell r="X271">
            <v>0</v>
          </cell>
        </row>
        <row r="272">
          <cell r="V272">
            <v>147.91999999999999</v>
          </cell>
          <cell r="W272">
            <v>154.57639999999998</v>
          </cell>
          <cell r="X272">
            <v>154.57639999999998</v>
          </cell>
        </row>
        <row r="274">
          <cell r="V274">
            <v>0</v>
          </cell>
          <cell r="W274">
            <v>0</v>
          </cell>
        </row>
        <row r="275">
          <cell r="V275">
            <v>0</v>
          </cell>
          <cell r="W275">
            <v>0</v>
          </cell>
        </row>
        <row r="276">
          <cell r="V276">
            <v>0</v>
          </cell>
          <cell r="W276">
            <v>0</v>
          </cell>
        </row>
        <row r="277">
          <cell r="V277">
            <v>0</v>
          </cell>
          <cell r="W277">
            <v>0</v>
          </cell>
        </row>
        <row r="278">
          <cell r="V278">
            <v>0</v>
          </cell>
          <cell r="W278">
            <v>0</v>
          </cell>
        </row>
        <row r="279">
          <cell r="V279">
            <v>0</v>
          </cell>
          <cell r="W279">
            <v>0</v>
          </cell>
        </row>
        <row r="280">
          <cell r="V280">
            <v>0</v>
          </cell>
          <cell r="W280">
            <v>0</v>
          </cell>
          <cell r="X280">
            <v>0</v>
          </cell>
        </row>
        <row r="281">
          <cell r="V281">
            <v>0</v>
          </cell>
          <cell r="W281">
            <v>0</v>
          </cell>
          <cell r="X281">
            <v>400</v>
          </cell>
        </row>
        <row r="282">
          <cell r="V282">
            <v>0</v>
          </cell>
          <cell r="W282">
            <v>0</v>
          </cell>
          <cell r="X282">
            <v>0</v>
          </cell>
        </row>
        <row r="283">
          <cell r="V283">
            <v>0</v>
          </cell>
          <cell r="W283">
            <v>0</v>
          </cell>
          <cell r="X283">
            <v>1958.3825400000001</v>
          </cell>
        </row>
        <row r="284">
          <cell r="V284">
            <v>0</v>
          </cell>
          <cell r="W284">
            <v>0</v>
          </cell>
          <cell r="X284">
            <v>0</v>
          </cell>
        </row>
        <row r="285">
          <cell r="V285">
            <v>0</v>
          </cell>
          <cell r="W285">
            <v>0</v>
          </cell>
          <cell r="X285">
            <v>0</v>
          </cell>
        </row>
        <row r="286">
          <cell r="V286">
            <v>0</v>
          </cell>
          <cell r="W286">
            <v>0</v>
          </cell>
          <cell r="X286">
            <v>0</v>
          </cell>
        </row>
        <row r="287">
          <cell r="V287">
            <v>0</v>
          </cell>
          <cell r="W287">
            <v>0</v>
          </cell>
          <cell r="X287">
            <v>0</v>
          </cell>
        </row>
        <row r="288">
          <cell r="V288">
            <v>0</v>
          </cell>
          <cell r="W288">
            <v>0</v>
          </cell>
          <cell r="X288">
            <v>5825.4</v>
          </cell>
        </row>
        <row r="289">
          <cell r="V289">
            <v>0</v>
          </cell>
          <cell r="W289">
            <v>0</v>
          </cell>
          <cell r="X289">
            <v>1821.58</v>
          </cell>
        </row>
        <row r="290">
          <cell r="V290">
            <v>0</v>
          </cell>
          <cell r="W290">
            <v>0</v>
          </cell>
          <cell r="X290">
            <v>1061.49</v>
          </cell>
        </row>
        <row r="291">
          <cell r="V291">
            <v>0</v>
          </cell>
          <cell r="W291">
            <v>0</v>
          </cell>
          <cell r="X291">
            <v>3983.35</v>
          </cell>
        </row>
        <row r="292">
          <cell r="V292">
            <v>0</v>
          </cell>
          <cell r="W292">
            <v>0</v>
          </cell>
          <cell r="X292">
            <v>13777.9</v>
          </cell>
        </row>
        <row r="293">
          <cell r="V293">
            <v>0</v>
          </cell>
          <cell r="W293">
            <v>0</v>
          </cell>
          <cell r="X293">
            <v>750</v>
          </cell>
        </row>
        <row r="295">
          <cell r="V295">
            <v>0</v>
          </cell>
          <cell r="W295">
            <v>0</v>
          </cell>
        </row>
        <row r="296">
          <cell r="V296">
            <v>0</v>
          </cell>
          <cell r="W296">
            <v>0</v>
          </cell>
        </row>
        <row r="297">
          <cell r="V297">
            <v>0</v>
          </cell>
          <cell r="W297">
            <v>0</v>
          </cell>
        </row>
        <row r="298">
          <cell r="V298">
            <v>0</v>
          </cell>
          <cell r="W298">
            <v>0</v>
          </cell>
          <cell r="X298">
            <v>0</v>
          </cell>
        </row>
        <row r="299">
          <cell r="V299">
            <v>0</v>
          </cell>
          <cell r="W299">
            <v>0</v>
          </cell>
          <cell r="X299">
            <v>4258.62</v>
          </cell>
        </row>
        <row r="300">
          <cell r="V300">
            <v>0</v>
          </cell>
          <cell r="W300">
            <v>0</v>
          </cell>
          <cell r="X300">
            <v>225.49</v>
          </cell>
        </row>
        <row r="301">
          <cell r="V301">
            <v>0</v>
          </cell>
          <cell r="W301">
            <v>0</v>
          </cell>
          <cell r="X301">
            <v>0</v>
          </cell>
        </row>
        <row r="302">
          <cell r="V302">
            <v>0</v>
          </cell>
          <cell r="W302">
            <v>0</v>
          </cell>
          <cell r="X302">
            <v>0</v>
          </cell>
        </row>
        <row r="303">
          <cell r="V303">
            <v>0</v>
          </cell>
          <cell r="W303">
            <v>0</v>
          </cell>
        </row>
        <row r="304">
          <cell r="V304">
            <v>0</v>
          </cell>
          <cell r="W304">
            <v>0</v>
          </cell>
          <cell r="X304">
            <v>211.19417600000003</v>
          </cell>
        </row>
        <row r="305">
          <cell r="V305">
            <v>0</v>
          </cell>
          <cell r="W305">
            <v>0</v>
          </cell>
          <cell r="X305">
            <v>50.954250000000002</v>
          </cell>
        </row>
        <row r="306">
          <cell r="X306">
            <v>224.24</v>
          </cell>
        </row>
        <row r="307">
          <cell r="X307">
            <v>1731.91</v>
          </cell>
        </row>
        <row r="308">
          <cell r="X308">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Выпадающие 2014"/>
      <sheetName val="2. подк.неподк."/>
      <sheetName val="2.1. отклонения"/>
      <sheetName val="3. НВВ "/>
      <sheetName val="приобр.имущ."/>
      <sheetName val="бездоговорное"/>
      <sheetName val="приобр.обор."/>
      <sheetName val="5. Расчет для выпадающих"/>
      <sheetName val="амортизация"/>
      <sheetName val="рем.прогр."/>
      <sheetName val="автотр."/>
      <sheetName val="антитеррор"/>
      <sheetName val="тех.док."/>
      <sheetName val="аттестация ЭТЛ"/>
      <sheetName val="сертиф и инспек."/>
      <sheetName val="инспек.контроль"/>
      <sheetName val="трансп.усл."/>
      <sheetName val="НИР"/>
      <sheetName val="госпошлина"/>
      <sheetName val="налоги"/>
      <sheetName val="суд.издер."/>
      <sheetName val="штрафы"/>
      <sheetName val="проценты"/>
      <sheetName val="5. Реестр выпадающих доходов"/>
      <sheetName val="6. Расчет выпадающих по потерям"/>
      <sheetName val="7.1 Выпадающие ИП 2012"/>
      <sheetName val="Расчет процентов"/>
      <sheetName val="7.2 Выпадающие ИП 2013"/>
      <sheetName val="расшиф."/>
      <sheetName val="Досуд. спор"/>
      <sheetName val="форма 1.3"/>
      <sheetName val="форма 1.6"/>
      <sheetName val="БДР по видам деятельности 2013"/>
      <sheetName val="БДР по видам деятельности 2014"/>
      <sheetName val="потери 2013"/>
      <sheetName val="потери 2014"/>
      <sheetName val="выпадающие по ИП 2012"/>
      <sheetName val="выпадающие по ИП 2013"/>
      <sheetName val="выпадающие по ИП 2014"/>
      <sheetName val="Лист3"/>
    </sheetNames>
    <sheetDataSet>
      <sheetData sheetId="0" refreshError="1"/>
      <sheetData sheetId="1" refreshError="1"/>
      <sheetData sheetId="2" refreshError="1"/>
      <sheetData sheetId="3" refreshError="1">
        <row r="234">
          <cell r="M234">
            <v>3366322.6399237323</v>
          </cell>
          <cell r="N234">
            <v>3793845.75538</v>
          </cell>
          <cell r="O234">
            <v>3690864.4627100006</v>
          </cell>
          <cell r="P234">
            <v>3646820.4260425325</v>
          </cell>
          <cell r="Q234">
            <v>3649956.6555725327</v>
          </cell>
          <cell r="R234">
            <v>3630700.3747625328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нереализационные"/>
      <sheetName val="форма -2"/>
      <sheetName val="БДР свернутый"/>
      <sheetName val="1.БДР_свернутый"/>
      <sheetName val="2.Баланс.пок.+  карта ВР 2014"/>
      <sheetName val="2.1. Бал показатели 2015"/>
      <sheetName val="3. Доходы по передаче ээ 2015"/>
      <sheetName val="4. Расходы (потери) 2015"/>
      <sheetName val="5.Тех.присоединение "/>
      <sheetName val="6. Инвест.программа"/>
      <sheetName val="ПВД скорр. 25.08.15"/>
      <sheetName val="7.ПВД"/>
      <sheetName val="8.Бюджет на 2015"/>
      <sheetName val="Бюджет на 2014г. (2)"/>
      <sheetName val="1. Тарифные источники "/>
      <sheetName val="9. Тарифные источники "/>
      <sheetName val="9.1 Тарифные источники  "/>
      <sheetName val="Гл бух"/>
      <sheetName val="Дир_по фин"/>
      <sheetName val="Дир_по корп"/>
      <sheetName val="Дир_ по реал.услуг"/>
      <sheetName val="Инвест.программа"/>
      <sheetName val="Дир_ имущ"/>
      <sheetName val="Пом_ГД"/>
      <sheetName val="Гл инж_Тех дир"/>
      <sheetName val="СБ"/>
      <sheetName val="Дир_по экон"/>
      <sheetName val="Дир_ по кап.стр."/>
      <sheetName val="Бюджет на 2015 по ЦФУ"/>
      <sheetName val="1.7 лимит расходов"/>
      <sheetName val="2.3 смета расходов"/>
      <sheetName val="7.КПЭ Лимит расходов"/>
      <sheetName val="7. смета расходов 2015"/>
      <sheetName val="8. лимит расходов 2015"/>
      <sheetName val="10. внереализ. расх 2015"/>
      <sheetName val="комп_некомп"/>
      <sheetName val="компен_не компен"/>
    </sheetNames>
    <sheetDataSet>
      <sheetData sheetId="0"/>
      <sheetData sheetId="1"/>
      <sheetData sheetId="2"/>
      <sheetData sheetId="3">
        <row r="38">
          <cell r="AI38">
            <v>345140.29777159984</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AT7">
            <v>0</v>
          </cell>
          <cell r="AW7">
            <v>0</v>
          </cell>
        </row>
        <row r="8">
          <cell r="AT8">
            <v>0</v>
          </cell>
          <cell r="AW8">
            <v>0</v>
          </cell>
        </row>
        <row r="9">
          <cell r="AT9">
            <v>0</v>
          </cell>
          <cell r="AW9">
            <v>250000</v>
          </cell>
        </row>
        <row r="10">
          <cell r="AT10">
            <v>1500000</v>
          </cell>
          <cell r="AW10">
            <v>1500000</v>
          </cell>
        </row>
        <row r="11">
          <cell r="C11">
            <v>12245341.439999999</v>
          </cell>
          <cell r="D11">
            <v>1097273.3</v>
          </cell>
          <cell r="E11">
            <v>5261046</v>
          </cell>
          <cell r="F11">
            <v>107659242.14</v>
          </cell>
          <cell r="G11">
            <v>1026670.0000000001</v>
          </cell>
          <cell r="L11">
            <v>1083136.8500000001</v>
          </cell>
          <cell r="AE11">
            <v>53517540.250000007</v>
          </cell>
          <cell r="AM11">
            <v>3250000</v>
          </cell>
          <cell r="AO11">
            <v>0</v>
          </cell>
        </row>
      </sheetData>
      <sheetData sheetId="18">
        <row r="7">
          <cell r="AT7">
            <v>0</v>
          </cell>
          <cell r="AW7">
            <v>0</v>
          </cell>
        </row>
        <row r="8">
          <cell r="AT8">
            <v>0</v>
          </cell>
          <cell r="AW8">
            <v>0</v>
          </cell>
        </row>
        <row r="9">
          <cell r="AT9">
            <v>64570767.140000001</v>
          </cell>
          <cell r="AW9">
            <v>63769232.880000003</v>
          </cell>
        </row>
        <row r="10">
          <cell r="AT10">
            <v>99873057.530000001</v>
          </cell>
          <cell r="AW10">
            <v>107038219.18000001</v>
          </cell>
        </row>
        <row r="11">
          <cell r="AT11">
            <v>34532.639999999999</v>
          </cell>
          <cell r="AW11">
            <v>37332.639999999999</v>
          </cell>
        </row>
        <row r="12">
          <cell r="AT12">
            <v>940276.28</v>
          </cell>
          <cell r="AW12">
            <v>816419.44</v>
          </cell>
        </row>
        <row r="13">
          <cell r="AT13">
            <v>0</v>
          </cell>
          <cell r="AW13">
            <v>0</v>
          </cell>
        </row>
        <row r="14">
          <cell r="AT14">
            <v>0</v>
          </cell>
          <cell r="AW14">
            <v>0</v>
          </cell>
        </row>
        <row r="16">
          <cell r="C16">
            <v>679919724.98000002</v>
          </cell>
          <cell r="D16">
            <v>139322331.96000001</v>
          </cell>
          <cell r="E16">
            <v>528180451.89999998</v>
          </cell>
          <cell r="F16">
            <v>390347889.87</v>
          </cell>
          <cell r="G16">
            <v>144421959.93782499</v>
          </cell>
          <cell r="H16">
            <v>430740108.09000003</v>
          </cell>
          <cell r="J16">
            <v>2496504.6599999731</v>
          </cell>
          <cell r="K16">
            <v>107.38785434593559</v>
          </cell>
          <cell r="L16">
            <v>150452457.09999999</v>
          </cell>
        </row>
      </sheetData>
      <sheetData sheetId="19">
        <row r="7">
          <cell r="AT7">
            <v>159145.08000000002</v>
          </cell>
          <cell r="AW7">
            <v>157988.12</v>
          </cell>
        </row>
        <row r="8">
          <cell r="AT8">
            <v>304659.51</v>
          </cell>
          <cell r="AW8">
            <v>309659.46999999997</v>
          </cell>
        </row>
        <row r="9">
          <cell r="AT9">
            <v>657407.79</v>
          </cell>
          <cell r="AW9">
            <v>655423.97499999998</v>
          </cell>
        </row>
        <row r="10">
          <cell r="AT10">
            <v>17921.150000000001</v>
          </cell>
          <cell r="AW10">
            <v>18215.259999999998</v>
          </cell>
        </row>
        <row r="11">
          <cell r="AT11">
            <v>1139398</v>
          </cell>
          <cell r="AW11">
            <v>1170767.9099999999</v>
          </cell>
        </row>
        <row r="12">
          <cell r="AT12">
            <v>500000</v>
          </cell>
          <cell r="AW12">
            <v>80000</v>
          </cell>
        </row>
        <row r="13">
          <cell r="AT13">
            <v>0</v>
          </cell>
          <cell r="AW13">
            <v>567791.19999999995</v>
          </cell>
        </row>
        <row r="14">
          <cell r="AT14">
            <v>310000</v>
          </cell>
          <cell r="AW14">
            <v>0</v>
          </cell>
        </row>
        <row r="15">
          <cell r="AT15">
            <v>0</v>
          </cell>
          <cell r="AW15">
            <v>0</v>
          </cell>
        </row>
        <row r="16">
          <cell r="AT16">
            <v>475507</v>
          </cell>
          <cell r="AW16">
            <v>475507.02</v>
          </cell>
        </row>
        <row r="17">
          <cell r="AT17">
            <v>309519.5</v>
          </cell>
          <cell r="AW17">
            <v>309519.5</v>
          </cell>
        </row>
        <row r="18">
          <cell r="AT18">
            <v>0</v>
          </cell>
          <cell r="AW18">
            <v>3000</v>
          </cell>
        </row>
        <row r="19">
          <cell r="AT19">
            <v>87233</v>
          </cell>
          <cell r="AW19">
            <v>87233</v>
          </cell>
        </row>
        <row r="23">
          <cell r="AT23">
            <v>77744.27</v>
          </cell>
          <cell r="AW23">
            <v>77744.27</v>
          </cell>
        </row>
        <row r="25">
          <cell r="AT25">
            <v>70487.95</v>
          </cell>
          <cell r="AW25">
            <v>70487.94</v>
          </cell>
        </row>
        <row r="26">
          <cell r="AT26">
            <v>5788.27</v>
          </cell>
          <cell r="AW26">
            <v>320788.27</v>
          </cell>
        </row>
        <row r="30">
          <cell r="AT30">
            <v>0</v>
          </cell>
          <cell r="AW30">
            <v>0</v>
          </cell>
        </row>
        <row r="31">
          <cell r="AT31">
            <v>500000</v>
          </cell>
          <cell r="AW31">
            <v>1245000</v>
          </cell>
        </row>
        <row r="32">
          <cell r="AT32">
            <v>1597897.21</v>
          </cell>
          <cell r="AW32">
            <v>1225929.31</v>
          </cell>
        </row>
        <row r="33">
          <cell r="AT33">
            <v>6400000</v>
          </cell>
          <cell r="AW33">
            <v>5000000</v>
          </cell>
        </row>
        <row r="37">
          <cell r="AT37">
            <v>21973.38000000082</v>
          </cell>
          <cell r="AW37">
            <v>73548.870000001043</v>
          </cell>
        </row>
        <row r="38">
          <cell r="AT38">
            <v>239953.01</v>
          </cell>
          <cell r="AW38">
            <v>311241.84000000003</v>
          </cell>
        </row>
        <row r="39">
          <cell r="AT39">
            <v>30000</v>
          </cell>
          <cell r="AW39">
            <v>52241.46</v>
          </cell>
        </row>
        <row r="40">
          <cell r="AT40">
            <v>190313.98</v>
          </cell>
          <cell r="AW40">
            <v>750482.68</v>
          </cell>
        </row>
        <row r="44">
          <cell r="AT44">
            <v>0</v>
          </cell>
          <cell r="AW44">
            <v>0</v>
          </cell>
        </row>
        <row r="45">
          <cell r="AT45">
            <v>100000</v>
          </cell>
          <cell r="AW45">
            <v>20000</v>
          </cell>
        </row>
        <row r="46">
          <cell r="AT46">
            <v>130000</v>
          </cell>
          <cell r="AW46">
            <v>130000</v>
          </cell>
        </row>
        <row r="47">
          <cell r="AT47">
            <v>0</v>
          </cell>
          <cell r="AW47">
            <v>0</v>
          </cell>
        </row>
        <row r="48">
          <cell r="AT48">
            <v>135000</v>
          </cell>
          <cell r="AW48">
            <v>85000</v>
          </cell>
        </row>
        <row r="49">
          <cell r="AT49">
            <v>1343178</v>
          </cell>
          <cell r="AW49">
            <v>895452</v>
          </cell>
        </row>
        <row r="50">
          <cell r="AT50">
            <v>104049</v>
          </cell>
          <cell r="AW50">
            <v>0</v>
          </cell>
        </row>
        <row r="54">
          <cell r="AT54">
            <v>0</v>
          </cell>
          <cell r="AW54">
            <v>1013484.56</v>
          </cell>
        </row>
        <row r="55">
          <cell r="AT55">
            <v>522733.24</v>
          </cell>
          <cell r="AW55">
            <v>461317.04</v>
          </cell>
          <cell r="AY55" t="str">
            <v>Директор по корпоративному управлению</v>
          </cell>
        </row>
        <row r="58">
          <cell r="C58">
            <v>42716772.939999998</v>
          </cell>
          <cell r="D58">
            <v>25722935.0519986</v>
          </cell>
          <cell r="E58">
            <v>30563801.640000001</v>
          </cell>
          <cell r="F58">
            <v>30804686.870000005</v>
          </cell>
          <cell r="G58">
            <v>18094596.613537673</v>
          </cell>
          <cell r="H58">
            <v>226874610.94</v>
          </cell>
          <cell r="J58">
            <v>4902011.7799999993</v>
          </cell>
          <cell r="N58">
            <v>77530156.251192242</v>
          </cell>
          <cell r="P58">
            <v>-135715841.59500003</v>
          </cell>
          <cell r="R58">
            <v>74627576.61500001</v>
          </cell>
          <cell r="T58">
            <v>302.72563458171834</v>
          </cell>
          <cell r="U58">
            <v>-21433204.509999998</v>
          </cell>
          <cell r="AD58">
            <v>48101661.850000001</v>
          </cell>
          <cell r="AE58">
            <v>43629843.579999998</v>
          </cell>
          <cell r="AF58">
            <v>-4471818.2700000014</v>
          </cell>
        </row>
      </sheetData>
      <sheetData sheetId="20">
        <row r="7">
          <cell r="AT7">
            <v>1877480971.5526292</v>
          </cell>
          <cell r="AW7">
            <v>1914249621.3955956</v>
          </cell>
        </row>
        <row r="8">
          <cell r="AT8">
            <v>695740842.2927655</v>
          </cell>
          <cell r="AW8">
            <v>869130978.85349047</v>
          </cell>
        </row>
        <row r="9">
          <cell r="AT9">
            <v>5907093.3300000001</v>
          </cell>
          <cell r="AW9">
            <v>10603057.18</v>
          </cell>
        </row>
        <row r="15">
          <cell r="AT15">
            <v>747620.15</v>
          </cell>
          <cell r="AW15">
            <v>747620.15</v>
          </cell>
        </row>
        <row r="16">
          <cell r="AT16">
            <v>7333041.4299999997</v>
          </cell>
          <cell r="AW16">
            <v>7333041.4299999997</v>
          </cell>
        </row>
        <row r="17">
          <cell r="AT17">
            <v>12463733.970000001</v>
          </cell>
          <cell r="AW17">
            <v>5233183.34</v>
          </cell>
        </row>
        <row r="21">
          <cell r="AT21">
            <v>29227889.210000001</v>
          </cell>
          <cell r="AW21">
            <v>26727889.210000001</v>
          </cell>
        </row>
        <row r="22">
          <cell r="AT22">
            <v>301000</v>
          </cell>
          <cell r="AW22">
            <v>101000</v>
          </cell>
        </row>
        <row r="23">
          <cell r="AT23">
            <v>425000</v>
          </cell>
          <cell r="AW23">
            <v>198500</v>
          </cell>
        </row>
        <row r="24">
          <cell r="AT24">
            <v>3554180</v>
          </cell>
          <cell r="AW24">
            <v>2500000</v>
          </cell>
        </row>
        <row r="25">
          <cell r="AT25">
            <v>516003</v>
          </cell>
          <cell r="AW25">
            <v>743000</v>
          </cell>
        </row>
        <row r="26">
          <cell r="AT26">
            <v>2001301</v>
          </cell>
          <cell r="AW26">
            <v>2097457.63</v>
          </cell>
        </row>
        <row r="27">
          <cell r="AT27">
            <v>0</v>
          </cell>
          <cell r="AW27">
            <v>1591812.54</v>
          </cell>
        </row>
        <row r="28">
          <cell r="AT28">
            <v>250000</v>
          </cell>
          <cell r="AW28">
            <v>250000</v>
          </cell>
        </row>
        <row r="29">
          <cell r="AT29">
            <v>291700</v>
          </cell>
          <cell r="AW29">
            <v>251800</v>
          </cell>
        </row>
        <row r="30">
          <cell r="AT30">
            <v>762711.86</v>
          </cell>
          <cell r="AW30">
            <v>338983.05</v>
          </cell>
        </row>
        <row r="31">
          <cell r="AT31">
            <v>3447000</v>
          </cell>
          <cell r="AW31">
            <v>3447000</v>
          </cell>
        </row>
        <row r="37">
          <cell r="AT37">
            <v>0</v>
          </cell>
          <cell r="AW37">
            <v>0</v>
          </cell>
        </row>
        <row r="46">
          <cell r="C46">
            <v>13107078760.320002</v>
          </cell>
          <cell r="D46">
            <v>12840566767.086704</v>
          </cell>
          <cell r="E46">
            <v>13003948210.370001</v>
          </cell>
          <cell r="F46">
            <v>12787087750.089998</v>
          </cell>
          <cell r="G46">
            <v>9043316624.7603512</v>
          </cell>
          <cell r="H46">
            <v>9119566343.3937607</v>
          </cell>
          <cell r="J46">
            <v>242294379.56624025</v>
          </cell>
          <cell r="N46">
            <v>138308476.67397663</v>
          </cell>
          <cell r="P46">
            <v>1352994783.3780797</v>
          </cell>
          <cell r="R46">
            <v>10787467670.074478</v>
          </cell>
          <cell r="T46">
            <v>1.9942296840245177</v>
          </cell>
          <cell r="U46">
            <v>72612163.736400396</v>
          </cell>
          <cell r="AD46">
            <v>5256853811.0050049</v>
          </cell>
          <cell r="AE46">
            <v>5301472637.5</v>
          </cell>
          <cell r="AF46">
            <v>44618826.494994968</v>
          </cell>
        </row>
      </sheetData>
      <sheetData sheetId="21"/>
      <sheetData sheetId="22">
        <row r="7">
          <cell r="AT7">
            <v>0</v>
          </cell>
          <cell r="AW7">
            <v>0</v>
          </cell>
        </row>
        <row r="8">
          <cell r="AT8">
            <v>0</v>
          </cell>
          <cell r="AW8">
            <v>0</v>
          </cell>
        </row>
        <row r="9">
          <cell r="AT9">
            <v>12987909.26</v>
          </cell>
          <cell r="AW9">
            <v>12987909.26</v>
          </cell>
        </row>
        <row r="10">
          <cell r="AT10">
            <v>0</v>
          </cell>
          <cell r="AW10">
            <v>0</v>
          </cell>
        </row>
        <row r="11">
          <cell r="AT11">
            <v>7872740.1900000004</v>
          </cell>
          <cell r="AW11">
            <v>0</v>
          </cell>
        </row>
        <row r="12">
          <cell r="AT12">
            <v>42303129.32</v>
          </cell>
          <cell r="AW12">
            <v>40621221.719999999</v>
          </cell>
        </row>
        <row r="13">
          <cell r="AT13">
            <v>27817299.57</v>
          </cell>
          <cell r="AW13">
            <v>16986197.800000001</v>
          </cell>
        </row>
        <row r="14">
          <cell r="AT14">
            <v>145482811.05000001</v>
          </cell>
          <cell r="AW14">
            <v>142044251.72999999</v>
          </cell>
        </row>
        <row r="15">
          <cell r="AT15">
            <v>16200989.359999999</v>
          </cell>
          <cell r="AW15">
            <v>16200989.359999999</v>
          </cell>
        </row>
        <row r="16">
          <cell r="AT16">
            <v>8547171.5999999996</v>
          </cell>
          <cell r="AW16">
            <v>8547171.5999999996</v>
          </cell>
        </row>
        <row r="17">
          <cell r="AT17">
            <v>3391273.39</v>
          </cell>
          <cell r="AW17">
            <v>3391273.39</v>
          </cell>
        </row>
        <row r="18">
          <cell r="AT18">
            <v>30192565.170000002</v>
          </cell>
          <cell r="AW18">
            <v>30192565.170000002</v>
          </cell>
        </row>
        <row r="19">
          <cell r="AT19">
            <v>238271.19</v>
          </cell>
          <cell r="AW19">
            <v>238271.19</v>
          </cell>
        </row>
        <row r="20">
          <cell r="AT20">
            <v>10568732.689999999</v>
          </cell>
          <cell r="AW20">
            <v>10568732.689999999</v>
          </cell>
        </row>
        <row r="21">
          <cell r="AT21">
            <v>38711772.299999997</v>
          </cell>
          <cell r="AW21">
            <v>38711772.299999997</v>
          </cell>
        </row>
        <row r="22">
          <cell r="AT22">
            <v>42000</v>
          </cell>
          <cell r="AW22">
            <v>61000</v>
          </cell>
        </row>
        <row r="23">
          <cell r="AT23">
            <v>0</v>
          </cell>
          <cell r="AW23">
            <v>0</v>
          </cell>
        </row>
        <row r="24">
          <cell r="AT24">
            <v>0</v>
          </cell>
          <cell r="AW24">
            <v>0</v>
          </cell>
        </row>
        <row r="25">
          <cell r="AT25">
            <v>0</v>
          </cell>
          <cell r="AW25">
            <v>0</v>
          </cell>
        </row>
        <row r="26">
          <cell r="AT26">
            <v>0</v>
          </cell>
          <cell r="AW26">
            <v>0</v>
          </cell>
        </row>
        <row r="27">
          <cell r="AT27">
            <v>3461959.05</v>
          </cell>
          <cell r="AW27">
            <v>500000</v>
          </cell>
        </row>
        <row r="28">
          <cell r="AT28">
            <v>2800000</v>
          </cell>
          <cell r="AW28">
            <v>300000</v>
          </cell>
        </row>
        <row r="29">
          <cell r="AT29">
            <v>0</v>
          </cell>
          <cell r="AW29">
            <v>0</v>
          </cell>
        </row>
        <row r="30">
          <cell r="AT30">
            <v>206720.96</v>
          </cell>
          <cell r="AW30">
            <v>190000</v>
          </cell>
        </row>
        <row r="31">
          <cell r="AT31">
            <v>2753241.55</v>
          </cell>
          <cell r="AW31">
            <v>2753241.55</v>
          </cell>
        </row>
        <row r="32">
          <cell r="AT32">
            <v>0</v>
          </cell>
          <cell r="AW32">
            <v>0</v>
          </cell>
        </row>
        <row r="33">
          <cell r="AT33">
            <v>0</v>
          </cell>
          <cell r="AW33">
            <v>0</v>
          </cell>
        </row>
        <row r="34">
          <cell r="AT34">
            <v>0</v>
          </cell>
          <cell r="AW34">
            <v>0</v>
          </cell>
        </row>
        <row r="35">
          <cell r="AT35">
            <v>0</v>
          </cell>
          <cell r="AW35">
            <v>0</v>
          </cell>
        </row>
        <row r="38">
          <cell r="C38">
            <v>1971547871.3099999</v>
          </cell>
          <cell r="D38">
            <v>1147195663.0700002</v>
          </cell>
          <cell r="E38">
            <v>1726964956.96</v>
          </cell>
          <cell r="F38">
            <v>1694317484.6199999</v>
          </cell>
          <cell r="G38">
            <v>1377038698.7072806</v>
          </cell>
          <cell r="H38">
            <v>1429751852.2800002</v>
          </cell>
          <cell r="J38">
            <v>1764175.189999897</v>
          </cell>
          <cell r="N38">
            <v>93267646.999400035</v>
          </cell>
          <cell r="P38">
            <v>-73588726.789999977</v>
          </cell>
          <cell r="R38">
            <v>1376035887.7600002</v>
          </cell>
          <cell r="T38">
            <v>8.8068148418633001</v>
          </cell>
          <cell r="U38">
            <v>18108587.079999972</v>
          </cell>
        </row>
        <row r="41">
          <cell r="AT41">
            <v>650260</v>
          </cell>
          <cell r="AW41">
            <v>606660</v>
          </cell>
        </row>
        <row r="42">
          <cell r="AT42">
            <v>361889.03</v>
          </cell>
          <cell r="AW42">
            <v>388485.29</v>
          </cell>
        </row>
        <row r="43">
          <cell r="AT43">
            <v>162099.73000000001</v>
          </cell>
          <cell r="AW43">
            <v>166218.98000000001</v>
          </cell>
        </row>
        <row r="44">
          <cell r="AT44">
            <v>203259.73</v>
          </cell>
          <cell r="AW44">
            <v>203259.73</v>
          </cell>
        </row>
        <row r="45">
          <cell r="AT45">
            <v>183740</v>
          </cell>
          <cell r="AW45">
            <v>10850</v>
          </cell>
        </row>
        <row r="46">
          <cell r="AT46">
            <v>164739.81</v>
          </cell>
          <cell r="AW46">
            <v>155179.89000000001</v>
          </cell>
        </row>
        <row r="47">
          <cell r="AT47">
            <v>354150.5</v>
          </cell>
          <cell r="AW47">
            <v>320030</v>
          </cell>
        </row>
        <row r="48">
          <cell r="AT48">
            <v>841191.9</v>
          </cell>
          <cell r="AW48">
            <v>1034191.9</v>
          </cell>
        </row>
        <row r="49">
          <cell r="AT49">
            <v>233153.86</v>
          </cell>
          <cell r="AW49">
            <v>247531.61</v>
          </cell>
        </row>
        <row r="50">
          <cell r="AT50">
            <v>306708.5</v>
          </cell>
          <cell r="AW50">
            <v>256746.27</v>
          </cell>
        </row>
        <row r="51">
          <cell r="AT51">
            <v>44689.2</v>
          </cell>
          <cell r="AW51">
            <v>2432097.7000000002</v>
          </cell>
        </row>
        <row r="52">
          <cell r="AT52">
            <v>290329.51</v>
          </cell>
          <cell r="AW52">
            <v>296884.52</v>
          </cell>
        </row>
        <row r="53">
          <cell r="AT53">
            <v>326388.01</v>
          </cell>
          <cell r="AW53">
            <v>313939.33</v>
          </cell>
        </row>
        <row r="54">
          <cell r="AT54">
            <v>23100</v>
          </cell>
          <cell r="AW54">
            <v>374091.52000000002</v>
          </cell>
        </row>
        <row r="55">
          <cell r="AT55">
            <v>40000</v>
          </cell>
          <cell r="AW55">
            <v>80885.5</v>
          </cell>
        </row>
        <row r="56">
          <cell r="AT56">
            <v>10522.21</v>
          </cell>
          <cell r="AW56">
            <v>118000</v>
          </cell>
        </row>
        <row r="57">
          <cell r="AT57">
            <v>0</v>
          </cell>
          <cell r="AW57">
            <v>0</v>
          </cell>
        </row>
        <row r="58">
          <cell r="AT58">
            <v>0</v>
          </cell>
          <cell r="AW58">
            <v>0</v>
          </cell>
        </row>
        <row r="59">
          <cell r="AT59">
            <v>0</v>
          </cell>
          <cell r="AW59">
            <v>4517196.93</v>
          </cell>
        </row>
        <row r="60">
          <cell r="AT60">
            <v>90000</v>
          </cell>
          <cell r="AW60">
            <v>582953.68000000005</v>
          </cell>
        </row>
        <row r="61">
          <cell r="AT61">
            <v>27641.3</v>
          </cell>
          <cell r="AW61">
            <v>27641.3</v>
          </cell>
        </row>
        <row r="65">
          <cell r="AT65">
            <v>581550.78</v>
          </cell>
          <cell r="AW65">
            <v>0</v>
          </cell>
        </row>
        <row r="66">
          <cell r="AT66">
            <v>53471.08</v>
          </cell>
          <cell r="AW66">
            <v>0</v>
          </cell>
        </row>
        <row r="67">
          <cell r="AT67">
            <v>4579392.0999999996</v>
          </cell>
          <cell r="AW67">
            <v>8512028.2899999991</v>
          </cell>
        </row>
      </sheetData>
      <sheetData sheetId="23">
        <row r="33">
          <cell r="C33">
            <v>33807223.539999999</v>
          </cell>
          <cell r="D33">
            <v>29330671.741998594</v>
          </cell>
          <cell r="E33">
            <v>30309852.469999999</v>
          </cell>
          <cell r="F33">
            <v>37457056.960000001</v>
          </cell>
          <cell r="G33">
            <v>21330297.715960819</v>
          </cell>
          <cell r="H33">
            <v>0</v>
          </cell>
          <cell r="J33">
            <v>34121112.660000011</v>
          </cell>
          <cell r="N33">
            <v>14868725.040000003</v>
          </cell>
          <cell r="P33">
            <v>6281786.6099999985</v>
          </cell>
          <cell r="R33">
            <v>12970601.01</v>
          </cell>
          <cell r="T33">
            <v>21150511.649999995</v>
          </cell>
          <cell r="U33">
            <v>20945887.770000003</v>
          </cell>
          <cell r="Y33">
            <v>36498418.410000004</v>
          </cell>
          <cell r="Z33">
            <v>2377305.7499999995</v>
          </cell>
          <cell r="AA33">
            <v>27968018.504401542</v>
          </cell>
        </row>
      </sheetData>
      <sheetData sheetId="24">
        <row r="7">
          <cell r="AT7">
            <v>2648568.9</v>
          </cell>
          <cell r="AW7">
            <v>2708591.9</v>
          </cell>
        </row>
        <row r="8">
          <cell r="AT8">
            <v>58612.480000000003</v>
          </cell>
          <cell r="AW8">
            <v>31683.87</v>
          </cell>
        </row>
        <row r="9">
          <cell r="AT9">
            <v>950000</v>
          </cell>
          <cell r="AW9">
            <v>978000</v>
          </cell>
        </row>
        <row r="10">
          <cell r="AT10">
            <v>212389</v>
          </cell>
          <cell r="AW10">
            <v>242389</v>
          </cell>
        </row>
        <row r="11">
          <cell r="AT11">
            <v>875539.18</v>
          </cell>
          <cell r="AW11">
            <v>748586.85</v>
          </cell>
        </row>
        <row r="12">
          <cell r="AT12">
            <v>1000000</v>
          </cell>
          <cell r="AW12">
            <v>1666831.73</v>
          </cell>
        </row>
        <row r="13">
          <cell r="AT13">
            <v>38180.47</v>
          </cell>
          <cell r="AW13">
            <v>50000</v>
          </cell>
        </row>
        <row r="14">
          <cell r="AT14">
            <v>53300</v>
          </cell>
          <cell r="AW14">
            <v>53305.17</v>
          </cell>
        </row>
        <row r="15">
          <cell r="AT15">
            <v>0</v>
          </cell>
          <cell r="AW15">
            <v>0</v>
          </cell>
        </row>
        <row r="16">
          <cell r="AT16">
            <v>2427644</v>
          </cell>
          <cell r="AW16">
            <v>2427644</v>
          </cell>
        </row>
        <row r="17">
          <cell r="AT17">
            <v>46455.67</v>
          </cell>
          <cell r="AW17">
            <v>46455.67</v>
          </cell>
        </row>
        <row r="18">
          <cell r="AT18">
            <v>428702.99</v>
          </cell>
          <cell r="AW18">
            <v>415042.79</v>
          </cell>
        </row>
        <row r="19">
          <cell r="AT19">
            <v>0</v>
          </cell>
          <cell r="AW19">
            <v>0</v>
          </cell>
        </row>
        <row r="23">
          <cell r="AT23">
            <v>143050.51</v>
          </cell>
          <cell r="AW23">
            <v>197702.41</v>
          </cell>
        </row>
        <row r="24">
          <cell r="AT24">
            <v>1031085.07</v>
          </cell>
          <cell r="AW24">
            <v>1029085.09</v>
          </cell>
        </row>
        <row r="25">
          <cell r="AT25">
            <v>80179.259999999995</v>
          </cell>
          <cell r="AW25">
            <v>99929.26</v>
          </cell>
        </row>
        <row r="26">
          <cell r="AT26">
            <v>292669.67</v>
          </cell>
          <cell r="AW26">
            <v>292669.67</v>
          </cell>
        </row>
        <row r="27">
          <cell r="AT27">
            <v>1468196.42</v>
          </cell>
          <cell r="AW27">
            <v>1484317.44</v>
          </cell>
        </row>
        <row r="28">
          <cell r="AT28">
            <v>16994000</v>
          </cell>
          <cell r="AW28">
            <v>16841000</v>
          </cell>
        </row>
        <row r="29">
          <cell r="AT29">
            <v>154000</v>
          </cell>
          <cell r="AW29">
            <v>118774.83</v>
          </cell>
        </row>
        <row r="30">
          <cell r="AT30">
            <v>220431.11</v>
          </cell>
          <cell r="AW30">
            <v>220431</v>
          </cell>
        </row>
        <row r="31">
          <cell r="AT31">
            <v>4335337.08</v>
          </cell>
          <cell r="AW31">
            <v>4335337.08</v>
          </cell>
        </row>
        <row r="32">
          <cell r="AT32">
            <v>3489966.1</v>
          </cell>
          <cell r="AW32">
            <v>3489966.1</v>
          </cell>
        </row>
        <row r="33">
          <cell r="AT33">
            <v>1598774.79</v>
          </cell>
          <cell r="AW33">
            <v>2197000</v>
          </cell>
        </row>
        <row r="34">
          <cell r="AT34">
            <v>816521.91</v>
          </cell>
          <cell r="AW34">
            <v>1758378.3</v>
          </cell>
        </row>
        <row r="35">
          <cell r="AT35">
            <v>0</v>
          </cell>
          <cell r="AW35">
            <v>0</v>
          </cell>
        </row>
        <row r="36">
          <cell r="AT36">
            <v>194922.2</v>
          </cell>
          <cell r="AW36">
            <v>184400</v>
          </cell>
        </row>
        <row r="37">
          <cell r="AT37">
            <v>99354.92</v>
          </cell>
          <cell r="AW37">
            <v>165000</v>
          </cell>
        </row>
        <row r="38">
          <cell r="AT38">
            <v>10985.71</v>
          </cell>
          <cell r="AW38">
            <v>6971.42</v>
          </cell>
        </row>
        <row r="39">
          <cell r="AT39">
            <v>55000</v>
          </cell>
          <cell r="AW39">
            <v>185611.29</v>
          </cell>
        </row>
        <row r="40">
          <cell r="AT40">
            <v>300000</v>
          </cell>
          <cell r="AW40">
            <v>1870499</v>
          </cell>
        </row>
        <row r="41">
          <cell r="AT41">
            <v>306000</v>
          </cell>
          <cell r="AW41">
            <v>459000</v>
          </cell>
        </row>
        <row r="45">
          <cell r="AT45">
            <v>74064</v>
          </cell>
          <cell r="AW45">
            <v>84309.49</v>
          </cell>
        </row>
        <row r="46">
          <cell r="AT46">
            <v>286270.18</v>
          </cell>
          <cell r="AW46">
            <v>300594.73</v>
          </cell>
        </row>
        <row r="47">
          <cell r="AT47">
            <v>795979.9</v>
          </cell>
          <cell r="AW47">
            <v>905633.41</v>
          </cell>
        </row>
        <row r="48">
          <cell r="AT48">
            <v>0</v>
          </cell>
          <cell r="AW48">
            <v>0</v>
          </cell>
        </row>
        <row r="49">
          <cell r="AT49">
            <v>166142.65</v>
          </cell>
          <cell r="AW49">
            <v>0</v>
          </cell>
        </row>
        <row r="50">
          <cell r="AT50">
            <v>1171705.72</v>
          </cell>
          <cell r="AW50">
            <v>1171705.72</v>
          </cell>
        </row>
        <row r="51">
          <cell r="AT51">
            <v>1006020.08</v>
          </cell>
          <cell r="AW51">
            <v>966020.1</v>
          </cell>
        </row>
        <row r="52">
          <cell r="AT52">
            <v>23612.57</v>
          </cell>
          <cell r="AW52">
            <v>23612.57</v>
          </cell>
        </row>
        <row r="53">
          <cell r="AT53">
            <v>2776633.89</v>
          </cell>
          <cell r="AW53">
            <v>2776633.89</v>
          </cell>
        </row>
        <row r="54">
          <cell r="AT54">
            <v>186357.09</v>
          </cell>
          <cell r="AW54">
            <v>186357.09</v>
          </cell>
        </row>
        <row r="55">
          <cell r="AT55">
            <v>345359.73</v>
          </cell>
          <cell r="AW55">
            <v>345359.73</v>
          </cell>
        </row>
        <row r="56">
          <cell r="AT56">
            <v>98731.33</v>
          </cell>
          <cell r="AW56">
            <v>0</v>
          </cell>
        </row>
        <row r="57">
          <cell r="AT57">
            <v>74205.509999999995</v>
          </cell>
          <cell r="AW57">
            <v>74205.509999999995</v>
          </cell>
        </row>
        <row r="58">
          <cell r="AT58">
            <v>63695.86</v>
          </cell>
          <cell r="AW58">
            <v>0</v>
          </cell>
        </row>
        <row r="59">
          <cell r="AT59">
            <v>0</v>
          </cell>
          <cell r="AW59">
            <v>0</v>
          </cell>
        </row>
        <row r="63">
          <cell r="AT63">
            <v>0</v>
          </cell>
          <cell r="AW63">
            <v>0</v>
          </cell>
        </row>
        <row r="64">
          <cell r="AT64">
            <v>48441.264999999999</v>
          </cell>
          <cell r="AW64">
            <v>48441.264999999999</v>
          </cell>
        </row>
        <row r="65">
          <cell r="AT65">
            <v>250685.34</v>
          </cell>
          <cell r="AW65">
            <v>250685.34</v>
          </cell>
        </row>
        <row r="66">
          <cell r="AT66">
            <v>1026295.49</v>
          </cell>
          <cell r="AW66">
            <v>1026295.48</v>
          </cell>
        </row>
        <row r="67">
          <cell r="AT67">
            <v>205131.16</v>
          </cell>
          <cell r="AW67">
            <v>205131.15</v>
          </cell>
        </row>
        <row r="68">
          <cell r="AT68">
            <v>737670.98</v>
          </cell>
          <cell r="AW68">
            <v>737670.98</v>
          </cell>
        </row>
        <row r="69">
          <cell r="AT69">
            <v>395226.4</v>
          </cell>
          <cell r="AW69">
            <v>395226.41</v>
          </cell>
        </row>
        <row r="70">
          <cell r="AT70">
            <v>18886867.82</v>
          </cell>
          <cell r="AW70">
            <v>20430474.280000001</v>
          </cell>
        </row>
        <row r="74">
          <cell r="AT74">
            <v>22000</v>
          </cell>
          <cell r="AW74">
            <v>4711.1499999999996</v>
          </cell>
        </row>
        <row r="75">
          <cell r="AT75">
            <v>702000</v>
          </cell>
          <cell r="AW75">
            <v>288365.24</v>
          </cell>
        </row>
        <row r="76">
          <cell r="AT76">
            <v>91723.6</v>
          </cell>
          <cell r="AW76">
            <v>65000</v>
          </cell>
        </row>
        <row r="77">
          <cell r="AT77">
            <v>1442933.75</v>
          </cell>
          <cell r="AW77">
            <v>440000</v>
          </cell>
        </row>
        <row r="78">
          <cell r="AT78">
            <v>1391239.8</v>
          </cell>
          <cell r="AW78">
            <v>1391240.03</v>
          </cell>
        </row>
        <row r="79">
          <cell r="AT79">
            <v>817006.4</v>
          </cell>
          <cell r="AW79">
            <v>839740</v>
          </cell>
        </row>
        <row r="80">
          <cell r="AT80">
            <v>375800</v>
          </cell>
          <cell r="AW80">
            <v>375800</v>
          </cell>
        </row>
        <row r="81">
          <cell r="AT81">
            <v>46134.11</v>
          </cell>
          <cell r="AW81">
            <v>46600</v>
          </cell>
        </row>
        <row r="82">
          <cell r="AT82">
            <v>1282056.8799999999</v>
          </cell>
          <cell r="AW82">
            <v>570346.88</v>
          </cell>
        </row>
        <row r="83">
          <cell r="AT83">
            <v>794125</v>
          </cell>
          <cell r="AW83">
            <v>789025</v>
          </cell>
        </row>
        <row r="84">
          <cell r="AT84">
            <v>98224.76</v>
          </cell>
          <cell r="AW84">
            <v>118224.77</v>
          </cell>
        </row>
        <row r="85">
          <cell r="AT85">
            <v>17050</v>
          </cell>
          <cell r="AW85">
            <v>17050</v>
          </cell>
        </row>
        <row r="86">
          <cell r="AT86">
            <v>0</v>
          </cell>
          <cell r="AW86">
            <v>840</v>
          </cell>
        </row>
        <row r="87">
          <cell r="AT87">
            <v>154100</v>
          </cell>
          <cell r="AW87">
            <v>121984.33</v>
          </cell>
        </row>
        <row r="88">
          <cell r="AT88">
            <v>0</v>
          </cell>
          <cell r="AW88">
            <v>0</v>
          </cell>
        </row>
        <row r="92">
          <cell r="AT92">
            <v>1520573.4399999999</v>
          </cell>
          <cell r="AW92">
            <v>1095338.3700000001</v>
          </cell>
        </row>
        <row r="93">
          <cell r="AT93">
            <v>26594690.359999999</v>
          </cell>
          <cell r="AW93">
            <v>10672851.960000001</v>
          </cell>
        </row>
        <row r="94">
          <cell r="AT94">
            <v>11355920.32</v>
          </cell>
          <cell r="AW94">
            <v>4108583.01</v>
          </cell>
        </row>
        <row r="95">
          <cell r="AT95">
            <v>129953.76</v>
          </cell>
          <cell r="AW95">
            <v>0</v>
          </cell>
        </row>
        <row r="96">
          <cell r="AT96">
            <v>338836.4</v>
          </cell>
          <cell r="AW96">
            <v>219568.28</v>
          </cell>
        </row>
        <row r="97">
          <cell r="AT97">
            <v>73591.039999999994</v>
          </cell>
          <cell r="AW97">
            <v>0</v>
          </cell>
        </row>
        <row r="98">
          <cell r="AT98">
            <v>123497.99</v>
          </cell>
          <cell r="AW98">
            <v>87919.23</v>
          </cell>
        </row>
        <row r="99">
          <cell r="AT99">
            <v>32791148.859999999</v>
          </cell>
          <cell r="AW99">
            <v>10600845.390000001</v>
          </cell>
        </row>
        <row r="100">
          <cell r="AT100">
            <v>131134.84</v>
          </cell>
          <cell r="AW100">
            <v>4050000</v>
          </cell>
        </row>
        <row r="101">
          <cell r="AT101">
            <v>10019646.93</v>
          </cell>
          <cell r="AW101">
            <v>8402099.4800000004</v>
          </cell>
        </row>
        <row r="102">
          <cell r="AT102">
            <v>901385.66</v>
          </cell>
          <cell r="AW102">
            <v>11926.58</v>
          </cell>
        </row>
        <row r="103">
          <cell r="AT103">
            <v>366720.27</v>
          </cell>
          <cell r="AW103">
            <v>243279.73</v>
          </cell>
        </row>
        <row r="107">
          <cell r="AT107">
            <v>5259826.33</v>
          </cell>
          <cell r="AW107">
            <v>2948337.7</v>
          </cell>
        </row>
        <row r="108">
          <cell r="AT108">
            <v>30000</v>
          </cell>
          <cell r="AW108">
            <v>5482.64</v>
          </cell>
        </row>
        <row r="109">
          <cell r="AT109">
            <v>275932.14</v>
          </cell>
          <cell r="AW109">
            <v>0</v>
          </cell>
        </row>
        <row r="110">
          <cell r="AT110">
            <v>256186.23999999999</v>
          </cell>
          <cell r="AW110">
            <v>0</v>
          </cell>
        </row>
        <row r="111">
          <cell r="AT111">
            <v>332796.24</v>
          </cell>
          <cell r="AW111">
            <v>174012.38</v>
          </cell>
        </row>
        <row r="112">
          <cell r="AT112">
            <v>811283.4</v>
          </cell>
          <cell r="AW112">
            <v>0</v>
          </cell>
        </row>
        <row r="116">
          <cell r="AT116">
            <v>68042.899999999994</v>
          </cell>
          <cell r="AW116">
            <v>71426.61</v>
          </cell>
        </row>
        <row r="120">
          <cell r="AT120">
            <v>0</v>
          </cell>
          <cell r="AW120">
            <v>0</v>
          </cell>
        </row>
        <row r="123">
          <cell r="C123">
            <v>524248570.35999995</v>
          </cell>
          <cell r="D123">
            <v>551006540.28217936</v>
          </cell>
          <cell r="E123">
            <v>626623354.97628915</v>
          </cell>
          <cell r="F123">
            <v>571947351.69999993</v>
          </cell>
          <cell r="G123">
            <v>487144962.26967406</v>
          </cell>
          <cell r="H123">
            <v>615004670.36999989</v>
          </cell>
          <cell r="J123">
            <v>-12855993.799999999</v>
          </cell>
          <cell r="N123">
            <v>36107551.448285595</v>
          </cell>
          <cell r="P123">
            <v>-83741410.939999998</v>
          </cell>
          <cell r="R123">
            <v>555067656.37000012</v>
          </cell>
          <cell r="T123">
            <v>15.087701702611639</v>
          </cell>
          <cell r="U123">
            <v>36660390.739999995</v>
          </cell>
          <cell r="AD123">
            <v>260369674.79000002</v>
          </cell>
          <cell r="AE123">
            <v>265509570.76999998</v>
          </cell>
          <cell r="AF123">
            <v>5139895.979999993</v>
          </cell>
        </row>
      </sheetData>
      <sheetData sheetId="25">
        <row r="9">
          <cell r="C9">
            <v>20461641.66</v>
          </cell>
          <cell r="D9">
            <v>17314724.030000001</v>
          </cell>
          <cell r="E9">
            <v>22657000</v>
          </cell>
          <cell r="F9">
            <v>21084032.25</v>
          </cell>
          <cell r="G9">
            <v>17114927.888876371</v>
          </cell>
          <cell r="H9">
            <v>0</v>
          </cell>
          <cell r="J9">
            <v>24198538.84</v>
          </cell>
          <cell r="N9">
            <v>10752756.42</v>
          </cell>
          <cell r="P9">
            <v>6660488.5300000003</v>
          </cell>
          <cell r="R9">
            <v>6785293.8899999997</v>
          </cell>
          <cell r="T9">
            <v>17413244.949999999</v>
          </cell>
          <cell r="U9">
            <v>17646166.140000001</v>
          </cell>
          <cell r="Y9">
            <v>22480210.900000002</v>
          </cell>
          <cell r="Z9">
            <v>-1718327.9399999997</v>
          </cell>
          <cell r="AA9">
            <v>18056248.922764566</v>
          </cell>
        </row>
      </sheetData>
      <sheetData sheetId="26">
        <row r="7">
          <cell r="AT7">
            <v>9116973.8399999999</v>
          </cell>
          <cell r="AW7">
            <v>8924926.3000000007</v>
          </cell>
        </row>
        <row r="8">
          <cell r="AT8">
            <v>1606075.92</v>
          </cell>
          <cell r="AW8">
            <v>1645711.52</v>
          </cell>
        </row>
        <row r="9">
          <cell r="AT9">
            <v>17500000</v>
          </cell>
          <cell r="AW9">
            <v>22900000</v>
          </cell>
        </row>
        <row r="13">
          <cell r="AT13">
            <v>87319043.430000007</v>
          </cell>
          <cell r="AW13">
            <v>87238111.129999995</v>
          </cell>
        </row>
        <row r="14">
          <cell r="AT14">
            <v>0</v>
          </cell>
          <cell r="AW14">
            <v>0</v>
          </cell>
        </row>
        <row r="15">
          <cell r="AT15">
            <v>23610.22</v>
          </cell>
          <cell r="AW15">
            <v>23610.22</v>
          </cell>
        </row>
        <row r="18">
          <cell r="AT18">
            <v>156890.20000000001</v>
          </cell>
          <cell r="AW18">
            <v>156590.20000000001</v>
          </cell>
        </row>
        <row r="19">
          <cell r="AT19">
            <v>251540.16</v>
          </cell>
          <cell r="AW19">
            <v>240576.18</v>
          </cell>
        </row>
        <row r="20">
          <cell r="AT20">
            <v>571998.39</v>
          </cell>
          <cell r="AW20">
            <v>571998.39</v>
          </cell>
        </row>
        <row r="22">
          <cell r="AT22">
            <v>2782.7</v>
          </cell>
          <cell r="AW22">
            <v>3901.15</v>
          </cell>
        </row>
        <row r="24">
          <cell r="AT24">
            <v>0</v>
          </cell>
          <cell r="AW24">
            <v>40740.14</v>
          </cell>
        </row>
        <row r="25">
          <cell r="AT25">
            <v>91634.14</v>
          </cell>
          <cell r="AW25">
            <v>59790.029999999992</v>
          </cell>
        </row>
        <row r="27">
          <cell r="AT27">
            <v>1585597.56</v>
          </cell>
          <cell r="AW27">
            <v>1590868.77</v>
          </cell>
        </row>
        <row r="28">
          <cell r="AT28">
            <v>0</v>
          </cell>
          <cell r="AW28">
            <v>9780869.2000000011</v>
          </cell>
        </row>
        <row r="29">
          <cell r="AT29">
            <v>0</v>
          </cell>
          <cell r="AW29">
            <v>949698.04</v>
          </cell>
        </row>
        <row r="30">
          <cell r="AT30">
            <v>8793214.0991810877</v>
          </cell>
          <cell r="AW30">
            <v>8290833.9564714236</v>
          </cell>
        </row>
        <row r="32">
          <cell r="AT32">
            <v>20000000</v>
          </cell>
          <cell r="AW32">
            <v>20000000</v>
          </cell>
        </row>
        <row r="35">
          <cell r="AT35">
            <v>5782715.5051999995</v>
          </cell>
          <cell r="AW35">
            <v>4469246.2331999997</v>
          </cell>
        </row>
        <row r="37">
          <cell r="AW37">
            <v>750000</v>
          </cell>
        </row>
        <row r="38">
          <cell r="AT38">
            <v>10500000</v>
          </cell>
          <cell r="AW38">
            <v>11500000</v>
          </cell>
        </row>
        <row r="53">
          <cell r="AT53">
            <v>144215550.32999998</v>
          </cell>
          <cell r="AW53">
            <v>144381924.93000004</v>
          </cell>
        </row>
        <row r="54">
          <cell r="AT54">
            <v>123248669.15050791</v>
          </cell>
          <cell r="AW54">
            <v>85520928.108160004</v>
          </cell>
        </row>
        <row r="55">
          <cell r="AT55">
            <v>8339479.3855999997</v>
          </cell>
          <cell r="AW55">
            <v>8082353.5706000011</v>
          </cell>
        </row>
        <row r="56">
          <cell r="AT56">
            <v>1151034.8</v>
          </cell>
          <cell r="AW56">
            <v>1338193.4900000002</v>
          </cell>
        </row>
        <row r="57">
          <cell r="AT57">
            <v>330000</v>
          </cell>
          <cell r="AW57">
            <v>330000</v>
          </cell>
        </row>
        <row r="58">
          <cell r="AT58">
            <v>1781382.9999999998</v>
          </cell>
          <cell r="AW58">
            <v>2538242</v>
          </cell>
        </row>
        <row r="59">
          <cell r="AT59">
            <v>3047584.02</v>
          </cell>
          <cell r="AW59">
            <v>3027614.59</v>
          </cell>
        </row>
        <row r="60">
          <cell r="AT60">
            <v>19518670.783724003</v>
          </cell>
          <cell r="AW60">
            <v>5592144.903996001</v>
          </cell>
        </row>
        <row r="61">
          <cell r="AT61">
            <v>0</v>
          </cell>
          <cell r="AW61">
            <v>0</v>
          </cell>
        </row>
        <row r="62">
          <cell r="AT62">
            <v>87178578.708361417</v>
          </cell>
          <cell r="AW62">
            <v>72491318.413886473</v>
          </cell>
        </row>
        <row r="63">
          <cell r="AT63">
            <v>2135549.4300000002</v>
          </cell>
          <cell r="AW63">
            <v>2224693.9699999997</v>
          </cell>
        </row>
        <row r="64">
          <cell r="AT64">
            <v>1495540</v>
          </cell>
          <cell r="AW64">
            <v>252000</v>
          </cell>
        </row>
        <row r="65">
          <cell r="AT65">
            <v>0</v>
          </cell>
          <cell r="AW65">
            <v>0</v>
          </cell>
        </row>
        <row r="66">
          <cell r="AT66">
            <v>0</v>
          </cell>
          <cell r="AW66">
            <v>0</v>
          </cell>
        </row>
        <row r="67">
          <cell r="AT67">
            <v>128239.99999999999</v>
          </cell>
          <cell r="AW67">
            <v>324970</v>
          </cell>
        </row>
        <row r="68">
          <cell r="AT68">
            <v>530040</v>
          </cell>
          <cell r="AW68">
            <v>461430</v>
          </cell>
        </row>
        <row r="69">
          <cell r="AT69">
            <v>0</v>
          </cell>
          <cell r="AW69">
            <v>40420243.555469997</v>
          </cell>
        </row>
        <row r="70">
          <cell r="AT70">
            <v>0</v>
          </cell>
          <cell r="AW70">
            <v>555000</v>
          </cell>
        </row>
        <row r="71">
          <cell r="AT71">
            <v>57000</v>
          </cell>
          <cell r="AW71">
            <v>60900.000000000007</v>
          </cell>
        </row>
        <row r="72">
          <cell r="AT72">
            <v>325600</v>
          </cell>
          <cell r="AW72">
            <v>340800.00000000006</v>
          </cell>
        </row>
        <row r="73">
          <cell r="AT73">
            <v>296886.62</v>
          </cell>
          <cell r="AW73">
            <v>47721.705999999998</v>
          </cell>
        </row>
        <row r="74">
          <cell r="AT74">
            <v>109500</v>
          </cell>
          <cell r="AW74">
            <v>92500</v>
          </cell>
        </row>
        <row r="75">
          <cell r="AT75">
            <v>2050950.2194999999</v>
          </cell>
          <cell r="AW75">
            <v>13400949.522126298</v>
          </cell>
        </row>
        <row r="82">
          <cell r="C82">
            <v>2406776996.0860004</v>
          </cell>
          <cell r="D82">
            <v>1580799621.3</v>
          </cell>
          <cell r="E82">
            <v>1925791736.8848939</v>
          </cell>
          <cell r="F82">
            <v>2043264906.77</v>
          </cell>
          <cell r="G82">
            <v>1422754750.3692064</v>
          </cell>
          <cell r="H82">
            <v>2342384627.914515</v>
          </cell>
          <cell r="J82">
            <v>322446051.23548537</v>
          </cell>
          <cell r="N82">
            <v>598127006.5690093</v>
          </cell>
          <cell r="P82">
            <v>-313604353.71338391</v>
          </cell>
          <cell r="R82">
            <v>2719736459.6532812</v>
          </cell>
          <cell r="T82">
            <v>213.80948522379757</v>
          </cell>
          <cell r="U82">
            <v>368510134.21666443</v>
          </cell>
          <cell r="AD82">
            <v>1239164478.7568996</v>
          </cell>
          <cell r="AE82">
            <v>1542334915.6700001</v>
          </cell>
          <cell r="AF82">
            <v>303170436.91310018</v>
          </cell>
        </row>
      </sheetData>
      <sheetData sheetId="27">
        <row r="7">
          <cell r="AT7">
            <v>79948160.519999996</v>
          </cell>
          <cell r="AW7">
            <v>131360160.52</v>
          </cell>
        </row>
        <row r="8">
          <cell r="AT8">
            <v>0</v>
          </cell>
          <cell r="AW8">
            <v>0</v>
          </cell>
        </row>
        <row r="9">
          <cell r="AT9">
            <v>3021568.32</v>
          </cell>
          <cell r="AW9">
            <v>3588514.04</v>
          </cell>
        </row>
        <row r="10">
          <cell r="AT10">
            <v>2500000</v>
          </cell>
          <cell r="AW10">
            <v>2500000</v>
          </cell>
        </row>
        <row r="14">
          <cell r="AT14">
            <v>0</v>
          </cell>
          <cell r="AW14">
            <v>0</v>
          </cell>
        </row>
        <row r="16">
          <cell r="C16">
            <v>372764595.19000006</v>
          </cell>
          <cell r="D16">
            <v>0</v>
          </cell>
          <cell r="E16">
            <v>562525501</v>
          </cell>
          <cell r="F16">
            <v>221286840.26999998</v>
          </cell>
          <cell r="G16">
            <v>0</v>
          </cell>
          <cell r="H16">
            <v>448401188.65881407</v>
          </cell>
          <cell r="J16">
            <v>-179117881.68881404</v>
          </cell>
          <cell r="N16">
            <v>342568585.77999997</v>
          </cell>
          <cell r="P16">
            <v>73285278.810000002</v>
          </cell>
          <cell r="R16">
            <v>350508281.14000005</v>
          </cell>
          <cell r="T16">
            <v>0</v>
          </cell>
          <cell r="U16">
            <v>7939695.3600000227</v>
          </cell>
          <cell r="AD16">
            <v>137356503.41999999</v>
          </cell>
          <cell r="AE16">
            <v>127589877.74000001</v>
          </cell>
          <cell r="AF16">
            <v>-9766625.6799999978</v>
          </cell>
        </row>
      </sheetData>
      <sheetData sheetId="28"/>
      <sheetData sheetId="29"/>
      <sheetData sheetId="30"/>
      <sheetData sheetId="31"/>
      <sheetData sheetId="32"/>
      <sheetData sheetId="33"/>
      <sheetData sheetId="34"/>
      <sheetData sheetId="35"/>
      <sheetData sheetId="36"/>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ар. вар."/>
      <sheetName val="на  26.01.2015"/>
      <sheetName val="на  27.02.2015"/>
      <sheetName val="Лист2"/>
      <sheetName val="Лист3"/>
    </sheetNames>
    <sheetDataSet>
      <sheetData sheetId="0" refreshError="1"/>
      <sheetData sheetId="1" refreshError="1"/>
      <sheetData sheetId="2">
        <row r="25">
          <cell r="L25">
            <v>61.199704756120752</v>
          </cell>
        </row>
        <row r="26">
          <cell r="L26">
            <v>36.851297508189226</v>
          </cell>
        </row>
        <row r="27">
          <cell r="L27">
            <v>1.948997735690031</v>
          </cell>
        </row>
      </sheetData>
      <sheetData sheetId="3" refreshError="1"/>
      <sheetData sheetId="4"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нереализационные"/>
      <sheetName val="форма -2"/>
      <sheetName val="Бюджет на 2014"/>
      <sheetName val="Бюджет на 2014г. (2)"/>
      <sheetName val="Гл бух"/>
      <sheetName val="Дир_по фин"/>
      <sheetName val="Дир_по корп"/>
      <sheetName val="Дир_ по реал.услуг"/>
      <sheetName val="Дир_ имущ"/>
      <sheetName val="Гл инж_Тех дир"/>
      <sheetName val="Пом_ГД"/>
      <sheetName val="СБ"/>
      <sheetName val="Дир_по экон"/>
      <sheetName val="Дир_ по кап.стр."/>
      <sheetName val="Бюджет на 2014 по ЦФУ"/>
      <sheetName val="1.7 лимит расходов"/>
      <sheetName val="2.3 смета расходов"/>
      <sheetName val="7. смета расходов 2014"/>
      <sheetName val="8. лимит расходов 2014"/>
      <sheetName val="10. внереализ. расх 2014"/>
    </sheetNames>
    <sheetDataSet>
      <sheetData sheetId="0" refreshError="1"/>
      <sheetData sheetId="1" refreshError="1"/>
      <sheetData sheetId="2" refreshError="1"/>
      <sheetData sheetId="3" refreshError="1"/>
      <sheetData sheetId="4">
        <row r="10">
          <cell r="L10">
            <v>31378651.670000002</v>
          </cell>
          <cell r="M10">
            <v>29081741.670000002</v>
          </cell>
          <cell r="O10">
            <v>31378651.670000002</v>
          </cell>
          <cell r="Q10">
            <v>0</v>
          </cell>
        </row>
      </sheetData>
      <sheetData sheetId="5">
        <row r="14">
          <cell r="L14">
            <v>97257159.379999995</v>
          </cell>
          <cell r="M14">
            <v>-108792633.24000004</v>
          </cell>
          <cell r="O14">
            <v>97257159.379999995</v>
          </cell>
          <cell r="Q14">
            <v>0</v>
          </cell>
        </row>
      </sheetData>
      <sheetData sheetId="6">
        <row r="51">
          <cell r="L51">
            <v>4478237.7799999993</v>
          </cell>
          <cell r="M51">
            <v>-172267882.61999997</v>
          </cell>
          <cell r="O51">
            <v>4478237.7799999993</v>
          </cell>
          <cell r="Q51">
            <v>0</v>
          </cell>
        </row>
      </sheetData>
      <sheetData sheetId="7">
        <row r="35">
          <cell r="L35">
            <v>2473721486.0999994</v>
          </cell>
          <cell r="M35">
            <v>-2169668830.8299999</v>
          </cell>
          <cell r="O35">
            <v>2473721486.0999994</v>
          </cell>
          <cell r="Q35">
            <v>0</v>
          </cell>
        </row>
      </sheetData>
      <sheetData sheetId="8">
        <row r="34">
          <cell r="L34">
            <v>313169089.36000007</v>
          </cell>
          <cell r="M34">
            <v>-411248037.20000005</v>
          </cell>
          <cell r="O34">
            <v>313169089.36000007</v>
          </cell>
          <cell r="Q34">
            <v>0</v>
          </cell>
        </row>
      </sheetData>
      <sheetData sheetId="9">
        <row r="122">
          <cell r="L122">
            <v>106975169.75</v>
          </cell>
          <cell r="M122">
            <v>-153455474.56999996</v>
          </cell>
          <cell r="O122">
            <v>106975169.75</v>
          </cell>
          <cell r="Q122">
            <v>0</v>
          </cell>
        </row>
      </sheetData>
      <sheetData sheetId="10">
        <row r="25">
          <cell r="L25">
            <v>7924068.7299999995</v>
          </cell>
          <cell r="M25">
            <v>-4098008.9700000007</v>
          </cell>
          <cell r="O25">
            <v>7924068.7299999995</v>
          </cell>
          <cell r="Q25">
            <v>0</v>
          </cell>
        </row>
      </sheetData>
      <sheetData sheetId="11">
        <row r="9">
          <cell r="L9">
            <v>5390346.3700000001</v>
          </cell>
          <cell r="M9">
            <v>-5885741.79</v>
          </cell>
          <cell r="O9">
            <v>5390346.3700000001</v>
          </cell>
          <cell r="Q9">
            <v>0</v>
          </cell>
        </row>
      </sheetData>
      <sheetData sheetId="12">
        <row r="79">
          <cell r="L79">
            <v>620124739.53999996</v>
          </cell>
          <cell r="M79">
            <v>-500928660.76000011</v>
          </cell>
          <cell r="O79">
            <v>620124739.53999996</v>
          </cell>
          <cell r="Q79">
            <v>0</v>
          </cell>
        </row>
      </sheetData>
      <sheetData sheetId="13">
        <row r="9">
          <cell r="L9">
            <v>32961371.970000003</v>
          </cell>
          <cell r="M9">
            <v>-110794773.58000001</v>
          </cell>
          <cell r="O9">
            <v>32961371.970000003</v>
          </cell>
          <cell r="Q9">
            <v>0</v>
          </cell>
        </row>
      </sheetData>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Титульный"/>
      <sheetName val="Потери"/>
      <sheetName val="Проверка"/>
      <sheetName val="modProv"/>
      <sheetName val="TEHSHEET"/>
      <sheetName val="REESTR_ORG"/>
      <sheetName val="REESTR"/>
      <sheetName val="tech"/>
    </sheetNames>
    <sheetDataSet>
      <sheetData sheetId="0">
        <row r="2">
          <cell r="N2" t="e">
            <v>#VALUE!</v>
          </cell>
        </row>
      </sheetData>
      <sheetData sheetId="1">
        <row r="6">
          <cell r="F6" t="str">
            <v>Краснодарский край</v>
          </cell>
        </row>
        <row r="8">
          <cell r="G8" t="str">
            <v>Год</v>
          </cell>
        </row>
      </sheetData>
      <sheetData sheetId="2"/>
      <sheetData sheetId="3"/>
      <sheetData sheetId="4"/>
      <sheetData sheetId="5">
        <row r="2">
          <cell r="C2">
            <v>2008</v>
          </cell>
        </row>
      </sheetData>
      <sheetData sheetId="6">
        <row r="152">
          <cell r="H152" t="str">
            <v>ЗАО "МАРЭМ+"</v>
          </cell>
        </row>
      </sheetData>
      <sheetData sheetId="7"/>
      <sheetData sheetId="8"/>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подк.неподк."/>
      <sheetName val="2. НВВ "/>
      <sheetName val="1. инд. тарифы"/>
      <sheetName val="1.2, Балансовые показатели"/>
      <sheetName val="1.1.доходы по единым котловым"/>
      <sheetName val="2. долгоср.параметры"/>
      <sheetName val="3. П.1.1.2 баланс мощности"/>
      <sheetName val="П1.3 тех.расход потерь"/>
      <sheetName val="П1.4 баланс электроэнергии"/>
      <sheetName val="П1.5 мощность"/>
      <sheetName val="П1.6 полезный отпуск"/>
      <sheetName val="П1.30 отпсук эл_эн"/>
      <sheetName val="максим мощность"/>
      <sheetName val="максим мощность без Кр. пол."/>
      <sheetName val="4. Выпадающие 2012_2015"/>
      <sheetName val="доп_аналитика НВВ"/>
      <sheetName val="приобр.имущ."/>
      <sheetName val="бездоговорное"/>
      <sheetName val="приобр.обор."/>
      <sheetName val="5. Расчет для выпадающих"/>
      <sheetName val="амортизация"/>
      <sheetName val="рем.прогр."/>
      <sheetName val="автотр."/>
      <sheetName val="антитеррор"/>
      <sheetName val="тех.док."/>
      <sheetName val="аттестация ЭТЛ"/>
      <sheetName val="сертиф и инспек."/>
      <sheetName val="инспек.контроль"/>
      <sheetName val="трансп.усл."/>
      <sheetName val="НИР"/>
      <sheetName val="госпошлина"/>
      <sheetName val="налоги"/>
      <sheetName val="суд.издер."/>
      <sheetName val="штрафы"/>
      <sheetName val="проценты"/>
      <sheetName val="5. Реестр выпадающих доходов"/>
      <sheetName val="6. Расчет выпадающих по потерям"/>
      <sheetName val="7.1 Выпадающие ИП 2012"/>
      <sheetName val="Расчет процентов"/>
      <sheetName val="7.2 Выпадающие ИП 2013"/>
      <sheetName val="расшиф."/>
      <sheetName val="Досуд. спор"/>
      <sheetName val="УЕ ВЛ, КЛ 2015_2019"/>
      <sheetName val="6. УЕ ВЛ,КЛ на 2016-1 вар"/>
      <sheetName val="УЕ ТП,КТП 2015_2019"/>
      <sheetName val="6. 1 УЕ ТП,КТП на 2016-1 вар"/>
      <sheetName val="5.1 отклонения"/>
      <sheetName val="6. расчет УЕ"/>
      <sheetName val="форма 1.3"/>
      <sheetName val="форма 1.6"/>
      <sheetName val="потери 2013"/>
      <sheetName val="потери 2014"/>
      <sheetName val="5.1. отклонения"/>
      <sheetName val="выпадающие по ИП 2012"/>
      <sheetName val="выпадающие по ИП 2013"/>
      <sheetName val="выпадающие по ИП 2014"/>
      <sheetName val="Лист3"/>
      <sheetName val="доп_аналитика по НВВ"/>
    </sheetNames>
    <sheetDataSet>
      <sheetData sheetId="0">
        <row r="20">
          <cell r="V20">
            <v>348.81882822116933</v>
          </cell>
        </row>
      </sheetData>
      <sheetData sheetId="1"/>
      <sheetData sheetId="2">
        <row r="91">
          <cell r="T91">
            <v>4460.0326499999992</v>
          </cell>
        </row>
        <row r="94">
          <cell r="T94">
            <v>1271.1401349999999</v>
          </cell>
        </row>
      </sheetData>
      <sheetData sheetId="3"/>
      <sheetData sheetId="4"/>
      <sheetData sheetId="5"/>
      <sheetData sheetId="6"/>
      <sheetData sheetId="7"/>
      <sheetData sheetId="8"/>
      <sheetData sheetId="9"/>
      <sheetData sheetId="10"/>
      <sheetData sheetId="11"/>
      <sheetData sheetId="12"/>
      <sheetData sheetId="13"/>
      <sheetData sheetId="14">
        <row r="94">
          <cell r="AB94">
            <v>368373.10943581146</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107">
          <cell r="H107">
            <v>98245.424199999994</v>
          </cell>
        </row>
      </sheetData>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Выпадающие 2014"/>
      <sheetName val="2. подк.неподк."/>
      <sheetName val="2.1. отклонения"/>
      <sheetName val="3. НВВ "/>
      <sheetName val="приобр.имущ."/>
      <sheetName val="бездоговорное"/>
      <sheetName val="приобр.обор."/>
      <sheetName val="5. Расчет для выпадающих"/>
      <sheetName val="амортизация"/>
      <sheetName val="рем.прогр."/>
      <sheetName val="автотр."/>
      <sheetName val="антитеррор"/>
      <sheetName val="тех.док."/>
      <sheetName val="аттестация ЭТЛ"/>
      <sheetName val="сертиф и инспек."/>
      <sheetName val="инспек.контроль"/>
      <sheetName val="трансп.усл."/>
      <sheetName val="НИР"/>
      <sheetName val="госпошлина"/>
      <sheetName val="налоги"/>
      <sheetName val="суд.издер."/>
      <sheetName val="штрафы"/>
      <sheetName val="проценты"/>
      <sheetName val="5. Реестр выпадающих доходов"/>
      <sheetName val="6. Расчет выпадающих по потерям"/>
      <sheetName val="7.1 Выпадающие ИП 2012"/>
      <sheetName val="Расчет процентов"/>
      <sheetName val="7.2 Выпадающие ИП 2013"/>
      <sheetName val="расшиф."/>
      <sheetName val="Досуд. спор"/>
      <sheetName val="форма 1.3"/>
      <sheetName val="форма 1.6"/>
      <sheetName val="БДР по видам деятельности 2013"/>
      <sheetName val="БДР по видам деятельности 2014"/>
      <sheetName val="потери 2013"/>
      <sheetName val="потери 2014"/>
      <sheetName val="выпадающие по ИП 2012"/>
      <sheetName val="выпадающие по ИП 2013"/>
      <sheetName val="выпадающие по ИП 2014"/>
      <sheetName val="Лист3"/>
    </sheetNames>
    <sheetDataSet>
      <sheetData sheetId="0" refreshError="1"/>
      <sheetData sheetId="1" refreshError="1">
        <row r="19">
          <cell r="V19">
            <v>348.81882822116933</v>
          </cell>
        </row>
        <row r="31">
          <cell r="X31">
            <v>752.11</v>
          </cell>
        </row>
        <row r="32">
          <cell r="X32">
            <v>2102.98</v>
          </cell>
        </row>
        <row r="33">
          <cell r="X33">
            <v>7141.74</v>
          </cell>
        </row>
        <row r="35">
          <cell r="X35">
            <v>26.500191574999995</v>
          </cell>
        </row>
        <row r="36">
          <cell r="X36">
            <v>391.10169999999994</v>
          </cell>
        </row>
        <row r="37">
          <cell r="X37">
            <v>2648.1181891200004</v>
          </cell>
        </row>
        <row r="38">
          <cell r="X38">
            <v>4167.5502868800004</v>
          </cell>
        </row>
        <row r="39">
          <cell r="X39">
            <v>853.81099008000001</v>
          </cell>
        </row>
        <row r="41">
          <cell r="X41">
            <v>58.22</v>
          </cell>
        </row>
        <row r="42">
          <cell r="X42">
            <v>2359.31</v>
          </cell>
        </row>
        <row r="43">
          <cell r="X43">
            <v>249.38</v>
          </cell>
        </row>
        <row r="45">
          <cell r="X45">
            <v>110116.09748383379</v>
          </cell>
        </row>
        <row r="46">
          <cell r="X46">
            <v>54089.137300000002</v>
          </cell>
        </row>
        <row r="47">
          <cell r="X47">
            <v>47.856180960000003</v>
          </cell>
        </row>
        <row r="48">
          <cell r="X48">
            <v>3923.2491927474757</v>
          </cell>
        </row>
        <row r="50">
          <cell r="X50">
            <v>5604.3094556515098</v>
          </cell>
        </row>
        <row r="51">
          <cell r="X51">
            <v>435.48975999999999</v>
          </cell>
        </row>
        <row r="52">
          <cell r="X52">
            <v>1987.3</v>
          </cell>
        </row>
        <row r="54">
          <cell r="X54">
            <v>1620.9</v>
          </cell>
        </row>
        <row r="55">
          <cell r="X55">
            <v>27574</v>
          </cell>
        </row>
        <row r="56">
          <cell r="X56">
            <v>5028.3</v>
          </cell>
        </row>
        <row r="57">
          <cell r="X57">
            <v>21477.1</v>
          </cell>
        </row>
        <row r="59">
          <cell r="X59">
            <v>3443.1847370314235</v>
          </cell>
        </row>
        <row r="60">
          <cell r="X60">
            <v>682.25363512819956</v>
          </cell>
        </row>
        <row r="61">
          <cell r="X61">
            <v>1158.55</v>
          </cell>
        </row>
        <row r="62">
          <cell r="X62">
            <v>5042.1680000000006</v>
          </cell>
        </row>
        <row r="63">
          <cell r="X63">
            <v>5439.2998439999992</v>
          </cell>
        </row>
        <row r="64">
          <cell r="X64">
            <v>101.803</v>
          </cell>
        </row>
        <row r="65">
          <cell r="X65">
            <v>10791.408170000001</v>
          </cell>
        </row>
        <row r="66">
          <cell r="X66">
            <v>176.96</v>
          </cell>
        </row>
        <row r="68">
          <cell r="X68">
            <v>1127.56</v>
          </cell>
        </row>
        <row r="69">
          <cell r="X69">
            <v>1129.92</v>
          </cell>
        </row>
        <row r="70">
          <cell r="X70">
            <v>23.656956319999999</v>
          </cell>
        </row>
        <row r="71">
          <cell r="X71">
            <v>19407.099999999999</v>
          </cell>
        </row>
        <row r="76">
          <cell r="X76">
            <v>1392.1415932800003</v>
          </cell>
        </row>
        <row r="77">
          <cell r="X77">
            <v>167.30650800000001</v>
          </cell>
        </row>
        <row r="80">
          <cell r="X80">
            <v>3217.11</v>
          </cell>
        </row>
        <row r="81">
          <cell r="X81">
            <v>7731.9652857600013</v>
          </cell>
        </row>
        <row r="82">
          <cell r="X82">
            <v>80294.308680529488</v>
          </cell>
        </row>
        <row r="83">
          <cell r="W83">
            <v>1005788.9638284299</v>
          </cell>
          <cell r="X83">
            <v>1961467.5</v>
          </cell>
        </row>
        <row r="85">
          <cell r="X85">
            <v>100</v>
          </cell>
        </row>
        <row r="86">
          <cell r="X86">
            <v>215</v>
          </cell>
        </row>
        <row r="87">
          <cell r="X87">
            <v>526.22</v>
          </cell>
        </row>
        <row r="88">
          <cell r="X88">
            <v>1997.85</v>
          </cell>
        </row>
        <row r="89">
          <cell r="X89">
            <v>69231.839999999997</v>
          </cell>
        </row>
        <row r="90">
          <cell r="X90">
            <v>69231.839999999997</v>
          </cell>
        </row>
        <row r="91">
          <cell r="X91">
            <v>559</v>
          </cell>
        </row>
        <row r="92">
          <cell r="X92">
            <v>1996.8</v>
          </cell>
        </row>
        <row r="93">
          <cell r="X93">
            <v>336.2</v>
          </cell>
        </row>
        <row r="94">
          <cell r="X94">
            <v>1245.3</v>
          </cell>
        </row>
        <row r="95">
          <cell r="X95">
            <v>3.3</v>
          </cell>
        </row>
        <row r="96">
          <cell r="X96">
            <v>2350.3000000000002</v>
          </cell>
        </row>
        <row r="97">
          <cell r="X97">
            <v>1470</v>
          </cell>
        </row>
        <row r="98">
          <cell r="X98">
            <v>1120</v>
          </cell>
        </row>
        <row r="99">
          <cell r="X99">
            <v>322.39999999999998</v>
          </cell>
        </row>
        <row r="100">
          <cell r="X100">
            <v>0</v>
          </cell>
        </row>
        <row r="103">
          <cell r="X103">
            <v>109702.51</v>
          </cell>
        </row>
        <row r="104">
          <cell r="X104">
            <v>31725.15</v>
          </cell>
        </row>
        <row r="105">
          <cell r="X105">
            <v>2142.91</v>
          </cell>
        </row>
        <row r="106">
          <cell r="X106">
            <v>10806.28</v>
          </cell>
        </row>
        <row r="107">
          <cell r="X107">
            <v>55.2</v>
          </cell>
        </row>
        <row r="109">
          <cell r="X109">
            <v>1240.45</v>
          </cell>
        </row>
        <row r="110">
          <cell r="X110">
            <v>12039.995869574399</v>
          </cell>
        </row>
        <row r="111">
          <cell r="X111">
            <v>9608.237127360002</v>
          </cell>
        </row>
        <row r="112">
          <cell r="X112">
            <v>6588.2101073927042</v>
          </cell>
        </row>
        <row r="113">
          <cell r="X113">
            <v>433</v>
          </cell>
        </row>
        <row r="114">
          <cell r="X114">
            <v>1768.2932799999999</v>
          </cell>
        </row>
        <row r="115">
          <cell r="X115">
            <v>390.38</v>
          </cell>
        </row>
        <row r="116">
          <cell r="X116">
            <v>798.37</v>
          </cell>
        </row>
        <row r="120">
          <cell r="X120">
            <v>5767.3471704000003</v>
          </cell>
        </row>
        <row r="121">
          <cell r="X121">
            <v>3117.5947190400002</v>
          </cell>
        </row>
        <row r="122">
          <cell r="X122">
            <v>1534.0245065749996</v>
          </cell>
        </row>
        <row r="123">
          <cell r="X123">
            <v>209.14629999999997</v>
          </cell>
        </row>
        <row r="124">
          <cell r="X124">
            <v>3763.1256599999997</v>
          </cell>
        </row>
        <row r="125">
          <cell r="X125">
            <v>5572.2034672155232</v>
          </cell>
        </row>
        <row r="126">
          <cell r="X126">
            <v>836</v>
          </cell>
        </row>
        <row r="127">
          <cell r="X127">
            <v>73.200059888760364</v>
          </cell>
        </row>
        <row r="128">
          <cell r="X128">
            <v>0.66239999999999999</v>
          </cell>
        </row>
        <row r="130">
          <cell r="X130">
            <v>24542.5975</v>
          </cell>
        </row>
        <row r="132">
          <cell r="X132">
            <v>19559.75886768099</v>
          </cell>
        </row>
        <row r="133">
          <cell r="X133">
            <v>63552.667279069006</v>
          </cell>
        </row>
        <row r="134">
          <cell r="X134">
            <v>0</v>
          </cell>
        </row>
        <row r="135">
          <cell r="X135">
            <v>130</v>
          </cell>
        </row>
        <row r="137">
          <cell r="X137">
            <v>1131.87800825</v>
          </cell>
        </row>
        <row r="138">
          <cell r="X138">
            <v>1131.87800825</v>
          </cell>
        </row>
        <row r="140">
          <cell r="X140">
            <v>228.09</v>
          </cell>
        </row>
        <row r="143">
          <cell r="X143">
            <v>1961.1919506437498</v>
          </cell>
        </row>
        <row r="144">
          <cell r="X144">
            <v>2253.75</v>
          </cell>
        </row>
        <row r="145">
          <cell r="X145">
            <v>2475.7419199999999</v>
          </cell>
        </row>
        <row r="146">
          <cell r="X146">
            <v>1506.84509267712</v>
          </cell>
        </row>
        <row r="147">
          <cell r="X147">
            <v>3024.5778947553586</v>
          </cell>
        </row>
        <row r="149">
          <cell r="X149">
            <v>1708.7394751625</v>
          </cell>
        </row>
        <row r="150">
          <cell r="X150">
            <v>2354.6471200000005</v>
          </cell>
        </row>
        <row r="151">
          <cell r="X151">
            <v>48031.428820479996</v>
          </cell>
        </row>
        <row r="152">
          <cell r="X152">
            <v>0.79525536000000008</v>
          </cell>
        </row>
        <row r="153">
          <cell r="X153">
            <v>871.37</v>
          </cell>
        </row>
        <row r="154">
          <cell r="X154">
            <v>1273.3685527500002</v>
          </cell>
        </row>
        <row r="155">
          <cell r="X155">
            <v>5078.8</v>
          </cell>
        </row>
        <row r="157">
          <cell r="X157">
            <v>13512.59</v>
          </cell>
        </row>
        <row r="158">
          <cell r="X158">
            <v>262.75</v>
          </cell>
        </row>
        <row r="159">
          <cell r="X159">
            <v>85.472181599999999</v>
          </cell>
        </row>
        <row r="161">
          <cell r="X161">
            <v>58419.285000000003</v>
          </cell>
        </row>
        <row r="162">
          <cell r="X162">
            <v>722.52941999999996</v>
          </cell>
        </row>
        <row r="164">
          <cell r="X164">
            <v>0</v>
          </cell>
        </row>
        <row r="165">
          <cell r="X165">
            <v>4872.7468800000006</v>
          </cell>
        </row>
        <row r="166">
          <cell r="X166">
            <v>554.48400000000004</v>
          </cell>
        </row>
        <row r="167">
          <cell r="X167">
            <v>0</v>
          </cell>
        </row>
        <row r="169">
          <cell r="X169">
            <v>1536.56</v>
          </cell>
        </row>
        <row r="170">
          <cell r="X170">
            <v>0</v>
          </cell>
        </row>
        <row r="171">
          <cell r="X171">
            <v>20028.599999999999</v>
          </cell>
        </row>
        <row r="172">
          <cell r="X172">
            <v>0</v>
          </cell>
        </row>
        <row r="173">
          <cell r="X173">
            <v>351.24299999999999</v>
          </cell>
        </row>
        <row r="174">
          <cell r="X174">
            <v>3775.93</v>
          </cell>
        </row>
        <row r="175">
          <cell r="X175">
            <v>566.94491712000013</v>
          </cell>
        </row>
        <row r="176">
          <cell r="X176">
            <v>3782.08</v>
          </cell>
        </row>
        <row r="177">
          <cell r="X177">
            <v>519.4</v>
          </cell>
        </row>
        <row r="178">
          <cell r="X178">
            <v>94820.794550320003</v>
          </cell>
        </row>
        <row r="179">
          <cell r="X179">
            <v>196.46612880000001</v>
          </cell>
        </row>
        <row r="181">
          <cell r="X181">
            <v>131</v>
          </cell>
        </row>
        <row r="182">
          <cell r="X182">
            <v>10135.690736440678</v>
          </cell>
        </row>
        <row r="183">
          <cell r="X183">
            <v>30.04</v>
          </cell>
        </row>
        <row r="184">
          <cell r="X184">
            <v>724.28721275624991</v>
          </cell>
        </row>
        <row r="185">
          <cell r="X185">
            <v>212.5</v>
          </cell>
        </row>
        <row r="186">
          <cell r="X186">
            <v>1696.9915200000003</v>
          </cell>
        </row>
        <row r="187">
          <cell r="X187">
            <v>520</v>
          </cell>
        </row>
        <row r="188">
          <cell r="X188">
            <v>3440.68</v>
          </cell>
        </row>
        <row r="195">
          <cell r="X195">
            <v>673.22973279374992</v>
          </cell>
        </row>
        <row r="196">
          <cell r="X196">
            <v>2958.7661121562501</v>
          </cell>
        </row>
        <row r="197">
          <cell r="X197">
            <v>4800.6041950624995</v>
          </cell>
        </row>
        <row r="198">
          <cell r="X198">
            <v>66.52</v>
          </cell>
        </row>
        <row r="200">
          <cell r="X200">
            <v>6637.67</v>
          </cell>
        </row>
        <row r="201">
          <cell r="X201">
            <v>2199.4313302415962</v>
          </cell>
        </row>
        <row r="203">
          <cell r="X203">
            <v>3501.2715679999997</v>
          </cell>
        </row>
        <row r="204">
          <cell r="X204">
            <v>300.87273996333329</v>
          </cell>
        </row>
        <row r="205">
          <cell r="X205">
            <v>844.44932400000016</v>
          </cell>
        </row>
        <row r="206">
          <cell r="X206">
            <v>2644.5540000000005</v>
          </cell>
        </row>
        <row r="207">
          <cell r="X207">
            <v>681.78182600000002</v>
          </cell>
        </row>
        <row r="209">
          <cell r="X209">
            <v>1297.5999999999999</v>
          </cell>
        </row>
        <row r="210">
          <cell r="X210">
            <v>0</v>
          </cell>
        </row>
        <row r="211">
          <cell r="X211">
            <v>4726.3938042086411</v>
          </cell>
        </row>
        <row r="212">
          <cell r="X212">
            <v>1000</v>
          </cell>
        </row>
        <row r="213">
          <cell r="X213">
            <v>802.84445199400636</v>
          </cell>
        </row>
        <row r="214">
          <cell r="X214">
            <v>0</v>
          </cell>
        </row>
        <row r="215">
          <cell r="X215">
            <v>0</v>
          </cell>
        </row>
        <row r="217">
          <cell r="X217">
            <v>920.91</v>
          </cell>
        </row>
        <row r="218">
          <cell r="X218">
            <v>1166.4000000000001</v>
          </cell>
        </row>
        <row r="219">
          <cell r="X219">
            <v>406.56</v>
          </cell>
        </row>
        <row r="220">
          <cell r="X220">
            <v>2235.0784600000002</v>
          </cell>
        </row>
        <row r="223">
          <cell r="X223">
            <v>1255.9100000000001</v>
          </cell>
        </row>
        <row r="224">
          <cell r="X224">
            <v>1384.53</v>
          </cell>
        </row>
        <row r="225">
          <cell r="X225">
            <v>952.39507824999987</v>
          </cell>
        </row>
        <row r="226">
          <cell r="X226">
            <v>1876.63</v>
          </cell>
        </row>
        <row r="227">
          <cell r="X227">
            <v>208.13</v>
          </cell>
        </row>
        <row r="229">
          <cell r="X229">
            <v>0</v>
          </cell>
        </row>
        <row r="230">
          <cell r="V230">
            <v>147355.24709999998</v>
          </cell>
          <cell r="W230">
            <v>153986.23321949996</v>
          </cell>
          <cell r="X230">
            <v>1018013</v>
          </cell>
        </row>
        <row r="231">
          <cell r="X231">
            <v>500000</v>
          </cell>
        </row>
        <row r="232">
          <cell r="X232">
            <v>518013</v>
          </cell>
        </row>
        <row r="233">
          <cell r="X233">
            <v>38592.99</v>
          </cell>
        </row>
        <row r="235">
          <cell r="X235">
            <v>642070.35919999983</v>
          </cell>
        </row>
        <row r="236">
          <cell r="X236">
            <v>973491.73</v>
          </cell>
        </row>
        <row r="239">
          <cell r="X239">
            <v>320096.00685322029</v>
          </cell>
        </row>
        <row r="240">
          <cell r="X240">
            <v>92888.536839999986</v>
          </cell>
        </row>
        <row r="251">
          <cell r="X251">
            <v>9615.84</v>
          </cell>
        </row>
        <row r="252">
          <cell r="X252">
            <v>1022.1249499999999</v>
          </cell>
        </row>
        <row r="253">
          <cell r="X253">
            <v>74315.759999999995</v>
          </cell>
        </row>
        <row r="254">
          <cell r="X254">
            <v>1471.14</v>
          </cell>
        </row>
        <row r="256">
          <cell r="X256">
            <v>240747.37227624294</v>
          </cell>
        </row>
        <row r="257">
          <cell r="X257">
            <v>0</v>
          </cell>
        </row>
        <row r="258">
          <cell r="X258">
            <v>0</v>
          </cell>
        </row>
        <row r="259">
          <cell r="X259">
            <v>0</v>
          </cell>
        </row>
        <row r="260">
          <cell r="X260">
            <v>0</v>
          </cell>
        </row>
        <row r="261">
          <cell r="X261">
            <v>0</v>
          </cell>
        </row>
        <row r="262">
          <cell r="X262">
            <v>0</v>
          </cell>
        </row>
        <row r="263">
          <cell r="V263">
            <v>345140.29777159984</v>
          </cell>
          <cell r="W263">
            <v>333453.19945632201</v>
          </cell>
          <cell r="X263">
            <v>5341487.6500000004</v>
          </cell>
        </row>
        <row r="264">
          <cell r="V264">
            <v>336598.63571940805</v>
          </cell>
          <cell r="W264">
            <v>354585.75646089728</v>
          </cell>
          <cell r="X264">
            <v>775756.23813897197</v>
          </cell>
        </row>
        <row r="266">
          <cell r="X266">
            <v>5116.54</v>
          </cell>
        </row>
        <row r="267">
          <cell r="V267">
            <v>20800</v>
          </cell>
          <cell r="W267">
            <v>21736</v>
          </cell>
          <cell r="X267">
            <v>21736</v>
          </cell>
        </row>
        <row r="269">
          <cell r="X269">
            <v>3485.1525999999999</v>
          </cell>
        </row>
        <row r="270">
          <cell r="X270">
            <v>0</v>
          </cell>
        </row>
        <row r="271">
          <cell r="X271">
            <v>0</v>
          </cell>
        </row>
        <row r="272">
          <cell r="X272">
            <v>154.57639999999998</v>
          </cell>
        </row>
        <row r="280">
          <cell r="X280">
            <v>0</v>
          </cell>
        </row>
        <row r="281">
          <cell r="X281">
            <v>400</v>
          </cell>
        </row>
        <row r="282">
          <cell r="X282">
            <v>0</v>
          </cell>
        </row>
        <row r="283">
          <cell r="X283">
            <v>1958.3825400000001</v>
          </cell>
        </row>
        <row r="284">
          <cell r="X284">
            <v>0</v>
          </cell>
        </row>
        <row r="285">
          <cell r="X285">
            <v>0</v>
          </cell>
        </row>
        <row r="286">
          <cell r="X286">
            <v>0</v>
          </cell>
        </row>
        <row r="287">
          <cell r="X287">
            <v>0</v>
          </cell>
        </row>
        <row r="288">
          <cell r="X288">
            <v>5825.4</v>
          </cell>
        </row>
        <row r="289">
          <cell r="X289">
            <v>1821.58</v>
          </cell>
        </row>
        <row r="290">
          <cell r="X290">
            <v>1061.49</v>
          </cell>
        </row>
        <row r="291">
          <cell r="X291">
            <v>3983.35</v>
          </cell>
        </row>
        <row r="292">
          <cell r="X292">
            <v>13777.9</v>
          </cell>
        </row>
        <row r="293">
          <cell r="X293">
            <v>750</v>
          </cell>
        </row>
        <row r="298">
          <cell r="X298">
            <v>0</v>
          </cell>
        </row>
        <row r="299">
          <cell r="X299">
            <v>4258.62</v>
          </cell>
        </row>
        <row r="300">
          <cell r="X300">
            <v>225.49</v>
          </cell>
        </row>
        <row r="301">
          <cell r="X301">
            <v>0</v>
          </cell>
        </row>
        <row r="302">
          <cell r="X302">
            <v>0</v>
          </cell>
        </row>
        <row r="304">
          <cell r="X304">
            <v>211.19417600000003</v>
          </cell>
        </row>
        <row r="305">
          <cell r="X305">
            <v>50.954250000000002</v>
          </cell>
        </row>
        <row r="306">
          <cell r="X306">
            <v>224.24</v>
          </cell>
        </row>
        <row r="307">
          <cell r="X307">
            <v>1731.91</v>
          </cell>
        </row>
        <row r="308">
          <cell r="X308">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Выпадающие 2014"/>
      <sheetName val="2. подк.неподк."/>
      <sheetName val="2.1. отклонения"/>
      <sheetName val="3. НВВ "/>
      <sheetName val="приобр.имущ."/>
      <sheetName val="бездоговорное"/>
      <sheetName val="приобр.обор."/>
      <sheetName val="5. Расчет для выпадающих"/>
      <sheetName val="амортизация"/>
      <sheetName val="рем.прогр."/>
      <sheetName val="автотр."/>
      <sheetName val="антитеррор"/>
      <sheetName val="тех.док."/>
      <sheetName val="аттестация ЭТЛ"/>
      <sheetName val="сертиф и инспек."/>
      <sheetName val="инспек.контроль"/>
      <sheetName val="трансп.усл."/>
      <sheetName val="НИР"/>
      <sheetName val="госпошлина"/>
      <sheetName val="налоги"/>
      <sheetName val="суд.издер."/>
      <sheetName val="штрафы"/>
      <sheetName val="проценты"/>
      <sheetName val="5. Реестр выпадающих доходов"/>
      <sheetName val="6. Расчет выпадающих по потерям"/>
      <sheetName val="7.1 Выпадающие ИП 2012"/>
      <sheetName val="Расчет процентов"/>
      <sheetName val="7.2 Выпадающие ИП 2013"/>
      <sheetName val="расшиф."/>
      <sheetName val="Досуд. спор"/>
      <sheetName val="форма 1.3"/>
      <sheetName val="форма 1.6"/>
      <sheetName val="БДР по видам деятельности 2013"/>
      <sheetName val="БДР по видам деятельности 2014"/>
      <sheetName val="потери 2013"/>
      <sheetName val="потери 2014"/>
      <sheetName val="выпадающие по ИП 2012"/>
      <sheetName val="выпадающие по ИП 2013"/>
      <sheetName val="выпадающие по ИП 2014"/>
      <sheetName val="Лист3"/>
    </sheetNames>
    <sheetDataSet>
      <sheetData sheetId="0" refreshError="1"/>
      <sheetData sheetId="1" refreshError="1"/>
      <sheetData sheetId="2" refreshError="1"/>
      <sheetData sheetId="3" refreshError="1">
        <row r="234">
          <cell r="M234">
            <v>3366322.6399237323</v>
          </cell>
          <cell r="N234">
            <v>3793845.75538</v>
          </cell>
          <cell r="O234">
            <v>3690864.4627100006</v>
          </cell>
          <cell r="P234">
            <v>3646820.4260425325</v>
          </cell>
          <cell r="Q234">
            <v>3649956.6555725327</v>
          </cell>
          <cell r="R234">
            <v>3630700.3747625328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2008 -2010"/>
      <sheetName val="свод"/>
      <sheetName val="DATA"/>
      <sheetName val="FST5"/>
      <sheetName val="Справочники"/>
      <sheetName val="16"/>
      <sheetName val="17"/>
      <sheetName val="4"/>
      <sheetName val="5"/>
      <sheetName val="Ф-1 (для АО-энерго)"/>
      <sheetName val="Ф-2 (для АО-энерго)"/>
      <sheetName val="перекрестка"/>
      <sheetName val="17.1"/>
      <sheetName val="24"/>
      <sheetName val="2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1"/>
      <sheetName val="А-2"/>
      <sheetName val="УЗ-22"/>
      <sheetName val="УИ-34(внутр)"/>
      <sheetName val="УИ-34 (ЭО)"/>
      <sheetName val="УЗ-25 (ЭО)"/>
      <sheetName val="доп. по ремонтам"/>
      <sheetName val="УЗ-26"/>
      <sheetName val="УЗ-27"/>
      <sheetName val="УП-31"/>
      <sheetName val="УИ-39"/>
      <sheetName val="И-40 "/>
      <sheetName val="И-43"/>
      <sheetName val="УК-48 (ОУК)"/>
      <sheetName val="УФ-49"/>
      <sheetName val="УФ-50"/>
      <sheetName val="УФ-51"/>
      <sheetName val="УФ-52"/>
      <sheetName val="УФ-53"/>
      <sheetName val="УФ-54 (ЭО)"/>
      <sheetName val="Налоги 2002"/>
      <sheetName val="УФ-57"/>
      <sheetName val="УФ-60"/>
      <sheetName val="УФ-61"/>
      <sheetName val="УФ-62"/>
      <sheetName val="на 1 тут"/>
      <sheetName val="FES"/>
      <sheetName val="УФ_61"/>
      <sheetName val="Параметры"/>
      <sheetName val="шаблон"/>
      <sheetName val="TEHSHEET"/>
      <sheetName val="Заголовок"/>
      <sheetName val="ARH.Biznes_pl"/>
      <sheetName val="1.5_среднее"/>
      <sheetName val="Gen"/>
      <sheetName val="Exh_DCF_WACC"/>
      <sheetName val="продажи (н)"/>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30"/>
  <sheetViews>
    <sheetView tabSelected="1" view="pageBreakPreview" zoomScaleNormal="100" zoomScaleSheetLayoutView="100" workbookViewId="0">
      <selection activeCell="A21" sqref="A21"/>
    </sheetView>
  </sheetViews>
  <sheetFormatPr defaultColWidth="9.109375" defaultRowHeight="15.6"/>
  <cols>
    <col min="1" max="1" width="45.5546875" style="16" customWidth="1"/>
    <col min="2" max="2" width="71.44140625" style="16" customWidth="1"/>
    <col min="3" max="16384" width="9.109375" style="16"/>
  </cols>
  <sheetData>
    <row r="1" spans="1:3" ht="78">
      <c r="B1" s="1070" t="s">
        <v>2214</v>
      </c>
    </row>
    <row r="2" spans="1:3">
      <c r="B2" s="1070"/>
    </row>
    <row r="3" spans="1:3">
      <c r="B3" s="1070"/>
    </row>
    <row r="4" spans="1:3" ht="21">
      <c r="A4" s="1108" t="s">
        <v>2237</v>
      </c>
      <c r="B4" s="1109"/>
      <c r="C4"/>
    </row>
    <row r="5" spans="1:3" ht="21">
      <c r="A5" s="1108" t="s">
        <v>2215</v>
      </c>
      <c r="B5" s="1109"/>
      <c r="C5"/>
    </row>
    <row r="6" spans="1:3" ht="21">
      <c r="A6" s="1110" t="s">
        <v>2220</v>
      </c>
      <c r="B6" s="1111"/>
      <c r="C6" s="1071"/>
    </row>
    <row r="7" spans="1:3">
      <c r="A7" s="1071"/>
      <c r="B7" s="1072" t="s">
        <v>2216</v>
      </c>
      <c r="C7"/>
    </row>
    <row r="8" spans="1:3" ht="19.8">
      <c r="A8" s="1112" t="s">
        <v>2218</v>
      </c>
      <c r="B8" s="1113"/>
      <c r="C8"/>
    </row>
    <row r="9" spans="1:3">
      <c r="A9" s="1114" t="s">
        <v>2217</v>
      </c>
      <c r="B9" s="1115"/>
      <c r="C9"/>
    </row>
    <row r="14" spans="1:3" s="27" customFormat="1" ht="20.25" customHeight="1">
      <c r="A14" s="26"/>
      <c r="B14" s="1065" t="s">
        <v>2208</v>
      </c>
    </row>
    <row r="15" spans="1:3" s="27" customFormat="1" ht="30" customHeight="1">
      <c r="A15" s="26"/>
      <c r="B15" s="1066" t="s">
        <v>2209</v>
      </c>
    </row>
    <row r="16" spans="1:3" ht="39" customHeight="1">
      <c r="A16" s="1107" t="s">
        <v>2219</v>
      </c>
      <c r="B16" s="1107"/>
    </row>
    <row r="17" spans="1:2">
      <c r="A17" s="17"/>
      <c r="B17" s="17"/>
    </row>
    <row r="18" spans="1:2" ht="30" customHeight="1">
      <c r="A18" s="1073" t="s">
        <v>96</v>
      </c>
      <c r="B18" s="1073" t="s">
        <v>97</v>
      </c>
    </row>
    <row r="19" spans="1:2" ht="30" customHeight="1">
      <c r="A19" s="1074" t="s">
        <v>84</v>
      </c>
      <c r="B19" s="1075" t="s">
        <v>220</v>
      </c>
    </row>
    <row r="20" spans="1:2" ht="30" customHeight="1">
      <c r="A20" s="1074" t="s">
        <v>85</v>
      </c>
      <c r="B20" s="1075" t="s">
        <v>221</v>
      </c>
    </row>
    <row r="21" spans="1:2" ht="30" customHeight="1">
      <c r="A21" s="1074" t="s">
        <v>86</v>
      </c>
      <c r="B21" s="1075" t="s">
        <v>222</v>
      </c>
    </row>
    <row r="22" spans="1:2" ht="39" customHeight="1">
      <c r="A22" s="1074" t="s">
        <v>87</v>
      </c>
      <c r="B22" s="1075" t="s">
        <v>2229</v>
      </c>
    </row>
    <row r="23" spans="1:2" ht="30" customHeight="1">
      <c r="A23" s="1074" t="s">
        <v>88</v>
      </c>
      <c r="B23" s="1074">
        <v>2308139496</v>
      </c>
    </row>
    <row r="24" spans="1:2" ht="30" customHeight="1">
      <c r="A24" s="1074" t="s">
        <v>89</v>
      </c>
      <c r="B24" s="1074" t="s">
        <v>2230</v>
      </c>
    </row>
    <row r="25" spans="1:2" ht="30" customHeight="1">
      <c r="A25" s="1074" t="s">
        <v>90</v>
      </c>
      <c r="B25" s="1074" t="s">
        <v>2231</v>
      </c>
    </row>
    <row r="26" spans="1:2" ht="30" customHeight="1">
      <c r="A26" s="1074" t="s">
        <v>91</v>
      </c>
      <c r="B26" s="1076" t="s">
        <v>223</v>
      </c>
    </row>
    <row r="27" spans="1:2" ht="30" customHeight="1">
      <c r="A27" s="1074" t="s">
        <v>92</v>
      </c>
      <c r="B27" s="1077" t="s">
        <v>2232</v>
      </c>
    </row>
    <row r="28" spans="1:2" ht="30" customHeight="1">
      <c r="A28" s="1074" t="s">
        <v>93</v>
      </c>
      <c r="B28" s="1074" t="s">
        <v>2233</v>
      </c>
    </row>
    <row r="29" spans="1:2">
      <c r="A29" s="15"/>
      <c r="B29" s="15"/>
    </row>
    <row r="30" spans="1:2" ht="18">
      <c r="A30" s="7"/>
      <c r="B30" s="7"/>
    </row>
  </sheetData>
  <mergeCells count="6">
    <mergeCell ref="A16:B16"/>
    <mergeCell ref="A4:B4"/>
    <mergeCell ref="A5:B5"/>
    <mergeCell ref="A6:B6"/>
    <mergeCell ref="A8:B8"/>
    <mergeCell ref="A9:B9"/>
  </mergeCells>
  <printOptions horizontalCentered="1"/>
  <pageMargins left="1.1811023622047245" right="0.59055118110236227" top="0.39370078740157483" bottom="0.78740157480314965" header="0.31496062992125984" footer="0.31496062992125984"/>
  <pageSetup paperSize="9" scale="70"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387"/>
  <sheetViews>
    <sheetView view="pageBreakPreview" topLeftCell="B1" zoomScale="60" workbookViewId="0">
      <pane xSplit="6" ySplit="28" topLeftCell="N239" activePane="bottomRight" state="frozen"/>
      <selection activeCell="A14" sqref="A14:L14"/>
      <selection pane="topRight" activeCell="A14" sqref="A14:L14"/>
      <selection pane="bottomLeft" activeCell="A14" sqref="A14:L14"/>
      <selection pane="bottomRight" activeCell="Z112" sqref="Z112"/>
    </sheetView>
  </sheetViews>
  <sheetFormatPr defaultColWidth="9.109375" defaultRowHeight="16.8" outlineLevelRow="3" outlineLevelCol="1"/>
  <cols>
    <col min="1" max="1" width="12.109375" style="105" hidden="1" customWidth="1"/>
    <col min="2" max="2" width="14.6640625" style="106" customWidth="1"/>
    <col min="3" max="3" width="13.5546875" style="107" customWidth="1"/>
    <col min="4" max="4" width="13.5546875" style="107" hidden="1" customWidth="1"/>
    <col min="5" max="5" width="50.88671875" style="214" customWidth="1"/>
    <col min="6" max="6" width="52.5546875" style="52" hidden="1" customWidth="1" outlineLevel="1"/>
    <col min="7" max="7" width="14" style="52" customWidth="1" collapsed="1"/>
    <col min="8" max="8" width="22.5546875" style="52" hidden="1" customWidth="1" outlineLevel="1"/>
    <col min="9" max="10" width="22.109375" style="52" hidden="1" customWidth="1" outlineLevel="1"/>
    <col min="11" max="11" width="21.6640625" style="52" hidden="1" customWidth="1" outlineLevel="1"/>
    <col min="12" max="12" width="21.44140625" style="52" hidden="1" customWidth="1" outlineLevel="1"/>
    <col min="13" max="13" width="23.44140625" style="52" hidden="1" customWidth="1" outlineLevel="1"/>
    <col min="14" max="14" width="22.6640625" style="52" customWidth="1" outlineLevel="1"/>
    <col min="15" max="15" width="20.33203125" style="52" hidden="1" customWidth="1" outlineLevel="1"/>
    <col min="16" max="16" width="24.5546875" style="52" customWidth="1" outlineLevel="1"/>
    <col min="17" max="18" width="20.33203125" style="52" hidden="1" customWidth="1" outlineLevel="1"/>
    <col min="19" max="19" width="24.109375" style="52" hidden="1" customWidth="1" outlineLevel="1"/>
    <col min="20" max="20" width="25.5546875" style="52" hidden="1" customWidth="1" outlineLevel="1"/>
    <col min="21" max="21" width="25.6640625" style="52" hidden="1" customWidth="1" outlineLevel="1"/>
    <col min="22" max="22" width="23.44140625" style="52" customWidth="1" collapsed="1"/>
    <col min="23" max="23" width="24" style="52" hidden="1" customWidth="1"/>
    <col min="24" max="24" width="18.44140625" style="52" hidden="1" customWidth="1"/>
    <col min="25" max="25" width="21.44140625" style="52" hidden="1" customWidth="1"/>
    <col min="26" max="26" width="21.33203125" style="52" customWidth="1"/>
    <col min="27" max="28" width="21.33203125" style="52" hidden="1" customWidth="1"/>
    <col min="29" max="29" width="20.33203125" style="52" hidden="1" customWidth="1"/>
    <col min="30" max="30" width="22" style="52" hidden="1" customWidth="1"/>
    <col min="31" max="31" width="21.33203125" style="52" hidden="1" customWidth="1"/>
    <col min="32" max="32" width="22.109375" style="52" hidden="1" customWidth="1"/>
    <col min="33" max="33" width="22.6640625" style="52" hidden="1" customWidth="1"/>
    <col min="34" max="36" width="21.109375" style="52" hidden="1" customWidth="1"/>
    <col min="37" max="37" width="19.6640625" style="52" hidden="1" customWidth="1"/>
    <col min="38" max="38" width="69" style="52" hidden="1" customWidth="1"/>
    <col min="39" max="39" width="18.33203125" style="52" customWidth="1"/>
    <col min="40" max="40" width="16.6640625" style="52" customWidth="1"/>
    <col min="41" max="41" width="9.109375" style="52"/>
    <col min="42" max="42" width="9.33203125" style="52" customWidth="1"/>
    <col min="43" max="16384" width="9.109375" style="52"/>
  </cols>
  <sheetData>
    <row r="1" spans="5:37" hidden="1">
      <c r="E1" s="52"/>
    </row>
    <row r="2" spans="5:37" ht="21" hidden="1" thickBot="1">
      <c r="E2" s="52"/>
      <c r="H2" s="53" t="s">
        <v>228</v>
      </c>
      <c r="I2" s="53"/>
      <c r="J2" s="53"/>
      <c r="K2" s="53"/>
      <c r="L2" s="53"/>
      <c r="M2" s="53"/>
      <c r="N2" s="53"/>
      <c r="O2" s="53"/>
      <c r="P2" s="1297" t="s">
        <v>228</v>
      </c>
      <c r="Q2" s="1297"/>
      <c r="R2" s="1297"/>
      <c r="S2" s="1297"/>
      <c r="T2" s="1297"/>
      <c r="U2" s="1297"/>
      <c r="V2" s="1297"/>
      <c r="W2" s="1297"/>
      <c r="X2" s="1297"/>
      <c r="Y2" s="1297"/>
      <c r="Z2" s="1297"/>
      <c r="AA2" s="1297"/>
      <c r="AB2" s="1297"/>
      <c r="AC2" s="1297"/>
      <c r="AD2" s="1297"/>
      <c r="AE2" s="54"/>
      <c r="AF2" s="54"/>
      <c r="AG2" s="53"/>
      <c r="AH2" s="53"/>
      <c r="AI2" s="53"/>
      <c r="AJ2" s="53"/>
      <c r="AK2" s="53"/>
    </row>
    <row r="3" spans="5:37" ht="33" hidden="1" customHeight="1">
      <c r="E3" s="52"/>
      <c r="H3" s="1298" t="s">
        <v>229</v>
      </c>
      <c r="I3" s="1300" t="s">
        <v>230</v>
      </c>
      <c r="J3" s="1301" t="s">
        <v>231</v>
      </c>
      <c r="K3" s="1301" t="s">
        <v>232</v>
      </c>
      <c r="L3" s="1301" t="s">
        <v>233</v>
      </c>
      <c r="M3" s="1301" t="s">
        <v>234</v>
      </c>
      <c r="N3" s="1301"/>
      <c r="O3" s="1301" t="s">
        <v>235</v>
      </c>
      <c r="P3" s="1302" t="s">
        <v>229</v>
      </c>
      <c r="Q3" s="1304" t="s">
        <v>230</v>
      </c>
      <c r="R3" s="1317" t="s">
        <v>231</v>
      </c>
      <c r="S3" s="1317" t="s">
        <v>232</v>
      </c>
      <c r="T3" s="1317" t="s">
        <v>233</v>
      </c>
      <c r="U3" s="1319" t="s">
        <v>236</v>
      </c>
      <c r="V3" s="1321"/>
      <c r="W3" s="414"/>
      <c r="X3" s="414"/>
      <c r="Y3" s="414"/>
      <c r="Z3" s="414"/>
      <c r="AA3" s="414"/>
      <c r="AB3" s="414"/>
      <c r="AC3" s="1317" t="s">
        <v>235</v>
      </c>
      <c r="AD3" s="1322" t="s">
        <v>237</v>
      </c>
      <c r="AE3" s="55"/>
      <c r="AF3" s="55"/>
    </row>
    <row r="4" spans="5:37" ht="49.5" hidden="1" customHeight="1" thickBot="1">
      <c r="E4" s="52"/>
      <c r="H4" s="1299"/>
      <c r="I4" s="1300"/>
      <c r="J4" s="1301"/>
      <c r="K4" s="1301"/>
      <c r="L4" s="1301"/>
      <c r="M4" s="415" t="s">
        <v>240</v>
      </c>
      <c r="N4" s="415" t="s">
        <v>241</v>
      </c>
      <c r="O4" s="1301"/>
      <c r="P4" s="1303"/>
      <c r="Q4" s="1305"/>
      <c r="R4" s="1318"/>
      <c r="S4" s="1318"/>
      <c r="T4" s="1318"/>
      <c r="U4" s="413" t="s">
        <v>240</v>
      </c>
      <c r="V4" s="413" t="s">
        <v>241</v>
      </c>
      <c r="W4" s="413"/>
      <c r="X4" s="413"/>
      <c r="Y4" s="413"/>
      <c r="Z4" s="413"/>
      <c r="AA4" s="413"/>
      <c r="AB4" s="413"/>
      <c r="AC4" s="1318"/>
      <c r="AD4" s="1323"/>
      <c r="AE4" s="55"/>
      <c r="AF4" s="55"/>
      <c r="AG4" s="415"/>
      <c r="AH4" s="415"/>
      <c r="AI4" s="415"/>
      <c r="AJ4" s="415"/>
      <c r="AK4" s="415"/>
    </row>
    <row r="5" spans="5:37" ht="15.75" hidden="1" customHeight="1" outlineLevel="1">
      <c r="E5" s="52"/>
      <c r="H5" s="60" t="s">
        <v>242</v>
      </c>
      <c r="I5" s="61" t="s">
        <v>243</v>
      </c>
      <c r="J5" s="62">
        <v>1</v>
      </c>
      <c r="K5" s="62">
        <v>2</v>
      </c>
      <c r="L5" s="62">
        <v>3</v>
      </c>
      <c r="M5" s="62">
        <v>5</v>
      </c>
      <c r="N5" s="62">
        <v>6</v>
      </c>
      <c r="O5" s="62">
        <v>7</v>
      </c>
      <c r="P5" s="63" t="s">
        <v>242</v>
      </c>
      <c r="Q5" s="64" t="s">
        <v>243</v>
      </c>
      <c r="R5" s="65">
        <v>1</v>
      </c>
      <c r="S5" s="65">
        <v>2</v>
      </c>
      <c r="T5" s="65">
        <v>3</v>
      </c>
      <c r="U5" s="65">
        <v>4</v>
      </c>
      <c r="V5" s="65">
        <v>5</v>
      </c>
      <c r="W5" s="65"/>
      <c r="X5" s="65"/>
      <c r="Y5" s="65"/>
      <c r="Z5" s="65"/>
      <c r="AA5" s="65"/>
      <c r="AB5" s="65"/>
      <c r="AC5" s="65">
        <v>6</v>
      </c>
      <c r="AD5" s="66">
        <v>7</v>
      </c>
      <c r="AE5" s="67"/>
      <c r="AF5" s="67"/>
      <c r="AG5" s="62"/>
      <c r="AH5" s="62"/>
      <c r="AI5" s="62"/>
      <c r="AJ5" s="62"/>
      <c r="AK5" s="62"/>
    </row>
    <row r="6" spans="5:37" hidden="1" outlineLevel="1">
      <c r="E6" s="52"/>
      <c r="H6" s="69" t="s">
        <v>244</v>
      </c>
      <c r="I6" s="60" t="s">
        <v>202</v>
      </c>
      <c r="J6" s="70">
        <v>5.7000000000000002E-2</v>
      </c>
      <c r="K6" s="70">
        <v>5.8999999999999997E-2</v>
      </c>
      <c r="L6" s="70">
        <v>5.1999999999999998E-2</v>
      </c>
      <c r="M6" s="70">
        <v>4.7E-2</v>
      </c>
      <c r="N6" s="70">
        <v>4.8000000000000001E-2</v>
      </c>
      <c r="O6" s="70">
        <v>5.0999999999999997E-2</v>
      </c>
      <c r="P6" s="71" t="s">
        <v>244</v>
      </c>
      <c r="Q6" s="72" t="s">
        <v>202</v>
      </c>
      <c r="R6" s="73">
        <v>5.7000000000000002E-2</v>
      </c>
      <c r="S6" s="73">
        <v>5.8999999999999997E-2</v>
      </c>
      <c r="T6" s="73">
        <v>5.1999999999999998E-2</v>
      </c>
      <c r="U6" s="73">
        <v>1.0549999999999999</v>
      </c>
      <c r="V6" s="73">
        <v>1.0449999999999999</v>
      </c>
      <c r="W6" s="73"/>
      <c r="X6" s="73"/>
      <c r="Y6" s="73"/>
      <c r="Z6" s="73"/>
      <c r="AA6" s="73"/>
      <c r="AB6" s="73"/>
      <c r="AC6" s="73">
        <v>1.0780000000000001</v>
      </c>
      <c r="AD6" s="73">
        <v>1.0740000000000001</v>
      </c>
      <c r="AE6" s="75"/>
      <c r="AF6" s="75"/>
      <c r="AG6" s="70"/>
      <c r="AH6" s="70"/>
      <c r="AI6" s="70"/>
      <c r="AJ6" s="70"/>
      <c r="AK6" s="70"/>
    </row>
    <row r="7" spans="5:37" ht="53.25" hidden="1" customHeight="1" outlineLevel="1">
      <c r="E7" s="52"/>
      <c r="H7" s="69" t="s">
        <v>245</v>
      </c>
      <c r="I7" s="60" t="s">
        <v>202</v>
      </c>
      <c r="J7" s="70">
        <v>0.01</v>
      </c>
      <c r="K7" s="76">
        <v>1.2500000000000001E-2</v>
      </c>
      <c r="L7" s="70">
        <v>1.4999999999999999E-2</v>
      </c>
      <c r="M7" s="76">
        <v>7.4999999999999997E-3</v>
      </c>
      <c r="N7" s="76">
        <v>7.4999999999999997E-3</v>
      </c>
      <c r="O7" s="70">
        <v>1.4999999999999999E-2</v>
      </c>
      <c r="P7" s="71" t="s">
        <v>245</v>
      </c>
      <c r="Q7" s="72" t="s">
        <v>202</v>
      </c>
      <c r="R7" s="73">
        <v>0.01</v>
      </c>
      <c r="S7" s="77">
        <v>1.2500000000000001E-2</v>
      </c>
      <c r="T7" s="73">
        <v>1.4999999999999999E-2</v>
      </c>
      <c r="U7" s="78">
        <v>1.4999999999999999E-2</v>
      </c>
      <c r="V7" s="78">
        <v>1.4999999999999999E-2</v>
      </c>
      <c r="W7" s="78"/>
      <c r="X7" s="78"/>
      <c r="Y7" s="78"/>
      <c r="Z7" s="78"/>
      <c r="AA7" s="78"/>
      <c r="AB7" s="78"/>
      <c r="AC7" s="78">
        <v>1.4999999999999999E-2</v>
      </c>
      <c r="AD7" s="78">
        <v>1.4999999999999999E-2</v>
      </c>
      <c r="AE7" s="75"/>
      <c r="AF7" s="75"/>
      <c r="AG7" s="76"/>
      <c r="AH7" s="76"/>
      <c r="AI7" s="76"/>
      <c r="AJ7" s="76"/>
      <c r="AK7" s="76"/>
    </row>
    <row r="8" spans="5:37" ht="20.25" hidden="1" customHeight="1" outlineLevel="1">
      <c r="E8" s="52"/>
      <c r="H8" s="69" t="s">
        <v>246</v>
      </c>
      <c r="I8" s="60" t="s">
        <v>43</v>
      </c>
      <c r="J8" s="80">
        <v>88178.861000000004</v>
      </c>
      <c r="K8" s="80">
        <v>91207.98</v>
      </c>
      <c r="L8" s="80">
        <v>91207.98</v>
      </c>
      <c r="M8" s="80">
        <v>98255.76</v>
      </c>
      <c r="N8" s="80">
        <v>98394.84</v>
      </c>
      <c r="O8" s="80">
        <v>98255.76</v>
      </c>
      <c r="P8" s="71" t="s">
        <v>246</v>
      </c>
      <c r="Q8" s="72" t="s">
        <v>43</v>
      </c>
      <c r="R8" s="81">
        <v>88178.861000000004</v>
      </c>
      <c r="S8" s="81">
        <v>91207.98</v>
      </c>
      <c r="T8" s="81">
        <v>91207.98</v>
      </c>
      <c r="U8" s="81">
        <v>97763.19</v>
      </c>
      <c r="V8" s="81">
        <v>97763.19</v>
      </c>
      <c r="W8" s="81"/>
      <c r="X8" s="81"/>
      <c r="Y8" s="81"/>
      <c r="Z8" s="81"/>
      <c r="AA8" s="81"/>
      <c r="AB8" s="81"/>
      <c r="AC8" s="81">
        <f>'[70]6. расчет УЕ'!H107</f>
        <v>98245.424199999994</v>
      </c>
      <c r="AD8" s="82">
        <f>AC8</f>
        <v>98245.424199999994</v>
      </c>
      <c r="AE8" s="83"/>
      <c r="AF8" s="83"/>
      <c r="AG8" s="80"/>
      <c r="AH8" s="80"/>
      <c r="AI8" s="80"/>
      <c r="AJ8" s="80"/>
      <c r="AK8" s="80"/>
    </row>
    <row r="9" spans="5:37" ht="40.5" hidden="1" customHeight="1" outlineLevel="1">
      <c r="E9" s="52"/>
      <c r="H9" s="69" t="s">
        <v>247</v>
      </c>
      <c r="I9" s="60" t="s">
        <v>202</v>
      </c>
      <c r="J9" s="76">
        <v>0</v>
      </c>
      <c r="K9" s="76">
        <v>6.5699999999999995E-2</v>
      </c>
      <c r="L9" s="76">
        <v>0</v>
      </c>
      <c r="M9" s="76">
        <v>7.7299999999999994E-2</v>
      </c>
      <c r="N9" s="76">
        <f>IF(M8=0,0,(N8-M8)/M8)</f>
        <v>1.41548953465936E-3</v>
      </c>
      <c r="O9" s="76">
        <v>7.7299999999999994E-2</v>
      </c>
      <c r="P9" s="71" t="s">
        <v>247</v>
      </c>
      <c r="Q9" s="72" t="s">
        <v>202</v>
      </c>
      <c r="R9" s="77">
        <v>0</v>
      </c>
      <c r="S9" s="77">
        <v>6.5699999999999995E-2</v>
      </c>
      <c r="T9" s="77">
        <v>0</v>
      </c>
      <c r="U9" s="84">
        <f>IF(U8=0,0,(U8-T8)/T8)+100%</f>
        <v>1.0718710139178611</v>
      </c>
      <c r="V9" s="84">
        <f>IF(U8=0,0,(V8-U8)/U8)+100%</f>
        <v>1</v>
      </c>
      <c r="W9" s="84"/>
      <c r="X9" s="84"/>
      <c r="Y9" s="84"/>
      <c r="Z9" s="84"/>
      <c r="AA9" s="84"/>
      <c r="AB9" s="84"/>
      <c r="AC9" s="84">
        <f>IF(T8=0,0,(U8-T8)/T8)+100%</f>
        <v>1.0718710139178611</v>
      </c>
      <c r="AD9" s="85">
        <f>IF(T8=0,0,(U8-T8)/T8)+100%</f>
        <v>1.0718710139178611</v>
      </c>
      <c r="AE9" s="86"/>
      <c r="AF9" s="86"/>
      <c r="AG9" s="76"/>
      <c r="AH9" s="76"/>
      <c r="AI9" s="76"/>
      <c r="AJ9" s="76"/>
      <c r="AK9" s="76"/>
    </row>
    <row r="10" spans="5:37" ht="53.25" hidden="1" customHeight="1" outlineLevel="1">
      <c r="E10" s="52"/>
      <c r="H10" s="87" t="s">
        <v>248</v>
      </c>
      <c r="I10" s="61"/>
      <c r="J10" s="70"/>
      <c r="K10" s="60">
        <v>0.75</v>
      </c>
      <c r="L10" s="60">
        <v>0.75</v>
      </c>
      <c r="M10" s="60">
        <v>1.5</v>
      </c>
      <c r="N10" s="60">
        <v>1.5</v>
      </c>
      <c r="O10" s="60">
        <v>0.75</v>
      </c>
      <c r="P10" s="88" t="s">
        <v>248</v>
      </c>
      <c r="Q10" s="89"/>
      <c r="R10" s="73"/>
      <c r="S10" s="72">
        <v>0.75</v>
      </c>
      <c r="T10" s="72">
        <v>0.75</v>
      </c>
      <c r="U10" s="90">
        <v>0.75</v>
      </c>
      <c r="V10" s="90">
        <v>0.75</v>
      </c>
      <c r="W10" s="90"/>
      <c r="X10" s="90"/>
      <c r="Y10" s="90"/>
      <c r="Z10" s="90"/>
      <c r="AA10" s="90"/>
      <c r="AB10" s="90"/>
      <c r="AC10" s="90">
        <v>0.75</v>
      </c>
      <c r="AD10" s="90">
        <v>0.75</v>
      </c>
      <c r="AE10" s="91"/>
      <c r="AF10" s="91"/>
      <c r="AG10" s="60"/>
      <c r="AH10" s="60"/>
      <c r="AI10" s="60"/>
      <c r="AJ10" s="60"/>
      <c r="AK10" s="60"/>
    </row>
    <row r="11" spans="5:37" ht="32.4" hidden="1" customHeight="1" collapsed="1" thickBot="1">
      <c r="E11" s="52"/>
      <c r="H11" s="93" t="s">
        <v>249</v>
      </c>
      <c r="I11" s="61"/>
      <c r="J11" s="70">
        <v>1.04643</v>
      </c>
      <c r="K11" s="94">
        <f>(1+K6)*(1-K7)*(1+K9*K10)</f>
        <v>1.0972924471874999</v>
      </c>
      <c r="L11" s="94">
        <v>1.036</v>
      </c>
      <c r="M11" s="95">
        <v>1.0367999999999999</v>
      </c>
      <c r="N11" s="94">
        <v>1.0353000000000001</v>
      </c>
      <c r="O11" s="95">
        <v>1.0365</v>
      </c>
      <c r="P11" s="96" t="s">
        <v>249</v>
      </c>
      <c r="Q11" s="97"/>
      <c r="R11" s="98">
        <v>1.04643</v>
      </c>
      <c r="S11" s="99">
        <f>(1+S6)*(1-S7)*(1+S9*S10)</f>
        <v>1.0972924471874999</v>
      </c>
      <c r="T11" s="99">
        <v>1.036</v>
      </c>
      <c r="U11" s="100">
        <f>(1+U6)*(1-U7)*(1+U9*U10)/100+1</f>
        <v>1.0365141588219788</v>
      </c>
      <c r="V11" s="100">
        <f>(1+V6)*(1-V7)*(1+V9*V10)/100+1</f>
        <v>1.0352506875</v>
      </c>
      <c r="W11" s="100"/>
      <c r="X11" s="100"/>
      <c r="Y11" s="100"/>
      <c r="Z11" s="100"/>
      <c r="AA11" s="100"/>
      <c r="AB11" s="100"/>
      <c r="AC11" s="100">
        <f>(1+AC6)*(1-AC7)*(1+AC9*AC10)/100+1</f>
        <v>1.0369228331056313</v>
      </c>
      <c r="AD11" s="100">
        <f>(1+AD6)*(1-AD7)*(1+AD9*AD10)/100+1</f>
        <v>1.03685175931717</v>
      </c>
      <c r="AE11" s="102"/>
      <c r="AF11" s="102"/>
      <c r="AG11" s="94"/>
      <c r="AH11" s="94"/>
      <c r="AI11" s="94"/>
      <c r="AJ11" s="94"/>
      <c r="AK11" s="94"/>
    </row>
    <row r="12" spans="5:37" hidden="1">
      <c r="E12" s="52"/>
      <c r="U12" s="103"/>
      <c r="V12" s="103"/>
      <c r="W12" s="103"/>
      <c r="X12" s="103"/>
      <c r="Y12" s="103"/>
      <c r="Z12" s="103"/>
      <c r="AA12" s="103"/>
      <c r="AB12" s="103"/>
      <c r="AC12" s="103"/>
      <c r="AE12" s="67"/>
      <c r="AF12" s="67"/>
    </row>
    <row r="13" spans="5:37" hidden="1">
      <c r="E13" s="52"/>
      <c r="U13" s="104"/>
    </row>
    <row r="14" spans="5:37" hidden="1">
      <c r="E14" s="52"/>
    </row>
    <row r="15" spans="5:37" hidden="1">
      <c r="E15" s="52"/>
    </row>
    <row r="16" spans="5:37" hidden="1">
      <c r="E16" s="52"/>
    </row>
    <row r="17" spans="1:40" hidden="1">
      <c r="E17" s="52"/>
    </row>
    <row r="18" spans="1:40" hidden="1">
      <c r="E18" s="52"/>
    </row>
    <row r="19" spans="1:40" hidden="1">
      <c r="E19" s="52"/>
    </row>
    <row r="20" spans="1:40" hidden="1">
      <c r="E20" s="52"/>
    </row>
    <row r="21" spans="1:40" hidden="1">
      <c r="E21" s="52"/>
    </row>
    <row r="22" spans="1:40" hidden="1">
      <c r="E22" s="52"/>
    </row>
    <row r="23" spans="1:40" ht="28.5" hidden="1" customHeight="1">
      <c r="A23" s="108"/>
      <c r="B23" s="109"/>
      <c r="C23" s="110"/>
      <c r="D23" s="110"/>
      <c r="E23" s="111"/>
      <c r="F23" s="1308"/>
      <c r="G23" s="1308"/>
      <c r="H23" s="112"/>
      <c r="I23" s="112"/>
      <c r="J23" s="112"/>
      <c r="K23" s="111"/>
      <c r="L23" s="111"/>
      <c r="M23" s="111"/>
      <c r="N23" s="111"/>
      <c r="O23" s="111"/>
      <c r="P23" s="111"/>
      <c r="Q23" s="111"/>
      <c r="R23" s="111"/>
      <c r="S23" s="111"/>
      <c r="T23" s="113" t="s">
        <v>250</v>
      </c>
      <c r="U23" s="114">
        <v>1.0364536789698664</v>
      </c>
      <c r="V23" s="114">
        <v>1.0353238157904636</v>
      </c>
      <c r="W23" s="114"/>
      <c r="X23" s="114"/>
      <c r="Y23" s="114"/>
      <c r="Z23" s="114"/>
      <c r="AA23" s="114"/>
      <c r="AB23" s="114"/>
      <c r="AC23" s="114">
        <v>1.0370057376157218</v>
      </c>
      <c r="AD23" s="114">
        <v>1.0370057376157218</v>
      </c>
      <c r="AG23" s="111"/>
      <c r="AH23" s="111"/>
      <c r="AI23" s="111"/>
      <c r="AJ23" s="111"/>
      <c r="AK23" s="111"/>
    </row>
    <row r="24" spans="1:40" s="116" customFormat="1" ht="25.5" customHeight="1">
      <c r="A24" s="115"/>
      <c r="B24" s="1309" t="s">
        <v>251</v>
      </c>
      <c r="C24" s="1798"/>
      <c r="D24" s="1798"/>
      <c r="E24" s="1798"/>
      <c r="F24" s="1798"/>
      <c r="G24" s="1798"/>
      <c r="H24" s="1798"/>
      <c r="I24" s="1798"/>
      <c r="J24" s="1798"/>
      <c r="K24" s="1798"/>
      <c r="L24" s="1798"/>
      <c r="M24" s="1798"/>
      <c r="N24" s="1798"/>
      <c r="O24" s="1798"/>
      <c r="P24" s="1798"/>
      <c r="Q24" s="1798"/>
      <c r="R24" s="1798"/>
      <c r="S24" s="1798"/>
      <c r="T24" s="1798"/>
      <c r="U24" s="1798"/>
      <c r="V24" s="1798"/>
      <c r="W24" s="1799"/>
      <c r="X24" s="1799"/>
      <c r="Y24" s="1799"/>
      <c r="Z24" s="1799"/>
      <c r="AA24" s="1799"/>
      <c r="AB24" s="1799"/>
      <c r="AC24" s="1799"/>
      <c r="AD24" s="1800"/>
      <c r="AL24" s="949"/>
    </row>
    <row r="25" spans="1:40" ht="25.5" customHeight="1">
      <c r="A25" s="1313" t="s">
        <v>110</v>
      </c>
      <c r="B25" s="1314" t="s">
        <v>110</v>
      </c>
      <c r="C25" s="1315" t="s">
        <v>252</v>
      </c>
      <c r="D25" s="1801" t="s">
        <v>2122</v>
      </c>
      <c r="E25" s="1316" t="s">
        <v>253</v>
      </c>
      <c r="F25" s="1316" t="s">
        <v>254</v>
      </c>
      <c r="G25" s="1314" t="s">
        <v>255</v>
      </c>
      <c r="H25" s="1324" t="s">
        <v>256</v>
      </c>
      <c r="I25" s="1325"/>
      <c r="J25" s="1326"/>
      <c r="K25" s="1327" t="s">
        <v>257</v>
      </c>
      <c r="L25" s="1327"/>
      <c r="M25" s="1327"/>
      <c r="N25" s="1328" t="s">
        <v>258</v>
      </c>
      <c r="O25" s="1328"/>
      <c r="P25" s="1328"/>
      <c r="Q25" s="1328"/>
      <c r="R25" s="1328"/>
      <c r="S25" s="1328"/>
      <c r="T25" s="1328"/>
      <c r="U25" s="1328"/>
      <c r="V25" s="1804" t="s">
        <v>259</v>
      </c>
      <c r="W25" s="1805"/>
      <c r="X25" s="1805"/>
      <c r="Y25" s="1805"/>
      <c r="Z25" s="1805"/>
      <c r="AA25" s="1806"/>
      <c r="AB25" s="1807"/>
      <c r="AC25" s="1804" t="s">
        <v>260</v>
      </c>
      <c r="AD25" s="1805"/>
      <c r="AE25" s="1805"/>
      <c r="AF25" s="1805"/>
      <c r="AG25" s="1804" t="s">
        <v>2123</v>
      </c>
      <c r="AH25" s="1805"/>
      <c r="AI25" s="1805"/>
      <c r="AJ25" s="1805"/>
      <c r="AK25" s="1805"/>
      <c r="AL25" s="1808" t="s">
        <v>2124</v>
      </c>
    </row>
    <row r="26" spans="1:40" ht="120.75" customHeight="1">
      <c r="A26" s="1313"/>
      <c r="B26" s="1314"/>
      <c r="C26" s="1315"/>
      <c r="D26" s="1802"/>
      <c r="E26" s="1316"/>
      <c r="F26" s="1316"/>
      <c r="G26" s="1314"/>
      <c r="H26" s="1314" t="s">
        <v>261</v>
      </c>
      <c r="I26" s="1314" t="s">
        <v>273</v>
      </c>
      <c r="J26" s="1314" t="s">
        <v>264</v>
      </c>
      <c r="K26" s="1821" t="s">
        <v>261</v>
      </c>
      <c r="L26" s="1821" t="s">
        <v>273</v>
      </c>
      <c r="M26" s="1821" t="s">
        <v>264</v>
      </c>
      <c r="N26" s="1333" t="s">
        <v>261</v>
      </c>
      <c r="O26" s="1314" t="s">
        <v>262</v>
      </c>
      <c r="P26" s="1314" t="s">
        <v>263</v>
      </c>
      <c r="Q26" s="1811" t="s">
        <v>274</v>
      </c>
      <c r="R26" s="1818" t="s">
        <v>275</v>
      </c>
      <c r="S26" s="1334" t="s">
        <v>264</v>
      </c>
      <c r="T26" s="1335" t="s">
        <v>265</v>
      </c>
      <c r="U26" s="1335" t="s">
        <v>266</v>
      </c>
      <c r="V26" s="1816" t="s">
        <v>261</v>
      </c>
      <c r="W26" s="950" t="s">
        <v>2125</v>
      </c>
      <c r="X26" s="950" t="s">
        <v>2125</v>
      </c>
      <c r="Y26" s="1814" t="s">
        <v>2126</v>
      </c>
      <c r="Z26" s="1814" t="s">
        <v>2127</v>
      </c>
      <c r="AA26" s="1814" t="s">
        <v>1765</v>
      </c>
      <c r="AB26" s="1814" t="s">
        <v>1766</v>
      </c>
      <c r="AC26" s="1816" t="s">
        <v>2128</v>
      </c>
      <c r="AD26" s="1816" t="s">
        <v>2129</v>
      </c>
      <c r="AE26" s="1817" t="s">
        <v>268</v>
      </c>
      <c r="AF26" s="1817" t="s">
        <v>2130</v>
      </c>
      <c r="AG26" s="1816" t="s">
        <v>2131</v>
      </c>
      <c r="AH26" s="1816" t="s">
        <v>2132</v>
      </c>
      <c r="AI26" s="1814" t="s">
        <v>2133</v>
      </c>
      <c r="AJ26" s="1814" t="s">
        <v>2134</v>
      </c>
      <c r="AK26" s="1813" t="s">
        <v>2135</v>
      </c>
      <c r="AL26" s="1809"/>
    </row>
    <row r="27" spans="1:40" ht="21.75" customHeight="1">
      <c r="A27" s="1313"/>
      <c r="B27" s="1314"/>
      <c r="C27" s="1315"/>
      <c r="D27" s="1803"/>
      <c r="E27" s="1316"/>
      <c r="F27" s="1316"/>
      <c r="G27" s="1314"/>
      <c r="H27" s="1820"/>
      <c r="I27" s="1820"/>
      <c r="J27" s="1820"/>
      <c r="K27" s="1812"/>
      <c r="L27" s="1812"/>
      <c r="M27" s="1812"/>
      <c r="N27" s="1333"/>
      <c r="O27" s="1314"/>
      <c r="P27" s="1314"/>
      <c r="Q27" s="1812"/>
      <c r="R27" s="1812"/>
      <c r="S27" s="1334"/>
      <c r="T27" s="1335"/>
      <c r="U27" s="1335"/>
      <c r="V27" s="1816"/>
      <c r="W27" s="951"/>
      <c r="X27" s="951"/>
      <c r="Y27" s="1815"/>
      <c r="Z27" s="1815"/>
      <c r="AA27" s="1815"/>
      <c r="AB27" s="1815"/>
      <c r="AC27" s="1816"/>
      <c r="AD27" s="1816"/>
      <c r="AE27" s="1817"/>
      <c r="AF27" s="1817"/>
      <c r="AG27" s="1816"/>
      <c r="AH27" s="1816"/>
      <c r="AI27" s="1812"/>
      <c r="AJ27" s="1812"/>
      <c r="AK27" s="1813"/>
      <c r="AL27" s="1810"/>
    </row>
    <row r="28" spans="1:40" ht="15.6" customHeight="1">
      <c r="A28" s="412"/>
      <c r="B28" s="130">
        <v>1</v>
      </c>
      <c r="C28" s="131"/>
      <c r="D28" s="131"/>
      <c r="E28" s="132">
        <v>2</v>
      </c>
      <c r="F28" s="133"/>
      <c r="G28" s="130">
        <v>3</v>
      </c>
      <c r="H28" s="130"/>
      <c r="I28" s="130"/>
      <c r="J28" s="130"/>
      <c r="K28" s="130"/>
      <c r="L28" s="130"/>
      <c r="M28" s="130"/>
      <c r="N28" s="134"/>
      <c r="O28" s="134"/>
      <c r="P28" s="134"/>
      <c r="Q28" s="135"/>
      <c r="R28" s="134"/>
      <c r="S28" s="136"/>
      <c r="T28" s="136"/>
      <c r="U28" s="136"/>
      <c r="V28" s="138">
        <v>4</v>
      </c>
      <c r="W28" s="138"/>
      <c r="X28" s="138">
        <v>5</v>
      </c>
      <c r="Y28" s="138">
        <v>6</v>
      </c>
      <c r="Z28" s="138">
        <v>7</v>
      </c>
      <c r="AA28" s="138"/>
      <c r="AB28" s="138"/>
      <c r="AC28" s="138">
        <v>8</v>
      </c>
      <c r="AD28" s="138">
        <v>9</v>
      </c>
      <c r="AE28" s="138"/>
      <c r="AF28" s="138">
        <v>10</v>
      </c>
      <c r="AG28" s="134">
        <v>11</v>
      </c>
      <c r="AH28" s="134">
        <v>12</v>
      </c>
      <c r="AI28" s="952" t="s">
        <v>2136</v>
      </c>
      <c r="AJ28" s="952" t="s">
        <v>2137</v>
      </c>
      <c r="AK28" s="952">
        <v>15</v>
      </c>
      <c r="AL28" s="74"/>
    </row>
    <row r="29" spans="1:40" ht="33" customHeight="1">
      <c r="A29" s="139"/>
      <c r="B29" s="409" t="s">
        <v>294</v>
      </c>
      <c r="C29" s="141"/>
      <c r="D29" s="141"/>
      <c r="E29" s="142" t="s">
        <v>295</v>
      </c>
      <c r="F29" s="142" t="s">
        <v>295</v>
      </c>
      <c r="G29" s="406" t="s">
        <v>121</v>
      </c>
      <c r="H29" s="402">
        <f t="shared" ref="H29:AK29" si="0">H30+H91</f>
        <v>309350.688156844</v>
      </c>
      <c r="I29" s="402">
        <f t="shared" si="0"/>
        <v>281134.99747999996</v>
      </c>
      <c r="J29" s="402">
        <f t="shared" si="0"/>
        <v>268183.54100000003</v>
      </c>
      <c r="K29" s="402">
        <f t="shared" si="0"/>
        <v>339442.26575850789</v>
      </c>
      <c r="L29" s="402">
        <f t="shared" si="0"/>
        <v>240103.97205999997</v>
      </c>
      <c r="M29" s="402">
        <f t="shared" si="0"/>
        <v>228441.34996999998</v>
      </c>
      <c r="N29" s="402">
        <f t="shared" si="0"/>
        <v>283152.32154194725</v>
      </c>
      <c r="O29" s="402">
        <f t="shared" si="0"/>
        <v>305115.74258999998</v>
      </c>
      <c r="P29" s="402">
        <f t="shared" si="0"/>
        <v>297781.96194000001</v>
      </c>
      <c r="Q29" s="145">
        <f t="shared" si="0"/>
        <v>296780.96320253209</v>
      </c>
      <c r="R29" s="402">
        <f t="shared" si="0"/>
        <v>296780.96320253209</v>
      </c>
      <c r="S29" s="402">
        <f t="shared" si="0"/>
        <v>280661.4856325321</v>
      </c>
      <c r="T29" s="402">
        <f>S29-N29</f>
        <v>-2490.8359094151529</v>
      </c>
      <c r="U29" s="402">
        <f>S29-P29</f>
        <v>-17120.476307467907</v>
      </c>
      <c r="V29" s="402">
        <f t="shared" si="0"/>
        <v>243877.70857893719</v>
      </c>
      <c r="W29" s="953">
        <f t="shared" si="0"/>
        <v>315396655.56</v>
      </c>
      <c r="X29" s="953">
        <f t="shared" si="0"/>
        <v>315396.65555999993</v>
      </c>
      <c r="Y29" s="953">
        <f t="shared" si="0"/>
        <v>315396.65555999993</v>
      </c>
      <c r="Z29" s="168">
        <f t="shared" si="0"/>
        <v>305661.52798000001</v>
      </c>
      <c r="AA29" s="953">
        <f t="shared" si="0"/>
        <v>4206.45514</v>
      </c>
      <c r="AB29" s="953">
        <f t="shared" si="0"/>
        <v>5528.6724400000003</v>
      </c>
      <c r="AC29" s="953">
        <f t="shared" si="0"/>
        <v>255576.48924877457</v>
      </c>
      <c r="AD29" s="402">
        <f t="shared" si="0"/>
        <v>423519.77948830312</v>
      </c>
      <c r="AE29" s="402">
        <f t="shared" si="0"/>
        <v>252865.03119831113</v>
      </c>
      <c r="AF29" s="402">
        <f t="shared" si="0"/>
        <v>252865.03119831113</v>
      </c>
      <c r="AG29" s="402">
        <f t="shared" si="0"/>
        <v>265799.55238485546</v>
      </c>
      <c r="AH29" s="402">
        <f t="shared" si="0"/>
        <v>412646.55458482541</v>
      </c>
      <c r="AI29" s="954">
        <f>AH29/X29</f>
        <v>1.3083415670725937</v>
      </c>
      <c r="AJ29" s="259">
        <f t="shared" ref="AJ29" si="1">AJ30+AJ91</f>
        <v>146847.00219996989</v>
      </c>
      <c r="AK29" s="259">
        <f t="shared" si="0"/>
        <v>365219.81123134686</v>
      </c>
      <c r="AL29" s="406"/>
    </row>
    <row r="30" spans="1:40" ht="33" hidden="1" customHeight="1" outlineLevel="1">
      <c r="A30" s="139"/>
      <c r="B30" s="409" t="s">
        <v>296</v>
      </c>
      <c r="C30" s="955"/>
      <c r="D30" s="955"/>
      <c r="E30" s="142" t="s">
        <v>297</v>
      </c>
      <c r="F30" s="142" t="s">
        <v>297</v>
      </c>
      <c r="G30" s="406" t="s">
        <v>121</v>
      </c>
      <c r="H30" s="402">
        <f t="shared" ref="H30:AB30" si="2">H34+H42+H46+H52+H56+H61+H65+H70+H79+H87+H90</f>
        <v>242340.01013794073</v>
      </c>
      <c r="I30" s="402">
        <f t="shared" si="2"/>
        <v>230759.85590999995</v>
      </c>
      <c r="J30" s="402">
        <f t="shared" si="2"/>
        <v>217808.40100000001</v>
      </c>
      <c r="K30" s="402">
        <f t="shared" si="2"/>
        <v>265913.2358133911</v>
      </c>
      <c r="L30" s="402">
        <f t="shared" si="2"/>
        <v>185754.21470999997</v>
      </c>
      <c r="M30" s="402">
        <f t="shared" si="2"/>
        <v>174091.58879999997</v>
      </c>
      <c r="N30" s="402">
        <f t="shared" si="2"/>
        <v>232420.03955532395</v>
      </c>
      <c r="O30" s="402">
        <f t="shared" si="2"/>
        <v>241865.25547999996</v>
      </c>
      <c r="P30" s="402">
        <f t="shared" si="2"/>
        <v>236239.99015</v>
      </c>
      <c r="Q30" s="145">
        <f t="shared" si="2"/>
        <v>235238.99141253211</v>
      </c>
      <c r="R30" s="402">
        <f t="shared" si="2"/>
        <v>235238.99141253211</v>
      </c>
      <c r="S30" s="402">
        <f t="shared" si="2"/>
        <v>219119.51384253212</v>
      </c>
      <c r="T30" s="402">
        <f t="shared" ref="T30:T93" si="3">S30-N30</f>
        <v>-13300.52571279183</v>
      </c>
      <c r="U30" s="402">
        <f t="shared" ref="U30:U93" si="4">S30-P30</f>
        <v>-17120.476307467878</v>
      </c>
      <c r="V30" s="402">
        <f t="shared" si="2"/>
        <v>182238.28569201095</v>
      </c>
      <c r="W30" s="953">
        <f t="shared" si="2"/>
        <v>242445394.13</v>
      </c>
      <c r="X30" s="953">
        <f t="shared" si="2"/>
        <v>242445.39412999994</v>
      </c>
      <c r="Y30" s="953">
        <f t="shared" si="2"/>
        <v>242445.39412999994</v>
      </c>
      <c r="Z30" s="953">
        <f t="shared" si="2"/>
        <v>234598.75743</v>
      </c>
      <c r="AA30" s="953">
        <f t="shared" si="2"/>
        <v>3655.9045100000003</v>
      </c>
      <c r="AB30" s="953">
        <f t="shared" si="2"/>
        <v>4190.7321899999997</v>
      </c>
      <c r="AC30" s="402">
        <f>AC34+AC42+AC46+AC52+AC56+AC61+AC65+AC70+AC79+AC87+AC90</f>
        <v>191163.29233193659</v>
      </c>
      <c r="AD30" s="402">
        <f t="shared" ref="AD30:AK30" si="5">AD34+AD42+AD46+AD52+AD56+AD61+AD65+AD70+AD79+AD87+AD90</f>
        <v>332276.39552201366</v>
      </c>
      <c r="AE30" s="402">
        <f t="shared" si="5"/>
        <v>188954.08713470661</v>
      </c>
      <c r="AF30" s="402">
        <f t="shared" si="5"/>
        <v>188954.08713470661</v>
      </c>
      <c r="AG30" s="402">
        <f t="shared" si="5"/>
        <v>198809.82759134399</v>
      </c>
      <c r="AH30" s="402">
        <f t="shared" si="5"/>
        <v>323347.45378704014</v>
      </c>
      <c r="AI30" s="954">
        <f t="shared" ref="AI30:AI93" si="6">AH30/X30</f>
        <v>1.3336918812062903</v>
      </c>
      <c r="AJ30" s="259">
        <f t="shared" ref="AJ30" si="7">AJ34+AJ42+AJ46+AJ52+AJ56+AJ61+AJ65+AJ70+AJ79+AJ87+AJ90</f>
        <v>124537.62619569611</v>
      </c>
      <c r="AK30" s="259">
        <f t="shared" si="5"/>
        <v>275920.71043356159</v>
      </c>
      <c r="AL30" s="74"/>
    </row>
    <row r="31" spans="1:40" ht="33" hidden="1" customHeight="1" outlineLevel="3">
      <c r="A31" s="139">
        <v>1</v>
      </c>
      <c r="B31" s="406" t="s">
        <v>126</v>
      </c>
      <c r="C31" s="198" t="s">
        <v>298</v>
      </c>
      <c r="D31" s="956" t="s">
        <v>119</v>
      </c>
      <c r="E31" s="148" t="s">
        <v>299</v>
      </c>
      <c r="F31" s="149" t="s">
        <v>300</v>
      </c>
      <c r="G31" s="406" t="s">
        <v>121</v>
      </c>
      <c r="H31" s="406">
        <v>324.51180348142424</v>
      </c>
      <c r="I31" s="406">
        <v>183.71635000000001</v>
      </c>
      <c r="J31" s="406">
        <v>183.72</v>
      </c>
      <c r="K31" s="406">
        <v>356.07814785874052</v>
      </c>
      <c r="L31" s="406">
        <v>401.94812999999999</v>
      </c>
      <c r="M31" s="406">
        <v>401.95</v>
      </c>
      <c r="N31" s="406">
        <v>330.63396039921264</v>
      </c>
      <c r="O31" s="406">
        <v>502.42376999999993</v>
      </c>
      <c r="P31" s="406">
        <v>502.42376999999993</v>
      </c>
      <c r="Q31" s="150">
        <v>502.42376999999993</v>
      </c>
      <c r="R31" s="406">
        <v>502.42376999999993</v>
      </c>
      <c r="S31" s="406">
        <v>502.42376999999993</v>
      </c>
      <c r="T31" s="406">
        <f t="shared" si="3"/>
        <v>171.78980960078729</v>
      </c>
      <c r="U31" s="406">
        <f t="shared" si="4"/>
        <v>0</v>
      </c>
      <c r="V31" s="406">
        <v>348.81882822116933</v>
      </c>
      <c r="W31" s="167">
        <v>375525.06</v>
      </c>
      <c r="X31" s="167">
        <v>375.52506</v>
      </c>
      <c r="Y31" s="406">
        <v>375.52506</v>
      </c>
      <c r="Z31" s="406">
        <v>374.45143999999999</v>
      </c>
      <c r="AA31" s="406">
        <v>0.93091000000000013</v>
      </c>
      <c r="AB31" s="406">
        <v>0.14271</v>
      </c>
      <c r="AC31" s="406">
        <v>364.5156754911219</v>
      </c>
      <c r="AD31" s="167">
        <v>969.85746178841623</v>
      </c>
      <c r="AE31" s="406">
        <f>V31*$AD$11</f>
        <v>361.6734157240731</v>
      </c>
      <c r="AF31" s="402">
        <f t="shared" ref="AF31:AF94" si="8">AE31</f>
        <v>361.6734157240731</v>
      </c>
      <c r="AG31" s="167">
        <v>379.0963025107668</v>
      </c>
      <c r="AH31" s="406">
        <v>873.5704321020437</v>
      </c>
      <c r="AI31" s="957">
        <f t="shared" si="6"/>
        <v>2.3262640104552377</v>
      </c>
      <c r="AJ31" s="957">
        <f t="shared" ref="AJ31:AJ94" si="9">AH31-AG31</f>
        <v>494.47412959127689</v>
      </c>
      <c r="AK31" s="958">
        <f>AH31</f>
        <v>873.5704321020437</v>
      </c>
      <c r="AL31" s="74"/>
      <c r="AM31" s="52">
        <f>AH31-AG31</f>
        <v>494.47412959127689</v>
      </c>
      <c r="AN31" s="191">
        <f>SUM(AM31:AM94)</f>
        <v>146847.00219996995</v>
      </c>
    </row>
    <row r="32" spans="1:40" ht="33" hidden="1" customHeight="1" outlineLevel="3">
      <c r="A32" s="407">
        <v>2</v>
      </c>
      <c r="B32" s="406" t="s">
        <v>128</v>
      </c>
      <c r="C32" s="198" t="s">
        <v>301</v>
      </c>
      <c r="D32" s="956" t="s">
        <v>189</v>
      </c>
      <c r="E32" s="148" t="s">
        <v>302</v>
      </c>
      <c r="F32" s="149" t="s">
        <v>303</v>
      </c>
      <c r="G32" s="406" t="s">
        <v>121</v>
      </c>
      <c r="H32" s="406">
        <v>957.54981027277597</v>
      </c>
      <c r="I32" s="406">
        <v>430.84805999999998</v>
      </c>
      <c r="J32" s="406">
        <v>83.198059999999998</v>
      </c>
      <c r="K32" s="406">
        <v>1050.693870813041</v>
      </c>
      <c r="L32" s="406">
        <v>342.46424000000002</v>
      </c>
      <c r="M32" s="406">
        <v>342.46</v>
      </c>
      <c r="N32" s="406">
        <v>87.069880378300709</v>
      </c>
      <c r="O32" s="406">
        <v>156.28928000000002</v>
      </c>
      <c r="P32" s="406">
        <v>151.01801</v>
      </c>
      <c r="Q32" s="150">
        <v>151.01801</v>
      </c>
      <c r="R32" s="406">
        <v>151.01801</v>
      </c>
      <c r="S32" s="406">
        <v>151.01801</v>
      </c>
      <c r="T32" s="406">
        <f t="shared" si="3"/>
        <v>63.948129621699294</v>
      </c>
      <c r="U32" s="406">
        <f t="shared" si="4"/>
        <v>0</v>
      </c>
      <c r="V32" s="406">
        <v>388.39244749999989</v>
      </c>
      <c r="W32" s="167">
        <v>526843.13</v>
      </c>
      <c r="X32" s="167">
        <v>526.84312999999997</v>
      </c>
      <c r="Y32" s="406">
        <v>526.84312999999986</v>
      </c>
      <c r="Z32" s="406">
        <v>525.78730999999993</v>
      </c>
      <c r="AA32" s="406">
        <v>0.90312000000000003</v>
      </c>
      <c r="AB32" s="406">
        <v>0.1527</v>
      </c>
      <c r="AC32" s="406">
        <v>405.87010763749987</v>
      </c>
      <c r="AD32" s="167">
        <v>1945.5006796043717</v>
      </c>
      <c r="AE32" s="406">
        <f>V32*$AD$11</f>
        <v>402.70539249587648</v>
      </c>
      <c r="AF32" s="402">
        <f t="shared" si="8"/>
        <v>402.70539249587648</v>
      </c>
      <c r="AG32" s="167">
        <v>422.10491194299988</v>
      </c>
      <c r="AH32" s="406">
        <v>2003.4425411104999</v>
      </c>
      <c r="AI32" s="957">
        <f t="shared" si="6"/>
        <v>3.80273069349979</v>
      </c>
      <c r="AJ32" s="957">
        <f t="shared" si="9"/>
        <v>1581.3376291674999</v>
      </c>
      <c r="AK32" s="958">
        <f t="shared" ref="AK32:AK39" si="10">AH32</f>
        <v>2003.4425411104999</v>
      </c>
      <c r="AL32" s="74"/>
      <c r="AM32" s="52">
        <f>AH32-AG32</f>
        <v>1581.3376291674999</v>
      </c>
    </row>
    <row r="33" spans="1:39" ht="33" hidden="1" customHeight="1" outlineLevel="3">
      <c r="A33" s="139">
        <v>3</v>
      </c>
      <c r="B33" s="406" t="s">
        <v>130</v>
      </c>
      <c r="C33" s="198" t="s">
        <v>304</v>
      </c>
      <c r="D33" s="956" t="s">
        <v>193</v>
      </c>
      <c r="E33" s="148" t="s">
        <v>305</v>
      </c>
      <c r="F33" s="149" t="s">
        <v>306</v>
      </c>
      <c r="G33" s="406" t="s">
        <v>121</v>
      </c>
      <c r="H33" s="406">
        <v>8597.0598922308891</v>
      </c>
      <c r="I33" s="406">
        <v>13706.690549999999</v>
      </c>
      <c r="J33" s="406">
        <v>13706.69</v>
      </c>
      <c r="K33" s="406">
        <v>9433.3245528046555</v>
      </c>
      <c r="L33" s="406">
        <v>12209.585720000001</v>
      </c>
      <c r="M33" s="406">
        <v>12209.59</v>
      </c>
      <c r="N33" s="406">
        <v>11508.547144853132</v>
      </c>
      <c r="O33" s="406">
        <v>14368.167649999999</v>
      </c>
      <c r="P33" s="406">
        <v>14251.2431</v>
      </c>
      <c r="Q33" s="150">
        <v>14251.2431</v>
      </c>
      <c r="R33" s="406">
        <v>14251.2431</v>
      </c>
      <c r="S33" s="406">
        <v>14251.2431</v>
      </c>
      <c r="T33" s="406">
        <f t="shared" si="3"/>
        <v>2742.6959551468681</v>
      </c>
      <c r="U33" s="406">
        <f t="shared" si="4"/>
        <v>0</v>
      </c>
      <c r="V33" s="406">
        <v>12141.517237820053</v>
      </c>
      <c r="W33" s="167">
        <v>15893385.189999999</v>
      </c>
      <c r="X33" s="167">
        <v>15893.385189999999</v>
      </c>
      <c r="Y33" s="406">
        <v>15893.385189999999</v>
      </c>
      <c r="Z33" s="406">
        <v>15837.52577</v>
      </c>
      <c r="AA33" s="406">
        <v>0.92859999999999987</v>
      </c>
      <c r="AB33" s="406">
        <v>54.930819999999997</v>
      </c>
      <c r="AC33" s="406">
        <v>12687.885513521955</v>
      </c>
      <c r="AD33" s="167">
        <v>19441.68</v>
      </c>
      <c r="AE33" s="406">
        <f>V33*$AD$11</f>
        <v>12588.953508813469</v>
      </c>
      <c r="AF33" s="402">
        <f t="shared" si="8"/>
        <v>12588.953508813469</v>
      </c>
      <c r="AG33" s="167">
        <v>13195.400934062833</v>
      </c>
      <c r="AH33" s="406">
        <v>17989.8</v>
      </c>
      <c r="AI33" s="957">
        <f t="shared" si="6"/>
        <v>1.1319048638750069</v>
      </c>
      <c r="AJ33" s="957">
        <f t="shared" si="9"/>
        <v>4794.3990659371666</v>
      </c>
      <c r="AK33" s="958">
        <f t="shared" si="10"/>
        <v>17989.8</v>
      </c>
      <c r="AL33" s="74"/>
      <c r="AM33" s="52">
        <f>AH33-AG33</f>
        <v>4794.3990659371666</v>
      </c>
    </row>
    <row r="34" spans="1:39" s="161" customFormat="1" ht="33" hidden="1" customHeight="1" outlineLevel="2">
      <c r="A34" s="153"/>
      <c r="B34" s="154"/>
      <c r="C34" s="959"/>
      <c r="D34" s="960"/>
      <c r="E34" s="156" t="s">
        <v>307</v>
      </c>
      <c r="F34" s="157"/>
      <c r="G34" s="158"/>
      <c r="H34" s="154">
        <f t="shared" ref="H34:J34" si="11">H31+H32+H33</f>
        <v>9879.1215059850892</v>
      </c>
      <c r="I34" s="154">
        <f t="shared" si="11"/>
        <v>14321.254959999998</v>
      </c>
      <c r="J34" s="154">
        <f t="shared" si="11"/>
        <v>13973.60806</v>
      </c>
      <c r="K34" s="154">
        <f>K31+K32+K33</f>
        <v>10840.096571476437</v>
      </c>
      <c r="L34" s="154">
        <f t="shared" ref="L34:W34" si="12">L31+L32+L33</f>
        <v>12953.998090000001</v>
      </c>
      <c r="M34" s="154">
        <f t="shared" si="12"/>
        <v>12954</v>
      </c>
      <c r="N34" s="154">
        <f t="shared" si="12"/>
        <v>11926.250985630644</v>
      </c>
      <c r="O34" s="154">
        <f t="shared" si="12"/>
        <v>15026.8807</v>
      </c>
      <c r="P34" s="154">
        <f t="shared" si="12"/>
        <v>14904.684879999999</v>
      </c>
      <c r="Q34" s="159">
        <f t="shared" si="12"/>
        <v>14904.684879999999</v>
      </c>
      <c r="R34" s="154">
        <f t="shared" si="12"/>
        <v>14904.684879999999</v>
      </c>
      <c r="S34" s="154">
        <f t="shared" si="12"/>
        <v>14904.684879999999</v>
      </c>
      <c r="T34" s="402">
        <f t="shared" si="3"/>
        <v>2978.4338943693547</v>
      </c>
      <c r="U34" s="402">
        <f t="shared" si="4"/>
        <v>0</v>
      </c>
      <c r="V34" s="154">
        <f t="shared" si="12"/>
        <v>12878.728513541222</v>
      </c>
      <c r="W34" s="961">
        <f t="shared" si="12"/>
        <v>16795753.379999999</v>
      </c>
      <c r="X34" s="961">
        <f>X31+X32+X33</f>
        <v>16795.753379999998</v>
      </c>
      <c r="Y34" s="961">
        <f t="shared" ref="Y34:AK34" si="13">Y31+Y32+Y33</f>
        <v>16795.753379999998</v>
      </c>
      <c r="Z34" s="961">
        <f t="shared" si="13"/>
        <v>16737.764520000001</v>
      </c>
      <c r="AA34" s="961">
        <f t="shared" si="13"/>
        <v>2.7626300000000001</v>
      </c>
      <c r="AB34" s="961">
        <f t="shared" si="13"/>
        <v>55.226229999999994</v>
      </c>
      <c r="AC34" s="154">
        <f t="shared" si="13"/>
        <v>13458.271296650577</v>
      </c>
      <c r="AD34" s="154">
        <f t="shared" si="13"/>
        <v>22357.03814139279</v>
      </c>
      <c r="AE34" s="154">
        <f t="shared" si="13"/>
        <v>13353.332317033419</v>
      </c>
      <c r="AF34" s="154">
        <f t="shared" si="13"/>
        <v>13353.332317033419</v>
      </c>
      <c r="AG34" s="961">
        <f t="shared" si="13"/>
        <v>13996.602148516598</v>
      </c>
      <c r="AH34" s="154">
        <f t="shared" si="13"/>
        <v>20866.812973212542</v>
      </c>
      <c r="AI34" s="962">
        <f t="shared" si="6"/>
        <v>1.2423862449695331</v>
      </c>
      <c r="AJ34" s="963">
        <f t="shared" si="13"/>
        <v>6870.2108246959433</v>
      </c>
      <c r="AK34" s="963">
        <f t="shared" si="13"/>
        <v>20866.812973212542</v>
      </c>
      <c r="AL34" s="964"/>
      <c r="AM34" s="52"/>
    </row>
    <row r="35" spans="1:39" ht="33" hidden="1" customHeight="1" outlineLevel="3">
      <c r="A35" s="139" t="s">
        <v>195</v>
      </c>
      <c r="B35" s="406" t="s">
        <v>308</v>
      </c>
      <c r="C35" s="198" t="s">
        <v>309</v>
      </c>
      <c r="D35" s="956" t="s">
        <v>195</v>
      </c>
      <c r="E35" s="148" t="s">
        <v>310</v>
      </c>
      <c r="F35" s="149" t="s">
        <v>311</v>
      </c>
      <c r="G35" s="406" t="s">
        <v>121</v>
      </c>
      <c r="H35" s="406">
        <v>964.01821034217039</v>
      </c>
      <c r="I35" s="406">
        <v>1613.7833900000001</v>
      </c>
      <c r="J35" s="406">
        <v>1613.78</v>
      </c>
      <c r="K35" s="406">
        <v>1057.7914737094827</v>
      </c>
      <c r="L35" s="406">
        <v>1971.7940000000001</v>
      </c>
      <c r="M35" s="406">
        <v>1971.79</v>
      </c>
      <c r="N35" s="406">
        <v>1939.03</v>
      </c>
      <c r="O35" s="406">
        <v>2393.2037599999999</v>
      </c>
      <c r="P35" s="406">
        <v>1981.9687799999997</v>
      </c>
      <c r="Q35" s="150">
        <v>1981.9687799999997</v>
      </c>
      <c r="R35" s="406">
        <v>1981.9687799999997</v>
      </c>
      <c r="S35" s="406">
        <v>1981.9687799999997</v>
      </c>
      <c r="T35" s="406">
        <f>S35-N35</f>
        <v>42.938779999999724</v>
      </c>
      <c r="U35" s="406">
        <f>S35-P35</f>
        <v>0</v>
      </c>
      <c r="V35" s="406">
        <v>2045.6766499999999</v>
      </c>
      <c r="W35" s="167">
        <v>2812923.45</v>
      </c>
      <c r="X35" s="167">
        <v>2812.9234500000002</v>
      </c>
      <c r="Y35" s="406">
        <v>2812.9234499999998</v>
      </c>
      <c r="Z35" s="406">
        <v>2270.7102300000001</v>
      </c>
      <c r="AA35" s="406">
        <v>381.49137999999999</v>
      </c>
      <c r="AB35" s="406">
        <v>160.72183999999999</v>
      </c>
      <c r="AC35" s="406">
        <v>2137.7320992499999</v>
      </c>
      <c r="AD35" s="167">
        <v>2858.98</v>
      </c>
      <c r="AE35" s="406">
        <f t="shared" ref="AE35:AE41" si="14">V35*$AD$11</f>
        <v>2121.0634335465543</v>
      </c>
      <c r="AF35" s="402">
        <f t="shared" si="8"/>
        <v>2121.0634335465543</v>
      </c>
      <c r="AG35" s="167">
        <v>2223.24138322</v>
      </c>
      <c r="AH35" s="406">
        <v>3780.2646149046868</v>
      </c>
      <c r="AI35" s="957">
        <f t="shared" si="6"/>
        <v>1.3438917489577211</v>
      </c>
      <c r="AJ35" s="957">
        <f t="shared" si="9"/>
        <v>1557.0232316846868</v>
      </c>
      <c r="AK35" s="958">
        <f t="shared" si="10"/>
        <v>3780.2646149046868</v>
      </c>
      <c r="AL35" s="74"/>
      <c r="AM35" s="52">
        <f t="shared" ref="AM35:AM41" si="15">AH35-AG35</f>
        <v>1557.0232316846868</v>
      </c>
    </row>
    <row r="36" spans="1:39" ht="33" hidden="1" customHeight="1" outlineLevel="3">
      <c r="A36" s="139" t="s">
        <v>197</v>
      </c>
      <c r="B36" s="406" t="s">
        <v>312</v>
      </c>
      <c r="C36" s="198" t="s">
        <v>313</v>
      </c>
      <c r="D36" s="956" t="s">
        <v>197</v>
      </c>
      <c r="E36" s="148" t="s">
        <v>314</v>
      </c>
      <c r="F36" s="149" t="s">
        <v>315</v>
      </c>
      <c r="G36" s="406" t="s">
        <v>121</v>
      </c>
      <c r="H36" s="406">
        <v>1106.1170118666332</v>
      </c>
      <c r="I36" s="406">
        <v>239.94213999999999</v>
      </c>
      <c r="J36" s="406">
        <v>239.94</v>
      </c>
      <c r="K36" s="406">
        <v>1213.712699122394</v>
      </c>
      <c r="L36" s="406">
        <v>228.50139999999999</v>
      </c>
      <c r="M36" s="406">
        <v>228.5</v>
      </c>
      <c r="N36" s="406">
        <v>216.28047451465258</v>
      </c>
      <c r="O36" s="406">
        <v>333.86768999999993</v>
      </c>
      <c r="P36" s="406">
        <v>259.60739000000001</v>
      </c>
      <c r="Q36" s="150">
        <v>259.60739000000001</v>
      </c>
      <c r="R36" s="406">
        <v>259.60739000000001</v>
      </c>
      <c r="S36" s="406">
        <v>259.60739000000001</v>
      </c>
      <c r="T36" s="406">
        <f t="shared" si="3"/>
        <v>43.326915485347428</v>
      </c>
      <c r="U36" s="406">
        <f t="shared" si="4"/>
        <v>0</v>
      </c>
      <c r="V36" s="406">
        <v>259.14756249999999</v>
      </c>
      <c r="W36" s="167">
        <v>235210.77</v>
      </c>
      <c r="X36" s="167">
        <v>235.21077</v>
      </c>
      <c r="Y36" s="406">
        <v>235.21077</v>
      </c>
      <c r="Z36" s="406">
        <v>181.51391999999998</v>
      </c>
      <c r="AA36" s="406">
        <v>51.556319999999999</v>
      </c>
      <c r="AB36" s="406">
        <v>2.14053</v>
      </c>
      <c r="AC36" s="406">
        <v>270.80920281249996</v>
      </c>
      <c r="AD36" s="167">
        <v>357.37099999999998</v>
      </c>
      <c r="AE36" s="406">
        <f t="shared" si="14"/>
        <v>268.69760610088127</v>
      </c>
      <c r="AF36" s="402">
        <f>AE36</f>
        <v>268.69760610088127</v>
      </c>
      <c r="AG36" s="167">
        <v>281.641570925</v>
      </c>
      <c r="AH36" s="406">
        <v>344.92884881016215</v>
      </c>
      <c r="AI36" s="957">
        <f t="shared" si="6"/>
        <v>1.4664670704073719</v>
      </c>
      <c r="AJ36" s="957">
        <f t="shared" si="9"/>
        <v>63.287277885162155</v>
      </c>
      <c r="AK36" s="958">
        <f t="shared" si="10"/>
        <v>344.92884881016215</v>
      </c>
      <c r="AL36" s="74"/>
      <c r="AM36" s="52">
        <f t="shared" si="15"/>
        <v>63.287277885162155</v>
      </c>
    </row>
    <row r="37" spans="1:39" ht="33" hidden="1" customHeight="1" outlineLevel="3">
      <c r="A37" s="139" t="s">
        <v>200</v>
      </c>
      <c r="B37" s="406" t="s">
        <v>316</v>
      </c>
      <c r="C37" s="198" t="s">
        <v>317</v>
      </c>
      <c r="D37" s="956" t="s">
        <v>200</v>
      </c>
      <c r="E37" s="148" t="s">
        <v>318</v>
      </c>
      <c r="F37" s="149" t="s">
        <v>319</v>
      </c>
      <c r="G37" s="406" t="s">
        <v>121</v>
      </c>
      <c r="H37" s="406">
        <v>1912.977820522789</v>
      </c>
      <c r="I37" s="406">
        <v>1363.45228</v>
      </c>
      <c r="J37" s="406">
        <v>1363.45</v>
      </c>
      <c r="K37" s="406">
        <v>2099.0595470454023</v>
      </c>
      <c r="L37" s="406">
        <v>1606.0888</v>
      </c>
      <c r="M37" s="406">
        <v>1606.0888</v>
      </c>
      <c r="N37" s="406">
        <v>1315.1554948213659</v>
      </c>
      <c r="O37" s="406">
        <v>1611.47596</v>
      </c>
      <c r="P37" s="406">
        <v>1429.86446</v>
      </c>
      <c r="Q37" s="150">
        <v>1429.86446</v>
      </c>
      <c r="R37" s="406">
        <v>1429.86446</v>
      </c>
      <c r="S37" s="406">
        <v>1429.86446</v>
      </c>
      <c r="T37" s="406">
        <f t="shared" si="3"/>
        <v>114.70896517863412</v>
      </c>
      <c r="U37" s="406">
        <f t="shared" si="4"/>
        <v>0</v>
      </c>
      <c r="V37" s="406">
        <v>1821.5054602999996</v>
      </c>
      <c r="W37" s="167">
        <v>1872527.93</v>
      </c>
      <c r="X37" s="167">
        <v>1872.52793</v>
      </c>
      <c r="Y37" s="406">
        <v>1872.52793</v>
      </c>
      <c r="Z37" s="406">
        <v>1668.45469</v>
      </c>
      <c r="AA37" s="406">
        <v>164.7663</v>
      </c>
      <c r="AB37" s="406">
        <v>39.306940000000004</v>
      </c>
      <c r="AC37" s="406">
        <v>1903.4732060134995</v>
      </c>
      <c r="AD37" s="167">
        <v>1903.4732060134995</v>
      </c>
      <c r="AE37" s="406">
        <f t="shared" si="14"/>
        <v>1888.6311411178863</v>
      </c>
      <c r="AF37" s="402">
        <f t="shared" si="8"/>
        <v>1888.6311411178863</v>
      </c>
      <c r="AG37" s="167">
        <v>1979.6121342540396</v>
      </c>
      <c r="AH37" s="406">
        <v>2212.8193441481117</v>
      </c>
      <c r="AI37" s="957">
        <f t="shared" si="6"/>
        <v>1.1817283516556742</v>
      </c>
      <c r="AJ37" s="957">
        <f t="shared" si="9"/>
        <v>233.20720989407209</v>
      </c>
      <c r="AK37" s="958">
        <f t="shared" si="10"/>
        <v>2212.8193441481117</v>
      </c>
      <c r="AL37" s="74"/>
      <c r="AM37" s="52">
        <f t="shared" si="15"/>
        <v>233.20720989407209</v>
      </c>
    </row>
    <row r="38" spans="1:39" ht="33" hidden="1" customHeight="1" outlineLevel="3">
      <c r="A38" s="139" t="s">
        <v>203</v>
      </c>
      <c r="B38" s="406" t="s">
        <v>320</v>
      </c>
      <c r="C38" s="198" t="s">
        <v>321</v>
      </c>
      <c r="D38" s="956" t="s">
        <v>203</v>
      </c>
      <c r="E38" s="148" t="s">
        <v>322</v>
      </c>
      <c r="F38" s="149" t="s">
        <v>323</v>
      </c>
      <c r="G38" s="406" t="s">
        <v>121</v>
      </c>
      <c r="H38" s="406">
        <v>325.64480349357927</v>
      </c>
      <c r="I38" s="406">
        <v>604.36022000000003</v>
      </c>
      <c r="J38" s="406">
        <v>604.36</v>
      </c>
      <c r="K38" s="406">
        <v>357.32135855716183</v>
      </c>
      <c r="L38" s="406">
        <v>741.08637999999996</v>
      </c>
      <c r="M38" s="406">
        <v>741.09</v>
      </c>
      <c r="N38" s="406">
        <v>664.82934533809566</v>
      </c>
      <c r="O38" s="406">
        <v>720.21055999999999</v>
      </c>
      <c r="P38" s="406">
        <v>637.74403999999993</v>
      </c>
      <c r="Q38" s="150">
        <v>637.74403999999993</v>
      </c>
      <c r="R38" s="406">
        <v>637.74403999999993</v>
      </c>
      <c r="S38" s="406">
        <v>637.74403999999993</v>
      </c>
      <c r="T38" s="406">
        <f t="shared" si="3"/>
        <v>-27.085305338095736</v>
      </c>
      <c r="U38" s="406">
        <f t="shared" si="4"/>
        <v>0</v>
      </c>
      <c r="V38" s="406">
        <v>701.39495933169087</v>
      </c>
      <c r="W38" s="167">
        <v>847701.76</v>
      </c>
      <c r="X38" s="167">
        <v>847.70176000000004</v>
      </c>
      <c r="Y38" s="406">
        <v>847.70176000000015</v>
      </c>
      <c r="Z38" s="406">
        <v>756.95103000000006</v>
      </c>
      <c r="AA38" s="406">
        <v>78.803550000000001</v>
      </c>
      <c r="AB38" s="406">
        <v>11.947179999999999</v>
      </c>
      <c r="AC38" s="406">
        <v>732.95773250161687</v>
      </c>
      <c r="AD38" s="167">
        <v>796.94</v>
      </c>
      <c r="AE38" s="406">
        <f t="shared" si="14"/>
        <v>727.24259755925857</v>
      </c>
      <c r="AF38" s="402">
        <f t="shared" si="8"/>
        <v>727.24259755925857</v>
      </c>
      <c r="AG38" s="167">
        <v>762.27604180168157</v>
      </c>
      <c r="AH38" s="406">
        <v>995.51603304384889</v>
      </c>
      <c r="AI38" s="957">
        <f t="shared" si="6"/>
        <v>1.1743706100643803</v>
      </c>
      <c r="AJ38" s="957">
        <f t="shared" si="9"/>
        <v>233.23999124216732</v>
      </c>
      <c r="AK38" s="958">
        <f t="shared" si="10"/>
        <v>995.51603304384889</v>
      </c>
      <c r="AL38" s="74"/>
      <c r="AM38" s="52">
        <f t="shared" si="15"/>
        <v>233.23999124216732</v>
      </c>
    </row>
    <row r="39" spans="1:39" ht="33" hidden="1" customHeight="1" outlineLevel="3">
      <c r="A39" s="139" t="s">
        <v>208</v>
      </c>
      <c r="B39" s="406" t="s">
        <v>324</v>
      </c>
      <c r="C39" s="198" t="s">
        <v>325</v>
      </c>
      <c r="D39" s="956" t="s">
        <v>208</v>
      </c>
      <c r="E39" s="148" t="s">
        <v>326</v>
      </c>
      <c r="F39" s="149" t="s">
        <v>327</v>
      </c>
      <c r="G39" s="406" t="s">
        <v>121</v>
      </c>
      <c r="H39" s="406">
        <v>77.97100083648769</v>
      </c>
      <c r="I39" s="406">
        <v>597.54999999999995</v>
      </c>
      <c r="J39" s="406">
        <v>0</v>
      </c>
      <c r="K39" s="406">
        <v>85.56</v>
      </c>
      <c r="L39" s="406">
        <v>624.18822</v>
      </c>
      <c r="M39" s="406">
        <v>624.19000000000005</v>
      </c>
      <c r="N39" s="406">
        <v>0</v>
      </c>
      <c r="O39" s="406">
        <v>764.88661000000002</v>
      </c>
      <c r="P39" s="406">
        <v>727.73423000000003</v>
      </c>
      <c r="Q39" s="150">
        <v>727.73423000000003</v>
      </c>
      <c r="R39" s="406">
        <v>727.73423000000003</v>
      </c>
      <c r="S39" s="406">
        <v>727.73423000000003</v>
      </c>
      <c r="T39" s="406">
        <f t="shared" si="3"/>
        <v>727.73423000000003</v>
      </c>
      <c r="U39" s="406">
        <f t="shared" si="4"/>
        <v>0</v>
      </c>
      <c r="V39" s="406">
        <v>0</v>
      </c>
      <c r="W39" s="167">
        <v>795943.2</v>
      </c>
      <c r="X39" s="167">
        <v>795.94319999999993</v>
      </c>
      <c r="Y39" s="406">
        <v>795.94319999999993</v>
      </c>
      <c r="Z39" s="406">
        <v>757.57717999999988</v>
      </c>
      <c r="AA39" s="406">
        <v>33.70496</v>
      </c>
      <c r="AB39" s="406">
        <v>4.66106</v>
      </c>
      <c r="AC39" s="406">
        <v>0</v>
      </c>
      <c r="AD39" s="167">
        <v>1169.28</v>
      </c>
      <c r="AE39" s="406">
        <f t="shared" si="14"/>
        <v>0</v>
      </c>
      <c r="AF39" s="402">
        <f t="shared" si="8"/>
        <v>0</v>
      </c>
      <c r="AG39" s="167">
        <v>0</v>
      </c>
      <c r="AH39" s="406">
        <v>1083.9677601880001</v>
      </c>
      <c r="AI39" s="957">
        <f t="shared" si="6"/>
        <v>1.3618657213077519</v>
      </c>
      <c r="AJ39" s="957">
        <f t="shared" si="9"/>
        <v>1083.9677601880001</v>
      </c>
      <c r="AK39" s="958">
        <f t="shared" si="10"/>
        <v>1083.9677601880001</v>
      </c>
      <c r="AL39" s="74"/>
      <c r="AM39" s="52">
        <f t="shared" si="15"/>
        <v>1083.9677601880001</v>
      </c>
    </row>
    <row r="40" spans="1:39" ht="33" hidden="1" customHeight="1" outlineLevel="3">
      <c r="A40" s="139" t="s">
        <v>328</v>
      </c>
      <c r="B40" s="406" t="s">
        <v>329</v>
      </c>
      <c r="C40" s="198" t="s">
        <v>330</v>
      </c>
      <c r="D40" s="956" t="s">
        <v>328</v>
      </c>
      <c r="E40" s="148" t="s">
        <v>331</v>
      </c>
      <c r="F40" s="149" t="s">
        <v>332</v>
      </c>
      <c r="G40" s="406" t="s">
        <v>121</v>
      </c>
      <c r="H40" s="406">
        <v>54.796000587861897</v>
      </c>
      <c r="I40" s="406">
        <v>40.915550000000003</v>
      </c>
      <c r="J40" s="406">
        <v>40.92</v>
      </c>
      <c r="K40" s="406">
        <v>60.126190141830115</v>
      </c>
      <c r="L40" s="406">
        <v>40.9666</v>
      </c>
      <c r="M40" s="406">
        <v>40.97</v>
      </c>
      <c r="N40" s="406">
        <v>43.174625614235943</v>
      </c>
      <c r="O40" s="406">
        <v>70.158109999999994</v>
      </c>
      <c r="P40" s="406">
        <v>61.447839999999999</v>
      </c>
      <c r="Q40" s="150">
        <v>61.447839999999999</v>
      </c>
      <c r="R40" s="406">
        <v>61.447839999999999</v>
      </c>
      <c r="S40" s="406">
        <v>61.447839999999999</v>
      </c>
      <c r="T40" s="406">
        <f t="shared" si="3"/>
        <v>18.273214385764057</v>
      </c>
      <c r="U40" s="406">
        <f t="shared" si="4"/>
        <v>0</v>
      </c>
      <c r="V40" s="406">
        <v>46.465101249999996</v>
      </c>
      <c r="W40" s="167">
        <v>50665.120000000003</v>
      </c>
      <c r="X40" s="167">
        <v>50.665120000000002</v>
      </c>
      <c r="Y40" s="406">
        <v>50.665119999999995</v>
      </c>
      <c r="Z40" s="406">
        <v>47.940280000000001</v>
      </c>
      <c r="AA40" s="406">
        <v>2.3563200000000002</v>
      </c>
      <c r="AB40" s="406">
        <v>0.36851999999999996</v>
      </c>
      <c r="AC40" s="406">
        <v>48.556030806249993</v>
      </c>
      <c r="AD40" s="167">
        <v>95.44</v>
      </c>
      <c r="AE40" s="406">
        <f t="shared" si="14"/>
        <v>48.177421977912928</v>
      </c>
      <c r="AF40" s="402">
        <f t="shared" si="8"/>
        <v>48.177421977912928</v>
      </c>
      <c r="AG40" s="167">
        <v>50.498272038499991</v>
      </c>
      <c r="AH40" s="406">
        <v>6.0814500000000002</v>
      </c>
      <c r="AI40" s="957">
        <f t="shared" si="6"/>
        <v>0.12003228256441513</v>
      </c>
      <c r="AJ40" s="957">
        <f t="shared" si="9"/>
        <v>-44.416822038499987</v>
      </c>
      <c r="AK40" s="965"/>
      <c r="AL40" s="74"/>
      <c r="AM40" s="52">
        <f t="shared" si="15"/>
        <v>-44.416822038499987</v>
      </c>
    </row>
    <row r="41" spans="1:39" ht="33" hidden="1" customHeight="1" outlineLevel="3">
      <c r="A41" s="139" t="s">
        <v>333</v>
      </c>
      <c r="B41" s="406" t="s">
        <v>334</v>
      </c>
      <c r="C41" s="198" t="s">
        <v>335</v>
      </c>
      <c r="D41" s="956" t="s">
        <v>333</v>
      </c>
      <c r="E41" s="162" t="s">
        <v>336</v>
      </c>
      <c r="F41" s="163" t="s">
        <v>337</v>
      </c>
      <c r="G41" s="406" t="s">
        <v>121</v>
      </c>
      <c r="H41" s="406">
        <v>778.59814999999992</v>
      </c>
      <c r="I41" s="406">
        <v>913.96294</v>
      </c>
      <c r="J41" s="406">
        <v>913.96294</v>
      </c>
      <c r="K41" s="406">
        <v>854.33498478233935</v>
      </c>
      <c r="L41" s="406">
        <v>611.12572</v>
      </c>
      <c r="M41" s="406">
        <v>611.13</v>
      </c>
      <c r="N41" s="406">
        <v>799.36314205110443</v>
      </c>
      <c r="O41" s="406">
        <v>375.67715000000004</v>
      </c>
      <c r="P41" s="406">
        <v>362.58231999999998</v>
      </c>
      <c r="Q41" s="150">
        <v>362.58231999999998</v>
      </c>
      <c r="R41" s="406">
        <v>362.58231999999998</v>
      </c>
      <c r="S41" s="406">
        <v>362.58231999999998</v>
      </c>
      <c r="T41" s="406">
        <f t="shared" si="3"/>
        <v>-436.78082205110445</v>
      </c>
      <c r="U41" s="406">
        <f t="shared" si="4"/>
        <v>0</v>
      </c>
      <c r="V41" s="406">
        <v>0</v>
      </c>
      <c r="W41" s="406">
        <v>0</v>
      </c>
      <c r="X41" s="406">
        <v>0</v>
      </c>
      <c r="Y41" s="406">
        <v>0</v>
      </c>
      <c r="Z41" s="406">
        <v>0</v>
      </c>
      <c r="AA41" s="406">
        <v>0</v>
      </c>
      <c r="AB41" s="406">
        <v>0</v>
      </c>
      <c r="AC41" s="406">
        <v>724.28721275624991</v>
      </c>
      <c r="AD41" s="167">
        <v>0</v>
      </c>
      <c r="AE41" s="406">
        <f t="shared" si="14"/>
        <v>0</v>
      </c>
      <c r="AF41" s="402">
        <f>AE41</f>
        <v>0</v>
      </c>
      <c r="AG41" s="167">
        <v>753.25870126649988</v>
      </c>
      <c r="AH41" s="406">
        <v>0</v>
      </c>
      <c r="AI41" s="957" t="e">
        <f t="shared" si="6"/>
        <v>#DIV/0!</v>
      </c>
      <c r="AJ41" s="957">
        <f t="shared" si="9"/>
        <v>-753.25870126649988</v>
      </c>
      <c r="AK41" s="958">
        <f>AH41</f>
        <v>0</v>
      </c>
      <c r="AL41" s="74"/>
      <c r="AM41" s="52">
        <f t="shared" si="15"/>
        <v>-753.25870126649988</v>
      </c>
    </row>
    <row r="42" spans="1:39" s="161" customFormat="1" ht="33" hidden="1" customHeight="1" outlineLevel="2">
      <c r="A42" s="153"/>
      <c r="B42" s="154"/>
      <c r="C42" s="155"/>
      <c r="D42" s="966"/>
      <c r="E42" s="156" t="s">
        <v>338</v>
      </c>
      <c r="F42" s="157"/>
      <c r="G42" s="158"/>
      <c r="H42" s="154">
        <f t="shared" ref="H42:J42" si="16">H35+H36+H37+H38+H39+H40+H41</f>
        <v>5220.1229976495206</v>
      </c>
      <c r="I42" s="154">
        <f t="shared" si="16"/>
        <v>5373.9665199999999</v>
      </c>
      <c r="J42" s="154">
        <f t="shared" si="16"/>
        <v>4776.4129400000002</v>
      </c>
      <c r="K42" s="154">
        <f>K35+K36+K37+K38+K39+K40+K41</f>
        <v>5727.9062533586102</v>
      </c>
      <c r="L42" s="154">
        <f t="shared" ref="L42:S42" si="17">L35+L36+L37+L38+L39+L40+L41</f>
        <v>5823.7511199999999</v>
      </c>
      <c r="M42" s="154">
        <f t="shared" si="17"/>
        <v>5823.7587999999996</v>
      </c>
      <c r="N42" s="154">
        <f t="shared" si="17"/>
        <v>4977.8330823394544</v>
      </c>
      <c r="O42" s="154">
        <f t="shared" si="17"/>
        <v>6269.4798400000009</v>
      </c>
      <c r="P42" s="154">
        <f t="shared" si="17"/>
        <v>5460.949059999999</v>
      </c>
      <c r="Q42" s="159">
        <f t="shared" si="17"/>
        <v>5460.949059999999</v>
      </c>
      <c r="R42" s="154">
        <f t="shared" si="17"/>
        <v>5460.949059999999</v>
      </c>
      <c r="S42" s="154">
        <f t="shared" si="17"/>
        <v>5460.949059999999</v>
      </c>
      <c r="T42" s="402">
        <f t="shared" si="3"/>
        <v>483.11597766054456</v>
      </c>
      <c r="U42" s="402">
        <f t="shared" si="4"/>
        <v>0</v>
      </c>
      <c r="V42" s="154">
        <f>V35+V36+V37+V38+V39+V40+V41</f>
        <v>4874.1897333816905</v>
      </c>
      <c r="W42" s="154">
        <f>W35+W36+W37+W38+W39+W40+W41</f>
        <v>6614972.2300000004</v>
      </c>
      <c r="X42" s="154">
        <f>X35+X36+X37+X38+X39+X40+X41</f>
        <v>6614.9722299999994</v>
      </c>
      <c r="Y42" s="154">
        <f t="shared" ref="Y42:AK42" si="18">Y35+Y36+Y37+Y38+Y39+Y40+Y41</f>
        <v>6614.9722299999994</v>
      </c>
      <c r="Z42" s="154">
        <f t="shared" si="18"/>
        <v>5683.1473300000007</v>
      </c>
      <c r="AA42" s="154">
        <f t="shared" si="18"/>
        <v>712.67882999999995</v>
      </c>
      <c r="AB42" s="154">
        <f t="shared" si="18"/>
        <v>219.14606999999998</v>
      </c>
      <c r="AC42" s="154">
        <f t="shared" si="18"/>
        <v>5817.8154841401165</v>
      </c>
      <c r="AD42" s="154">
        <f t="shared" si="18"/>
        <v>7181.4842060134997</v>
      </c>
      <c r="AE42" s="154">
        <f t="shared" si="18"/>
        <v>5053.8122003024937</v>
      </c>
      <c r="AF42" s="154">
        <f t="shared" si="18"/>
        <v>5053.8122003024937</v>
      </c>
      <c r="AG42" s="961">
        <f t="shared" si="18"/>
        <v>6050.5281035057205</v>
      </c>
      <c r="AH42" s="154">
        <f t="shared" si="18"/>
        <v>8423.578051094808</v>
      </c>
      <c r="AI42" s="962">
        <f t="shared" si="6"/>
        <v>1.2734109468959642</v>
      </c>
      <c r="AJ42" s="963">
        <f t="shared" si="18"/>
        <v>2373.0499475890883</v>
      </c>
      <c r="AK42" s="963">
        <f t="shared" si="18"/>
        <v>8417.4966010948083</v>
      </c>
      <c r="AL42" s="964"/>
      <c r="AM42" s="52"/>
    </row>
    <row r="43" spans="1:39" ht="33" hidden="1" customHeight="1" outlineLevel="3">
      <c r="A43" s="139" t="s">
        <v>339</v>
      </c>
      <c r="B43" s="406" t="s">
        <v>340</v>
      </c>
      <c r="C43" s="198" t="s">
        <v>341</v>
      </c>
      <c r="D43" s="956" t="s">
        <v>339</v>
      </c>
      <c r="E43" s="148" t="s">
        <v>342</v>
      </c>
      <c r="F43" s="149" t="s">
        <v>343</v>
      </c>
      <c r="G43" s="406" t="s">
        <v>121</v>
      </c>
      <c r="H43" s="406">
        <v>344.02000369071186</v>
      </c>
      <c r="I43" s="406">
        <v>578.1635</v>
      </c>
      <c r="J43" s="406">
        <v>578.16</v>
      </c>
      <c r="K43" s="406">
        <v>377.48397570246721</v>
      </c>
      <c r="L43" s="406">
        <v>677.82369999999992</v>
      </c>
      <c r="M43" s="406">
        <v>677.82</v>
      </c>
      <c r="N43" s="406">
        <v>591.7069573662651</v>
      </c>
      <c r="O43" s="406">
        <v>673.96092999999996</v>
      </c>
      <c r="P43" s="406">
        <v>619.20961</v>
      </c>
      <c r="Q43" s="150">
        <v>619.20961</v>
      </c>
      <c r="R43" s="406">
        <v>619.20961</v>
      </c>
      <c r="S43" s="406">
        <v>619.20961</v>
      </c>
      <c r="T43" s="406">
        <f t="shared" si="3"/>
        <v>27.502652633734897</v>
      </c>
      <c r="U43" s="406">
        <f t="shared" si="4"/>
        <v>0</v>
      </c>
      <c r="V43" s="406">
        <v>624.25084002140966</v>
      </c>
      <c r="W43" s="167">
        <v>745162.26</v>
      </c>
      <c r="X43" s="167">
        <v>745.16226000000006</v>
      </c>
      <c r="Y43" s="406">
        <v>745.16226000000006</v>
      </c>
      <c r="Z43" s="406">
        <v>684.45513000000005</v>
      </c>
      <c r="AA43" s="406">
        <v>52.752949999999998</v>
      </c>
      <c r="AB43" s="406">
        <v>7.95418</v>
      </c>
      <c r="AC43" s="406">
        <v>652.34212782237307</v>
      </c>
      <c r="AD43" s="167">
        <f>'[71]2. подк.неподк.'!X31</f>
        <v>752.11</v>
      </c>
      <c r="AE43" s="406">
        <f>V43*$AD$11</f>
        <v>647.25558173141985</v>
      </c>
      <c r="AF43" s="402">
        <f t="shared" si="8"/>
        <v>647.25558173141985</v>
      </c>
      <c r="AG43" s="167">
        <v>678.43581293526802</v>
      </c>
      <c r="AH43" s="406">
        <v>854.23168556225005</v>
      </c>
      <c r="AI43" s="957">
        <f t="shared" si="6"/>
        <v>1.146370034309373</v>
      </c>
      <c r="AJ43" s="957">
        <f t="shared" si="9"/>
        <v>175.79587262698203</v>
      </c>
      <c r="AK43" s="958">
        <f t="shared" ref="AK43:AK45" si="19">AH43</f>
        <v>854.23168556225005</v>
      </c>
      <c r="AL43" s="74"/>
      <c r="AM43" s="52">
        <f>AH43-AG43</f>
        <v>175.79587262698203</v>
      </c>
    </row>
    <row r="44" spans="1:39" ht="33" hidden="1" customHeight="1" outlineLevel="3">
      <c r="A44" s="139" t="s">
        <v>344</v>
      </c>
      <c r="B44" s="406" t="s">
        <v>345</v>
      </c>
      <c r="C44" s="198" t="s">
        <v>346</v>
      </c>
      <c r="D44" s="956" t="s">
        <v>344</v>
      </c>
      <c r="E44" s="148" t="s">
        <v>347</v>
      </c>
      <c r="F44" s="149" t="s">
        <v>348</v>
      </c>
      <c r="G44" s="406" t="s">
        <v>121</v>
      </c>
      <c r="H44" s="406">
        <v>768.26670824211101</v>
      </c>
      <c r="I44" s="406">
        <v>1638.60491</v>
      </c>
      <c r="J44" s="406">
        <v>1638.6</v>
      </c>
      <c r="K44" s="406">
        <v>842.99857076860269</v>
      </c>
      <c r="L44" s="406">
        <v>2054.4054900000001</v>
      </c>
      <c r="M44" s="406">
        <v>2054.41</v>
      </c>
      <c r="N44" s="406">
        <v>1697.8101135423638</v>
      </c>
      <c r="O44" s="406">
        <v>2230.4424000000004</v>
      </c>
      <c r="P44" s="406">
        <v>2103.3283600000004</v>
      </c>
      <c r="Q44" s="150">
        <v>2103.3283600000004</v>
      </c>
      <c r="R44" s="406">
        <v>2103.3283600000004</v>
      </c>
      <c r="S44" s="406">
        <v>2103.3283600000004</v>
      </c>
      <c r="T44" s="406">
        <f t="shared" si="3"/>
        <v>405.51824645763668</v>
      </c>
      <c r="U44" s="406">
        <f t="shared" si="4"/>
        <v>0</v>
      </c>
      <c r="V44" s="406">
        <v>1791.1896697871937</v>
      </c>
      <c r="W44" s="167">
        <v>1943115.2799999998</v>
      </c>
      <c r="X44" s="167">
        <v>1943.1152799999998</v>
      </c>
      <c r="Y44" s="406">
        <v>1943.1152799999998</v>
      </c>
      <c r="Z44" s="406">
        <v>1806.95568</v>
      </c>
      <c r="AA44" s="406">
        <v>117.18438999999999</v>
      </c>
      <c r="AB44" s="406">
        <v>18.975210000000001</v>
      </c>
      <c r="AC44" s="406">
        <v>1871.7932049276174</v>
      </c>
      <c r="AD44" s="167">
        <f>'[71]2. подк.неподк.'!X32</f>
        <v>2102.98</v>
      </c>
      <c r="AE44" s="406">
        <f>V44*$AD$11</f>
        <v>1857.1981603895924</v>
      </c>
      <c r="AF44" s="402">
        <f t="shared" si="8"/>
        <v>1857.1981603895924</v>
      </c>
      <c r="AG44" s="167">
        <v>1946.6649331247222</v>
      </c>
      <c r="AH44" s="406">
        <v>2258.5684647461035</v>
      </c>
      <c r="AI44" s="957">
        <f t="shared" si="6"/>
        <v>1.1623440400026619</v>
      </c>
      <c r="AJ44" s="957">
        <f t="shared" si="9"/>
        <v>311.90353162138126</v>
      </c>
      <c r="AK44" s="958">
        <f t="shared" si="19"/>
        <v>2258.5684647461035</v>
      </c>
      <c r="AL44" s="74"/>
      <c r="AM44" s="52">
        <f>AH44-AG44</f>
        <v>311.90353162138126</v>
      </c>
    </row>
    <row r="45" spans="1:39" ht="33" hidden="1" customHeight="1" outlineLevel="3">
      <c r="A45" s="139" t="s">
        <v>349</v>
      </c>
      <c r="B45" s="406" t="s">
        <v>350</v>
      </c>
      <c r="C45" s="198" t="s">
        <v>351</v>
      </c>
      <c r="D45" s="956" t="s">
        <v>349</v>
      </c>
      <c r="E45" s="148" t="s">
        <v>352</v>
      </c>
      <c r="F45" s="149" t="s">
        <v>353</v>
      </c>
      <c r="G45" s="406" t="s">
        <v>121</v>
      </c>
      <c r="H45" s="406">
        <v>2843.2635305030703</v>
      </c>
      <c r="I45" s="406">
        <v>5106.8639400000002</v>
      </c>
      <c r="J45" s="406">
        <v>5106.8599999999997</v>
      </c>
      <c r="K45" s="406">
        <v>3119.83724768825</v>
      </c>
      <c r="L45" s="406">
        <v>4459.9827400000004</v>
      </c>
      <c r="M45" s="406">
        <v>4459.9799999999996</v>
      </c>
      <c r="N45" s="406">
        <v>3294.2456328120661</v>
      </c>
      <c r="O45" s="406">
        <v>5264.9426800000001</v>
      </c>
      <c r="P45" s="406">
        <v>4959.6820800000005</v>
      </c>
      <c r="Q45" s="150">
        <v>4959.6820800000005</v>
      </c>
      <c r="R45" s="406">
        <v>4959.6820800000005</v>
      </c>
      <c r="S45" s="406">
        <v>4959.6820800000005</v>
      </c>
      <c r="T45" s="406">
        <f t="shared" si="3"/>
        <v>1665.4364471879344</v>
      </c>
      <c r="U45" s="406">
        <f t="shared" si="4"/>
        <v>0</v>
      </c>
      <c r="V45" s="406">
        <v>3475.4291426167297</v>
      </c>
      <c r="W45" s="167">
        <v>5033189.2700000005</v>
      </c>
      <c r="X45" s="167">
        <v>5033.1892700000008</v>
      </c>
      <c r="Y45" s="406">
        <v>5033.1892700000008</v>
      </c>
      <c r="Z45" s="406">
        <v>4657.7515400000002</v>
      </c>
      <c r="AA45" s="406">
        <v>331.21541000000002</v>
      </c>
      <c r="AB45" s="406">
        <v>44.222319999999996</v>
      </c>
      <c r="AC45" s="406">
        <v>3631.8234540344824</v>
      </c>
      <c r="AD45" s="167">
        <f>'[71]2. подк.неподк.'!X33</f>
        <v>7141.74</v>
      </c>
      <c r="AE45" s="406">
        <f>V45*$AD$11</f>
        <v>3603.5048209043198</v>
      </c>
      <c r="AF45" s="402">
        <f t="shared" si="8"/>
        <v>3603.5048209043198</v>
      </c>
      <c r="AG45" s="167">
        <v>3777.0963921958619</v>
      </c>
      <c r="AH45" s="406">
        <v>6036.373716043001</v>
      </c>
      <c r="AI45" s="957">
        <f t="shared" si="6"/>
        <v>1.1993138728206421</v>
      </c>
      <c r="AJ45" s="957">
        <f t="shared" si="9"/>
        <v>2259.2773238471391</v>
      </c>
      <c r="AK45" s="958">
        <f t="shared" si="19"/>
        <v>6036.373716043001</v>
      </c>
      <c r="AL45" s="74"/>
      <c r="AM45" s="52">
        <f>AH45-AG45</f>
        <v>2259.2773238471391</v>
      </c>
    </row>
    <row r="46" spans="1:39" s="161" customFormat="1" ht="33" hidden="1" customHeight="1" outlineLevel="2">
      <c r="A46" s="153"/>
      <c r="B46" s="154"/>
      <c r="C46" s="155"/>
      <c r="D46" s="966"/>
      <c r="E46" s="156" t="s">
        <v>354</v>
      </c>
      <c r="F46" s="157"/>
      <c r="G46" s="158"/>
      <c r="H46" s="154">
        <f t="shared" ref="H46:J46" si="20">H43+H44+H45</f>
        <v>3955.5502424358933</v>
      </c>
      <c r="I46" s="154">
        <f t="shared" si="20"/>
        <v>7323.6323499999999</v>
      </c>
      <c r="J46" s="154">
        <f t="shared" si="20"/>
        <v>7323.619999999999</v>
      </c>
      <c r="K46" s="154">
        <f>K43+K44+K45</f>
        <v>4340.3197941593198</v>
      </c>
      <c r="L46" s="154">
        <f t="shared" ref="L46:W46" si="21">L43+L44+L45</f>
        <v>7192.2119300000004</v>
      </c>
      <c r="M46" s="154">
        <f t="shared" si="21"/>
        <v>7192.2099999999991</v>
      </c>
      <c r="N46" s="154">
        <f t="shared" si="21"/>
        <v>5583.7627037206948</v>
      </c>
      <c r="O46" s="154">
        <f t="shared" si="21"/>
        <v>8169.3460100000002</v>
      </c>
      <c r="P46" s="154">
        <f t="shared" si="21"/>
        <v>7682.2200500000008</v>
      </c>
      <c r="Q46" s="159">
        <f t="shared" si="21"/>
        <v>7682.2200500000008</v>
      </c>
      <c r="R46" s="154">
        <f t="shared" si="21"/>
        <v>7682.2200500000008</v>
      </c>
      <c r="S46" s="154">
        <f t="shared" si="21"/>
        <v>7682.2200500000008</v>
      </c>
      <c r="T46" s="402">
        <f t="shared" si="3"/>
        <v>2098.457346279306</v>
      </c>
      <c r="U46" s="402">
        <f t="shared" si="4"/>
        <v>0</v>
      </c>
      <c r="V46" s="154">
        <f t="shared" si="21"/>
        <v>5890.8696524253337</v>
      </c>
      <c r="W46" s="961">
        <f t="shared" si="21"/>
        <v>7721466.8100000005</v>
      </c>
      <c r="X46" s="961">
        <f>X43+X44+X45</f>
        <v>7721.4668100000008</v>
      </c>
      <c r="Y46" s="961">
        <f t="shared" ref="Y46:AK46" si="22">Y43+Y44+Y45</f>
        <v>7721.4668100000008</v>
      </c>
      <c r="Z46" s="961">
        <f t="shared" si="22"/>
        <v>7149.1623500000005</v>
      </c>
      <c r="AA46" s="961">
        <f t="shared" si="22"/>
        <v>501.15275000000003</v>
      </c>
      <c r="AB46" s="961">
        <f t="shared" si="22"/>
        <v>71.151709999999994</v>
      </c>
      <c r="AC46" s="154">
        <f t="shared" si="22"/>
        <v>6155.958786784473</v>
      </c>
      <c r="AD46" s="154">
        <f t="shared" si="22"/>
        <v>9996.83</v>
      </c>
      <c r="AE46" s="154">
        <f t="shared" si="22"/>
        <v>6107.9585630253323</v>
      </c>
      <c r="AF46" s="154">
        <f t="shared" si="22"/>
        <v>6107.9585630253323</v>
      </c>
      <c r="AG46" s="961">
        <f t="shared" si="22"/>
        <v>6402.1971382558522</v>
      </c>
      <c r="AH46" s="154">
        <f t="shared" si="22"/>
        <v>9149.1738663513534</v>
      </c>
      <c r="AI46" s="962">
        <f t="shared" si="6"/>
        <v>1.1849010157632669</v>
      </c>
      <c r="AJ46" s="963">
        <f t="shared" si="22"/>
        <v>2746.9767280955025</v>
      </c>
      <c r="AK46" s="963">
        <f t="shared" si="22"/>
        <v>9149.1738663513534</v>
      </c>
      <c r="AL46" s="964"/>
      <c r="AM46" s="52"/>
    </row>
    <row r="47" spans="1:39" ht="33" hidden="1" customHeight="1" outlineLevel="3">
      <c r="A47" s="139" t="s">
        <v>355</v>
      </c>
      <c r="B47" s="406" t="s">
        <v>494</v>
      </c>
      <c r="C47" s="198" t="s">
        <v>357</v>
      </c>
      <c r="D47" s="956" t="s">
        <v>493</v>
      </c>
      <c r="E47" s="148" t="s">
        <v>358</v>
      </c>
      <c r="F47" s="149" t="s">
        <v>359</v>
      </c>
      <c r="G47" s="406" t="s">
        <v>121</v>
      </c>
      <c r="H47" s="406">
        <v>216.49570232260697</v>
      </c>
      <c r="I47" s="406">
        <v>4.6591899999999997</v>
      </c>
      <c r="J47" s="406">
        <v>4.66</v>
      </c>
      <c r="K47" s="406">
        <v>237.5549606374299</v>
      </c>
      <c r="L47" s="406">
        <v>22.356490000000001</v>
      </c>
      <c r="M47" s="406">
        <v>22.36</v>
      </c>
      <c r="N47" s="406">
        <v>25.630903210188759</v>
      </c>
      <c r="O47" s="406">
        <v>7.2084700000000002</v>
      </c>
      <c r="P47" s="406">
        <v>6.0077499999999997</v>
      </c>
      <c r="Q47" s="150">
        <v>6.0077499999999997</v>
      </c>
      <c r="R47" s="406">
        <v>6.0077499999999997</v>
      </c>
      <c r="S47" s="406">
        <v>6.0077499999999997</v>
      </c>
      <c r="T47" s="406">
        <f t="shared" si="3"/>
        <v>-19.623153210188761</v>
      </c>
      <c r="U47" s="406">
        <f t="shared" si="4"/>
        <v>0</v>
      </c>
      <c r="V47" s="406">
        <v>25.359034999999999</v>
      </c>
      <c r="W47" s="167">
        <v>5076.2700000000004</v>
      </c>
      <c r="X47" s="167">
        <v>5.0762700000000001</v>
      </c>
      <c r="Y47" s="406">
        <v>5.0762699999999992</v>
      </c>
      <c r="Z47" s="406">
        <v>5.0149499999999998</v>
      </c>
      <c r="AA47" s="406">
        <v>5.3190000000000001E-2</v>
      </c>
      <c r="AB47" s="406">
        <v>8.1300000000000001E-3</v>
      </c>
      <c r="AC47" s="406">
        <v>26.500191574999995</v>
      </c>
      <c r="AD47" s="167">
        <f>'[71]2. подк.неподк.'!X35</f>
        <v>26.500191574999995</v>
      </c>
      <c r="AE47" s="406">
        <f>V47*$AD$11</f>
        <v>26.293560054335689</v>
      </c>
      <c r="AF47" s="402">
        <f t="shared" si="8"/>
        <v>26.293560054335689</v>
      </c>
      <c r="AG47" s="167">
        <v>27.560199237999996</v>
      </c>
      <c r="AH47" s="406">
        <v>64.650000000000006</v>
      </c>
      <c r="AI47" s="957">
        <f t="shared" si="6"/>
        <v>12.73572918698178</v>
      </c>
      <c r="AJ47" s="957">
        <f t="shared" si="9"/>
        <v>37.08980076200001</v>
      </c>
      <c r="AK47" s="958">
        <f t="shared" ref="AK47:AK51" si="23">AH47</f>
        <v>64.650000000000006</v>
      </c>
      <c r="AL47" s="74"/>
      <c r="AM47" s="52">
        <f>AH47-AG47</f>
        <v>37.08980076200001</v>
      </c>
    </row>
    <row r="48" spans="1:39" ht="33" hidden="1" customHeight="1" outlineLevel="3">
      <c r="A48" s="139" t="s">
        <v>360</v>
      </c>
      <c r="B48" s="406" t="s">
        <v>499</v>
      </c>
      <c r="C48" s="198" t="s">
        <v>362</v>
      </c>
      <c r="D48" s="956" t="s">
        <v>498</v>
      </c>
      <c r="E48" s="148" t="s">
        <v>363</v>
      </c>
      <c r="F48" s="149" t="s">
        <v>364</v>
      </c>
      <c r="G48" s="406" t="s">
        <v>121</v>
      </c>
      <c r="H48" s="406">
        <v>406.30410435890758</v>
      </c>
      <c r="I48" s="406">
        <v>339.25193000000002</v>
      </c>
      <c r="J48" s="406">
        <v>339.25</v>
      </c>
      <c r="K48" s="406">
        <v>445.82665836931818</v>
      </c>
      <c r="L48" s="406">
        <v>391.63926000000004</v>
      </c>
      <c r="M48" s="406">
        <v>391.64</v>
      </c>
      <c r="N48" s="406">
        <v>334.16433542537249</v>
      </c>
      <c r="O48" s="406">
        <v>299.43599000000006</v>
      </c>
      <c r="P48" s="406">
        <v>273.61684000000002</v>
      </c>
      <c r="Q48" s="150">
        <v>273.61684000000002</v>
      </c>
      <c r="R48" s="406">
        <v>273.61684000000002</v>
      </c>
      <c r="S48" s="406">
        <v>273.61684000000002</v>
      </c>
      <c r="T48" s="406">
        <f t="shared" si="3"/>
        <v>-60.54749542537246</v>
      </c>
      <c r="U48" s="406">
        <f t="shared" si="4"/>
        <v>0</v>
      </c>
      <c r="V48" s="406">
        <v>374.26</v>
      </c>
      <c r="W48" s="167">
        <v>309975.12</v>
      </c>
      <c r="X48" s="167">
        <v>309.97512</v>
      </c>
      <c r="Y48" s="406">
        <v>309.97512</v>
      </c>
      <c r="Z48" s="406">
        <v>280.66409000000004</v>
      </c>
      <c r="AA48" s="406">
        <v>26.37031</v>
      </c>
      <c r="AB48" s="406">
        <v>2.9407199999999998</v>
      </c>
      <c r="AC48" s="406">
        <v>391.10169999999994</v>
      </c>
      <c r="AD48" s="167">
        <f>'[71]2. подк.неподк.'!X36</f>
        <v>391.10169999999994</v>
      </c>
      <c r="AE48" s="406">
        <f>V48*$AD$11</f>
        <v>388.05213944204405</v>
      </c>
      <c r="AF48" s="402">
        <f t="shared" si="8"/>
        <v>388.05213944204405</v>
      </c>
      <c r="AG48" s="167">
        <v>406.74576799999994</v>
      </c>
      <c r="AH48" s="406">
        <v>625.24999999999977</v>
      </c>
      <c r="AI48" s="957">
        <f t="shared" si="6"/>
        <v>2.0170973722020005</v>
      </c>
      <c r="AJ48" s="957">
        <f t="shared" si="9"/>
        <v>218.50423199999983</v>
      </c>
      <c r="AK48" s="958">
        <f t="shared" si="23"/>
        <v>625.24999999999977</v>
      </c>
      <c r="AL48" s="74"/>
      <c r="AM48" s="52">
        <f>AH48-AG48</f>
        <v>218.50423199999983</v>
      </c>
    </row>
    <row r="49" spans="1:39" ht="33" hidden="1" customHeight="1" outlineLevel="3">
      <c r="A49" s="139" t="s">
        <v>365</v>
      </c>
      <c r="B49" s="406" t="s">
        <v>356</v>
      </c>
      <c r="C49" s="198" t="s">
        <v>367</v>
      </c>
      <c r="D49" s="956" t="s">
        <v>355</v>
      </c>
      <c r="E49" s="148" t="s">
        <v>368</v>
      </c>
      <c r="F49" s="149" t="s">
        <v>369</v>
      </c>
      <c r="G49" s="406" t="s">
        <v>121</v>
      </c>
      <c r="H49" s="406">
        <v>1886.1566202350461</v>
      </c>
      <c r="I49" s="406">
        <v>817.12908000000004</v>
      </c>
      <c r="J49" s="406">
        <v>817.13</v>
      </c>
      <c r="K49" s="406">
        <v>2069.629359239138</v>
      </c>
      <c r="L49" s="406">
        <v>612.67552999999998</v>
      </c>
      <c r="M49" s="406">
        <v>612.67999999999995</v>
      </c>
      <c r="N49" s="406">
        <v>686.08600349633389</v>
      </c>
      <c r="O49" s="406">
        <v>2398.65778</v>
      </c>
      <c r="P49" s="406">
        <v>2270.2747599999998</v>
      </c>
      <c r="Q49" s="150">
        <v>2270.2747599999998</v>
      </c>
      <c r="R49" s="406">
        <v>2270.2747599999998</v>
      </c>
      <c r="S49" s="406">
        <v>2270.2747599999998</v>
      </c>
      <c r="T49" s="406">
        <f t="shared" si="3"/>
        <v>1584.1887565036659</v>
      </c>
      <c r="U49" s="406">
        <f t="shared" si="4"/>
        <v>0</v>
      </c>
      <c r="V49" s="406">
        <v>694.85570499999994</v>
      </c>
      <c r="W49" s="167">
        <v>3084426.13</v>
      </c>
      <c r="X49" s="167">
        <v>3084.4261299999998</v>
      </c>
      <c r="Y49" s="406">
        <v>3084.4261300000003</v>
      </c>
      <c r="Z49" s="406">
        <v>2601.7416699999999</v>
      </c>
      <c r="AA49" s="406">
        <v>461.54348999999996</v>
      </c>
      <c r="AB49" s="406">
        <v>21.140970000000003</v>
      </c>
      <c r="AC49" s="406">
        <v>726.1242117249999</v>
      </c>
      <c r="AD49" s="167">
        <f>'[71]2. подк.неподк.'!X37</f>
        <v>2648.1181891200004</v>
      </c>
      <c r="AE49" s="406">
        <f>V49*$AD$11</f>
        <v>720.46236020082245</v>
      </c>
      <c r="AF49" s="402">
        <f t="shared" si="8"/>
        <v>720.46236020082245</v>
      </c>
      <c r="AG49" s="167">
        <v>755.16918019399986</v>
      </c>
      <c r="AH49" s="406">
        <v>12011.400000000005</v>
      </c>
      <c r="AI49" s="957">
        <f t="shared" si="6"/>
        <v>3.8942090015298909</v>
      </c>
      <c r="AJ49" s="957">
        <f t="shared" si="9"/>
        <v>11256.230819806005</v>
      </c>
      <c r="AK49" s="958">
        <f t="shared" si="23"/>
        <v>12011.400000000005</v>
      </c>
      <c r="AL49" s="74"/>
      <c r="AM49" s="52">
        <f>AH49-AG49</f>
        <v>11256.230819806005</v>
      </c>
    </row>
    <row r="50" spans="1:39" ht="33" hidden="1" customHeight="1" outlineLevel="3">
      <c r="A50" s="139" t="s">
        <v>370</v>
      </c>
      <c r="B50" s="406" t="s">
        <v>361</v>
      </c>
      <c r="C50" s="198" t="s">
        <v>372</v>
      </c>
      <c r="D50" s="956" t="s">
        <v>360</v>
      </c>
      <c r="E50" s="148" t="s">
        <v>373</v>
      </c>
      <c r="F50" s="149" t="s">
        <v>374</v>
      </c>
      <c r="G50" s="406" t="s">
        <v>121</v>
      </c>
      <c r="H50" s="406">
        <v>1860.1491199560328</v>
      </c>
      <c r="I50" s="406">
        <v>3184.78422</v>
      </c>
      <c r="J50" s="406">
        <v>3184.78</v>
      </c>
      <c r="K50" s="406">
        <v>2041.092022752649</v>
      </c>
      <c r="L50" s="406">
        <v>3903.74224</v>
      </c>
      <c r="M50" s="406">
        <v>3903.74</v>
      </c>
      <c r="N50" s="406">
        <v>3768.6395106192499</v>
      </c>
      <c r="O50" s="406">
        <v>3774.9549699999998</v>
      </c>
      <c r="P50" s="406">
        <v>3321.1256899999998</v>
      </c>
      <c r="Q50" s="150">
        <v>3321.1256899999998</v>
      </c>
      <c r="R50" s="406">
        <v>3321.1256899999998</v>
      </c>
      <c r="S50" s="406">
        <v>3321.1256899999998</v>
      </c>
      <c r="T50" s="406">
        <f t="shared" si="3"/>
        <v>-447.51382061925005</v>
      </c>
      <c r="U50" s="406">
        <f t="shared" si="4"/>
        <v>0</v>
      </c>
      <c r="V50" s="406">
        <v>3975.9146837033086</v>
      </c>
      <c r="W50" s="167">
        <v>3663829.12</v>
      </c>
      <c r="X50" s="167">
        <v>3663.8291200000003</v>
      </c>
      <c r="Y50" s="406">
        <v>3663.8291200000003</v>
      </c>
      <c r="Z50" s="406">
        <v>3168.57863</v>
      </c>
      <c r="AA50" s="406">
        <v>458.37314000000003</v>
      </c>
      <c r="AB50" s="406">
        <v>36.87735</v>
      </c>
      <c r="AC50" s="406">
        <v>4154.8308444699569</v>
      </c>
      <c r="AD50" s="167">
        <f>'[71]2. подк.неподк.'!X38</f>
        <v>4167.5502868800004</v>
      </c>
      <c r="AE50" s="406">
        <f>V50*$AD$11</f>
        <v>4122.4341346927449</v>
      </c>
      <c r="AF50" s="402">
        <f t="shared" si="8"/>
        <v>4122.4341346927449</v>
      </c>
      <c r="AG50" s="167">
        <v>4321.0240782487554</v>
      </c>
      <c r="AH50" s="406">
        <v>5118.1600000000008</v>
      </c>
      <c r="AI50" s="957">
        <f t="shared" si="6"/>
        <v>1.3969428792574257</v>
      </c>
      <c r="AJ50" s="957">
        <f t="shared" si="9"/>
        <v>797.13592175124541</v>
      </c>
      <c r="AK50" s="958">
        <f t="shared" si="23"/>
        <v>5118.1600000000008</v>
      </c>
      <c r="AL50" s="74"/>
      <c r="AM50" s="52">
        <f>AH50-AG50</f>
        <v>797.13592175124541</v>
      </c>
    </row>
    <row r="51" spans="1:39" ht="33" hidden="1" customHeight="1" outlineLevel="3">
      <c r="A51" s="139" t="s">
        <v>375</v>
      </c>
      <c r="B51" s="406" t="s">
        <v>366</v>
      </c>
      <c r="C51" s="198" t="s">
        <v>377</v>
      </c>
      <c r="D51" s="956" t="s">
        <v>365</v>
      </c>
      <c r="E51" s="148" t="s">
        <v>378</v>
      </c>
      <c r="F51" s="149" t="s">
        <v>379</v>
      </c>
      <c r="G51" s="406" t="s">
        <v>121</v>
      </c>
      <c r="H51" s="406">
        <v>1003.4672107653867</v>
      </c>
      <c r="I51" s="406">
        <v>763.01793999999995</v>
      </c>
      <c r="J51" s="406">
        <v>763.02</v>
      </c>
      <c r="K51" s="406">
        <v>1101.0778098454243</v>
      </c>
      <c r="L51" s="406">
        <v>667.05373999999995</v>
      </c>
      <c r="M51" s="406">
        <v>667.05</v>
      </c>
      <c r="N51" s="406">
        <v>646.59543876420594</v>
      </c>
      <c r="O51" s="406">
        <v>773.37952000000007</v>
      </c>
      <c r="P51" s="406">
        <v>671.92167000000006</v>
      </c>
      <c r="Q51" s="150">
        <v>671.92167000000006</v>
      </c>
      <c r="R51" s="406">
        <v>671.92167000000006</v>
      </c>
      <c r="S51" s="406">
        <v>671.92167000000006</v>
      </c>
      <c r="T51" s="406">
        <f t="shared" si="3"/>
        <v>25.326231235794125</v>
      </c>
      <c r="U51" s="406">
        <f t="shared" si="4"/>
        <v>0</v>
      </c>
      <c r="V51" s="406">
        <v>724.19</v>
      </c>
      <c r="W51" s="167">
        <v>1131900.8600000001</v>
      </c>
      <c r="X51" s="167">
        <v>1131.9008600000002</v>
      </c>
      <c r="Y51" s="406">
        <v>1131.90086</v>
      </c>
      <c r="Z51" s="406">
        <v>966.63542000000007</v>
      </c>
      <c r="AA51" s="406">
        <v>155.07477</v>
      </c>
      <c r="AB51" s="406">
        <v>10.190670000000001</v>
      </c>
      <c r="AC51" s="406">
        <v>756.77855</v>
      </c>
      <c r="AD51" s="167">
        <f>'[71]2. подк.неподк.'!X39</f>
        <v>853.81099008000001</v>
      </c>
      <c r="AE51" s="406">
        <f>V51*$AD$11</f>
        <v>750.87767557990139</v>
      </c>
      <c r="AF51" s="402">
        <f t="shared" si="8"/>
        <v>750.87767557990139</v>
      </c>
      <c r="AG51" s="167">
        <v>787.04969200000005</v>
      </c>
      <c r="AH51" s="406">
        <v>2950</v>
      </c>
      <c r="AI51" s="957">
        <f t="shared" si="6"/>
        <v>2.6062353199378254</v>
      </c>
      <c r="AJ51" s="957">
        <f t="shared" si="9"/>
        <v>2162.9503079999999</v>
      </c>
      <c r="AK51" s="958">
        <f t="shared" si="23"/>
        <v>2950</v>
      </c>
      <c r="AL51" s="74"/>
      <c r="AM51" s="52">
        <f>AH51-AG51</f>
        <v>2162.9503079999999</v>
      </c>
    </row>
    <row r="52" spans="1:39" s="161" customFormat="1" ht="33" hidden="1" customHeight="1" outlineLevel="2">
      <c r="A52" s="153"/>
      <c r="B52" s="154"/>
      <c r="C52" s="155"/>
      <c r="D52" s="966"/>
      <c r="E52" s="156" t="s">
        <v>380</v>
      </c>
      <c r="F52" s="157"/>
      <c r="G52" s="158"/>
      <c r="H52" s="154">
        <f t="shared" ref="H52:J52" si="24">H47+H48+H49+H50+H51</f>
        <v>5372.5727576379804</v>
      </c>
      <c r="I52" s="154">
        <f t="shared" si="24"/>
        <v>5108.8423599999996</v>
      </c>
      <c r="J52" s="154">
        <f t="shared" si="24"/>
        <v>5108.84</v>
      </c>
      <c r="K52" s="154">
        <f>K47+K48+K49+K50+K51</f>
        <v>5895.18081084396</v>
      </c>
      <c r="L52" s="154">
        <f t="shared" ref="L52:Z52" si="25">L47+L48+L49+L50+L51</f>
        <v>5597.4672600000004</v>
      </c>
      <c r="M52" s="154">
        <f t="shared" si="25"/>
        <v>5597.47</v>
      </c>
      <c r="N52" s="154">
        <f t="shared" si="25"/>
        <v>5461.1161915153507</v>
      </c>
      <c r="O52" s="154">
        <f t="shared" si="25"/>
        <v>7253.6367300000002</v>
      </c>
      <c r="P52" s="154">
        <f t="shared" si="25"/>
        <v>6542.9467099999993</v>
      </c>
      <c r="Q52" s="159">
        <f t="shared" si="25"/>
        <v>6542.9467099999993</v>
      </c>
      <c r="R52" s="154">
        <f t="shared" si="25"/>
        <v>6542.9467099999993</v>
      </c>
      <c r="S52" s="154">
        <f t="shared" si="25"/>
        <v>6542.9467099999993</v>
      </c>
      <c r="T52" s="402">
        <f t="shared" si="3"/>
        <v>1081.8305184846486</v>
      </c>
      <c r="U52" s="402">
        <f t="shared" si="4"/>
        <v>0</v>
      </c>
      <c r="V52" s="154">
        <f t="shared" si="25"/>
        <v>5794.5794237033078</v>
      </c>
      <c r="W52" s="154">
        <f t="shared" si="25"/>
        <v>8195207.5000000009</v>
      </c>
      <c r="X52" s="154">
        <f t="shared" si="25"/>
        <v>8195.2075000000004</v>
      </c>
      <c r="Y52" s="154">
        <f t="shared" si="25"/>
        <v>8195.2075000000004</v>
      </c>
      <c r="Z52" s="154">
        <f t="shared" si="25"/>
        <v>7022.6347600000008</v>
      </c>
      <c r="AA52" s="154">
        <f>AA47+AA48+AA49+AA50+AA51</f>
        <v>1101.4149</v>
      </c>
      <c r="AB52" s="154">
        <f>AB47+AB48+AB49+AB50+AB51</f>
        <v>71.157840000000007</v>
      </c>
      <c r="AC52" s="154">
        <f t="shared" ref="AC52:AK52" si="26">AC47+AC48+AC49+AC50+AC51</f>
        <v>6055.3354977699564</v>
      </c>
      <c r="AD52" s="154">
        <f t="shared" si="26"/>
        <v>8087.0813576550008</v>
      </c>
      <c r="AE52" s="154">
        <f t="shared" si="26"/>
        <v>6008.1198699698489</v>
      </c>
      <c r="AF52" s="154">
        <f t="shared" si="26"/>
        <v>6008.1198699698489</v>
      </c>
      <c r="AG52" s="961">
        <f t="shared" si="26"/>
        <v>6297.548917680755</v>
      </c>
      <c r="AH52" s="154">
        <f t="shared" si="26"/>
        <v>20769.460000000006</v>
      </c>
      <c r="AI52" s="962">
        <f t="shared" si="6"/>
        <v>2.5343421749845878</v>
      </c>
      <c r="AJ52" s="963">
        <f t="shared" si="26"/>
        <v>14471.91108231925</v>
      </c>
      <c r="AK52" s="963">
        <f t="shared" si="26"/>
        <v>20769.460000000006</v>
      </c>
      <c r="AL52" s="964"/>
      <c r="AM52" s="52"/>
    </row>
    <row r="53" spans="1:39" ht="33" hidden="1" customHeight="1" outlineLevel="3">
      <c r="A53" s="139" t="s">
        <v>381</v>
      </c>
      <c r="B53" s="406" t="s">
        <v>371</v>
      </c>
      <c r="C53" s="198" t="s">
        <v>383</v>
      </c>
      <c r="D53" s="956" t="s">
        <v>370</v>
      </c>
      <c r="E53" s="148" t="s">
        <v>384</v>
      </c>
      <c r="F53" s="149" t="s">
        <v>385</v>
      </c>
      <c r="G53" s="406" t="s">
        <v>121</v>
      </c>
      <c r="H53" s="406">
        <v>57.968400621896002</v>
      </c>
      <c r="I53" s="406">
        <v>14.937290000000001</v>
      </c>
      <c r="J53" s="406">
        <v>14.94</v>
      </c>
      <c r="K53" s="406">
        <v>63.607180097409753</v>
      </c>
      <c r="L53" s="406">
        <v>26.650449999999999</v>
      </c>
      <c r="M53" s="406">
        <v>26.65</v>
      </c>
      <c r="N53" s="406">
        <v>66.672978043463331</v>
      </c>
      <c r="O53" s="406">
        <v>37.232039999999998</v>
      </c>
      <c r="P53" s="406">
        <v>33.242350000000002</v>
      </c>
      <c r="Q53" s="150">
        <v>33.242350000000002</v>
      </c>
      <c r="R53" s="406">
        <v>33.242350000000002</v>
      </c>
      <c r="S53" s="406">
        <v>33.242350000000002</v>
      </c>
      <c r="T53" s="406">
        <f t="shared" si="3"/>
        <v>-33.430628043463329</v>
      </c>
      <c r="U53" s="406">
        <f t="shared" si="4"/>
        <v>0</v>
      </c>
      <c r="V53" s="406">
        <v>30.224431249999995</v>
      </c>
      <c r="W53" s="167">
        <v>48458.97</v>
      </c>
      <c r="X53" s="167">
        <v>48.458970000000001</v>
      </c>
      <c r="Y53" s="406">
        <v>48.458970000000001</v>
      </c>
      <c r="Z53" s="406">
        <v>45.41733</v>
      </c>
      <c r="AA53" s="406">
        <v>2.6572600000000004</v>
      </c>
      <c r="AB53" s="406">
        <v>0.38438</v>
      </c>
      <c r="AC53" s="406">
        <v>31.584530656249992</v>
      </c>
      <c r="AD53" s="167">
        <f>'[71]2. подк.неподк.'!X41</f>
        <v>58.22</v>
      </c>
      <c r="AE53" s="406">
        <f>V53*$AD$11</f>
        <v>31.338254715923345</v>
      </c>
      <c r="AF53" s="402">
        <f t="shared" si="8"/>
        <v>31.338254715923345</v>
      </c>
      <c r="AG53" s="167">
        <v>32.847911882499993</v>
      </c>
      <c r="AH53" s="406">
        <v>68.849999999999994</v>
      </c>
      <c r="AI53" s="957">
        <f t="shared" si="6"/>
        <v>1.4207895875624263</v>
      </c>
      <c r="AJ53" s="957">
        <f t="shared" si="9"/>
        <v>36.002088117500001</v>
      </c>
      <c r="AK53" s="958">
        <f t="shared" ref="AK53:AK55" si="27">AH53</f>
        <v>68.849999999999994</v>
      </c>
      <c r="AL53" s="74"/>
      <c r="AM53" s="52">
        <f>AH53-AG53</f>
        <v>36.002088117500001</v>
      </c>
    </row>
    <row r="54" spans="1:39" ht="33" hidden="1" customHeight="1" outlineLevel="3">
      <c r="A54" s="139" t="s">
        <v>386</v>
      </c>
      <c r="B54" s="406" t="s">
        <v>376</v>
      </c>
      <c r="C54" s="198" t="s">
        <v>388</v>
      </c>
      <c r="D54" s="956" t="s">
        <v>375</v>
      </c>
      <c r="E54" s="148" t="s">
        <v>389</v>
      </c>
      <c r="F54" s="149" t="s">
        <v>390</v>
      </c>
      <c r="G54" s="406" t="s">
        <v>121</v>
      </c>
      <c r="H54" s="406">
        <v>769.32760825349249</v>
      </c>
      <c r="I54" s="406">
        <v>1327.9440300000001</v>
      </c>
      <c r="J54" s="406">
        <v>1327.94</v>
      </c>
      <c r="K54" s="406">
        <v>844.16266805894259</v>
      </c>
      <c r="L54" s="406">
        <v>963.25</v>
      </c>
      <c r="M54" s="406">
        <v>963.25</v>
      </c>
      <c r="N54" s="406">
        <v>891.35150623829929</v>
      </c>
      <c r="O54" s="406">
        <v>1393.3944799999999</v>
      </c>
      <c r="P54" s="406">
        <v>1295.5137099999999</v>
      </c>
      <c r="Q54" s="150">
        <v>1295.5137099999999</v>
      </c>
      <c r="R54" s="406">
        <v>1295.5137099999999</v>
      </c>
      <c r="S54" s="406">
        <v>1295.5137099999999</v>
      </c>
      <c r="T54" s="406">
        <f t="shared" si="3"/>
        <v>404.16220376170065</v>
      </c>
      <c r="U54" s="406">
        <f t="shared" si="4"/>
        <v>0</v>
      </c>
      <c r="V54" s="406">
        <v>940.37583908140573</v>
      </c>
      <c r="W54" s="167">
        <v>1968087.46</v>
      </c>
      <c r="X54" s="167">
        <v>1968.08746</v>
      </c>
      <c r="Y54" s="406">
        <v>1968.08746</v>
      </c>
      <c r="Z54" s="406">
        <v>1853.5668000000001</v>
      </c>
      <c r="AA54" s="406">
        <v>100.72816999999999</v>
      </c>
      <c r="AB54" s="406">
        <v>13.792489999999999</v>
      </c>
      <c r="AC54" s="406">
        <v>982.69275184006892</v>
      </c>
      <c r="AD54" s="167">
        <f>'[71]2. подк.неподк.'!X42</f>
        <v>2359.31</v>
      </c>
      <c r="AE54" s="406">
        <f>V54*$AD$11</f>
        <v>975.03034317091544</v>
      </c>
      <c r="AF54" s="402">
        <f t="shared" si="8"/>
        <v>975.03034317091544</v>
      </c>
      <c r="AG54" s="167">
        <v>1022.0004619136718</v>
      </c>
      <c r="AH54" s="406">
        <v>2172.0600000000004</v>
      </c>
      <c r="AI54" s="957">
        <f t="shared" si="6"/>
        <v>1.1036399774631969</v>
      </c>
      <c r="AJ54" s="957">
        <f t="shared" si="9"/>
        <v>1150.0595380863288</v>
      </c>
      <c r="AK54" s="958">
        <f t="shared" si="27"/>
        <v>2172.0600000000004</v>
      </c>
      <c r="AL54" s="74"/>
      <c r="AM54" s="52">
        <f>AH54-AG54</f>
        <v>1150.0595380863288</v>
      </c>
    </row>
    <row r="55" spans="1:39" ht="33" hidden="1" customHeight="1" outlineLevel="3">
      <c r="A55" s="139" t="s">
        <v>391</v>
      </c>
      <c r="B55" s="406" t="s">
        <v>382</v>
      </c>
      <c r="C55" s="198" t="s">
        <v>393</v>
      </c>
      <c r="D55" s="956" t="s">
        <v>381</v>
      </c>
      <c r="E55" s="148" t="s">
        <v>394</v>
      </c>
      <c r="F55" s="149" t="s">
        <v>395</v>
      </c>
      <c r="G55" s="406" t="s">
        <v>121</v>
      </c>
      <c r="H55" s="406">
        <v>320.40210343733457</v>
      </c>
      <c r="I55" s="406">
        <v>0</v>
      </c>
      <c r="J55" s="406">
        <v>0</v>
      </c>
      <c r="K55" s="406">
        <v>351.56868359810329</v>
      </c>
      <c r="L55" s="406">
        <v>142.41</v>
      </c>
      <c r="M55" s="406">
        <v>142.41</v>
      </c>
      <c r="N55" s="406">
        <v>212.86056119745552</v>
      </c>
      <c r="O55" s="406">
        <v>233.98337000000004</v>
      </c>
      <c r="P55" s="406">
        <v>221.73196999999999</v>
      </c>
      <c r="Q55" s="150">
        <v>221.73196999999999</v>
      </c>
      <c r="R55" s="406">
        <v>221.73196999999999</v>
      </c>
      <c r="S55" s="406">
        <v>221.73196999999999</v>
      </c>
      <c r="T55" s="406">
        <f t="shared" si="3"/>
        <v>8.8714088025444653</v>
      </c>
      <c r="U55" s="406">
        <f t="shared" si="4"/>
        <v>0</v>
      </c>
      <c r="V55" s="406">
        <v>161.51074124999997</v>
      </c>
      <c r="W55" s="167">
        <v>331741.40999999997</v>
      </c>
      <c r="X55" s="167">
        <v>331.74140999999997</v>
      </c>
      <c r="Y55" s="406">
        <v>331.74140999999997</v>
      </c>
      <c r="Z55" s="406">
        <v>311.08809000000002</v>
      </c>
      <c r="AA55" s="406">
        <v>17.493599999999997</v>
      </c>
      <c r="AB55" s="406">
        <v>3.1597199999999996</v>
      </c>
      <c r="AC55" s="406">
        <v>168.77872460624997</v>
      </c>
      <c r="AD55" s="167">
        <f>'[71]2. подк.неподк.'!X43</f>
        <v>249.38</v>
      </c>
      <c r="AE55" s="406">
        <f>V55*$AD$11</f>
        <v>167.46269621368268</v>
      </c>
      <c r="AF55" s="402">
        <f t="shared" si="8"/>
        <v>167.46269621368268</v>
      </c>
      <c r="AG55" s="167">
        <v>175.52987359049996</v>
      </c>
      <c r="AH55" s="406">
        <v>366.62400000000002</v>
      </c>
      <c r="AI55" s="957">
        <f t="shared" si="6"/>
        <v>1.1051499419382105</v>
      </c>
      <c r="AJ55" s="957">
        <f t="shared" si="9"/>
        <v>191.09412640950006</v>
      </c>
      <c r="AK55" s="958">
        <f t="shared" si="27"/>
        <v>366.62400000000002</v>
      </c>
      <c r="AL55" s="74"/>
      <c r="AM55" s="52">
        <f>AH55-AG55</f>
        <v>191.09412640950006</v>
      </c>
    </row>
    <row r="56" spans="1:39" s="161" customFormat="1" ht="33" hidden="1" customHeight="1" outlineLevel="2">
      <c r="A56" s="153"/>
      <c r="B56" s="154"/>
      <c r="C56" s="155"/>
      <c r="D56" s="966"/>
      <c r="E56" s="156" t="s">
        <v>396</v>
      </c>
      <c r="F56" s="157"/>
      <c r="G56" s="158"/>
      <c r="H56" s="154">
        <f t="shared" ref="H56:J56" si="28">H53+H54+H55</f>
        <v>1147.698112312723</v>
      </c>
      <c r="I56" s="154">
        <f t="shared" si="28"/>
        <v>1342.8813200000002</v>
      </c>
      <c r="J56" s="154">
        <f t="shared" si="28"/>
        <v>1342.88</v>
      </c>
      <c r="K56" s="154">
        <f>K53+K54+K55</f>
        <v>1259.3385317544555</v>
      </c>
      <c r="L56" s="154">
        <f t="shared" ref="L56:AK56" si="29">L53+L54+L55</f>
        <v>1132.3104499999999</v>
      </c>
      <c r="M56" s="154">
        <f t="shared" si="29"/>
        <v>1132.31</v>
      </c>
      <c r="N56" s="154">
        <f t="shared" si="29"/>
        <v>1170.8850454792182</v>
      </c>
      <c r="O56" s="154">
        <f t="shared" si="29"/>
        <v>1664.6098900000002</v>
      </c>
      <c r="P56" s="154">
        <f t="shared" si="29"/>
        <v>1550.48803</v>
      </c>
      <c r="Q56" s="159">
        <f>Q53+Q54+Q55</f>
        <v>1550.48803</v>
      </c>
      <c r="R56" s="154">
        <f>R53+R54+R55</f>
        <v>1550.48803</v>
      </c>
      <c r="S56" s="154">
        <f>S53+S54+S55</f>
        <v>1550.48803</v>
      </c>
      <c r="T56" s="402">
        <f t="shared" si="3"/>
        <v>379.60298452078177</v>
      </c>
      <c r="U56" s="402">
        <f t="shared" si="4"/>
        <v>0</v>
      </c>
      <c r="V56" s="154">
        <f t="shared" si="29"/>
        <v>1132.1110115814056</v>
      </c>
      <c r="W56" s="154">
        <f t="shared" si="29"/>
        <v>2348287.84</v>
      </c>
      <c r="X56" s="154">
        <f t="shared" si="29"/>
        <v>2348.28784</v>
      </c>
      <c r="Y56" s="154">
        <f t="shared" si="29"/>
        <v>2348.28784</v>
      </c>
      <c r="Z56" s="154">
        <f t="shared" si="29"/>
        <v>2210.07222</v>
      </c>
      <c r="AA56" s="154">
        <f t="shared" si="29"/>
        <v>120.87902999999999</v>
      </c>
      <c r="AB56" s="154">
        <f t="shared" si="29"/>
        <v>17.336589999999998</v>
      </c>
      <c r="AC56" s="154">
        <f t="shared" si="29"/>
        <v>1183.0560071025689</v>
      </c>
      <c r="AD56" s="154">
        <f t="shared" si="29"/>
        <v>2666.91</v>
      </c>
      <c r="AE56" s="154">
        <f t="shared" si="29"/>
        <v>1173.8312941005215</v>
      </c>
      <c r="AF56" s="154">
        <f t="shared" si="29"/>
        <v>1173.8312941005215</v>
      </c>
      <c r="AG56" s="961">
        <f t="shared" si="29"/>
        <v>1230.3782473866718</v>
      </c>
      <c r="AH56" s="154">
        <f t="shared" si="29"/>
        <v>2607.5340000000006</v>
      </c>
      <c r="AI56" s="962">
        <f t="shared" si="6"/>
        <v>1.1103979484899946</v>
      </c>
      <c r="AJ56" s="963">
        <f t="shared" si="29"/>
        <v>1377.1557526133288</v>
      </c>
      <c r="AK56" s="963">
        <f t="shared" si="29"/>
        <v>2607.5340000000006</v>
      </c>
      <c r="AL56" s="964"/>
      <c r="AM56" s="52"/>
    </row>
    <row r="57" spans="1:39" ht="33" hidden="1" customHeight="1" outlineLevel="3">
      <c r="A57" s="407" t="s">
        <v>397</v>
      </c>
      <c r="B57" s="406" t="s">
        <v>387</v>
      </c>
      <c r="C57" s="198" t="s">
        <v>399</v>
      </c>
      <c r="D57" s="956" t="s">
        <v>386</v>
      </c>
      <c r="E57" s="164" t="s">
        <v>400</v>
      </c>
      <c r="F57" s="149" t="s">
        <v>401</v>
      </c>
      <c r="G57" s="406" t="s">
        <v>121</v>
      </c>
      <c r="H57" s="406">
        <v>131744.08918119152</v>
      </c>
      <c r="I57" s="406">
        <v>47587.672529999996</v>
      </c>
      <c r="J57" s="406">
        <v>47587.670000000006</v>
      </c>
      <c r="K57" s="406">
        <v>144559.27569876733</v>
      </c>
      <c r="L57" s="406">
        <v>67117.61</v>
      </c>
      <c r="M57" s="406">
        <v>67117.61</v>
      </c>
      <c r="N57" s="406">
        <v>128449.59655761342</v>
      </c>
      <c r="O57" s="406">
        <v>99735.868009999991</v>
      </c>
      <c r="P57" s="406">
        <v>99719.943629999994</v>
      </c>
      <c r="Q57" s="150">
        <v>99719.943629999994</v>
      </c>
      <c r="R57" s="406">
        <v>99719.943629999994</v>
      </c>
      <c r="S57" s="406">
        <v>99719.943629999994</v>
      </c>
      <c r="T57" s="406">
        <f t="shared" si="3"/>
        <v>-28729.652927613424</v>
      </c>
      <c r="U57" s="406">
        <f t="shared" si="4"/>
        <v>0</v>
      </c>
      <c r="V57" s="406">
        <v>76119.759441249989</v>
      </c>
      <c r="W57" s="167">
        <v>85221706.519999996</v>
      </c>
      <c r="X57" s="167">
        <v>85221.706519999992</v>
      </c>
      <c r="Y57" s="406">
        <v>85221.706519999992</v>
      </c>
      <c r="Z57" s="406">
        <v>85221.471819999992</v>
      </c>
      <c r="AA57" s="406">
        <v>0.15003999999999998</v>
      </c>
      <c r="AB57" s="406">
        <v>8.4659999999999999E-2</v>
      </c>
      <c r="AC57" s="406">
        <v>79545.148616106235</v>
      </c>
      <c r="AD57" s="167">
        <f>'[71]2. подк.неподк.'!X45</f>
        <v>110116.09748383379</v>
      </c>
      <c r="AE57" s="406">
        <f>V57*$AD$11</f>
        <v>78924.906495459814</v>
      </c>
      <c r="AF57" s="402">
        <f t="shared" si="8"/>
        <v>78924.906495459814</v>
      </c>
      <c r="AG57" s="167">
        <v>82726.954560750484</v>
      </c>
      <c r="AH57" s="406">
        <v>94084.76</v>
      </c>
      <c r="AI57" s="957">
        <f t="shared" si="6"/>
        <v>1.1039999530861309</v>
      </c>
      <c r="AJ57" s="957">
        <f t="shared" si="9"/>
        <v>11357.805439249511</v>
      </c>
      <c r="AK57" s="958">
        <f t="shared" ref="AK57:AK64" si="30">AH57</f>
        <v>94084.76</v>
      </c>
      <c r="AL57" s="74"/>
      <c r="AM57" s="52">
        <f>AH57-AG57</f>
        <v>11357.805439249511</v>
      </c>
    </row>
    <row r="58" spans="1:39" ht="33" hidden="1" customHeight="1" outlineLevel="3">
      <c r="A58" s="139" t="s">
        <v>402</v>
      </c>
      <c r="B58" s="406" t="s">
        <v>392</v>
      </c>
      <c r="C58" s="198" t="s">
        <v>404</v>
      </c>
      <c r="D58" s="956" t="s">
        <v>391</v>
      </c>
      <c r="E58" s="148" t="s">
        <v>405</v>
      </c>
      <c r="F58" s="149" t="s">
        <v>406</v>
      </c>
      <c r="G58" s="406" t="s">
        <v>121</v>
      </c>
      <c r="H58" s="406">
        <v>44297.292875229767</v>
      </c>
      <c r="I58" s="406">
        <v>40122.397279999997</v>
      </c>
      <c r="J58" s="406">
        <v>40122.400000000001</v>
      </c>
      <c r="K58" s="406">
        <v>48606.238148964272</v>
      </c>
      <c r="L58" s="406">
        <v>45955.583989999999</v>
      </c>
      <c r="M58" s="406">
        <v>45955.58</v>
      </c>
      <c r="N58" s="406">
        <v>36908.663801943112</v>
      </c>
      <c r="O58" s="406">
        <v>44506.512329999998</v>
      </c>
      <c r="P58" s="406">
        <v>44506.613969999999</v>
      </c>
      <c r="Q58" s="150">
        <v>44506.613969999999</v>
      </c>
      <c r="R58" s="406">
        <v>44506.613969999999</v>
      </c>
      <c r="S58" s="406">
        <v>44506.613969999999</v>
      </c>
      <c r="T58" s="406">
        <f t="shared" si="3"/>
        <v>7597.9501680568865</v>
      </c>
      <c r="U58" s="406">
        <f t="shared" si="4"/>
        <v>0</v>
      </c>
      <c r="V58" s="406">
        <v>51759.94</v>
      </c>
      <c r="W58" s="167">
        <v>42949097.960000001</v>
      </c>
      <c r="X58" s="167">
        <v>42949.097959999999</v>
      </c>
      <c r="Y58" s="406">
        <v>42949.097959999999</v>
      </c>
      <c r="Z58" s="406">
        <v>42917.599179999997</v>
      </c>
      <c r="AA58" s="406">
        <v>11.83981</v>
      </c>
      <c r="AB58" s="406">
        <v>19.65897</v>
      </c>
      <c r="AC58" s="406">
        <v>54089.137300000002</v>
      </c>
      <c r="AD58" s="167">
        <f>'[71]2. подк.неподк.'!X46</f>
        <v>54089.137300000002</v>
      </c>
      <c r="AE58" s="406">
        <f>V58*$AD$11</f>
        <v>53667.384851151161</v>
      </c>
      <c r="AF58" s="402">
        <f t="shared" si="8"/>
        <v>53667.384851151161</v>
      </c>
      <c r="AG58" s="167">
        <v>56252.702792000004</v>
      </c>
      <c r="AH58" s="406">
        <v>47415.81</v>
      </c>
      <c r="AI58" s="957">
        <f t="shared" si="6"/>
        <v>1.1040001362580421</v>
      </c>
      <c r="AJ58" s="957">
        <f t="shared" si="9"/>
        <v>-8836.892792000006</v>
      </c>
      <c r="AK58" s="965"/>
      <c r="AL58" s="74"/>
      <c r="AM58" s="52">
        <f>AH58-AG58</f>
        <v>-8836.892792000006</v>
      </c>
    </row>
    <row r="59" spans="1:39" ht="33" hidden="1" customHeight="1" outlineLevel="3">
      <c r="A59" s="139" t="s">
        <v>407</v>
      </c>
      <c r="B59" s="406" t="s">
        <v>504</v>
      </c>
      <c r="C59" s="198" t="s">
        <v>409</v>
      </c>
      <c r="D59" s="956" t="s">
        <v>503</v>
      </c>
      <c r="E59" s="148" t="s">
        <v>410</v>
      </c>
      <c r="F59" s="405" t="s">
        <v>410</v>
      </c>
      <c r="G59" s="1338" t="s">
        <v>121</v>
      </c>
      <c r="H59" s="406">
        <v>0</v>
      </c>
      <c r="I59" s="406">
        <v>0</v>
      </c>
      <c r="J59" s="406">
        <v>0</v>
      </c>
      <c r="K59" s="406">
        <v>218.01</v>
      </c>
      <c r="L59" s="406">
        <v>0</v>
      </c>
      <c r="M59" s="406">
        <v>0</v>
      </c>
      <c r="N59" s="406">
        <v>230.2</v>
      </c>
      <c r="O59" s="406">
        <v>42.935679999999998</v>
      </c>
      <c r="P59" s="406">
        <v>41.414439999999999</v>
      </c>
      <c r="Q59" s="150">
        <v>41.414439999999999</v>
      </c>
      <c r="R59" s="406">
        <v>41.414439999999999</v>
      </c>
      <c r="S59" s="406">
        <v>41.414439999999999</v>
      </c>
      <c r="T59" s="406">
        <f t="shared" si="3"/>
        <v>-188.78555999999998</v>
      </c>
      <c r="U59" s="406">
        <f t="shared" si="4"/>
        <v>0</v>
      </c>
      <c r="V59" s="406">
        <v>0</v>
      </c>
      <c r="W59" s="167">
        <v>25400</v>
      </c>
      <c r="X59" s="167">
        <v>25.4</v>
      </c>
      <c r="Y59" s="406">
        <v>25.4</v>
      </c>
      <c r="Z59" s="406">
        <v>25.4</v>
      </c>
      <c r="AA59" s="406">
        <v>0</v>
      </c>
      <c r="AB59" s="406">
        <v>0</v>
      </c>
      <c r="AC59" s="406">
        <v>0</v>
      </c>
      <c r="AD59" s="167">
        <f>'[71]2. подк.неподк.'!X47</f>
        <v>47.856180960000003</v>
      </c>
      <c r="AE59" s="406">
        <f>V59*$AD$11</f>
        <v>0</v>
      </c>
      <c r="AF59" s="402">
        <f t="shared" si="8"/>
        <v>0</v>
      </c>
      <c r="AG59" s="167">
        <v>0</v>
      </c>
      <c r="AH59" s="406">
        <v>28.04</v>
      </c>
      <c r="AI59" s="957">
        <f t="shared" si="6"/>
        <v>1.1039370078740158</v>
      </c>
      <c r="AJ59" s="957">
        <f t="shared" si="9"/>
        <v>28.04</v>
      </c>
      <c r="AK59" s="958">
        <f t="shared" si="30"/>
        <v>28.04</v>
      </c>
      <c r="AL59" s="74"/>
      <c r="AM59" s="52">
        <f>AH59-AG59</f>
        <v>28.04</v>
      </c>
    </row>
    <row r="60" spans="1:39" ht="33" hidden="1" customHeight="1" outlineLevel="3">
      <c r="A60" s="139" t="s">
        <v>411</v>
      </c>
      <c r="B60" s="406" t="s">
        <v>416</v>
      </c>
      <c r="C60" s="198" t="s">
        <v>413</v>
      </c>
      <c r="D60" s="956" t="s">
        <v>397</v>
      </c>
      <c r="E60" s="148" t="s">
        <v>414</v>
      </c>
      <c r="F60" s="405" t="s">
        <v>414</v>
      </c>
      <c r="G60" s="1339"/>
      <c r="H60" s="406">
        <v>3981.7019427164541</v>
      </c>
      <c r="I60" s="406">
        <v>2652.4466600000001</v>
      </c>
      <c r="J60" s="406">
        <v>2652.45</v>
      </c>
      <c r="K60" s="406">
        <v>4151.01</v>
      </c>
      <c r="L60" s="406">
        <v>0</v>
      </c>
      <c r="M60" s="406">
        <v>0</v>
      </c>
      <c r="N60" s="406">
        <v>4383.07</v>
      </c>
      <c r="O60" s="406">
        <v>3553.7575400000001</v>
      </c>
      <c r="P60" s="406">
        <v>3229.8822099999998</v>
      </c>
      <c r="Q60" s="150">
        <v>3229.8822099999998</v>
      </c>
      <c r="R60" s="406">
        <v>3229.8822099999998</v>
      </c>
      <c r="S60" s="406">
        <v>3229.8822099999998</v>
      </c>
      <c r="T60" s="406">
        <f t="shared" si="3"/>
        <v>-1153.1877899999999</v>
      </c>
      <c r="U60" s="406">
        <f t="shared" si="4"/>
        <v>0</v>
      </c>
      <c r="V60" s="406">
        <v>0</v>
      </c>
      <c r="W60" s="167">
        <v>2002871.97</v>
      </c>
      <c r="X60" s="167">
        <v>2002.8719699999999</v>
      </c>
      <c r="Y60" s="406">
        <v>2002.8719699999999</v>
      </c>
      <c r="Z60" s="406">
        <v>1841.8642299999999</v>
      </c>
      <c r="AA60" s="406">
        <v>138.51054000000002</v>
      </c>
      <c r="AB60" s="406">
        <v>22.497199999999999</v>
      </c>
      <c r="AC60" s="406">
        <v>0</v>
      </c>
      <c r="AD60" s="167">
        <f>'[71]2. подк.неподк.'!X48</f>
        <v>3923.2491927474757</v>
      </c>
      <c r="AE60" s="406">
        <f>V60*$AD$11</f>
        <v>0</v>
      </c>
      <c r="AF60" s="402">
        <f t="shared" si="8"/>
        <v>0</v>
      </c>
      <c r="AG60" s="167">
        <v>0</v>
      </c>
      <c r="AH60" s="406">
        <v>2211.17</v>
      </c>
      <c r="AI60" s="957">
        <f t="shared" si="6"/>
        <v>1.1039996730295247</v>
      </c>
      <c r="AJ60" s="957">
        <f t="shared" si="9"/>
        <v>2211.17</v>
      </c>
      <c r="AK60" s="958">
        <f t="shared" si="30"/>
        <v>2211.17</v>
      </c>
      <c r="AL60" s="74"/>
      <c r="AM60" s="52">
        <f>AH60-AG60</f>
        <v>2211.17</v>
      </c>
    </row>
    <row r="61" spans="1:39" s="161" customFormat="1" ht="33" hidden="1" customHeight="1" outlineLevel="2">
      <c r="A61" s="153"/>
      <c r="B61" s="154"/>
      <c r="C61" s="155"/>
      <c r="D61" s="966"/>
      <c r="E61" s="156" t="s">
        <v>415</v>
      </c>
      <c r="F61" s="157"/>
      <c r="G61" s="158"/>
      <c r="H61" s="154">
        <f t="shared" ref="H61:J61" si="31">H57+H58+H59+H60</f>
        <v>180023.08399913774</v>
      </c>
      <c r="I61" s="154">
        <f t="shared" si="31"/>
        <v>90362.516469999988</v>
      </c>
      <c r="J61" s="154">
        <f t="shared" si="31"/>
        <v>90362.52</v>
      </c>
      <c r="K61" s="154">
        <f>K57+K58+K59+K60</f>
        <v>197534.53384773163</v>
      </c>
      <c r="L61" s="154">
        <f t="shared" ref="L61:AK61" si="32">L57+L58+L59+L60</f>
        <v>113073.19399</v>
      </c>
      <c r="M61" s="154">
        <f t="shared" si="32"/>
        <v>113073.19</v>
      </c>
      <c r="N61" s="154">
        <f t="shared" si="32"/>
        <v>169971.53035955655</v>
      </c>
      <c r="O61" s="154">
        <f t="shared" si="32"/>
        <v>147839.07355999996</v>
      </c>
      <c r="P61" s="154">
        <f t="shared" si="32"/>
        <v>147497.85425</v>
      </c>
      <c r="Q61" s="159">
        <f t="shared" si="32"/>
        <v>147497.85425</v>
      </c>
      <c r="R61" s="154">
        <f t="shared" si="32"/>
        <v>147497.85425</v>
      </c>
      <c r="S61" s="154">
        <f t="shared" si="32"/>
        <v>147497.85425</v>
      </c>
      <c r="T61" s="402">
        <f t="shared" si="3"/>
        <v>-22473.676109556545</v>
      </c>
      <c r="U61" s="402">
        <f t="shared" si="4"/>
        <v>0</v>
      </c>
      <c r="V61" s="154">
        <f t="shared" si="32"/>
        <v>127879.69944124999</v>
      </c>
      <c r="W61" s="154">
        <f t="shared" si="32"/>
        <v>130199076.44999999</v>
      </c>
      <c r="X61" s="154">
        <f t="shared" si="32"/>
        <v>130199.07644999998</v>
      </c>
      <c r="Y61" s="154">
        <f t="shared" si="32"/>
        <v>130199.07644999998</v>
      </c>
      <c r="Z61" s="154">
        <f t="shared" si="32"/>
        <v>130006.33523</v>
      </c>
      <c r="AA61" s="154">
        <f t="shared" si="32"/>
        <v>150.50039000000001</v>
      </c>
      <c r="AB61" s="154">
        <f t="shared" si="32"/>
        <v>42.240830000000003</v>
      </c>
      <c r="AC61" s="154">
        <f t="shared" si="32"/>
        <v>133634.28591610625</v>
      </c>
      <c r="AD61" s="154">
        <f t="shared" si="32"/>
        <v>168176.34015754124</v>
      </c>
      <c r="AE61" s="154">
        <f t="shared" si="32"/>
        <v>132592.29134661099</v>
      </c>
      <c r="AF61" s="154">
        <f t="shared" si="32"/>
        <v>132592.29134661099</v>
      </c>
      <c r="AG61" s="961">
        <f t="shared" si="32"/>
        <v>138979.65735275048</v>
      </c>
      <c r="AH61" s="154">
        <f t="shared" si="32"/>
        <v>143739.78000000003</v>
      </c>
      <c r="AI61" s="962">
        <f t="shared" si="6"/>
        <v>1.1039999969216376</v>
      </c>
      <c r="AJ61" s="963">
        <f t="shared" si="32"/>
        <v>4760.1226472495046</v>
      </c>
      <c r="AK61" s="963">
        <f t="shared" si="32"/>
        <v>96323.969999999987</v>
      </c>
      <c r="AL61" s="964"/>
      <c r="AM61" s="52"/>
    </row>
    <row r="62" spans="1:39" ht="33" hidden="1" customHeight="1" outlineLevel="3">
      <c r="A62" s="407" t="s">
        <v>397</v>
      </c>
      <c r="B62" s="406" t="s">
        <v>398</v>
      </c>
      <c r="C62" s="198" t="s">
        <v>417</v>
      </c>
      <c r="D62" s="956" t="s">
        <v>2138</v>
      </c>
      <c r="E62" s="164" t="s">
        <v>418</v>
      </c>
      <c r="F62" s="149" t="s">
        <v>419</v>
      </c>
      <c r="G62" s="406" t="s">
        <v>121</v>
      </c>
      <c r="H62" s="406">
        <v>3185.9754341797488</v>
      </c>
      <c r="I62" s="406">
        <v>2472.1181499999998</v>
      </c>
      <c r="J62" s="406">
        <v>1805.58</v>
      </c>
      <c r="K62" s="406">
        <v>3495.8858801298129</v>
      </c>
      <c r="L62" s="406">
        <v>5059.33</v>
      </c>
      <c r="M62" s="406">
        <v>5059.33</v>
      </c>
      <c r="N62" s="406">
        <v>2261.6327195872987</v>
      </c>
      <c r="O62" s="406">
        <v>4878.2737500000003</v>
      </c>
      <c r="P62" s="406">
        <v>4878.2987400000002</v>
      </c>
      <c r="Q62" s="150">
        <v>4878.2987400000002</v>
      </c>
      <c r="R62" s="406">
        <v>4878.2987400000002</v>
      </c>
      <c r="S62" s="406">
        <v>4878.2987400000002</v>
      </c>
      <c r="T62" s="406">
        <f t="shared" si="3"/>
        <v>2616.6660204127015</v>
      </c>
      <c r="U62" s="406">
        <f t="shared" si="4"/>
        <v>0</v>
      </c>
      <c r="V62" s="406">
        <v>3488.2100781781592</v>
      </c>
      <c r="W62" s="167">
        <v>3810538.02</v>
      </c>
      <c r="X62" s="167">
        <v>3810.53802</v>
      </c>
      <c r="Y62" s="406">
        <v>3810.53802</v>
      </c>
      <c r="Z62" s="406">
        <v>3810.53802</v>
      </c>
      <c r="AA62" s="406">
        <v>0</v>
      </c>
      <c r="AB62" s="406">
        <v>0</v>
      </c>
      <c r="AC62" s="406">
        <v>3645.1795316961761</v>
      </c>
      <c r="AD62" s="167">
        <f>'[71]2. подк.неподк.'!X50</f>
        <v>5604.3094556515098</v>
      </c>
      <c r="AE62" s="406">
        <f>V62*$AD$11</f>
        <v>3616.7567564269075</v>
      </c>
      <c r="AF62" s="402">
        <f t="shared" si="8"/>
        <v>3616.7567564269075</v>
      </c>
      <c r="AG62" s="167">
        <v>3790.9867129640234</v>
      </c>
      <c r="AH62" s="967">
        <v>4206.84</v>
      </c>
      <c r="AI62" s="968">
        <f t="shared" si="6"/>
        <v>1.104001581382988</v>
      </c>
      <c r="AJ62" s="968">
        <f t="shared" si="9"/>
        <v>415.85328703597679</v>
      </c>
      <c r="AK62" s="958">
        <f t="shared" si="30"/>
        <v>4206.84</v>
      </c>
      <c r="AL62" s="74"/>
      <c r="AM62" s="52">
        <f>AH62-AG62</f>
        <v>415.85328703597679</v>
      </c>
    </row>
    <row r="63" spans="1:39" ht="33" hidden="1" customHeight="1" outlineLevel="3">
      <c r="A63" s="139" t="s">
        <v>420</v>
      </c>
      <c r="B63" s="406" t="s">
        <v>403</v>
      </c>
      <c r="C63" s="198" t="s">
        <v>422</v>
      </c>
      <c r="D63" s="956" t="s">
        <v>402</v>
      </c>
      <c r="E63" s="148" t="s">
        <v>423</v>
      </c>
      <c r="F63" s="149" t="s">
        <v>424</v>
      </c>
      <c r="G63" s="406" t="s">
        <v>121</v>
      </c>
      <c r="H63" s="406">
        <v>10645.2444463888</v>
      </c>
      <c r="I63" s="406">
        <v>50529.511449999998</v>
      </c>
      <c r="J63" s="406">
        <v>50150</v>
      </c>
      <c r="K63" s="406">
        <v>11680.742842966101</v>
      </c>
      <c r="L63" s="406">
        <v>300.25</v>
      </c>
      <c r="M63" s="406">
        <v>300.25</v>
      </c>
      <c r="N63" s="406">
        <v>12333.7483841666</v>
      </c>
      <c r="O63" s="406">
        <v>394.71163000000001</v>
      </c>
      <c r="P63" s="406">
        <v>394.71163000000001</v>
      </c>
      <c r="Q63" s="150">
        <v>394.71163000000001</v>
      </c>
      <c r="R63" s="406">
        <v>394.71163000000001</v>
      </c>
      <c r="S63" s="406">
        <v>394.71163000000001</v>
      </c>
      <c r="T63" s="406">
        <f t="shared" si="3"/>
        <v>-11939.0367541666</v>
      </c>
      <c r="U63" s="406">
        <f t="shared" si="4"/>
        <v>0</v>
      </c>
      <c r="V63" s="406">
        <v>334.28</v>
      </c>
      <c r="W63" s="167">
        <v>11700155.110000001</v>
      </c>
      <c r="X63" s="167">
        <v>11700.155110000002</v>
      </c>
      <c r="Y63" s="406">
        <v>11700.15511</v>
      </c>
      <c r="Z63" s="406">
        <v>11698.99317</v>
      </c>
      <c r="AA63" s="406">
        <v>0.72726999999999997</v>
      </c>
      <c r="AB63" s="406">
        <v>0.43467</v>
      </c>
      <c r="AC63" s="406">
        <v>349.32259999999997</v>
      </c>
      <c r="AD63" s="167">
        <f>'[71]2. подк.неподк.'!X51</f>
        <v>435.48975999999999</v>
      </c>
      <c r="AE63" s="406">
        <f>V63*$AD$11</f>
        <v>346.59880610454354</v>
      </c>
      <c r="AF63" s="402">
        <f t="shared" si="8"/>
        <v>346.59880610454354</v>
      </c>
      <c r="AG63" s="167">
        <v>363.29550399999999</v>
      </c>
      <c r="AH63" s="406">
        <v>0</v>
      </c>
      <c r="AI63" s="957">
        <f t="shared" si="6"/>
        <v>0</v>
      </c>
      <c r="AJ63" s="957">
        <f t="shared" si="9"/>
        <v>-363.29550399999999</v>
      </c>
      <c r="AK63" s="965"/>
      <c r="AL63" s="74"/>
      <c r="AM63" s="52">
        <f>AH63-AG63</f>
        <v>-363.29550399999999</v>
      </c>
    </row>
    <row r="64" spans="1:39" ht="33" hidden="1" customHeight="1" outlineLevel="3">
      <c r="A64" s="139" t="s">
        <v>425</v>
      </c>
      <c r="B64" s="406" t="s">
        <v>408</v>
      </c>
      <c r="C64" s="198" t="s">
        <v>427</v>
      </c>
      <c r="D64" s="969" t="s">
        <v>407</v>
      </c>
      <c r="E64" s="148" t="s">
        <v>428</v>
      </c>
      <c r="F64" s="149" t="s">
        <v>429</v>
      </c>
      <c r="G64" s="406" t="s">
        <v>121</v>
      </c>
      <c r="H64" s="406">
        <v>612.33500656924616</v>
      </c>
      <c r="I64" s="406">
        <v>728.63499999999999</v>
      </c>
      <c r="J64" s="406">
        <v>728.64</v>
      </c>
      <c r="K64" s="406">
        <v>671.89887291951129</v>
      </c>
      <c r="L64" s="406">
        <v>715.44</v>
      </c>
      <c r="M64" s="406">
        <v>715.44</v>
      </c>
      <c r="N64" s="406">
        <v>709.46475791660816</v>
      </c>
      <c r="O64" s="406">
        <v>1521.69469</v>
      </c>
      <c r="P64" s="406">
        <v>1496.8344099999999</v>
      </c>
      <c r="Q64" s="150">
        <v>1496.8344099999999</v>
      </c>
      <c r="R64" s="406">
        <v>1496.8344099999999</v>
      </c>
      <c r="S64" s="406">
        <v>1496.8344099999999</v>
      </c>
      <c r="T64" s="406">
        <f t="shared" si="3"/>
        <v>787.36965208339177</v>
      </c>
      <c r="U64" s="406">
        <f t="shared" si="4"/>
        <v>0</v>
      </c>
      <c r="V64" s="406">
        <v>748.4853196020216</v>
      </c>
      <c r="W64" s="167">
        <v>1465756.6700000002</v>
      </c>
      <c r="X64" s="167">
        <v>1465.7566700000002</v>
      </c>
      <c r="Y64" s="406">
        <v>1465.7566700000002</v>
      </c>
      <c r="Z64" s="406">
        <v>1449.15832</v>
      </c>
      <c r="AA64" s="406">
        <v>15.026260000000001</v>
      </c>
      <c r="AB64" s="406">
        <v>1.57209</v>
      </c>
      <c r="AC64" s="406">
        <v>782.16715898411258</v>
      </c>
      <c r="AD64" s="167">
        <f>'[71]2. подк.неподк.'!X52</f>
        <v>1987.3</v>
      </c>
      <c r="AE64" s="406">
        <f>V64*$AD$11</f>
        <v>776.06832045243038</v>
      </c>
      <c r="AF64" s="402">
        <f t="shared" si="8"/>
        <v>776.06832045243038</v>
      </c>
      <c r="AG64" s="167">
        <v>813.45384534347716</v>
      </c>
      <c r="AH64" s="406">
        <v>2011.7</v>
      </c>
      <c r="AI64" s="957">
        <f t="shared" si="6"/>
        <v>1.3724651855072232</v>
      </c>
      <c r="AJ64" s="957">
        <f t="shared" si="9"/>
        <v>1198.2461546565228</v>
      </c>
      <c r="AK64" s="958">
        <f t="shared" si="30"/>
        <v>2011.7</v>
      </c>
      <c r="AL64" s="74"/>
      <c r="AM64" s="52">
        <f>AH64-AG64</f>
        <v>1198.2461546565228</v>
      </c>
    </row>
    <row r="65" spans="1:39" s="161" customFormat="1" ht="33" hidden="1" customHeight="1" outlineLevel="2">
      <c r="A65" s="153"/>
      <c r="B65" s="154"/>
      <c r="C65" s="155"/>
      <c r="D65" s="966"/>
      <c r="E65" s="156" t="s">
        <v>430</v>
      </c>
      <c r="F65" s="157"/>
      <c r="G65" s="158"/>
      <c r="H65" s="154">
        <f t="shared" ref="H65:J65" si="33">H62+H63+H64</f>
        <v>14443.554887137796</v>
      </c>
      <c r="I65" s="154">
        <f t="shared" si="33"/>
        <v>53730.264600000002</v>
      </c>
      <c r="J65" s="154">
        <f t="shared" si="33"/>
        <v>52684.22</v>
      </c>
      <c r="K65" s="154">
        <f>K62+K63+K64</f>
        <v>15848.527596015425</v>
      </c>
      <c r="L65" s="154">
        <f t="shared" ref="L65:AK65" si="34">L62+L63+L64</f>
        <v>6075.02</v>
      </c>
      <c r="M65" s="154">
        <f t="shared" si="34"/>
        <v>6075.02</v>
      </c>
      <c r="N65" s="154">
        <f t="shared" si="34"/>
        <v>15304.845861670507</v>
      </c>
      <c r="O65" s="154">
        <f t="shared" si="34"/>
        <v>6794.6800700000003</v>
      </c>
      <c r="P65" s="154">
        <f t="shared" si="34"/>
        <v>6769.8447799999994</v>
      </c>
      <c r="Q65" s="159">
        <f t="shared" si="34"/>
        <v>6769.8447799999994</v>
      </c>
      <c r="R65" s="154">
        <f t="shared" si="34"/>
        <v>6769.8447799999994</v>
      </c>
      <c r="S65" s="154">
        <f t="shared" si="34"/>
        <v>6769.8447799999994</v>
      </c>
      <c r="T65" s="402">
        <f t="shared" si="3"/>
        <v>-8535.0010816705071</v>
      </c>
      <c r="U65" s="402">
        <f t="shared" si="4"/>
        <v>0</v>
      </c>
      <c r="V65" s="154">
        <f t="shared" si="34"/>
        <v>4570.9753977801802</v>
      </c>
      <c r="W65" s="154">
        <f t="shared" si="34"/>
        <v>16976449.800000001</v>
      </c>
      <c r="X65" s="154">
        <f t="shared" si="34"/>
        <v>16976.449800000002</v>
      </c>
      <c r="Y65" s="154">
        <f t="shared" si="34"/>
        <v>16976.449799999999</v>
      </c>
      <c r="Z65" s="154">
        <f t="shared" si="34"/>
        <v>16958.68951</v>
      </c>
      <c r="AA65" s="154">
        <f t="shared" si="34"/>
        <v>15.753530000000001</v>
      </c>
      <c r="AB65" s="154">
        <f t="shared" si="34"/>
        <v>2.0067599999999999</v>
      </c>
      <c r="AC65" s="154">
        <f t="shared" si="34"/>
        <v>4776.6692906802891</v>
      </c>
      <c r="AD65" s="154">
        <f t="shared" si="34"/>
        <v>8027.0992156515103</v>
      </c>
      <c r="AE65" s="154">
        <f t="shared" si="34"/>
        <v>4739.4238829838814</v>
      </c>
      <c r="AF65" s="154">
        <f t="shared" si="34"/>
        <v>4739.4238829838814</v>
      </c>
      <c r="AG65" s="961">
        <f t="shared" si="34"/>
        <v>4967.7360623075001</v>
      </c>
      <c r="AH65" s="154">
        <f t="shared" si="34"/>
        <v>6218.54</v>
      </c>
      <c r="AI65" s="962">
        <f t="shared" si="6"/>
        <v>0.36630391355441105</v>
      </c>
      <c r="AJ65" s="963">
        <f t="shared" si="34"/>
        <v>1250.8039376924996</v>
      </c>
      <c r="AK65" s="963">
        <f t="shared" si="34"/>
        <v>6218.54</v>
      </c>
      <c r="AL65" s="964"/>
      <c r="AM65" s="52"/>
    </row>
    <row r="66" spans="1:39" ht="49.95" hidden="1" customHeight="1" outlineLevel="3">
      <c r="A66" s="139" t="s">
        <v>431</v>
      </c>
      <c r="B66" s="406" t="s">
        <v>432</v>
      </c>
      <c r="C66" s="198" t="s">
        <v>433</v>
      </c>
      <c r="D66" s="969" t="s">
        <v>411</v>
      </c>
      <c r="E66" s="148" t="s">
        <v>434</v>
      </c>
      <c r="F66" s="149" t="s">
        <v>435</v>
      </c>
      <c r="G66" s="406" t="s">
        <v>121</v>
      </c>
      <c r="H66" s="406">
        <v>670.06650718860055</v>
      </c>
      <c r="I66" s="406">
        <v>545.61377000000005</v>
      </c>
      <c r="J66" s="406">
        <v>545.61</v>
      </c>
      <c r="K66" s="406">
        <v>735.24610896179649</v>
      </c>
      <c r="L66" s="406">
        <v>842.7</v>
      </c>
      <c r="M66" s="406">
        <v>842.7</v>
      </c>
      <c r="N66" s="406">
        <v>776.34788549480345</v>
      </c>
      <c r="O66" s="406">
        <v>1399.41193</v>
      </c>
      <c r="P66" s="406">
        <v>1377.5456799999999</v>
      </c>
      <c r="Q66" s="150">
        <v>1377.5456799999999</v>
      </c>
      <c r="R66" s="406">
        <v>1377.5456799999999</v>
      </c>
      <c r="S66" s="166">
        <v>1377.5456799999999</v>
      </c>
      <c r="T66" s="406">
        <f t="shared" si="3"/>
        <v>601.1977945051965</v>
      </c>
      <c r="U66" s="406">
        <f t="shared" si="4"/>
        <v>0</v>
      </c>
      <c r="V66" s="406">
        <v>819.04701919701756</v>
      </c>
      <c r="W66" s="167">
        <v>1250866.08</v>
      </c>
      <c r="X66" s="167">
        <v>1250.86608</v>
      </c>
      <c r="Y66" s="406">
        <v>1250.86608</v>
      </c>
      <c r="Z66" s="406">
        <v>1244.2238200000002</v>
      </c>
      <c r="AA66" s="406">
        <v>0</v>
      </c>
      <c r="AB66" s="406">
        <v>6.6422600000000003</v>
      </c>
      <c r="AC66" s="406">
        <v>855.90413506088328</v>
      </c>
      <c r="AD66" s="167">
        <f>'[71]2. подк.неподк.'!X54</f>
        <v>1620.9</v>
      </c>
      <c r="AE66" s="406">
        <f>V66*$AD$11</f>
        <v>849.23034281791161</v>
      </c>
      <c r="AF66" s="402">
        <f t="shared" si="8"/>
        <v>849.23034281791161</v>
      </c>
      <c r="AG66" s="167">
        <v>890.14030046331868</v>
      </c>
      <c r="AH66" s="406">
        <v>1655.6</v>
      </c>
      <c r="AI66" s="957">
        <f t="shared" si="6"/>
        <v>1.3235629508796016</v>
      </c>
      <c r="AJ66" s="957">
        <f t="shared" si="9"/>
        <v>765.45969953668123</v>
      </c>
      <c r="AK66" s="958">
        <f>AH66</f>
        <v>1655.6</v>
      </c>
      <c r="AL66" s="74"/>
      <c r="AM66" s="52">
        <f>AH66-AG66</f>
        <v>765.45969953668123</v>
      </c>
    </row>
    <row r="67" spans="1:39" ht="35.4" hidden="1" customHeight="1" outlineLevel="3">
      <c r="A67" s="139" t="s">
        <v>436</v>
      </c>
      <c r="B67" s="406" t="s">
        <v>437</v>
      </c>
      <c r="C67" s="198" t="s">
        <v>438</v>
      </c>
      <c r="D67" s="969" t="s">
        <v>420</v>
      </c>
      <c r="E67" s="148" t="s">
        <v>439</v>
      </c>
      <c r="F67" s="149" t="s">
        <v>440</v>
      </c>
      <c r="G67" s="406" t="s">
        <v>121</v>
      </c>
      <c r="H67" s="406">
        <v>0</v>
      </c>
      <c r="I67" s="406">
        <v>9046.3977099999993</v>
      </c>
      <c r="J67" s="406">
        <v>0</v>
      </c>
      <c r="K67" s="406">
        <v>0</v>
      </c>
      <c r="L67" s="406">
        <v>9989.85</v>
      </c>
      <c r="M67" s="406">
        <v>0</v>
      </c>
      <c r="N67" s="406">
        <v>0</v>
      </c>
      <c r="O67" s="406">
        <v>16119.477570000001</v>
      </c>
      <c r="P67" s="406">
        <v>16025.3755</v>
      </c>
      <c r="Q67" s="150">
        <v>16119.477570000001</v>
      </c>
      <c r="R67" s="167">
        <v>16119.477570000001</v>
      </c>
      <c r="S67" s="167">
        <v>0</v>
      </c>
      <c r="T67" s="406">
        <f t="shared" si="3"/>
        <v>0</v>
      </c>
      <c r="U67" s="406">
        <f t="shared" si="4"/>
        <v>-16025.3755</v>
      </c>
      <c r="V67" s="406">
        <v>0</v>
      </c>
      <c r="W67" s="167">
        <v>11902544.73</v>
      </c>
      <c r="X67" s="167">
        <v>11902.54473</v>
      </c>
      <c r="Y67" s="406">
        <v>11902.54473</v>
      </c>
      <c r="Z67" s="406">
        <v>11896.866769999999</v>
      </c>
      <c r="AA67" s="406">
        <v>0</v>
      </c>
      <c r="AB67" s="406">
        <v>5.6779599999999997</v>
      </c>
      <c r="AC67" s="406">
        <v>0</v>
      </c>
      <c r="AD67" s="167">
        <f>'[71]2. подк.неподк.'!X55</f>
        <v>27574</v>
      </c>
      <c r="AE67" s="406">
        <f>V67*$AD$11</f>
        <v>0</v>
      </c>
      <c r="AF67" s="402">
        <f t="shared" si="8"/>
        <v>0</v>
      </c>
      <c r="AG67" s="167">
        <v>0</v>
      </c>
      <c r="AH67" s="406">
        <v>27360</v>
      </c>
      <c r="AI67" s="957">
        <f t="shared" si="6"/>
        <v>2.2986681101092574</v>
      </c>
      <c r="AJ67" s="957">
        <f t="shared" si="9"/>
        <v>27360</v>
      </c>
      <c r="AK67" s="958">
        <f>AH67</f>
        <v>27360</v>
      </c>
      <c r="AL67" s="970" t="s">
        <v>2139</v>
      </c>
      <c r="AM67" s="52">
        <f>AH67-AG67</f>
        <v>27360</v>
      </c>
    </row>
    <row r="68" spans="1:39" ht="61.95" hidden="1" customHeight="1" outlineLevel="3">
      <c r="A68" s="139" t="s">
        <v>441</v>
      </c>
      <c r="B68" s="406" t="s">
        <v>442</v>
      </c>
      <c r="C68" s="198" t="s">
        <v>443</v>
      </c>
      <c r="D68" s="969" t="s">
        <v>425</v>
      </c>
      <c r="E68" s="148" t="s">
        <v>444</v>
      </c>
      <c r="F68" s="149" t="s">
        <v>445</v>
      </c>
      <c r="G68" s="406" t="s">
        <v>121</v>
      </c>
      <c r="H68" s="406">
        <v>3131.4884335952024</v>
      </c>
      <c r="I68" s="406">
        <v>1246.28593</v>
      </c>
      <c r="J68" s="406">
        <v>1246.29</v>
      </c>
      <c r="K68" s="406">
        <v>3436.0987474511894</v>
      </c>
      <c r="L68" s="406">
        <v>1363.22</v>
      </c>
      <c r="M68" s="406">
        <v>1363.22</v>
      </c>
      <c r="N68" s="406">
        <v>1236.6572868874159</v>
      </c>
      <c r="O68" s="406">
        <v>3145.5927600000005</v>
      </c>
      <c r="P68" s="406">
        <v>3089.74424</v>
      </c>
      <c r="Q68" s="150">
        <v>3089.74424</v>
      </c>
      <c r="R68" s="406">
        <v>3089.74424</v>
      </c>
      <c r="S68" s="166">
        <v>3089.74424</v>
      </c>
      <c r="T68" s="406">
        <f t="shared" si="3"/>
        <v>1853.0869531125841</v>
      </c>
      <c r="U68" s="406">
        <f t="shared" si="4"/>
        <v>0</v>
      </c>
      <c r="V68" s="406">
        <v>1546.0618824999997</v>
      </c>
      <c r="W68" s="167">
        <v>3046460.49</v>
      </c>
      <c r="X68" s="167">
        <v>3046.4604900000004</v>
      </c>
      <c r="Y68" s="406">
        <v>3046.4604899999999</v>
      </c>
      <c r="Z68" s="406">
        <v>3006.0060099999996</v>
      </c>
      <c r="AA68" s="406">
        <v>6.1777499999999996</v>
      </c>
      <c r="AB68" s="406">
        <v>34.276730000000001</v>
      </c>
      <c r="AC68" s="406">
        <v>1615.6346672124996</v>
      </c>
      <c r="AD68" s="167">
        <f>'[71]2. подк.неподк.'!X56</f>
        <v>5028.3</v>
      </c>
      <c r="AE68" s="406">
        <f>V68*$AD$11</f>
        <v>1603.0369828833404</v>
      </c>
      <c r="AF68" s="402">
        <f t="shared" si="8"/>
        <v>1603.0369828833404</v>
      </c>
      <c r="AG68" s="167">
        <v>1680.2600539009995</v>
      </c>
      <c r="AH68" s="406">
        <v>5318.3</v>
      </c>
      <c r="AI68" s="957">
        <f t="shared" si="6"/>
        <v>1.7457308300755279</v>
      </c>
      <c r="AJ68" s="957">
        <f t="shared" si="9"/>
        <v>3638.0399460990006</v>
      </c>
      <c r="AK68" s="958">
        <f t="shared" ref="AK68:AK89" si="35">AH68</f>
        <v>5318.3</v>
      </c>
      <c r="AL68" s="74"/>
      <c r="AM68" s="52">
        <f>AH68-AG68</f>
        <v>3638.0399460990006</v>
      </c>
    </row>
    <row r="69" spans="1:39" ht="62.4" hidden="1" customHeight="1" outlineLevel="3">
      <c r="A69" s="139" t="s">
        <v>446</v>
      </c>
      <c r="B69" s="406" t="s">
        <v>447</v>
      </c>
      <c r="C69" s="198" t="s">
        <v>448</v>
      </c>
      <c r="D69" s="969" t="s">
        <v>431</v>
      </c>
      <c r="E69" s="148" t="s">
        <v>449</v>
      </c>
      <c r="F69" s="149" t="s">
        <v>450</v>
      </c>
      <c r="G69" s="406" t="s">
        <v>121</v>
      </c>
      <c r="H69" s="406">
        <v>3167.404533980517</v>
      </c>
      <c r="I69" s="406">
        <v>2873.0864000000001</v>
      </c>
      <c r="J69" s="406">
        <v>2873.09</v>
      </c>
      <c r="K69" s="406">
        <v>3475.5085265911443</v>
      </c>
      <c r="L69" s="406">
        <v>6002.97</v>
      </c>
      <c r="M69" s="406">
        <v>6002.97</v>
      </c>
      <c r="N69" s="406">
        <v>3669.8070547562265</v>
      </c>
      <c r="O69" s="406">
        <v>7848.81988</v>
      </c>
      <c r="P69" s="406">
        <v>7737.6023299999997</v>
      </c>
      <c r="Q69" s="150">
        <v>7737.6023299999997</v>
      </c>
      <c r="R69" s="406">
        <v>7737.6023299999997</v>
      </c>
      <c r="S69" s="166">
        <v>7737.6023299999997</v>
      </c>
      <c r="T69" s="406">
        <f t="shared" si="3"/>
        <v>4067.7952752437732</v>
      </c>
      <c r="U69" s="406">
        <f t="shared" si="4"/>
        <v>0</v>
      </c>
      <c r="V69" s="406">
        <v>3871.6464427678188</v>
      </c>
      <c r="W69" s="167">
        <v>9150545.2799999993</v>
      </c>
      <c r="X69" s="167">
        <v>9150.5452799999985</v>
      </c>
      <c r="Y69" s="406">
        <v>9150.5452800000021</v>
      </c>
      <c r="Z69" s="406">
        <v>9073.1215499999998</v>
      </c>
      <c r="AA69" s="406">
        <v>0</v>
      </c>
      <c r="AB69" s="406">
        <v>77.423729999999992</v>
      </c>
      <c r="AC69" s="406">
        <v>4045.8705326923705</v>
      </c>
      <c r="AD69" s="167">
        <f>'[71]2. подк.неподк.'!X57</f>
        <v>21477.1</v>
      </c>
      <c r="AE69" s="406">
        <f>V69*$AD$11</f>
        <v>4014.323425637876</v>
      </c>
      <c r="AF69" s="402">
        <f t="shared" si="8"/>
        <v>4014.323425637876</v>
      </c>
      <c r="AG69" s="167">
        <v>4207.7053540000652</v>
      </c>
      <c r="AH69" s="406">
        <v>21580</v>
      </c>
      <c r="AI69" s="957">
        <f t="shared" si="6"/>
        <v>2.3583294043871454</v>
      </c>
      <c r="AJ69" s="957">
        <f t="shared" si="9"/>
        <v>17372.294645999937</v>
      </c>
      <c r="AK69" s="958">
        <f t="shared" si="35"/>
        <v>21580</v>
      </c>
      <c r="AL69" s="971" t="s">
        <v>2140</v>
      </c>
      <c r="AM69" s="52">
        <f>AH69-AG69</f>
        <v>17372.294645999937</v>
      </c>
    </row>
    <row r="70" spans="1:39" s="161" customFormat="1" ht="33" hidden="1" customHeight="1" outlineLevel="2">
      <c r="A70" s="153"/>
      <c r="B70" s="154"/>
      <c r="C70" s="155"/>
      <c r="D70" s="966"/>
      <c r="E70" s="156" t="s">
        <v>451</v>
      </c>
      <c r="F70" s="157"/>
      <c r="G70" s="158"/>
      <c r="H70" s="154">
        <f t="shared" ref="H70:J70" si="36">H66+H67+H68+H69</f>
        <v>6968.9594747643205</v>
      </c>
      <c r="I70" s="154">
        <f t="shared" si="36"/>
        <v>13711.383809999999</v>
      </c>
      <c r="J70" s="154">
        <f t="shared" si="36"/>
        <v>4664.99</v>
      </c>
      <c r="K70" s="154">
        <f>K66+K67+K68+K69</f>
        <v>7646.8533830041306</v>
      </c>
      <c r="L70" s="154">
        <f t="shared" ref="L70:S70" si="37">L66+L67+L68+L69</f>
        <v>18198.740000000002</v>
      </c>
      <c r="M70" s="154">
        <f t="shared" si="37"/>
        <v>8208.89</v>
      </c>
      <c r="N70" s="154">
        <f t="shared" si="37"/>
        <v>5682.8122271384455</v>
      </c>
      <c r="O70" s="154">
        <f t="shared" si="37"/>
        <v>28513.30214</v>
      </c>
      <c r="P70" s="154">
        <f t="shared" si="37"/>
        <v>28230.267749999999</v>
      </c>
      <c r="Q70" s="159">
        <f t="shared" si="37"/>
        <v>28324.36982</v>
      </c>
      <c r="R70" s="154">
        <f t="shared" si="37"/>
        <v>28324.36982</v>
      </c>
      <c r="S70" s="154">
        <f t="shared" si="37"/>
        <v>12204.892250000001</v>
      </c>
      <c r="T70" s="402">
        <f t="shared" si="3"/>
        <v>6522.0800228615553</v>
      </c>
      <c r="U70" s="402">
        <f t="shared" si="4"/>
        <v>-16025.375499999998</v>
      </c>
      <c r="V70" s="154">
        <f>V66+V67+V68+V69</f>
        <v>6236.7553444648365</v>
      </c>
      <c r="W70" s="154">
        <f>W66+W67+W68+W69</f>
        <v>25350416.579999998</v>
      </c>
      <c r="X70" s="154">
        <f>X66+X67+X68+X69</f>
        <v>25350.416579999997</v>
      </c>
      <c r="Y70" s="154">
        <f t="shared" ref="Y70:AB70" si="38">Y66+Y67+Y68+Y69</f>
        <v>25350.416580000001</v>
      </c>
      <c r="Z70" s="154">
        <f t="shared" si="38"/>
        <v>25220.218150000001</v>
      </c>
      <c r="AA70" s="154">
        <f t="shared" si="38"/>
        <v>6.1777499999999996</v>
      </c>
      <c r="AB70" s="154">
        <f t="shared" si="38"/>
        <v>124.02068</v>
      </c>
      <c r="AC70" s="154">
        <f>AC66+AC67+AC68+AC69</f>
        <v>6517.4093349657533</v>
      </c>
      <c r="AD70" s="154">
        <f t="shared" ref="AD70:AK70" si="39">AD66+AD67+AD68+AD69</f>
        <v>55700.3</v>
      </c>
      <c r="AE70" s="154">
        <f t="shared" si="39"/>
        <v>6466.5907513391285</v>
      </c>
      <c r="AF70" s="154">
        <f t="shared" si="39"/>
        <v>6466.5907513391285</v>
      </c>
      <c r="AG70" s="961">
        <f t="shared" si="39"/>
        <v>6778.1057083643836</v>
      </c>
      <c r="AH70" s="154">
        <f t="shared" si="39"/>
        <v>55913.9</v>
      </c>
      <c r="AI70" s="962">
        <f t="shared" si="6"/>
        <v>2.2056402830126594</v>
      </c>
      <c r="AJ70" s="963">
        <f t="shared" si="39"/>
        <v>49135.794291635619</v>
      </c>
      <c r="AK70" s="963">
        <f t="shared" si="39"/>
        <v>55913.9</v>
      </c>
      <c r="AL70" s="964"/>
      <c r="AM70" s="52"/>
    </row>
    <row r="71" spans="1:39" ht="33" hidden="1" customHeight="1" outlineLevel="3">
      <c r="A71" s="139" t="s">
        <v>452</v>
      </c>
      <c r="B71" s="406" t="s">
        <v>453</v>
      </c>
      <c r="C71" s="198" t="s">
        <v>454</v>
      </c>
      <c r="D71" s="956" t="s">
        <v>436</v>
      </c>
      <c r="E71" s="148" t="s">
        <v>455</v>
      </c>
      <c r="F71" s="149" t="s">
        <v>456</v>
      </c>
      <c r="G71" s="406" t="s">
        <v>121</v>
      </c>
      <c r="H71" s="406">
        <v>1601.062917176507</v>
      </c>
      <c r="I71" s="406">
        <v>5.8973100000000001</v>
      </c>
      <c r="J71" s="406">
        <v>5.9</v>
      </c>
      <c r="K71" s="406">
        <v>1756.8036417700187</v>
      </c>
      <c r="L71" s="406">
        <v>391.31400000000002</v>
      </c>
      <c r="M71" s="406">
        <v>391.31</v>
      </c>
      <c r="N71" s="406">
        <v>424.86400021061365</v>
      </c>
      <c r="O71" s="406">
        <v>449.61603000000002</v>
      </c>
      <c r="P71" s="406">
        <v>398.68016</v>
      </c>
      <c r="Q71" s="150">
        <v>398.68016</v>
      </c>
      <c r="R71" s="406">
        <v>398.68016</v>
      </c>
      <c r="S71" s="406">
        <v>398.68016</v>
      </c>
      <c r="T71" s="406">
        <f t="shared" si="3"/>
        <v>-26.183840210613653</v>
      </c>
      <c r="U71" s="406">
        <f t="shared" si="4"/>
        <v>0</v>
      </c>
      <c r="V71" s="406">
        <v>443.79445375</v>
      </c>
      <c r="W71" s="167">
        <v>546883.31999999995</v>
      </c>
      <c r="X71" s="167">
        <v>546.88331999999991</v>
      </c>
      <c r="Y71" s="406">
        <v>546.88332000000003</v>
      </c>
      <c r="Z71" s="406">
        <v>480.91689000000002</v>
      </c>
      <c r="AA71" s="406">
        <v>60.939620000000005</v>
      </c>
      <c r="AB71" s="406">
        <v>5.0268100000000002</v>
      </c>
      <c r="AC71" s="406">
        <v>463.76520416874996</v>
      </c>
      <c r="AD71" s="167">
        <f>'[71]2. подк.неподк.'!X59</f>
        <v>3443.1847370314235</v>
      </c>
      <c r="AE71" s="406">
        <f t="shared" ref="AE71:AE78" si="40">V71*$AD$11</f>
        <v>460.14906014588996</v>
      </c>
      <c r="AF71" s="402">
        <f t="shared" si="8"/>
        <v>460.14906014588996</v>
      </c>
      <c r="AG71" s="167">
        <v>482.31581233549997</v>
      </c>
      <c r="AH71" s="406">
        <v>2105.8530000000001</v>
      </c>
      <c r="AI71" s="957">
        <f t="shared" si="6"/>
        <v>3.8506440459730977</v>
      </c>
      <c r="AJ71" s="957">
        <f t="shared" si="9"/>
        <v>1623.5371876645002</v>
      </c>
      <c r="AK71" s="958">
        <f t="shared" si="35"/>
        <v>2105.8530000000001</v>
      </c>
      <c r="AL71" s="74"/>
      <c r="AM71" s="52">
        <f t="shared" ref="AM71:AM78" si="41">AH71-AG71</f>
        <v>1623.5371876645002</v>
      </c>
    </row>
    <row r="72" spans="1:39" ht="33" hidden="1" customHeight="1" outlineLevel="3">
      <c r="A72" s="139" t="s">
        <v>457</v>
      </c>
      <c r="B72" s="406" t="s">
        <v>458</v>
      </c>
      <c r="C72" s="198" t="s">
        <v>459</v>
      </c>
      <c r="D72" s="956" t="s">
        <v>441</v>
      </c>
      <c r="E72" s="148" t="s">
        <v>460</v>
      </c>
      <c r="F72" s="149" t="s">
        <v>461</v>
      </c>
      <c r="G72" s="406" t="s">
        <v>121</v>
      </c>
      <c r="H72" s="406">
        <v>166.70550178844826</v>
      </c>
      <c r="I72" s="406">
        <v>374.87126000000001</v>
      </c>
      <c r="J72" s="406">
        <v>374.87</v>
      </c>
      <c r="K72" s="406">
        <v>182.92150139953389</v>
      </c>
      <c r="L72" s="406">
        <v>783.02</v>
      </c>
      <c r="M72" s="406">
        <v>783.02</v>
      </c>
      <c r="N72" s="406">
        <v>618.83819145849088</v>
      </c>
      <c r="O72" s="406">
        <v>491.43229000000002</v>
      </c>
      <c r="P72" s="406">
        <v>459.30734000000001</v>
      </c>
      <c r="Q72" s="150">
        <v>459.30734000000001</v>
      </c>
      <c r="R72" s="406">
        <v>459.30734000000001</v>
      </c>
      <c r="S72" s="406">
        <v>459.30734000000001</v>
      </c>
      <c r="T72" s="406">
        <f t="shared" si="3"/>
        <v>-159.53085145849087</v>
      </c>
      <c r="U72" s="406">
        <f t="shared" si="4"/>
        <v>0</v>
      </c>
      <c r="V72" s="406">
        <v>652.8742919887078</v>
      </c>
      <c r="W72" s="167">
        <v>720521.56</v>
      </c>
      <c r="X72" s="167">
        <v>720.52156000000002</v>
      </c>
      <c r="Y72" s="406">
        <v>720.52155999999991</v>
      </c>
      <c r="Z72" s="406">
        <v>654.70582999999999</v>
      </c>
      <c r="AA72" s="406">
        <v>58.595210000000002</v>
      </c>
      <c r="AB72" s="406">
        <v>7.2205200000000005</v>
      </c>
      <c r="AC72" s="406">
        <v>682.25363512819956</v>
      </c>
      <c r="AD72" s="167">
        <f>'[71]2. подк.неподк.'!X60</f>
        <v>682.25363512819956</v>
      </c>
      <c r="AE72" s="406">
        <f t="shared" si="40"/>
        <v>676.93385826144345</v>
      </c>
      <c r="AF72" s="402">
        <f t="shared" si="8"/>
        <v>676.93385826144345</v>
      </c>
      <c r="AG72" s="167">
        <v>709.54378053332755</v>
      </c>
      <c r="AH72" s="406">
        <v>1436.64</v>
      </c>
      <c r="AI72" s="957">
        <f t="shared" si="6"/>
        <v>1.9938889823088708</v>
      </c>
      <c r="AJ72" s="957">
        <f t="shared" si="9"/>
        <v>727.09621946667255</v>
      </c>
      <c r="AK72" s="958">
        <f t="shared" si="35"/>
        <v>1436.64</v>
      </c>
      <c r="AL72" s="74"/>
      <c r="AM72" s="52">
        <f t="shared" si="41"/>
        <v>727.09621946667255</v>
      </c>
    </row>
    <row r="73" spans="1:39" ht="33" hidden="1" customHeight="1" outlineLevel="3">
      <c r="A73" s="139" t="s">
        <v>462</v>
      </c>
      <c r="B73" s="406" t="s">
        <v>463</v>
      </c>
      <c r="C73" s="198" t="s">
        <v>464</v>
      </c>
      <c r="D73" s="956" t="s">
        <v>446</v>
      </c>
      <c r="E73" s="148" t="s">
        <v>465</v>
      </c>
      <c r="F73" s="149" t="s">
        <v>466</v>
      </c>
      <c r="G73" s="406" t="s">
        <v>121</v>
      </c>
      <c r="H73" s="406">
        <v>346.39930371623745</v>
      </c>
      <c r="I73" s="406">
        <v>133.18384</v>
      </c>
      <c r="J73" s="406">
        <v>133.18</v>
      </c>
      <c r="K73" s="406">
        <v>380.09471816915197</v>
      </c>
      <c r="L73" s="406">
        <v>502.16780999999997</v>
      </c>
      <c r="M73" s="406">
        <v>502.17</v>
      </c>
      <c r="N73" s="406">
        <v>314.96235797288369</v>
      </c>
      <c r="O73" s="406">
        <v>723.36785999999995</v>
      </c>
      <c r="P73" s="406">
        <v>651.99960999999996</v>
      </c>
      <c r="Q73" s="150">
        <v>651.99960999999996</v>
      </c>
      <c r="R73" s="406">
        <v>651.99960999999996</v>
      </c>
      <c r="S73" s="406">
        <v>651.99960999999996</v>
      </c>
      <c r="T73" s="406">
        <f t="shared" si="3"/>
        <v>337.03725202711627</v>
      </c>
      <c r="U73" s="406">
        <f t="shared" si="4"/>
        <v>0</v>
      </c>
      <c r="V73" s="406">
        <v>332.28528766139226</v>
      </c>
      <c r="W73" s="167">
        <v>641733.46</v>
      </c>
      <c r="X73" s="167">
        <v>641.73345999999992</v>
      </c>
      <c r="Y73" s="406">
        <v>641.73345999999992</v>
      </c>
      <c r="Z73" s="406">
        <v>585.56912999999997</v>
      </c>
      <c r="AA73" s="406">
        <v>48.662970000000001</v>
      </c>
      <c r="AB73" s="406">
        <v>7.50136</v>
      </c>
      <c r="AC73" s="406">
        <v>347.23812560615488</v>
      </c>
      <c r="AD73" s="167">
        <f>'[71]2. подк.неподк.'!X61</f>
        <v>1158.55</v>
      </c>
      <c r="AE73" s="406">
        <f t="shared" si="40"/>
        <v>344.53058510692648</v>
      </c>
      <c r="AF73" s="402">
        <f t="shared" si="8"/>
        <v>344.53058510692648</v>
      </c>
      <c r="AG73" s="167">
        <v>361.12765063040109</v>
      </c>
      <c r="AH73" s="406">
        <v>1042.24</v>
      </c>
      <c r="AI73" s="957">
        <f t="shared" si="6"/>
        <v>1.6241010714946984</v>
      </c>
      <c r="AJ73" s="957">
        <f t="shared" si="9"/>
        <v>681.11234936959886</v>
      </c>
      <c r="AK73" s="958">
        <f t="shared" si="35"/>
        <v>1042.24</v>
      </c>
      <c r="AL73" s="74"/>
      <c r="AM73" s="52">
        <f t="shared" si="41"/>
        <v>681.11234936959886</v>
      </c>
    </row>
    <row r="74" spans="1:39" ht="33" hidden="1" customHeight="1" outlineLevel="3">
      <c r="A74" s="139" t="s">
        <v>467</v>
      </c>
      <c r="B74" s="406" t="s">
        <v>468</v>
      </c>
      <c r="C74" s="198" t="s">
        <v>469</v>
      </c>
      <c r="D74" s="956" t="s">
        <v>508</v>
      </c>
      <c r="E74" s="148" t="s">
        <v>470</v>
      </c>
      <c r="F74" s="149" t="s">
        <v>471</v>
      </c>
      <c r="G74" s="406" t="s">
        <v>121</v>
      </c>
      <c r="H74" s="406">
        <v>3844.5368412449207</v>
      </c>
      <c r="I74" s="406">
        <v>3450.0393399999998</v>
      </c>
      <c r="J74" s="406">
        <v>3450.04</v>
      </c>
      <c r="K74" s="406">
        <v>4218.5077495449132</v>
      </c>
      <c r="L74" s="406">
        <v>4554.4943500000008</v>
      </c>
      <c r="M74" s="406">
        <v>4554.49</v>
      </c>
      <c r="N74" s="406">
        <v>3682.5754984586474</v>
      </c>
      <c r="O74" s="406">
        <v>4226.3413700000001</v>
      </c>
      <c r="P74" s="406">
        <v>4003.7498000000005</v>
      </c>
      <c r="Q74" s="150">
        <v>4003.7498000000005</v>
      </c>
      <c r="R74" s="406">
        <v>4003.7498000000005</v>
      </c>
      <c r="S74" s="406">
        <v>4003.7498000000005</v>
      </c>
      <c r="T74" s="406">
        <f t="shared" si="3"/>
        <v>321.17430154135309</v>
      </c>
      <c r="U74" s="406">
        <f t="shared" si="4"/>
        <v>0</v>
      </c>
      <c r="V74" s="406">
        <v>3885.117150873873</v>
      </c>
      <c r="W74" s="167">
        <v>4708827.79</v>
      </c>
      <c r="X74" s="167">
        <v>4708.8277900000003</v>
      </c>
      <c r="Y74" s="406">
        <v>4708.8277900000003</v>
      </c>
      <c r="Z74" s="406">
        <v>4358.6329999999998</v>
      </c>
      <c r="AA74" s="406">
        <v>301.23725000000002</v>
      </c>
      <c r="AB74" s="406">
        <v>48.957540000000002</v>
      </c>
      <c r="AC74" s="406">
        <v>4059.9474226631969</v>
      </c>
      <c r="AD74" s="167">
        <f>'[71]2. подк.неподк.'!X62</f>
        <v>5042.1680000000006</v>
      </c>
      <c r="AE74" s="406">
        <f t="shared" si="40"/>
        <v>4028.2905530368862</v>
      </c>
      <c r="AF74" s="402">
        <f t="shared" si="8"/>
        <v>4028.2905530368862</v>
      </c>
      <c r="AG74" s="167">
        <v>4222.3453195697248</v>
      </c>
      <c r="AH74" s="406">
        <v>6448.4543252384019</v>
      </c>
      <c r="AI74" s="957">
        <f t="shared" si="6"/>
        <v>1.3694394046290661</v>
      </c>
      <c r="AJ74" s="957">
        <f t="shared" si="9"/>
        <v>2226.1090056686771</v>
      </c>
      <c r="AK74" s="958">
        <f t="shared" si="35"/>
        <v>6448.4543252384019</v>
      </c>
      <c r="AL74" s="74"/>
      <c r="AM74" s="52">
        <f t="shared" si="41"/>
        <v>2226.1090056686771</v>
      </c>
    </row>
    <row r="75" spans="1:39" ht="33" hidden="1" customHeight="1" outlineLevel="3">
      <c r="A75" s="139" t="s">
        <v>472</v>
      </c>
      <c r="B75" s="406" t="s">
        <v>473</v>
      </c>
      <c r="C75" s="198" t="s">
        <v>474</v>
      </c>
      <c r="D75" s="956" t="s">
        <v>452</v>
      </c>
      <c r="E75" s="148" t="s">
        <v>475</v>
      </c>
      <c r="F75" s="149" t="s">
        <v>476</v>
      </c>
      <c r="G75" s="406" t="s">
        <v>121</v>
      </c>
      <c r="H75" s="406">
        <v>2088.7164224081462</v>
      </c>
      <c r="I75" s="406">
        <v>3753.8494900000001</v>
      </c>
      <c r="J75" s="406">
        <v>3753.85</v>
      </c>
      <c r="K75" s="406">
        <v>2291.8928282859861</v>
      </c>
      <c r="L75" s="406">
        <v>5219.4122700000007</v>
      </c>
      <c r="M75" s="406">
        <v>5219.41</v>
      </c>
      <c r="N75" s="406">
        <v>4218.9866027946018</v>
      </c>
      <c r="O75" s="406">
        <v>4148.9754400000002</v>
      </c>
      <c r="P75" s="406">
        <v>3880.2299600000001</v>
      </c>
      <c r="Q75" s="150">
        <v>3880.2299600000001</v>
      </c>
      <c r="R75" s="406">
        <v>3880.2299600000001</v>
      </c>
      <c r="S75" s="406">
        <v>3880.2299600000001</v>
      </c>
      <c r="T75" s="406">
        <f t="shared" si="3"/>
        <v>-338.7566427946017</v>
      </c>
      <c r="U75" s="406">
        <f t="shared" si="4"/>
        <v>0</v>
      </c>
      <c r="V75" s="406">
        <v>4451.0308659483044</v>
      </c>
      <c r="W75" s="167">
        <v>4087203.8299999996</v>
      </c>
      <c r="X75" s="167">
        <v>4087.2038299999995</v>
      </c>
      <c r="Y75" s="406">
        <v>4087.2038299999995</v>
      </c>
      <c r="Z75" s="406">
        <v>3808.8894599999999</v>
      </c>
      <c r="AA75" s="406">
        <v>235.27377999999999</v>
      </c>
      <c r="AB75" s="406">
        <v>43.040590000000002</v>
      </c>
      <c r="AC75" s="406">
        <v>4651.3272549159774</v>
      </c>
      <c r="AD75" s="167">
        <f>'[71]2. подк.неподк.'!X63</f>
        <v>5439.2998439999992</v>
      </c>
      <c r="AE75" s="406">
        <f t="shared" si="40"/>
        <v>4615.0591841335263</v>
      </c>
      <c r="AF75" s="402">
        <f t="shared" si="8"/>
        <v>4615.0591841335263</v>
      </c>
      <c r="AG75" s="167">
        <v>4837.3803451126169</v>
      </c>
      <c r="AH75" s="406">
        <v>6304.8357999999998</v>
      </c>
      <c r="AI75" s="957">
        <f t="shared" si="6"/>
        <v>1.5425792454299987</v>
      </c>
      <c r="AJ75" s="957">
        <f t="shared" si="9"/>
        <v>1467.455454887383</v>
      </c>
      <c r="AK75" s="958">
        <f t="shared" si="35"/>
        <v>6304.8357999999998</v>
      </c>
      <c r="AL75" s="74"/>
      <c r="AM75" s="52">
        <f t="shared" si="41"/>
        <v>1467.455454887383</v>
      </c>
    </row>
    <row r="76" spans="1:39" ht="33" hidden="1" customHeight="1" outlineLevel="3">
      <c r="A76" s="139" t="s">
        <v>477</v>
      </c>
      <c r="B76" s="406" t="s">
        <v>478</v>
      </c>
      <c r="C76" s="198" t="s">
        <v>479</v>
      </c>
      <c r="D76" s="956" t="s">
        <v>457</v>
      </c>
      <c r="E76" s="148" t="s">
        <v>480</v>
      </c>
      <c r="F76" s="149" t="s">
        <v>481</v>
      </c>
      <c r="G76" s="406" t="s">
        <v>121</v>
      </c>
      <c r="H76" s="406">
        <v>120.14950128898666</v>
      </c>
      <c r="I76" s="406">
        <v>301.75083999999998</v>
      </c>
      <c r="J76" s="406">
        <v>301.75</v>
      </c>
      <c r="K76" s="406">
        <v>131.8368436098587</v>
      </c>
      <c r="L76" s="406">
        <v>396.08582000000001</v>
      </c>
      <c r="M76" s="406">
        <v>131.84</v>
      </c>
      <c r="N76" s="406">
        <v>429.89</v>
      </c>
      <c r="O76" s="406">
        <v>94.819499999999991</v>
      </c>
      <c r="P76" s="406">
        <v>88.546869999999998</v>
      </c>
      <c r="Q76" s="150">
        <v>88.546869999999998</v>
      </c>
      <c r="R76" s="406">
        <v>88.546869999999998</v>
      </c>
      <c r="S76" s="406">
        <v>88.546869999999998</v>
      </c>
      <c r="T76" s="406">
        <f t="shared" si="3"/>
        <v>-341.34312999999997</v>
      </c>
      <c r="U76" s="406">
        <f t="shared" si="4"/>
        <v>0</v>
      </c>
      <c r="V76" s="406">
        <v>62.34</v>
      </c>
      <c r="W76" s="167">
        <v>106626.89</v>
      </c>
      <c r="X76" s="167">
        <v>106.62689</v>
      </c>
      <c r="Y76" s="406">
        <v>106.62689000000002</v>
      </c>
      <c r="Z76" s="406">
        <v>99.438800000000001</v>
      </c>
      <c r="AA76" s="406">
        <v>6.0347100000000005</v>
      </c>
      <c r="AB76" s="406">
        <v>1.1533800000000001</v>
      </c>
      <c r="AC76" s="406">
        <v>65.145300000000006</v>
      </c>
      <c r="AD76" s="167">
        <f>'[71]2. подк.неподк.'!X64</f>
        <v>101.803</v>
      </c>
      <c r="AE76" s="406">
        <f t="shared" si="40"/>
        <v>64.637338675832382</v>
      </c>
      <c r="AF76" s="402">
        <f t="shared" si="8"/>
        <v>64.637338675832382</v>
      </c>
      <c r="AG76" s="167">
        <v>67.751112000000006</v>
      </c>
      <c r="AH76" s="406">
        <v>117.78</v>
      </c>
      <c r="AI76" s="957">
        <f t="shared" si="6"/>
        <v>1.1045994120244902</v>
      </c>
      <c r="AJ76" s="957">
        <f t="shared" si="9"/>
        <v>50.028887999999995</v>
      </c>
      <c r="AK76" s="958">
        <f t="shared" si="35"/>
        <v>117.78</v>
      </c>
      <c r="AL76" s="74"/>
      <c r="AM76" s="52">
        <f t="shared" si="41"/>
        <v>50.028887999999995</v>
      </c>
    </row>
    <row r="77" spans="1:39" ht="55.5" hidden="1" customHeight="1" outlineLevel="3">
      <c r="A77" s="139" t="s">
        <v>482</v>
      </c>
      <c r="B77" s="406" t="s">
        <v>483</v>
      </c>
      <c r="C77" s="198" t="s">
        <v>484</v>
      </c>
      <c r="D77" s="956" t="s">
        <v>462</v>
      </c>
      <c r="E77" s="164" t="s">
        <v>485</v>
      </c>
      <c r="F77" s="149" t="s">
        <v>486</v>
      </c>
      <c r="G77" s="406" t="s">
        <v>121</v>
      </c>
      <c r="H77" s="406">
        <v>6777.5957727113328</v>
      </c>
      <c r="I77" s="406">
        <v>2118.4034299999998</v>
      </c>
      <c r="J77" s="406">
        <v>2118.4</v>
      </c>
      <c r="K77" s="406">
        <v>7436.8750960407715</v>
      </c>
      <c r="L77" s="406">
        <v>1960.84422</v>
      </c>
      <c r="M77" s="406">
        <v>1960.84</v>
      </c>
      <c r="N77" s="406">
        <v>1778.6748491212984</v>
      </c>
      <c r="O77" s="406">
        <v>4979.6228500000007</v>
      </c>
      <c r="P77" s="406">
        <v>4979.6229499999999</v>
      </c>
      <c r="Q77" s="150">
        <v>4979.6229499999999</v>
      </c>
      <c r="R77" s="406">
        <v>4979.6229499999999</v>
      </c>
      <c r="S77" s="406">
        <v>4979.6229499999999</v>
      </c>
      <c r="T77" s="406">
        <f t="shared" si="3"/>
        <v>3200.9481008787016</v>
      </c>
      <c r="U77" s="406">
        <f t="shared" si="4"/>
        <v>0</v>
      </c>
      <c r="V77" s="406">
        <v>2223.8376649999996</v>
      </c>
      <c r="W77" s="167">
        <v>6487305.54</v>
      </c>
      <c r="X77" s="167">
        <v>6487.3055400000003</v>
      </c>
      <c r="Y77" s="406">
        <v>6487.3055400000003</v>
      </c>
      <c r="Z77" s="406">
        <v>6487.3055400000003</v>
      </c>
      <c r="AA77" s="406">
        <v>0</v>
      </c>
      <c r="AB77" s="406">
        <v>0</v>
      </c>
      <c r="AC77" s="406">
        <v>2323.9103599249993</v>
      </c>
      <c r="AD77" s="167">
        <f>'[71]2. подк.неподк.'!X65</f>
        <v>10791.408170000001</v>
      </c>
      <c r="AE77" s="406">
        <f t="shared" si="40"/>
        <v>2305.7899953910369</v>
      </c>
      <c r="AF77" s="402">
        <f t="shared" si="8"/>
        <v>2305.7899953910369</v>
      </c>
      <c r="AG77" s="167">
        <v>2416.8667743219994</v>
      </c>
      <c r="AH77" s="406">
        <v>12282.006420000002</v>
      </c>
      <c r="AI77" s="957">
        <f t="shared" si="6"/>
        <v>1.8932369293030094</v>
      </c>
      <c r="AJ77" s="957">
        <f t="shared" si="9"/>
        <v>9865.1396456780021</v>
      </c>
      <c r="AK77" s="958">
        <f t="shared" si="35"/>
        <v>12282.006420000002</v>
      </c>
      <c r="AL77" s="74"/>
      <c r="AM77" s="52">
        <f t="shared" si="41"/>
        <v>9865.1396456780021</v>
      </c>
    </row>
    <row r="78" spans="1:39" ht="33" hidden="1" customHeight="1" outlineLevel="3">
      <c r="A78" s="139" t="s">
        <v>487</v>
      </c>
      <c r="B78" s="406" t="s">
        <v>488</v>
      </c>
      <c r="C78" s="198" t="s">
        <v>489</v>
      </c>
      <c r="D78" s="956" t="s">
        <v>467</v>
      </c>
      <c r="E78" s="148" t="s">
        <v>490</v>
      </c>
      <c r="F78" s="149" t="s">
        <v>491</v>
      </c>
      <c r="G78" s="406" t="s">
        <v>121</v>
      </c>
      <c r="H78" s="406">
        <v>19.477300208956173</v>
      </c>
      <c r="I78" s="406">
        <v>99.324190000000002</v>
      </c>
      <c r="J78" s="406">
        <v>99.32</v>
      </c>
      <c r="K78" s="406">
        <v>21.371922097406156</v>
      </c>
      <c r="L78" s="406">
        <v>116.21565</v>
      </c>
      <c r="M78" s="406">
        <v>116.22</v>
      </c>
      <c r="N78" s="406">
        <v>105.69677572446184</v>
      </c>
      <c r="O78" s="406">
        <v>226.14131000000003</v>
      </c>
      <c r="P78" s="406">
        <v>212.09079</v>
      </c>
      <c r="Q78" s="150">
        <v>212.09079</v>
      </c>
      <c r="R78" s="406">
        <v>212.09079</v>
      </c>
      <c r="S78" s="406">
        <v>212.09079</v>
      </c>
      <c r="T78" s="406">
        <f t="shared" si="3"/>
        <v>106.39401427553815</v>
      </c>
      <c r="U78" s="406">
        <f t="shared" si="4"/>
        <v>0</v>
      </c>
      <c r="V78" s="406">
        <v>111.51009838930725</v>
      </c>
      <c r="W78" s="167">
        <v>135989.1</v>
      </c>
      <c r="X78" s="167">
        <v>135.98910000000001</v>
      </c>
      <c r="Y78" s="406">
        <v>135.98910000000001</v>
      </c>
      <c r="Z78" s="406">
        <v>122.40161999999999</v>
      </c>
      <c r="AA78" s="406">
        <v>12.12256</v>
      </c>
      <c r="AB78" s="406">
        <v>1.46492</v>
      </c>
      <c r="AC78" s="406">
        <v>116.52805281682606</v>
      </c>
      <c r="AD78" s="167">
        <f>'[71]2. подк.неподк.'!X66</f>
        <v>176.96</v>
      </c>
      <c r="AE78" s="406">
        <f t="shared" si="40"/>
        <v>115.61944169658395</v>
      </c>
      <c r="AF78" s="402">
        <f t="shared" si="8"/>
        <v>115.61944169658395</v>
      </c>
      <c r="AG78" s="167">
        <v>121.1891749294991</v>
      </c>
      <c r="AH78" s="406">
        <f>159.87</f>
        <v>159.87</v>
      </c>
      <c r="AI78" s="957">
        <f t="shared" si="6"/>
        <v>1.1756089274802171</v>
      </c>
      <c r="AJ78" s="957">
        <f t="shared" si="9"/>
        <v>38.680825070500902</v>
      </c>
      <c r="AK78" s="958">
        <f t="shared" si="35"/>
        <v>159.87</v>
      </c>
      <c r="AL78" s="74"/>
      <c r="AM78" s="52">
        <f t="shared" si="41"/>
        <v>38.680825070500902</v>
      </c>
    </row>
    <row r="79" spans="1:39" s="161" customFormat="1" ht="33" hidden="1" customHeight="1" outlineLevel="2">
      <c r="A79" s="153"/>
      <c r="B79" s="154"/>
      <c r="C79" s="155"/>
      <c r="D79" s="966"/>
      <c r="E79" s="156" t="s">
        <v>492</v>
      </c>
      <c r="F79" s="157"/>
      <c r="G79" s="158"/>
      <c r="H79" s="154">
        <f t="shared" ref="H79:J79" si="42">H71+H72+H73+H74+H78+H75+H76+H77</f>
        <v>14964.643560543534</v>
      </c>
      <c r="I79" s="154">
        <f t="shared" si="42"/>
        <v>10237.319699999998</v>
      </c>
      <c r="J79" s="154">
        <f t="shared" si="42"/>
        <v>10237.31</v>
      </c>
      <c r="K79" s="154">
        <f>K71+K72+K73+K74+K78+K75+K76+K77</f>
        <v>16420.30430091764</v>
      </c>
      <c r="L79" s="154">
        <f t="shared" ref="L79:AK79" si="43">L71+L72+L73+L74+L78+L75+L76+L77</f>
        <v>13923.554120000001</v>
      </c>
      <c r="M79" s="154">
        <f t="shared" si="43"/>
        <v>13659.3</v>
      </c>
      <c r="N79" s="154">
        <f t="shared" si="43"/>
        <v>11574.488275740996</v>
      </c>
      <c r="O79" s="154">
        <f t="shared" si="43"/>
        <v>15340.316650000001</v>
      </c>
      <c r="P79" s="154">
        <f t="shared" si="43"/>
        <v>14674.227480000001</v>
      </c>
      <c r="Q79" s="159">
        <f t="shared" si="43"/>
        <v>14674.227480000001</v>
      </c>
      <c r="R79" s="154">
        <f t="shared" si="43"/>
        <v>14674.227480000001</v>
      </c>
      <c r="S79" s="154">
        <f t="shared" si="43"/>
        <v>14674.227480000001</v>
      </c>
      <c r="T79" s="402">
        <f t="shared" si="3"/>
        <v>3099.7392042590054</v>
      </c>
      <c r="U79" s="402">
        <f t="shared" si="4"/>
        <v>0</v>
      </c>
      <c r="V79" s="154">
        <f t="shared" si="43"/>
        <v>12162.789813611584</v>
      </c>
      <c r="W79" s="154">
        <f t="shared" si="43"/>
        <v>17435091.489999998</v>
      </c>
      <c r="X79" s="154">
        <f t="shared" si="43"/>
        <v>17435.091489999999</v>
      </c>
      <c r="Y79" s="154">
        <f t="shared" si="43"/>
        <v>17435.091489999999</v>
      </c>
      <c r="Z79" s="154">
        <f t="shared" si="43"/>
        <v>16597.860270000001</v>
      </c>
      <c r="AA79" s="154">
        <f t="shared" si="43"/>
        <v>722.86610000000007</v>
      </c>
      <c r="AB79" s="154">
        <f t="shared" si="43"/>
        <v>114.36512000000002</v>
      </c>
      <c r="AC79" s="154">
        <f t="shared" si="43"/>
        <v>12710.115355224103</v>
      </c>
      <c r="AD79" s="154">
        <f t="shared" si="43"/>
        <v>26835.627386159624</v>
      </c>
      <c r="AE79" s="154">
        <f t="shared" si="43"/>
        <v>12611.010016448126</v>
      </c>
      <c r="AF79" s="154">
        <f t="shared" si="43"/>
        <v>12611.010016448126</v>
      </c>
      <c r="AG79" s="961">
        <f t="shared" si="43"/>
        <v>13218.519969433068</v>
      </c>
      <c r="AH79" s="154">
        <f t="shared" si="43"/>
        <v>29897.679545238403</v>
      </c>
      <c r="AI79" s="962">
        <f t="shared" si="6"/>
        <v>1.7147991200611936</v>
      </c>
      <c r="AJ79" s="963">
        <f t="shared" si="43"/>
        <v>16679.159575805334</v>
      </c>
      <c r="AK79" s="963">
        <f t="shared" si="43"/>
        <v>29897.679545238403</v>
      </c>
      <c r="AL79" s="964"/>
      <c r="AM79" s="52"/>
    </row>
    <row r="80" spans="1:39" ht="33" hidden="1" customHeight="1" outlineLevel="3">
      <c r="A80" s="407" t="s">
        <v>493</v>
      </c>
      <c r="B80" s="406" t="s">
        <v>494</v>
      </c>
      <c r="C80" s="198" t="s">
        <v>495</v>
      </c>
      <c r="D80" s="956" t="s">
        <v>472</v>
      </c>
      <c r="E80" s="164" t="s">
        <v>496</v>
      </c>
      <c r="F80" s="149" t="s">
        <v>497</v>
      </c>
      <c r="G80" s="406" t="s">
        <v>121</v>
      </c>
      <c r="H80" s="406">
        <v>334.99260033614212</v>
      </c>
      <c r="I80" s="406">
        <v>28481.502539999998</v>
      </c>
      <c r="J80" s="406">
        <v>27334</v>
      </c>
      <c r="K80" s="406">
        <v>367.58</v>
      </c>
      <c r="L80" s="406">
        <v>826.79</v>
      </c>
      <c r="M80" s="406">
        <v>367.58</v>
      </c>
      <c r="N80" s="406">
        <v>766.51482253211725</v>
      </c>
      <c r="O80" s="406">
        <v>965.08214999999996</v>
      </c>
      <c r="P80" s="406">
        <v>911.82749999999987</v>
      </c>
      <c r="Q80" s="150">
        <v>766.51482253211725</v>
      </c>
      <c r="R80" s="406">
        <v>766.51482253211725</v>
      </c>
      <c r="S80" s="406">
        <v>766.51482253211725</v>
      </c>
      <c r="T80" s="406">
        <f t="shared" si="3"/>
        <v>0</v>
      </c>
      <c r="U80" s="406">
        <f t="shared" si="4"/>
        <v>-145.31267746788262</v>
      </c>
      <c r="V80" s="406">
        <v>808.67313777138361</v>
      </c>
      <c r="W80" s="167">
        <v>1125635.95</v>
      </c>
      <c r="X80" s="167">
        <v>1125.6359499999999</v>
      </c>
      <c r="Y80" s="406">
        <v>1125.6359499999999</v>
      </c>
      <c r="Z80" s="406">
        <v>1040.54205</v>
      </c>
      <c r="AA80" s="406">
        <v>74.28922</v>
      </c>
      <c r="AB80" s="406">
        <v>10.804680000000001</v>
      </c>
      <c r="AC80" s="406">
        <v>845.06</v>
      </c>
      <c r="AD80" s="167">
        <f>'[71]2. подк.неподк.'!X68</f>
        <v>1127.56</v>
      </c>
      <c r="AE80" s="406">
        <f t="shared" ref="AE80:AE86" si="44">V80*$AD$11</f>
        <v>838.47416561079524</v>
      </c>
      <c r="AF80" s="402">
        <f t="shared" si="8"/>
        <v>838.47416561079524</v>
      </c>
      <c r="AG80" s="167">
        <v>878.86596612993969</v>
      </c>
      <c r="AH80" s="406">
        <v>1066.5618643455</v>
      </c>
      <c r="AI80" s="957">
        <f t="shared" si="6"/>
        <v>0.94751936835839345</v>
      </c>
      <c r="AJ80" s="957">
        <f t="shared" si="9"/>
        <v>187.69589821556031</v>
      </c>
      <c r="AK80" s="958">
        <f t="shared" si="35"/>
        <v>1066.5618643455</v>
      </c>
      <c r="AL80" s="74"/>
      <c r="AM80" s="52">
        <f t="shared" ref="AM80:AM86" si="45">AH80-AG80</f>
        <v>187.69589821556031</v>
      </c>
    </row>
    <row r="81" spans="1:40" ht="33" hidden="1" customHeight="1" outlineLevel="3">
      <c r="A81" s="139" t="s">
        <v>498</v>
      </c>
      <c r="B81" s="406" t="s">
        <v>499</v>
      </c>
      <c r="C81" s="198" t="s">
        <v>500</v>
      </c>
      <c r="D81" s="956" t="s">
        <v>477</v>
      </c>
      <c r="E81" s="148" t="s">
        <v>501</v>
      </c>
      <c r="F81" s="149" t="s">
        <v>502</v>
      </c>
      <c r="G81" s="406" t="s">
        <v>121</v>
      </c>
      <c r="H81" s="406">
        <v>0</v>
      </c>
      <c r="I81" s="406">
        <v>766.29128000000003</v>
      </c>
      <c r="J81" s="406">
        <v>0</v>
      </c>
      <c r="K81" s="406">
        <v>0</v>
      </c>
      <c r="L81" s="406">
        <v>949.31412999999998</v>
      </c>
      <c r="M81" s="406">
        <v>0</v>
      </c>
      <c r="N81" s="406">
        <v>0</v>
      </c>
      <c r="O81" s="406">
        <v>997.32306000000005</v>
      </c>
      <c r="P81" s="406">
        <v>949.78813000000002</v>
      </c>
      <c r="Q81" s="150">
        <v>0</v>
      </c>
      <c r="R81" s="406">
        <v>0</v>
      </c>
      <c r="S81" s="406">
        <v>0</v>
      </c>
      <c r="T81" s="406">
        <f t="shared" si="3"/>
        <v>0</v>
      </c>
      <c r="U81" s="406">
        <f t="shared" si="4"/>
        <v>-949.78813000000002</v>
      </c>
      <c r="V81" s="406">
        <v>0</v>
      </c>
      <c r="W81" s="167">
        <v>1027553.09</v>
      </c>
      <c r="X81" s="167">
        <v>1027.5530899999999</v>
      </c>
      <c r="Y81" s="406">
        <v>1027.5530900000001</v>
      </c>
      <c r="Z81" s="406">
        <v>971.92326000000003</v>
      </c>
      <c r="AA81" s="406">
        <v>47.15352</v>
      </c>
      <c r="AB81" s="406">
        <v>8.4763099999999998</v>
      </c>
      <c r="AC81" s="406">
        <v>0</v>
      </c>
      <c r="AD81" s="167">
        <f>'[71]2. подк.неподк.'!X69</f>
        <v>1129.92</v>
      </c>
      <c r="AE81" s="406">
        <f t="shared" si="44"/>
        <v>0</v>
      </c>
      <c r="AF81" s="402">
        <f t="shared" si="8"/>
        <v>0</v>
      </c>
      <c r="AG81" s="167">
        <v>0</v>
      </c>
      <c r="AH81" s="406">
        <v>1195.8515833190002</v>
      </c>
      <c r="AI81" s="957">
        <f t="shared" si="6"/>
        <v>1.1637856914225233</v>
      </c>
      <c r="AJ81" s="957">
        <f t="shared" si="9"/>
        <v>1195.8515833190002</v>
      </c>
      <c r="AK81" s="958">
        <f t="shared" si="35"/>
        <v>1195.8515833190002</v>
      </c>
      <c r="AL81" s="74"/>
      <c r="AM81" s="52">
        <f t="shared" si="45"/>
        <v>1195.8515833190002</v>
      </c>
    </row>
    <row r="82" spans="1:40" ht="33" hidden="1" customHeight="1" outlineLevel="3">
      <c r="A82" s="139" t="s">
        <v>503</v>
      </c>
      <c r="B82" s="406" t="s">
        <v>504</v>
      </c>
      <c r="C82" s="198" t="s">
        <v>505</v>
      </c>
      <c r="D82" s="956" t="s">
        <v>482</v>
      </c>
      <c r="E82" s="164" t="s">
        <v>506</v>
      </c>
      <c r="F82" s="149" t="s">
        <v>507</v>
      </c>
      <c r="G82" s="406" t="s">
        <v>121</v>
      </c>
      <c r="H82" s="406">
        <v>29.71</v>
      </c>
      <c r="I82" s="406">
        <v>0</v>
      </c>
      <c r="J82" s="406">
        <v>0</v>
      </c>
      <c r="K82" s="406">
        <v>32.594724129518433</v>
      </c>
      <c r="L82" s="406">
        <v>7.8636200000000001</v>
      </c>
      <c r="M82" s="406">
        <v>7.86</v>
      </c>
      <c r="N82" s="406">
        <v>0</v>
      </c>
      <c r="O82" s="406">
        <v>21.191680000000002</v>
      </c>
      <c r="P82" s="406">
        <v>1.51722</v>
      </c>
      <c r="Q82" s="150">
        <v>1.51722</v>
      </c>
      <c r="R82" s="406">
        <v>1.51722</v>
      </c>
      <c r="S82" s="406">
        <v>1.51722</v>
      </c>
      <c r="T82" s="406">
        <f t="shared" si="3"/>
        <v>1.51722</v>
      </c>
      <c r="U82" s="406">
        <f t="shared" si="4"/>
        <v>0</v>
      </c>
      <c r="V82" s="406">
        <v>8.9142224999999993</v>
      </c>
      <c r="W82" s="167">
        <v>12212.93</v>
      </c>
      <c r="X82" s="167">
        <v>12.21293</v>
      </c>
      <c r="Y82" s="406">
        <v>12.21293</v>
      </c>
      <c r="Z82" s="406">
        <v>9.9569999999999992E-2</v>
      </c>
      <c r="AA82" s="406">
        <v>3.3562099999999999</v>
      </c>
      <c r="AB82" s="406">
        <v>8.7571499999999993</v>
      </c>
      <c r="AC82" s="406">
        <v>9.3153625124999984</v>
      </c>
      <c r="AD82" s="167">
        <f>'[71]2. подк.неподк.'!X70</f>
        <v>23.656956319999999</v>
      </c>
      <c r="AE82" s="406">
        <f t="shared" si="44"/>
        <v>9.2427272820697013</v>
      </c>
      <c r="AF82" s="402">
        <f t="shared" si="8"/>
        <v>9.2427272820697013</v>
      </c>
      <c r="AG82" s="167">
        <v>9.6879770129999994</v>
      </c>
      <c r="AH82" s="406">
        <v>4.8519034784999997</v>
      </c>
      <c r="AI82" s="957">
        <f t="shared" si="6"/>
        <v>0.39727595904504487</v>
      </c>
      <c r="AJ82" s="957">
        <f t="shared" si="9"/>
        <v>-4.8360735344999997</v>
      </c>
      <c r="AK82" s="965"/>
      <c r="AL82" s="74"/>
      <c r="AM82" s="52">
        <f t="shared" si="45"/>
        <v>-4.8360735344999997</v>
      </c>
    </row>
    <row r="83" spans="1:40" ht="51" hidden="1" customHeight="1" outlineLevel="3">
      <c r="A83" s="139" t="s">
        <v>508</v>
      </c>
      <c r="B83" s="406" t="s">
        <v>509</v>
      </c>
      <c r="C83" s="198" t="s">
        <v>510</v>
      </c>
      <c r="D83" s="969" t="s">
        <v>487</v>
      </c>
      <c r="E83" s="148" t="s">
        <v>511</v>
      </c>
      <c r="F83" s="149" t="s">
        <v>512</v>
      </c>
      <c r="G83" s="406" t="s">
        <v>121</v>
      </c>
      <c r="H83" s="406">
        <v>0</v>
      </c>
      <c r="I83" s="406">
        <v>0</v>
      </c>
      <c r="J83" s="406">
        <v>0</v>
      </c>
      <c r="K83" s="406">
        <v>0</v>
      </c>
      <c r="L83" s="406">
        <v>0</v>
      </c>
      <c r="M83" s="406">
        <v>0</v>
      </c>
      <c r="N83" s="406">
        <v>0</v>
      </c>
      <c r="O83" s="406">
        <v>7.45831</v>
      </c>
      <c r="P83" s="406">
        <v>7.45831</v>
      </c>
      <c r="Q83" s="150">
        <v>7.45831</v>
      </c>
      <c r="R83" s="406">
        <v>7.45831</v>
      </c>
      <c r="S83" s="406">
        <v>7.45831</v>
      </c>
      <c r="T83" s="406">
        <f t="shared" si="3"/>
        <v>7.45831</v>
      </c>
      <c r="U83" s="406">
        <f t="shared" si="4"/>
        <v>0</v>
      </c>
      <c r="V83" s="406">
        <v>0</v>
      </c>
      <c r="W83" s="167">
        <v>4101233.23</v>
      </c>
      <c r="X83" s="167">
        <v>4101.2332299999998</v>
      </c>
      <c r="Y83" s="406">
        <v>4101.2332299999998</v>
      </c>
      <c r="Z83" s="406">
        <v>4101.2332299999998</v>
      </c>
      <c r="AA83" s="406">
        <v>0</v>
      </c>
      <c r="AB83" s="406">
        <v>0</v>
      </c>
      <c r="AC83" s="406">
        <v>0</v>
      </c>
      <c r="AD83" s="167">
        <f>'[71]2. подк.неподк.'!X71</f>
        <v>19407.099999999999</v>
      </c>
      <c r="AE83" s="406">
        <f t="shared" si="44"/>
        <v>0</v>
      </c>
      <c r="AF83" s="402">
        <f t="shared" si="8"/>
        <v>0</v>
      </c>
      <c r="AG83" s="167">
        <v>0</v>
      </c>
      <c r="AH83" s="406">
        <v>13552.5</v>
      </c>
      <c r="AI83" s="957">
        <f t="shared" si="6"/>
        <v>3.3044938534256438</v>
      </c>
      <c r="AJ83" s="957">
        <f t="shared" si="9"/>
        <v>13552.5</v>
      </c>
      <c r="AK83" s="958">
        <f t="shared" si="35"/>
        <v>13552.5</v>
      </c>
      <c r="AL83" s="357" t="s">
        <v>2141</v>
      </c>
      <c r="AM83" s="52">
        <f t="shared" si="45"/>
        <v>13552.5</v>
      </c>
    </row>
    <row r="84" spans="1:40" ht="33" hidden="1" customHeight="1" outlineLevel="3">
      <c r="A84" s="139"/>
      <c r="B84" s="406" t="s">
        <v>513</v>
      </c>
      <c r="C84" s="198" t="s">
        <v>1918</v>
      </c>
      <c r="D84" s="956" t="s">
        <v>2142</v>
      </c>
      <c r="E84" s="148" t="s">
        <v>514</v>
      </c>
      <c r="F84" s="149"/>
      <c r="G84" s="406" t="s">
        <v>121</v>
      </c>
      <c r="H84" s="406">
        <v>0</v>
      </c>
      <c r="I84" s="406">
        <v>0</v>
      </c>
      <c r="J84" s="406">
        <v>0</v>
      </c>
      <c r="K84" s="406"/>
      <c r="L84" s="406"/>
      <c r="M84" s="406"/>
      <c r="N84" s="406"/>
      <c r="O84" s="406">
        <v>501.14762000000002</v>
      </c>
      <c r="P84" s="406"/>
      <c r="Q84" s="150">
        <v>0</v>
      </c>
      <c r="R84" s="406"/>
      <c r="S84" s="406"/>
      <c r="T84" s="406">
        <f t="shared" si="3"/>
        <v>0</v>
      </c>
      <c r="U84" s="406">
        <f t="shared" si="4"/>
        <v>0</v>
      </c>
      <c r="V84" s="406">
        <v>0</v>
      </c>
      <c r="W84" s="167">
        <v>368850.59</v>
      </c>
      <c r="X84" s="167">
        <v>368.85059000000001</v>
      </c>
      <c r="Y84" s="406">
        <v>368.85058999999995</v>
      </c>
      <c r="Z84" s="406">
        <v>40.294539999999998</v>
      </c>
      <c r="AA84" s="406">
        <v>0</v>
      </c>
      <c r="AB84" s="406">
        <v>328.55604999999997</v>
      </c>
      <c r="AC84" s="406">
        <v>0</v>
      </c>
      <c r="AD84" s="167">
        <v>0</v>
      </c>
      <c r="AE84" s="406">
        <f t="shared" si="44"/>
        <v>0</v>
      </c>
      <c r="AF84" s="402">
        <f t="shared" si="8"/>
        <v>0</v>
      </c>
      <c r="AG84" s="167">
        <v>0</v>
      </c>
      <c r="AH84" s="406">
        <v>407.21</v>
      </c>
      <c r="AI84" s="957">
        <f t="shared" si="6"/>
        <v>1.1039971496317791</v>
      </c>
      <c r="AJ84" s="957">
        <f t="shared" si="9"/>
        <v>407.21</v>
      </c>
      <c r="AK84" s="958">
        <f t="shared" si="35"/>
        <v>407.21</v>
      </c>
      <c r="AL84" s="74"/>
      <c r="AM84" s="52">
        <f t="shared" si="45"/>
        <v>407.21</v>
      </c>
    </row>
    <row r="85" spans="1:40" ht="33" hidden="1" customHeight="1" outlineLevel="3">
      <c r="A85" s="139"/>
      <c r="B85" s="406" t="s">
        <v>515</v>
      </c>
      <c r="C85" s="198" t="s">
        <v>1919</v>
      </c>
      <c r="D85" s="956" t="s">
        <v>2143</v>
      </c>
      <c r="E85" s="148" t="s">
        <v>516</v>
      </c>
      <c r="F85" s="149"/>
      <c r="G85" s="406" t="s">
        <v>121</v>
      </c>
      <c r="H85" s="406">
        <v>0</v>
      </c>
      <c r="I85" s="406">
        <v>0</v>
      </c>
      <c r="J85" s="406">
        <v>0</v>
      </c>
      <c r="K85" s="406"/>
      <c r="L85" s="406"/>
      <c r="M85" s="406"/>
      <c r="N85" s="406"/>
      <c r="O85" s="406">
        <v>1015.4797900000001</v>
      </c>
      <c r="P85" s="406"/>
      <c r="Q85" s="150">
        <v>0</v>
      </c>
      <c r="R85" s="406"/>
      <c r="S85" s="406"/>
      <c r="T85" s="406">
        <f t="shared" si="3"/>
        <v>0</v>
      </c>
      <c r="U85" s="406">
        <f t="shared" si="4"/>
        <v>0</v>
      </c>
      <c r="V85" s="406">
        <v>0</v>
      </c>
      <c r="W85" s="167">
        <v>3109888.67</v>
      </c>
      <c r="X85" s="167">
        <v>3109.8886699999998</v>
      </c>
      <c r="Y85" s="406">
        <v>3109.8886699999998</v>
      </c>
      <c r="Z85" s="406">
        <v>0</v>
      </c>
      <c r="AA85" s="406">
        <v>0</v>
      </c>
      <c r="AB85" s="406">
        <v>3109.8886699999998</v>
      </c>
      <c r="AC85" s="406">
        <v>0</v>
      </c>
      <c r="AD85" s="167">
        <v>0</v>
      </c>
      <c r="AE85" s="406">
        <f t="shared" si="44"/>
        <v>0</v>
      </c>
      <c r="AF85" s="402">
        <f t="shared" si="8"/>
        <v>0</v>
      </c>
      <c r="AG85" s="167">
        <v>0</v>
      </c>
      <c r="AH85" s="406">
        <v>3320.1</v>
      </c>
      <c r="AI85" s="957">
        <f t="shared" si="6"/>
        <v>1.0675944872328822</v>
      </c>
      <c r="AJ85" s="957">
        <f t="shared" si="9"/>
        <v>3320.1</v>
      </c>
      <c r="AK85" s="958">
        <f t="shared" si="35"/>
        <v>3320.1</v>
      </c>
      <c r="AL85" s="74"/>
      <c r="AM85" s="52">
        <f t="shared" si="45"/>
        <v>3320.1</v>
      </c>
    </row>
    <row r="86" spans="1:40" ht="33" hidden="1" customHeight="1" outlineLevel="3">
      <c r="A86" s="139"/>
      <c r="B86" s="406" t="s">
        <v>517</v>
      </c>
      <c r="C86" s="198" t="s">
        <v>1920</v>
      </c>
      <c r="D86" s="151" t="s">
        <v>2144</v>
      </c>
      <c r="E86" s="148" t="s">
        <v>518</v>
      </c>
      <c r="F86" s="149"/>
      <c r="G86" s="406" t="s">
        <v>121</v>
      </c>
      <c r="H86" s="406">
        <v>0</v>
      </c>
      <c r="I86" s="406">
        <v>0</v>
      </c>
      <c r="J86" s="406">
        <v>0</v>
      </c>
      <c r="K86" s="406"/>
      <c r="L86" s="406"/>
      <c r="M86" s="406"/>
      <c r="N86" s="406"/>
      <c r="O86" s="406">
        <v>202.4358</v>
      </c>
      <c r="P86" s="406"/>
      <c r="Q86" s="150">
        <v>0</v>
      </c>
      <c r="R86" s="406"/>
      <c r="S86" s="406"/>
      <c r="T86" s="406">
        <f t="shared" si="3"/>
        <v>0</v>
      </c>
      <c r="U86" s="406">
        <f t="shared" si="4"/>
        <v>0</v>
      </c>
      <c r="V86" s="406">
        <v>0</v>
      </c>
      <c r="W86" s="167">
        <v>223701.56</v>
      </c>
      <c r="X86" s="167">
        <v>223.70156</v>
      </c>
      <c r="Y86" s="406">
        <v>223.70156</v>
      </c>
      <c r="Z86" s="406">
        <v>44.95805</v>
      </c>
      <c r="AA86" s="406">
        <v>178.74351000000001</v>
      </c>
      <c r="AB86" s="406">
        <v>0</v>
      </c>
      <c r="AC86" s="406">
        <v>0</v>
      </c>
      <c r="AD86" s="167">
        <v>0</v>
      </c>
      <c r="AE86" s="406">
        <f t="shared" si="44"/>
        <v>0</v>
      </c>
      <c r="AF86" s="402">
        <f t="shared" si="8"/>
        <v>0</v>
      </c>
      <c r="AG86" s="403">
        <v>0</v>
      </c>
      <c r="AH86" s="406">
        <v>0</v>
      </c>
      <c r="AI86" s="957">
        <f t="shared" si="6"/>
        <v>0</v>
      </c>
      <c r="AJ86" s="957">
        <f t="shared" si="9"/>
        <v>0</v>
      </c>
      <c r="AK86" s="958">
        <f t="shared" si="35"/>
        <v>0</v>
      </c>
      <c r="AL86" s="74"/>
      <c r="AM86" s="52">
        <f t="shared" si="45"/>
        <v>0</v>
      </c>
    </row>
    <row r="87" spans="1:40" s="161" customFormat="1" ht="33" hidden="1" customHeight="1" outlineLevel="2">
      <c r="A87" s="153"/>
      <c r="B87" s="154"/>
      <c r="C87" s="155"/>
      <c r="D87" s="966"/>
      <c r="E87" s="156" t="s">
        <v>519</v>
      </c>
      <c r="F87" s="157"/>
      <c r="G87" s="158"/>
      <c r="H87" s="154">
        <f t="shared" ref="H87:J87" si="46">H80+H81+H82+H83+H84+H85+H86</f>
        <v>364.7026003361421</v>
      </c>
      <c r="I87" s="154">
        <f t="shared" si="46"/>
        <v>29247.793819999999</v>
      </c>
      <c r="J87" s="154">
        <f t="shared" si="46"/>
        <v>27334</v>
      </c>
      <c r="K87" s="154">
        <f>K80+K81+K82+K83+K84+K85+K86</f>
        <v>400.17472412951844</v>
      </c>
      <c r="L87" s="154">
        <f t="shared" ref="L87:V87" si="47">L80+L81+L82+L83+L84+L85+L86</f>
        <v>1783.96775</v>
      </c>
      <c r="M87" s="154">
        <f t="shared" si="47"/>
        <v>375.44</v>
      </c>
      <c r="N87" s="154">
        <f t="shared" si="47"/>
        <v>766.51482253211725</v>
      </c>
      <c r="O87" s="154">
        <f t="shared" si="47"/>
        <v>3710.11841</v>
      </c>
      <c r="P87" s="154">
        <f t="shared" si="47"/>
        <v>1870.5911599999997</v>
      </c>
      <c r="Q87" s="159">
        <f t="shared" si="47"/>
        <v>775.49035253211719</v>
      </c>
      <c r="R87" s="154">
        <f t="shared" si="47"/>
        <v>775.49035253211719</v>
      </c>
      <c r="S87" s="154">
        <f t="shared" si="47"/>
        <v>775.49035253211719</v>
      </c>
      <c r="T87" s="402">
        <f t="shared" si="3"/>
        <v>8.9755299999999352</v>
      </c>
      <c r="U87" s="402">
        <f t="shared" si="4"/>
        <v>-1095.1008074678825</v>
      </c>
      <c r="V87" s="154">
        <f t="shared" si="47"/>
        <v>817.58736027138366</v>
      </c>
      <c r="W87" s="154">
        <f>W80+W81+W82+W83+W84+W85+W86</f>
        <v>9969076.0200000014</v>
      </c>
      <c r="X87" s="154">
        <f>X80+X81+X82+X83+X84+X85+X86</f>
        <v>9969.0760199999986</v>
      </c>
      <c r="Y87" s="154">
        <f t="shared" ref="Y87:AK87" si="48">Y80+Y81+Y82+Y83+Y84+Y85+Y86</f>
        <v>9969.0760200000004</v>
      </c>
      <c r="Z87" s="154">
        <f t="shared" si="48"/>
        <v>6199.0506999999998</v>
      </c>
      <c r="AA87" s="154">
        <f t="shared" si="48"/>
        <v>303.54246000000001</v>
      </c>
      <c r="AB87" s="154">
        <f t="shared" si="48"/>
        <v>3466.4828599999996</v>
      </c>
      <c r="AC87" s="154">
        <f t="shared" si="48"/>
        <v>854.37536251249992</v>
      </c>
      <c r="AD87" s="154">
        <f t="shared" si="48"/>
        <v>21688.236956319997</v>
      </c>
      <c r="AE87" s="154">
        <f t="shared" si="48"/>
        <v>847.71689289286496</v>
      </c>
      <c r="AF87" s="154">
        <f t="shared" si="48"/>
        <v>847.71689289286496</v>
      </c>
      <c r="AG87" s="961">
        <f>AG80+AG81+AG82+AG83+AG84+AG85+AG86</f>
        <v>888.55394314293972</v>
      </c>
      <c r="AH87" s="154">
        <f>AH80+AH81+AH82+AH83+AH84+AH85+AH86</f>
        <v>19547.075351142998</v>
      </c>
      <c r="AI87" s="962">
        <f t="shared" si="6"/>
        <v>1.9607710194934396</v>
      </c>
      <c r="AJ87" s="963">
        <f t="shared" si="48"/>
        <v>18658.521408000059</v>
      </c>
      <c r="AK87" s="963">
        <f t="shared" si="48"/>
        <v>19542.223447664499</v>
      </c>
      <c r="AL87" s="964"/>
      <c r="AM87" s="52"/>
    </row>
    <row r="88" spans="1:40" ht="54.6" hidden="1" customHeight="1" outlineLevel="3">
      <c r="A88" s="139"/>
      <c r="B88" s="406" t="s">
        <v>520</v>
      </c>
      <c r="C88" s="198" t="s">
        <v>521</v>
      </c>
      <c r="D88" s="956" t="s">
        <v>2145</v>
      </c>
      <c r="E88" s="148" t="s">
        <v>522</v>
      </c>
      <c r="F88" s="149" t="s">
        <v>522</v>
      </c>
      <c r="G88" s="406" t="s">
        <v>121</v>
      </c>
      <c r="H88" s="406">
        <v>0</v>
      </c>
      <c r="I88" s="406">
        <v>0</v>
      </c>
      <c r="J88" s="406">
        <v>0</v>
      </c>
      <c r="K88" s="406">
        <v>0</v>
      </c>
      <c r="L88" s="406">
        <v>0</v>
      </c>
      <c r="M88" s="406">
        <v>0</v>
      </c>
      <c r="N88" s="406">
        <v>0</v>
      </c>
      <c r="O88" s="406">
        <v>1169.65302</v>
      </c>
      <c r="P88" s="406">
        <v>956.74681999999996</v>
      </c>
      <c r="Q88" s="150">
        <v>956.74681999999996</v>
      </c>
      <c r="R88" s="406">
        <v>956.74681999999996</v>
      </c>
      <c r="S88" s="166">
        <v>956.74681999999996</v>
      </c>
      <c r="T88" s="406">
        <f t="shared" si="3"/>
        <v>956.74681999999996</v>
      </c>
      <c r="U88" s="406">
        <f t="shared" si="4"/>
        <v>0</v>
      </c>
      <c r="V88" s="406">
        <v>0</v>
      </c>
      <c r="W88" s="167">
        <v>722264.59</v>
      </c>
      <c r="X88" s="167">
        <v>722.26459</v>
      </c>
      <c r="Y88" s="406">
        <v>722.26459</v>
      </c>
      <c r="Z88" s="406">
        <v>703.07146</v>
      </c>
      <c r="AA88" s="406">
        <v>12.823549999999999</v>
      </c>
      <c r="AB88" s="406">
        <v>6.36958</v>
      </c>
      <c r="AC88" s="406">
        <v>0</v>
      </c>
      <c r="AD88" s="167">
        <f>'[71]2. подк.неподк.'!X76</f>
        <v>1392.1415932800003</v>
      </c>
      <c r="AE88" s="406">
        <f>V88*$AD$11</f>
        <v>0</v>
      </c>
      <c r="AF88" s="402">
        <f t="shared" si="8"/>
        <v>0</v>
      </c>
      <c r="AG88" s="167">
        <v>0</v>
      </c>
      <c r="AH88" s="406">
        <v>5471.96</v>
      </c>
      <c r="AI88" s="957">
        <f t="shared" si="6"/>
        <v>7.5761155617500231</v>
      </c>
      <c r="AJ88" s="957">
        <f t="shared" si="9"/>
        <v>5471.96</v>
      </c>
      <c r="AK88" s="958">
        <f t="shared" si="35"/>
        <v>5471.96</v>
      </c>
      <c r="AL88" s="74"/>
      <c r="AM88" s="52">
        <f>AH88-AG88</f>
        <v>5471.96</v>
      </c>
    </row>
    <row r="89" spans="1:40" ht="45" hidden="1" customHeight="1" outlineLevel="3">
      <c r="A89" s="139"/>
      <c r="B89" s="406" t="s">
        <v>523</v>
      </c>
      <c r="C89" s="198" t="s">
        <v>524</v>
      </c>
      <c r="D89" s="956" t="s">
        <v>2146</v>
      </c>
      <c r="E89" s="148" t="s">
        <v>525</v>
      </c>
      <c r="F89" s="149" t="s">
        <v>525</v>
      </c>
      <c r="G89" s="406" t="s">
        <v>121</v>
      </c>
      <c r="H89" s="406">
        <v>0</v>
      </c>
      <c r="I89" s="406">
        <v>0</v>
      </c>
      <c r="J89" s="406">
        <v>0</v>
      </c>
      <c r="K89" s="406">
        <v>0</v>
      </c>
      <c r="L89" s="406">
        <v>0</v>
      </c>
      <c r="M89" s="406">
        <v>0</v>
      </c>
      <c r="N89" s="406">
        <v>0</v>
      </c>
      <c r="O89" s="406">
        <v>114.15845999999999</v>
      </c>
      <c r="P89" s="406">
        <v>99.169179999999997</v>
      </c>
      <c r="Q89" s="150">
        <v>99.169179999999997</v>
      </c>
      <c r="R89" s="406">
        <v>99.169179999999997</v>
      </c>
      <c r="S89" s="166">
        <v>99.169179999999997</v>
      </c>
      <c r="T89" s="406">
        <f t="shared" si="3"/>
        <v>99.169179999999997</v>
      </c>
      <c r="U89" s="406">
        <f t="shared" si="4"/>
        <v>0</v>
      </c>
      <c r="V89" s="406">
        <v>0</v>
      </c>
      <c r="W89" s="167">
        <v>117331.44</v>
      </c>
      <c r="X89" s="167">
        <v>117.33144</v>
      </c>
      <c r="Y89" s="406">
        <v>117.33143999999999</v>
      </c>
      <c r="Z89" s="406">
        <v>110.75093</v>
      </c>
      <c r="AA89" s="406">
        <v>5.3525900000000002</v>
      </c>
      <c r="AB89" s="406">
        <v>1.2279200000000001</v>
      </c>
      <c r="AC89" s="406">
        <v>0</v>
      </c>
      <c r="AD89" s="167">
        <f>'[71]2. подк.неподк.'!X77</f>
        <v>167.30650800000001</v>
      </c>
      <c r="AE89" s="406">
        <f>V89*$AD$11</f>
        <v>0</v>
      </c>
      <c r="AF89" s="402">
        <f t="shared" si="8"/>
        <v>0</v>
      </c>
      <c r="AG89" s="167">
        <v>0</v>
      </c>
      <c r="AH89" s="406">
        <v>741.96</v>
      </c>
      <c r="AI89" s="957">
        <f t="shared" si="6"/>
        <v>6.3236247675814772</v>
      </c>
      <c r="AJ89" s="957">
        <f t="shared" si="9"/>
        <v>741.96</v>
      </c>
      <c r="AK89" s="958">
        <f t="shared" si="35"/>
        <v>741.96</v>
      </c>
      <c r="AL89" s="74"/>
      <c r="AM89" s="52">
        <f>AH89-AG89</f>
        <v>741.96</v>
      </c>
    </row>
    <row r="90" spans="1:40" s="161" customFormat="1" ht="33" hidden="1" customHeight="1" outlineLevel="2">
      <c r="A90" s="153"/>
      <c r="B90" s="154"/>
      <c r="C90" s="155"/>
      <c r="D90" s="966"/>
      <c r="E90" s="156" t="s">
        <v>526</v>
      </c>
      <c r="F90" s="157"/>
      <c r="G90" s="158"/>
      <c r="H90" s="154">
        <f t="shared" ref="H90:J90" si="49">H88+H89</f>
        <v>0</v>
      </c>
      <c r="I90" s="154">
        <f t="shared" si="49"/>
        <v>0</v>
      </c>
      <c r="J90" s="154">
        <f t="shared" si="49"/>
        <v>0</v>
      </c>
      <c r="K90" s="154">
        <f>K88+K89</f>
        <v>0</v>
      </c>
      <c r="L90" s="154">
        <f t="shared" ref="L90:AK90" si="50">L88+L89</f>
        <v>0</v>
      </c>
      <c r="M90" s="154">
        <f t="shared" si="50"/>
        <v>0</v>
      </c>
      <c r="N90" s="154">
        <f t="shared" si="50"/>
        <v>0</v>
      </c>
      <c r="O90" s="154">
        <f t="shared" si="50"/>
        <v>1283.8114799999998</v>
      </c>
      <c r="P90" s="154">
        <f t="shared" si="50"/>
        <v>1055.9159999999999</v>
      </c>
      <c r="Q90" s="159">
        <f t="shared" si="50"/>
        <v>1055.9159999999999</v>
      </c>
      <c r="R90" s="154">
        <f t="shared" si="50"/>
        <v>1055.9159999999999</v>
      </c>
      <c r="S90" s="154">
        <f t="shared" si="50"/>
        <v>1055.9159999999999</v>
      </c>
      <c r="T90" s="402">
        <f t="shared" si="3"/>
        <v>1055.9159999999999</v>
      </c>
      <c r="U90" s="402">
        <f t="shared" si="4"/>
        <v>0</v>
      </c>
      <c r="V90" s="154">
        <f t="shared" si="50"/>
        <v>0</v>
      </c>
      <c r="W90" s="154">
        <f t="shared" si="50"/>
        <v>839596.03</v>
      </c>
      <c r="X90" s="154">
        <f t="shared" si="50"/>
        <v>839.59603000000004</v>
      </c>
      <c r="Y90" s="154">
        <f t="shared" si="50"/>
        <v>839.59602999999993</v>
      </c>
      <c r="Z90" s="154">
        <f t="shared" si="50"/>
        <v>813.82239000000004</v>
      </c>
      <c r="AA90" s="154">
        <f>AA88+AA89</f>
        <v>18.17614</v>
      </c>
      <c r="AB90" s="154">
        <f t="shared" si="50"/>
        <v>7.5975000000000001</v>
      </c>
      <c r="AC90" s="154">
        <f t="shared" si="50"/>
        <v>0</v>
      </c>
      <c r="AD90" s="154">
        <f t="shared" si="50"/>
        <v>1559.4481012800002</v>
      </c>
      <c r="AE90" s="154">
        <f t="shared" si="50"/>
        <v>0</v>
      </c>
      <c r="AF90" s="154">
        <f t="shared" si="50"/>
        <v>0</v>
      </c>
      <c r="AG90" s="961">
        <f t="shared" si="50"/>
        <v>0</v>
      </c>
      <c r="AH90" s="154">
        <f t="shared" si="50"/>
        <v>6213.92</v>
      </c>
      <c r="AI90" s="962">
        <f t="shared" si="6"/>
        <v>7.401083113744594</v>
      </c>
      <c r="AJ90" s="963">
        <f t="shared" si="50"/>
        <v>6213.92</v>
      </c>
      <c r="AK90" s="963">
        <f t="shared" si="50"/>
        <v>6213.92</v>
      </c>
      <c r="AL90" s="964"/>
      <c r="AM90" s="52"/>
    </row>
    <row r="91" spans="1:40" ht="33" hidden="1" customHeight="1" outlineLevel="1">
      <c r="A91" s="139"/>
      <c r="B91" s="409" t="s">
        <v>527</v>
      </c>
      <c r="C91" s="141"/>
      <c r="D91" s="406"/>
      <c r="E91" s="142" t="s">
        <v>528</v>
      </c>
      <c r="F91" s="142" t="s">
        <v>528</v>
      </c>
      <c r="G91" s="406" t="s">
        <v>121</v>
      </c>
      <c r="H91" s="402">
        <f t="shared" ref="H91:J91" si="51">SUM(H92:H94)</f>
        <v>67010.678018903272</v>
      </c>
      <c r="I91" s="402">
        <f t="shared" si="51"/>
        <v>50375.14157</v>
      </c>
      <c r="J91" s="402">
        <f t="shared" si="51"/>
        <v>50375.14</v>
      </c>
      <c r="K91" s="402">
        <f t="shared" ref="K91:N91" si="52">SUM(K92:K94)</f>
        <v>73529.029945116781</v>
      </c>
      <c r="L91" s="402">
        <f t="shared" si="52"/>
        <v>54349.757350000007</v>
      </c>
      <c r="M91" s="402">
        <f t="shared" si="52"/>
        <v>54349.761170000005</v>
      </c>
      <c r="N91" s="402">
        <f t="shared" si="52"/>
        <v>50732.281986623311</v>
      </c>
      <c r="O91" s="402">
        <f>SUM(O92:O94)</f>
        <v>63250.487110000002</v>
      </c>
      <c r="P91" s="402">
        <f t="shared" ref="P91:S91" si="53">SUM(P92:P94)</f>
        <v>61541.971790000003</v>
      </c>
      <c r="Q91" s="145">
        <f t="shared" si="53"/>
        <v>61541.971790000003</v>
      </c>
      <c r="R91" s="402">
        <f t="shared" si="53"/>
        <v>61541.971790000003</v>
      </c>
      <c r="S91" s="402">
        <f t="shared" si="53"/>
        <v>61541.971790000003</v>
      </c>
      <c r="T91" s="402">
        <f t="shared" si="3"/>
        <v>10809.689803376692</v>
      </c>
      <c r="U91" s="402">
        <f t="shared" si="4"/>
        <v>0</v>
      </c>
      <c r="V91" s="402">
        <f>SUM(V92:V94)</f>
        <v>61639.422886926252</v>
      </c>
      <c r="W91" s="402">
        <f>SUM(W92:W94)</f>
        <v>72951261.429999992</v>
      </c>
      <c r="X91" s="402">
        <f>SUM(X92:X94)</f>
        <v>72951.261429999999</v>
      </c>
      <c r="Y91" s="402">
        <f t="shared" ref="Y91:AK91" si="54">SUM(Y92:Y94)</f>
        <v>72951.261429999999</v>
      </c>
      <c r="Z91" s="402">
        <f t="shared" si="54"/>
        <v>71062.770550000016</v>
      </c>
      <c r="AA91" s="402">
        <f t="shared" si="54"/>
        <v>550.55062999999984</v>
      </c>
      <c r="AB91" s="402">
        <f t="shared" si="54"/>
        <v>1337.9402500000001</v>
      </c>
      <c r="AC91" s="953">
        <f t="shared" si="54"/>
        <v>64413.19691683798</v>
      </c>
      <c r="AD91" s="953">
        <f t="shared" si="54"/>
        <v>91243.38396628949</v>
      </c>
      <c r="AE91" s="953">
        <f t="shared" si="54"/>
        <v>63910.944063604518</v>
      </c>
      <c r="AF91" s="953">
        <f t="shared" si="54"/>
        <v>63910.944063604518</v>
      </c>
      <c r="AG91" s="953">
        <f t="shared" si="54"/>
        <v>66989.724793511501</v>
      </c>
      <c r="AH91" s="402">
        <f t="shared" si="54"/>
        <v>89299.100797785286</v>
      </c>
      <c r="AI91" s="954">
        <f t="shared" si="6"/>
        <v>1.2240926208448331</v>
      </c>
      <c r="AJ91" s="972">
        <f t="shared" si="54"/>
        <v>22309.376004273778</v>
      </c>
      <c r="AK91" s="972">
        <f t="shared" si="54"/>
        <v>89299.100797785286</v>
      </c>
      <c r="AL91" s="74"/>
    </row>
    <row r="92" spans="1:40" ht="33" hidden="1" customHeight="1" outlineLevel="2">
      <c r="A92" s="407" t="s">
        <v>529</v>
      </c>
      <c r="B92" s="406" t="s">
        <v>135</v>
      </c>
      <c r="C92" s="198" t="s">
        <v>530</v>
      </c>
      <c r="D92" s="956" t="s">
        <v>2147</v>
      </c>
      <c r="E92" s="405" t="s">
        <v>531</v>
      </c>
      <c r="F92" s="149" t="s">
        <v>532</v>
      </c>
      <c r="G92" s="406" t="s">
        <v>121</v>
      </c>
      <c r="H92" s="406">
        <v>539.8333057914341</v>
      </c>
      <c r="I92" s="406">
        <v>173.34924000000001</v>
      </c>
      <c r="J92" s="406">
        <v>173.35</v>
      </c>
      <c r="K92" s="406">
        <v>592.34469013598834</v>
      </c>
      <c r="L92" s="406">
        <v>0</v>
      </c>
      <c r="M92" s="406">
        <v>0</v>
      </c>
      <c r="N92" s="406">
        <v>148.55209008969703</v>
      </c>
      <c r="O92" s="406">
        <v>564.68034000000011</v>
      </c>
      <c r="P92" s="406">
        <v>561.99014999999997</v>
      </c>
      <c r="Q92" s="150">
        <v>561.99014999999997</v>
      </c>
      <c r="R92" s="406">
        <v>561.99014999999997</v>
      </c>
      <c r="S92" s="406">
        <v>561.99014999999997</v>
      </c>
      <c r="T92" s="406">
        <f t="shared" si="3"/>
        <v>413.43805991030297</v>
      </c>
      <c r="U92" s="406">
        <f t="shared" si="4"/>
        <v>0</v>
      </c>
      <c r="V92" s="406">
        <v>0</v>
      </c>
      <c r="W92" s="167">
        <v>1140697.45</v>
      </c>
      <c r="X92" s="167">
        <v>1140.6974499999999</v>
      </c>
      <c r="Y92" s="406">
        <v>1140.6974499999999</v>
      </c>
      <c r="Z92" s="406">
        <v>1138.68795</v>
      </c>
      <c r="AA92" s="406">
        <v>0.15946000000000002</v>
      </c>
      <c r="AB92" s="406">
        <v>1.8500399999999999</v>
      </c>
      <c r="AC92" s="406">
        <v>0</v>
      </c>
      <c r="AD92" s="167">
        <f>'[71]2. подк.неподк.'!X80</f>
        <v>3217.11</v>
      </c>
      <c r="AE92" s="406">
        <f t="shared" ref="AE92:AE112" si="55">V92*$AD$11</f>
        <v>0</v>
      </c>
      <c r="AF92" s="402">
        <f t="shared" si="8"/>
        <v>0</v>
      </c>
      <c r="AG92" s="167">
        <v>0</v>
      </c>
      <c r="AH92" s="406">
        <v>2413.0788542943501</v>
      </c>
      <c r="AI92" s="957">
        <f t="shared" si="6"/>
        <v>2.1154416136323881</v>
      </c>
      <c r="AJ92" s="957">
        <f t="shared" si="9"/>
        <v>2413.0788542943501</v>
      </c>
      <c r="AK92" s="958">
        <f t="shared" ref="AK92:AK95" si="56">AH92</f>
        <v>2413.0788542943501</v>
      </c>
      <c r="AL92" s="74"/>
      <c r="AM92" s="52">
        <f>AH92-AG92</f>
        <v>2413.0788542943501</v>
      </c>
    </row>
    <row r="93" spans="1:40" ht="33" hidden="1" customHeight="1" outlineLevel="2">
      <c r="A93" s="139" t="s">
        <v>533</v>
      </c>
      <c r="B93" s="406" t="s">
        <v>534</v>
      </c>
      <c r="C93" s="198" t="s">
        <v>535</v>
      </c>
      <c r="D93" s="956" t="s">
        <v>529</v>
      </c>
      <c r="E93" s="149" t="s">
        <v>536</v>
      </c>
      <c r="F93" s="149" t="s">
        <v>537</v>
      </c>
      <c r="G93" s="406" t="s">
        <v>121</v>
      </c>
      <c r="H93" s="406">
        <v>7037.2175754966056</v>
      </c>
      <c r="I93" s="406">
        <v>2604.4683399999999</v>
      </c>
      <c r="J93" s="406">
        <v>2604.4699999999998</v>
      </c>
      <c r="K93" s="406">
        <v>7721.7511766262933</v>
      </c>
      <c r="L93" s="406">
        <v>2841.1061800000002</v>
      </c>
      <c r="M93" s="406">
        <v>2841.11</v>
      </c>
      <c r="N93" s="406">
        <v>2586.0156887463022</v>
      </c>
      <c r="O93" s="406">
        <v>3745.5622500000004</v>
      </c>
      <c r="P93" s="406">
        <v>3727.24541</v>
      </c>
      <c r="Q93" s="150">
        <v>3727.24541</v>
      </c>
      <c r="R93" s="406">
        <v>3727.24541</v>
      </c>
      <c r="S93" s="406">
        <v>3727.24541</v>
      </c>
      <c r="T93" s="406">
        <f t="shared" si="3"/>
        <v>1141.2297212536978</v>
      </c>
      <c r="U93" s="406">
        <f t="shared" si="4"/>
        <v>0</v>
      </c>
      <c r="V93" s="406">
        <v>3222.1738787499994</v>
      </c>
      <c r="W93" s="167">
        <v>3906735.54</v>
      </c>
      <c r="X93" s="167">
        <v>3906.7355400000001</v>
      </c>
      <c r="Y93" s="406">
        <v>3906.7355400000006</v>
      </c>
      <c r="Z93" s="406">
        <v>3897.0290100000002</v>
      </c>
      <c r="AA93" s="406">
        <v>0.63436999999999999</v>
      </c>
      <c r="AB93" s="406">
        <v>9.0721600000000002</v>
      </c>
      <c r="AC93" s="406">
        <v>3273.0590032937498</v>
      </c>
      <c r="AD93" s="167">
        <f>'[71]2. подк.неподк.'!X81</f>
        <v>7731.9652857600013</v>
      </c>
      <c r="AE93" s="406">
        <f t="shared" si="55"/>
        <v>3340.9166550077666</v>
      </c>
      <c r="AF93" s="402">
        <f t="shared" si="8"/>
        <v>3340.9166550077666</v>
      </c>
      <c r="AG93" s="167">
        <v>3403.9813634254997</v>
      </c>
      <c r="AH93" s="406">
        <v>5488.7591373345012</v>
      </c>
      <c r="AI93" s="957">
        <f t="shared" si="6"/>
        <v>1.4049477066304061</v>
      </c>
      <c r="AJ93" s="957">
        <f t="shared" si="9"/>
        <v>2084.7777739090016</v>
      </c>
      <c r="AK93" s="958">
        <f t="shared" si="56"/>
        <v>5488.7591373345012</v>
      </c>
      <c r="AL93" s="74"/>
      <c r="AM93" s="52">
        <f>AH93-AG93</f>
        <v>2084.7777739090016</v>
      </c>
    </row>
    <row r="94" spans="1:40" ht="33" hidden="1" customHeight="1" outlineLevel="2">
      <c r="A94" s="139" t="s">
        <v>538</v>
      </c>
      <c r="B94" s="406" t="s">
        <v>539</v>
      </c>
      <c r="C94" s="198" t="s">
        <v>540</v>
      </c>
      <c r="D94" s="956" t="s">
        <v>533</v>
      </c>
      <c r="E94" s="149" t="s">
        <v>541</v>
      </c>
      <c r="F94" s="149" t="s">
        <v>542</v>
      </c>
      <c r="G94" s="406" t="s">
        <v>121</v>
      </c>
      <c r="H94" s="406">
        <v>59433.627137615236</v>
      </c>
      <c r="I94" s="406">
        <v>47597.323989999997</v>
      </c>
      <c r="J94" s="406">
        <v>47597.32</v>
      </c>
      <c r="K94" s="406">
        <v>65214.934078354505</v>
      </c>
      <c r="L94" s="406">
        <v>51508.651170000005</v>
      </c>
      <c r="M94" s="406">
        <v>51508.651170000005</v>
      </c>
      <c r="N94" s="406">
        <v>47997.714207787314</v>
      </c>
      <c r="O94" s="406">
        <v>58940.24452</v>
      </c>
      <c r="P94" s="406">
        <v>57252.736230000002</v>
      </c>
      <c r="Q94" s="150">
        <v>57252.736230000002</v>
      </c>
      <c r="R94" s="406">
        <v>57252.736230000002</v>
      </c>
      <c r="S94" s="406">
        <v>57252.736230000002</v>
      </c>
      <c r="T94" s="406">
        <f t="shared" ref="T94:T157" si="57">S94-N94</f>
        <v>9255.0220222126882</v>
      </c>
      <c r="U94" s="406">
        <f t="shared" ref="U94:U157" si="58">S94-P94</f>
        <v>0</v>
      </c>
      <c r="V94" s="406">
        <v>58417.249008176252</v>
      </c>
      <c r="W94" s="167">
        <v>67903828.439999998</v>
      </c>
      <c r="X94" s="167">
        <v>67903.828439999997</v>
      </c>
      <c r="Y94" s="406">
        <v>67903.828439999997</v>
      </c>
      <c r="Z94" s="406">
        <v>66027.05359000001</v>
      </c>
      <c r="AA94" s="406">
        <v>549.75679999999988</v>
      </c>
      <c r="AB94" s="406">
        <v>1327.0180500000001</v>
      </c>
      <c r="AC94" s="406">
        <v>61140.137913544233</v>
      </c>
      <c r="AD94" s="167">
        <f>'[71]2. подк.неподк.'!X82</f>
        <v>80294.308680529488</v>
      </c>
      <c r="AE94" s="406">
        <f t="shared" si="55"/>
        <v>60570.027408596754</v>
      </c>
      <c r="AF94" s="402">
        <f t="shared" si="8"/>
        <v>60570.027408596754</v>
      </c>
      <c r="AG94" s="167">
        <v>63585.743430086004</v>
      </c>
      <c r="AH94" s="406">
        <v>81397.262806156432</v>
      </c>
      <c r="AI94" s="957">
        <f t="shared" ref="AI94:AI157" si="59">AH94/X94</f>
        <v>1.1987138969355648</v>
      </c>
      <c r="AJ94" s="957">
        <f t="shared" si="9"/>
        <v>17811.519376070428</v>
      </c>
      <c r="AK94" s="958">
        <f t="shared" si="56"/>
        <v>81397.262806156432</v>
      </c>
      <c r="AL94" s="74"/>
      <c r="AM94" s="52">
        <f>AH94-AG94</f>
        <v>17811.519376070428</v>
      </c>
    </row>
    <row r="95" spans="1:40" ht="33" customHeight="1" collapsed="1">
      <c r="A95" s="139" t="s">
        <v>543</v>
      </c>
      <c r="B95" s="169" t="s">
        <v>75</v>
      </c>
      <c r="C95" s="141"/>
      <c r="D95" s="406"/>
      <c r="E95" s="142" t="s">
        <v>544</v>
      </c>
      <c r="F95" s="142" t="s">
        <v>544</v>
      </c>
      <c r="G95" s="406" t="s">
        <v>121</v>
      </c>
      <c r="H95" s="402">
        <v>761740.30943159445</v>
      </c>
      <c r="I95" s="402">
        <v>774397.05044999998</v>
      </c>
      <c r="J95" s="402">
        <v>736548.06677771546</v>
      </c>
      <c r="K95" s="402">
        <v>835837.32</v>
      </c>
      <c r="L95" s="402">
        <v>858232.29200000002</v>
      </c>
      <c r="M95" s="402">
        <v>858232.29200000002</v>
      </c>
      <c r="N95" s="402">
        <v>837905.09790543455</v>
      </c>
      <c r="O95" s="402">
        <v>928422.44139000005</v>
      </c>
      <c r="P95" s="402">
        <v>872360.68993000023</v>
      </c>
      <c r="Q95" s="145">
        <v>872360.68993000023</v>
      </c>
      <c r="R95" s="402">
        <v>872360.68993000023</v>
      </c>
      <c r="S95" s="402">
        <v>872360.68993000023</v>
      </c>
      <c r="T95" s="402">
        <f t="shared" si="57"/>
        <v>34455.592024565674</v>
      </c>
      <c r="U95" s="402">
        <f t="shared" si="58"/>
        <v>0</v>
      </c>
      <c r="V95" s="402">
        <v>962477.4773477799</v>
      </c>
      <c r="W95" s="953">
        <v>996568792.51300001</v>
      </c>
      <c r="X95" s="953">
        <v>996568.79251299996</v>
      </c>
      <c r="Y95" s="402">
        <v>996568.79250999982</v>
      </c>
      <c r="Z95" s="168">
        <v>938966.88</v>
      </c>
      <c r="AA95" s="402">
        <v>37543.58</v>
      </c>
      <c r="AB95" s="402">
        <v>20058.34</v>
      </c>
      <c r="AC95" s="170">
        <f>'[71]2. подк.неподк.'!W83</f>
        <v>1005788.9638284299</v>
      </c>
      <c r="AD95" s="402">
        <f>'[71]2. подк.неподк.'!X83</f>
        <v>1961467.5</v>
      </c>
      <c r="AE95" s="402">
        <f t="shared" si="55"/>
        <v>997946.4656911972</v>
      </c>
      <c r="AF95" s="402">
        <f t="shared" ref="AF95:AF158" si="60">AE95</f>
        <v>997946.4656911972</v>
      </c>
      <c r="AG95" s="953">
        <v>1046020.5223815672</v>
      </c>
      <c r="AH95" s="402">
        <v>2243154.1</v>
      </c>
      <c r="AI95" s="954">
        <f t="shared" si="59"/>
        <v>2.250877327137192</v>
      </c>
      <c r="AJ95" s="954">
        <f t="shared" ref="AJ95:AJ158" si="61">AH95-AG95</f>
        <v>1197133.5776184329</v>
      </c>
      <c r="AK95" s="259">
        <f t="shared" si="56"/>
        <v>2243154.1</v>
      </c>
      <c r="AL95" s="74"/>
      <c r="AM95" s="191">
        <f>AH95-AG95</f>
        <v>1197133.5776184329</v>
      </c>
      <c r="AN95" s="191">
        <f>AM95</f>
        <v>1197133.5776184329</v>
      </c>
    </row>
    <row r="96" spans="1:40" ht="33" customHeight="1">
      <c r="A96" s="139" t="s">
        <v>545</v>
      </c>
      <c r="B96" s="169" t="s">
        <v>546</v>
      </c>
      <c r="C96" s="171"/>
      <c r="D96" s="973"/>
      <c r="E96" s="172" t="s">
        <v>547</v>
      </c>
      <c r="F96" s="172" t="s">
        <v>547</v>
      </c>
      <c r="G96" s="406" t="s">
        <v>121</v>
      </c>
      <c r="H96" s="173">
        <v>37128.449999999997</v>
      </c>
      <c r="I96" s="173">
        <v>56320</v>
      </c>
      <c r="J96" s="173">
        <v>37128.449999999997</v>
      </c>
      <c r="K96" s="173">
        <f t="shared" ref="K96:AK96" si="62">SUM(K97:K112)</f>
        <v>40740.04</v>
      </c>
      <c r="L96" s="173">
        <f t="shared" si="62"/>
        <v>43854.198228999994</v>
      </c>
      <c r="M96" s="173">
        <f t="shared" si="62"/>
        <v>43659.197769999992</v>
      </c>
      <c r="N96" s="173">
        <f t="shared" si="62"/>
        <v>40740.04</v>
      </c>
      <c r="O96" s="173">
        <f t="shared" si="62"/>
        <v>46173.379379999998</v>
      </c>
      <c r="P96" s="173">
        <f t="shared" si="62"/>
        <v>39724.693220000008</v>
      </c>
      <c r="Q96" s="174">
        <f t="shared" si="62"/>
        <v>39724.693220000008</v>
      </c>
      <c r="R96" s="173">
        <f t="shared" si="62"/>
        <v>39724.693220000008</v>
      </c>
      <c r="S96" s="402">
        <f t="shared" si="62"/>
        <v>39724.693220000008</v>
      </c>
      <c r="T96" s="173">
        <f t="shared" si="57"/>
        <v>-1015.3467799999926</v>
      </c>
      <c r="U96" s="173">
        <f t="shared" si="58"/>
        <v>0</v>
      </c>
      <c r="V96" s="173">
        <f t="shared" si="62"/>
        <v>42980.76</v>
      </c>
      <c r="W96" s="173">
        <f t="shared" si="62"/>
        <v>67768310.329999983</v>
      </c>
      <c r="X96" s="173">
        <f t="shared" si="62"/>
        <v>67768.310330000008</v>
      </c>
      <c r="Y96" s="173">
        <f t="shared" si="62"/>
        <v>67768.310330000008</v>
      </c>
      <c r="Z96" s="1019">
        <f t="shared" si="62"/>
        <v>40251.151279999998</v>
      </c>
      <c r="AA96" s="173">
        <f t="shared" si="62"/>
        <v>11210.357260000002</v>
      </c>
      <c r="AB96" s="173">
        <f t="shared" si="62"/>
        <v>639.05013000000008</v>
      </c>
      <c r="AC96" s="170">
        <f t="shared" si="62"/>
        <v>44914.894200000002</v>
      </c>
      <c r="AD96" s="170">
        <f t="shared" si="62"/>
        <v>150706.04999999996</v>
      </c>
      <c r="AE96" s="170">
        <f t="shared" si="62"/>
        <v>44564.676622789062</v>
      </c>
      <c r="AF96" s="170">
        <f t="shared" si="62"/>
        <v>44564.676622789062</v>
      </c>
      <c r="AG96" s="170">
        <f t="shared" si="62"/>
        <v>46711.489967999994</v>
      </c>
      <c r="AH96" s="173">
        <f t="shared" si="62"/>
        <v>171143.47</v>
      </c>
      <c r="AI96" s="974">
        <f t="shared" si="59"/>
        <v>2.525420350110712</v>
      </c>
      <c r="AJ96" s="975">
        <f t="shared" si="62"/>
        <v>124431.98003199998</v>
      </c>
      <c r="AK96" s="975">
        <f t="shared" si="62"/>
        <v>169673.47</v>
      </c>
      <c r="AL96" s="74"/>
      <c r="AN96" s="191">
        <f>SUM(AM97:AM112)</f>
        <v>124431.98003199998</v>
      </c>
    </row>
    <row r="97" spans="1:39" ht="33" customHeight="1" outlineLevel="1">
      <c r="A97" s="139" t="s">
        <v>548</v>
      </c>
      <c r="B97" s="176" t="s">
        <v>549</v>
      </c>
      <c r="C97" s="198" t="s">
        <v>550</v>
      </c>
      <c r="D97" s="956" t="s">
        <v>538</v>
      </c>
      <c r="E97" s="148" t="s">
        <v>551</v>
      </c>
      <c r="F97" s="177"/>
      <c r="G97" s="404" t="s">
        <v>552</v>
      </c>
      <c r="H97" s="179">
        <v>0</v>
      </c>
      <c r="I97" s="179">
        <v>0</v>
      </c>
      <c r="J97" s="179">
        <v>0</v>
      </c>
      <c r="K97" s="179">
        <v>0</v>
      </c>
      <c r="L97" s="179">
        <v>0</v>
      </c>
      <c r="M97" s="179">
        <v>0</v>
      </c>
      <c r="N97" s="179"/>
      <c r="O97" s="179"/>
      <c r="P97" s="179"/>
      <c r="Q97" s="180"/>
      <c r="R97" s="179"/>
      <c r="S97" s="402"/>
      <c r="T97" s="179">
        <f t="shared" si="57"/>
        <v>0</v>
      </c>
      <c r="U97" s="179">
        <f t="shared" si="58"/>
        <v>0</v>
      </c>
      <c r="V97" s="406">
        <v>0</v>
      </c>
      <c r="W97" s="167">
        <v>0</v>
      </c>
      <c r="X97" s="167">
        <v>0</v>
      </c>
      <c r="Y97" s="406">
        <v>0</v>
      </c>
      <c r="Z97" s="406">
        <v>0</v>
      </c>
      <c r="AA97" s="406">
        <v>0</v>
      </c>
      <c r="AB97" s="406">
        <v>0</v>
      </c>
      <c r="AC97" s="403">
        <v>0</v>
      </c>
      <c r="AD97" s="406">
        <f>'[71]2. подк.неподк.'!X85</f>
        <v>100</v>
      </c>
      <c r="AE97" s="406">
        <f t="shared" si="55"/>
        <v>0</v>
      </c>
      <c r="AF97" s="402">
        <f t="shared" si="60"/>
        <v>0</v>
      </c>
      <c r="AG97" s="403">
        <v>0</v>
      </c>
      <c r="AH97" s="179">
        <v>90</v>
      </c>
      <c r="AI97" s="976" t="e">
        <f t="shared" si="59"/>
        <v>#DIV/0!</v>
      </c>
      <c r="AJ97" s="976">
        <f t="shared" si="61"/>
        <v>90</v>
      </c>
      <c r="AK97" s="977">
        <f t="shared" ref="AK97:AK112" si="63">AH97</f>
        <v>90</v>
      </c>
      <c r="AL97" s="74"/>
      <c r="AM97" s="52">
        <f t="shared" ref="AM97:AM112" si="64">AH97-AG97</f>
        <v>90</v>
      </c>
    </row>
    <row r="98" spans="1:39" ht="33" customHeight="1" outlineLevel="1">
      <c r="A98" s="139" t="s">
        <v>553</v>
      </c>
      <c r="B98" s="176" t="s">
        <v>554</v>
      </c>
      <c r="C98" s="978" t="s">
        <v>555</v>
      </c>
      <c r="D98" s="979" t="s">
        <v>543</v>
      </c>
      <c r="E98" s="162" t="s">
        <v>556</v>
      </c>
      <c r="F98" s="177"/>
      <c r="G98" s="404" t="s">
        <v>552</v>
      </c>
      <c r="H98" s="179">
        <v>0</v>
      </c>
      <c r="I98" s="179">
        <v>0</v>
      </c>
      <c r="J98" s="179">
        <v>0</v>
      </c>
      <c r="K98" s="179">
        <v>0</v>
      </c>
      <c r="L98" s="179">
        <v>0</v>
      </c>
      <c r="M98" s="179">
        <v>0</v>
      </c>
      <c r="N98" s="179">
        <v>0</v>
      </c>
      <c r="O98" s="179"/>
      <c r="P98" s="179"/>
      <c r="Q98" s="180"/>
      <c r="R98" s="179"/>
      <c r="S98" s="402"/>
      <c r="T98" s="179">
        <f t="shared" si="57"/>
        <v>0</v>
      </c>
      <c r="U98" s="179">
        <f t="shared" si="58"/>
        <v>0</v>
      </c>
      <c r="V98" s="406">
        <v>0</v>
      </c>
      <c r="W98" s="167">
        <v>0</v>
      </c>
      <c r="X98" s="167">
        <v>0</v>
      </c>
      <c r="Y98" s="406">
        <v>0</v>
      </c>
      <c r="Z98" s="406">
        <v>0</v>
      </c>
      <c r="AA98" s="406">
        <v>0</v>
      </c>
      <c r="AB98" s="406">
        <v>0</v>
      </c>
      <c r="AC98" s="403">
        <v>0</v>
      </c>
      <c r="AD98" s="406">
        <f>'[71]2. подк.неподк.'!X86</f>
        <v>215</v>
      </c>
      <c r="AE98" s="406">
        <f t="shared" si="55"/>
        <v>0</v>
      </c>
      <c r="AF98" s="402">
        <f t="shared" si="60"/>
        <v>0</v>
      </c>
      <c r="AG98" s="403">
        <v>0</v>
      </c>
      <c r="AH98" s="179">
        <v>165.65</v>
      </c>
      <c r="AI98" s="976" t="e">
        <f t="shared" si="59"/>
        <v>#DIV/0!</v>
      </c>
      <c r="AJ98" s="976">
        <f t="shared" si="61"/>
        <v>165.65</v>
      </c>
      <c r="AK98" s="977">
        <f t="shared" si="63"/>
        <v>165.65</v>
      </c>
      <c r="AL98" s="74"/>
      <c r="AM98" s="52">
        <f t="shared" si="64"/>
        <v>165.65</v>
      </c>
    </row>
    <row r="99" spans="1:39" ht="33" customHeight="1" outlineLevel="1">
      <c r="A99" s="139"/>
      <c r="B99" s="176" t="s">
        <v>557</v>
      </c>
      <c r="C99" s="980" t="s">
        <v>558</v>
      </c>
      <c r="D99" s="981" t="s">
        <v>545</v>
      </c>
      <c r="E99" s="148" t="s">
        <v>559</v>
      </c>
      <c r="F99" s="172"/>
      <c r="G99" s="404" t="s">
        <v>552</v>
      </c>
      <c r="H99" s="179">
        <v>0</v>
      </c>
      <c r="I99" s="179">
        <v>0</v>
      </c>
      <c r="J99" s="179">
        <v>0</v>
      </c>
      <c r="K99" s="179">
        <v>413.35</v>
      </c>
      <c r="L99" s="179">
        <v>548.01444400000003</v>
      </c>
      <c r="M99" s="179">
        <v>548.01</v>
      </c>
      <c r="N99" s="179">
        <v>413.35</v>
      </c>
      <c r="O99" s="179">
        <v>635.79600000000005</v>
      </c>
      <c r="P99" s="179">
        <v>624.92871000000002</v>
      </c>
      <c r="Q99" s="180">
        <v>624.92871000000002</v>
      </c>
      <c r="R99" s="179">
        <v>624.92871000000002</v>
      </c>
      <c r="S99" s="402">
        <v>624.92871000000002</v>
      </c>
      <c r="T99" s="179">
        <f t="shared" si="57"/>
        <v>211.57871</v>
      </c>
      <c r="U99" s="179">
        <f t="shared" si="58"/>
        <v>0</v>
      </c>
      <c r="V99" s="406">
        <v>436.09</v>
      </c>
      <c r="W99" s="167">
        <v>557610</v>
      </c>
      <c r="X99" s="167">
        <v>557.61</v>
      </c>
      <c r="Y99" s="406">
        <v>557.61</v>
      </c>
      <c r="Z99" s="406">
        <v>550.36410000000001</v>
      </c>
      <c r="AA99" s="406">
        <v>5.8411800000000005</v>
      </c>
      <c r="AB99" s="406">
        <v>1.40472</v>
      </c>
      <c r="AC99" s="403">
        <v>455.71404999999993</v>
      </c>
      <c r="AD99" s="406">
        <f>'[71]2. подк.неподк.'!X87</f>
        <v>526.22</v>
      </c>
      <c r="AE99" s="406">
        <f t="shared" si="55"/>
        <v>452.16068372062466</v>
      </c>
      <c r="AF99" s="402">
        <f t="shared" si="60"/>
        <v>452.16068372062466</v>
      </c>
      <c r="AG99" s="179">
        <v>473.94261199999994</v>
      </c>
      <c r="AH99" s="179">
        <v>753.92</v>
      </c>
      <c r="AI99" s="976">
        <f t="shared" si="59"/>
        <v>1.3520560965549397</v>
      </c>
      <c r="AJ99" s="976">
        <f t="shared" si="61"/>
        <v>279.97738800000002</v>
      </c>
      <c r="AK99" s="977">
        <f t="shared" si="63"/>
        <v>753.92</v>
      </c>
      <c r="AL99" s="74"/>
      <c r="AM99" s="52">
        <f t="shared" si="64"/>
        <v>279.97738800000002</v>
      </c>
    </row>
    <row r="100" spans="1:39" ht="33" customHeight="1" outlineLevel="1">
      <c r="A100" s="139"/>
      <c r="B100" s="176" t="s">
        <v>560</v>
      </c>
      <c r="C100" s="171" t="s">
        <v>561</v>
      </c>
      <c r="D100" s="981" t="s">
        <v>601</v>
      </c>
      <c r="E100" s="148" t="s">
        <v>562</v>
      </c>
      <c r="F100" s="172"/>
      <c r="G100" s="404" t="s">
        <v>552</v>
      </c>
      <c r="H100" s="179">
        <v>0</v>
      </c>
      <c r="I100" s="179">
        <v>0</v>
      </c>
      <c r="J100" s="179">
        <v>0</v>
      </c>
      <c r="K100" s="179">
        <v>942.79</v>
      </c>
      <c r="L100" s="179">
        <v>997.98</v>
      </c>
      <c r="M100" s="179">
        <v>997.98</v>
      </c>
      <c r="N100" s="179">
        <v>942.79</v>
      </c>
      <c r="O100" s="179">
        <v>1167.55</v>
      </c>
      <c r="P100" s="179">
        <v>1118.5686899999998</v>
      </c>
      <c r="Q100" s="180">
        <v>1118.5686899999998</v>
      </c>
      <c r="R100" s="179">
        <v>1118.5686899999998</v>
      </c>
      <c r="S100" s="402">
        <v>1118.5686899999998</v>
      </c>
      <c r="T100" s="179">
        <f t="shared" si="57"/>
        <v>175.77868999999987</v>
      </c>
      <c r="U100" s="179">
        <f t="shared" si="58"/>
        <v>0</v>
      </c>
      <c r="V100" s="406">
        <v>994.65</v>
      </c>
      <c r="W100" s="167">
        <v>782750</v>
      </c>
      <c r="X100" s="167">
        <v>782.75</v>
      </c>
      <c r="Y100" s="406">
        <v>782.75</v>
      </c>
      <c r="Z100" s="406">
        <v>778.92446999999993</v>
      </c>
      <c r="AA100" s="406">
        <v>2.8201300000000002</v>
      </c>
      <c r="AB100" s="406">
        <v>1.0054000000000001</v>
      </c>
      <c r="AC100" s="403">
        <v>1039.4092499999999</v>
      </c>
      <c r="AD100" s="406">
        <f>'[71]2. подк.неподк.'!X88</f>
        <v>1997.85</v>
      </c>
      <c r="AE100" s="406">
        <f t="shared" si="55"/>
        <v>1031.3046024048231</v>
      </c>
      <c r="AF100" s="402">
        <f t="shared" si="60"/>
        <v>1031.3046024048231</v>
      </c>
      <c r="AG100" s="403">
        <v>1080.9856199999999</v>
      </c>
      <c r="AH100" s="179">
        <v>3768.22</v>
      </c>
      <c r="AI100" s="976">
        <f t="shared" si="59"/>
        <v>4.8140785691472372</v>
      </c>
      <c r="AJ100" s="976">
        <f t="shared" si="61"/>
        <v>2687.2343799999999</v>
      </c>
      <c r="AK100" s="977">
        <f t="shared" si="63"/>
        <v>3768.22</v>
      </c>
      <c r="AL100" s="74"/>
      <c r="AM100" s="52">
        <f t="shared" si="64"/>
        <v>2687.2343799999999</v>
      </c>
    </row>
    <row r="101" spans="1:39" ht="33" customHeight="1" outlineLevel="1">
      <c r="A101" s="139"/>
      <c r="B101" s="176" t="s">
        <v>563</v>
      </c>
      <c r="C101" s="171" t="s">
        <v>564</v>
      </c>
      <c r="D101" s="982" t="s">
        <v>606</v>
      </c>
      <c r="E101" s="184" t="s">
        <v>565</v>
      </c>
      <c r="F101" s="172"/>
      <c r="G101" s="404" t="s">
        <v>552</v>
      </c>
      <c r="H101" s="179">
        <v>37128.449999999997</v>
      </c>
      <c r="I101" s="179">
        <v>56320</v>
      </c>
      <c r="J101" s="179">
        <v>37128.449999999997</v>
      </c>
      <c r="K101" s="179">
        <v>35274.25</v>
      </c>
      <c r="L101" s="179">
        <v>36628.97</v>
      </c>
      <c r="M101" s="179">
        <v>36628.97</v>
      </c>
      <c r="N101" s="179">
        <v>35274.25</v>
      </c>
      <c r="O101" s="179">
        <v>38626.426479999995</v>
      </c>
      <c r="P101" s="179">
        <v>32700.072960000001</v>
      </c>
      <c r="Q101" s="180">
        <v>32700.072960000001</v>
      </c>
      <c r="R101" s="179">
        <v>32700.072960000001</v>
      </c>
      <c r="S101" s="402">
        <v>32700.072960000001</v>
      </c>
      <c r="T101" s="179">
        <f t="shared" si="57"/>
        <v>-2574.1770399999987</v>
      </c>
      <c r="U101" s="179">
        <f t="shared" si="58"/>
        <v>0</v>
      </c>
      <c r="V101" s="406">
        <v>37214.33</v>
      </c>
      <c r="W101" s="983">
        <v>42561468.079999998</v>
      </c>
      <c r="X101" s="167">
        <v>42561.468079999999</v>
      </c>
      <c r="Y101" s="406">
        <v>42561.468079999999</v>
      </c>
      <c r="Z101" s="406">
        <v>33596.009509999996</v>
      </c>
      <c r="AA101" s="406">
        <v>8500.1258500000004</v>
      </c>
      <c r="AB101" s="406">
        <v>465.33272000000005</v>
      </c>
      <c r="AC101" s="403">
        <v>38888.974849999999</v>
      </c>
      <c r="AD101" s="166">
        <f>'[71]2. подк.неподк.'!X89-1000</f>
        <v>68231.839999999997</v>
      </c>
      <c r="AE101" s="406">
        <f t="shared" si="55"/>
        <v>38585.743532309738</v>
      </c>
      <c r="AF101" s="402">
        <f t="shared" si="60"/>
        <v>38585.743532309738</v>
      </c>
      <c r="AG101" s="403">
        <v>40444.533843999998</v>
      </c>
      <c r="AH101" s="179">
        <v>78315.89</v>
      </c>
      <c r="AI101" s="976">
        <f t="shared" si="59"/>
        <v>1.8400655224766862</v>
      </c>
      <c r="AJ101" s="976">
        <f t="shared" si="61"/>
        <v>37871.356156000002</v>
      </c>
      <c r="AK101" s="977">
        <f t="shared" si="63"/>
        <v>78315.89</v>
      </c>
      <c r="AL101" s="74"/>
      <c r="AM101" s="52">
        <f t="shared" si="64"/>
        <v>37871.356156000002</v>
      </c>
    </row>
    <row r="102" spans="1:39" ht="33" customHeight="1" outlineLevel="1">
      <c r="A102" s="139"/>
      <c r="B102" s="176" t="s">
        <v>566</v>
      </c>
      <c r="C102" s="171"/>
      <c r="D102" s="984" t="s">
        <v>611</v>
      </c>
      <c r="E102" s="184" t="s">
        <v>567</v>
      </c>
      <c r="F102" s="172"/>
      <c r="G102" s="404" t="s">
        <v>552</v>
      </c>
      <c r="H102" s="179">
        <v>0</v>
      </c>
      <c r="I102" s="179">
        <v>0</v>
      </c>
      <c r="J102" s="179">
        <v>0</v>
      </c>
      <c r="K102" s="179"/>
      <c r="L102" s="179"/>
      <c r="M102" s="179"/>
      <c r="N102" s="179"/>
      <c r="O102" s="179"/>
      <c r="P102" s="179"/>
      <c r="Q102" s="180"/>
      <c r="R102" s="179"/>
      <c r="S102" s="402"/>
      <c r="T102" s="179">
        <f t="shared" si="57"/>
        <v>0</v>
      </c>
      <c r="U102" s="179">
        <f t="shared" si="58"/>
        <v>0</v>
      </c>
      <c r="V102" s="406">
        <v>0</v>
      </c>
      <c r="W102" s="167">
        <v>0</v>
      </c>
      <c r="X102" s="167">
        <v>0</v>
      </c>
      <c r="Y102" s="406"/>
      <c r="Z102" s="406"/>
      <c r="AA102" s="406"/>
      <c r="AB102" s="406"/>
      <c r="AC102" s="403">
        <v>0</v>
      </c>
      <c r="AD102" s="406">
        <f>'[71]2. подк.неподк.'!X90</f>
        <v>69231.839999999997</v>
      </c>
      <c r="AE102" s="406">
        <f t="shared" si="55"/>
        <v>0</v>
      </c>
      <c r="AF102" s="402">
        <f t="shared" si="60"/>
        <v>0</v>
      </c>
      <c r="AG102" s="403">
        <v>0</v>
      </c>
      <c r="AH102" s="179">
        <v>78315.89</v>
      </c>
      <c r="AI102" s="976" t="e">
        <f t="shared" si="59"/>
        <v>#DIV/0!</v>
      </c>
      <c r="AJ102" s="976">
        <f t="shared" si="61"/>
        <v>78315.89</v>
      </c>
      <c r="AK102" s="977">
        <f t="shared" si="63"/>
        <v>78315.89</v>
      </c>
      <c r="AL102" s="74"/>
      <c r="AM102" s="52">
        <f t="shared" si="64"/>
        <v>78315.89</v>
      </c>
    </row>
    <row r="103" spans="1:39" ht="33" customHeight="1" outlineLevel="1">
      <c r="A103" s="139"/>
      <c r="B103" s="176" t="s">
        <v>568</v>
      </c>
      <c r="C103" s="171" t="s">
        <v>569</v>
      </c>
      <c r="D103" s="985" t="s">
        <v>615</v>
      </c>
      <c r="E103" s="162" t="s">
        <v>565</v>
      </c>
      <c r="F103" s="172"/>
      <c r="G103" s="404" t="s">
        <v>552</v>
      </c>
      <c r="H103" s="179">
        <v>0</v>
      </c>
      <c r="I103" s="179">
        <v>0</v>
      </c>
      <c r="J103" s="179">
        <v>0</v>
      </c>
      <c r="K103" s="179">
        <v>0</v>
      </c>
      <c r="L103" s="179">
        <v>527</v>
      </c>
      <c r="M103" s="179">
        <v>527</v>
      </c>
      <c r="N103" s="179">
        <v>0</v>
      </c>
      <c r="O103" s="179">
        <v>564.5</v>
      </c>
      <c r="P103" s="179">
        <v>491.22426000000002</v>
      </c>
      <c r="Q103" s="180">
        <v>491.22426000000002</v>
      </c>
      <c r="R103" s="179">
        <v>491.22426000000002</v>
      </c>
      <c r="S103" s="402">
        <v>491.22426000000002</v>
      </c>
      <c r="T103" s="179">
        <f t="shared" si="57"/>
        <v>491.22426000000002</v>
      </c>
      <c r="U103" s="179">
        <f t="shared" si="58"/>
        <v>0</v>
      </c>
      <c r="V103" s="406">
        <v>0</v>
      </c>
      <c r="W103" s="983">
        <v>567000</v>
      </c>
      <c r="X103" s="167">
        <v>567</v>
      </c>
      <c r="Y103" s="406">
        <v>567</v>
      </c>
      <c r="Z103" s="406">
        <v>510.50247999999999</v>
      </c>
      <c r="AA103" s="406">
        <v>54.343720000000005</v>
      </c>
      <c r="AB103" s="406">
        <v>2.1538000000000004</v>
      </c>
      <c r="AC103" s="403">
        <v>0</v>
      </c>
      <c r="AD103" s="406">
        <f>'[71]2. подк.неподк.'!X91</f>
        <v>559</v>
      </c>
      <c r="AE103" s="406">
        <f t="shared" si="55"/>
        <v>0</v>
      </c>
      <c r="AF103" s="402">
        <f t="shared" si="60"/>
        <v>0</v>
      </c>
      <c r="AG103" s="403">
        <v>0</v>
      </c>
      <c r="AH103" s="179">
        <v>567</v>
      </c>
      <c r="AI103" s="976">
        <f t="shared" si="59"/>
        <v>1</v>
      </c>
      <c r="AJ103" s="976">
        <f t="shared" si="61"/>
        <v>567</v>
      </c>
      <c r="AK103" s="977">
        <f t="shared" si="63"/>
        <v>567</v>
      </c>
      <c r="AL103" s="74"/>
      <c r="AM103" s="52">
        <f t="shared" si="64"/>
        <v>567</v>
      </c>
    </row>
    <row r="104" spans="1:39" ht="33" customHeight="1" outlineLevel="1">
      <c r="A104" s="139"/>
      <c r="B104" s="176" t="s">
        <v>570</v>
      </c>
      <c r="C104" s="171" t="s">
        <v>571</v>
      </c>
      <c r="D104" s="981" t="s">
        <v>620</v>
      </c>
      <c r="E104" s="148" t="s">
        <v>572</v>
      </c>
      <c r="F104" s="172"/>
      <c r="G104" s="404" t="s">
        <v>552</v>
      </c>
      <c r="H104" s="179">
        <v>0</v>
      </c>
      <c r="I104" s="179">
        <v>0</v>
      </c>
      <c r="J104" s="179">
        <v>0</v>
      </c>
      <c r="K104" s="179">
        <v>904.38</v>
      </c>
      <c r="L104" s="179">
        <v>1781.0855550000001</v>
      </c>
      <c r="M104" s="179">
        <v>1781.09</v>
      </c>
      <c r="N104" s="179">
        <v>904.38</v>
      </c>
      <c r="O104" s="179">
        <v>1808.6683700000001</v>
      </c>
      <c r="P104" s="179">
        <v>1702.02449</v>
      </c>
      <c r="Q104" s="180">
        <v>1702.02449</v>
      </c>
      <c r="R104" s="179">
        <v>1702.02449</v>
      </c>
      <c r="S104" s="402">
        <v>1702.02449</v>
      </c>
      <c r="T104" s="179">
        <f t="shared" si="57"/>
        <v>797.64449000000002</v>
      </c>
      <c r="U104" s="179">
        <f t="shared" si="58"/>
        <v>0</v>
      </c>
      <c r="V104" s="406">
        <v>954.12</v>
      </c>
      <c r="W104" s="167">
        <v>1899286.8</v>
      </c>
      <c r="X104" s="167">
        <v>1899.2868000000001</v>
      </c>
      <c r="Y104" s="406">
        <v>1899.2867999999999</v>
      </c>
      <c r="Z104" s="406">
        <v>1806.4879900000001</v>
      </c>
      <c r="AA104" s="406">
        <v>81.315929999999994</v>
      </c>
      <c r="AB104" s="406">
        <v>11.48288</v>
      </c>
      <c r="AC104" s="403">
        <v>997.05539999999996</v>
      </c>
      <c r="AD104" s="406">
        <f>'[71]2. подк.неподк.'!X92</f>
        <v>1996.8</v>
      </c>
      <c r="AE104" s="406">
        <f t="shared" si="55"/>
        <v>989.28100059969825</v>
      </c>
      <c r="AF104" s="402">
        <f t="shared" si="60"/>
        <v>989.28100059969825</v>
      </c>
      <c r="AG104" s="403">
        <v>1036.9376159999999</v>
      </c>
      <c r="AH104" s="179">
        <v>2022.74</v>
      </c>
      <c r="AI104" s="976">
        <f t="shared" si="59"/>
        <v>1.0649997672810656</v>
      </c>
      <c r="AJ104" s="976">
        <f t="shared" si="61"/>
        <v>985.80238400000007</v>
      </c>
      <c r="AK104" s="977">
        <f t="shared" si="63"/>
        <v>2022.74</v>
      </c>
      <c r="AL104" s="74"/>
      <c r="AM104" s="52">
        <f t="shared" si="64"/>
        <v>985.80238400000007</v>
      </c>
    </row>
    <row r="105" spans="1:39" ht="33" customHeight="1" outlineLevel="1">
      <c r="A105" s="139"/>
      <c r="B105" s="176" t="s">
        <v>573</v>
      </c>
      <c r="C105" s="980" t="s">
        <v>574</v>
      </c>
      <c r="D105" s="981" t="s">
        <v>627</v>
      </c>
      <c r="E105" s="148" t="s">
        <v>575</v>
      </c>
      <c r="F105" s="172"/>
      <c r="G105" s="404" t="s">
        <v>552</v>
      </c>
      <c r="H105" s="179">
        <v>0</v>
      </c>
      <c r="I105" s="179">
        <v>0</v>
      </c>
      <c r="J105" s="179">
        <v>0</v>
      </c>
      <c r="K105" s="179">
        <v>137.93</v>
      </c>
      <c r="L105" s="179">
        <v>264.13</v>
      </c>
      <c r="M105" s="179">
        <v>264.13</v>
      </c>
      <c r="N105" s="179">
        <v>137.93</v>
      </c>
      <c r="O105" s="179">
        <v>242.1</v>
      </c>
      <c r="P105" s="179">
        <v>211.30063000000001</v>
      </c>
      <c r="Q105" s="180">
        <v>211.30063000000001</v>
      </c>
      <c r="R105" s="179">
        <v>211.30063000000001</v>
      </c>
      <c r="S105" s="402">
        <v>211.30063000000001</v>
      </c>
      <c r="T105" s="179">
        <f t="shared" si="57"/>
        <v>73.370630000000006</v>
      </c>
      <c r="U105" s="179">
        <f t="shared" si="58"/>
        <v>0</v>
      </c>
      <c r="V105" s="406">
        <v>145.52000000000001</v>
      </c>
      <c r="W105" s="167">
        <v>242400</v>
      </c>
      <c r="X105" s="167">
        <v>242.4</v>
      </c>
      <c r="Y105" s="406">
        <v>242.4</v>
      </c>
      <c r="Z105" s="406">
        <v>218.76085999999998</v>
      </c>
      <c r="AA105" s="406">
        <v>22.243270000000003</v>
      </c>
      <c r="AB105" s="406">
        <v>1.3958699999999999</v>
      </c>
      <c r="AC105" s="403">
        <v>152.0684</v>
      </c>
      <c r="AD105" s="406">
        <f>'[71]2. подк.неподк.'!X93</f>
        <v>336.2</v>
      </c>
      <c r="AE105" s="406">
        <f t="shared" si="55"/>
        <v>150.88266801583458</v>
      </c>
      <c r="AF105" s="402">
        <f t="shared" si="60"/>
        <v>150.88266801583458</v>
      </c>
      <c r="AG105" s="403">
        <v>158.15113600000001</v>
      </c>
      <c r="AH105" s="179">
        <v>336.2</v>
      </c>
      <c r="AI105" s="976">
        <f t="shared" si="59"/>
        <v>1.3869636963696368</v>
      </c>
      <c r="AJ105" s="976">
        <f t="shared" si="61"/>
        <v>178.04886399999998</v>
      </c>
      <c r="AK105" s="977">
        <f t="shared" si="63"/>
        <v>336.2</v>
      </c>
      <c r="AL105" s="74"/>
      <c r="AM105" s="52">
        <f t="shared" si="64"/>
        <v>178.04886399999998</v>
      </c>
    </row>
    <row r="106" spans="1:39" ht="33" customHeight="1" outlineLevel="1">
      <c r="A106" s="139"/>
      <c r="B106" s="176" t="s">
        <v>576</v>
      </c>
      <c r="C106" s="980" t="s">
        <v>577</v>
      </c>
      <c r="D106" s="981" t="s">
        <v>632</v>
      </c>
      <c r="E106" s="148" t="s">
        <v>578</v>
      </c>
      <c r="F106" s="172"/>
      <c r="G106" s="404" t="s">
        <v>552</v>
      </c>
      <c r="H106" s="179">
        <v>0</v>
      </c>
      <c r="I106" s="179">
        <v>0</v>
      </c>
      <c r="J106" s="179">
        <v>0</v>
      </c>
      <c r="K106" s="179">
        <v>621.48</v>
      </c>
      <c r="L106" s="179">
        <v>1224</v>
      </c>
      <c r="M106" s="179">
        <v>1224</v>
      </c>
      <c r="N106" s="179">
        <v>621.48</v>
      </c>
      <c r="O106" s="179">
        <v>1128</v>
      </c>
      <c r="P106" s="179">
        <v>1053.1063100000001</v>
      </c>
      <c r="Q106" s="180">
        <v>1053.1063100000001</v>
      </c>
      <c r="R106" s="179">
        <v>1053.1063100000001</v>
      </c>
      <c r="S106" s="402">
        <v>1053.1063100000001</v>
      </c>
      <c r="T106" s="179">
        <f t="shared" si="57"/>
        <v>431.6263100000001</v>
      </c>
      <c r="U106" s="179">
        <f t="shared" si="58"/>
        <v>0</v>
      </c>
      <c r="V106" s="406">
        <v>655.66</v>
      </c>
      <c r="W106" s="167">
        <v>1188000</v>
      </c>
      <c r="X106" s="167">
        <v>1188</v>
      </c>
      <c r="Y106" s="406">
        <v>1188</v>
      </c>
      <c r="Z106" s="406">
        <v>1102.0406</v>
      </c>
      <c r="AA106" s="406">
        <v>82.57077000000001</v>
      </c>
      <c r="AB106" s="406">
        <v>3.38863</v>
      </c>
      <c r="AC106" s="403">
        <v>685.16469999999993</v>
      </c>
      <c r="AD106" s="406">
        <f>'[71]2. подк.неподк.'!X94</f>
        <v>1245.3</v>
      </c>
      <c r="AE106" s="406">
        <f t="shared" si="55"/>
        <v>679.82222451389566</v>
      </c>
      <c r="AF106" s="402">
        <f t="shared" si="60"/>
        <v>679.82222451389566</v>
      </c>
      <c r="AG106" s="403">
        <v>712.57128799999998</v>
      </c>
      <c r="AH106" s="179">
        <v>1265.22</v>
      </c>
      <c r="AI106" s="976">
        <f t="shared" si="59"/>
        <v>1.0649999999999999</v>
      </c>
      <c r="AJ106" s="976">
        <f t="shared" si="61"/>
        <v>552.64871200000005</v>
      </c>
      <c r="AK106" s="977">
        <f t="shared" si="63"/>
        <v>1265.22</v>
      </c>
      <c r="AL106" s="74"/>
      <c r="AM106" s="52">
        <f t="shared" si="64"/>
        <v>552.64871200000005</v>
      </c>
    </row>
    <row r="107" spans="1:39" ht="33" customHeight="1" outlineLevel="1">
      <c r="A107" s="139"/>
      <c r="B107" s="176" t="s">
        <v>579</v>
      </c>
      <c r="C107" s="980" t="s">
        <v>580</v>
      </c>
      <c r="D107" s="981" t="s">
        <v>637</v>
      </c>
      <c r="E107" s="148" t="s">
        <v>581</v>
      </c>
      <c r="F107" s="172"/>
      <c r="G107" s="404" t="s">
        <v>552</v>
      </c>
      <c r="H107" s="179">
        <v>0</v>
      </c>
      <c r="I107" s="179">
        <v>0</v>
      </c>
      <c r="J107" s="179">
        <v>0</v>
      </c>
      <c r="K107" s="179">
        <v>0.75</v>
      </c>
      <c r="L107" s="179">
        <v>1.5</v>
      </c>
      <c r="M107" s="179">
        <v>1.5</v>
      </c>
      <c r="N107" s="179">
        <v>0.75</v>
      </c>
      <c r="O107" s="179">
        <v>3</v>
      </c>
      <c r="P107" s="179">
        <v>3</v>
      </c>
      <c r="Q107" s="180">
        <v>3</v>
      </c>
      <c r="R107" s="179">
        <v>3</v>
      </c>
      <c r="S107" s="402">
        <v>3</v>
      </c>
      <c r="T107" s="179">
        <f t="shared" si="57"/>
        <v>2.25</v>
      </c>
      <c r="U107" s="179">
        <f t="shared" si="58"/>
        <v>0</v>
      </c>
      <c r="V107" s="406">
        <v>0.79</v>
      </c>
      <c r="W107" s="167">
        <v>7500</v>
      </c>
      <c r="X107" s="167">
        <v>7.5</v>
      </c>
      <c r="Y107" s="406">
        <v>7.5</v>
      </c>
      <c r="Z107" s="406">
        <v>7.5</v>
      </c>
      <c r="AA107" s="406">
        <v>0</v>
      </c>
      <c r="AB107" s="406">
        <v>0</v>
      </c>
      <c r="AC107" s="403">
        <v>0.82555000000000001</v>
      </c>
      <c r="AD107" s="406">
        <f>'[71]2. подк.неподк.'!X95</f>
        <v>3.3</v>
      </c>
      <c r="AE107" s="406">
        <f t="shared" si="55"/>
        <v>0.8191128898605643</v>
      </c>
      <c r="AF107" s="402">
        <f t="shared" si="60"/>
        <v>0.8191128898605643</v>
      </c>
      <c r="AG107" s="403">
        <v>0.858572</v>
      </c>
      <c r="AH107" s="179">
        <v>7.99</v>
      </c>
      <c r="AI107" s="976">
        <f t="shared" si="59"/>
        <v>1.0653333333333335</v>
      </c>
      <c r="AJ107" s="976">
        <f t="shared" si="61"/>
        <v>7.1314280000000005</v>
      </c>
      <c r="AK107" s="977">
        <f t="shared" si="63"/>
        <v>7.99</v>
      </c>
      <c r="AL107" s="74"/>
      <c r="AM107" s="52">
        <f t="shared" si="64"/>
        <v>7.1314280000000005</v>
      </c>
    </row>
    <row r="108" spans="1:39" ht="33" customHeight="1" outlineLevel="1">
      <c r="A108" s="139"/>
      <c r="B108" s="176" t="s">
        <v>582</v>
      </c>
      <c r="C108" s="980" t="s">
        <v>583</v>
      </c>
      <c r="D108" s="981" t="s">
        <v>642</v>
      </c>
      <c r="E108" s="148" t="s">
        <v>584</v>
      </c>
      <c r="F108" s="172"/>
      <c r="G108" s="404" t="s">
        <v>552</v>
      </c>
      <c r="H108" s="179">
        <v>0</v>
      </c>
      <c r="I108" s="179">
        <v>0</v>
      </c>
      <c r="J108" s="179">
        <v>0</v>
      </c>
      <c r="K108" s="179">
        <v>833.88</v>
      </c>
      <c r="L108" s="179">
        <v>1064.71046</v>
      </c>
      <c r="M108" s="179">
        <v>1064.71</v>
      </c>
      <c r="N108" s="179">
        <v>833.88</v>
      </c>
      <c r="O108" s="179">
        <v>1172.8</v>
      </c>
      <c r="P108" s="179">
        <v>1052.0836999999999</v>
      </c>
      <c r="Q108" s="180">
        <v>1052.0836999999999</v>
      </c>
      <c r="R108" s="179">
        <v>1052.0836999999999</v>
      </c>
      <c r="S108" s="402">
        <v>1052.0836999999999</v>
      </c>
      <c r="T108" s="179">
        <f t="shared" si="57"/>
        <v>218.20369999999991</v>
      </c>
      <c r="U108" s="179">
        <f t="shared" si="58"/>
        <v>0</v>
      </c>
      <c r="V108" s="406">
        <v>879.75</v>
      </c>
      <c r="W108" s="167">
        <v>1268073</v>
      </c>
      <c r="X108" s="167">
        <v>1268.0730000000001</v>
      </c>
      <c r="Y108" s="406">
        <v>1268.0730000000001</v>
      </c>
      <c r="Z108" s="406">
        <v>1179.31131</v>
      </c>
      <c r="AA108" s="406">
        <v>75.081559999999996</v>
      </c>
      <c r="AB108" s="406">
        <v>13.680129999999998</v>
      </c>
      <c r="AC108" s="403">
        <v>919.33874999999989</v>
      </c>
      <c r="AD108" s="406">
        <f>'[71]2. подк.неподк.'!X96</f>
        <v>2350.3000000000002</v>
      </c>
      <c r="AE108" s="406">
        <f t="shared" si="55"/>
        <v>912.17033525928025</v>
      </c>
      <c r="AF108" s="402">
        <f t="shared" si="60"/>
        <v>912.17033525928025</v>
      </c>
      <c r="AG108" s="403">
        <v>956.11229999999989</v>
      </c>
      <c r="AH108" s="179">
        <v>2614.6</v>
      </c>
      <c r="AI108" s="976">
        <f t="shared" si="59"/>
        <v>2.0618686779073441</v>
      </c>
      <c r="AJ108" s="976">
        <f t="shared" si="61"/>
        <v>1658.4877000000001</v>
      </c>
      <c r="AK108" s="977">
        <f t="shared" si="63"/>
        <v>2614.6</v>
      </c>
      <c r="AL108" s="74"/>
      <c r="AM108" s="52">
        <f t="shared" si="64"/>
        <v>1658.4877000000001</v>
      </c>
    </row>
    <row r="109" spans="1:39" ht="33" customHeight="1" outlineLevel="1">
      <c r="A109" s="139"/>
      <c r="B109" s="176" t="s">
        <v>585</v>
      </c>
      <c r="C109" s="980" t="s">
        <v>586</v>
      </c>
      <c r="D109" s="981" t="s">
        <v>647</v>
      </c>
      <c r="E109" s="148" t="s">
        <v>587</v>
      </c>
      <c r="F109" s="172"/>
      <c r="G109" s="404" t="s">
        <v>552</v>
      </c>
      <c r="H109" s="179">
        <v>0</v>
      </c>
      <c r="I109" s="179">
        <v>0</v>
      </c>
      <c r="J109" s="179">
        <v>0</v>
      </c>
      <c r="K109" s="179">
        <v>1461.19</v>
      </c>
      <c r="L109" s="179">
        <v>326.27777000000003</v>
      </c>
      <c r="M109" s="179">
        <v>326.27777000000003</v>
      </c>
      <c r="N109" s="179">
        <v>1461.19</v>
      </c>
      <c r="O109" s="179">
        <v>318.75953000000004</v>
      </c>
      <c r="P109" s="179">
        <v>307.28191999999996</v>
      </c>
      <c r="Q109" s="180">
        <v>307.28191999999996</v>
      </c>
      <c r="R109" s="179">
        <v>307.28191999999996</v>
      </c>
      <c r="S109" s="402">
        <v>307.28191999999996</v>
      </c>
      <c r="T109" s="179">
        <f t="shared" si="57"/>
        <v>-1153.9080800000002</v>
      </c>
      <c r="U109" s="179">
        <f t="shared" si="58"/>
        <v>0</v>
      </c>
      <c r="V109" s="406">
        <v>1541.56</v>
      </c>
      <c r="W109" s="167">
        <v>70922.05</v>
      </c>
      <c r="X109" s="167">
        <v>70.922049999999999</v>
      </c>
      <c r="Y109" s="406">
        <v>70.922049999999999</v>
      </c>
      <c r="Z109" s="406">
        <v>68.31871000000001</v>
      </c>
      <c r="AA109" s="406">
        <v>2.22634</v>
      </c>
      <c r="AB109" s="406">
        <v>0.377</v>
      </c>
      <c r="AC109" s="403">
        <v>1610.9301999999998</v>
      </c>
      <c r="AD109" s="166">
        <f>'[71]2. подк.неподк.'!X97+1000</f>
        <v>2470</v>
      </c>
      <c r="AE109" s="406">
        <f t="shared" si="55"/>
        <v>1598.3691980929766</v>
      </c>
      <c r="AF109" s="402">
        <f t="shared" si="60"/>
        <v>1598.3691980929766</v>
      </c>
      <c r="AG109" s="403">
        <v>1675.3674079999998</v>
      </c>
      <c r="AH109" s="179">
        <v>1470</v>
      </c>
      <c r="AI109" s="976">
        <f t="shared" si="59"/>
        <v>20.726981242081976</v>
      </c>
      <c r="AJ109" s="976">
        <f t="shared" si="61"/>
        <v>-205.36740799999984</v>
      </c>
      <c r="AK109" s="986"/>
      <c r="AL109" s="74"/>
      <c r="AM109" s="52">
        <f t="shared" si="64"/>
        <v>-205.36740799999984</v>
      </c>
    </row>
    <row r="110" spans="1:39" ht="33" customHeight="1" outlineLevel="1">
      <c r="A110" s="139"/>
      <c r="B110" s="176" t="s">
        <v>588</v>
      </c>
      <c r="C110" s="980" t="s">
        <v>589</v>
      </c>
      <c r="D110" s="981" t="s">
        <v>652</v>
      </c>
      <c r="E110" s="148" t="s">
        <v>590</v>
      </c>
      <c r="F110" s="172"/>
      <c r="G110" s="404" t="s">
        <v>552</v>
      </c>
      <c r="H110" s="179">
        <v>0</v>
      </c>
      <c r="I110" s="179">
        <v>0</v>
      </c>
      <c r="J110" s="179">
        <v>0</v>
      </c>
      <c r="K110" s="179">
        <v>0</v>
      </c>
      <c r="L110" s="179">
        <v>195</v>
      </c>
      <c r="M110" s="179">
        <v>0</v>
      </c>
      <c r="N110" s="179">
        <v>0</v>
      </c>
      <c r="O110" s="179">
        <v>213.779</v>
      </c>
      <c r="P110" s="179">
        <v>202.26337000000001</v>
      </c>
      <c r="Q110" s="180">
        <v>202.26337000000001</v>
      </c>
      <c r="R110" s="179">
        <v>202.26337000000001</v>
      </c>
      <c r="S110" s="402">
        <v>202.26337000000001</v>
      </c>
      <c r="T110" s="179">
        <f t="shared" si="57"/>
        <v>202.26337000000001</v>
      </c>
      <c r="U110" s="179">
        <f t="shared" si="58"/>
        <v>0</v>
      </c>
      <c r="V110" s="406">
        <v>0</v>
      </c>
      <c r="W110" s="167">
        <v>147910</v>
      </c>
      <c r="X110" s="167">
        <v>147.91</v>
      </c>
      <c r="Y110" s="406">
        <v>147.90999999999997</v>
      </c>
      <c r="Z110" s="406">
        <v>143.21706</v>
      </c>
      <c r="AA110" s="406">
        <v>3.93283</v>
      </c>
      <c r="AB110" s="406">
        <v>0.76011000000000006</v>
      </c>
      <c r="AC110" s="403">
        <v>0</v>
      </c>
      <c r="AD110" s="406">
        <f>'[71]2. подк.неподк.'!X98</f>
        <v>1120</v>
      </c>
      <c r="AE110" s="406">
        <f t="shared" si="55"/>
        <v>0</v>
      </c>
      <c r="AF110" s="402">
        <f t="shared" si="60"/>
        <v>0</v>
      </c>
      <c r="AG110" s="403">
        <v>0</v>
      </c>
      <c r="AH110" s="179">
        <v>1120</v>
      </c>
      <c r="AI110" s="976">
        <f t="shared" si="59"/>
        <v>7.5721722669190727</v>
      </c>
      <c r="AJ110" s="976">
        <f t="shared" si="61"/>
        <v>1120</v>
      </c>
      <c r="AK110" s="977">
        <f t="shared" si="63"/>
        <v>1120</v>
      </c>
      <c r="AL110" s="74"/>
      <c r="AM110" s="52">
        <f t="shared" si="64"/>
        <v>1120</v>
      </c>
    </row>
    <row r="111" spans="1:39" ht="33" customHeight="1" outlineLevel="1">
      <c r="A111" s="139"/>
      <c r="B111" s="176" t="s">
        <v>591</v>
      </c>
      <c r="C111" s="980" t="s">
        <v>592</v>
      </c>
      <c r="D111" s="981" t="s">
        <v>657</v>
      </c>
      <c r="E111" s="148" t="s">
        <v>593</v>
      </c>
      <c r="F111" s="172"/>
      <c r="G111" s="404" t="s">
        <v>552</v>
      </c>
      <c r="H111" s="179">
        <v>0</v>
      </c>
      <c r="I111" s="179">
        <v>0</v>
      </c>
      <c r="J111" s="179">
        <v>0</v>
      </c>
      <c r="K111" s="179">
        <v>150.04</v>
      </c>
      <c r="L111" s="179">
        <v>295.52999999999997</v>
      </c>
      <c r="M111" s="179">
        <v>295.52999999999997</v>
      </c>
      <c r="N111" s="179">
        <v>150.04</v>
      </c>
      <c r="O111" s="179">
        <v>292</v>
      </c>
      <c r="P111" s="179">
        <v>258.83817999999997</v>
      </c>
      <c r="Q111" s="180">
        <v>258.83817999999997</v>
      </c>
      <c r="R111" s="179">
        <v>258.83817999999997</v>
      </c>
      <c r="S111" s="402">
        <v>258.83817999999997</v>
      </c>
      <c r="T111" s="179">
        <f t="shared" si="57"/>
        <v>108.79817999999997</v>
      </c>
      <c r="U111" s="179">
        <f t="shared" si="58"/>
        <v>0</v>
      </c>
      <c r="V111" s="406">
        <v>158.29</v>
      </c>
      <c r="W111" s="167">
        <v>310000</v>
      </c>
      <c r="X111" s="167">
        <v>310</v>
      </c>
      <c r="Y111" s="406">
        <v>310</v>
      </c>
      <c r="Z111" s="406">
        <v>289.71419000000003</v>
      </c>
      <c r="AA111" s="406">
        <v>17.256670000000003</v>
      </c>
      <c r="AB111" s="406">
        <v>3.0291399999999999</v>
      </c>
      <c r="AC111" s="403">
        <v>165.41304999999997</v>
      </c>
      <c r="AD111" s="406">
        <f>'[71]2. подк.неподк.'!X99</f>
        <v>322.39999999999998</v>
      </c>
      <c r="AE111" s="406">
        <f t="shared" si="55"/>
        <v>164.12326498231482</v>
      </c>
      <c r="AF111" s="402">
        <f t="shared" si="60"/>
        <v>164.12326498231482</v>
      </c>
      <c r="AG111" s="403">
        <v>172.02957199999997</v>
      </c>
      <c r="AH111" s="179">
        <v>330.15</v>
      </c>
      <c r="AI111" s="976">
        <f t="shared" si="59"/>
        <v>1.0649999999999999</v>
      </c>
      <c r="AJ111" s="976">
        <f t="shared" si="61"/>
        <v>158.120428</v>
      </c>
      <c r="AK111" s="977">
        <f t="shared" si="63"/>
        <v>330.15</v>
      </c>
      <c r="AL111" s="74"/>
      <c r="AM111" s="52">
        <f t="shared" si="64"/>
        <v>158.120428</v>
      </c>
    </row>
    <row r="112" spans="1:39" ht="33" customHeight="1" outlineLevel="1">
      <c r="A112" s="139"/>
      <c r="B112" s="176" t="s">
        <v>594</v>
      </c>
      <c r="C112" s="980" t="s">
        <v>595</v>
      </c>
      <c r="D112" s="981" t="s">
        <v>661</v>
      </c>
      <c r="E112" s="148" t="s">
        <v>596</v>
      </c>
      <c r="F112" s="172"/>
      <c r="G112" s="404" t="s">
        <v>552</v>
      </c>
      <c r="H112" s="179">
        <v>0</v>
      </c>
      <c r="I112" s="179">
        <v>0</v>
      </c>
      <c r="J112" s="179">
        <v>0</v>
      </c>
      <c r="K112" s="179">
        <v>0</v>
      </c>
      <c r="L112" s="179">
        <v>0</v>
      </c>
      <c r="M112" s="179">
        <v>0</v>
      </c>
      <c r="N112" s="179">
        <v>0</v>
      </c>
      <c r="O112" s="179"/>
      <c r="P112" s="179"/>
      <c r="Q112" s="180"/>
      <c r="R112" s="179">
        <v>0</v>
      </c>
      <c r="S112" s="402">
        <v>0</v>
      </c>
      <c r="T112" s="179">
        <f t="shared" si="57"/>
        <v>0</v>
      </c>
      <c r="U112" s="179">
        <f t="shared" si="58"/>
        <v>0</v>
      </c>
      <c r="V112" s="406">
        <v>0</v>
      </c>
      <c r="W112" s="167">
        <v>18165390.399999999</v>
      </c>
      <c r="X112" s="167">
        <v>18165.3904</v>
      </c>
      <c r="Y112" s="406">
        <v>18165.390400000004</v>
      </c>
      <c r="Z112" s="406"/>
      <c r="AA112" s="406">
        <v>2362.5990099999999</v>
      </c>
      <c r="AB112" s="406">
        <v>135.03973000000002</v>
      </c>
      <c r="AC112" s="403">
        <v>0</v>
      </c>
      <c r="AD112" s="406">
        <f>'[71]2. подк.неподк.'!X100</f>
        <v>0</v>
      </c>
      <c r="AE112" s="406">
        <f t="shared" si="55"/>
        <v>0</v>
      </c>
      <c r="AF112" s="402">
        <f t="shared" si="60"/>
        <v>0</v>
      </c>
      <c r="AG112" s="403">
        <v>0</v>
      </c>
      <c r="AH112" s="179">
        <v>0</v>
      </c>
      <c r="AI112" s="976">
        <f t="shared" si="59"/>
        <v>0</v>
      </c>
      <c r="AJ112" s="976">
        <f t="shared" si="61"/>
        <v>0</v>
      </c>
      <c r="AK112" s="977">
        <f t="shared" si="63"/>
        <v>0</v>
      </c>
      <c r="AL112" s="74"/>
      <c r="AM112" s="52">
        <f t="shared" si="64"/>
        <v>0</v>
      </c>
    </row>
    <row r="113" spans="1:40" ht="33" customHeight="1">
      <c r="A113" s="139"/>
      <c r="B113" s="409" t="s">
        <v>597</v>
      </c>
      <c r="C113" s="955"/>
      <c r="D113" s="167"/>
      <c r="E113" s="185" t="s">
        <v>598</v>
      </c>
      <c r="F113" s="185" t="s">
        <v>598</v>
      </c>
      <c r="G113" s="406" t="s">
        <v>121</v>
      </c>
      <c r="H113" s="402">
        <f t="shared" ref="H113:N113" si="65">SUM(H114,H120)</f>
        <v>90462.118928115742</v>
      </c>
      <c r="I113" s="402">
        <f t="shared" si="65"/>
        <v>84565.034530000004</v>
      </c>
      <c r="J113" s="402">
        <f t="shared" si="65"/>
        <v>84565.033640000009</v>
      </c>
      <c r="K113" s="402">
        <f t="shared" si="65"/>
        <v>99261.676557352388</v>
      </c>
      <c r="L113" s="402">
        <f t="shared" si="65"/>
        <v>105633.92383</v>
      </c>
      <c r="M113" s="402">
        <f t="shared" si="65"/>
        <v>105633.91655999998</v>
      </c>
      <c r="N113" s="402">
        <f t="shared" si="65"/>
        <v>86280.324367356108</v>
      </c>
      <c r="O113" s="402">
        <f>SUM(O114,O120)</f>
        <v>131335.68335000001</v>
      </c>
      <c r="P113" s="402">
        <f>SUM(P114,P120)</f>
        <v>129088.47916</v>
      </c>
      <c r="Q113" s="145">
        <f t="shared" ref="Q113:W113" si="66">SUM(Q114,Q120)</f>
        <v>129088.47916</v>
      </c>
      <c r="R113" s="402">
        <f t="shared" si="66"/>
        <v>129088.47916</v>
      </c>
      <c r="S113" s="402">
        <f t="shared" si="66"/>
        <v>129088.47916</v>
      </c>
      <c r="T113" s="402">
        <f t="shared" si="57"/>
        <v>42808.154792643894</v>
      </c>
      <c r="U113" s="402">
        <f t="shared" si="58"/>
        <v>0</v>
      </c>
      <c r="V113" s="402">
        <f t="shared" si="66"/>
        <v>74028.423791742825</v>
      </c>
      <c r="W113" s="402">
        <f t="shared" si="66"/>
        <v>154252291.22</v>
      </c>
      <c r="X113" s="402">
        <f>SUM(X114,X120)</f>
        <v>154252.29122000001</v>
      </c>
      <c r="Y113" s="402">
        <f t="shared" ref="Y113:AK113" si="67">SUM(Y114,Y120)</f>
        <v>154252.29122000001</v>
      </c>
      <c r="Z113" s="168">
        <f t="shared" si="67"/>
        <v>153414.06935000001</v>
      </c>
      <c r="AA113" s="402">
        <f t="shared" si="67"/>
        <v>672.48061999999982</v>
      </c>
      <c r="AB113" s="402">
        <f t="shared" si="67"/>
        <v>165.74125000000001</v>
      </c>
      <c r="AC113" s="170">
        <f t="shared" si="67"/>
        <v>77359.700362371252</v>
      </c>
      <c r="AD113" s="170">
        <f t="shared" si="67"/>
        <v>187298.98638432712</v>
      </c>
      <c r="AE113" s="170">
        <f t="shared" si="67"/>
        <v>76756.5014479456</v>
      </c>
      <c r="AF113" s="170">
        <f t="shared" si="67"/>
        <v>76756.5014479456</v>
      </c>
      <c r="AG113" s="170">
        <f t="shared" si="67"/>
        <v>80454.090976866108</v>
      </c>
      <c r="AH113" s="173">
        <f t="shared" si="67"/>
        <v>164832.71918858867</v>
      </c>
      <c r="AI113" s="974">
        <f t="shared" si="59"/>
        <v>1.0685917070333721</v>
      </c>
      <c r="AJ113" s="975">
        <f t="shared" ref="AJ113" si="68">SUM(AJ114,AJ120)</f>
        <v>84378.628211722593</v>
      </c>
      <c r="AK113" s="975">
        <f t="shared" si="67"/>
        <v>164024.59666195759</v>
      </c>
      <c r="AL113" s="74"/>
      <c r="AN113" s="191">
        <f>SUM(AM115:AM128)</f>
        <v>84378.628211722593</v>
      </c>
    </row>
    <row r="114" spans="1:40" ht="33" customHeight="1" outlineLevel="1">
      <c r="A114" s="139"/>
      <c r="B114" s="409" t="s">
        <v>599</v>
      </c>
      <c r="C114" s="987"/>
      <c r="D114" s="988"/>
      <c r="E114" s="187" t="s">
        <v>600</v>
      </c>
      <c r="F114" s="187" t="s">
        <v>600</v>
      </c>
      <c r="G114" s="406" t="s">
        <v>121</v>
      </c>
      <c r="H114" s="402">
        <f t="shared" ref="H114:N114" si="69">SUM(H115:H119)</f>
        <v>61649.36176624475</v>
      </c>
      <c r="I114" s="402">
        <f t="shared" si="69"/>
        <v>62192.333639999997</v>
      </c>
      <c r="J114" s="402">
        <f t="shared" si="69"/>
        <v>62192.333639999997</v>
      </c>
      <c r="K114" s="402">
        <f t="shared" si="69"/>
        <v>77789.292082117579</v>
      </c>
      <c r="L114" s="402">
        <f t="shared" si="69"/>
        <v>88686.79406</v>
      </c>
      <c r="M114" s="402">
        <f t="shared" si="69"/>
        <v>88686.789999999979</v>
      </c>
      <c r="N114" s="402">
        <f t="shared" si="69"/>
        <v>67714.398048373812</v>
      </c>
      <c r="O114" s="402">
        <f>SUM(O115:O119)</f>
        <v>102520.16925000001</v>
      </c>
      <c r="P114" s="402">
        <f t="shared" ref="P114:S114" si="70">SUM(P115:P119)</f>
        <v>100593.69667</v>
      </c>
      <c r="Q114" s="145">
        <f t="shared" si="70"/>
        <v>100593.69667</v>
      </c>
      <c r="R114" s="402">
        <f t="shared" si="70"/>
        <v>100593.69667</v>
      </c>
      <c r="S114" s="402">
        <f t="shared" si="70"/>
        <v>100593.69667</v>
      </c>
      <c r="T114" s="402">
        <f t="shared" si="57"/>
        <v>32879.298621626192</v>
      </c>
      <c r="U114" s="402">
        <f t="shared" si="58"/>
        <v>0</v>
      </c>
      <c r="V114" s="402">
        <f>SUM(V115:V119)</f>
        <v>56569.22214749999</v>
      </c>
      <c r="W114" s="402">
        <f>SUM(W115:W119)</f>
        <v>126543084.89999999</v>
      </c>
      <c r="X114" s="953">
        <f>SUM(X115:X119)</f>
        <v>126543.0849</v>
      </c>
      <c r="Y114" s="953">
        <f t="shared" ref="Y114:AK114" si="71">SUM(Y115:Y119)</f>
        <v>126543.0849</v>
      </c>
      <c r="Z114" s="953">
        <f t="shared" si="71"/>
        <v>126168.09026</v>
      </c>
      <c r="AA114" s="953">
        <f t="shared" si="71"/>
        <v>296.04019999999997</v>
      </c>
      <c r="AB114" s="953">
        <f t="shared" si="71"/>
        <v>78.954440000000005</v>
      </c>
      <c r="AC114" s="170">
        <f t="shared" si="71"/>
        <v>59114.834644137489</v>
      </c>
      <c r="AD114" s="170">
        <f t="shared" si="71"/>
        <v>154432.05000000002</v>
      </c>
      <c r="AE114" s="170">
        <f t="shared" si="71"/>
        <v>58653.897506839188</v>
      </c>
      <c r="AF114" s="170">
        <f t="shared" si="71"/>
        <v>58653.897506839188</v>
      </c>
      <c r="AG114" s="170">
        <f t="shared" si="71"/>
        <v>61479.430629902999</v>
      </c>
      <c r="AH114" s="173">
        <f t="shared" si="71"/>
        <v>129394.94</v>
      </c>
      <c r="AI114" s="974">
        <f t="shared" si="59"/>
        <v>1.0225366332917651</v>
      </c>
      <c r="AJ114" s="975">
        <f t="shared" ref="AJ114" si="72">SUM(AJ115:AJ119)</f>
        <v>67915.509370097017</v>
      </c>
      <c r="AK114" s="975">
        <f t="shared" si="71"/>
        <v>128840.27</v>
      </c>
      <c r="AL114" s="74"/>
    </row>
    <row r="115" spans="1:40" ht="33" customHeight="1" outlineLevel="2">
      <c r="A115" s="139" t="s">
        <v>601</v>
      </c>
      <c r="B115" s="406" t="s">
        <v>602</v>
      </c>
      <c r="C115" s="198" t="s">
        <v>603</v>
      </c>
      <c r="D115" s="956" t="s">
        <v>672</v>
      </c>
      <c r="E115" s="148" t="s">
        <v>604</v>
      </c>
      <c r="F115" s="405" t="s">
        <v>605</v>
      </c>
      <c r="G115" s="406" t="s">
        <v>121</v>
      </c>
      <c r="H115" s="406">
        <v>13836.057856128504</v>
      </c>
      <c r="I115" s="406">
        <v>6601.8531700000003</v>
      </c>
      <c r="J115" s="406">
        <v>6601.8531700000003</v>
      </c>
      <c r="K115" s="406">
        <v>32488.04</v>
      </c>
      <c r="L115" s="406">
        <v>28610.317640000001</v>
      </c>
      <c r="M115" s="406">
        <v>28610.32</v>
      </c>
      <c r="N115" s="406">
        <v>21881.55</v>
      </c>
      <c r="O115" s="406">
        <v>62695.327549999995</v>
      </c>
      <c r="P115" s="406">
        <v>62725.195039999999</v>
      </c>
      <c r="Q115" s="150">
        <v>62725.195039999999</v>
      </c>
      <c r="R115" s="406">
        <v>62725.195039999999</v>
      </c>
      <c r="S115" s="402">
        <v>62725.195039999999</v>
      </c>
      <c r="T115" s="406">
        <f t="shared" si="57"/>
        <v>40843.645040000003</v>
      </c>
      <c r="U115" s="406">
        <f t="shared" si="58"/>
        <v>0</v>
      </c>
      <c r="V115" s="406">
        <v>32447.679169999996</v>
      </c>
      <c r="W115" s="167">
        <v>112398570.41</v>
      </c>
      <c r="X115" s="167">
        <v>112398.57041</v>
      </c>
      <c r="Y115" s="406">
        <v>112398.57041</v>
      </c>
      <c r="Z115" s="406">
        <v>112361.69822000001</v>
      </c>
      <c r="AA115" s="406">
        <v>0</v>
      </c>
      <c r="AB115" s="406">
        <v>36.872190000000003</v>
      </c>
      <c r="AC115" s="403">
        <v>33907.824732649991</v>
      </c>
      <c r="AD115" s="406">
        <f>'[71]2. подк.неподк.'!X103</f>
        <v>109702.51</v>
      </c>
      <c r="AE115" s="406">
        <f>V115*$AD$11</f>
        <v>33643.433233173586</v>
      </c>
      <c r="AF115" s="402">
        <f t="shared" si="60"/>
        <v>33643.433233173586</v>
      </c>
      <c r="AG115" s="167">
        <v>35264.137721955994</v>
      </c>
      <c r="AH115" s="406">
        <v>95979.58</v>
      </c>
      <c r="AI115" s="957">
        <f t="shared" si="59"/>
        <v>0.85392171492833135</v>
      </c>
      <c r="AJ115" s="957">
        <f t="shared" si="61"/>
        <v>60715.442278044007</v>
      </c>
      <c r="AK115" s="958">
        <f t="shared" ref="AK115:AK128" si="73">AH115</f>
        <v>95979.58</v>
      </c>
      <c r="AL115" s="74"/>
      <c r="AM115" s="52">
        <f>AH115-AG115</f>
        <v>60715.442278044007</v>
      </c>
    </row>
    <row r="116" spans="1:40" ht="33" customHeight="1" outlineLevel="2">
      <c r="A116" s="139" t="s">
        <v>606</v>
      </c>
      <c r="B116" s="406" t="s">
        <v>607</v>
      </c>
      <c r="C116" s="198" t="s">
        <v>608</v>
      </c>
      <c r="D116" s="956" t="s">
        <v>677</v>
      </c>
      <c r="E116" s="148" t="s">
        <v>609</v>
      </c>
      <c r="F116" s="1340" t="s">
        <v>610</v>
      </c>
      <c r="G116" s="1341" t="s">
        <v>121</v>
      </c>
      <c r="H116" s="406">
        <v>17549.834470801015</v>
      </c>
      <c r="I116" s="406">
        <v>13416.07368</v>
      </c>
      <c r="J116" s="406">
        <v>13416.07368</v>
      </c>
      <c r="K116" s="406">
        <v>18303.740000000002</v>
      </c>
      <c r="L116" s="406">
        <v>49380.83</v>
      </c>
      <c r="M116" s="406">
        <v>49380.83</v>
      </c>
      <c r="N116" s="406">
        <v>19327</v>
      </c>
      <c r="O116" s="406">
        <v>27548.53241</v>
      </c>
      <c r="P116" s="406">
        <v>25820.29638</v>
      </c>
      <c r="Q116" s="150">
        <v>25820.29638</v>
      </c>
      <c r="R116" s="406">
        <v>25820.29638</v>
      </c>
      <c r="S116" s="402">
        <v>25820.29638</v>
      </c>
      <c r="T116" s="406">
        <f t="shared" si="57"/>
        <v>6493.2963799999998</v>
      </c>
      <c r="U116" s="406">
        <f t="shared" si="58"/>
        <v>0</v>
      </c>
      <c r="V116" s="406">
        <v>15673.24</v>
      </c>
      <c r="W116" s="167">
        <v>3340411.03</v>
      </c>
      <c r="X116" s="167">
        <v>3340.4110299999998</v>
      </c>
      <c r="Y116" s="406">
        <v>3340.4110300000002</v>
      </c>
      <c r="Z116" s="406">
        <v>3088.6011000000003</v>
      </c>
      <c r="AA116" s="406">
        <v>216.32022000000001</v>
      </c>
      <c r="AB116" s="406">
        <v>35.489710000000002</v>
      </c>
      <c r="AC116" s="403">
        <v>16378.535799999998</v>
      </c>
      <c r="AD116" s="406">
        <f>'[71]2. подк.неподк.'!X104</f>
        <v>31725.15</v>
      </c>
      <c r="AE116" s="406">
        <f>V116*$AD$11</f>
        <v>16250.826468200241</v>
      </c>
      <c r="AF116" s="402">
        <f t="shared" si="60"/>
        <v>16250.826468200241</v>
      </c>
      <c r="AG116" s="167">
        <v>17033.677231999998</v>
      </c>
      <c r="AH116" s="406">
        <v>21853.66</v>
      </c>
      <c r="AI116" s="957">
        <f t="shared" si="59"/>
        <v>6.5422068732661325</v>
      </c>
      <c r="AJ116" s="957">
        <f t="shared" si="61"/>
        <v>4819.9827680000017</v>
      </c>
      <c r="AK116" s="958">
        <f t="shared" si="73"/>
        <v>21853.66</v>
      </c>
      <c r="AL116" s="74"/>
      <c r="AM116" s="52">
        <f>AH116-AG116</f>
        <v>4819.9827680000017</v>
      </c>
    </row>
    <row r="117" spans="1:40" ht="33" customHeight="1" outlineLevel="2">
      <c r="A117" s="139" t="s">
        <v>611</v>
      </c>
      <c r="B117" s="406" t="s">
        <v>612</v>
      </c>
      <c r="C117" s="198" t="s">
        <v>613</v>
      </c>
      <c r="D117" s="956" t="s">
        <v>682</v>
      </c>
      <c r="E117" s="148" t="s">
        <v>614</v>
      </c>
      <c r="F117" s="1340"/>
      <c r="G117" s="1341"/>
      <c r="H117" s="406">
        <v>0</v>
      </c>
      <c r="I117" s="406">
        <v>0</v>
      </c>
      <c r="J117" s="406">
        <v>0</v>
      </c>
      <c r="K117" s="406">
        <v>953.22</v>
      </c>
      <c r="L117" s="406">
        <v>2571.65</v>
      </c>
      <c r="M117" s="406">
        <v>2571.65</v>
      </c>
      <c r="N117" s="406">
        <v>1006.51</v>
      </c>
      <c r="O117" s="406">
        <v>2438.0134299999995</v>
      </c>
      <c r="P117" s="406">
        <v>2209.9093900000003</v>
      </c>
      <c r="Q117" s="150">
        <v>2209.9093900000003</v>
      </c>
      <c r="R117" s="406">
        <v>2209.9093900000003</v>
      </c>
      <c r="S117" s="402">
        <v>2209.9093900000003</v>
      </c>
      <c r="T117" s="406">
        <f t="shared" si="57"/>
        <v>1203.3993900000003</v>
      </c>
      <c r="U117" s="406">
        <f t="shared" si="58"/>
        <v>0</v>
      </c>
      <c r="V117" s="406">
        <v>816.06</v>
      </c>
      <c r="W117" s="167">
        <v>797718.82000000007</v>
      </c>
      <c r="X117" s="167">
        <v>797.71882000000005</v>
      </c>
      <c r="Y117" s="406">
        <v>797.71881999999994</v>
      </c>
      <c r="Z117" s="406">
        <v>711.40782999999999</v>
      </c>
      <c r="AA117" s="406">
        <v>79.718829999999997</v>
      </c>
      <c r="AB117" s="406">
        <v>6.5921599999999998</v>
      </c>
      <c r="AC117" s="403">
        <v>852.78269999999986</v>
      </c>
      <c r="AD117" s="406">
        <f>'[71]2. подк.неподк.'!X105</f>
        <v>2142.91</v>
      </c>
      <c r="AE117" s="406">
        <f>V117*$AD$11</f>
        <v>846.13324670836971</v>
      </c>
      <c r="AF117" s="402">
        <f t="shared" si="60"/>
        <v>846.13324670836971</v>
      </c>
      <c r="AG117" s="167">
        <v>886.89400799999987</v>
      </c>
      <c r="AH117" s="406">
        <v>554.66999999999996</v>
      </c>
      <c r="AI117" s="957">
        <f t="shared" si="59"/>
        <v>0.69532018813345775</v>
      </c>
      <c r="AJ117" s="957">
        <f t="shared" si="61"/>
        <v>-332.22400799999991</v>
      </c>
      <c r="AK117" s="965"/>
      <c r="AL117" s="74"/>
      <c r="AM117" s="52">
        <f>AH117-AG117</f>
        <v>-332.22400799999991</v>
      </c>
    </row>
    <row r="118" spans="1:40" ht="33" customHeight="1" outlineLevel="2">
      <c r="A118" s="139" t="s">
        <v>615</v>
      </c>
      <c r="B118" s="406" t="s">
        <v>616</v>
      </c>
      <c r="C118" s="198" t="s">
        <v>617</v>
      </c>
      <c r="D118" s="956" t="s">
        <v>687</v>
      </c>
      <c r="E118" s="148" t="s">
        <v>618</v>
      </c>
      <c r="F118" s="405" t="s">
        <v>619</v>
      </c>
      <c r="G118" s="406" t="s">
        <v>121</v>
      </c>
      <c r="H118" s="406">
        <v>13947.739439315237</v>
      </c>
      <c r="I118" s="406">
        <v>3491.11679</v>
      </c>
      <c r="J118" s="406">
        <v>3491.11679</v>
      </c>
      <c r="K118" s="406">
        <v>15304.482082117578</v>
      </c>
      <c r="L118" s="406">
        <v>6683.34303</v>
      </c>
      <c r="M118" s="406">
        <v>6683.34</v>
      </c>
      <c r="N118" s="406">
        <v>16160.0680483738</v>
      </c>
      <c r="O118" s="406">
        <v>9788.2958600000002</v>
      </c>
      <c r="P118" s="406">
        <v>9788.2958600000002</v>
      </c>
      <c r="Q118" s="150">
        <v>9788.2958600000002</v>
      </c>
      <c r="R118" s="406">
        <v>9788.2958600000002</v>
      </c>
      <c r="S118" s="402">
        <v>9788.2958600000002</v>
      </c>
      <c r="T118" s="406">
        <f t="shared" si="57"/>
        <v>-6371.7721883737995</v>
      </c>
      <c r="U118" s="406">
        <f t="shared" si="58"/>
        <v>0</v>
      </c>
      <c r="V118" s="406">
        <v>7579.7429775000001</v>
      </c>
      <c r="W118" s="167">
        <v>9926767.2699999996</v>
      </c>
      <c r="X118" s="167">
        <v>9926.7672700000003</v>
      </c>
      <c r="Y118" s="406">
        <v>9926.7672700000003</v>
      </c>
      <c r="Z118" s="406">
        <v>9926.7672700000003</v>
      </c>
      <c r="AA118" s="406">
        <v>0</v>
      </c>
      <c r="AB118" s="406">
        <v>0</v>
      </c>
      <c r="AC118" s="403">
        <v>7920.8314114874993</v>
      </c>
      <c r="AD118" s="406">
        <f>'[71]2. подк.неподк.'!X106</f>
        <v>10806.28</v>
      </c>
      <c r="AE118" s="406">
        <f>V118*$AD$11</f>
        <v>7859.0698413928394</v>
      </c>
      <c r="AF118" s="402">
        <f t="shared" si="60"/>
        <v>7859.0698413928394</v>
      </c>
      <c r="AG118" s="167">
        <v>8237.6646679469995</v>
      </c>
      <c r="AH118" s="406">
        <v>10919.45</v>
      </c>
      <c r="AI118" s="957">
        <f t="shared" si="59"/>
        <v>1.1000006047285926</v>
      </c>
      <c r="AJ118" s="957">
        <f t="shared" si="61"/>
        <v>2681.7853320530012</v>
      </c>
      <c r="AK118" s="958">
        <f t="shared" si="73"/>
        <v>10919.45</v>
      </c>
      <c r="AL118" s="74"/>
      <c r="AM118" s="52">
        <f>AH118-AG118</f>
        <v>2681.7853320530012</v>
      </c>
    </row>
    <row r="119" spans="1:40" ht="33" customHeight="1" outlineLevel="2">
      <c r="A119" s="407" t="s">
        <v>620</v>
      </c>
      <c r="B119" s="406" t="s">
        <v>621</v>
      </c>
      <c r="C119" s="198" t="s">
        <v>622</v>
      </c>
      <c r="D119" s="956" t="s">
        <v>692</v>
      </c>
      <c r="E119" s="164" t="s">
        <v>623</v>
      </c>
      <c r="F119" s="405" t="s">
        <v>624</v>
      </c>
      <c r="G119" s="406" t="s">
        <v>121</v>
      </c>
      <c r="H119" s="406">
        <v>16315.73</v>
      </c>
      <c r="I119" s="406">
        <v>38683.29</v>
      </c>
      <c r="J119" s="406">
        <v>38683.29</v>
      </c>
      <c r="K119" s="406">
        <v>10739.81</v>
      </c>
      <c r="L119" s="406">
        <v>1440.6533899999899</v>
      </c>
      <c r="M119" s="406">
        <v>1440.65</v>
      </c>
      <c r="N119" s="406">
        <v>9339.27</v>
      </c>
      <c r="O119" s="406">
        <v>50</v>
      </c>
      <c r="P119" s="406">
        <v>50</v>
      </c>
      <c r="Q119" s="150">
        <v>50</v>
      </c>
      <c r="R119" s="406">
        <v>50</v>
      </c>
      <c r="S119" s="402">
        <v>50</v>
      </c>
      <c r="T119" s="406">
        <f t="shared" si="57"/>
        <v>-9289.27</v>
      </c>
      <c r="U119" s="406">
        <f t="shared" si="58"/>
        <v>0</v>
      </c>
      <c r="V119" s="406">
        <v>52.5</v>
      </c>
      <c r="W119" s="167">
        <v>79617.37000000001</v>
      </c>
      <c r="X119" s="167">
        <v>79.617370000000008</v>
      </c>
      <c r="Y119" s="406">
        <v>79.617370000000008</v>
      </c>
      <c r="Z119" s="406">
        <v>79.615840000000006</v>
      </c>
      <c r="AA119" s="406">
        <v>1.15E-3</v>
      </c>
      <c r="AB119" s="406">
        <v>3.8000000000000002E-4</v>
      </c>
      <c r="AC119" s="403">
        <v>54.86</v>
      </c>
      <c r="AD119" s="406">
        <f>'[71]2. подк.неподк.'!X107</f>
        <v>55.2</v>
      </c>
      <c r="AE119" s="406">
        <f>V119*$AD$11</f>
        <v>54.434717364151425</v>
      </c>
      <c r="AF119" s="402">
        <f t="shared" si="60"/>
        <v>54.434717364151425</v>
      </c>
      <c r="AG119" s="167">
        <v>57.057000000000002</v>
      </c>
      <c r="AH119" s="406">
        <v>87.58</v>
      </c>
      <c r="AI119" s="957">
        <f t="shared" si="59"/>
        <v>1.1000112161454214</v>
      </c>
      <c r="AJ119" s="957">
        <f t="shared" si="61"/>
        <v>30.522999999999996</v>
      </c>
      <c r="AK119" s="958">
        <f t="shared" si="73"/>
        <v>87.58</v>
      </c>
      <c r="AL119" s="74"/>
      <c r="AM119" s="52">
        <f>AH119-AG119</f>
        <v>30.522999999999996</v>
      </c>
    </row>
    <row r="120" spans="1:40" ht="33" customHeight="1" outlineLevel="1">
      <c r="A120" s="139"/>
      <c r="B120" s="409" t="s">
        <v>625</v>
      </c>
      <c r="C120" s="186"/>
      <c r="D120" s="195"/>
      <c r="E120" s="187" t="s">
        <v>626</v>
      </c>
      <c r="F120" s="187" t="s">
        <v>626</v>
      </c>
      <c r="G120" s="406" t="s">
        <v>121</v>
      </c>
      <c r="H120" s="402">
        <f t="shared" ref="H120:N120" si="74">SUM(H121:H128)</f>
        <v>28812.757161870992</v>
      </c>
      <c r="I120" s="402">
        <f t="shared" si="74"/>
        <v>22372.70089</v>
      </c>
      <c r="J120" s="402">
        <f t="shared" si="74"/>
        <v>22372.700000000004</v>
      </c>
      <c r="K120" s="402">
        <f t="shared" si="74"/>
        <v>21472.384475234809</v>
      </c>
      <c r="L120" s="402">
        <f t="shared" si="74"/>
        <v>16947.12977</v>
      </c>
      <c r="M120" s="402">
        <f t="shared" si="74"/>
        <v>16947.126560000001</v>
      </c>
      <c r="N120" s="402">
        <f t="shared" si="74"/>
        <v>18565.926318982296</v>
      </c>
      <c r="O120" s="402">
        <f>SUM(O121:O128)</f>
        <v>28815.5141</v>
      </c>
      <c r="P120" s="402">
        <f t="shared" ref="P120:W120" si="75">SUM(P121:P128)</f>
        <v>28494.782489999998</v>
      </c>
      <c r="Q120" s="145">
        <f t="shared" si="75"/>
        <v>28494.782489999998</v>
      </c>
      <c r="R120" s="402">
        <f t="shared" si="75"/>
        <v>28494.782489999998</v>
      </c>
      <c r="S120" s="402">
        <f t="shared" si="75"/>
        <v>28494.782489999998</v>
      </c>
      <c r="T120" s="402">
        <f t="shared" si="57"/>
        <v>9928.8561710177019</v>
      </c>
      <c r="U120" s="402">
        <f t="shared" si="58"/>
        <v>0</v>
      </c>
      <c r="V120" s="402">
        <f t="shared" si="75"/>
        <v>17459.201644242832</v>
      </c>
      <c r="W120" s="953">
        <f t="shared" si="75"/>
        <v>27709206.32</v>
      </c>
      <c r="X120" s="953">
        <f>SUM(X121:X128)</f>
        <v>27709.206319999998</v>
      </c>
      <c r="Y120" s="953">
        <f t="shared" ref="Y120:AK120" si="76">SUM(Y121:Y128)</f>
        <v>27709.206319999998</v>
      </c>
      <c r="Z120" s="953">
        <f t="shared" si="76"/>
        <v>27245.979089999997</v>
      </c>
      <c r="AA120" s="953">
        <f t="shared" si="76"/>
        <v>376.4404199999999</v>
      </c>
      <c r="AB120" s="953">
        <f t="shared" si="76"/>
        <v>86.786810000000003</v>
      </c>
      <c r="AC120" s="170">
        <f t="shared" si="76"/>
        <v>18244.865718233756</v>
      </c>
      <c r="AD120" s="170">
        <f t="shared" si="76"/>
        <v>32866.936384327106</v>
      </c>
      <c r="AE120" s="170">
        <f t="shared" si="76"/>
        <v>18102.603941106405</v>
      </c>
      <c r="AF120" s="170">
        <f t="shared" si="76"/>
        <v>18102.603941106405</v>
      </c>
      <c r="AG120" s="170">
        <f t="shared" si="76"/>
        <v>18974.660346963108</v>
      </c>
      <c r="AH120" s="173">
        <f t="shared" si="76"/>
        <v>35437.779188588684</v>
      </c>
      <c r="AI120" s="974">
        <f t="shared" si="59"/>
        <v>1.2789171504710455</v>
      </c>
      <c r="AJ120" s="975">
        <f t="shared" si="76"/>
        <v>16463.118841625575</v>
      </c>
      <c r="AK120" s="975">
        <f t="shared" si="76"/>
        <v>35184.326661957595</v>
      </c>
      <c r="AL120" s="74"/>
    </row>
    <row r="121" spans="1:40" ht="33" customHeight="1" outlineLevel="2">
      <c r="A121" s="407" t="s">
        <v>627</v>
      </c>
      <c r="B121" s="406" t="s">
        <v>628</v>
      </c>
      <c r="C121" s="198" t="s">
        <v>629</v>
      </c>
      <c r="D121" s="956" t="s">
        <v>697</v>
      </c>
      <c r="E121" s="148" t="s">
        <v>630</v>
      </c>
      <c r="F121" s="149" t="s">
        <v>631</v>
      </c>
      <c r="G121" s="406" t="s">
        <v>121</v>
      </c>
      <c r="H121" s="406">
        <v>9243.9</v>
      </c>
      <c r="I121" s="406">
        <v>4829.74</v>
      </c>
      <c r="J121" s="406">
        <v>4829.74</v>
      </c>
      <c r="K121" s="406">
        <v>0</v>
      </c>
      <c r="L121" s="406">
        <v>0</v>
      </c>
      <c r="M121" s="406">
        <v>0</v>
      </c>
      <c r="N121" s="406">
        <v>1193.75</v>
      </c>
      <c r="O121" s="406">
        <v>1192.4649299999999</v>
      </c>
      <c r="P121" s="406">
        <v>1191.1294499999999</v>
      </c>
      <c r="Q121" s="150">
        <v>1191.1294499999999</v>
      </c>
      <c r="R121" s="406">
        <v>1191.1294499999999</v>
      </c>
      <c r="S121" s="402">
        <v>1191.1294499999999</v>
      </c>
      <c r="T121" s="406">
        <f t="shared" si="57"/>
        <v>-2.6205500000000939</v>
      </c>
      <c r="U121" s="406">
        <f t="shared" si="58"/>
        <v>0</v>
      </c>
      <c r="V121" s="406">
        <v>0</v>
      </c>
      <c r="W121" s="167">
        <v>769312.29</v>
      </c>
      <c r="X121" s="167">
        <v>769.31229000000008</v>
      </c>
      <c r="Y121" s="406">
        <v>769.31229000000008</v>
      </c>
      <c r="Z121" s="406">
        <v>769.01868000000002</v>
      </c>
      <c r="AA121" s="406">
        <v>0.20861000000000002</v>
      </c>
      <c r="AB121" s="406">
        <v>8.5000000000000006E-2</v>
      </c>
      <c r="AC121" s="403">
        <v>0</v>
      </c>
      <c r="AD121" s="406">
        <f>'[71]2. подк.неподк.'!X109</f>
        <v>1240.45</v>
      </c>
      <c r="AE121" s="406">
        <f t="shared" ref="AE121:AE128" si="77">V121*$AD$11</f>
        <v>0</v>
      </c>
      <c r="AF121" s="402">
        <f t="shared" si="60"/>
        <v>0</v>
      </c>
      <c r="AG121" s="167">
        <v>0</v>
      </c>
      <c r="AH121" s="406">
        <v>849.32</v>
      </c>
      <c r="AI121" s="957">
        <f t="shared" si="59"/>
        <v>1.1039990014978183</v>
      </c>
      <c r="AJ121" s="957">
        <f t="shared" si="61"/>
        <v>849.32</v>
      </c>
      <c r="AK121" s="958">
        <f t="shared" si="73"/>
        <v>849.32</v>
      </c>
      <c r="AL121" s="74"/>
      <c r="AM121" s="52">
        <f t="shared" ref="AM121:AM128" si="78">AH121-AG121</f>
        <v>849.32</v>
      </c>
    </row>
    <row r="122" spans="1:40" ht="33" customHeight="1" outlineLevel="2">
      <c r="A122" s="139" t="s">
        <v>632</v>
      </c>
      <c r="B122" s="406" t="s">
        <v>633</v>
      </c>
      <c r="C122" s="198" t="s">
        <v>634</v>
      </c>
      <c r="D122" s="956" t="s">
        <v>702</v>
      </c>
      <c r="E122" s="148" t="s">
        <v>635</v>
      </c>
      <c r="F122" s="149" t="s">
        <v>636</v>
      </c>
      <c r="G122" s="406" t="s">
        <v>121</v>
      </c>
      <c r="H122" s="406">
        <v>8432.9125840524048</v>
      </c>
      <c r="I122" s="406">
        <v>8270.0497099999993</v>
      </c>
      <c r="J122" s="406">
        <v>8270.0499999999993</v>
      </c>
      <c r="K122" s="406">
        <v>9253.2098197147079</v>
      </c>
      <c r="L122" s="406">
        <v>8605.0923800000019</v>
      </c>
      <c r="M122" s="406">
        <v>8605.09</v>
      </c>
      <c r="N122" s="406">
        <v>7030.4659392748545</v>
      </c>
      <c r="O122" s="406">
        <v>10531.4162</v>
      </c>
      <c r="P122" s="406">
        <v>10462.21156</v>
      </c>
      <c r="Q122" s="150">
        <v>10462.21156</v>
      </c>
      <c r="R122" s="406">
        <v>10462.21156</v>
      </c>
      <c r="S122" s="402">
        <v>10462.21156</v>
      </c>
      <c r="T122" s="406">
        <f t="shared" si="57"/>
        <v>3431.7456207251453</v>
      </c>
      <c r="U122" s="406">
        <f t="shared" si="58"/>
        <v>0</v>
      </c>
      <c r="V122" s="406">
        <v>9759.2476962500004</v>
      </c>
      <c r="W122" s="167">
        <v>12436224.300000001</v>
      </c>
      <c r="X122" s="167">
        <v>12436.2243</v>
      </c>
      <c r="Y122" s="406">
        <v>12436.224299999998</v>
      </c>
      <c r="Z122" s="406">
        <v>12392.33935</v>
      </c>
      <c r="AA122" s="406">
        <v>37.572110000000002</v>
      </c>
      <c r="AB122" s="406">
        <v>6.3128400000000005</v>
      </c>
      <c r="AC122" s="403">
        <v>10198.413842581249</v>
      </c>
      <c r="AD122" s="406">
        <f>'[71]2. подк.неподк.'!X110</f>
        <v>12039.995869574399</v>
      </c>
      <c r="AE122" s="406">
        <f t="shared" si="77"/>
        <v>10118.893143468851</v>
      </c>
      <c r="AF122" s="402">
        <f t="shared" si="60"/>
        <v>10118.893143468851</v>
      </c>
      <c r="AG122" s="167">
        <v>10606.350396284499</v>
      </c>
      <c r="AH122" s="406">
        <v>18324.394903237499</v>
      </c>
      <c r="AI122" s="957">
        <f t="shared" si="59"/>
        <v>1.4734693152195315</v>
      </c>
      <c r="AJ122" s="957">
        <f t="shared" si="61"/>
        <v>7718.0445069529997</v>
      </c>
      <c r="AK122" s="958">
        <f t="shared" si="73"/>
        <v>18324.394903237499</v>
      </c>
      <c r="AL122" s="74"/>
      <c r="AM122" s="52">
        <f t="shared" si="78"/>
        <v>7718.0445069529997</v>
      </c>
    </row>
    <row r="123" spans="1:40" ht="33" customHeight="1" outlineLevel="2">
      <c r="A123" s="139" t="s">
        <v>637</v>
      </c>
      <c r="B123" s="406" t="s">
        <v>638</v>
      </c>
      <c r="C123" s="198" t="s">
        <v>639</v>
      </c>
      <c r="D123" s="956" t="s">
        <v>707</v>
      </c>
      <c r="E123" s="148" t="s">
        <v>640</v>
      </c>
      <c r="F123" s="149" t="s">
        <v>641</v>
      </c>
      <c r="G123" s="406" t="s">
        <v>121</v>
      </c>
      <c r="H123" s="406">
        <v>533.42205464403571</v>
      </c>
      <c r="I123" s="406">
        <v>1416.7792400000001</v>
      </c>
      <c r="J123" s="406">
        <v>1416.78</v>
      </c>
      <c r="K123" s="406">
        <v>585.30977819204134</v>
      </c>
      <c r="L123" s="406">
        <v>793.79155000000003</v>
      </c>
      <c r="M123" s="406">
        <v>793.79</v>
      </c>
      <c r="N123" s="406">
        <v>1017.4871237402791</v>
      </c>
      <c r="O123" s="406">
        <v>8703.1133399999999</v>
      </c>
      <c r="P123" s="406">
        <v>8591.1310199999989</v>
      </c>
      <c r="Q123" s="150">
        <v>8591.1310199999989</v>
      </c>
      <c r="R123" s="406">
        <v>8591.1310199999989</v>
      </c>
      <c r="S123" s="402">
        <v>8591.1310199999989</v>
      </c>
      <c r="T123" s="406">
        <f t="shared" si="57"/>
        <v>7573.6438962597194</v>
      </c>
      <c r="U123" s="406">
        <f t="shared" si="58"/>
        <v>0</v>
      </c>
      <c r="V123" s="406">
        <v>1068</v>
      </c>
      <c r="W123" s="167">
        <v>3604489.39</v>
      </c>
      <c r="X123" s="167">
        <v>3604.4893900000002</v>
      </c>
      <c r="Y123" s="406">
        <v>3604.4893900000002</v>
      </c>
      <c r="Z123" s="406">
        <v>3543.7746299999999</v>
      </c>
      <c r="AA123" s="406">
        <v>55.623449999999998</v>
      </c>
      <c r="AB123" s="406">
        <v>5.09131</v>
      </c>
      <c r="AC123" s="403">
        <v>1116.06</v>
      </c>
      <c r="AD123" s="406">
        <f>'[71]2. подк.неподк.'!X111</f>
        <v>9608.237127360002</v>
      </c>
      <c r="AE123" s="406">
        <f t="shared" si="77"/>
        <v>1107.3576789507376</v>
      </c>
      <c r="AF123" s="402">
        <f t="shared" si="60"/>
        <v>1107.3576789507376</v>
      </c>
      <c r="AG123" s="167">
        <v>1160.7023999999999</v>
      </c>
      <c r="AH123" s="406">
        <v>3979.35187056</v>
      </c>
      <c r="AI123" s="957">
        <f t="shared" si="59"/>
        <v>1.1039987748611462</v>
      </c>
      <c r="AJ123" s="957">
        <f t="shared" si="61"/>
        <v>2818.6494705599998</v>
      </c>
      <c r="AK123" s="958">
        <f t="shared" si="73"/>
        <v>3979.35187056</v>
      </c>
      <c r="AL123" s="74"/>
      <c r="AM123" s="52">
        <f t="shared" si="78"/>
        <v>2818.6494705599998</v>
      </c>
    </row>
    <row r="124" spans="1:40" ht="33" customHeight="1" outlineLevel="2">
      <c r="A124" s="139" t="s">
        <v>642</v>
      </c>
      <c r="B124" s="406" t="s">
        <v>643</v>
      </c>
      <c r="C124" s="198" t="s">
        <v>644</v>
      </c>
      <c r="D124" s="956" t="s">
        <v>712</v>
      </c>
      <c r="E124" s="148" t="s">
        <v>645</v>
      </c>
      <c r="F124" s="149" t="s">
        <v>646</v>
      </c>
      <c r="G124" s="406" t="s">
        <v>121</v>
      </c>
      <c r="H124" s="406">
        <v>3031.7074666866979</v>
      </c>
      <c r="I124" s="406">
        <v>5402.20046</v>
      </c>
      <c r="J124" s="406">
        <v>5402.2</v>
      </c>
      <c r="K124" s="406">
        <v>3326.6116566059527</v>
      </c>
      <c r="L124" s="406">
        <v>5443.60167</v>
      </c>
      <c r="M124" s="406">
        <v>5443.6</v>
      </c>
      <c r="N124" s="406">
        <v>3879.6936408482502</v>
      </c>
      <c r="O124" s="406">
        <v>5233.3569299999999</v>
      </c>
      <c r="P124" s="406">
        <v>5233.3569299999999</v>
      </c>
      <c r="Q124" s="150">
        <v>5233.3569299999999</v>
      </c>
      <c r="R124" s="406">
        <v>5233.3569299999999</v>
      </c>
      <c r="S124" s="402">
        <v>5233.3569299999999</v>
      </c>
      <c r="T124" s="406">
        <f t="shared" si="57"/>
        <v>1353.6632891517497</v>
      </c>
      <c r="U124" s="406">
        <f t="shared" si="58"/>
        <v>0</v>
      </c>
      <c r="V124" s="406">
        <v>4093.0767910949003</v>
      </c>
      <c r="W124" s="167">
        <v>5996527.2699999996</v>
      </c>
      <c r="X124" s="167">
        <v>5996.5272699999996</v>
      </c>
      <c r="Y124" s="406">
        <v>5996.5272699999996</v>
      </c>
      <c r="Z124" s="406">
        <v>5996.5272699999996</v>
      </c>
      <c r="AA124" s="406">
        <v>0</v>
      </c>
      <c r="AB124" s="406">
        <v>0</v>
      </c>
      <c r="AC124" s="403">
        <v>4277.2652466941709</v>
      </c>
      <c r="AD124" s="406">
        <f>'[71]2. подк.неподк.'!X112</f>
        <v>6588.2101073927042</v>
      </c>
      <c r="AE124" s="406">
        <f t="shared" si="77"/>
        <v>4243.9138718670238</v>
      </c>
      <c r="AF124" s="402">
        <f t="shared" si="60"/>
        <v>4243.9138718670238</v>
      </c>
      <c r="AG124" s="167">
        <v>4448.3558565619378</v>
      </c>
      <c r="AH124" s="406">
        <v>6861.2816249600992</v>
      </c>
      <c r="AI124" s="957">
        <f t="shared" si="59"/>
        <v>1.1442091924248181</v>
      </c>
      <c r="AJ124" s="957">
        <f t="shared" si="61"/>
        <v>2412.9257683981614</v>
      </c>
      <c r="AK124" s="958">
        <f t="shared" si="73"/>
        <v>6861.2816249600992</v>
      </c>
      <c r="AL124" s="74"/>
      <c r="AM124" s="52">
        <f t="shared" si="78"/>
        <v>2412.9257683981614</v>
      </c>
    </row>
    <row r="125" spans="1:40" ht="33" customHeight="1" outlineLevel="2">
      <c r="A125" s="139" t="s">
        <v>647</v>
      </c>
      <c r="B125" s="406" t="s">
        <v>648</v>
      </c>
      <c r="C125" s="198" t="s">
        <v>649</v>
      </c>
      <c r="D125" s="969" t="s">
        <v>720</v>
      </c>
      <c r="E125" s="148" t="s">
        <v>650</v>
      </c>
      <c r="F125" s="149" t="s">
        <v>651</v>
      </c>
      <c r="G125" s="406" t="s">
        <v>121</v>
      </c>
      <c r="H125" s="406">
        <v>313.40637335712842</v>
      </c>
      <c r="I125" s="406">
        <v>86.563450000000003</v>
      </c>
      <c r="J125" s="406">
        <v>86.56</v>
      </c>
      <c r="K125" s="406">
        <v>343.89244553460833</v>
      </c>
      <c r="L125" s="406">
        <v>130.78139999999999</v>
      </c>
      <c r="M125" s="406">
        <v>130.78</v>
      </c>
      <c r="N125" s="406">
        <v>282.05896067073616</v>
      </c>
      <c r="O125" s="406">
        <v>627.99553000000003</v>
      </c>
      <c r="P125" s="406">
        <v>627.99553000000003</v>
      </c>
      <c r="Q125" s="150">
        <v>627.99553000000003</v>
      </c>
      <c r="R125" s="406">
        <v>627.99553000000003</v>
      </c>
      <c r="S125" s="402">
        <v>627.99553000000003</v>
      </c>
      <c r="T125" s="406">
        <f t="shared" si="57"/>
        <v>345.93656932926388</v>
      </c>
      <c r="U125" s="406">
        <f t="shared" si="58"/>
        <v>0</v>
      </c>
      <c r="V125" s="406">
        <v>148.32086749999996</v>
      </c>
      <c r="W125" s="167">
        <v>1576891.1</v>
      </c>
      <c r="X125" s="167">
        <v>1576.8911000000001</v>
      </c>
      <c r="Y125" s="406">
        <v>1576.8911000000001</v>
      </c>
      <c r="Z125" s="406">
        <v>1522.7317800000001</v>
      </c>
      <c r="AA125" s="406">
        <v>0</v>
      </c>
      <c r="AB125" s="406">
        <v>54.159320000000001</v>
      </c>
      <c r="AC125" s="403">
        <v>154.99530653749994</v>
      </c>
      <c r="AD125" s="406">
        <f>'[71]2. подк.неподк.'!X113</f>
        <v>433</v>
      </c>
      <c r="AE125" s="406">
        <f t="shared" si="77"/>
        <v>153.78675241082382</v>
      </c>
      <c r="AF125" s="402">
        <f t="shared" si="60"/>
        <v>153.78675241082382</v>
      </c>
      <c r="AG125" s="167">
        <v>161.19511879899994</v>
      </c>
      <c r="AH125" s="406">
        <v>690</v>
      </c>
      <c r="AI125" s="957">
        <f t="shared" si="59"/>
        <v>0.43756984867249232</v>
      </c>
      <c r="AJ125" s="957">
        <f t="shared" si="61"/>
        <v>528.80488120100006</v>
      </c>
      <c r="AK125" s="958">
        <f t="shared" si="73"/>
        <v>690</v>
      </c>
      <c r="AL125" s="74"/>
      <c r="AM125" s="52">
        <f t="shared" si="78"/>
        <v>528.80488120100006</v>
      </c>
    </row>
    <row r="126" spans="1:40" ht="33" customHeight="1" outlineLevel="2">
      <c r="A126" s="139" t="s">
        <v>652</v>
      </c>
      <c r="B126" s="406" t="s">
        <v>653</v>
      </c>
      <c r="C126" s="198" t="s">
        <v>654</v>
      </c>
      <c r="D126" s="956" t="s">
        <v>795</v>
      </c>
      <c r="E126" s="148" t="s">
        <v>655</v>
      </c>
      <c r="F126" s="149" t="s">
        <v>656</v>
      </c>
      <c r="G126" s="406" t="s">
        <v>121</v>
      </c>
      <c r="H126" s="406">
        <v>888.17059086519919</v>
      </c>
      <c r="I126" s="406">
        <v>2046.65239</v>
      </c>
      <c r="J126" s="406">
        <v>2046.65</v>
      </c>
      <c r="K126" s="406">
        <v>974.5658752016069</v>
      </c>
      <c r="L126" s="406">
        <v>1233.3163399999999</v>
      </c>
      <c r="M126" s="406">
        <v>1233.32</v>
      </c>
      <c r="N126" s="406">
        <v>1469.8425801307392</v>
      </c>
      <c r="O126" s="406">
        <v>1551.7838400000001</v>
      </c>
      <c r="P126" s="406">
        <v>1419.9294600000001</v>
      </c>
      <c r="Q126" s="150">
        <v>1419.9294600000001</v>
      </c>
      <c r="R126" s="406">
        <v>1419.9294600000001</v>
      </c>
      <c r="S126" s="402">
        <v>1419.9294600000001</v>
      </c>
      <c r="T126" s="406">
        <f t="shared" si="57"/>
        <v>-49.913120130739117</v>
      </c>
      <c r="U126" s="406">
        <f t="shared" si="58"/>
        <v>0</v>
      </c>
      <c r="V126" s="406">
        <v>1550.6839220379297</v>
      </c>
      <c r="W126" s="167">
        <v>2547752.0499999998</v>
      </c>
      <c r="X126" s="167">
        <v>2547.7520499999996</v>
      </c>
      <c r="Y126" s="406">
        <v>2547.7520499999996</v>
      </c>
      <c r="Z126" s="406">
        <v>2247.5860699999998</v>
      </c>
      <c r="AA126" s="406">
        <v>279.84810999999996</v>
      </c>
      <c r="AB126" s="406">
        <v>20.317869999999999</v>
      </c>
      <c r="AC126" s="403">
        <v>1620.4646985296365</v>
      </c>
      <c r="AD126" s="406">
        <f>'[71]2. подк.неподк.'!X114</f>
        <v>1768.2932799999999</v>
      </c>
      <c r="AE126" s="406">
        <f t="shared" si="77"/>
        <v>1607.8293527098767</v>
      </c>
      <c r="AF126" s="402">
        <f t="shared" si="60"/>
        <v>1607.8293527098767</v>
      </c>
      <c r="AG126" s="167">
        <v>1685.2832864708221</v>
      </c>
      <c r="AH126" s="406">
        <v>2812.7182632000004</v>
      </c>
      <c r="AI126" s="957">
        <f t="shared" si="59"/>
        <v>1.1040000000000003</v>
      </c>
      <c r="AJ126" s="957">
        <f t="shared" si="61"/>
        <v>1127.4349767291783</v>
      </c>
      <c r="AK126" s="958">
        <f t="shared" si="73"/>
        <v>2812.7182632000004</v>
      </c>
      <c r="AL126" s="74"/>
      <c r="AM126" s="52">
        <f t="shared" si="78"/>
        <v>1127.4349767291783</v>
      </c>
    </row>
    <row r="127" spans="1:40" ht="33" customHeight="1" outlineLevel="2">
      <c r="A127" s="139" t="s">
        <v>657</v>
      </c>
      <c r="B127" s="406" t="s">
        <v>658</v>
      </c>
      <c r="C127" s="198" t="s">
        <v>659</v>
      </c>
      <c r="D127" s="956" t="s">
        <v>727</v>
      </c>
      <c r="E127" s="148" t="s">
        <v>660</v>
      </c>
      <c r="F127" s="149" t="s">
        <v>656</v>
      </c>
      <c r="G127" s="406" t="s">
        <v>121</v>
      </c>
      <c r="H127" s="406">
        <v>434.38496208471071</v>
      </c>
      <c r="I127" s="406">
        <v>320.71564000000001</v>
      </c>
      <c r="J127" s="406">
        <v>320.72000000000003</v>
      </c>
      <c r="K127" s="406">
        <v>476.63902081706533</v>
      </c>
      <c r="L127" s="406">
        <v>247.70656</v>
      </c>
      <c r="M127" s="406">
        <v>247.70656</v>
      </c>
      <c r="N127" s="406">
        <v>230.32807431743765</v>
      </c>
      <c r="O127" s="406">
        <v>252.22433999999998</v>
      </c>
      <c r="P127" s="406">
        <v>245.86955</v>
      </c>
      <c r="Q127" s="150">
        <v>245.86955</v>
      </c>
      <c r="R127" s="406">
        <v>245.86955</v>
      </c>
      <c r="S127" s="402">
        <v>245.86955</v>
      </c>
      <c r="T127" s="406">
        <f t="shared" si="57"/>
        <v>15.54147568256235</v>
      </c>
      <c r="U127" s="406">
        <f t="shared" si="58"/>
        <v>0</v>
      </c>
      <c r="V127" s="406">
        <v>280.93020235999995</v>
      </c>
      <c r="W127" s="167">
        <v>188280.52000000002</v>
      </c>
      <c r="X127" s="167">
        <v>188.28052000000002</v>
      </c>
      <c r="Y127" s="406">
        <v>188.28052</v>
      </c>
      <c r="Z127" s="406">
        <v>184.27190999999996</v>
      </c>
      <c r="AA127" s="406">
        <v>3.1881399999999998</v>
      </c>
      <c r="AB127" s="406">
        <v>0.82047000000000003</v>
      </c>
      <c r="AC127" s="403">
        <v>293.57206146619995</v>
      </c>
      <c r="AD127" s="406">
        <f>'[71]2. подк.неподк.'!X115</f>
        <v>390.38</v>
      </c>
      <c r="AE127" s="406">
        <f t="shared" si="77"/>
        <v>291.28297456229456</v>
      </c>
      <c r="AF127" s="402">
        <f t="shared" si="60"/>
        <v>291.28297456229456</v>
      </c>
      <c r="AG127" s="167">
        <v>305.31494392484797</v>
      </c>
      <c r="AH127" s="406">
        <v>253.45252663108479</v>
      </c>
      <c r="AI127" s="957">
        <f t="shared" si="59"/>
        <v>1.3461431200162648</v>
      </c>
      <c r="AJ127" s="957">
        <f t="shared" si="61"/>
        <v>-51.862417293763173</v>
      </c>
      <c r="AK127" s="965"/>
      <c r="AL127" s="74"/>
      <c r="AM127" s="52">
        <f t="shared" si="78"/>
        <v>-51.862417293763173</v>
      </c>
    </row>
    <row r="128" spans="1:40" ht="33" customHeight="1" outlineLevel="2">
      <c r="A128" s="139" t="s">
        <v>661</v>
      </c>
      <c r="B128" s="406" t="s">
        <v>662</v>
      </c>
      <c r="C128" s="198" t="s">
        <v>663</v>
      </c>
      <c r="D128" s="956" t="s">
        <v>735</v>
      </c>
      <c r="E128" s="148" t="s">
        <v>664</v>
      </c>
      <c r="F128" s="149" t="s">
        <v>665</v>
      </c>
      <c r="G128" s="406" t="s">
        <v>121</v>
      </c>
      <c r="H128" s="406">
        <v>5934.8531301808125</v>
      </c>
      <c r="I128" s="406">
        <v>0</v>
      </c>
      <c r="J128" s="406">
        <v>0</v>
      </c>
      <c r="K128" s="406">
        <v>6512.1558791688294</v>
      </c>
      <c r="L128" s="406">
        <v>492.83987000000002</v>
      </c>
      <c r="M128" s="406">
        <v>492.84</v>
      </c>
      <c r="N128" s="406">
        <v>3462.3</v>
      </c>
      <c r="O128" s="406">
        <v>723.15899000000002</v>
      </c>
      <c r="P128" s="406">
        <v>723.15899000000002</v>
      </c>
      <c r="Q128" s="150">
        <v>723.15899000000002</v>
      </c>
      <c r="R128" s="406">
        <v>723.15899000000002</v>
      </c>
      <c r="S128" s="402">
        <v>723.15899000000002</v>
      </c>
      <c r="T128" s="406">
        <f t="shared" si="57"/>
        <v>-2739.1410100000003</v>
      </c>
      <c r="U128" s="406">
        <f t="shared" si="58"/>
        <v>0</v>
      </c>
      <c r="V128" s="406">
        <v>558.94216499999993</v>
      </c>
      <c r="W128" s="167">
        <v>589729.4</v>
      </c>
      <c r="X128" s="167">
        <v>589.72940000000006</v>
      </c>
      <c r="Y128" s="406">
        <v>589.72940000000006</v>
      </c>
      <c r="Z128" s="406">
        <v>589.72940000000006</v>
      </c>
      <c r="AA128" s="406">
        <v>0</v>
      </c>
      <c r="AB128" s="406">
        <v>0</v>
      </c>
      <c r="AC128" s="403">
        <v>584.09456242499994</v>
      </c>
      <c r="AD128" s="406">
        <f>'[71]2. подк.неподк.'!X116</f>
        <v>798.37</v>
      </c>
      <c r="AE128" s="406">
        <f t="shared" si="77"/>
        <v>579.54016713679789</v>
      </c>
      <c r="AF128" s="402">
        <f t="shared" si="60"/>
        <v>579.54016713679789</v>
      </c>
      <c r="AG128" s="167">
        <v>607.45834492199992</v>
      </c>
      <c r="AH128" s="406">
        <v>1667.26</v>
      </c>
      <c r="AI128" s="957">
        <f t="shared" si="59"/>
        <v>2.8271610674319438</v>
      </c>
      <c r="AJ128" s="957">
        <f t="shared" si="61"/>
        <v>1059.8016550780001</v>
      </c>
      <c r="AK128" s="958">
        <f t="shared" si="73"/>
        <v>1667.26</v>
      </c>
      <c r="AL128" s="74"/>
      <c r="AM128" s="52">
        <f t="shared" si="78"/>
        <v>1059.8016550780001</v>
      </c>
    </row>
    <row r="129" spans="1:40" ht="33" customHeight="1">
      <c r="A129" s="139"/>
      <c r="B129" s="409" t="s">
        <v>666</v>
      </c>
      <c r="C129" s="141"/>
      <c r="D129" s="406"/>
      <c r="E129" s="142" t="s">
        <v>667</v>
      </c>
      <c r="F129" s="142" t="s">
        <v>667</v>
      </c>
      <c r="G129" s="406" t="s">
        <v>121</v>
      </c>
      <c r="H129" s="402">
        <f t="shared" ref="H129:J129" si="79">H130</f>
        <v>273884.56380501459</v>
      </c>
      <c r="I129" s="402">
        <f t="shared" si="79"/>
        <v>360979.20871999994</v>
      </c>
      <c r="J129" s="402">
        <f t="shared" si="79"/>
        <v>310068.11660000001</v>
      </c>
      <c r="K129" s="402">
        <f>K130</f>
        <v>300391.2539843673</v>
      </c>
      <c r="L129" s="402">
        <f t="shared" ref="L129:M129" si="80">L130</f>
        <v>406474.16618</v>
      </c>
      <c r="M129" s="402">
        <f t="shared" si="80"/>
        <v>353215.04236999998</v>
      </c>
      <c r="N129" s="402">
        <f>N130</f>
        <v>246407.73130758444</v>
      </c>
      <c r="O129" s="402">
        <f>O130</f>
        <v>385881.87605000014</v>
      </c>
      <c r="P129" s="402">
        <f t="shared" ref="P129:AF129" si="81">P130</f>
        <v>374418.72992000013</v>
      </c>
      <c r="Q129" s="145">
        <f t="shared" si="81"/>
        <v>331433.07673000003</v>
      </c>
      <c r="R129" s="402">
        <f t="shared" si="81"/>
        <v>334569.30448000005</v>
      </c>
      <c r="S129" s="402">
        <f t="shared" si="81"/>
        <v>325108.87445000006</v>
      </c>
      <c r="T129" s="402">
        <f t="shared" si="57"/>
        <v>78701.143142415618</v>
      </c>
      <c r="U129" s="402">
        <f t="shared" si="58"/>
        <v>-49309.855470000068</v>
      </c>
      <c r="V129" s="402">
        <f t="shared" si="81"/>
        <v>295154.88814982504</v>
      </c>
      <c r="W129" s="402">
        <f t="shared" si="81"/>
        <v>329091397.96999991</v>
      </c>
      <c r="X129" s="402">
        <f t="shared" si="81"/>
        <v>329091.39471000002</v>
      </c>
      <c r="Y129" s="402">
        <f t="shared" si="81"/>
        <v>329091.40116999997</v>
      </c>
      <c r="Z129" s="402">
        <f t="shared" si="81"/>
        <v>329967.66324000002</v>
      </c>
      <c r="AA129" s="402">
        <f t="shared" si="81"/>
        <v>13612.537690000001</v>
      </c>
      <c r="AB129" s="402">
        <f t="shared" si="81"/>
        <v>1178.9487000000001</v>
      </c>
      <c r="AC129" s="170">
        <f t="shared" si="81"/>
        <v>307712.57570956723</v>
      </c>
      <c r="AD129" s="170">
        <f>AD130</f>
        <v>534153.91819790506</v>
      </c>
      <c r="AE129" s="170">
        <f t="shared" si="81"/>
        <v>306031.86504920875</v>
      </c>
      <c r="AF129" s="170">
        <f t="shared" si="81"/>
        <v>306031.86504920875</v>
      </c>
      <c r="AG129" s="170">
        <f>AG130</f>
        <v>320021.07660681487</v>
      </c>
      <c r="AH129" s="173">
        <f t="shared" ref="AH129:AK129" si="82">AH130</f>
        <v>1278131.4012148648</v>
      </c>
      <c r="AI129" s="974">
        <f t="shared" si="59"/>
        <v>3.883818968712847</v>
      </c>
      <c r="AJ129" s="975">
        <f t="shared" si="82"/>
        <v>958110.32460804936</v>
      </c>
      <c r="AK129" s="975">
        <f t="shared" si="82"/>
        <v>1161619.184841976</v>
      </c>
      <c r="AL129" s="74"/>
      <c r="AN129" s="191">
        <f>AH129-AG129</f>
        <v>958110.32460804994</v>
      </c>
    </row>
    <row r="130" spans="1:40" ht="33" customHeight="1" outlineLevel="1">
      <c r="A130" s="139"/>
      <c r="B130" s="409" t="s">
        <v>668</v>
      </c>
      <c r="C130" s="141"/>
      <c r="D130" s="406"/>
      <c r="E130" s="142" t="s">
        <v>669</v>
      </c>
      <c r="F130" s="142" t="s">
        <v>669</v>
      </c>
      <c r="G130" s="406" t="s">
        <v>121</v>
      </c>
      <c r="H130" s="402">
        <f t="shared" ref="H130:S130" si="83">H131+H141+H143+H148+H151+H207+H212+H215+H221+H229+H235+H241</f>
        <v>273884.56380501459</v>
      </c>
      <c r="I130" s="402">
        <f t="shared" si="83"/>
        <v>360979.20871999994</v>
      </c>
      <c r="J130" s="402">
        <f t="shared" si="83"/>
        <v>310068.11660000001</v>
      </c>
      <c r="K130" s="402">
        <f t="shared" si="83"/>
        <v>300391.2539843673</v>
      </c>
      <c r="L130" s="402">
        <f t="shared" si="83"/>
        <v>406474.16618</v>
      </c>
      <c r="M130" s="402">
        <f t="shared" si="83"/>
        <v>353215.04236999998</v>
      </c>
      <c r="N130" s="402">
        <f t="shared" si="83"/>
        <v>246407.73130758444</v>
      </c>
      <c r="O130" s="402">
        <f t="shared" si="83"/>
        <v>385881.87605000014</v>
      </c>
      <c r="P130" s="402">
        <f t="shared" si="83"/>
        <v>374418.72992000013</v>
      </c>
      <c r="Q130" s="145">
        <f t="shared" si="83"/>
        <v>331433.07673000003</v>
      </c>
      <c r="R130" s="402">
        <f t="shared" si="83"/>
        <v>334569.30448000005</v>
      </c>
      <c r="S130" s="402">
        <f t="shared" si="83"/>
        <v>325108.87445000006</v>
      </c>
      <c r="T130" s="402">
        <f t="shared" si="57"/>
        <v>78701.143142415618</v>
      </c>
      <c r="U130" s="402">
        <f t="shared" si="58"/>
        <v>-49309.855470000068</v>
      </c>
      <c r="V130" s="402">
        <f>V131+V141+V143+V148+V151+V207+V212+V215+V221+V229+V235+V241</f>
        <v>295154.88814982504</v>
      </c>
      <c r="W130" s="402">
        <f>W131+W141+W143+W148+W151+W207+W212+W215+W221+W229+W235+W241</f>
        <v>329091397.96999991</v>
      </c>
      <c r="X130" s="402">
        <f>X131+X141+X143+X148+X151+X207+X212+X215+X221+X229+X235+X241</f>
        <v>329091.39471000002</v>
      </c>
      <c r="Y130" s="402">
        <f t="shared" ref="Y130:AK130" si="84">Y131+Y141+Y143+Y148+Y151+Y207+Y212+Y215+Y221+Y229+Y235+Y241</f>
        <v>329091.40116999997</v>
      </c>
      <c r="Z130" s="402">
        <f t="shared" si="84"/>
        <v>329967.66324000002</v>
      </c>
      <c r="AA130" s="402">
        <f t="shared" si="84"/>
        <v>13612.537690000001</v>
      </c>
      <c r="AB130" s="402">
        <f t="shared" si="84"/>
        <v>1178.9487000000001</v>
      </c>
      <c r="AC130" s="170">
        <f t="shared" si="84"/>
        <v>307712.57570956723</v>
      </c>
      <c r="AD130" s="170">
        <f>AD131+AD141+AD143+AD148+AD151+AD207+AD212+AD215+AD221+AD229+AD235+AD241</f>
        <v>534153.91819790506</v>
      </c>
      <c r="AE130" s="170">
        <f t="shared" si="84"/>
        <v>306031.86504920875</v>
      </c>
      <c r="AF130" s="170">
        <f t="shared" si="84"/>
        <v>306031.86504920875</v>
      </c>
      <c r="AG130" s="170">
        <f t="shared" si="84"/>
        <v>320021.07660681487</v>
      </c>
      <c r="AH130" s="173">
        <f t="shared" si="84"/>
        <v>1278131.4012148648</v>
      </c>
      <c r="AI130" s="974">
        <f t="shared" si="59"/>
        <v>3.883818968712847</v>
      </c>
      <c r="AJ130" s="975">
        <f t="shared" ref="AJ130" si="85">AJ131+AJ141+AJ143+AJ148+AJ151+AJ207+AJ212+AJ215+AJ221+AJ229+AJ235+AJ241</f>
        <v>958110.32460804936</v>
      </c>
      <c r="AK130" s="975">
        <f t="shared" si="84"/>
        <v>1161619.184841976</v>
      </c>
      <c r="AL130" s="74"/>
    </row>
    <row r="131" spans="1:40" ht="33" customHeight="1" outlineLevel="1">
      <c r="A131" s="139"/>
      <c r="B131" s="409" t="s">
        <v>670</v>
      </c>
      <c r="C131" s="141"/>
      <c r="D131" s="406"/>
      <c r="E131" s="410" t="s">
        <v>671</v>
      </c>
      <c r="F131" s="410" t="s">
        <v>671</v>
      </c>
      <c r="G131" s="406" t="s">
        <v>121</v>
      </c>
      <c r="H131" s="402">
        <f t="shared" ref="H131:I131" si="86">SUM(H132:H140)</f>
        <v>10942.472202599998</v>
      </c>
      <c r="I131" s="402">
        <f t="shared" si="86"/>
        <v>15982.14898</v>
      </c>
      <c r="J131" s="402">
        <f t="shared" ref="J131" si="87">SUM(J132:J140)</f>
        <v>15496.049710000001</v>
      </c>
      <c r="K131" s="402">
        <f>SUM(K132:K140)</f>
        <v>12006.882912179333</v>
      </c>
      <c r="L131" s="402">
        <f t="shared" ref="L131:N131" si="88">SUM(L132:L140)</f>
        <v>16857.334510000001</v>
      </c>
      <c r="M131" s="402">
        <f t="shared" si="88"/>
        <v>13376.5</v>
      </c>
      <c r="N131" s="402">
        <f t="shared" si="88"/>
        <v>13113.625353946214</v>
      </c>
      <c r="O131" s="402">
        <f>SUM(O132:O140)</f>
        <v>16003.81185</v>
      </c>
      <c r="P131" s="402">
        <f t="shared" ref="P131:AK131" si="89">SUM(P132:P140)</f>
        <v>15383.44515</v>
      </c>
      <c r="Q131" s="145">
        <f t="shared" si="89"/>
        <v>15383.44515</v>
      </c>
      <c r="R131" s="402">
        <f t="shared" si="89"/>
        <v>15383.44515</v>
      </c>
      <c r="S131" s="402">
        <f t="shared" si="89"/>
        <v>15382.86966</v>
      </c>
      <c r="T131" s="402">
        <f t="shared" si="57"/>
        <v>2269.2443060537862</v>
      </c>
      <c r="U131" s="402">
        <f t="shared" si="58"/>
        <v>-0.57548999999926309</v>
      </c>
      <c r="V131" s="402">
        <f t="shared" si="89"/>
        <v>14478.903483332291</v>
      </c>
      <c r="W131" s="402">
        <f t="shared" si="89"/>
        <v>14525167.970000003</v>
      </c>
      <c r="X131" s="402">
        <f t="shared" si="89"/>
        <v>14525.167970000002</v>
      </c>
      <c r="Y131" s="402">
        <f t="shared" si="89"/>
        <v>14525.167970000004</v>
      </c>
      <c r="Z131" s="168">
        <f t="shared" si="89"/>
        <v>13897.249630000002</v>
      </c>
      <c r="AA131" s="402">
        <f t="shared" si="89"/>
        <v>541.13173000000006</v>
      </c>
      <c r="AB131" s="402">
        <f t="shared" si="89"/>
        <v>86.786609999999996</v>
      </c>
      <c r="AC131" s="170">
        <f t="shared" si="89"/>
        <v>15130.454140082245</v>
      </c>
      <c r="AD131" s="170">
        <f t="shared" si="89"/>
        <v>20873.304283119283</v>
      </c>
      <c r="AE131" s="170">
        <f t="shared" si="89"/>
        <v>15012.476549676587</v>
      </c>
      <c r="AF131" s="170">
        <f t="shared" si="89"/>
        <v>15012.476549676587</v>
      </c>
      <c r="AG131" s="170">
        <f t="shared" si="89"/>
        <v>15735.672305685535</v>
      </c>
      <c r="AH131" s="173">
        <f t="shared" si="89"/>
        <v>17143.978799520002</v>
      </c>
      <c r="AI131" s="974">
        <f t="shared" si="59"/>
        <v>1.1802947019221286</v>
      </c>
      <c r="AJ131" s="975">
        <f t="shared" ref="AJ131" si="90">SUM(AJ132:AJ140)</f>
        <v>1408.306493834468</v>
      </c>
      <c r="AK131" s="975">
        <f t="shared" si="89"/>
        <v>12068.964954880001</v>
      </c>
      <c r="AL131" s="74"/>
    </row>
    <row r="132" spans="1:40" ht="33" customHeight="1" outlineLevel="2">
      <c r="A132" s="139" t="s">
        <v>672</v>
      </c>
      <c r="B132" s="406" t="s">
        <v>673</v>
      </c>
      <c r="C132" s="198" t="s">
        <v>674</v>
      </c>
      <c r="D132" s="956" t="s">
        <v>740</v>
      </c>
      <c r="E132" s="148" t="s">
        <v>675</v>
      </c>
      <c r="F132" s="149" t="s">
        <v>676</v>
      </c>
      <c r="G132" s="406" t="s">
        <v>121</v>
      </c>
      <c r="H132" s="406">
        <v>3292.8576813215782</v>
      </c>
      <c r="I132" s="406">
        <v>3325.48027</v>
      </c>
      <c r="J132" s="406">
        <v>3292.86</v>
      </c>
      <c r="K132" s="406">
        <v>3613.1649131998065</v>
      </c>
      <c r="L132" s="406">
        <v>5730.9237400000002</v>
      </c>
      <c r="M132" s="406">
        <v>5730.92</v>
      </c>
      <c r="N132" s="406">
        <v>3815.1537072256506</v>
      </c>
      <c r="O132" s="406">
        <v>5225.2122799999997</v>
      </c>
      <c r="P132" s="406">
        <v>5103.2929499999991</v>
      </c>
      <c r="Q132" s="150">
        <v>5103.2929499999991</v>
      </c>
      <c r="R132" s="406">
        <v>5103.2929499999991</v>
      </c>
      <c r="S132" s="402">
        <v>5103.2929499999991</v>
      </c>
      <c r="T132" s="406">
        <f t="shared" si="57"/>
        <v>1288.1392427743485</v>
      </c>
      <c r="U132" s="406">
        <f t="shared" si="58"/>
        <v>0</v>
      </c>
      <c r="V132" s="406">
        <v>4024.987161123061</v>
      </c>
      <c r="W132" s="167">
        <v>4341037.3800000008</v>
      </c>
      <c r="X132" s="167">
        <v>4341.0373800000007</v>
      </c>
      <c r="Y132" s="406">
        <v>4341.0373800000007</v>
      </c>
      <c r="Z132" s="406">
        <v>4214.3598500000007</v>
      </c>
      <c r="AA132" s="406">
        <v>109.16705</v>
      </c>
      <c r="AB132" s="406">
        <v>17.510480000000001</v>
      </c>
      <c r="AC132" s="403">
        <v>4206.1115833735985</v>
      </c>
      <c r="AD132" s="406">
        <f>'[71]2. подк.неподк.'!X120</f>
        <v>5767.3471704000003</v>
      </c>
      <c r="AE132" s="406">
        <f t="shared" ref="AE132:AE140" si="91">V132*$AD$11</f>
        <v>4173.3150192394678</v>
      </c>
      <c r="AF132" s="402">
        <f t="shared" si="60"/>
        <v>4173.3150192394678</v>
      </c>
      <c r="AG132" s="167">
        <v>4374.3560467085426</v>
      </c>
      <c r="AH132" s="406">
        <v>4792.5052675200004</v>
      </c>
      <c r="AI132" s="957">
        <f t="shared" si="59"/>
        <v>1.1039999999999999</v>
      </c>
      <c r="AJ132" s="957">
        <f t="shared" si="61"/>
        <v>418.14922081145778</v>
      </c>
      <c r="AK132" s="958">
        <f t="shared" ref="AK132:AK140" si="92">AH132</f>
        <v>4792.5052675200004</v>
      </c>
      <c r="AL132" s="74"/>
      <c r="AM132" s="52">
        <f t="shared" ref="AM132:AM140" si="93">AH132-AG132</f>
        <v>418.14922081145778</v>
      </c>
    </row>
    <row r="133" spans="1:40" ht="33" customHeight="1" outlineLevel="2">
      <c r="A133" s="139" t="s">
        <v>677</v>
      </c>
      <c r="B133" s="406" t="s">
        <v>678</v>
      </c>
      <c r="C133" s="198" t="s">
        <v>679</v>
      </c>
      <c r="D133" s="956" t="s">
        <v>746</v>
      </c>
      <c r="E133" s="148" t="s">
        <v>680</v>
      </c>
      <c r="F133" s="149" t="s">
        <v>681</v>
      </c>
      <c r="G133" s="406" t="s">
        <v>121</v>
      </c>
      <c r="H133" s="406">
        <v>2362.07379825522</v>
      </c>
      <c r="I133" s="406">
        <v>2572.0362599999999</v>
      </c>
      <c r="J133" s="406">
        <v>2519.82726</v>
      </c>
      <c r="K133" s="406">
        <v>2591.8405823172534</v>
      </c>
      <c r="L133" s="406">
        <v>2627.9476400000003</v>
      </c>
      <c r="M133" s="406">
        <v>2627.95</v>
      </c>
      <c r="N133" s="406">
        <v>2317.0083922010585</v>
      </c>
      <c r="O133" s="406">
        <v>2825.3223000000003</v>
      </c>
      <c r="P133" s="406">
        <v>2571.3824900000004</v>
      </c>
      <c r="Q133" s="150">
        <v>2571.3824900000004</v>
      </c>
      <c r="R133" s="406">
        <v>2571.3824900000004</v>
      </c>
      <c r="S133" s="402">
        <v>2571.3824900000004</v>
      </c>
      <c r="T133" s="406">
        <f t="shared" si="57"/>
        <v>254.37409779894188</v>
      </c>
      <c r="U133" s="406">
        <f t="shared" si="58"/>
        <v>0</v>
      </c>
      <c r="V133" s="406">
        <v>2444.4438537721167</v>
      </c>
      <c r="W133" s="167">
        <v>2906726.18</v>
      </c>
      <c r="X133" s="167">
        <v>2906.7261800000001</v>
      </c>
      <c r="Y133" s="406">
        <v>2906.7261800000001</v>
      </c>
      <c r="Z133" s="406">
        <v>2669.0392200000001</v>
      </c>
      <c r="AA133" s="406">
        <v>208.786</v>
      </c>
      <c r="AB133" s="406">
        <v>28.900959999999998</v>
      </c>
      <c r="AC133" s="403">
        <v>2554.4438271918616</v>
      </c>
      <c r="AD133" s="406">
        <f>'[71]2. подк.неподк.'!X121</f>
        <v>3117.5947190400002</v>
      </c>
      <c r="AE133" s="406">
        <f t="shared" si="91"/>
        <v>2534.525910335662</v>
      </c>
      <c r="AF133" s="402">
        <f t="shared" si="60"/>
        <v>2534.525910335662</v>
      </c>
      <c r="AG133" s="167">
        <v>2656.6215802795364</v>
      </c>
      <c r="AH133" s="406">
        <v>3414.02570272</v>
      </c>
      <c r="AI133" s="957">
        <f t="shared" si="59"/>
        <v>1.1745260789304894</v>
      </c>
      <c r="AJ133" s="957">
        <f t="shared" si="61"/>
        <v>757.40412244046365</v>
      </c>
      <c r="AK133" s="958">
        <f t="shared" si="92"/>
        <v>3414.02570272</v>
      </c>
      <c r="AL133" s="74"/>
      <c r="AM133" s="52">
        <f t="shared" si="93"/>
        <v>757.40412244046365</v>
      </c>
    </row>
    <row r="134" spans="1:40" ht="33" customHeight="1" outlineLevel="2">
      <c r="A134" s="139" t="s">
        <v>682</v>
      </c>
      <c r="B134" s="406" t="s">
        <v>683</v>
      </c>
      <c r="C134" s="198" t="s">
        <v>684</v>
      </c>
      <c r="D134" s="956" t="s">
        <v>751</v>
      </c>
      <c r="E134" s="148" t="s">
        <v>685</v>
      </c>
      <c r="F134" s="149" t="s">
        <v>686</v>
      </c>
      <c r="G134" s="406" t="s">
        <v>121</v>
      </c>
      <c r="H134" s="406">
        <v>1623.6565382293552</v>
      </c>
      <c r="I134" s="406">
        <v>1302.7854199999999</v>
      </c>
      <c r="J134" s="406">
        <v>1302.7854199999999</v>
      </c>
      <c r="K134" s="406">
        <v>1781.5950164791968</v>
      </c>
      <c r="L134" s="406">
        <v>1294.36375</v>
      </c>
      <c r="M134" s="406">
        <v>1294.3599999999999</v>
      </c>
      <c r="N134" s="406">
        <v>864.95907547146498</v>
      </c>
      <c r="O134" s="406">
        <v>1200.7485300000001</v>
      </c>
      <c r="P134" s="406">
        <v>1112.98234</v>
      </c>
      <c r="Q134" s="150">
        <v>1112.98234</v>
      </c>
      <c r="R134" s="406">
        <v>1112.98234</v>
      </c>
      <c r="S134" s="402">
        <v>1112.98234</v>
      </c>
      <c r="T134" s="406">
        <f t="shared" si="57"/>
        <v>248.02326452853504</v>
      </c>
      <c r="U134" s="406">
        <f t="shared" si="58"/>
        <v>0</v>
      </c>
      <c r="V134" s="406">
        <v>1467.9660349999997</v>
      </c>
      <c r="W134" s="167">
        <v>1070291.5900000001</v>
      </c>
      <c r="X134" s="167">
        <v>1070.29159</v>
      </c>
      <c r="Y134" s="406">
        <v>1070.29159</v>
      </c>
      <c r="Z134" s="406">
        <v>988.34786999999994</v>
      </c>
      <c r="AA134" s="406">
        <v>70.502669999999995</v>
      </c>
      <c r="AB134" s="406">
        <v>11.441049999999999</v>
      </c>
      <c r="AC134" s="403">
        <v>1534.0245065749996</v>
      </c>
      <c r="AD134" s="406">
        <f>'[71]2. подк.неподк.'!X122</f>
        <v>1534.0245065749996</v>
      </c>
      <c r="AE134" s="406">
        <f t="shared" si="91"/>
        <v>1522.0631660076001</v>
      </c>
      <c r="AF134" s="402">
        <f t="shared" si="60"/>
        <v>1522.0631660076001</v>
      </c>
      <c r="AG134" s="167">
        <v>1595.3854868379997</v>
      </c>
      <c r="AH134" s="406">
        <v>1381.60191536</v>
      </c>
      <c r="AI134" s="957">
        <f t="shared" si="59"/>
        <v>1.290864964528031</v>
      </c>
      <c r="AJ134" s="957">
        <f t="shared" si="61"/>
        <v>-213.78357147799966</v>
      </c>
      <c r="AK134" s="965"/>
      <c r="AL134" s="74"/>
      <c r="AM134" s="52">
        <f t="shared" si="93"/>
        <v>-213.78357147799966</v>
      </c>
    </row>
    <row r="135" spans="1:40" ht="33" customHeight="1" outlineLevel="2">
      <c r="A135" s="139" t="s">
        <v>687</v>
      </c>
      <c r="B135" s="406" t="s">
        <v>688</v>
      </c>
      <c r="C135" s="198" t="s">
        <v>689</v>
      </c>
      <c r="D135" s="956" t="s">
        <v>758</v>
      </c>
      <c r="E135" s="148" t="s">
        <v>690</v>
      </c>
      <c r="F135" s="149" t="s">
        <v>691</v>
      </c>
      <c r="G135" s="406" t="s">
        <v>121</v>
      </c>
      <c r="H135" s="406">
        <v>550.12819919367701</v>
      </c>
      <c r="I135" s="406">
        <v>175.45484999999999</v>
      </c>
      <c r="J135" s="406">
        <v>175.45484999999999</v>
      </c>
      <c r="K135" s="406">
        <v>603.64100105614921</v>
      </c>
      <c r="L135" s="406">
        <v>176.80812</v>
      </c>
      <c r="M135" s="406">
        <v>176.81</v>
      </c>
      <c r="N135" s="406">
        <v>117.6239566318725</v>
      </c>
      <c r="O135" s="406">
        <v>163.51345000000001</v>
      </c>
      <c r="P135" s="406">
        <v>152.61548000000002</v>
      </c>
      <c r="Q135" s="150">
        <v>152.61548000000002</v>
      </c>
      <c r="R135" s="406">
        <v>152.61548000000002</v>
      </c>
      <c r="S135" s="402">
        <v>152.61548000000002</v>
      </c>
      <c r="T135" s="406">
        <f t="shared" si="57"/>
        <v>34.991523368127517</v>
      </c>
      <c r="U135" s="406">
        <f t="shared" si="58"/>
        <v>0</v>
      </c>
      <c r="V135" s="406">
        <v>200.14</v>
      </c>
      <c r="W135" s="167">
        <v>140229.96000000002</v>
      </c>
      <c r="X135" s="167">
        <v>140.22996000000003</v>
      </c>
      <c r="Y135" s="406">
        <v>140.22996000000003</v>
      </c>
      <c r="Z135" s="406">
        <v>131.44819000000001</v>
      </c>
      <c r="AA135" s="406">
        <v>7.3990100000000005</v>
      </c>
      <c r="AB135" s="406">
        <v>1.38276</v>
      </c>
      <c r="AC135" s="403">
        <v>209.14629999999997</v>
      </c>
      <c r="AD135" s="406">
        <f>'[71]2. подк.неподк.'!X123</f>
        <v>209.14629999999997</v>
      </c>
      <c r="AE135" s="406">
        <f t="shared" si="91"/>
        <v>207.51551110973838</v>
      </c>
      <c r="AF135" s="402">
        <f t="shared" si="60"/>
        <v>207.51551110973838</v>
      </c>
      <c r="AG135" s="167">
        <v>217.51215199999999</v>
      </c>
      <c r="AH135" s="406">
        <v>304.81387583999998</v>
      </c>
      <c r="AI135" s="957">
        <f t="shared" si="59"/>
        <v>2.1736715594870017</v>
      </c>
      <c r="AJ135" s="957">
        <f t="shared" si="61"/>
        <v>87.301723839999994</v>
      </c>
      <c r="AK135" s="958">
        <f t="shared" si="92"/>
        <v>304.81387583999998</v>
      </c>
      <c r="AL135" s="74"/>
      <c r="AM135" s="52">
        <f t="shared" si="93"/>
        <v>87.301723839999994</v>
      </c>
    </row>
    <row r="136" spans="1:40" ht="33" customHeight="1" outlineLevel="2">
      <c r="A136" s="139" t="s">
        <v>692</v>
      </c>
      <c r="B136" s="406" t="s">
        <v>693</v>
      </c>
      <c r="C136" s="198" t="s">
        <v>694</v>
      </c>
      <c r="D136" s="956" t="s">
        <v>769</v>
      </c>
      <c r="E136" s="148" t="s">
        <v>695</v>
      </c>
      <c r="F136" s="149" t="s">
        <v>696</v>
      </c>
      <c r="G136" s="406" t="s">
        <v>121</v>
      </c>
      <c r="H136" s="406">
        <v>215.22254994712603</v>
      </c>
      <c r="I136" s="406">
        <v>52.568460000000002</v>
      </c>
      <c r="J136" s="406">
        <v>52.568460000000002</v>
      </c>
      <c r="K136" s="406">
        <v>236.1579640715743</v>
      </c>
      <c r="L136" s="406">
        <v>122.61933999999999</v>
      </c>
      <c r="M136" s="406">
        <v>122.62</v>
      </c>
      <c r="N136" s="406">
        <v>117.88669072222157</v>
      </c>
      <c r="O136" s="406">
        <v>2548.8960499999998</v>
      </c>
      <c r="P136" s="406">
        <v>2525.74188</v>
      </c>
      <c r="Q136" s="150">
        <v>2525.74188</v>
      </c>
      <c r="R136" s="406">
        <v>2525.74188</v>
      </c>
      <c r="S136" s="402">
        <v>2525.74188</v>
      </c>
      <c r="T136" s="406">
        <f t="shared" si="57"/>
        <v>2407.8551892777787</v>
      </c>
      <c r="U136" s="406">
        <f t="shared" si="58"/>
        <v>0</v>
      </c>
      <c r="V136" s="406">
        <v>139.06640749999997</v>
      </c>
      <c r="W136" s="167">
        <v>2718567.2</v>
      </c>
      <c r="X136" s="167">
        <v>2718.5672000000004</v>
      </c>
      <c r="Y136" s="406">
        <v>2718.5671999999995</v>
      </c>
      <c r="Z136" s="406">
        <v>2694.7273700000001</v>
      </c>
      <c r="AA136" s="406">
        <v>20.13307</v>
      </c>
      <c r="AB136" s="406">
        <v>3.7067600000000001</v>
      </c>
      <c r="AC136" s="403">
        <v>145.32439583749996</v>
      </c>
      <c r="AD136" s="406">
        <f>'[71]2. подк.неподк.'!X124</f>
        <v>3763.1256599999997</v>
      </c>
      <c r="AE136" s="406">
        <f t="shared" si="91"/>
        <v>144.19124927829344</v>
      </c>
      <c r="AF136" s="402">
        <f t="shared" si="60"/>
        <v>144.19124927829344</v>
      </c>
      <c r="AG136" s="167">
        <v>151.13737167099995</v>
      </c>
      <c r="AH136" s="406">
        <v>3557.6201088000007</v>
      </c>
      <c r="AI136" s="957">
        <f t="shared" si="59"/>
        <v>1.3086379136774695</v>
      </c>
      <c r="AJ136" s="957">
        <f t="shared" si="61"/>
        <v>3406.4827371290007</v>
      </c>
      <c r="AK136" s="958">
        <f t="shared" si="92"/>
        <v>3557.6201088000007</v>
      </c>
      <c r="AL136" s="74"/>
      <c r="AM136" s="52">
        <f t="shared" si="93"/>
        <v>3406.4827371290007</v>
      </c>
    </row>
    <row r="137" spans="1:40" ht="33" customHeight="1" outlineLevel="2">
      <c r="A137" s="139" t="s">
        <v>697</v>
      </c>
      <c r="B137" s="406" t="s">
        <v>698</v>
      </c>
      <c r="C137" s="198" t="s">
        <v>699</v>
      </c>
      <c r="D137" s="956" t="s">
        <v>774</v>
      </c>
      <c r="E137" s="148" t="s">
        <v>700</v>
      </c>
      <c r="F137" s="149" t="s">
        <v>701</v>
      </c>
      <c r="G137" s="406" t="s">
        <v>121</v>
      </c>
      <c r="H137" s="406">
        <v>2619.209158176237</v>
      </c>
      <c r="I137" s="406">
        <v>7269.5010499999999</v>
      </c>
      <c r="J137" s="406">
        <v>6891.0610500000003</v>
      </c>
      <c r="K137" s="406">
        <v>2873.9883549585361</v>
      </c>
      <c r="L137" s="406">
        <v>6350.8089</v>
      </c>
      <c r="M137" s="406">
        <v>2873.99</v>
      </c>
      <c r="N137" s="406">
        <v>5054.2674139690462</v>
      </c>
      <c r="O137" s="406">
        <v>3467.0437400000001</v>
      </c>
      <c r="P137" s="406">
        <v>3347.96225</v>
      </c>
      <c r="Q137" s="150">
        <v>3347.96225</v>
      </c>
      <c r="R137" s="406">
        <v>3347.96225</v>
      </c>
      <c r="S137" s="402">
        <v>3347.96225</v>
      </c>
      <c r="T137" s="406">
        <f t="shared" si="57"/>
        <v>-1706.3051639690461</v>
      </c>
      <c r="U137" s="406">
        <f t="shared" si="58"/>
        <v>0</v>
      </c>
      <c r="V137" s="406">
        <v>5332.2521217373433</v>
      </c>
      <c r="W137" s="167">
        <v>2731057.69</v>
      </c>
      <c r="X137" s="167">
        <v>2731.0576900000001</v>
      </c>
      <c r="Y137" s="406">
        <v>2731.0576900000005</v>
      </c>
      <c r="Z137" s="406">
        <v>2586.1374700000001</v>
      </c>
      <c r="AA137" s="406">
        <v>121.7037</v>
      </c>
      <c r="AB137" s="406">
        <v>23.216519999999999</v>
      </c>
      <c r="AC137" s="403">
        <v>5572.2034672155232</v>
      </c>
      <c r="AD137" s="406">
        <f>'[71]2. подк.неподк.'!X125</f>
        <v>5572.2034672155232</v>
      </c>
      <c r="AE137" s="406">
        <f t="shared" si="91"/>
        <v>5528.7549935460765</v>
      </c>
      <c r="AF137" s="402">
        <f t="shared" si="60"/>
        <v>5528.7549935460765</v>
      </c>
      <c r="AG137" s="167">
        <v>5795.0916059041447</v>
      </c>
      <c r="AH137" s="406">
        <v>3015.0876897600006</v>
      </c>
      <c r="AI137" s="957">
        <f t="shared" si="59"/>
        <v>1.1040000000000001</v>
      </c>
      <c r="AJ137" s="957">
        <f t="shared" si="61"/>
        <v>-2780.0039161441441</v>
      </c>
      <c r="AK137" s="965"/>
      <c r="AL137" s="74"/>
      <c r="AM137" s="52">
        <f t="shared" si="93"/>
        <v>-2780.0039161441441</v>
      </c>
    </row>
    <row r="138" spans="1:40" ht="33" customHeight="1" outlineLevel="2">
      <c r="A138" s="139" t="s">
        <v>702</v>
      </c>
      <c r="B138" s="406" t="s">
        <v>703</v>
      </c>
      <c r="C138" s="198" t="s">
        <v>704</v>
      </c>
      <c r="D138" s="956" t="s">
        <v>779</v>
      </c>
      <c r="E138" s="148" t="s">
        <v>705</v>
      </c>
      <c r="F138" s="149" t="s">
        <v>706</v>
      </c>
      <c r="G138" s="406" t="s">
        <v>121</v>
      </c>
      <c r="H138" s="406">
        <v>205.41816586795755</v>
      </c>
      <c r="I138" s="406">
        <v>1160.3357100000001</v>
      </c>
      <c r="J138" s="406">
        <v>1160.3357100000001</v>
      </c>
      <c r="K138" s="406">
        <v>225.39987490442613</v>
      </c>
      <c r="L138" s="406">
        <v>449.06387999999998</v>
      </c>
      <c r="M138" s="406">
        <v>449.06</v>
      </c>
      <c r="N138" s="406">
        <v>760.33</v>
      </c>
      <c r="O138" s="406">
        <v>501.36685999999997</v>
      </c>
      <c r="P138" s="406">
        <v>501.16783000000004</v>
      </c>
      <c r="Q138" s="150">
        <v>501.16783000000004</v>
      </c>
      <c r="R138" s="406">
        <v>501.16783000000004</v>
      </c>
      <c r="S138" s="402">
        <v>501.16783000000004</v>
      </c>
      <c r="T138" s="406">
        <f t="shared" si="57"/>
        <v>-259.16217</v>
      </c>
      <c r="U138" s="406">
        <f t="shared" si="58"/>
        <v>0</v>
      </c>
      <c r="V138" s="406">
        <v>800</v>
      </c>
      <c r="W138" s="167">
        <v>547831.29</v>
      </c>
      <c r="X138" s="167">
        <v>547.83129000000008</v>
      </c>
      <c r="Y138" s="406">
        <v>547.83128999999997</v>
      </c>
      <c r="Z138" s="406">
        <v>547.73894999999993</v>
      </c>
      <c r="AA138" s="406">
        <v>7.7969999999999998E-2</v>
      </c>
      <c r="AB138" s="406">
        <v>1.4369999999999999E-2</v>
      </c>
      <c r="AC138" s="403">
        <v>836</v>
      </c>
      <c r="AD138" s="406">
        <f>'[71]2. подк.неподк.'!X126</f>
        <v>836</v>
      </c>
      <c r="AE138" s="406">
        <f t="shared" si="91"/>
        <v>829.48140745373598</v>
      </c>
      <c r="AF138" s="402">
        <f t="shared" si="60"/>
        <v>829.48140745373598</v>
      </c>
      <c r="AG138" s="167">
        <v>869.44</v>
      </c>
      <c r="AH138" s="406">
        <v>603.33318480000003</v>
      </c>
      <c r="AI138" s="957">
        <f t="shared" si="59"/>
        <v>1.1013120203484543</v>
      </c>
      <c r="AJ138" s="957">
        <f t="shared" si="61"/>
        <v>-266.10681520000003</v>
      </c>
      <c r="AK138" s="965"/>
      <c r="AL138" s="74"/>
      <c r="AM138" s="52">
        <f t="shared" si="93"/>
        <v>-266.10681520000003</v>
      </c>
    </row>
    <row r="139" spans="1:40" ht="33" customHeight="1" outlineLevel="2">
      <c r="A139" s="139" t="s">
        <v>707</v>
      </c>
      <c r="B139" s="406" t="s">
        <v>708</v>
      </c>
      <c r="C139" s="198" t="s">
        <v>709</v>
      </c>
      <c r="D139" s="956" t="s">
        <v>800</v>
      </c>
      <c r="E139" s="148" t="s">
        <v>710</v>
      </c>
      <c r="F139" s="149" t="s">
        <v>711</v>
      </c>
      <c r="G139" s="406" t="s">
        <v>121</v>
      </c>
      <c r="H139" s="406">
        <v>73.906111608847525</v>
      </c>
      <c r="I139" s="406">
        <v>101.15696</v>
      </c>
      <c r="J139" s="406">
        <v>101.15696</v>
      </c>
      <c r="K139" s="406">
        <v>81.095205192391774</v>
      </c>
      <c r="L139" s="406">
        <v>100.79182</v>
      </c>
      <c r="M139" s="406">
        <v>100.79</v>
      </c>
      <c r="N139" s="406">
        <v>66.396117724901131</v>
      </c>
      <c r="O139" s="406">
        <v>71.108639999999994</v>
      </c>
      <c r="P139" s="406">
        <v>67.724440000000001</v>
      </c>
      <c r="Q139" s="150">
        <v>67.724440000000001</v>
      </c>
      <c r="R139" s="406">
        <v>67.724440000000001</v>
      </c>
      <c r="S139" s="402">
        <v>67.724440000000001</v>
      </c>
      <c r="T139" s="406">
        <f t="shared" si="57"/>
        <v>1.3283222750988699</v>
      </c>
      <c r="U139" s="406">
        <f t="shared" si="58"/>
        <v>0</v>
      </c>
      <c r="V139" s="406">
        <v>70.047904199770684</v>
      </c>
      <c r="W139" s="167">
        <v>67926.679999999993</v>
      </c>
      <c r="X139" s="167">
        <v>67.92667999999999</v>
      </c>
      <c r="Y139" s="406">
        <v>67.92667999999999</v>
      </c>
      <c r="Z139" s="406">
        <v>64.044409999999999</v>
      </c>
      <c r="AA139" s="406">
        <v>3.2844799999999998</v>
      </c>
      <c r="AB139" s="406">
        <v>0.59778999999999993</v>
      </c>
      <c r="AC139" s="403">
        <v>73.200059888760364</v>
      </c>
      <c r="AD139" s="406">
        <f>'[71]2. подк.неподк.'!X127</f>
        <v>73.200059888760364</v>
      </c>
      <c r="AE139" s="406">
        <f t="shared" si="91"/>
        <v>72.629292706012819</v>
      </c>
      <c r="AF139" s="402">
        <f t="shared" si="60"/>
        <v>72.629292706012819</v>
      </c>
      <c r="AG139" s="167">
        <v>76.128062284310786</v>
      </c>
      <c r="AH139" s="406">
        <v>74.991054720000008</v>
      </c>
      <c r="AI139" s="957">
        <f t="shared" si="59"/>
        <v>1.1040000000000003</v>
      </c>
      <c r="AJ139" s="957">
        <f t="shared" si="61"/>
        <v>-1.1370075643107782</v>
      </c>
      <c r="AK139" s="965"/>
      <c r="AL139" s="74"/>
      <c r="AM139" s="52">
        <f t="shared" si="93"/>
        <v>-1.1370075643107782</v>
      </c>
    </row>
    <row r="140" spans="1:40" ht="33" customHeight="1" outlineLevel="2">
      <c r="A140" s="139" t="s">
        <v>712</v>
      </c>
      <c r="B140" s="406" t="s">
        <v>713</v>
      </c>
      <c r="C140" s="198" t="s">
        <v>714</v>
      </c>
      <c r="D140" s="956" t="s">
        <v>784</v>
      </c>
      <c r="E140" s="148" t="s">
        <v>715</v>
      </c>
      <c r="F140" s="149" t="s">
        <v>716</v>
      </c>
      <c r="G140" s="406" t="s">
        <v>121</v>
      </c>
      <c r="H140" s="406">
        <v>0</v>
      </c>
      <c r="I140" s="406">
        <v>22.83</v>
      </c>
      <c r="J140" s="406">
        <v>0</v>
      </c>
      <c r="K140" s="406">
        <v>0</v>
      </c>
      <c r="L140" s="406">
        <v>4.00732</v>
      </c>
      <c r="M140" s="406">
        <v>0</v>
      </c>
      <c r="N140" s="406">
        <v>0</v>
      </c>
      <c r="O140" s="406">
        <v>0.6</v>
      </c>
      <c r="P140" s="406">
        <v>0.57549000000000006</v>
      </c>
      <c r="Q140" s="150">
        <v>0.57549000000000006</v>
      </c>
      <c r="R140" s="406">
        <v>0.57549000000000006</v>
      </c>
      <c r="S140" s="402">
        <v>0</v>
      </c>
      <c r="T140" s="406">
        <f t="shared" si="57"/>
        <v>0</v>
      </c>
      <c r="U140" s="406">
        <f t="shared" si="58"/>
        <v>-0.57549000000000006</v>
      </c>
      <c r="V140" s="406">
        <v>0</v>
      </c>
      <c r="W140" s="167">
        <v>1500</v>
      </c>
      <c r="X140" s="167">
        <v>1.5</v>
      </c>
      <c r="Y140" s="406">
        <v>1.5</v>
      </c>
      <c r="Z140" s="406">
        <v>1.4062999999999999</v>
      </c>
      <c r="AA140" s="406">
        <v>7.7780000000000002E-2</v>
      </c>
      <c r="AB140" s="406">
        <v>1.592E-2</v>
      </c>
      <c r="AC140" s="403">
        <v>0</v>
      </c>
      <c r="AD140" s="406">
        <f>'[71]2. подк.неподк.'!X128</f>
        <v>0.66239999999999999</v>
      </c>
      <c r="AE140" s="406">
        <f t="shared" si="91"/>
        <v>0</v>
      </c>
      <c r="AF140" s="402">
        <f t="shared" si="60"/>
        <v>0</v>
      </c>
      <c r="AG140" s="167">
        <v>0</v>
      </c>
      <c r="AH140" s="406">
        <v>0</v>
      </c>
      <c r="AI140" s="957">
        <f t="shared" si="59"/>
        <v>0</v>
      </c>
      <c r="AJ140" s="957">
        <f t="shared" si="61"/>
        <v>0</v>
      </c>
      <c r="AK140" s="958">
        <f t="shared" si="92"/>
        <v>0</v>
      </c>
      <c r="AL140" s="74"/>
      <c r="AM140" s="52">
        <f t="shared" si="93"/>
        <v>0</v>
      </c>
    </row>
    <row r="141" spans="1:40" ht="43.2" customHeight="1" outlineLevel="1">
      <c r="A141" s="139"/>
      <c r="B141" s="409" t="s">
        <v>717</v>
      </c>
      <c r="C141" s="141"/>
      <c r="D141" s="406"/>
      <c r="E141" s="410" t="s">
        <v>718</v>
      </c>
      <c r="F141" s="410" t="s">
        <v>719</v>
      </c>
      <c r="G141" s="406" t="s">
        <v>121</v>
      </c>
      <c r="H141" s="402">
        <f t="shared" ref="H141:J141" si="94">H142</f>
        <v>15779.772965800001</v>
      </c>
      <c r="I141" s="402">
        <f t="shared" si="94"/>
        <v>20130.83713</v>
      </c>
      <c r="J141" s="402">
        <f t="shared" si="94"/>
        <v>20130.84</v>
      </c>
      <c r="K141" s="402">
        <f>K142</f>
        <v>17314.724028827342</v>
      </c>
      <c r="L141" s="402">
        <f t="shared" ref="L141:AK141" si="95">L142</f>
        <v>20496.194090000001</v>
      </c>
      <c r="M141" s="402">
        <f t="shared" si="95"/>
        <v>20496.189999999999</v>
      </c>
      <c r="N141" s="402">
        <f t="shared" si="95"/>
        <v>17114.927888876369</v>
      </c>
      <c r="O141" s="402">
        <f t="shared" si="95"/>
        <v>21196.399419999998</v>
      </c>
      <c r="P141" s="402">
        <f t="shared" si="95"/>
        <v>20006.096570000002</v>
      </c>
      <c r="Q141" s="145">
        <f t="shared" si="95"/>
        <v>20006.096570000002</v>
      </c>
      <c r="R141" s="402">
        <f t="shared" si="95"/>
        <v>20006.096570000002</v>
      </c>
      <c r="S141" s="402">
        <f t="shared" si="95"/>
        <v>20006.096570000002</v>
      </c>
      <c r="T141" s="402">
        <f t="shared" si="57"/>
        <v>2891.1686811236323</v>
      </c>
      <c r="U141" s="402">
        <f t="shared" si="58"/>
        <v>0</v>
      </c>
      <c r="V141" s="402">
        <f t="shared" si="95"/>
        <v>18308.048922764599</v>
      </c>
      <c r="W141" s="402">
        <f t="shared" si="95"/>
        <v>22244571.030000001</v>
      </c>
      <c r="X141" s="402">
        <f t="shared" si="95"/>
        <v>22244.571030000003</v>
      </c>
      <c r="Y141" s="402">
        <f t="shared" si="95"/>
        <v>22244.571030000003</v>
      </c>
      <c r="Z141" s="168">
        <f t="shared" si="95"/>
        <v>20533.07416</v>
      </c>
      <c r="AA141" s="402">
        <f t="shared" si="95"/>
        <v>1472.3242600000001</v>
      </c>
      <c r="AB141" s="402">
        <f t="shared" si="95"/>
        <v>239.17260999999999</v>
      </c>
      <c r="AC141" s="170">
        <f t="shared" si="95"/>
        <v>19131.911124289007</v>
      </c>
      <c r="AD141" s="170">
        <f t="shared" si="95"/>
        <v>24542.5975</v>
      </c>
      <c r="AE141" s="170">
        <f t="shared" si="95"/>
        <v>18982.732735233294</v>
      </c>
      <c r="AF141" s="170">
        <f t="shared" si="95"/>
        <v>18982.732735233294</v>
      </c>
      <c r="AG141" s="170">
        <f t="shared" si="95"/>
        <v>19897.187569260568</v>
      </c>
      <c r="AH141" s="173">
        <f t="shared" si="95"/>
        <v>23739.8</v>
      </c>
      <c r="AI141" s="974">
        <f t="shared" si="59"/>
        <v>1.0672177030513856</v>
      </c>
      <c r="AJ141" s="975">
        <f t="shared" si="95"/>
        <v>3842.6124307394311</v>
      </c>
      <c r="AK141" s="975">
        <f t="shared" si="95"/>
        <v>0</v>
      </c>
      <c r="AL141" s="74"/>
    </row>
    <row r="142" spans="1:40" ht="33" customHeight="1" outlineLevel="2">
      <c r="A142" s="139" t="s">
        <v>720</v>
      </c>
      <c r="B142" s="406" t="s">
        <v>721</v>
      </c>
      <c r="C142" s="198" t="s">
        <v>722</v>
      </c>
      <c r="D142" s="956" t="s">
        <v>805</v>
      </c>
      <c r="E142" s="189" t="s">
        <v>723</v>
      </c>
      <c r="F142" s="149" t="s">
        <v>724</v>
      </c>
      <c r="G142" s="406" t="s">
        <v>121</v>
      </c>
      <c r="H142" s="406">
        <v>15779.772965800001</v>
      </c>
      <c r="I142" s="406">
        <v>20130.83713</v>
      </c>
      <c r="J142" s="406">
        <v>20130.84</v>
      </c>
      <c r="K142" s="406">
        <v>17314.724028827342</v>
      </c>
      <c r="L142" s="406">
        <v>20496.194090000001</v>
      </c>
      <c r="M142" s="406">
        <v>20496.189999999999</v>
      </c>
      <c r="N142" s="406">
        <v>17114.927888876369</v>
      </c>
      <c r="O142" s="406">
        <v>21196.399419999998</v>
      </c>
      <c r="P142" s="406">
        <v>20006.096570000002</v>
      </c>
      <c r="Q142" s="150">
        <v>20006.096570000002</v>
      </c>
      <c r="R142" s="406">
        <v>20006.096570000002</v>
      </c>
      <c r="S142" s="402">
        <v>20006.096570000002</v>
      </c>
      <c r="T142" s="406">
        <f t="shared" si="57"/>
        <v>2891.1686811236323</v>
      </c>
      <c r="U142" s="406">
        <f t="shared" si="58"/>
        <v>0</v>
      </c>
      <c r="V142" s="406">
        <v>18308.048922764599</v>
      </c>
      <c r="W142" s="167">
        <v>22244571.030000001</v>
      </c>
      <c r="X142" s="167">
        <v>22244.571030000003</v>
      </c>
      <c r="Y142" s="406">
        <v>22244.571030000003</v>
      </c>
      <c r="Z142" s="406">
        <v>20533.07416</v>
      </c>
      <c r="AA142" s="406">
        <v>1472.3242600000001</v>
      </c>
      <c r="AB142" s="406">
        <v>239.17260999999999</v>
      </c>
      <c r="AC142" s="403">
        <v>19131.911124289007</v>
      </c>
      <c r="AD142" s="406">
        <f>'[71]2. подк.неподк.'!X130</f>
        <v>24542.5975</v>
      </c>
      <c r="AE142" s="406">
        <f>V142*$AD$11</f>
        <v>18982.732735233294</v>
      </c>
      <c r="AF142" s="402">
        <f t="shared" si="60"/>
        <v>18982.732735233294</v>
      </c>
      <c r="AG142" s="167">
        <v>19897.187569260568</v>
      </c>
      <c r="AH142" s="406">
        <v>23739.8</v>
      </c>
      <c r="AI142" s="957">
        <f t="shared" si="59"/>
        <v>1.0672177030513856</v>
      </c>
      <c r="AJ142" s="957">
        <f t="shared" si="61"/>
        <v>3842.6124307394311</v>
      </c>
      <c r="AK142" s="965"/>
      <c r="AL142" s="74"/>
      <c r="AM142" s="52">
        <f>AH142-AG142</f>
        <v>3842.6124307394311</v>
      </c>
    </row>
    <row r="143" spans="1:40" ht="33" customHeight="1" outlineLevel="1">
      <c r="A143" s="139"/>
      <c r="B143" s="409" t="s">
        <v>725</v>
      </c>
      <c r="C143" s="141"/>
      <c r="D143" s="406"/>
      <c r="E143" s="410" t="s">
        <v>726</v>
      </c>
      <c r="F143" s="410" t="s">
        <v>726</v>
      </c>
      <c r="G143" s="406" t="s">
        <v>121</v>
      </c>
      <c r="H143" s="402">
        <f t="shared" ref="H143:J143" si="96">SUM(H144:H147)</f>
        <v>39898.160731813456</v>
      </c>
      <c r="I143" s="402">
        <f t="shared" si="96"/>
        <v>64588.578529999999</v>
      </c>
      <c r="J143" s="402">
        <f t="shared" si="96"/>
        <v>62638.698529999994</v>
      </c>
      <c r="K143" s="402">
        <f>SUM(K144:K147)</f>
        <v>57178.793138987377</v>
      </c>
      <c r="L143" s="402">
        <f t="shared" ref="L143:N143" si="97">SUM(L144:L147)</f>
        <v>75387.112340000007</v>
      </c>
      <c r="M143" s="402">
        <f t="shared" si="97"/>
        <v>75387.125920000006</v>
      </c>
      <c r="N143" s="402">
        <f t="shared" si="97"/>
        <v>40838.669377177095</v>
      </c>
      <c r="O143" s="402">
        <f>SUM(O144:O147)</f>
        <v>66805.020890000014</v>
      </c>
      <c r="P143" s="402">
        <f t="shared" ref="P143:V143" si="98">SUM(P144:P147)</f>
        <v>66630.968229999999</v>
      </c>
      <c r="Q143" s="145">
        <f t="shared" si="98"/>
        <v>66630.968229999999</v>
      </c>
      <c r="R143" s="402">
        <f t="shared" si="98"/>
        <v>66630.968229999999</v>
      </c>
      <c r="S143" s="402">
        <f t="shared" si="98"/>
        <v>66630.968229999999</v>
      </c>
      <c r="T143" s="402">
        <f t="shared" si="57"/>
        <v>25792.298852822903</v>
      </c>
      <c r="U143" s="402">
        <f t="shared" si="58"/>
        <v>0</v>
      </c>
      <c r="V143" s="402">
        <f t="shared" si="98"/>
        <v>79533.422149999999</v>
      </c>
      <c r="W143" s="953">
        <f>SUM(W144:W147)</f>
        <v>77525816.799999997</v>
      </c>
      <c r="X143" s="953">
        <f>SUM(X144:X147)</f>
        <v>77525.816800000001</v>
      </c>
      <c r="Y143" s="953">
        <f t="shared" ref="Y143:AK143" si="99">SUM(Y144:Y147)</f>
        <v>77525.820000000007</v>
      </c>
      <c r="Z143" s="168">
        <f t="shared" si="99"/>
        <v>76131.868920000008</v>
      </c>
      <c r="AA143" s="953">
        <f t="shared" si="99"/>
        <v>1186.70706</v>
      </c>
      <c r="AB143" s="953">
        <f t="shared" si="99"/>
        <v>207.24081999999999</v>
      </c>
      <c r="AC143" s="170">
        <f t="shared" si="99"/>
        <v>83112.426146749989</v>
      </c>
      <c r="AD143" s="170">
        <f t="shared" si="99"/>
        <v>83242.426146749989</v>
      </c>
      <c r="AE143" s="170">
        <f t="shared" si="99"/>
        <v>82464.368680742671</v>
      </c>
      <c r="AF143" s="170">
        <f t="shared" si="99"/>
        <v>82464.368680742671</v>
      </c>
      <c r="AG143" s="170">
        <f t="shared" si="99"/>
        <v>86436.923192619986</v>
      </c>
      <c r="AH143" s="173">
        <f t="shared" si="99"/>
        <v>85781.177467200017</v>
      </c>
      <c r="AI143" s="974">
        <f t="shared" si="59"/>
        <v>1.1064853104159751</v>
      </c>
      <c r="AJ143" s="975">
        <f t="shared" si="99"/>
        <v>-655.74572541997554</v>
      </c>
      <c r="AK143" s="975">
        <f t="shared" si="99"/>
        <v>85781.177467200017</v>
      </c>
      <c r="AL143" s="74"/>
    </row>
    <row r="144" spans="1:40" ht="33" customHeight="1" outlineLevel="2">
      <c r="A144" s="1342" t="s">
        <v>727</v>
      </c>
      <c r="B144" s="406" t="s">
        <v>728</v>
      </c>
      <c r="C144" s="1819" t="s">
        <v>729</v>
      </c>
      <c r="D144" s="956" t="s">
        <v>789</v>
      </c>
      <c r="E144" s="164" t="s">
        <v>730</v>
      </c>
      <c r="F144" s="149" t="s">
        <v>731</v>
      </c>
      <c r="G144" s="406" t="s">
        <v>121</v>
      </c>
      <c r="H144" s="406">
        <v>38660.630731813457</v>
      </c>
      <c r="I144" s="406">
        <v>63552.038529999998</v>
      </c>
      <c r="J144" s="406">
        <v>61602.158529999993</v>
      </c>
      <c r="K144" s="406">
        <v>13136.940703087485</v>
      </c>
      <c r="L144" s="406">
        <v>17741.679230000002</v>
      </c>
      <c r="M144" s="406">
        <v>17741.679230000002</v>
      </c>
      <c r="N144" s="406">
        <v>9305.1563204006688</v>
      </c>
      <c r="O144" s="406">
        <v>15635.819477713374</v>
      </c>
      <c r="P144" s="406">
        <v>15594.873643999546</v>
      </c>
      <c r="Q144" s="150">
        <v>15594.873643999546</v>
      </c>
      <c r="R144" s="406">
        <v>15594.873643999546</v>
      </c>
      <c r="S144" s="402">
        <v>15594.873643999546</v>
      </c>
      <c r="T144" s="406">
        <f t="shared" si="57"/>
        <v>6289.7173235988776</v>
      </c>
      <c r="U144" s="406">
        <f t="shared" si="58"/>
        <v>0</v>
      </c>
      <c r="V144" s="406">
        <v>18717.472600651665</v>
      </c>
      <c r="W144" s="167">
        <v>18230449.989999998</v>
      </c>
      <c r="X144" s="167">
        <v>18230.449989999997</v>
      </c>
      <c r="Y144" s="406">
        <v>18230.450743091009</v>
      </c>
      <c r="Z144" s="406">
        <v>17902.440178143712</v>
      </c>
      <c r="AA144" s="406">
        <v>279.24875832337682</v>
      </c>
      <c r="AB144" s="406">
        <v>48.766253214505554</v>
      </c>
      <c r="AC144" s="403">
        <v>19559.75886768099</v>
      </c>
      <c r="AD144" s="406">
        <f>'[71]2. подк.неподк.'!X132</f>
        <v>19559.75886768099</v>
      </c>
      <c r="AE144" s="406">
        <f>V144*$AD$11</f>
        <v>19407.244395956604</v>
      </c>
      <c r="AF144" s="402">
        <f t="shared" si="60"/>
        <v>19407.244395956604</v>
      </c>
      <c r="AG144" s="167">
        <v>20342.149222388231</v>
      </c>
      <c r="AH144" s="167">
        <v>20126.419046029059</v>
      </c>
      <c r="AI144" s="989">
        <f t="shared" si="59"/>
        <v>1.104000123807644</v>
      </c>
      <c r="AJ144" s="989">
        <f t="shared" si="61"/>
        <v>-215.73017635917131</v>
      </c>
      <c r="AK144" s="958">
        <f>AH144</f>
        <v>20126.419046029059</v>
      </c>
      <c r="AL144" s="74"/>
      <c r="AM144" s="52">
        <f>AH144-AG144</f>
        <v>-215.73017635917131</v>
      </c>
    </row>
    <row r="145" spans="1:39" ht="33" customHeight="1" outlineLevel="2">
      <c r="A145" s="1343"/>
      <c r="B145" s="406" t="s">
        <v>732</v>
      </c>
      <c r="C145" s="1819"/>
      <c r="D145" s="956" t="s">
        <v>810</v>
      </c>
      <c r="E145" s="164" t="s">
        <v>733</v>
      </c>
      <c r="F145" s="149" t="s">
        <v>734</v>
      </c>
      <c r="G145" s="406" t="s">
        <v>121</v>
      </c>
      <c r="H145" s="406">
        <v>0</v>
      </c>
      <c r="I145" s="406">
        <v>0</v>
      </c>
      <c r="J145" s="406">
        <v>0</v>
      </c>
      <c r="K145" s="406">
        <v>42683.942435899888</v>
      </c>
      <c r="L145" s="406">
        <v>57645.446690000004</v>
      </c>
      <c r="M145" s="406">
        <v>57645.446690000004</v>
      </c>
      <c r="N145" s="406">
        <v>30233.885172647962</v>
      </c>
      <c r="O145" s="406">
        <v>50803.184212286636</v>
      </c>
      <c r="P145" s="406">
        <v>50670.144896000456</v>
      </c>
      <c r="Q145" s="150">
        <v>50670.144896000456</v>
      </c>
      <c r="R145" s="406">
        <v>50670.144896000456</v>
      </c>
      <c r="S145" s="402">
        <v>50670.144896000456</v>
      </c>
      <c r="T145" s="406">
        <f t="shared" si="57"/>
        <v>20436.259723352494</v>
      </c>
      <c r="U145" s="406">
        <f t="shared" si="58"/>
        <v>0</v>
      </c>
      <c r="V145" s="406">
        <v>60815.949549348334</v>
      </c>
      <c r="W145" s="167">
        <v>59233546.810000002</v>
      </c>
      <c r="X145" s="167">
        <v>59233.54681</v>
      </c>
      <c r="Y145" s="406">
        <v>59233.549256908991</v>
      </c>
      <c r="Z145" s="406">
        <v>58167.790401856291</v>
      </c>
      <c r="AA145" s="406">
        <v>907.31385167662313</v>
      </c>
      <c r="AB145" s="406">
        <v>158.43735678549444</v>
      </c>
      <c r="AC145" s="403">
        <v>63552.667279069006</v>
      </c>
      <c r="AD145" s="406">
        <f>'[71]2. подк.неподк.'!X133</f>
        <v>63552.667279069006</v>
      </c>
      <c r="AE145" s="406">
        <f>V145*$AD$11</f>
        <v>63057.12428478607</v>
      </c>
      <c r="AF145" s="402">
        <f t="shared" si="60"/>
        <v>63057.12428478607</v>
      </c>
      <c r="AG145" s="167">
        <v>66094.773970231763</v>
      </c>
      <c r="AH145" s="167">
        <v>65393.833421170959</v>
      </c>
      <c r="AI145" s="989">
        <f t="shared" si="59"/>
        <v>1.1039999618954264</v>
      </c>
      <c r="AJ145" s="989">
        <f t="shared" si="61"/>
        <v>-700.94054906080419</v>
      </c>
      <c r="AK145" s="958">
        <f t="shared" ref="AK145:AK147" si="100">AH145</f>
        <v>65393.833421170959</v>
      </c>
      <c r="AL145" s="74"/>
      <c r="AM145" s="52">
        <f>AH145-AG145</f>
        <v>-700.94054906080419</v>
      </c>
    </row>
    <row r="146" spans="1:39" ht="33" customHeight="1" outlineLevel="2">
      <c r="A146" s="139" t="s">
        <v>735</v>
      </c>
      <c r="B146" s="406" t="s">
        <v>736</v>
      </c>
      <c r="C146" s="198" t="s">
        <v>737</v>
      </c>
      <c r="D146" s="956" t="s">
        <v>815</v>
      </c>
      <c r="E146" s="148" t="s">
        <v>738</v>
      </c>
      <c r="F146" s="1340" t="s">
        <v>739</v>
      </c>
      <c r="G146" s="1341" t="s">
        <v>121</v>
      </c>
      <c r="H146" s="406">
        <v>1237.53</v>
      </c>
      <c r="I146" s="406">
        <v>1036.54</v>
      </c>
      <c r="J146" s="406">
        <v>1036.54</v>
      </c>
      <c r="K146" s="1341">
        <v>1357.91</v>
      </c>
      <c r="L146" s="406">
        <v>-1.358E-2</v>
      </c>
      <c r="M146" s="406">
        <v>0</v>
      </c>
      <c r="N146" s="406">
        <v>1299.6278841284657</v>
      </c>
      <c r="O146" s="406">
        <v>323.46719999999999</v>
      </c>
      <c r="P146" s="406">
        <v>323.46719999999999</v>
      </c>
      <c r="Q146" s="150">
        <v>323.46719999999999</v>
      </c>
      <c r="R146" s="406">
        <v>323.46719999999999</v>
      </c>
      <c r="S146" s="402">
        <v>323.46719999999999</v>
      </c>
      <c r="T146" s="406">
        <f t="shared" si="57"/>
        <v>-976.16068412846562</v>
      </c>
      <c r="U146" s="406">
        <f t="shared" si="58"/>
        <v>0</v>
      </c>
      <c r="V146" s="406">
        <v>0</v>
      </c>
      <c r="W146" s="167">
        <v>0</v>
      </c>
      <c r="X146" s="167">
        <v>0</v>
      </c>
      <c r="Y146" s="406">
        <v>0</v>
      </c>
      <c r="Z146" s="406">
        <v>0</v>
      </c>
      <c r="AA146" s="406">
        <v>0</v>
      </c>
      <c r="AB146" s="406">
        <v>0</v>
      </c>
      <c r="AC146" s="403">
        <v>0</v>
      </c>
      <c r="AD146" s="406">
        <f>'[71]2. подк.неподк.'!X134</f>
        <v>0</v>
      </c>
      <c r="AE146" s="406">
        <f>V146*$AD$11</f>
        <v>0</v>
      </c>
      <c r="AF146" s="402">
        <f t="shared" si="60"/>
        <v>0</v>
      </c>
      <c r="AG146" s="167">
        <v>0</v>
      </c>
      <c r="AH146" s="406">
        <v>0</v>
      </c>
      <c r="AI146" s="957" t="e">
        <f t="shared" si="59"/>
        <v>#DIV/0!</v>
      </c>
      <c r="AJ146" s="957">
        <f t="shared" si="61"/>
        <v>0</v>
      </c>
      <c r="AK146" s="958">
        <f t="shared" si="100"/>
        <v>0</v>
      </c>
      <c r="AL146" s="74"/>
      <c r="AM146" s="52">
        <f>AH146-AG146</f>
        <v>0</v>
      </c>
    </row>
    <row r="147" spans="1:39" ht="33" customHeight="1" outlineLevel="2">
      <c r="A147" s="139" t="s">
        <v>740</v>
      </c>
      <c r="B147" s="406" t="s">
        <v>741</v>
      </c>
      <c r="C147" s="198" t="s">
        <v>742</v>
      </c>
      <c r="D147" s="956" t="s">
        <v>2148</v>
      </c>
      <c r="E147" s="990" t="s">
        <v>743</v>
      </c>
      <c r="F147" s="1340"/>
      <c r="G147" s="1341"/>
      <c r="H147" s="406">
        <v>0</v>
      </c>
      <c r="I147" s="406">
        <v>0</v>
      </c>
      <c r="J147" s="406">
        <v>0</v>
      </c>
      <c r="K147" s="1341"/>
      <c r="L147" s="406"/>
      <c r="M147" s="406"/>
      <c r="N147" s="406"/>
      <c r="O147" s="406">
        <v>42.55</v>
      </c>
      <c r="P147" s="406">
        <v>42.482489999999999</v>
      </c>
      <c r="Q147" s="150">
        <v>42.482489999999999</v>
      </c>
      <c r="R147" s="406">
        <v>42.482489999999999</v>
      </c>
      <c r="S147" s="402">
        <v>42.482489999999999</v>
      </c>
      <c r="T147" s="406">
        <f t="shared" si="57"/>
        <v>42.482489999999999</v>
      </c>
      <c r="U147" s="406">
        <f t="shared" si="58"/>
        <v>0</v>
      </c>
      <c r="V147" s="406">
        <v>0</v>
      </c>
      <c r="W147" s="167">
        <v>61820</v>
      </c>
      <c r="X147" s="167">
        <v>61.82</v>
      </c>
      <c r="Y147" s="406">
        <v>61.819999999999993</v>
      </c>
      <c r="Z147" s="406">
        <v>61.638339999999999</v>
      </c>
      <c r="AA147" s="406">
        <v>0.14445</v>
      </c>
      <c r="AB147" s="406">
        <v>3.721E-2</v>
      </c>
      <c r="AC147" s="403">
        <v>0</v>
      </c>
      <c r="AD147" s="406">
        <f>'[71]2. подк.неподк.'!X135</f>
        <v>130</v>
      </c>
      <c r="AE147" s="406">
        <f>V147*$AD$11</f>
        <v>0</v>
      </c>
      <c r="AF147" s="402">
        <f t="shared" si="60"/>
        <v>0</v>
      </c>
      <c r="AG147" s="167">
        <v>0</v>
      </c>
      <c r="AH147" s="406">
        <v>260.92500000000001</v>
      </c>
      <c r="AI147" s="957">
        <f t="shared" si="59"/>
        <v>4.2207214493691367</v>
      </c>
      <c r="AJ147" s="957">
        <f t="shared" si="61"/>
        <v>260.92500000000001</v>
      </c>
      <c r="AK147" s="958">
        <f t="shared" si="100"/>
        <v>260.92500000000001</v>
      </c>
      <c r="AL147" s="74"/>
      <c r="AM147" s="52">
        <f>AH147-AG147</f>
        <v>260.92500000000001</v>
      </c>
    </row>
    <row r="148" spans="1:39" ht="33" customHeight="1" outlineLevel="1">
      <c r="A148" s="139"/>
      <c r="B148" s="409" t="s">
        <v>744</v>
      </c>
      <c r="C148" s="141"/>
      <c r="D148" s="406"/>
      <c r="E148" s="410" t="s">
        <v>745</v>
      </c>
      <c r="F148" s="410" t="s">
        <v>745</v>
      </c>
      <c r="G148" s="406" t="s">
        <v>121</v>
      </c>
      <c r="H148" s="173">
        <f t="shared" ref="H148:J148" si="101">H149+H150</f>
        <v>2000</v>
      </c>
      <c r="I148" s="173">
        <f t="shared" si="101"/>
        <v>22589.119339999997</v>
      </c>
      <c r="J148" s="173">
        <f t="shared" si="101"/>
        <v>4223.8999999999996</v>
      </c>
      <c r="K148" s="173">
        <f>K149+K150</f>
        <v>2194.5465999999997</v>
      </c>
      <c r="L148" s="173">
        <f t="shared" ref="L148:N148" si="102">L149+L150</f>
        <v>16854.686969999999</v>
      </c>
      <c r="M148" s="173">
        <f t="shared" si="102"/>
        <v>3019.31</v>
      </c>
      <c r="N148" s="173">
        <f t="shared" si="102"/>
        <v>2053.34</v>
      </c>
      <c r="O148" s="173">
        <f>O149+O150</f>
        <v>17537.749759999999</v>
      </c>
      <c r="P148" s="173">
        <f t="shared" ref="P148:AK148" si="103">P149+P150</f>
        <v>17244.981400000001</v>
      </c>
      <c r="Q148" s="174">
        <f t="shared" si="103"/>
        <v>3569.4841299999998</v>
      </c>
      <c r="R148" s="173">
        <f t="shared" si="103"/>
        <v>3569.4841299999998</v>
      </c>
      <c r="S148" s="402">
        <f t="shared" si="103"/>
        <v>3569.4841299999998</v>
      </c>
      <c r="T148" s="173">
        <f t="shared" si="57"/>
        <v>1516.1441299999997</v>
      </c>
      <c r="U148" s="173">
        <f t="shared" si="58"/>
        <v>-13675.49727</v>
      </c>
      <c r="V148" s="173">
        <f t="shared" si="103"/>
        <v>2166.2737000000002</v>
      </c>
      <c r="W148" s="173">
        <f t="shared" si="103"/>
        <v>6475120.4400000004</v>
      </c>
      <c r="X148" s="173">
        <f t="shared" si="103"/>
        <v>6475.1204400000006</v>
      </c>
      <c r="Y148" s="173">
        <f t="shared" si="103"/>
        <v>6475.1204399999997</v>
      </c>
      <c r="Z148" s="1019">
        <f t="shared" si="103"/>
        <v>6284.5428499999998</v>
      </c>
      <c r="AA148" s="173">
        <f t="shared" si="103"/>
        <v>161.83989999999997</v>
      </c>
      <c r="AB148" s="173">
        <f t="shared" si="103"/>
        <v>28.737690000000001</v>
      </c>
      <c r="AC148" s="170">
        <f t="shared" si="103"/>
        <v>2263.7560165</v>
      </c>
      <c r="AD148" s="170">
        <f t="shared" si="103"/>
        <v>2263.7560165</v>
      </c>
      <c r="AE148" s="170">
        <f t="shared" si="103"/>
        <v>2246.1046970075154</v>
      </c>
      <c r="AF148" s="170">
        <f t="shared" si="103"/>
        <v>2246.1046970075154</v>
      </c>
      <c r="AG148" s="170">
        <f t="shared" si="103"/>
        <v>2354.3062571599999</v>
      </c>
      <c r="AH148" s="173">
        <f t="shared" si="103"/>
        <v>676.5089483050848</v>
      </c>
      <c r="AI148" s="974">
        <f t="shared" si="59"/>
        <v>0.10447820308112829</v>
      </c>
      <c r="AJ148" s="975">
        <f t="shared" si="103"/>
        <v>-1677.7973088549152</v>
      </c>
      <c r="AK148" s="975">
        <f t="shared" si="103"/>
        <v>0</v>
      </c>
      <c r="AL148" s="74"/>
    </row>
    <row r="149" spans="1:39" s="191" customFormat="1" ht="33" customHeight="1" outlineLevel="2">
      <c r="A149" s="139" t="s">
        <v>746</v>
      </c>
      <c r="B149" s="406" t="s">
        <v>747</v>
      </c>
      <c r="C149" s="198" t="s">
        <v>748</v>
      </c>
      <c r="D149" s="956" t="s">
        <v>823</v>
      </c>
      <c r="E149" s="148" t="s">
        <v>749</v>
      </c>
      <c r="F149" s="149" t="s">
        <v>750</v>
      </c>
      <c r="G149" s="406" t="s">
        <v>121</v>
      </c>
      <c r="H149" s="406">
        <v>1000</v>
      </c>
      <c r="I149" s="406">
        <v>19365.218939999999</v>
      </c>
      <c r="J149" s="406">
        <v>1000</v>
      </c>
      <c r="K149" s="406">
        <v>1097.2733000000001</v>
      </c>
      <c r="L149" s="406">
        <v>14932.645769999999</v>
      </c>
      <c r="M149" s="406">
        <v>1097.27</v>
      </c>
      <c r="N149" s="406">
        <v>1026.67</v>
      </c>
      <c r="O149" s="406">
        <v>14990.839760000001</v>
      </c>
      <c r="P149" s="406">
        <v>14702.167270000002</v>
      </c>
      <c r="Q149" s="150">
        <v>1026.67</v>
      </c>
      <c r="R149" s="406">
        <v>1026.67</v>
      </c>
      <c r="S149" s="402">
        <v>1026.67</v>
      </c>
      <c r="T149" s="406">
        <f t="shared" si="57"/>
        <v>0</v>
      </c>
      <c r="U149" s="406">
        <f t="shared" si="58"/>
        <v>-13675.497270000002</v>
      </c>
      <c r="V149" s="406">
        <v>1083.1368500000001</v>
      </c>
      <c r="W149" s="167">
        <v>5975120.4400000004</v>
      </c>
      <c r="X149" s="167">
        <v>5975.1204400000006</v>
      </c>
      <c r="Y149" s="406">
        <v>5975.1204399999997</v>
      </c>
      <c r="Z149" s="406">
        <v>5785.2768699999997</v>
      </c>
      <c r="AA149" s="406">
        <v>161.37359999999998</v>
      </c>
      <c r="AB149" s="406">
        <v>28.46997</v>
      </c>
      <c r="AC149" s="403">
        <v>1131.87800825</v>
      </c>
      <c r="AD149" s="406">
        <f>'[71]2. подк.неподк.'!X137</f>
        <v>1131.87800825</v>
      </c>
      <c r="AE149" s="406">
        <f>V149*$AD$11</f>
        <v>1123.0523485037577</v>
      </c>
      <c r="AF149" s="402">
        <f t="shared" si="60"/>
        <v>1123.0523485037577</v>
      </c>
      <c r="AG149" s="167">
        <v>1177.1531285799999</v>
      </c>
      <c r="AH149" s="406">
        <v>145.80894830508475</v>
      </c>
      <c r="AI149" s="957">
        <f t="shared" si="59"/>
        <v>2.4402679371779281E-2</v>
      </c>
      <c r="AJ149" s="957">
        <f t="shared" si="61"/>
        <v>-1031.3441802749153</v>
      </c>
      <c r="AK149" s="965"/>
      <c r="AL149" s="991"/>
      <c r="AM149" s="52">
        <f>AH149-AG149</f>
        <v>-1031.3441802749153</v>
      </c>
    </row>
    <row r="150" spans="1:39" s="191" customFormat="1" ht="33" customHeight="1" outlineLevel="2">
      <c r="A150" s="139" t="s">
        <v>751</v>
      </c>
      <c r="B150" s="406" t="s">
        <v>752</v>
      </c>
      <c r="C150" s="198" t="s">
        <v>753</v>
      </c>
      <c r="D150" s="956" t="s">
        <v>829</v>
      </c>
      <c r="E150" s="148" t="s">
        <v>754</v>
      </c>
      <c r="F150" s="149" t="s">
        <v>755</v>
      </c>
      <c r="G150" s="406" t="s">
        <v>121</v>
      </c>
      <c r="H150" s="406">
        <v>1000</v>
      </c>
      <c r="I150" s="406">
        <v>3223.9004</v>
      </c>
      <c r="J150" s="406">
        <v>3223.9</v>
      </c>
      <c r="K150" s="406">
        <v>1097.2732999999998</v>
      </c>
      <c r="L150" s="406">
        <v>1922.0411999999999</v>
      </c>
      <c r="M150" s="406">
        <v>1922.04</v>
      </c>
      <c r="N150" s="406">
        <v>1026.67</v>
      </c>
      <c r="O150" s="406">
        <v>2546.91</v>
      </c>
      <c r="P150" s="406">
        <v>2542.8141299999997</v>
      </c>
      <c r="Q150" s="150">
        <v>2542.8141299999997</v>
      </c>
      <c r="R150" s="406">
        <v>2542.8141299999997</v>
      </c>
      <c r="S150" s="402">
        <v>2542.8141299999997</v>
      </c>
      <c r="T150" s="406">
        <f t="shared" si="57"/>
        <v>1516.1441299999997</v>
      </c>
      <c r="U150" s="406">
        <f t="shared" si="58"/>
        <v>0</v>
      </c>
      <c r="V150" s="406">
        <v>1083.1368500000001</v>
      </c>
      <c r="W150" s="167">
        <v>500000</v>
      </c>
      <c r="X150" s="167">
        <v>500</v>
      </c>
      <c r="Y150" s="406">
        <v>499.99999999999994</v>
      </c>
      <c r="Z150" s="406">
        <v>499.26597999999996</v>
      </c>
      <c r="AA150" s="406">
        <v>0.46629999999999999</v>
      </c>
      <c r="AB150" s="406">
        <v>0.26772000000000001</v>
      </c>
      <c r="AC150" s="403">
        <v>1131.87800825</v>
      </c>
      <c r="AD150" s="406">
        <f>'[71]2. подк.неподк.'!X138</f>
        <v>1131.87800825</v>
      </c>
      <c r="AE150" s="406">
        <f>V150*$AD$11</f>
        <v>1123.0523485037577</v>
      </c>
      <c r="AF150" s="402">
        <f t="shared" si="60"/>
        <v>1123.0523485037577</v>
      </c>
      <c r="AG150" s="167">
        <v>1177.1531285799999</v>
      </c>
      <c r="AH150" s="406">
        <v>530.70000000000005</v>
      </c>
      <c r="AI150" s="957">
        <f t="shared" si="59"/>
        <v>1.0614000000000001</v>
      </c>
      <c r="AJ150" s="957">
        <f t="shared" si="61"/>
        <v>-646.45312857999988</v>
      </c>
      <c r="AK150" s="965"/>
      <c r="AL150" s="991"/>
      <c r="AM150" s="52">
        <f>AH150-AG150</f>
        <v>-646.45312857999988</v>
      </c>
    </row>
    <row r="151" spans="1:39" s="191" customFormat="1" ht="33" customHeight="1" outlineLevel="1">
      <c r="A151" s="192"/>
      <c r="B151" s="409" t="s">
        <v>756</v>
      </c>
      <c r="C151" s="193"/>
      <c r="D151" s="402"/>
      <c r="E151" s="410" t="s">
        <v>757</v>
      </c>
      <c r="F151" s="410" t="s">
        <v>757</v>
      </c>
      <c r="G151" s="406" t="s">
        <v>121</v>
      </c>
      <c r="H151" s="173">
        <f t="shared" ref="H151:J151" si="104">H153+H160+H168+H172+H175+H180+H206</f>
        <v>170092.25239761703</v>
      </c>
      <c r="I151" s="173">
        <f t="shared" si="104"/>
        <v>210974.52321000001</v>
      </c>
      <c r="J151" s="173">
        <f t="shared" si="104"/>
        <v>182022.39</v>
      </c>
      <c r="K151" s="173">
        <f>K153+K160+K168+K172+K175+K180+K206</f>
        <v>173103.11822122496</v>
      </c>
      <c r="L151" s="173">
        <f t="shared" ref="L151:AK151" si="105">L153+L160+L168+L172+L175+L180+L206</f>
        <v>239337.42604999998</v>
      </c>
      <c r="M151" s="173">
        <f t="shared" si="105"/>
        <v>212439.44644999999</v>
      </c>
      <c r="N151" s="173">
        <f t="shared" si="105"/>
        <v>144208.10422230931</v>
      </c>
      <c r="O151" s="173">
        <f t="shared" si="105"/>
        <v>232514.72855</v>
      </c>
      <c r="P151" s="173">
        <f t="shared" si="105"/>
        <v>224140.40088999999</v>
      </c>
      <c r="Q151" s="174">
        <f t="shared" si="105"/>
        <v>196063.13141999999</v>
      </c>
      <c r="R151" s="173">
        <f t="shared" si="105"/>
        <v>199199.35916999998</v>
      </c>
      <c r="S151" s="402">
        <f t="shared" si="105"/>
        <v>189739.50462999998</v>
      </c>
      <c r="T151" s="173">
        <f t="shared" si="57"/>
        <v>45531.400407690671</v>
      </c>
      <c r="U151" s="173">
        <f t="shared" si="58"/>
        <v>-34400.896260000009</v>
      </c>
      <c r="V151" s="173">
        <f t="shared" si="105"/>
        <v>153952.99103572237</v>
      </c>
      <c r="W151" s="173">
        <f t="shared" si="105"/>
        <v>176666639.46000001</v>
      </c>
      <c r="X151" s="173">
        <f t="shared" si="105"/>
        <v>176666.63620000001</v>
      </c>
      <c r="Y151" s="173">
        <f t="shared" si="105"/>
        <v>176666.63945999998</v>
      </c>
      <c r="Z151" s="173">
        <f t="shared" si="105"/>
        <v>182409.93831999999</v>
      </c>
      <c r="AA151" s="173">
        <f t="shared" si="105"/>
        <v>9456.9701700000005</v>
      </c>
      <c r="AB151" s="173">
        <f t="shared" si="105"/>
        <v>467.48262999999997</v>
      </c>
      <c r="AC151" s="170">
        <f t="shared" si="105"/>
        <v>160156.58801259863</v>
      </c>
      <c r="AD151" s="170">
        <f t="shared" si="105"/>
        <v>359689.30162886565</v>
      </c>
      <c r="AE151" s="170">
        <f t="shared" si="105"/>
        <v>159626.42960752925</v>
      </c>
      <c r="AF151" s="170">
        <f>AF153+AF160+AF168+AF172+AF175+AF180+AF206</f>
        <v>159626.42960752925</v>
      </c>
      <c r="AG151" s="170">
        <f t="shared" si="105"/>
        <v>166562.85593310258</v>
      </c>
      <c r="AH151" s="173">
        <f t="shared" si="105"/>
        <v>1114093.8883931306</v>
      </c>
      <c r="AI151" s="974">
        <f t="shared" si="59"/>
        <v>6.3061929086140065</v>
      </c>
      <c r="AJ151" s="975">
        <f t="shared" si="105"/>
        <v>947531.03246002796</v>
      </c>
      <c r="AK151" s="975">
        <f t="shared" si="105"/>
        <v>1039138.0546087576</v>
      </c>
      <c r="AL151" s="991"/>
      <c r="AM151" s="52"/>
    </row>
    <row r="152" spans="1:39" s="191" customFormat="1" ht="33" customHeight="1" outlineLevel="3">
      <c r="A152" s="139" t="s">
        <v>758</v>
      </c>
      <c r="B152" s="406" t="s">
        <v>759</v>
      </c>
      <c r="C152" s="198" t="s">
        <v>760</v>
      </c>
      <c r="D152" s="956" t="s">
        <v>834</v>
      </c>
      <c r="E152" s="148" t="s">
        <v>761</v>
      </c>
      <c r="F152" s="149" t="s">
        <v>762</v>
      </c>
      <c r="G152" s="406" t="s">
        <v>121</v>
      </c>
      <c r="H152" s="406">
        <v>110.48130345897923</v>
      </c>
      <c r="I152" s="406">
        <v>26.01483</v>
      </c>
      <c r="J152" s="406">
        <v>26.01</v>
      </c>
      <c r="K152" s="406">
        <v>121.22818443473554</v>
      </c>
      <c r="L152" s="406">
        <v>22.835909999999998</v>
      </c>
      <c r="M152" s="406">
        <v>22.84</v>
      </c>
      <c r="N152" s="406">
        <v>22.259997114405309</v>
      </c>
      <c r="O152" s="406">
        <v>212.84136999999998</v>
      </c>
      <c r="P152" s="406">
        <v>12.065530000000001</v>
      </c>
      <c r="Q152" s="150">
        <v>12.065530000000001</v>
      </c>
      <c r="R152" s="406">
        <v>12.065530000000001</v>
      </c>
      <c r="S152" s="402">
        <v>12.065530000000001</v>
      </c>
      <c r="T152" s="406">
        <f t="shared" si="57"/>
        <v>-10.194467114405308</v>
      </c>
      <c r="U152" s="406">
        <f t="shared" si="58"/>
        <v>0</v>
      </c>
      <c r="V152" s="406">
        <v>25.903414999999995</v>
      </c>
      <c r="W152" s="167">
        <v>227553.24</v>
      </c>
      <c r="X152" s="167">
        <v>227.55323999999999</v>
      </c>
      <c r="Y152" s="406">
        <v>227.55323999999999</v>
      </c>
      <c r="Z152" s="406">
        <v>25.05114</v>
      </c>
      <c r="AA152" s="406">
        <v>96.970919999999992</v>
      </c>
      <c r="AB152" s="406">
        <v>105.53117999999999</v>
      </c>
      <c r="AC152" s="403">
        <v>27.069068674999993</v>
      </c>
      <c r="AD152" s="406">
        <f>'[71]2. подк.неподк.'!X140</f>
        <v>228.09</v>
      </c>
      <c r="AE152" s="406">
        <f>V152*$AD$11</f>
        <v>26.858001415072767</v>
      </c>
      <c r="AF152" s="402">
        <f t="shared" si="60"/>
        <v>26.858001415072767</v>
      </c>
      <c r="AG152" s="167">
        <v>28.151831421999994</v>
      </c>
      <c r="AH152" s="406">
        <v>275.90794129256778</v>
      </c>
      <c r="AI152" s="957">
        <f t="shared" si="59"/>
        <v>1.212498408251923</v>
      </c>
      <c r="AJ152" s="957">
        <f t="shared" si="61"/>
        <v>247.7561098705678</v>
      </c>
      <c r="AK152" s="958">
        <f>AH152</f>
        <v>275.90794129256778</v>
      </c>
      <c r="AL152" s="991"/>
      <c r="AM152" s="52">
        <f>AH152-AG152</f>
        <v>247.7561098705678</v>
      </c>
    </row>
    <row r="153" spans="1:39" s="161" customFormat="1" ht="33" customHeight="1" outlineLevel="2">
      <c r="A153" s="153"/>
      <c r="B153" s="402"/>
      <c r="C153" s="155"/>
      <c r="D153" s="966"/>
      <c r="E153" s="156" t="s">
        <v>763</v>
      </c>
      <c r="F153" s="157"/>
      <c r="G153" s="158"/>
      <c r="H153" s="154">
        <f t="shared" ref="H153:J153" si="106">H152</f>
        <v>110.48130345897923</v>
      </c>
      <c r="I153" s="154">
        <f t="shared" si="106"/>
        <v>26.01483</v>
      </c>
      <c r="J153" s="154">
        <f t="shared" si="106"/>
        <v>26.01</v>
      </c>
      <c r="K153" s="154">
        <f>K152</f>
        <v>121.22818443473554</v>
      </c>
      <c r="L153" s="154">
        <f t="shared" ref="L153:AK153" si="107">L152</f>
        <v>22.835909999999998</v>
      </c>
      <c r="M153" s="154">
        <f t="shared" si="107"/>
        <v>22.84</v>
      </c>
      <c r="N153" s="154">
        <f t="shared" si="107"/>
        <v>22.259997114405309</v>
      </c>
      <c r="O153" s="154">
        <f t="shared" si="107"/>
        <v>212.84136999999998</v>
      </c>
      <c r="P153" s="154">
        <f t="shared" si="107"/>
        <v>12.065530000000001</v>
      </c>
      <c r="Q153" s="159">
        <f t="shared" si="107"/>
        <v>12.065530000000001</v>
      </c>
      <c r="R153" s="154">
        <f t="shared" si="107"/>
        <v>12.065530000000001</v>
      </c>
      <c r="S153" s="402">
        <f t="shared" si="107"/>
        <v>12.065530000000001</v>
      </c>
      <c r="T153" s="402">
        <f t="shared" si="57"/>
        <v>-10.194467114405308</v>
      </c>
      <c r="U153" s="402">
        <f t="shared" si="58"/>
        <v>0</v>
      </c>
      <c r="V153" s="154">
        <f t="shared" si="107"/>
        <v>25.903414999999995</v>
      </c>
      <c r="W153" s="154">
        <f t="shared" si="107"/>
        <v>227553.24</v>
      </c>
      <c r="X153" s="154">
        <f t="shared" si="107"/>
        <v>227.55323999999999</v>
      </c>
      <c r="Y153" s="154">
        <f t="shared" si="107"/>
        <v>227.55323999999999</v>
      </c>
      <c r="Z153" s="1041">
        <f t="shared" si="107"/>
        <v>25.05114</v>
      </c>
      <c r="AA153" s="154">
        <f t="shared" si="107"/>
        <v>96.970919999999992</v>
      </c>
      <c r="AB153" s="154">
        <f t="shared" si="107"/>
        <v>105.53117999999999</v>
      </c>
      <c r="AC153" s="194">
        <f t="shared" si="107"/>
        <v>27.069068674999993</v>
      </c>
      <c r="AD153" s="194">
        <f t="shared" si="107"/>
        <v>228.09</v>
      </c>
      <c r="AE153" s="194">
        <f t="shared" si="107"/>
        <v>26.858001415072767</v>
      </c>
      <c r="AF153" s="194">
        <f t="shared" si="107"/>
        <v>26.858001415072767</v>
      </c>
      <c r="AG153" s="194">
        <f t="shared" si="107"/>
        <v>28.151831421999994</v>
      </c>
      <c r="AH153" s="992">
        <f t="shared" si="107"/>
        <v>275.90794129256778</v>
      </c>
      <c r="AI153" s="993">
        <f t="shared" si="59"/>
        <v>1.212498408251923</v>
      </c>
      <c r="AJ153" s="994">
        <f t="shared" si="107"/>
        <v>247.7561098705678</v>
      </c>
      <c r="AK153" s="994">
        <f t="shared" si="107"/>
        <v>275.90794129256778</v>
      </c>
      <c r="AL153" s="964"/>
      <c r="AM153" s="52"/>
    </row>
    <row r="154" spans="1:39" ht="33" customHeight="1" outlineLevel="2">
      <c r="A154" s="139" t="s">
        <v>764</v>
      </c>
      <c r="B154" s="195" t="s">
        <v>765</v>
      </c>
      <c r="C154" s="198" t="s">
        <v>766</v>
      </c>
      <c r="D154" s="969" t="s">
        <v>839</v>
      </c>
      <c r="E154" s="148" t="s">
        <v>767</v>
      </c>
      <c r="F154" s="196" t="s">
        <v>768</v>
      </c>
      <c r="G154" s="406" t="s">
        <v>121</v>
      </c>
      <c r="H154" s="406">
        <v>56740</v>
      </c>
      <c r="I154" s="406">
        <v>65998.707809999993</v>
      </c>
      <c r="J154" s="406">
        <v>65998.710000000006</v>
      </c>
      <c r="K154" s="406">
        <v>60087.66</v>
      </c>
      <c r="L154" s="406">
        <v>57393.816449999998</v>
      </c>
      <c r="M154" s="406">
        <v>57393.816449999998</v>
      </c>
      <c r="N154" s="406">
        <v>53221.34</v>
      </c>
      <c r="O154" s="406">
        <v>59393.999179999999</v>
      </c>
      <c r="P154" s="406">
        <v>59393.999179999999</v>
      </c>
      <c r="Q154" s="150">
        <v>59393.999179999999</v>
      </c>
      <c r="R154" s="406">
        <v>59393.999179999999</v>
      </c>
      <c r="S154" s="402">
        <v>59393.999179999999</v>
      </c>
      <c r="T154" s="406">
        <f t="shared" si="57"/>
        <v>6172.6591800000024</v>
      </c>
      <c r="U154" s="406">
        <f t="shared" si="58"/>
        <v>0</v>
      </c>
      <c r="V154" s="406">
        <v>31517.43</v>
      </c>
      <c r="W154" s="167">
        <v>60740793.259999998</v>
      </c>
      <c r="X154" s="167">
        <v>21288.79</v>
      </c>
      <c r="Y154" s="406">
        <v>21288.78872</v>
      </c>
      <c r="Z154" s="406">
        <v>21288.78872</v>
      </c>
      <c r="AA154" s="406">
        <v>0</v>
      </c>
      <c r="AB154" s="406">
        <v>0</v>
      </c>
      <c r="AC154" s="403">
        <v>32935.72</v>
      </c>
      <c r="AD154" s="406">
        <v>32935.72</v>
      </c>
      <c r="AE154" s="406">
        <f t="shared" ref="AE154:AE159" si="108">V154*$AD$11</f>
        <v>32678.902744655752</v>
      </c>
      <c r="AF154" s="402">
        <f t="shared" si="60"/>
        <v>32678.902744655752</v>
      </c>
      <c r="AG154" s="167">
        <v>34253.15</v>
      </c>
      <c r="AH154" s="406">
        <f>25671.83</f>
        <v>25671.83</v>
      </c>
      <c r="AI154" s="957">
        <f t="shared" si="59"/>
        <v>1.2058848811980389</v>
      </c>
      <c r="AJ154" s="957">
        <f t="shared" si="61"/>
        <v>-8581.32</v>
      </c>
      <c r="AK154" s="965"/>
      <c r="AL154" s="74"/>
      <c r="AM154" s="52">
        <f t="shared" ref="AM154:AM159" si="109">AH154-AG154</f>
        <v>-8581.32</v>
      </c>
    </row>
    <row r="155" spans="1:39" s="191" customFormat="1" ht="33" customHeight="1" outlineLevel="3">
      <c r="A155" s="139" t="s">
        <v>769</v>
      </c>
      <c r="B155" s="406" t="s">
        <v>770</v>
      </c>
      <c r="C155" s="198" t="s">
        <v>771</v>
      </c>
      <c r="D155" s="969" t="s">
        <v>844</v>
      </c>
      <c r="E155" s="148" t="s">
        <v>772</v>
      </c>
      <c r="F155" s="149" t="s">
        <v>773</v>
      </c>
      <c r="G155" s="406" t="s">
        <v>121</v>
      </c>
      <c r="H155" s="406">
        <v>2558.2797852317235</v>
      </c>
      <c r="I155" s="406">
        <v>1416.8088299999999</v>
      </c>
      <c r="J155" s="406">
        <v>1416.81</v>
      </c>
      <c r="K155" s="406">
        <v>2807.1321022645043</v>
      </c>
      <c r="L155" s="406">
        <v>1654.7882300000001</v>
      </c>
      <c r="M155" s="406">
        <v>1654.79</v>
      </c>
      <c r="N155" s="406">
        <v>1163.7881929595367</v>
      </c>
      <c r="O155" s="406">
        <v>1194.3363200000001</v>
      </c>
      <c r="P155" s="406">
        <v>1194.3363200000001</v>
      </c>
      <c r="Q155" s="150">
        <v>1194.3363200000001</v>
      </c>
      <c r="R155" s="406">
        <v>1194.3363200000001</v>
      </c>
      <c r="S155" s="402">
        <v>1194.3363200000001</v>
      </c>
      <c r="T155" s="406">
        <f t="shared" si="57"/>
        <v>30.548127040463442</v>
      </c>
      <c r="U155" s="406">
        <f t="shared" si="58"/>
        <v>0</v>
      </c>
      <c r="V155" s="406">
        <v>1876.7387087499999</v>
      </c>
      <c r="W155" s="167">
        <v>933639.21</v>
      </c>
      <c r="X155" s="167">
        <v>933.63920999999993</v>
      </c>
      <c r="Y155" s="406">
        <v>933.63920999999993</v>
      </c>
      <c r="Z155" s="406">
        <v>933.63920999999993</v>
      </c>
      <c r="AA155" s="406">
        <v>0</v>
      </c>
      <c r="AB155" s="406">
        <v>0</v>
      </c>
      <c r="AC155" s="403">
        <v>1961.1919506437498</v>
      </c>
      <c r="AD155" s="406">
        <f>'[71]2. подк.неподк.'!X143</f>
        <v>1961.1919506437498</v>
      </c>
      <c r="AE155" s="406">
        <f t="shared" si="108"/>
        <v>1945.8998319460713</v>
      </c>
      <c r="AF155" s="402">
        <f t="shared" si="60"/>
        <v>1945.8998319460713</v>
      </c>
      <c r="AG155" s="167">
        <v>2039.6396286694999</v>
      </c>
      <c r="AH155" s="406">
        <v>1303</v>
      </c>
      <c r="AI155" s="957">
        <f t="shared" si="59"/>
        <v>1.3956140509565789</v>
      </c>
      <c r="AJ155" s="957">
        <f t="shared" si="61"/>
        <v>-736.63962866949987</v>
      </c>
      <c r="AK155" s="965"/>
      <c r="AL155" s="991"/>
      <c r="AM155" s="52">
        <f t="shared" si="109"/>
        <v>-736.63962866949987</v>
      </c>
    </row>
    <row r="156" spans="1:39" s="191" customFormat="1" ht="33" customHeight="1" outlineLevel="3">
      <c r="A156" s="139" t="s">
        <v>774</v>
      </c>
      <c r="B156" s="406" t="s">
        <v>775</v>
      </c>
      <c r="C156" s="198" t="s">
        <v>776</v>
      </c>
      <c r="D156" s="956" t="s">
        <v>849</v>
      </c>
      <c r="E156" s="148" t="s">
        <v>777</v>
      </c>
      <c r="F156" s="149" t="s">
        <v>778</v>
      </c>
      <c r="G156" s="406" t="s">
        <v>121</v>
      </c>
      <c r="H156" s="406">
        <v>2213.0019309442214</v>
      </c>
      <c r="I156" s="406">
        <v>137.898</v>
      </c>
      <c r="J156" s="406">
        <v>137.9</v>
      </c>
      <c r="K156" s="406">
        <v>2428.2679316735375</v>
      </c>
      <c r="L156" s="406">
        <v>636.66592000000003</v>
      </c>
      <c r="M156" s="406">
        <v>636.66999999999996</v>
      </c>
      <c r="N156" s="406">
        <v>386.40722699634108</v>
      </c>
      <c r="O156" s="406">
        <v>2041.4435100000001</v>
      </c>
      <c r="P156" s="406">
        <v>2041.4435100000001</v>
      </c>
      <c r="Q156" s="150">
        <v>2041.4435100000001</v>
      </c>
      <c r="R156" s="406">
        <v>2041.4435100000001</v>
      </c>
      <c r="S156" s="402">
        <v>2041.4435100000001</v>
      </c>
      <c r="T156" s="406">
        <f t="shared" si="57"/>
        <v>1655.036283003659</v>
      </c>
      <c r="U156" s="406">
        <f t="shared" si="58"/>
        <v>0</v>
      </c>
      <c r="V156" s="406">
        <v>722.06336374999989</v>
      </c>
      <c r="W156" s="167">
        <v>1303506</v>
      </c>
      <c r="X156" s="167">
        <v>1303.5060000000001</v>
      </c>
      <c r="Y156" s="406">
        <v>1303.5060000000001</v>
      </c>
      <c r="Z156" s="406">
        <v>1303.5060000000001</v>
      </c>
      <c r="AA156" s="406">
        <v>0</v>
      </c>
      <c r="AB156" s="406">
        <v>0</v>
      </c>
      <c r="AC156" s="403">
        <v>754.55621511874983</v>
      </c>
      <c r="AD156" s="406">
        <f>'[71]2. подк.неподк.'!X144</f>
        <v>2253.75</v>
      </c>
      <c r="AE156" s="406">
        <f t="shared" si="108"/>
        <v>748.67266904266103</v>
      </c>
      <c r="AF156" s="402">
        <f t="shared" si="60"/>
        <v>748.67266904266103</v>
      </c>
      <c r="AG156" s="167">
        <v>784.73846372349988</v>
      </c>
      <c r="AH156" s="406">
        <v>1433.8610000000001</v>
      </c>
      <c r="AI156" s="957">
        <f t="shared" si="59"/>
        <v>1.1000033755118888</v>
      </c>
      <c r="AJ156" s="957">
        <f t="shared" si="61"/>
        <v>649.12253627650023</v>
      </c>
      <c r="AK156" s="958">
        <f t="shared" ref="AK156:AK159" si="110">AH156</f>
        <v>1433.8610000000001</v>
      </c>
      <c r="AL156" s="991"/>
      <c r="AM156" s="52">
        <f t="shared" si="109"/>
        <v>649.12253627650023</v>
      </c>
    </row>
    <row r="157" spans="1:39" s="191" customFormat="1" ht="60.75" customHeight="1" outlineLevel="3">
      <c r="A157" s="139" t="s">
        <v>779</v>
      </c>
      <c r="B157" s="406" t="s">
        <v>780</v>
      </c>
      <c r="C157" s="198" t="s">
        <v>781</v>
      </c>
      <c r="D157" s="956" t="s">
        <v>855</v>
      </c>
      <c r="E157" s="148" t="s">
        <v>782</v>
      </c>
      <c r="F157" s="149" t="s">
        <v>783</v>
      </c>
      <c r="G157" s="406" t="s">
        <v>121</v>
      </c>
      <c r="H157" s="406">
        <v>179.99546530395713</v>
      </c>
      <c r="I157" s="406">
        <v>156.22664</v>
      </c>
      <c r="J157" s="406">
        <v>156.22999999999999</v>
      </c>
      <c r="K157" s="406">
        <v>197.50421819910852</v>
      </c>
      <c r="L157" s="406">
        <v>249.09163000000001</v>
      </c>
      <c r="M157" s="406">
        <v>249.09</v>
      </c>
      <c r="N157" s="406">
        <v>130.04119330612386</v>
      </c>
      <c r="O157" s="406">
        <v>1531.6050699999998</v>
      </c>
      <c r="P157" s="406">
        <v>1536.6446099999998</v>
      </c>
      <c r="Q157" s="150">
        <v>1536.6446099999998</v>
      </c>
      <c r="R157" s="406">
        <v>1536.6446099999998</v>
      </c>
      <c r="S157" s="402">
        <v>1536.6446099999998</v>
      </c>
      <c r="T157" s="406">
        <f t="shared" si="57"/>
        <v>1406.6034166938759</v>
      </c>
      <c r="U157" s="406">
        <f t="shared" si="58"/>
        <v>0</v>
      </c>
      <c r="V157" s="406">
        <v>137.19345893796066</v>
      </c>
      <c r="W157" s="167">
        <v>925536.18</v>
      </c>
      <c r="X157" s="167">
        <v>925.53618000000006</v>
      </c>
      <c r="Y157" s="406">
        <v>925.53618000000006</v>
      </c>
      <c r="Z157" s="406">
        <v>925.53618000000006</v>
      </c>
      <c r="AA157" s="406">
        <v>0</v>
      </c>
      <c r="AB157" s="406">
        <v>0</v>
      </c>
      <c r="AC157" s="403">
        <v>143.36716459016887</v>
      </c>
      <c r="AD157" s="406">
        <f>'[71]2. подк.неподк.'!X145</f>
        <v>2475.7419199999999</v>
      </c>
      <c r="AE157" s="406">
        <f t="shared" si="108"/>
        <v>142.24927926663241</v>
      </c>
      <c r="AF157" s="402">
        <f t="shared" si="60"/>
        <v>142.24927926663241</v>
      </c>
      <c r="AG157" s="167">
        <v>149.10185117377563</v>
      </c>
      <c r="AH157" s="406">
        <v>1018.0940000000001</v>
      </c>
      <c r="AI157" s="957">
        <f t="shared" si="59"/>
        <v>1.1000045400710321</v>
      </c>
      <c r="AJ157" s="957">
        <f t="shared" si="61"/>
        <v>868.99214882622437</v>
      </c>
      <c r="AK157" s="958">
        <f t="shared" si="110"/>
        <v>1018.0940000000001</v>
      </c>
      <c r="AL157" s="991"/>
      <c r="AM157" s="52">
        <f t="shared" si="109"/>
        <v>868.99214882622437</v>
      </c>
    </row>
    <row r="158" spans="1:39" s="191" customFormat="1" ht="33" customHeight="1" outlineLevel="3">
      <c r="A158" s="139" t="s">
        <v>784</v>
      </c>
      <c r="B158" s="406" t="s">
        <v>785</v>
      </c>
      <c r="C158" s="198" t="s">
        <v>786</v>
      </c>
      <c r="D158" s="956" t="s">
        <v>860</v>
      </c>
      <c r="E158" s="148" t="s">
        <v>787</v>
      </c>
      <c r="F158" s="149" t="s">
        <v>788</v>
      </c>
      <c r="G158" s="406" t="s">
        <v>121</v>
      </c>
      <c r="H158" s="406">
        <v>3834.7525931516702</v>
      </c>
      <c r="I158" s="406">
        <v>830.32815000000005</v>
      </c>
      <c r="J158" s="406">
        <v>830.33</v>
      </c>
      <c r="K158" s="406">
        <v>4207.7716325710899</v>
      </c>
      <c r="L158" s="406">
        <v>888.25318000000004</v>
      </c>
      <c r="M158" s="406">
        <v>888.25</v>
      </c>
      <c r="N158" s="406">
        <v>596.31605069544014</v>
      </c>
      <c r="O158" s="406">
        <v>743.52427999999998</v>
      </c>
      <c r="P158" s="406">
        <v>743.52427999999998</v>
      </c>
      <c r="Q158" s="150">
        <v>743.52427999999998</v>
      </c>
      <c r="R158" s="406">
        <v>743.52427999999998</v>
      </c>
      <c r="S158" s="402">
        <v>743.52427999999998</v>
      </c>
      <c r="T158" s="406">
        <f t="shared" ref="T158:T222" si="111">S158-N158</f>
        <v>147.20822930455984</v>
      </c>
      <c r="U158" s="406">
        <f t="shared" ref="U158:U222" si="112">S158-P158</f>
        <v>0</v>
      </c>
      <c r="V158" s="406">
        <v>1007.38653125</v>
      </c>
      <c r="W158" s="167">
        <v>982078.51</v>
      </c>
      <c r="X158" s="167">
        <v>982.07851000000005</v>
      </c>
      <c r="Y158" s="406">
        <v>982.07851000000005</v>
      </c>
      <c r="Z158" s="406">
        <v>982.07851000000005</v>
      </c>
      <c r="AA158" s="406">
        <v>0</v>
      </c>
      <c r="AB158" s="406">
        <v>0</v>
      </c>
      <c r="AC158" s="403">
        <v>1052.71892515625</v>
      </c>
      <c r="AD158" s="406">
        <f>'[71]2. подк.неподк.'!X146</f>
        <v>1506.84509267712</v>
      </c>
      <c r="AE158" s="406">
        <f t="shared" si="108"/>
        <v>1044.5104972389838</v>
      </c>
      <c r="AF158" s="402">
        <f t="shared" si="60"/>
        <v>1044.5104972389838</v>
      </c>
      <c r="AG158" s="167">
        <v>1094.8276821625</v>
      </c>
      <c r="AH158" s="406">
        <v>1139.5581381362999</v>
      </c>
      <c r="AI158" s="957">
        <f t="shared" ref="AI158:AI221" si="113">AH158/X158</f>
        <v>1.1603533999906992</v>
      </c>
      <c r="AJ158" s="957">
        <f t="shared" si="61"/>
        <v>44.730455973799963</v>
      </c>
      <c r="AK158" s="958">
        <f t="shared" si="110"/>
        <v>1139.5581381362999</v>
      </c>
      <c r="AL158" s="991"/>
      <c r="AM158" s="52">
        <f t="shared" si="109"/>
        <v>44.730455973799963</v>
      </c>
    </row>
    <row r="159" spans="1:39" s="191" customFormat="1" ht="45.75" customHeight="1" outlineLevel="3">
      <c r="A159" s="139" t="s">
        <v>789</v>
      </c>
      <c r="B159" s="406" t="s">
        <v>790</v>
      </c>
      <c r="C159" s="198" t="s">
        <v>791</v>
      </c>
      <c r="D159" s="956" t="s">
        <v>865</v>
      </c>
      <c r="E159" s="148" t="s">
        <v>792</v>
      </c>
      <c r="F159" s="149" t="s">
        <v>793</v>
      </c>
      <c r="G159" s="406" t="s">
        <v>121</v>
      </c>
      <c r="H159" s="406">
        <v>2367.8654999999999</v>
      </c>
      <c r="I159" s="406">
        <v>7759.1671800000004</v>
      </c>
      <c r="J159" s="406">
        <v>286.99</v>
      </c>
      <c r="K159" s="406">
        <v>2598.1955911411496</v>
      </c>
      <c r="L159" s="406">
        <v>8871.5099599999994</v>
      </c>
      <c r="M159" s="406">
        <v>8871.51</v>
      </c>
      <c r="N159" s="406">
        <v>2743.4435200393291</v>
      </c>
      <c r="O159" s="406">
        <v>5576.23837</v>
      </c>
      <c r="P159" s="406">
        <v>5575.8762699999997</v>
      </c>
      <c r="Q159" s="150">
        <v>5575.8762699999997</v>
      </c>
      <c r="R159" s="406">
        <v>5575.8762699999997</v>
      </c>
      <c r="S159" s="402">
        <v>5575.8762699999997</v>
      </c>
      <c r="T159" s="406">
        <f t="shared" si="111"/>
        <v>2832.4327499606707</v>
      </c>
      <c r="U159" s="406">
        <f t="shared" si="112"/>
        <v>0</v>
      </c>
      <c r="V159" s="406">
        <v>2894.3329136414918</v>
      </c>
      <c r="W159" s="167">
        <v>3850258.59</v>
      </c>
      <c r="X159" s="167">
        <v>3850.2585899999999</v>
      </c>
      <c r="Y159" s="406">
        <v>3850.2585900000004</v>
      </c>
      <c r="Z159" s="406">
        <v>3850.0177200000003</v>
      </c>
      <c r="AA159" s="406">
        <v>0.19762000000000002</v>
      </c>
      <c r="AB159" s="406">
        <v>4.3249999999999997E-2</v>
      </c>
      <c r="AC159" s="403">
        <v>3024.5778947553586</v>
      </c>
      <c r="AD159" s="406">
        <f>'[71]2. подк.неподк.'!X147</f>
        <v>3024.5778947553586</v>
      </c>
      <c r="AE159" s="406">
        <f t="shared" si="108"/>
        <v>3000.9941735587713</v>
      </c>
      <c r="AF159" s="402">
        <f t="shared" ref="AF159:AF222" si="114">AE159</f>
        <v>3000.9941735587713</v>
      </c>
      <c r="AG159" s="167">
        <v>3145.561010545573</v>
      </c>
      <c r="AH159" s="406">
        <v>4250.62</v>
      </c>
      <c r="AI159" s="957">
        <f t="shared" si="113"/>
        <v>1.1039829924773961</v>
      </c>
      <c r="AJ159" s="957">
        <f t="shared" ref="AJ159:AJ220" si="115">AH159-AG159</f>
        <v>1105.0589894544269</v>
      </c>
      <c r="AK159" s="958">
        <f t="shared" si="110"/>
        <v>4250.62</v>
      </c>
      <c r="AL159" s="991"/>
      <c r="AM159" s="52">
        <f t="shared" si="109"/>
        <v>1105.0589894544269</v>
      </c>
    </row>
    <row r="160" spans="1:39" s="161" customFormat="1" ht="33" customHeight="1" outlineLevel="2">
      <c r="A160" s="153"/>
      <c r="B160" s="402"/>
      <c r="C160" s="155"/>
      <c r="D160" s="966"/>
      <c r="E160" s="156" t="s">
        <v>794</v>
      </c>
      <c r="F160" s="157"/>
      <c r="G160" s="158"/>
      <c r="H160" s="154">
        <f t="shared" ref="H160:J160" si="116">H154+H155+H156+H157+H158+H159</f>
        <v>67893.895274631577</v>
      </c>
      <c r="I160" s="154">
        <f t="shared" si="116"/>
        <v>76299.136609999987</v>
      </c>
      <c r="J160" s="154">
        <f t="shared" si="116"/>
        <v>68826.97</v>
      </c>
      <c r="K160" s="154">
        <f>K154+K155+K156+K157+K158+K159</f>
        <v>72326.531475849391</v>
      </c>
      <c r="L160" s="154">
        <f t="shared" ref="L160:AK160" si="117">L154+L155+L156+L157+L158+L159</f>
        <v>69694.125369999994</v>
      </c>
      <c r="M160" s="154">
        <f t="shared" si="117"/>
        <v>69694.126449999996</v>
      </c>
      <c r="N160" s="154">
        <f t="shared" si="117"/>
        <v>58241.336183996769</v>
      </c>
      <c r="O160" s="154">
        <f t="shared" si="117"/>
        <v>70481.146729999993</v>
      </c>
      <c r="P160" s="154">
        <f t="shared" si="117"/>
        <v>70485.824169999993</v>
      </c>
      <c r="Q160" s="159">
        <f t="shared" si="117"/>
        <v>70485.824169999993</v>
      </c>
      <c r="R160" s="154">
        <f t="shared" si="117"/>
        <v>70485.824169999993</v>
      </c>
      <c r="S160" s="402">
        <f t="shared" si="117"/>
        <v>70485.824169999993</v>
      </c>
      <c r="T160" s="402">
        <f t="shared" si="111"/>
        <v>12244.487986003223</v>
      </c>
      <c r="U160" s="402">
        <f t="shared" si="112"/>
        <v>0</v>
      </c>
      <c r="V160" s="154">
        <f t="shared" si="117"/>
        <v>38155.144976329451</v>
      </c>
      <c r="W160" s="154">
        <f t="shared" si="117"/>
        <v>68735811.75</v>
      </c>
      <c r="X160" s="154">
        <f t="shared" si="117"/>
        <v>29283.808490000003</v>
      </c>
      <c r="Y160" s="154">
        <f t="shared" si="117"/>
        <v>29283.807210000003</v>
      </c>
      <c r="Z160" s="1041">
        <f t="shared" si="117"/>
        <v>29283.566340000001</v>
      </c>
      <c r="AA160" s="154">
        <f t="shared" si="117"/>
        <v>0.19762000000000002</v>
      </c>
      <c r="AB160" s="154">
        <f t="shared" si="117"/>
        <v>4.3249999999999997E-2</v>
      </c>
      <c r="AC160" s="194">
        <f t="shared" si="117"/>
        <v>39872.132150264275</v>
      </c>
      <c r="AD160" s="194">
        <f t="shared" si="117"/>
        <v>44157.826858076223</v>
      </c>
      <c r="AE160" s="194">
        <f t="shared" si="117"/>
        <v>39561.229195708867</v>
      </c>
      <c r="AF160" s="194">
        <f>AF154+AF155+AF156+AF157+AF158+AF159</f>
        <v>39561.229195708867</v>
      </c>
      <c r="AG160" s="194">
        <f t="shared" si="117"/>
        <v>41467.01863627485</v>
      </c>
      <c r="AH160" s="992">
        <f t="shared" si="117"/>
        <v>34816.963138136307</v>
      </c>
      <c r="AI160" s="993">
        <f t="shared" si="113"/>
        <v>1.1889492840395333</v>
      </c>
      <c r="AJ160" s="994">
        <f t="shared" si="117"/>
        <v>-6650.0554981385485</v>
      </c>
      <c r="AK160" s="994">
        <f t="shared" si="117"/>
        <v>7842.1331381362997</v>
      </c>
      <c r="AL160" s="964"/>
      <c r="AM160" s="52"/>
    </row>
    <row r="161" spans="1:39" ht="33" customHeight="1" outlineLevel="2">
      <c r="A161" s="139" t="s">
        <v>795</v>
      </c>
      <c r="B161" s="406" t="s">
        <v>796</v>
      </c>
      <c r="C161" s="198" t="s">
        <v>797</v>
      </c>
      <c r="D161" s="956" t="s">
        <v>870</v>
      </c>
      <c r="E161" s="189" t="s">
        <v>798</v>
      </c>
      <c r="F161" s="149" t="s">
        <v>799</v>
      </c>
      <c r="G161" s="406" t="s">
        <v>121</v>
      </c>
      <c r="H161" s="406">
        <v>1767.0782999999999</v>
      </c>
      <c r="I161" s="406">
        <v>671.53351999999995</v>
      </c>
      <c r="J161" s="406">
        <v>671.53</v>
      </c>
      <c r="K161" s="406">
        <v>1938.9678906117388</v>
      </c>
      <c r="L161" s="406">
        <v>1642.18453</v>
      </c>
      <c r="M161" s="406">
        <v>1642.18</v>
      </c>
      <c r="N161" s="406">
        <v>1379.4533452768301</v>
      </c>
      <c r="O161" s="406">
        <v>1312.2210399999999</v>
      </c>
      <c r="P161" s="406">
        <v>1233.7467099999999</v>
      </c>
      <c r="Q161" s="150">
        <v>1233.7467099999999</v>
      </c>
      <c r="R161" s="406">
        <v>1233.7467099999999</v>
      </c>
      <c r="S161" s="402">
        <v>1233.7467099999999</v>
      </c>
      <c r="T161" s="406">
        <f t="shared" si="111"/>
        <v>-145.70663527683018</v>
      </c>
      <c r="U161" s="406">
        <f t="shared" si="112"/>
        <v>0</v>
      </c>
      <c r="V161" s="406">
        <v>1635.16</v>
      </c>
      <c r="W161" s="167">
        <v>1459718.34</v>
      </c>
      <c r="X161" s="167">
        <v>1459.7183400000001</v>
      </c>
      <c r="Y161" s="406">
        <v>1459.7183400000001</v>
      </c>
      <c r="Z161" s="406">
        <v>1363.5239199999999</v>
      </c>
      <c r="AA161" s="406">
        <v>80.932369999999992</v>
      </c>
      <c r="AB161" s="406">
        <v>15.262049999999999</v>
      </c>
      <c r="AC161" s="403">
        <v>1708.7394751625</v>
      </c>
      <c r="AD161" s="406">
        <f>'[71]2. подк.неподк.'!X149</f>
        <v>1708.7394751625</v>
      </c>
      <c r="AE161" s="406">
        <f t="shared" ref="AE161:AE167" si="118">V161*$AD$11</f>
        <v>1695.4185227650637</v>
      </c>
      <c r="AF161" s="402">
        <f t="shared" si="114"/>
        <v>1695.4185227650637</v>
      </c>
      <c r="AG161" s="167">
        <v>1777.0890541690001</v>
      </c>
      <c r="AH161" s="406">
        <v>1611.52904736</v>
      </c>
      <c r="AI161" s="957">
        <f t="shared" si="113"/>
        <v>1.1039999999999999</v>
      </c>
      <c r="AJ161" s="957">
        <f t="shared" si="115"/>
        <v>-165.56000680900001</v>
      </c>
      <c r="AK161" s="965"/>
      <c r="AL161" s="74"/>
      <c r="AM161" s="52">
        <f t="shared" ref="AM161:AM167" si="119">AH161-AG161</f>
        <v>-165.56000680900001</v>
      </c>
    </row>
    <row r="162" spans="1:39" s="191" customFormat="1" ht="45" customHeight="1" outlineLevel="3">
      <c r="A162" s="139" t="s">
        <v>800</v>
      </c>
      <c r="B162" s="406" t="s">
        <v>801</v>
      </c>
      <c r="C162" s="198" t="s">
        <v>802</v>
      </c>
      <c r="D162" s="956" t="s">
        <v>876</v>
      </c>
      <c r="E162" s="148" t="s">
        <v>803</v>
      </c>
      <c r="F162" s="149" t="s">
        <v>804</v>
      </c>
      <c r="G162" s="406" t="s">
        <v>121</v>
      </c>
      <c r="H162" s="406">
        <v>3067.3815264740233</v>
      </c>
      <c r="I162" s="406">
        <v>655.99670000000003</v>
      </c>
      <c r="J162" s="406">
        <v>656</v>
      </c>
      <c r="K162" s="406">
        <v>3365.7558499131887</v>
      </c>
      <c r="L162" s="406">
        <v>468.33449999999999</v>
      </c>
      <c r="M162" s="406">
        <v>468.33</v>
      </c>
      <c r="N162" s="406">
        <v>471.11658374251351</v>
      </c>
      <c r="O162" s="406">
        <v>369.91176000000002</v>
      </c>
      <c r="P162" s="406">
        <v>368.57926000000003</v>
      </c>
      <c r="Q162" s="150">
        <v>368.57926000000003</v>
      </c>
      <c r="R162" s="406">
        <v>368.57926000000003</v>
      </c>
      <c r="S162" s="402">
        <v>368.57926000000003</v>
      </c>
      <c r="T162" s="406">
        <f t="shared" si="111"/>
        <v>-102.53732374251348</v>
      </c>
      <c r="U162" s="406">
        <f t="shared" si="112"/>
        <v>0</v>
      </c>
      <c r="V162" s="406">
        <v>531.14476124999999</v>
      </c>
      <c r="W162" s="167">
        <v>493428</v>
      </c>
      <c r="X162" s="167">
        <v>493.428</v>
      </c>
      <c r="Y162" s="406">
        <v>493.428</v>
      </c>
      <c r="Z162" s="406">
        <v>493.428</v>
      </c>
      <c r="AA162" s="406">
        <v>0</v>
      </c>
      <c r="AB162" s="406">
        <v>0</v>
      </c>
      <c r="AC162" s="403">
        <v>555.04627550624991</v>
      </c>
      <c r="AD162" s="406">
        <f>'[71]2. подк.неподк.'!X150</f>
        <v>2354.6471200000005</v>
      </c>
      <c r="AE162" s="406">
        <f t="shared" si="118"/>
        <v>550.71838015416074</v>
      </c>
      <c r="AF162" s="402">
        <f t="shared" si="114"/>
        <v>550.71838015416074</v>
      </c>
      <c r="AG162" s="167">
        <v>577.24812652649996</v>
      </c>
      <c r="AH162" s="406">
        <v>3315.882701290001</v>
      </c>
      <c r="AI162" s="957">
        <f t="shared" si="113"/>
        <v>6.7200943223530096</v>
      </c>
      <c r="AJ162" s="957">
        <f t="shared" si="115"/>
        <v>2738.634574763501</v>
      </c>
      <c r="AK162" s="958">
        <f t="shared" ref="AK162:AK166" si="120">AH162</f>
        <v>3315.882701290001</v>
      </c>
      <c r="AL162" s="991"/>
      <c r="AM162" s="52">
        <f t="shared" si="119"/>
        <v>2738.634574763501</v>
      </c>
    </row>
    <row r="163" spans="1:39" s="191" customFormat="1" ht="33" customHeight="1" outlineLevel="3">
      <c r="A163" s="139" t="s">
        <v>805</v>
      </c>
      <c r="B163" s="406" t="s">
        <v>806</v>
      </c>
      <c r="C163" s="198" t="s">
        <v>807</v>
      </c>
      <c r="D163" s="956" t="s">
        <v>881</v>
      </c>
      <c r="E163" s="148" t="s">
        <v>808</v>
      </c>
      <c r="F163" s="149" t="s">
        <v>809</v>
      </c>
      <c r="G163" s="406" t="s">
        <v>121</v>
      </c>
      <c r="H163" s="406">
        <v>4573.5094867774133</v>
      </c>
      <c r="I163" s="406">
        <v>24.455179999999999</v>
      </c>
      <c r="J163" s="406">
        <v>24.26</v>
      </c>
      <c r="K163" s="406">
        <v>5018.3898471375578</v>
      </c>
      <c r="L163" s="406">
        <v>492.83987000000002</v>
      </c>
      <c r="M163" s="406">
        <v>492.84</v>
      </c>
      <c r="N163" s="406">
        <v>284.51864687391844</v>
      </c>
      <c r="O163" s="406">
        <v>651.93511999999998</v>
      </c>
      <c r="P163" s="406">
        <v>652.2269399999999</v>
      </c>
      <c r="Q163" s="150">
        <v>652.2269399999999</v>
      </c>
      <c r="R163" s="406">
        <v>652.2269399999999</v>
      </c>
      <c r="S163" s="402">
        <v>652.2269399999999</v>
      </c>
      <c r="T163" s="406">
        <f t="shared" si="111"/>
        <v>367.70829312608146</v>
      </c>
      <c r="U163" s="406">
        <f t="shared" si="112"/>
        <v>0</v>
      </c>
      <c r="V163" s="406">
        <v>558.94216499999993</v>
      </c>
      <c r="W163" s="167">
        <v>619040.63</v>
      </c>
      <c r="X163" s="167">
        <v>619.04062999999996</v>
      </c>
      <c r="Y163" s="406">
        <v>619.04062999999996</v>
      </c>
      <c r="Z163" s="406">
        <v>619.04062999999996</v>
      </c>
      <c r="AA163" s="406">
        <v>0</v>
      </c>
      <c r="AB163" s="406">
        <v>0</v>
      </c>
      <c r="AC163" s="403">
        <v>584.09456242499994</v>
      </c>
      <c r="AD163" s="406">
        <f>'[71]2. подк.неподк.'!X151</f>
        <v>48031.428820479996</v>
      </c>
      <c r="AE163" s="406">
        <f t="shared" si="118"/>
        <v>579.54016713679789</v>
      </c>
      <c r="AF163" s="402">
        <f t="shared" si="114"/>
        <v>579.54016713679789</v>
      </c>
      <c r="AG163" s="167">
        <v>607.45834492199992</v>
      </c>
      <c r="AH163" s="406">
        <v>31836.5</v>
      </c>
      <c r="AI163" s="957">
        <f t="shared" si="113"/>
        <v>51.428772938538785</v>
      </c>
      <c r="AJ163" s="957">
        <f t="shared" si="115"/>
        <v>31229.041655077999</v>
      </c>
      <c r="AK163" s="958">
        <f t="shared" si="120"/>
        <v>31836.5</v>
      </c>
      <c r="AL163" s="995" t="s">
        <v>2149</v>
      </c>
      <c r="AM163" s="52">
        <f t="shared" si="119"/>
        <v>31229.041655077999</v>
      </c>
    </row>
    <row r="164" spans="1:39" s="191" customFormat="1" ht="33" customHeight="1" outlineLevel="3">
      <c r="A164" s="139" t="s">
        <v>810</v>
      </c>
      <c r="B164" s="406" t="s">
        <v>811</v>
      </c>
      <c r="C164" s="198" t="s">
        <v>812</v>
      </c>
      <c r="D164" s="956" t="s">
        <v>886</v>
      </c>
      <c r="E164" s="148" t="s">
        <v>813</v>
      </c>
      <c r="F164" s="149" t="s">
        <v>814</v>
      </c>
      <c r="G164" s="406" t="s">
        <v>121</v>
      </c>
      <c r="H164" s="406">
        <v>0</v>
      </c>
      <c r="I164" s="406">
        <v>0</v>
      </c>
      <c r="J164" s="406">
        <v>0</v>
      </c>
      <c r="K164" s="406">
        <v>0</v>
      </c>
      <c r="L164" s="406">
        <v>20.551639999999999</v>
      </c>
      <c r="M164" s="406">
        <v>0</v>
      </c>
      <c r="N164" s="406">
        <v>0</v>
      </c>
      <c r="O164" s="406">
        <v>1.6803399999999999</v>
      </c>
      <c r="P164" s="406">
        <v>1.6431300000000002</v>
      </c>
      <c r="Q164" s="150">
        <v>0</v>
      </c>
      <c r="R164" s="406">
        <v>0</v>
      </c>
      <c r="S164" s="402">
        <v>0</v>
      </c>
      <c r="T164" s="406">
        <f t="shared" si="111"/>
        <v>0</v>
      </c>
      <c r="U164" s="406">
        <f t="shared" si="112"/>
        <v>-1.6431300000000002</v>
      </c>
      <c r="V164" s="406">
        <v>0</v>
      </c>
      <c r="W164" s="167">
        <v>0</v>
      </c>
      <c r="X164" s="167">
        <v>0</v>
      </c>
      <c r="Y164" s="406">
        <v>0</v>
      </c>
      <c r="Z164" s="406">
        <v>0</v>
      </c>
      <c r="AA164" s="406">
        <v>0</v>
      </c>
      <c r="AB164" s="406">
        <v>0</v>
      </c>
      <c r="AC164" s="403">
        <v>0</v>
      </c>
      <c r="AD164" s="406">
        <f>'[71]2. подк.неподк.'!X152</f>
        <v>0.79525536000000008</v>
      </c>
      <c r="AE164" s="406">
        <f t="shared" si="118"/>
        <v>0</v>
      </c>
      <c r="AF164" s="402">
        <f t="shared" si="114"/>
        <v>0</v>
      </c>
      <c r="AG164" s="167">
        <v>0</v>
      </c>
      <c r="AH164" s="406">
        <v>0</v>
      </c>
      <c r="AI164" s="957" t="e">
        <f t="shared" si="113"/>
        <v>#DIV/0!</v>
      </c>
      <c r="AJ164" s="957">
        <f t="shared" si="115"/>
        <v>0</v>
      </c>
      <c r="AK164" s="958">
        <f t="shared" si="120"/>
        <v>0</v>
      </c>
      <c r="AL164" s="991"/>
      <c r="AM164" s="52">
        <f t="shared" si="119"/>
        <v>0</v>
      </c>
    </row>
    <row r="165" spans="1:39" s="191" customFormat="1" ht="33" customHeight="1" outlineLevel="3">
      <c r="A165" s="139" t="s">
        <v>815</v>
      </c>
      <c r="B165" s="406" t="s">
        <v>816</v>
      </c>
      <c r="C165" s="198" t="s">
        <v>817</v>
      </c>
      <c r="D165" s="956" t="s">
        <v>891</v>
      </c>
      <c r="E165" s="148" t="s">
        <v>818</v>
      </c>
      <c r="F165" s="149" t="s">
        <v>819</v>
      </c>
      <c r="G165" s="406" t="s">
        <v>121</v>
      </c>
      <c r="H165" s="406">
        <v>68.726633474214495</v>
      </c>
      <c r="I165" s="406">
        <v>127.87702</v>
      </c>
      <c r="J165" s="406">
        <v>127.88</v>
      </c>
      <c r="K165" s="406">
        <v>75.411899910141798</v>
      </c>
      <c r="L165" s="406">
        <v>444.32391999999999</v>
      </c>
      <c r="M165" s="406">
        <v>444.32</v>
      </c>
      <c r="N165" s="406">
        <v>187.19369103448801</v>
      </c>
      <c r="O165" s="406">
        <v>538.10457999999994</v>
      </c>
      <c r="P165" s="406">
        <v>518.49046999999996</v>
      </c>
      <c r="Q165" s="150">
        <v>518.49046999999996</v>
      </c>
      <c r="R165" s="406">
        <v>518.49046999999996</v>
      </c>
      <c r="S165" s="402">
        <v>518.49046999999996</v>
      </c>
      <c r="T165" s="406">
        <f t="shared" si="111"/>
        <v>331.29677896551198</v>
      </c>
      <c r="U165" s="406">
        <f t="shared" si="112"/>
        <v>0</v>
      </c>
      <c r="V165" s="406">
        <v>197.48934404138484</v>
      </c>
      <c r="W165" s="167">
        <v>598417.85</v>
      </c>
      <c r="X165" s="167">
        <v>598.41784999999993</v>
      </c>
      <c r="Y165" s="406">
        <v>598.41784999999982</v>
      </c>
      <c r="Z165" s="406">
        <v>552.05866999999989</v>
      </c>
      <c r="AA165" s="406">
        <v>41.185190000000006</v>
      </c>
      <c r="AB165" s="406">
        <v>5.1739899999999999</v>
      </c>
      <c r="AC165" s="403">
        <v>206.37636452324713</v>
      </c>
      <c r="AD165" s="406">
        <f>'[71]2. подк.неподк.'!X153</f>
        <v>871.37</v>
      </c>
      <c r="AE165" s="406">
        <f t="shared" si="118"/>
        <v>204.76717381570373</v>
      </c>
      <c r="AF165" s="402">
        <f t="shared" si="114"/>
        <v>204.76717381570373</v>
      </c>
      <c r="AG165" s="167">
        <v>214.63141910417701</v>
      </c>
      <c r="AH165" s="406">
        <v>759.69237501949999</v>
      </c>
      <c r="AI165" s="957">
        <f t="shared" si="113"/>
        <v>1.2695015281036488</v>
      </c>
      <c r="AJ165" s="957">
        <f t="shared" si="115"/>
        <v>545.06095591532301</v>
      </c>
      <c r="AK165" s="958">
        <f t="shared" si="120"/>
        <v>759.69237501949999</v>
      </c>
      <c r="AL165" s="991"/>
      <c r="AM165" s="52">
        <f t="shared" si="119"/>
        <v>545.06095591532301</v>
      </c>
    </row>
    <row r="166" spans="1:39" s="191" customFormat="1" ht="33" customHeight="1" outlineLevel="3">
      <c r="A166" s="408"/>
      <c r="B166" s="406" t="s">
        <v>820</v>
      </c>
      <c r="C166" s="198" t="s">
        <v>1939</v>
      </c>
      <c r="D166" s="956" t="s">
        <v>895</v>
      </c>
      <c r="E166" s="164" t="s">
        <v>821</v>
      </c>
      <c r="F166" s="149" t="s">
        <v>822</v>
      </c>
      <c r="G166" s="406" t="s">
        <v>121</v>
      </c>
      <c r="H166" s="406">
        <v>778.38</v>
      </c>
      <c r="I166" s="406">
        <v>935.8</v>
      </c>
      <c r="J166" s="406">
        <v>935.8</v>
      </c>
      <c r="K166" s="406">
        <v>854.09758347946172</v>
      </c>
      <c r="L166" s="406">
        <v>1682.7367300000001</v>
      </c>
      <c r="M166" s="406">
        <v>854.1</v>
      </c>
      <c r="N166" s="406">
        <v>516.71876422802529</v>
      </c>
      <c r="O166" s="406">
        <v>1154.4592500000001</v>
      </c>
      <c r="P166" s="406">
        <v>1047.2763499999999</v>
      </c>
      <c r="Q166" s="150">
        <v>1047.2763499999999</v>
      </c>
      <c r="R166" s="406">
        <v>1047.2763499999999</v>
      </c>
      <c r="S166" s="402">
        <v>1047.2763499999999</v>
      </c>
      <c r="T166" s="406">
        <f t="shared" si="111"/>
        <v>530.55758577197457</v>
      </c>
      <c r="U166" s="406">
        <f t="shared" si="112"/>
        <v>0</v>
      </c>
      <c r="V166" s="406">
        <v>545.13829626056668</v>
      </c>
      <c r="W166" s="167">
        <v>1214171.6599999999</v>
      </c>
      <c r="X166" s="167">
        <v>1214.17166</v>
      </c>
      <c r="Y166" s="406">
        <v>1214.17166</v>
      </c>
      <c r="Z166" s="406">
        <v>1102.3494099999998</v>
      </c>
      <c r="AA166" s="406">
        <v>92.457139999999995</v>
      </c>
      <c r="AB166" s="406">
        <v>19.365110000000001</v>
      </c>
      <c r="AC166" s="403">
        <v>569.66951959229209</v>
      </c>
      <c r="AD166" s="406">
        <f>'[71]2. подк.неподк.'!X154</f>
        <v>1273.3685527500002</v>
      </c>
      <c r="AE166" s="406">
        <f t="shared" si="118"/>
        <v>565.22760154893319</v>
      </c>
      <c r="AF166" s="402">
        <f t="shared" si="114"/>
        <v>565.22760154893319</v>
      </c>
      <c r="AG166" s="167">
        <v>592.4563003759838</v>
      </c>
      <c r="AH166" s="406">
        <v>1339.2313409799999</v>
      </c>
      <c r="AI166" s="957">
        <f t="shared" si="113"/>
        <v>1.103</v>
      </c>
      <c r="AJ166" s="957">
        <f t="shared" si="115"/>
        <v>746.77504060401611</v>
      </c>
      <c r="AK166" s="958">
        <f t="shared" si="120"/>
        <v>1339.2313409799999</v>
      </c>
      <c r="AL166" s="991"/>
      <c r="AM166" s="52">
        <f t="shared" si="119"/>
        <v>746.77504060401611</v>
      </c>
    </row>
    <row r="167" spans="1:39" s="191" customFormat="1" ht="33" customHeight="1" outlineLevel="3">
      <c r="A167" s="139" t="s">
        <v>823</v>
      </c>
      <c r="B167" s="406" t="s">
        <v>824</v>
      </c>
      <c r="C167" s="198" t="s">
        <v>825</v>
      </c>
      <c r="D167" s="969" t="s">
        <v>900</v>
      </c>
      <c r="E167" s="148" t="s">
        <v>826</v>
      </c>
      <c r="F167" s="149" t="s">
        <v>827</v>
      </c>
      <c r="G167" s="406" t="s">
        <v>121</v>
      </c>
      <c r="H167" s="406">
        <v>10324.76</v>
      </c>
      <c r="I167" s="406">
        <v>3027.99343</v>
      </c>
      <c r="J167" s="406">
        <v>3027.99</v>
      </c>
      <c r="K167" s="406">
        <v>11329.08</v>
      </c>
      <c r="L167" s="406">
        <v>3243.03989</v>
      </c>
      <c r="M167" s="406">
        <v>3243.13</v>
      </c>
      <c r="N167" s="406">
        <v>2359.5013705293177</v>
      </c>
      <c r="O167" s="406">
        <v>4065.5369799999999</v>
      </c>
      <c r="P167" s="406">
        <v>4065.5369799999999</v>
      </c>
      <c r="Q167" s="150">
        <v>4065.5369799999999</v>
      </c>
      <c r="R167" s="406">
        <v>4065.5369799999999</v>
      </c>
      <c r="S167" s="402">
        <v>4065.5369799999999</v>
      </c>
      <c r="T167" s="406">
        <f t="shared" si="111"/>
        <v>1706.0356094706822</v>
      </c>
      <c r="U167" s="406">
        <f t="shared" si="112"/>
        <v>0</v>
      </c>
      <c r="V167" s="406">
        <v>3678.11481125</v>
      </c>
      <c r="W167" s="167">
        <v>2668678.8199999998</v>
      </c>
      <c r="X167" s="167">
        <v>2668.6788199999996</v>
      </c>
      <c r="Y167" s="406">
        <v>2668.6788199999996</v>
      </c>
      <c r="Z167" s="406">
        <v>2668.6788199999996</v>
      </c>
      <c r="AA167" s="406">
        <v>0</v>
      </c>
      <c r="AB167" s="406">
        <v>0</v>
      </c>
      <c r="AC167" s="403">
        <v>3843.6299777562499</v>
      </c>
      <c r="AD167" s="406">
        <f>'[71]2. подк.неподк.'!X155</f>
        <v>5078.8</v>
      </c>
      <c r="AE167" s="406">
        <f t="shared" si="118"/>
        <v>3813.6598130151033</v>
      </c>
      <c r="AF167" s="402">
        <f t="shared" si="114"/>
        <v>3813.6598130151033</v>
      </c>
      <c r="AG167" s="167">
        <v>3997.3751768665002</v>
      </c>
      <c r="AH167" s="406">
        <v>3800</v>
      </c>
      <c r="AI167" s="957">
        <f t="shared" si="113"/>
        <v>1.4239255662845185</v>
      </c>
      <c r="AJ167" s="957">
        <f t="shared" si="115"/>
        <v>-197.37517686650017</v>
      </c>
      <c r="AK167" s="965"/>
      <c r="AL167" s="991"/>
      <c r="AM167" s="52">
        <f t="shared" si="119"/>
        <v>-197.37517686650017</v>
      </c>
    </row>
    <row r="168" spans="1:39" s="161" customFormat="1" ht="33" customHeight="1" outlineLevel="2">
      <c r="A168" s="153"/>
      <c r="B168" s="402"/>
      <c r="C168" s="155"/>
      <c r="D168" s="966"/>
      <c r="E168" s="156" t="s">
        <v>828</v>
      </c>
      <c r="F168" s="157"/>
      <c r="G168" s="158"/>
      <c r="H168" s="154">
        <f t="shared" ref="H168:J168" si="121">H161+H162+H163+H164+H165+H166+H167</f>
        <v>20579.835946725652</v>
      </c>
      <c r="I168" s="154">
        <f t="shared" si="121"/>
        <v>5443.6558499999992</v>
      </c>
      <c r="J168" s="154">
        <f t="shared" si="121"/>
        <v>5443.46</v>
      </c>
      <c r="K168" s="154">
        <f>K161+K162+K163+K164+K165+K166+K167</f>
        <v>22581.703071052085</v>
      </c>
      <c r="L168" s="154">
        <f t="shared" ref="L168:AK168" si="122">L161+L162+L163+L164+L165+L166+L167</f>
        <v>7994.0110800000002</v>
      </c>
      <c r="M168" s="154">
        <f t="shared" si="122"/>
        <v>7144.9000000000005</v>
      </c>
      <c r="N168" s="154">
        <f t="shared" si="122"/>
        <v>5198.502401685093</v>
      </c>
      <c r="O168" s="154">
        <f t="shared" si="122"/>
        <v>8093.8490699999993</v>
      </c>
      <c r="P168" s="154">
        <f t="shared" si="122"/>
        <v>7887.4998399999995</v>
      </c>
      <c r="Q168" s="159">
        <f t="shared" si="122"/>
        <v>7885.85671</v>
      </c>
      <c r="R168" s="154">
        <f t="shared" si="122"/>
        <v>7885.85671</v>
      </c>
      <c r="S168" s="402">
        <f t="shared" si="122"/>
        <v>7885.85671</v>
      </c>
      <c r="T168" s="402">
        <f t="shared" si="111"/>
        <v>2687.354308314907</v>
      </c>
      <c r="U168" s="402">
        <f t="shared" si="112"/>
        <v>-1.6431299999994735</v>
      </c>
      <c r="V168" s="154">
        <f t="shared" si="122"/>
        <v>7145.9893778019514</v>
      </c>
      <c r="W168" s="154">
        <f t="shared" si="122"/>
        <v>7053455.3000000007</v>
      </c>
      <c r="X168" s="154">
        <f t="shared" si="122"/>
        <v>7053.4552999999996</v>
      </c>
      <c r="Y168" s="154">
        <f t="shared" si="122"/>
        <v>7053.4552999999996</v>
      </c>
      <c r="Z168" s="1041">
        <f t="shared" si="122"/>
        <v>6799.0794499999993</v>
      </c>
      <c r="AA168" s="154">
        <f t="shared" si="122"/>
        <v>214.57470000000001</v>
      </c>
      <c r="AB168" s="154">
        <f t="shared" si="122"/>
        <v>39.80115</v>
      </c>
      <c r="AC168" s="194">
        <f t="shared" si="122"/>
        <v>7467.556174965539</v>
      </c>
      <c r="AD168" s="194">
        <f t="shared" si="122"/>
        <v>59319.149223752494</v>
      </c>
      <c r="AE168" s="194">
        <f t="shared" si="122"/>
        <v>7409.3316584357635</v>
      </c>
      <c r="AF168" s="194">
        <f t="shared" si="122"/>
        <v>7409.3316584357635</v>
      </c>
      <c r="AG168" s="194">
        <f t="shared" si="122"/>
        <v>7766.2584219641612</v>
      </c>
      <c r="AH168" s="992">
        <f t="shared" si="122"/>
        <v>42662.835464649499</v>
      </c>
      <c r="AI168" s="993">
        <f t="shared" si="113"/>
        <v>6.0485015712298482</v>
      </c>
      <c r="AJ168" s="994">
        <f t="shared" si="122"/>
        <v>34896.577042685334</v>
      </c>
      <c r="AK168" s="994">
        <f t="shared" si="122"/>
        <v>37251.306417289496</v>
      </c>
      <c r="AL168" s="964"/>
      <c r="AM168" s="52"/>
    </row>
    <row r="169" spans="1:39" s="191" customFormat="1" ht="33" customHeight="1" outlineLevel="3">
      <c r="A169" s="139" t="s">
        <v>829</v>
      </c>
      <c r="B169" s="406" t="s">
        <v>830</v>
      </c>
      <c r="C169" s="198" t="s">
        <v>831</v>
      </c>
      <c r="D169" s="956" t="s">
        <v>905</v>
      </c>
      <c r="E169" s="148" t="s">
        <v>832</v>
      </c>
      <c r="F169" s="149" t="s">
        <v>833</v>
      </c>
      <c r="G169" s="406" t="s">
        <v>121</v>
      </c>
      <c r="H169" s="406">
        <v>2410.4997410843439</v>
      </c>
      <c r="I169" s="406">
        <v>1936.6317100000001</v>
      </c>
      <c r="J169" s="406">
        <v>1936.63</v>
      </c>
      <c r="K169" s="406">
        <v>2644.9770055487634</v>
      </c>
      <c r="L169" s="406">
        <v>5290.6243899999999</v>
      </c>
      <c r="M169" s="406">
        <v>2290.62</v>
      </c>
      <c r="N169" s="406">
        <v>2792.8406122244614</v>
      </c>
      <c r="O169" s="406">
        <v>4638.4386500000001</v>
      </c>
      <c r="P169" s="406">
        <v>4518.7494100000004</v>
      </c>
      <c r="Q169" s="150">
        <v>4518.7494100000004</v>
      </c>
      <c r="R169" s="167">
        <v>4518.7494100000004</v>
      </c>
      <c r="S169" s="402">
        <v>4518.7494100000004</v>
      </c>
      <c r="T169" s="167">
        <f t="shared" si="111"/>
        <v>1725.9087977755389</v>
      </c>
      <c r="U169" s="167">
        <f t="shared" si="112"/>
        <v>0</v>
      </c>
      <c r="V169" s="406">
        <v>2597.8494074999999</v>
      </c>
      <c r="W169" s="167">
        <v>3775824.76</v>
      </c>
      <c r="X169" s="167">
        <v>3775.82476</v>
      </c>
      <c r="Y169" s="406">
        <v>3775.82476</v>
      </c>
      <c r="Z169" s="406">
        <v>3475.5364599999998</v>
      </c>
      <c r="AA169" s="406">
        <v>270.00271999999995</v>
      </c>
      <c r="AB169" s="406">
        <v>30.285580000000003</v>
      </c>
      <c r="AC169" s="403">
        <v>2714.7526308374995</v>
      </c>
      <c r="AD169" s="406">
        <f>'[71]2. подк.неподк.'!X157</f>
        <v>13512.59</v>
      </c>
      <c r="AE169" s="406">
        <f>V169*$AD$11</f>
        <v>2693.5847286074427</v>
      </c>
      <c r="AF169" s="402">
        <f t="shared" si="114"/>
        <v>2693.5847286074427</v>
      </c>
      <c r="AG169" s="167">
        <v>2823.3427360709998</v>
      </c>
      <c r="AH169" s="406">
        <v>4168.5200000000004</v>
      </c>
      <c r="AI169" s="957">
        <f t="shared" si="113"/>
        <v>1.104002506726504</v>
      </c>
      <c r="AJ169" s="957">
        <f t="shared" si="115"/>
        <v>1345.1772639290007</v>
      </c>
      <c r="AK169" s="958">
        <f>AH169</f>
        <v>4168.5200000000004</v>
      </c>
      <c r="AL169" s="991"/>
      <c r="AM169" s="52">
        <f>AH169-AG169</f>
        <v>1345.1772639290007</v>
      </c>
    </row>
    <row r="170" spans="1:39" s="191" customFormat="1" ht="33" customHeight="1" outlineLevel="3">
      <c r="A170" s="139" t="s">
        <v>834</v>
      </c>
      <c r="B170" s="406" t="s">
        <v>835</v>
      </c>
      <c r="C170" s="198" t="s">
        <v>836</v>
      </c>
      <c r="D170" s="956" t="s">
        <v>910</v>
      </c>
      <c r="E170" s="148" t="s">
        <v>837</v>
      </c>
      <c r="F170" s="1340" t="s">
        <v>838</v>
      </c>
      <c r="G170" s="1341" t="s">
        <v>121</v>
      </c>
      <c r="H170" s="406">
        <v>0</v>
      </c>
      <c r="I170" s="406">
        <v>198.94</v>
      </c>
      <c r="J170" s="406">
        <v>198.94</v>
      </c>
      <c r="K170" s="1341">
        <v>0</v>
      </c>
      <c r="L170" s="406">
        <v>176.40478999999999</v>
      </c>
      <c r="M170" s="406">
        <v>0</v>
      </c>
      <c r="N170" s="406">
        <v>66.11474843734905</v>
      </c>
      <c r="O170" s="406">
        <v>200.02852999999999</v>
      </c>
      <c r="P170" s="406">
        <v>178.66622000000001</v>
      </c>
      <c r="Q170" s="150">
        <v>178.66622000000001</v>
      </c>
      <c r="R170" s="167">
        <v>178.66622000000001</v>
      </c>
      <c r="S170" s="402">
        <v>178.66622000000001</v>
      </c>
      <c r="T170" s="167">
        <f t="shared" si="111"/>
        <v>112.55147156265096</v>
      </c>
      <c r="U170" s="167">
        <f t="shared" si="112"/>
        <v>0</v>
      </c>
      <c r="V170" s="406">
        <v>69.751059601403242</v>
      </c>
      <c r="W170" s="167">
        <v>222268.27000000002</v>
      </c>
      <c r="X170" s="167">
        <v>222.26827000000003</v>
      </c>
      <c r="Y170" s="406">
        <v>222.26827000000003</v>
      </c>
      <c r="Z170" s="406">
        <v>197.59311000000002</v>
      </c>
      <c r="AA170" s="406">
        <v>22.747919999999997</v>
      </c>
      <c r="AB170" s="406">
        <v>1.9272400000000001</v>
      </c>
      <c r="AC170" s="403">
        <v>72.889857283466384</v>
      </c>
      <c r="AD170" s="406">
        <f>'[71]2. подк.неподк.'!X158</f>
        <v>262.75</v>
      </c>
      <c r="AE170" s="406">
        <f>V170*$AD$11</f>
        <v>72.321508861951727</v>
      </c>
      <c r="AF170" s="402">
        <f t="shared" si="114"/>
        <v>72.321508861951727</v>
      </c>
      <c r="AG170" s="167">
        <v>75.805451574805048</v>
      </c>
      <c r="AH170" s="406">
        <v>285.19</v>
      </c>
      <c r="AI170" s="957">
        <f t="shared" si="113"/>
        <v>1.2830891246870277</v>
      </c>
      <c r="AJ170" s="957">
        <f t="shared" si="115"/>
        <v>209.38454842519496</v>
      </c>
      <c r="AK170" s="958">
        <f t="shared" ref="AK170:AK202" si="123">AH170</f>
        <v>285.19</v>
      </c>
      <c r="AL170" s="991"/>
      <c r="AM170" s="52">
        <f>AH170-AG170</f>
        <v>209.38454842519496</v>
      </c>
    </row>
    <row r="171" spans="1:39" s="191" customFormat="1" ht="33" customHeight="1" outlineLevel="3">
      <c r="A171" s="139" t="s">
        <v>839</v>
      </c>
      <c r="B171" s="406" t="s">
        <v>840</v>
      </c>
      <c r="C171" s="198" t="s">
        <v>841</v>
      </c>
      <c r="D171" s="956" t="s">
        <v>914</v>
      </c>
      <c r="E171" s="148" t="s">
        <v>842</v>
      </c>
      <c r="F171" s="1340"/>
      <c r="G171" s="1341"/>
      <c r="H171" s="406">
        <v>0</v>
      </c>
      <c r="I171" s="406">
        <v>0</v>
      </c>
      <c r="J171" s="406">
        <v>0</v>
      </c>
      <c r="K171" s="1341"/>
      <c r="L171" s="406"/>
      <c r="M171" s="406"/>
      <c r="N171" s="406"/>
      <c r="O171" s="406">
        <v>28.177310000000002</v>
      </c>
      <c r="P171" s="406">
        <v>26.992290000000001</v>
      </c>
      <c r="Q171" s="150">
        <v>26.992290000000001</v>
      </c>
      <c r="R171" s="167">
        <v>26.992290000000001</v>
      </c>
      <c r="S171" s="402">
        <v>26.992290000000001</v>
      </c>
      <c r="T171" s="167">
        <f t="shared" si="111"/>
        <v>26.992290000000001</v>
      </c>
      <c r="U171" s="167">
        <f t="shared" si="112"/>
        <v>0</v>
      </c>
      <c r="V171" s="406">
        <v>0</v>
      </c>
      <c r="W171" s="167">
        <v>25124.14</v>
      </c>
      <c r="X171" s="167">
        <v>25.124140000000001</v>
      </c>
      <c r="Y171" s="406">
        <v>25.124140000000001</v>
      </c>
      <c r="Z171" s="406">
        <v>22.63739</v>
      </c>
      <c r="AA171" s="406">
        <v>2.3464200000000002</v>
      </c>
      <c r="AB171" s="406">
        <v>0.14033000000000001</v>
      </c>
      <c r="AC171" s="403">
        <v>0</v>
      </c>
      <c r="AD171" s="406">
        <f>'[71]2. подк.неподк.'!X159</f>
        <v>85.472181599999999</v>
      </c>
      <c r="AE171" s="406">
        <f>V171*$AD$11</f>
        <v>0</v>
      </c>
      <c r="AF171" s="402">
        <f t="shared" si="114"/>
        <v>0</v>
      </c>
      <c r="AG171" s="167">
        <v>0</v>
      </c>
      <c r="AH171" s="406">
        <v>102.14789157296734</v>
      </c>
      <c r="AI171" s="957">
        <f t="shared" si="113"/>
        <v>4.0657268894763101</v>
      </c>
      <c r="AJ171" s="957">
        <f t="shared" si="115"/>
        <v>102.14789157296734</v>
      </c>
      <c r="AK171" s="958">
        <f t="shared" si="123"/>
        <v>102.14789157296734</v>
      </c>
      <c r="AL171" s="991"/>
      <c r="AM171" s="52">
        <f>AH171-AG171</f>
        <v>102.14789157296734</v>
      </c>
    </row>
    <row r="172" spans="1:39" s="161" customFormat="1" ht="33" customHeight="1" outlineLevel="2">
      <c r="A172" s="153"/>
      <c r="B172" s="402"/>
      <c r="C172" s="155"/>
      <c r="D172" s="966"/>
      <c r="E172" s="156" t="s">
        <v>843</v>
      </c>
      <c r="F172" s="157"/>
      <c r="G172" s="158"/>
      <c r="H172" s="154">
        <f t="shared" ref="H172:J172" si="124">H169+H170</f>
        <v>2410.4997410843439</v>
      </c>
      <c r="I172" s="154">
        <f t="shared" si="124"/>
        <v>2135.5717100000002</v>
      </c>
      <c r="J172" s="154">
        <f t="shared" si="124"/>
        <v>2135.5700000000002</v>
      </c>
      <c r="K172" s="154">
        <f>K169+K170</f>
        <v>2644.9770055487634</v>
      </c>
      <c r="L172" s="154">
        <f>L169+L170+L171</f>
        <v>5467.0291799999995</v>
      </c>
      <c r="M172" s="154">
        <f t="shared" ref="M172:AK172" si="125">M169+M170+M171</f>
        <v>2290.62</v>
      </c>
      <c r="N172" s="154">
        <f t="shared" si="125"/>
        <v>2858.9553606618106</v>
      </c>
      <c r="O172" s="154">
        <f t="shared" si="125"/>
        <v>4866.6444899999997</v>
      </c>
      <c r="P172" s="154">
        <f t="shared" si="125"/>
        <v>4724.4079200000006</v>
      </c>
      <c r="Q172" s="159">
        <f t="shared" si="125"/>
        <v>4724.4079200000006</v>
      </c>
      <c r="R172" s="154">
        <f t="shared" si="125"/>
        <v>4724.4079200000006</v>
      </c>
      <c r="S172" s="402">
        <f t="shared" si="125"/>
        <v>4724.4079200000006</v>
      </c>
      <c r="T172" s="402">
        <f t="shared" si="111"/>
        <v>1865.45255933819</v>
      </c>
      <c r="U172" s="402">
        <f t="shared" si="112"/>
        <v>0</v>
      </c>
      <c r="V172" s="154">
        <f t="shared" si="125"/>
        <v>2667.600467101403</v>
      </c>
      <c r="W172" s="154">
        <f t="shared" si="125"/>
        <v>4023217.17</v>
      </c>
      <c r="X172" s="154">
        <f t="shared" si="125"/>
        <v>4023.2171699999999</v>
      </c>
      <c r="Y172" s="154">
        <f t="shared" si="125"/>
        <v>4023.2171699999999</v>
      </c>
      <c r="Z172" s="1041">
        <f t="shared" si="125"/>
        <v>3695.7669599999999</v>
      </c>
      <c r="AA172" s="154">
        <f t="shared" si="125"/>
        <v>295.09706</v>
      </c>
      <c r="AB172" s="154">
        <f t="shared" si="125"/>
        <v>32.353149999999999</v>
      </c>
      <c r="AC172" s="194">
        <f t="shared" si="125"/>
        <v>2787.6424881209659</v>
      </c>
      <c r="AD172" s="194">
        <f t="shared" si="125"/>
        <v>13860.8121816</v>
      </c>
      <c r="AE172" s="194">
        <f t="shared" si="125"/>
        <v>2765.9062374693945</v>
      </c>
      <c r="AF172" s="194">
        <f t="shared" si="125"/>
        <v>2765.9062374693945</v>
      </c>
      <c r="AG172" s="194">
        <f t="shared" si="125"/>
        <v>2899.1481876458047</v>
      </c>
      <c r="AH172" s="992">
        <f t="shared" si="125"/>
        <v>4555.8578915729677</v>
      </c>
      <c r="AI172" s="993">
        <f t="shared" si="113"/>
        <v>1.1323917400096419</v>
      </c>
      <c r="AJ172" s="994">
        <f t="shared" si="125"/>
        <v>1656.709703927163</v>
      </c>
      <c r="AK172" s="994">
        <f t="shared" si="125"/>
        <v>4555.8578915729677</v>
      </c>
      <c r="AL172" s="964"/>
      <c r="AM172" s="52"/>
    </row>
    <row r="173" spans="1:39" s="191" customFormat="1" ht="33" customHeight="1" outlineLevel="3">
      <c r="A173" s="139" t="s">
        <v>844</v>
      </c>
      <c r="B173" s="406" t="s">
        <v>845</v>
      </c>
      <c r="C173" s="198" t="s">
        <v>846</v>
      </c>
      <c r="D173" s="956" t="s">
        <v>918</v>
      </c>
      <c r="E173" s="148" t="s">
        <v>847</v>
      </c>
      <c r="F173" s="149" t="s">
        <v>848</v>
      </c>
      <c r="G173" s="406" t="s">
        <v>121</v>
      </c>
      <c r="H173" s="406">
        <v>0</v>
      </c>
      <c r="I173" s="406">
        <v>311.95580000000001</v>
      </c>
      <c r="J173" s="406">
        <v>0</v>
      </c>
      <c r="K173" s="406">
        <v>0</v>
      </c>
      <c r="L173" s="406">
        <v>196.12166999999999</v>
      </c>
      <c r="M173" s="406">
        <v>0</v>
      </c>
      <c r="N173" s="406">
        <v>0</v>
      </c>
      <c r="O173" s="406">
        <v>26709.161150000004</v>
      </c>
      <c r="P173" s="406">
        <v>26441.13089</v>
      </c>
      <c r="Q173" s="150">
        <v>0</v>
      </c>
      <c r="R173" s="167">
        <v>0</v>
      </c>
      <c r="S173" s="402">
        <v>0</v>
      </c>
      <c r="T173" s="167">
        <f t="shared" si="111"/>
        <v>0</v>
      </c>
      <c r="U173" s="167">
        <f t="shared" si="112"/>
        <v>-26441.13089</v>
      </c>
      <c r="V173" s="406">
        <v>0</v>
      </c>
      <c r="W173" s="167">
        <v>25971993.84</v>
      </c>
      <c r="X173" s="167">
        <v>25971.993839999999</v>
      </c>
      <c r="Y173" s="406">
        <v>25971.993839999999</v>
      </c>
      <c r="Z173" s="406">
        <v>25848.491140000002</v>
      </c>
      <c r="AA173" s="406">
        <v>108.40492999999999</v>
      </c>
      <c r="AB173" s="406">
        <v>15.097770000000001</v>
      </c>
      <c r="AC173" s="403">
        <v>0</v>
      </c>
      <c r="AD173" s="406">
        <f>'[71]2. подк.неподк.'!X161</f>
        <v>58419.285000000003</v>
      </c>
      <c r="AE173" s="406">
        <f>V173*$AD$11</f>
        <v>0</v>
      </c>
      <c r="AF173" s="402">
        <f t="shared" si="114"/>
        <v>0</v>
      </c>
      <c r="AG173" s="167">
        <v>0</v>
      </c>
      <c r="AH173" s="406">
        <v>837.09</v>
      </c>
      <c r="AI173" s="957">
        <f t="shared" si="113"/>
        <v>3.2230486621738705E-2</v>
      </c>
      <c r="AJ173" s="957">
        <f t="shared" si="115"/>
        <v>837.09</v>
      </c>
      <c r="AK173" s="958">
        <f t="shared" si="123"/>
        <v>837.09</v>
      </c>
      <c r="AL173" s="991"/>
      <c r="AM173" s="52">
        <f>AH173-AG173</f>
        <v>837.09</v>
      </c>
    </row>
    <row r="174" spans="1:39" s="191" customFormat="1" ht="48" customHeight="1" outlineLevel="3">
      <c r="A174" s="139" t="s">
        <v>849</v>
      </c>
      <c r="B174" s="406" t="s">
        <v>850</v>
      </c>
      <c r="C174" s="198" t="s">
        <v>851</v>
      </c>
      <c r="D174" s="956" t="s">
        <v>923</v>
      </c>
      <c r="E174" s="148" t="s">
        <v>852</v>
      </c>
      <c r="F174" s="149" t="s">
        <v>853</v>
      </c>
      <c r="G174" s="406" t="s">
        <v>121</v>
      </c>
      <c r="H174" s="406">
        <v>0</v>
      </c>
      <c r="I174" s="406">
        <v>347.90839999999997</v>
      </c>
      <c r="J174" s="406">
        <v>0</v>
      </c>
      <c r="K174" s="406">
        <v>0</v>
      </c>
      <c r="L174" s="406">
        <v>552.58839999999998</v>
      </c>
      <c r="M174" s="406">
        <v>0</v>
      </c>
      <c r="N174" s="406">
        <v>0</v>
      </c>
      <c r="O174" s="406">
        <v>328.58920000000006</v>
      </c>
      <c r="P174" s="406">
        <v>298.72363999999999</v>
      </c>
      <c r="Q174" s="150">
        <v>298.72363999999999</v>
      </c>
      <c r="R174" s="167">
        <v>298.72363999999999</v>
      </c>
      <c r="S174" s="402">
        <v>298.72363999999999</v>
      </c>
      <c r="T174" s="406">
        <f t="shared" si="111"/>
        <v>298.72363999999999</v>
      </c>
      <c r="U174" s="406">
        <f t="shared" si="112"/>
        <v>0</v>
      </c>
      <c r="V174" s="406">
        <v>0</v>
      </c>
      <c r="W174" s="167">
        <v>503036.14</v>
      </c>
      <c r="X174" s="167">
        <v>503.03613999999999</v>
      </c>
      <c r="Y174" s="406">
        <v>503.03613999999993</v>
      </c>
      <c r="Z174" s="406">
        <v>457.33848999999998</v>
      </c>
      <c r="AA174" s="406">
        <v>40.341360000000002</v>
      </c>
      <c r="AB174" s="406">
        <v>5.3562899999999996</v>
      </c>
      <c r="AC174" s="403">
        <v>0</v>
      </c>
      <c r="AD174" s="406">
        <f>'[71]2. подк.неподк.'!X162</f>
        <v>722.52941999999996</v>
      </c>
      <c r="AE174" s="406">
        <f>V174*$AD$11</f>
        <v>0</v>
      </c>
      <c r="AF174" s="402">
        <f t="shared" si="114"/>
        <v>0</v>
      </c>
      <c r="AG174" s="167">
        <v>0</v>
      </c>
      <c r="AH174" s="406">
        <v>573.34</v>
      </c>
      <c r="AI174" s="957">
        <f t="shared" si="113"/>
        <v>1.1397590638318751</v>
      </c>
      <c r="AJ174" s="957">
        <f t="shared" si="115"/>
        <v>573.34</v>
      </c>
      <c r="AK174" s="958">
        <f t="shared" si="123"/>
        <v>573.34</v>
      </c>
      <c r="AL174" s="991"/>
      <c r="AM174" s="52">
        <f>AH174-AG174</f>
        <v>573.34</v>
      </c>
    </row>
    <row r="175" spans="1:39" s="161" customFormat="1" ht="33" customHeight="1" outlineLevel="2">
      <c r="A175" s="153"/>
      <c r="B175" s="402"/>
      <c r="C175" s="155"/>
      <c r="D175" s="966"/>
      <c r="E175" s="156" t="s">
        <v>854</v>
      </c>
      <c r="F175" s="157"/>
      <c r="G175" s="158"/>
      <c r="H175" s="154">
        <f t="shared" ref="H175:J175" si="126">H173+H174</f>
        <v>0</v>
      </c>
      <c r="I175" s="154">
        <f t="shared" si="126"/>
        <v>659.86419999999998</v>
      </c>
      <c r="J175" s="154">
        <f t="shared" si="126"/>
        <v>0</v>
      </c>
      <c r="K175" s="154">
        <f>K173+K174</f>
        <v>0</v>
      </c>
      <c r="L175" s="154">
        <f t="shared" ref="L175:AK175" si="127">L173+L174</f>
        <v>748.71006999999997</v>
      </c>
      <c r="M175" s="154">
        <f t="shared" si="127"/>
        <v>0</v>
      </c>
      <c r="N175" s="154">
        <f t="shared" si="127"/>
        <v>0</v>
      </c>
      <c r="O175" s="154">
        <f t="shared" si="127"/>
        <v>27037.750350000002</v>
      </c>
      <c r="P175" s="154">
        <f t="shared" si="127"/>
        <v>26739.854530000001</v>
      </c>
      <c r="Q175" s="159">
        <f t="shared" si="127"/>
        <v>298.72363999999999</v>
      </c>
      <c r="R175" s="154">
        <f t="shared" si="127"/>
        <v>298.72363999999999</v>
      </c>
      <c r="S175" s="402">
        <f t="shared" si="127"/>
        <v>298.72363999999999</v>
      </c>
      <c r="T175" s="402">
        <f t="shared" si="111"/>
        <v>298.72363999999999</v>
      </c>
      <c r="U175" s="402">
        <f t="shared" si="112"/>
        <v>-26441.13089</v>
      </c>
      <c r="V175" s="154">
        <f>V173+V174</f>
        <v>0</v>
      </c>
      <c r="W175" s="154">
        <f t="shared" si="127"/>
        <v>26475029.98</v>
      </c>
      <c r="X175" s="154">
        <f t="shared" si="127"/>
        <v>26475.029979999999</v>
      </c>
      <c r="Y175" s="154">
        <f t="shared" si="127"/>
        <v>26475.029979999999</v>
      </c>
      <c r="Z175" s="154">
        <f t="shared" si="127"/>
        <v>26305.82963</v>
      </c>
      <c r="AA175" s="154">
        <f t="shared" si="127"/>
        <v>148.74628999999999</v>
      </c>
      <c r="AB175" s="154">
        <f t="shared" si="127"/>
        <v>20.454059999999998</v>
      </c>
      <c r="AC175" s="194">
        <f t="shared" si="127"/>
        <v>0</v>
      </c>
      <c r="AD175" s="194">
        <f t="shared" si="127"/>
        <v>59141.814420000002</v>
      </c>
      <c r="AE175" s="194">
        <f t="shared" si="127"/>
        <v>0</v>
      </c>
      <c r="AF175" s="194">
        <f>AF173+AF174</f>
        <v>0</v>
      </c>
      <c r="AG175" s="194">
        <f t="shared" si="127"/>
        <v>0</v>
      </c>
      <c r="AH175" s="992">
        <f t="shared" si="127"/>
        <v>1410.43</v>
      </c>
      <c r="AI175" s="993">
        <f t="shared" si="113"/>
        <v>5.327397177889806E-2</v>
      </c>
      <c r="AJ175" s="994">
        <f t="shared" si="127"/>
        <v>1410.43</v>
      </c>
      <c r="AK175" s="994">
        <f t="shared" si="127"/>
        <v>1410.43</v>
      </c>
      <c r="AL175" s="964"/>
      <c r="AM175" s="52"/>
    </row>
    <row r="176" spans="1:39" s="191" customFormat="1" ht="48" customHeight="1" outlineLevel="3">
      <c r="A176" s="139" t="s">
        <v>855</v>
      </c>
      <c r="B176" s="406" t="s">
        <v>856</v>
      </c>
      <c r="C176" s="198" t="s">
        <v>857</v>
      </c>
      <c r="D176" s="956" t="s">
        <v>928</v>
      </c>
      <c r="E176" s="148" t="s">
        <v>858</v>
      </c>
      <c r="F176" s="149" t="s">
        <v>859</v>
      </c>
      <c r="G176" s="406" t="s">
        <v>121</v>
      </c>
      <c r="H176" s="406">
        <v>3248.96649962946</v>
      </c>
      <c r="I176" s="406">
        <v>0</v>
      </c>
      <c r="J176" s="406">
        <v>0</v>
      </c>
      <c r="K176" s="406">
        <v>3565.0041926378663</v>
      </c>
      <c r="L176" s="406">
        <v>38.017470000000003</v>
      </c>
      <c r="M176" s="406">
        <v>38.020000000000003</v>
      </c>
      <c r="N176" s="406">
        <v>3687.6427718153864</v>
      </c>
      <c r="O176" s="406">
        <v>285.03536000000003</v>
      </c>
      <c r="P176" s="406">
        <v>285.03536000000003</v>
      </c>
      <c r="Q176" s="150">
        <v>206.31326000000001</v>
      </c>
      <c r="R176" s="406">
        <v>206.31326000000001</v>
      </c>
      <c r="S176" s="402">
        <v>285.03536000000003</v>
      </c>
      <c r="T176" s="406">
        <f t="shared" si="111"/>
        <v>-3402.6074118153865</v>
      </c>
      <c r="U176" s="406">
        <f t="shared" si="112"/>
        <v>0</v>
      </c>
      <c r="V176" s="406">
        <v>0</v>
      </c>
      <c r="W176" s="167">
        <v>1774442.46</v>
      </c>
      <c r="X176" s="167">
        <v>1774.44246</v>
      </c>
      <c r="Y176" s="406">
        <v>1774.44246</v>
      </c>
      <c r="Z176" s="406">
        <v>1772.1012000000001</v>
      </c>
      <c r="AA176" s="406">
        <v>2.1623200000000002</v>
      </c>
      <c r="AB176" s="406">
        <v>0.17893999999999999</v>
      </c>
      <c r="AC176" s="403">
        <v>0</v>
      </c>
      <c r="AD176" s="406">
        <f>'[71]2. подк.неподк.'!X164</f>
        <v>0</v>
      </c>
      <c r="AE176" s="406">
        <f>V176*$AD$11</f>
        <v>0</v>
      </c>
      <c r="AF176" s="402">
        <f t="shared" si="114"/>
        <v>0</v>
      </c>
      <c r="AG176" s="167">
        <v>0</v>
      </c>
      <c r="AH176" s="406">
        <v>854799</v>
      </c>
      <c r="AI176" s="957">
        <f t="shared" si="113"/>
        <v>481.72821563343336</v>
      </c>
      <c r="AJ176" s="957">
        <f t="shared" si="115"/>
        <v>854799</v>
      </c>
      <c r="AK176" s="958">
        <f t="shared" si="123"/>
        <v>854799</v>
      </c>
      <c r="AL176" s="1822" t="s">
        <v>2150</v>
      </c>
      <c r="AM176" s="52">
        <f>AH176-AG176</f>
        <v>854799</v>
      </c>
    </row>
    <row r="177" spans="1:39" s="191" customFormat="1" ht="48" customHeight="1" outlineLevel="3">
      <c r="A177" s="139" t="s">
        <v>860</v>
      </c>
      <c r="B177" s="406" t="s">
        <v>861</v>
      </c>
      <c r="C177" s="198" t="s">
        <v>862</v>
      </c>
      <c r="D177" s="956" t="s">
        <v>932</v>
      </c>
      <c r="E177" s="148" t="s">
        <v>863</v>
      </c>
      <c r="F177" s="149" t="s">
        <v>864</v>
      </c>
      <c r="G177" s="406" t="s">
        <v>121</v>
      </c>
      <c r="H177" s="406">
        <v>1328.9980838120871</v>
      </c>
      <c r="I177" s="406">
        <v>1131.1680200000001</v>
      </c>
      <c r="J177" s="406">
        <v>1131.17</v>
      </c>
      <c r="K177" s="406">
        <v>1458.2741131181651</v>
      </c>
      <c r="L177" s="406">
        <v>1959.0656799999999</v>
      </c>
      <c r="M177" s="406">
        <v>1959.07</v>
      </c>
      <c r="N177" s="406">
        <v>1492.7</v>
      </c>
      <c r="O177" s="406">
        <v>707.14238999999998</v>
      </c>
      <c r="P177" s="406">
        <v>706.90968999999996</v>
      </c>
      <c r="Q177" s="150">
        <v>706.90968999999996</v>
      </c>
      <c r="R177" s="406">
        <v>706.90968999999996</v>
      </c>
      <c r="S177" s="402">
        <v>706.90968999999996</v>
      </c>
      <c r="T177" s="406">
        <f t="shared" si="111"/>
        <v>-785.79031000000009</v>
      </c>
      <c r="U177" s="406">
        <f t="shared" si="112"/>
        <v>0</v>
      </c>
      <c r="V177" s="406">
        <v>1574.7984999999999</v>
      </c>
      <c r="W177" s="167">
        <v>1744932.29</v>
      </c>
      <c r="X177" s="167">
        <v>1744.93229</v>
      </c>
      <c r="Y177" s="406">
        <v>2056.9822899999999</v>
      </c>
      <c r="Z177" s="406">
        <v>2040.0949900000001</v>
      </c>
      <c r="AA177" s="406">
        <v>12.804219999999999</v>
      </c>
      <c r="AB177" s="406">
        <v>4.0830799999999998</v>
      </c>
      <c r="AC177" s="403">
        <v>1645.6644324999997</v>
      </c>
      <c r="AD177" s="406">
        <f>'[71]2. подк.неподк.'!X165</f>
        <v>4872.7468800000006</v>
      </c>
      <c r="AE177" s="406">
        <f>V177*$AD$11</f>
        <v>1632.8325952950402</v>
      </c>
      <c r="AF177" s="402">
        <f t="shared" si="114"/>
        <v>1632.8325952950402</v>
      </c>
      <c r="AG177" s="167">
        <v>1711.4910097999998</v>
      </c>
      <c r="AH177" s="406">
        <v>35568.99</v>
      </c>
      <c r="AI177" s="957">
        <f t="shared" si="113"/>
        <v>20.38416631054492</v>
      </c>
      <c r="AJ177" s="957">
        <f t="shared" si="115"/>
        <v>33857.498990200002</v>
      </c>
      <c r="AK177" s="958">
        <f t="shared" si="123"/>
        <v>35568.99</v>
      </c>
      <c r="AL177" s="1823"/>
      <c r="AM177" s="52">
        <f>AH177-AG177</f>
        <v>33857.498990200002</v>
      </c>
    </row>
    <row r="178" spans="1:39" s="191" customFormat="1" ht="33" customHeight="1" outlineLevel="3">
      <c r="A178" s="139" t="s">
        <v>865</v>
      </c>
      <c r="B178" s="406" t="s">
        <v>866</v>
      </c>
      <c r="C178" s="198" t="s">
        <v>867</v>
      </c>
      <c r="D178" s="956" t="s">
        <v>936</v>
      </c>
      <c r="E178" s="148" t="s">
        <v>868</v>
      </c>
      <c r="F178" s="149" t="s">
        <v>869</v>
      </c>
      <c r="G178" s="406" t="s">
        <v>121</v>
      </c>
      <c r="H178" s="406">
        <v>0</v>
      </c>
      <c r="I178" s="406">
        <v>10560.68196</v>
      </c>
      <c r="J178" s="406">
        <v>0</v>
      </c>
      <c r="K178" s="406">
        <v>0</v>
      </c>
      <c r="L178" s="406">
        <v>30.375</v>
      </c>
      <c r="M178" s="406">
        <v>0</v>
      </c>
      <c r="N178" s="406">
        <v>0</v>
      </c>
      <c r="O178" s="406"/>
      <c r="P178" s="406"/>
      <c r="Q178" s="150">
        <v>30.375</v>
      </c>
      <c r="R178" s="406">
        <v>30.375</v>
      </c>
      <c r="S178" s="402">
        <v>0</v>
      </c>
      <c r="T178" s="406">
        <f t="shared" si="111"/>
        <v>0</v>
      </c>
      <c r="U178" s="406">
        <f t="shared" si="112"/>
        <v>0</v>
      </c>
      <c r="V178" s="406">
        <v>0</v>
      </c>
      <c r="W178" s="167">
        <v>2683814.4900000002</v>
      </c>
      <c r="X178" s="167">
        <v>2683.8144900000002</v>
      </c>
      <c r="Y178" s="406">
        <v>2683.8144899999998</v>
      </c>
      <c r="Z178" s="406">
        <v>2575.29</v>
      </c>
      <c r="AA178" s="406">
        <v>78.170229999999989</v>
      </c>
      <c r="AB178" s="406">
        <v>30.35426</v>
      </c>
      <c r="AC178" s="403">
        <v>0</v>
      </c>
      <c r="AD178" s="406">
        <f>'[71]2. подк.неподк.'!X166</f>
        <v>554.48400000000004</v>
      </c>
      <c r="AE178" s="406">
        <f>V178*$AD$11</f>
        <v>0</v>
      </c>
      <c r="AF178" s="402">
        <f t="shared" si="114"/>
        <v>0</v>
      </c>
      <c r="AG178" s="167">
        <v>0</v>
      </c>
      <c r="AH178" s="406">
        <v>9960.66</v>
      </c>
      <c r="AI178" s="957">
        <f t="shared" si="113"/>
        <v>3.7113817058197638</v>
      </c>
      <c r="AJ178" s="957">
        <f t="shared" si="115"/>
        <v>9960.66</v>
      </c>
      <c r="AK178" s="958">
        <f t="shared" si="123"/>
        <v>9960.66</v>
      </c>
      <c r="AL178" s="991"/>
      <c r="AM178" s="52">
        <f>AH178-AG178</f>
        <v>9960.66</v>
      </c>
    </row>
    <row r="179" spans="1:39" s="191" customFormat="1" ht="33" customHeight="1" outlineLevel="3">
      <c r="A179" s="139" t="s">
        <v>870</v>
      </c>
      <c r="B179" s="406" t="s">
        <v>871</v>
      </c>
      <c r="C179" s="198" t="s">
        <v>872</v>
      </c>
      <c r="D179" s="956" t="s">
        <v>940</v>
      </c>
      <c r="E179" s="148" t="s">
        <v>873</v>
      </c>
      <c r="F179" s="149" t="s">
        <v>874</v>
      </c>
      <c r="G179" s="406" t="s">
        <v>121</v>
      </c>
      <c r="H179" s="406">
        <v>0</v>
      </c>
      <c r="I179" s="406">
        <v>0</v>
      </c>
      <c r="J179" s="406">
        <v>0</v>
      </c>
      <c r="K179" s="406">
        <v>0</v>
      </c>
      <c r="L179" s="406">
        <v>0</v>
      </c>
      <c r="M179" s="406">
        <v>0</v>
      </c>
      <c r="N179" s="406">
        <v>0</v>
      </c>
      <c r="O179" s="406"/>
      <c r="P179" s="406"/>
      <c r="Q179" s="150">
        <v>48.347099999999998</v>
      </c>
      <c r="R179" s="406">
        <v>48.347099999999998</v>
      </c>
      <c r="S179" s="402">
        <v>0</v>
      </c>
      <c r="T179" s="406">
        <f t="shared" si="111"/>
        <v>0</v>
      </c>
      <c r="U179" s="406">
        <f t="shared" si="112"/>
        <v>0</v>
      </c>
      <c r="V179" s="406">
        <v>0</v>
      </c>
      <c r="W179" s="167">
        <v>85955.38</v>
      </c>
      <c r="X179" s="167">
        <v>85.955380000000005</v>
      </c>
      <c r="Y179" s="406">
        <v>85.955379999999991</v>
      </c>
      <c r="Z179" s="406">
        <v>85.925440000000009</v>
      </c>
      <c r="AA179" s="406">
        <v>2.7649999999999997E-2</v>
      </c>
      <c r="AB179" s="406">
        <v>2.2899999999999999E-3</v>
      </c>
      <c r="AC179" s="403">
        <v>0</v>
      </c>
      <c r="AD179" s="406">
        <f>'[71]2. подк.неподк.'!X167</f>
        <v>0</v>
      </c>
      <c r="AE179" s="406">
        <f>V179*$AD$11</f>
        <v>0</v>
      </c>
      <c r="AF179" s="402">
        <f t="shared" si="114"/>
        <v>0</v>
      </c>
      <c r="AG179" s="167">
        <v>0</v>
      </c>
      <c r="AH179" s="406">
        <v>0</v>
      </c>
      <c r="AI179" s="957">
        <f t="shared" si="113"/>
        <v>0</v>
      </c>
      <c r="AJ179" s="957">
        <f t="shared" si="115"/>
        <v>0</v>
      </c>
      <c r="AK179" s="958">
        <f t="shared" si="123"/>
        <v>0</v>
      </c>
      <c r="AL179" s="991"/>
      <c r="AM179" s="52">
        <f>AH179-AG179</f>
        <v>0</v>
      </c>
    </row>
    <row r="180" spans="1:39" s="161" customFormat="1" ht="33" customHeight="1" outlineLevel="2">
      <c r="A180" s="153"/>
      <c r="B180" s="402"/>
      <c r="C180" s="155"/>
      <c r="D180" s="966"/>
      <c r="E180" s="156" t="s">
        <v>875</v>
      </c>
      <c r="F180" s="157"/>
      <c r="G180" s="158"/>
      <c r="H180" s="154">
        <f t="shared" ref="H180:J180" si="128">H176+H177+H178+H179</f>
        <v>4577.9645834415469</v>
      </c>
      <c r="I180" s="154">
        <f t="shared" si="128"/>
        <v>11691.849979999999</v>
      </c>
      <c r="J180" s="154">
        <f t="shared" si="128"/>
        <v>1131.17</v>
      </c>
      <c r="K180" s="154">
        <f>K176+K177+K178+K179</f>
        <v>5023.2783057560318</v>
      </c>
      <c r="L180" s="154">
        <f t="shared" ref="L180:V180" si="129">L176+L177+L178+L179</f>
        <v>2027.4581499999999</v>
      </c>
      <c r="M180" s="154">
        <f t="shared" si="129"/>
        <v>1997.09</v>
      </c>
      <c r="N180" s="154">
        <f t="shared" si="129"/>
        <v>5180.3427718153862</v>
      </c>
      <c r="O180" s="154">
        <f t="shared" si="129"/>
        <v>992.17775000000006</v>
      </c>
      <c r="P180" s="154">
        <f t="shared" si="129"/>
        <v>991.94505000000004</v>
      </c>
      <c r="Q180" s="159">
        <f t="shared" si="129"/>
        <v>991.94504999999992</v>
      </c>
      <c r="R180" s="154">
        <f t="shared" si="129"/>
        <v>991.94504999999992</v>
      </c>
      <c r="S180" s="402">
        <f t="shared" si="129"/>
        <v>991.94505000000004</v>
      </c>
      <c r="T180" s="402">
        <f t="shared" si="111"/>
        <v>-4188.3977218153859</v>
      </c>
      <c r="U180" s="402">
        <f t="shared" si="112"/>
        <v>0</v>
      </c>
      <c r="V180" s="154">
        <f t="shared" si="129"/>
        <v>1574.7984999999999</v>
      </c>
      <c r="W180" s="154">
        <f>W176+W177+W178+W179</f>
        <v>6289144.6200000001</v>
      </c>
      <c r="X180" s="154">
        <f>X176+X177+X178+X179</f>
        <v>6289.14462</v>
      </c>
      <c r="Y180" s="154">
        <f>Y176+Y177+Y178+Y179</f>
        <v>6601.1946200000002</v>
      </c>
      <c r="Z180" s="1041">
        <f t="shared" ref="Z180:AK180" si="130">Z176+Z177+Z178+Z179</f>
        <v>6473.4116299999996</v>
      </c>
      <c r="AA180" s="154">
        <f t="shared" si="130"/>
        <v>93.164419999999978</v>
      </c>
      <c r="AB180" s="154">
        <f t="shared" si="130"/>
        <v>34.618570000000005</v>
      </c>
      <c r="AC180" s="194">
        <f t="shared" si="130"/>
        <v>1645.6644324999997</v>
      </c>
      <c r="AD180" s="194">
        <f t="shared" si="130"/>
        <v>5427.230880000001</v>
      </c>
      <c r="AE180" s="194">
        <f t="shared" si="130"/>
        <v>1632.8325952950402</v>
      </c>
      <c r="AF180" s="194">
        <f t="shared" si="130"/>
        <v>1632.8325952950402</v>
      </c>
      <c r="AG180" s="194">
        <f t="shared" si="130"/>
        <v>1711.4910097999998</v>
      </c>
      <c r="AH180" s="992">
        <f t="shared" si="130"/>
        <v>900328.65</v>
      </c>
      <c r="AI180" s="993">
        <f t="shared" si="113"/>
        <v>143.15597818133813</v>
      </c>
      <c r="AJ180" s="994">
        <f t="shared" si="130"/>
        <v>898617.15899020003</v>
      </c>
      <c r="AK180" s="994">
        <f t="shared" si="130"/>
        <v>900328.65</v>
      </c>
      <c r="AL180" s="964"/>
      <c r="AM180" s="52"/>
    </row>
    <row r="181" spans="1:39" s="191" customFormat="1" ht="33" customHeight="1" outlineLevel="3">
      <c r="A181" s="139" t="s">
        <v>876</v>
      </c>
      <c r="B181" s="406" t="s">
        <v>877</v>
      </c>
      <c r="C181" s="198" t="s">
        <v>878</v>
      </c>
      <c r="D181" s="956" t="s">
        <v>945</v>
      </c>
      <c r="E181" s="148" t="s">
        <v>879</v>
      </c>
      <c r="F181" s="149" t="s">
        <v>880</v>
      </c>
      <c r="G181" s="406" t="s">
        <v>121</v>
      </c>
      <c r="H181" s="406">
        <v>0</v>
      </c>
      <c r="I181" s="406">
        <v>54.45</v>
      </c>
      <c r="J181" s="406">
        <v>0</v>
      </c>
      <c r="K181" s="406">
        <v>0</v>
      </c>
      <c r="L181" s="406">
        <v>258.70184999999998</v>
      </c>
      <c r="M181" s="406">
        <v>0</v>
      </c>
      <c r="N181" s="406">
        <v>0</v>
      </c>
      <c r="O181" s="406">
        <v>216.38315999999998</v>
      </c>
      <c r="P181" s="406">
        <v>203.63924</v>
      </c>
      <c r="Q181" s="150">
        <v>0</v>
      </c>
      <c r="R181" s="406">
        <v>0</v>
      </c>
      <c r="S181" s="402">
        <v>0</v>
      </c>
      <c r="T181" s="406">
        <f t="shared" si="111"/>
        <v>0</v>
      </c>
      <c r="U181" s="406">
        <f t="shared" si="112"/>
        <v>-203.63924</v>
      </c>
      <c r="V181" s="406">
        <v>0</v>
      </c>
      <c r="W181" s="167">
        <v>209619</v>
      </c>
      <c r="X181" s="167">
        <v>209.619</v>
      </c>
      <c r="Y181" s="406">
        <v>209.619</v>
      </c>
      <c r="Z181" s="406">
        <v>200.53625</v>
      </c>
      <c r="AA181" s="406">
        <v>7.0614799999999995</v>
      </c>
      <c r="AB181" s="406">
        <v>2.0212699999999999</v>
      </c>
      <c r="AC181" s="403">
        <v>0</v>
      </c>
      <c r="AD181" s="406">
        <f>'[71]2. подк.неподк.'!X169</f>
        <v>1536.56</v>
      </c>
      <c r="AE181" s="406">
        <f t="shared" ref="AE181:AE205" si="131">V181*$AD$11</f>
        <v>0</v>
      </c>
      <c r="AF181" s="402">
        <f t="shared" si="114"/>
        <v>0</v>
      </c>
      <c r="AG181" s="167">
        <v>0</v>
      </c>
      <c r="AH181" s="406">
        <v>249.9</v>
      </c>
      <c r="AI181" s="957">
        <f t="shared" si="113"/>
        <v>1.192162924162409</v>
      </c>
      <c r="AJ181" s="957">
        <f t="shared" si="115"/>
        <v>249.9</v>
      </c>
      <c r="AK181" s="958">
        <f t="shared" si="123"/>
        <v>249.9</v>
      </c>
      <c r="AL181" s="991"/>
      <c r="AM181" s="52">
        <f t="shared" ref="AM181:AM205" si="132">AH181-AG181</f>
        <v>249.9</v>
      </c>
    </row>
    <row r="182" spans="1:39" s="191" customFormat="1" ht="33" customHeight="1" outlineLevel="3">
      <c r="A182" s="139" t="s">
        <v>881</v>
      </c>
      <c r="B182" s="406" t="s">
        <v>882</v>
      </c>
      <c r="C182" s="198" t="s">
        <v>883</v>
      </c>
      <c r="D182" s="956" t="s">
        <v>949</v>
      </c>
      <c r="E182" s="148" t="s">
        <v>884</v>
      </c>
      <c r="F182" s="149" t="s">
        <v>885</v>
      </c>
      <c r="G182" s="406" t="s">
        <v>121</v>
      </c>
      <c r="H182" s="406">
        <v>370.75</v>
      </c>
      <c r="I182" s="406">
        <v>29.329160000000002</v>
      </c>
      <c r="J182" s="406">
        <v>29.33</v>
      </c>
      <c r="K182" s="406">
        <v>406.81407597499998</v>
      </c>
      <c r="L182" s="406">
        <v>0</v>
      </c>
      <c r="M182" s="406">
        <v>0</v>
      </c>
      <c r="N182" s="406">
        <v>9.7473460213460505</v>
      </c>
      <c r="O182" s="406">
        <v>0</v>
      </c>
      <c r="P182" s="406">
        <v>0</v>
      </c>
      <c r="Q182" s="150">
        <v>0</v>
      </c>
      <c r="R182" s="406">
        <v>0</v>
      </c>
      <c r="S182" s="402">
        <v>0</v>
      </c>
      <c r="T182" s="406">
        <f t="shared" si="111"/>
        <v>-9.7473460213460505</v>
      </c>
      <c r="U182" s="406">
        <f t="shared" si="112"/>
        <v>0</v>
      </c>
      <c r="V182" s="406">
        <v>0</v>
      </c>
      <c r="W182" s="167">
        <v>0</v>
      </c>
      <c r="X182" s="167">
        <v>0</v>
      </c>
      <c r="Y182" s="406">
        <v>0</v>
      </c>
      <c r="Z182" s="406">
        <v>0</v>
      </c>
      <c r="AA182" s="406">
        <v>0</v>
      </c>
      <c r="AB182" s="406">
        <v>0</v>
      </c>
      <c r="AC182" s="403">
        <v>0</v>
      </c>
      <c r="AD182" s="406">
        <f>'[71]2. подк.неподк.'!X170</f>
        <v>0</v>
      </c>
      <c r="AE182" s="406">
        <f t="shared" si="131"/>
        <v>0</v>
      </c>
      <c r="AF182" s="402">
        <f t="shared" si="114"/>
        <v>0</v>
      </c>
      <c r="AG182" s="167">
        <v>0</v>
      </c>
      <c r="AH182" s="406">
        <v>0</v>
      </c>
      <c r="AI182" s="957" t="e">
        <f t="shared" si="113"/>
        <v>#DIV/0!</v>
      </c>
      <c r="AJ182" s="957">
        <f t="shared" si="115"/>
        <v>0</v>
      </c>
      <c r="AK182" s="958">
        <f t="shared" si="123"/>
        <v>0</v>
      </c>
      <c r="AL182" s="991"/>
      <c r="AM182" s="52">
        <f t="shared" si="132"/>
        <v>0</v>
      </c>
    </row>
    <row r="183" spans="1:39" s="191" customFormat="1" ht="45.75" customHeight="1" outlineLevel="3">
      <c r="A183" s="139" t="s">
        <v>886</v>
      </c>
      <c r="B183" s="406" t="s">
        <v>887</v>
      </c>
      <c r="C183" s="198" t="s">
        <v>888</v>
      </c>
      <c r="D183" s="969" t="s">
        <v>953</v>
      </c>
      <c r="E183" s="148" t="s">
        <v>889</v>
      </c>
      <c r="F183" s="149" t="s">
        <v>890</v>
      </c>
      <c r="G183" s="406" t="s">
        <v>121</v>
      </c>
      <c r="H183" s="406">
        <v>27737.91</v>
      </c>
      <c r="I183" s="406">
        <v>1292.2033899999999</v>
      </c>
      <c r="J183" s="406">
        <v>1292.2</v>
      </c>
      <c r="K183" s="406">
        <v>30436.068040802998</v>
      </c>
      <c r="L183" s="406">
        <v>16032.198</v>
      </c>
      <c r="M183" s="406">
        <v>16032.2</v>
      </c>
      <c r="N183" s="406">
        <v>13903.3550770533</v>
      </c>
      <c r="O183" s="406">
        <v>13870.407869999999</v>
      </c>
      <c r="P183" s="406">
        <v>13867.469570000001</v>
      </c>
      <c r="Q183" s="150">
        <v>13867.469570000001</v>
      </c>
      <c r="R183" s="406">
        <v>13867.469570000001</v>
      </c>
      <c r="S183" s="402">
        <v>13867.469570000001</v>
      </c>
      <c r="T183" s="406">
        <f t="shared" si="111"/>
        <v>-35.885507053299079</v>
      </c>
      <c r="U183" s="406">
        <f t="shared" si="112"/>
        <v>0</v>
      </c>
      <c r="V183" s="406">
        <v>18157.998824999999</v>
      </c>
      <c r="W183" s="167">
        <v>13962797.760000002</v>
      </c>
      <c r="X183" s="167">
        <v>13962.797760000001</v>
      </c>
      <c r="Y183" s="406">
        <v>13962.797759999999</v>
      </c>
      <c r="Z183" s="406">
        <v>13962.781489999998</v>
      </c>
      <c r="AA183" s="406">
        <v>1.047E-2</v>
      </c>
      <c r="AB183" s="406">
        <v>5.7999999999999996E-3</v>
      </c>
      <c r="AC183" s="403">
        <v>18975.108772124997</v>
      </c>
      <c r="AD183" s="406">
        <f>'[71]2. подк.неподк.'!X171</f>
        <v>20028.599999999999</v>
      </c>
      <c r="AE183" s="406">
        <f t="shared" si="131"/>
        <v>18827.153027380355</v>
      </c>
      <c r="AF183" s="402">
        <f t="shared" si="114"/>
        <v>18827.153027380355</v>
      </c>
      <c r="AG183" s="167">
        <v>19734.113123009996</v>
      </c>
      <c r="AH183" s="406">
        <v>20028.599999999999</v>
      </c>
      <c r="AI183" s="957">
        <f t="shared" si="113"/>
        <v>1.4344259899958614</v>
      </c>
      <c r="AJ183" s="957">
        <f t="shared" si="115"/>
        <v>294.4868769900022</v>
      </c>
      <c r="AK183" s="958">
        <f t="shared" si="123"/>
        <v>20028.599999999999</v>
      </c>
      <c r="AL183" s="991"/>
      <c r="AM183" s="52">
        <f t="shared" si="132"/>
        <v>294.4868769900022</v>
      </c>
    </row>
    <row r="184" spans="1:39" s="191" customFormat="1" ht="33" customHeight="1" outlineLevel="3">
      <c r="A184" s="139" t="s">
        <v>891</v>
      </c>
      <c r="B184" s="406" t="s">
        <v>892</v>
      </c>
      <c r="C184" s="198" t="s">
        <v>893</v>
      </c>
      <c r="D184" s="956" t="s">
        <v>958</v>
      </c>
      <c r="E184" s="148" t="s">
        <v>894</v>
      </c>
      <c r="F184" s="410"/>
      <c r="G184" s="406" t="s">
        <v>121</v>
      </c>
      <c r="H184" s="406">
        <v>0</v>
      </c>
      <c r="I184" s="406">
        <v>0</v>
      </c>
      <c r="J184" s="406">
        <v>0</v>
      </c>
      <c r="K184" s="406">
        <v>0</v>
      </c>
      <c r="L184" s="406">
        <v>0</v>
      </c>
      <c r="M184" s="406">
        <v>0</v>
      </c>
      <c r="N184" s="406">
        <v>0</v>
      </c>
      <c r="O184" s="406">
        <v>0</v>
      </c>
      <c r="P184" s="406">
        <v>0.36042000000000002</v>
      </c>
      <c r="Q184" s="150">
        <v>0</v>
      </c>
      <c r="R184" s="406">
        <v>0</v>
      </c>
      <c r="S184" s="402">
        <v>0</v>
      </c>
      <c r="T184" s="406">
        <f t="shared" si="111"/>
        <v>0</v>
      </c>
      <c r="U184" s="406">
        <f t="shared" si="112"/>
        <v>-0.36042000000000002</v>
      </c>
      <c r="V184" s="406">
        <v>0</v>
      </c>
      <c r="W184" s="167">
        <v>0</v>
      </c>
      <c r="X184" s="167">
        <v>0</v>
      </c>
      <c r="Y184" s="406">
        <v>0</v>
      </c>
      <c r="Z184" s="406">
        <v>0</v>
      </c>
      <c r="AA184" s="406">
        <v>0</v>
      </c>
      <c r="AB184" s="406">
        <v>0</v>
      </c>
      <c r="AC184" s="403">
        <v>0</v>
      </c>
      <c r="AD184" s="406">
        <f>'[71]2. подк.неподк.'!X172</f>
        <v>0</v>
      </c>
      <c r="AE184" s="406">
        <f t="shared" si="131"/>
        <v>0</v>
      </c>
      <c r="AF184" s="402">
        <f t="shared" si="114"/>
        <v>0</v>
      </c>
      <c r="AG184" s="167">
        <v>0</v>
      </c>
      <c r="AH184" s="406">
        <v>0</v>
      </c>
      <c r="AI184" s="957" t="e">
        <f t="shared" si="113"/>
        <v>#DIV/0!</v>
      </c>
      <c r="AJ184" s="957">
        <f t="shared" si="115"/>
        <v>0</v>
      </c>
      <c r="AK184" s="958">
        <f t="shared" si="123"/>
        <v>0</v>
      </c>
      <c r="AL184" s="991"/>
      <c r="AM184" s="52">
        <f t="shared" si="132"/>
        <v>0</v>
      </c>
    </row>
    <row r="185" spans="1:39" s="191" customFormat="1" ht="33" customHeight="1" outlineLevel="3">
      <c r="A185" s="139" t="s">
        <v>895</v>
      </c>
      <c r="B185" s="406" t="s">
        <v>896</v>
      </c>
      <c r="C185" s="198" t="s">
        <v>897</v>
      </c>
      <c r="D185" s="956" t="s">
        <v>962</v>
      </c>
      <c r="E185" s="148" t="s">
        <v>898</v>
      </c>
      <c r="F185" s="149" t="s">
        <v>899</v>
      </c>
      <c r="G185" s="406" t="s">
        <v>121</v>
      </c>
      <c r="H185" s="406">
        <v>0</v>
      </c>
      <c r="I185" s="406">
        <v>293.22975000000002</v>
      </c>
      <c r="J185" s="406">
        <v>0</v>
      </c>
      <c r="K185" s="406">
        <v>0</v>
      </c>
      <c r="L185" s="406">
        <v>213.44060999999999</v>
      </c>
      <c r="M185" s="406">
        <v>0</v>
      </c>
      <c r="N185" s="406">
        <v>0</v>
      </c>
      <c r="O185" s="406">
        <v>287.73345</v>
      </c>
      <c r="P185" s="406">
        <v>278.22639000000004</v>
      </c>
      <c r="Q185" s="150">
        <v>278.22639000000004</v>
      </c>
      <c r="R185" s="406">
        <v>278.22639000000004</v>
      </c>
      <c r="S185" s="402">
        <v>278.22639000000004</v>
      </c>
      <c r="T185" s="406">
        <f t="shared" si="111"/>
        <v>278.22639000000004</v>
      </c>
      <c r="U185" s="406">
        <f t="shared" si="112"/>
        <v>0</v>
      </c>
      <c r="V185" s="406">
        <v>0</v>
      </c>
      <c r="W185" s="167">
        <v>346450.14999999997</v>
      </c>
      <c r="X185" s="167">
        <v>346.45014999999995</v>
      </c>
      <c r="Y185" s="406">
        <v>346.45014999999995</v>
      </c>
      <c r="Z185" s="406">
        <v>334.23270000000002</v>
      </c>
      <c r="AA185" s="406">
        <v>10.417719999999999</v>
      </c>
      <c r="AB185" s="406">
        <v>1.7997300000000001</v>
      </c>
      <c r="AC185" s="403">
        <v>0</v>
      </c>
      <c r="AD185" s="406">
        <f>'[71]2. подк.неподк.'!X173</f>
        <v>351.24299999999999</v>
      </c>
      <c r="AE185" s="406">
        <f t="shared" si="131"/>
        <v>0</v>
      </c>
      <c r="AF185" s="402">
        <f t="shared" si="114"/>
        <v>0</v>
      </c>
      <c r="AG185" s="167">
        <v>0</v>
      </c>
      <c r="AH185" s="406">
        <v>544.4238046685</v>
      </c>
      <c r="AI185" s="957">
        <f t="shared" si="113"/>
        <v>1.5714347494682859</v>
      </c>
      <c r="AJ185" s="957">
        <f t="shared" si="115"/>
        <v>544.4238046685</v>
      </c>
      <c r="AK185" s="958">
        <f t="shared" si="123"/>
        <v>544.4238046685</v>
      </c>
      <c r="AL185" s="991"/>
      <c r="AM185" s="52">
        <f t="shared" si="132"/>
        <v>544.4238046685</v>
      </c>
    </row>
    <row r="186" spans="1:39" s="191" customFormat="1" ht="61.2" customHeight="1" outlineLevel="3">
      <c r="A186" s="139" t="s">
        <v>900</v>
      </c>
      <c r="B186" s="406" t="s">
        <v>901</v>
      </c>
      <c r="C186" s="198" t="s">
        <v>902</v>
      </c>
      <c r="D186" s="969" t="s">
        <v>966</v>
      </c>
      <c r="E186" s="148" t="s">
        <v>903</v>
      </c>
      <c r="F186" s="149" t="s">
        <v>904</v>
      </c>
      <c r="G186" s="406" t="s">
        <v>121</v>
      </c>
      <c r="H186" s="406">
        <v>6185.8627864995151</v>
      </c>
      <c r="I186" s="406">
        <v>6293.3679099999999</v>
      </c>
      <c r="J186" s="406">
        <v>6293.37</v>
      </c>
      <c r="K186" s="406">
        <v>6787.5820730895175</v>
      </c>
      <c r="L186" s="406">
        <v>2991.5254199999999</v>
      </c>
      <c r="M186" s="406">
        <v>2991.53</v>
      </c>
      <c r="N186" s="406">
        <v>7167.0378440843651</v>
      </c>
      <c r="O186" s="406">
        <v>2567.7966099999999</v>
      </c>
      <c r="P186" s="406">
        <v>2567.7966099999999</v>
      </c>
      <c r="Q186" s="150">
        <v>2567.7966099999999</v>
      </c>
      <c r="R186" s="406">
        <v>2567.7966099999999</v>
      </c>
      <c r="S186" s="402">
        <v>2567.7966099999999</v>
      </c>
      <c r="T186" s="406">
        <f t="shared" si="111"/>
        <v>-4599.2412340843657</v>
      </c>
      <c r="U186" s="406">
        <f t="shared" si="112"/>
        <v>0</v>
      </c>
      <c r="V186" s="406">
        <v>0</v>
      </c>
      <c r="W186" s="167">
        <v>2966101.7</v>
      </c>
      <c r="X186" s="167">
        <v>2966.1017000000002</v>
      </c>
      <c r="Y186" s="406">
        <v>2966.1017000000002</v>
      </c>
      <c r="Z186" s="406">
        <v>2966.1017000000002</v>
      </c>
      <c r="AA186" s="406">
        <v>0</v>
      </c>
      <c r="AB186" s="406">
        <v>0</v>
      </c>
      <c r="AC186" s="403">
        <v>0</v>
      </c>
      <c r="AD186" s="406">
        <f>'[71]2. подк.неподк.'!X174</f>
        <v>3775.93</v>
      </c>
      <c r="AE186" s="406">
        <f t="shared" si="131"/>
        <v>0</v>
      </c>
      <c r="AF186" s="402">
        <f t="shared" si="114"/>
        <v>0</v>
      </c>
      <c r="AG186" s="167">
        <v>0</v>
      </c>
      <c r="AH186" s="406">
        <v>0</v>
      </c>
      <c r="AI186" s="957">
        <f t="shared" si="113"/>
        <v>0</v>
      </c>
      <c r="AJ186" s="957">
        <f t="shared" si="115"/>
        <v>0</v>
      </c>
      <c r="AK186" s="958">
        <f t="shared" si="123"/>
        <v>0</v>
      </c>
      <c r="AL186" s="991"/>
      <c r="AM186" s="52">
        <f t="shared" si="132"/>
        <v>0</v>
      </c>
    </row>
    <row r="187" spans="1:39" s="191" customFormat="1" ht="33" customHeight="1" outlineLevel="3">
      <c r="A187" s="139" t="s">
        <v>905</v>
      </c>
      <c r="B187" s="406" t="s">
        <v>906</v>
      </c>
      <c r="C187" s="198" t="s">
        <v>907</v>
      </c>
      <c r="D187" s="956" t="s">
        <v>764</v>
      </c>
      <c r="E187" s="148" t="s">
        <v>908</v>
      </c>
      <c r="F187" s="149" t="s">
        <v>909</v>
      </c>
      <c r="G187" s="406" t="s">
        <v>121</v>
      </c>
      <c r="H187" s="406">
        <v>214.39006913791633</v>
      </c>
      <c r="I187" s="406">
        <v>524.24046999999996</v>
      </c>
      <c r="J187" s="406">
        <v>524.24</v>
      </c>
      <c r="K187" s="406">
        <v>235.24449865018957</v>
      </c>
      <c r="L187" s="406">
        <v>794.53453000000002</v>
      </c>
      <c r="M187" s="406">
        <v>794.53</v>
      </c>
      <c r="N187" s="406">
        <v>297.26877119826696</v>
      </c>
      <c r="O187" s="406">
        <v>465.99753000000004</v>
      </c>
      <c r="P187" s="406">
        <v>464.70533</v>
      </c>
      <c r="Q187" s="150">
        <v>464.70533</v>
      </c>
      <c r="R187" s="406">
        <v>464.70533</v>
      </c>
      <c r="S187" s="402">
        <v>464.70533</v>
      </c>
      <c r="T187" s="406">
        <f t="shared" si="111"/>
        <v>167.43655880173304</v>
      </c>
      <c r="U187" s="406">
        <f t="shared" si="112"/>
        <v>0</v>
      </c>
      <c r="V187" s="406">
        <v>313.61855361417162</v>
      </c>
      <c r="W187" s="167">
        <v>537025.69999999995</v>
      </c>
      <c r="X187" s="167">
        <v>537.02569999999992</v>
      </c>
      <c r="Y187" s="406">
        <v>537.02569999999992</v>
      </c>
      <c r="Z187" s="406">
        <v>533.42668999999989</v>
      </c>
      <c r="AA187" s="406">
        <v>3.22058</v>
      </c>
      <c r="AB187" s="406">
        <v>0.37842999999999999</v>
      </c>
      <c r="AC187" s="403">
        <v>327.73138852680933</v>
      </c>
      <c r="AD187" s="406">
        <f>'[71]2. подк.неподк.'!X175</f>
        <v>566.94491712000013</v>
      </c>
      <c r="AE187" s="406">
        <f t="shared" si="131"/>
        <v>325.17594906936006</v>
      </c>
      <c r="AF187" s="402">
        <f t="shared" si="114"/>
        <v>325.17594906936006</v>
      </c>
      <c r="AG187" s="167">
        <v>340.84064406788173</v>
      </c>
      <c r="AH187" s="406">
        <v>616.45716998000012</v>
      </c>
      <c r="AI187" s="957">
        <f t="shared" si="113"/>
        <v>1.1479099975662248</v>
      </c>
      <c r="AJ187" s="957">
        <f t="shared" si="115"/>
        <v>275.61652591211839</v>
      </c>
      <c r="AK187" s="958">
        <f t="shared" si="123"/>
        <v>616.45716998000012</v>
      </c>
      <c r="AL187" s="991"/>
      <c r="AM187" s="52">
        <f t="shared" si="132"/>
        <v>275.61652591211839</v>
      </c>
    </row>
    <row r="188" spans="1:39" s="191" customFormat="1" ht="33" customHeight="1" outlineLevel="3">
      <c r="A188" s="407" t="s">
        <v>910</v>
      </c>
      <c r="B188" s="406" t="s">
        <v>911</v>
      </c>
      <c r="C188" s="198" t="s">
        <v>912</v>
      </c>
      <c r="D188" s="956" t="s">
        <v>978</v>
      </c>
      <c r="E188" s="164" t="s">
        <v>757</v>
      </c>
      <c r="F188" s="149" t="s">
        <v>913</v>
      </c>
      <c r="G188" s="406" t="s">
        <v>121</v>
      </c>
      <c r="H188" s="406">
        <v>22455.717857532385</v>
      </c>
      <c r="I188" s="406">
        <v>9807.5701900000131</v>
      </c>
      <c r="J188" s="406">
        <v>202.16</v>
      </c>
      <c r="K188" s="406">
        <v>8298.4492395325487</v>
      </c>
      <c r="L188" s="406">
        <v>1719.4299999999998</v>
      </c>
      <c r="M188" s="406">
        <v>1719.4299999999998</v>
      </c>
      <c r="N188" s="406">
        <v>6143.9912557634925</v>
      </c>
      <c r="O188" s="406">
        <v>4258.7382500000003</v>
      </c>
      <c r="P188" s="406">
        <v>4191.09573</v>
      </c>
      <c r="Q188" s="150">
        <v>2985.8387499999999</v>
      </c>
      <c r="R188" s="406">
        <v>2985.8387499999999</v>
      </c>
      <c r="S188" s="402">
        <v>4191.09573</v>
      </c>
      <c r="T188" s="406">
        <f t="shared" si="111"/>
        <v>-1952.8955257634925</v>
      </c>
      <c r="U188" s="406">
        <f t="shared" si="112"/>
        <v>0</v>
      </c>
      <c r="V188" s="406">
        <v>2026.66</v>
      </c>
      <c r="W188" s="167">
        <v>4841515.0599999996</v>
      </c>
      <c r="X188" s="167">
        <v>4841.5150599999997</v>
      </c>
      <c r="Y188" s="406">
        <v>4841.5150599999997</v>
      </c>
      <c r="Z188" s="406">
        <v>4778.195819999999</v>
      </c>
      <c r="AA188" s="406">
        <v>54.244799999999998</v>
      </c>
      <c r="AB188" s="406">
        <v>9.0744400000000009</v>
      </c>
      <c r="AC188" s="403">
        <v>2117.8612178624999</v>
      </c>
      <c r="AD188" s="406">
        <f>'[71]2. подк.неподк.'!X176</f>
        <v>3782.08</v>
      </c>
      <c r="AE188" s="406">
        <f t="shared" si="131"/>
        <v>2101.3459865377358</v>
      </c>
      <c r="AF188" s="402">
        <f t="shared" si="114"/>
        <v>2101.3459865377358</v>
      </c>
      <c r="AG188" s="167">
        <v>2202.5756665769995</v>
      </c>
      <c r="AH188" s="406">
        <v>2141.1146353955901</v>
      </c>
      <c r="AI188" s="957">
        <f t="shared" si="113"/>
        <v>0.442240622792897</v>
      </c>
      <c r="AJ188" s="957">
        <f t="shared" si="115"/>
        <v>-61.461031181409453</v>
      </c>
      <c r="AK188" s="958">
        <f t="shared" si="123"/>
        <v>2141.1146353955901</v>
      </c>
      <c r="AL188" s="991"/>
      <c r="AM188" s="52">
        <f t="shared" si="132"/>
        <v>-61.461031181409453</v>
      </c>
    </row>
    <row r="189" spans="1:39" s="191" customFormat="1" ht="33" customHeight="1" outlineLevel="3">
      <c r="A189" s="139" t="s">
        <v>914</v>
      </c>
      <c r="B189" s="406" t="s">
        <v>915</v>
      </c>
      <c r="C189" s="198" t="s">
        <v>916</v>
      </c>
      <c r="D189" s="956" t="s">
        <v>983</v>
      </c>
      <c r="E189" s="148" t="s">
        <v>917</v>
      </c>
      <c r="F189" s="410"/>
      <c r="G189" s="406" t="s">
        <v>121</v>
      </c>
      <c r="H189" s="406">
        <v>0</v>
      </c>
      <c r="I189" s="406">
        <v>0</v>
      </c>
      <c r="J189" s="406">
        <v>0</v>
      </c>
      <c r="K189" s="179">
        <v>0</v>
      </c>
      <c r="L189" s="179">
        <v>0</v>
      </c>
      <c r="M189" s="179">
        <v>0</v>
      </c>
      <c r="N189" s="179">
        <v>0</v>
      </c>
      <c r="O189" s="179">
        <v>470.47989000000001</v>
      </c>
      <c r="P189" s="179">
        <v>464.67934000000002</v>
      </c>
      <c r="Q189" s="150">
        <v>464.67934000000002</v>
      </c>
      <c r="R189" s="406">
        <v>464.67934000000002</v>
      </c>
      <c r="S189" s="402">
        <v>464.67934000000002</v>
      </c>
      <c r="T189" s="406">
        <f t="shared" si="111"/>
        <v>464.67934000000002</v>
      </c>
      <c r="U189" s="406">
        <f t="shared" si="112"/>
        <v>0</v>
      </c>
      <c r="V189" s="406">
        <v>0</v>
      </c>
      <c r="W189" s="167">
        <v>640543.8600000001</v>
      </c>
      <c r="X189" s="167">
        <v>640.54386000000011</v>
      </c>
      <c r="Y189" s="406">
        <v>640.54386000000011</v>
      </c>
      <c r="Z189" s="406">
        <v>612.56790000000001</v>
      </c>
      <c r="AA189" s="406">
        <v>22.577279999999998</v>
      </c>
      <c r="AB189" s="406">
        <v>5.3986800000000006</v>
      </c>
      <c r="AC189" s="403">
        <v>0</v>
      </c>
      <c r="AD189" s="406">
        <f>'[71]2. подк.неподк.'!X177</f>
        <v>519.4</v>
      </c>
      <c r="AE189" s="406">
        <f t="shared" si="131"/>
        <v>0</v>
      </c>
      <c r="AF189" s="402">
        <f t="shared" si="114"/>
        <v>0</v>
      </c>
      <c r="AG189" s="403">
        <v>0</v>
      </c>
      <c r="AH189" s="179">
        <v>704.59</v>
      </c>
      <c r="AI189" s="976">
        <f t="shared" si="113"/>
        <v>1.099987126564604</v>
      </c>
      <c r="AJ189" s="976">
        <f t="shared" si="115"/>
        <v>704.59</v>
      </c>
      <c r="AK189" s="977">
        <f t="shared" si="123"/>
        <v>704.59</v>
      </c>
      <c r="AL189" s="991"/>
      <c r="AM189" s="52">
        <f t="shared" si="132"/>
        <v>704.59</v>
      </c>
    </row>
    <row r="190" spans="1:39" s="191" customFormat="1" ht="33" customHeight="1" outlineLevel="3">
      <c r="A190" s="139" t="s">
        <v>918</v>
      </c>
      <c r="B190" s="406" t="s">
        <v>919</v>
      </c>
      <c r="C190" s="198" t="s">
        <v>920</v>
      </c>
      <c r="D190" s="956" t="s">
        <v>987</v>
      </c>
      <c r="E190" s="148" t="s">
        <v>921</v>
      </c>
      <c r="F190" s="149" t="s">
        <v>922</v>
      </c>
      <c r="G190" s="406" t="s">
        <v>121</v>
      </c>
      <c r="H190" s="406">
        <v>15646.73483510509</v>
      </c>
      <c r="I190" s="406">
        <v>96117.905140000003</v>
      </c>
      <c r="J190" s="406">
        <v>96117.91</v>
      </c>
      <c r="K190" s="179">
        <v>22147.414366740701</v>
      </c>
      <c r="L190" s="179">
        <v>109752.17554</v>
      </c>
      <c r="M190" s="179">
        <v>109752.18</v>
      </c>
      <c r="N190" s="179">
        <v>45185.307212915061</v>
      </c>
      <c r="O190" s="179">
        <v>83937.808420000001</v>
      </c>
      <c r="P190" s="179">
        <v>79958.768400000001</v>
      </c>
      <c r="Q190" s="150">
        <v>79958.768400000001</v>
      </c>
      <c r="R190" s="406">
        <v>79958.768400000001</v>
      </c>
      <c r="S190" s="402">
        <v>79958.768400000001</v>
      </c>
      <c r="T190" s="406">
        <f t="shared" si="111"/>
        <v>34773.46118708494</v>
      </c>
      <c r="U190" s="406">
        <f t="shared" si="112"/>
        <v>0</v>
      </c>
      <c r="V190" s="406">
        <v>49617.8491096254</v>
      </c>
      <c r="W190" s="167">
        <v>26655112.030000001</v>
      </c>
      <c r="X190" s="167">
        <v>26655.11203</v>
      </c>
      <c r="Y190" s="406">
        <v>26655.112029999997</v>
      </c>
      <c r="Z190" s="166">
        <v>25883.10183</v>
      </c>
      <c r="AA190" s="406">
        <v>570.08415000000002</v>
      </c>
      <c r="AB190" s="406">
        <v>201.92604999999998</v>
      </c>
      <c r="AC190" s="403">
        <v>51850.65231955854</v>
      </c>
      <c r="AD190" s="406">
        <f>'[71]2. подк.неподк.'!X178</f>
        <v>94820.794550320003</v>
      </c>
      <c r="AE190" s="406">
        <f t="shared" si="131"/>
        <v>51446.35414284897</v>
      </c>
      <c r="AF190" s="402">
        <f t="shared" si="114"/>
        <v>51446.35414284897</v>
      </c>
      <c r="AG190" s="403">
        <v>53924.67841234088</v>
      </c>
      <c r="AH190" s="179">
        <v>804.68</v>
      </c>
      <c r="AI190" s="976">
        <f t="shared" si="113"/>
        <v>3.018858067804564E-2</v>
      </c>
      <c r="AJ190" s="976">
        <f t="shared" si="115"/>
        <v>-53119.998412340879</v>
      </c>
      <c r="AK190" s="977">
        <f t="shared" si="123"/>
        <v>804.68</v>
      </c>
      <c r="AL190" s="995" t="s">
        <v>2151</v>
      </c>
      <c r="AM190" s="52">
        <f t="shared" si="132"/>
        <v>-53119.998412340879</v>
      </c>
    </row>
    <row r="191" spans="1:39" s="191" customFormat="1" ht="33" customHeight="1" outlineLevel="3">
      <c r="A191" s="139" t="s">
        <v>923</v>
      </c>
      <c r="B191" s="406" t="s">
        <v>924</v>
      </c>
      <c r="C191" s="198" t="s">
        <v>925</v>
      </c>
      <c r="D191" s="956" t="s">
        <v>991</v>
      </c>
      <c r="E191" s="148" t="s">
        <v>926</v>
      </c>
      <c r="F191" s="149" t="s">
        <v>927</v>
      </c>
      <c r="G191" s="406" t="s">
        <v>121</v>
      </c>
      <c r="H191" s="406">
        <v>0</v>
      </c>
      <c r="I191" s="406">
        <v>306.13402000000002</v>
      </c>
      <c r="J191" s="406">
        <v>0</v>
      </c>
      <c r="K191" s="179">
        <v>0</v>
      </c>
      <c r="L191" s="179">
        <v>0</v>
      </c>
      <c r="M191" s="179">
        <v>0</v>
      </c>
      <c r="N191" s="179">
        <v>0</v>
      </c>
      <c r="O191" s="179">
        <v>200.73367000000002</v>
      </c>
      <c r="P191" s="179">
        <v>187.56292999999999</v>
      </c>
      <c r="Q191" s="150">
        <v>187.56292999999999</v>
      </c>
      <c r="R191" s="406">
        <v>187.56292999999999</v>
      </c>
      <c r="S191" s="402">
        <v>187.56292999999999</v>
      </c>
      <c r="T191" s="406">
        <f t="shared" si="111"/>
        <v>187.56292999999999</v>
      </c>
      <c r="U191" s="406">
        <f t="shared" si="112"/>
        <v>0</v>
      </c>
      <c r="V191" s="406">
        <v>0</v>
      </c>
      <c r="W191" s="167">
        <v>899108.26</v>
      </c>
      <c r="X191" s="167">
        <v>899.10825999999997</v>
      </c>
      <c r="Y191" s="406">
        <v>899.10825999999997</v>
      </c>
      <c r="Z191" s="406">
        <v>844.22762</v>
      </c>
      <c r="AA191" s="406">
        <v>48.137970000000003</v>
      </c>
      <c r="AB191" s="406">
        <v>6.7426700000000004</v>
      </c>
      <c r="AC191" s="403">
        <v>0</v>
      </c>
      <c r="AD191" s="406">
        <f>'[71]2. подк.неподк.'!X179</f>
        <v>196.46612880000001</v>
      </c>
      <c r="AE191" s="406">
        <f t="shared" si="131"/>
        <v>0</v>
      </c>
      <c r="AF191" s="402">
        <f t="shared" si="114"/>
        <v>0</v>
      </c>
      <c r="AG191" s="403">
        <v>0</v>
      </c>
      <c r="AH191" s="179">
        <v>2479.9240007790945</v>
      </c>
      <c r="AI191" s="976">
        <f t="shared" si="113"/>
        <v>2.7582040017951726</v>
      </c>
      <c r="AJ191" s="976">
        <f t="shared" si="115"/>
        <v>2479.9240007790945</v>
      </c>
      <c r="AK191" s="977">
        <f t="shared" si="123"/>
        <v>2479.9240007790945</v>
      </c>
      <c r="AL191" s="991"/>
      <c r="AM191" s="52">
        <f t="shared" si="132"/>
        <v>2479.9240007790945</v>
      </c>
    </row>
    <row r="192" spans="1:39" s="191" customFormat="1" ht="47.25" customHeight="1" outlineLevel="3">
      <c r="A192" s="139" t="s">
        <v>928</v>
      </c>
      <c r="B192" s="406" t="s">
        <v>929</v>
      </c>
      <c r="C192" s="198" t="s">
        <v>930</v>
      </c>
      <c r="D192" s="956" t="s">
        <v>997</v>
      </c>
      <c r="E192" s="148" t="s">
        <v>931</v>
      </c>
      <c r="F192" s="410"/>
      <c r="G192" s="406" t="s">
        <v>121</v>
      </c>
      <c r="H192" s="406">
        <v>0</v>
      </c>
      <c r="I192" s="406">
        <v>0</v>
      </c>
      <c r="J192" s="406">
        <v>0</v>
      </c>
      <c r="K192" s="179">
        <v>0</v>
      </c>
      <c r="L192" s="179">
        <v>0</v>
      </c>
      <c r="M192" s="179">
        <v>0</v>
      </c>
      <c r="N192" s="179">
        <v>0</v>
      </c>
      <c r="O192" s="179">
        <v>0</v>
      </c>
      <c r="P192" s="179">
        <v>0</v>
      </c>
      <c r="Q192" s="150">
        <v>0</v>
      </c>
      <c r="R192" s="406">
        <v>0</v>
      </c>
      <c r="S192" s="402">
        <v>0</v>
      </c>
      <c r="T192" s="406">
        <f t="shared" si="111"/>
        <v>0</v>
      </c>
      <c r="U192" s="406">
        <f t="shared" si="112"/>
        <v>0</v>
      </c>
      <c r="V192" s="406">
        <v>33574.33</v>
      </c>
      <c r="W192" s="167">
        <v>0</v>
      </c>
      <c r="X192" s="167">
        <v>39452</v>
      </c>
      <c r="Y192" s="406">
        <v>39452.004540000002</v>
      </c>
      <c r="Z192" s="166">
        <v>39452.004540000002</v>
      </c>
      <c r="AA192" s="406">
        <v>0</v>
      </c>
      <c r="AB192" s="406">
        <v>0</v>
      </c>
      <c r="AC192" s="403">
        <v>35085.17</v>
      </c>
      <c r="AD192" s="406">
        <v>35085.17</v>
      </c>
      <c r="AE192" s="406">
        <f t="shared" si="131"/>
        <v>34811.60312839524</v>
      </c>
      <c r="AF192" s="402">
        <f t="shared" si="114"/>
        <v>34811.60312839524</v>
      </c>
      <c r="AG192" s="403">
        <v>36488.58</v>
      </c>
      <c r="AH192" s="179">
        <v>42042.82</v>
      </c>
      <c r="AI192" s="976">
        <f t="shared" si="113"/>
        <v>1.0656701814863632</v>
      </c>
      <c r="AJ192" s="976">
        <f t="shared" si="115"/>
        <v>5554.239999999998</v>
      </c>
      <c r="AK192" s="986"/>
      <c r="AL192" s="991"/>
      <c r="AM192" s="52">
        <f t="shared" si="132"/>
        <v>5554.239999999998</v>
      </c>
    </row>
    <row r="193" spans="1:39" s="191" customFormat="1" ht="47.25" customHeight="1" outlineLevel="3">
      <c r="A193" s="139" t="s">
        <v>932</v>
      </c>
      <c r="B193" s="406" t="s">
        <v>933</v>
      </c>
      <c r="C193" s="198" t="s">
        <v>934</v>
      </c>
      <c r="D193" s="956" t="s">
        <v>2152</v>
      </c>
      <c r="E193" s="148" t="s">
        <v>935</v>
      </c>
      <c r="F193" s="410"/>
      <c r="G193" s="406" t="s">
        <v>121</v>
      </c>
      <c r="H193" s="406">
        <v>0</v>
      </c>
      <c r="I193" s="406">
        <v>0</v>
      </c>
      <c r="J193" s="406">
        <v>0</v>
      </c>
      <c r="K193" s="179">
        <v>0</v>
      </c>
      <c r="L193" s="179">
        <v>0</v>
      </c>
      <c r="M193" s="179">
        <v>0</v>
      </c>
      <c r="N193" s="179">
        <v>0</v>
      </c>
      <c r="O193" s="179"/>
      <c r="P193" s="179"/>
      <c r="Q193" s="150">
        <v>3.0129999999999999</v>
      </c>
      <c r="R193" s="406">
        <v>3.0129999999999999</v>
      </c>
      <c r="S193" s="402">
        <v>0</v>
      </c>
      <c r="T193" s="406">
        <f t="shared" si="111"/>
        <v>0</v>
      </c>
      <c r="U193" s="406">
        <f t="shared" si="112"/>
        <v>0</v>
      </c>
      <c r="V193" s="406">
        <v>0</v>
      </c>
      <c r="W193" s="167">
        <v>33124</v>
      </c>
      <c r="X193" s="167">
        <v>33.124000000000002</v>
      </c>
      <c r="Y193" s="406">
        <v>33.124000000000002</v>
      </c>
      <c r="Z193" s="406">
        <v>33.489330000000002</v>
      </c>
      <c r="AA193" s="406">
        <v>-0.58892999999999995</v>
      </c>
      <c r="AB193" s="406">
        <v>0.22359999999999999</v>
      </c>
      <c r="AC193" s="403">
        <v>0</v>
      </c>
      <c r="AD193" s="406">
        <f>'[71]2. подк.неподк.'!X181</f>
        <v>131</v>
      </c>
      <c r="AE193" s="406">
        <f t="shared" si="131"/>
        <v>0</v>
      </c>
      <c r="AF193" s="402">
        <f t="shared" si="114"/>
        <v>0</v>
      </c>
      <c r="AG193" s="403">
        <v>0</v>
      </c>
      <c r="AH193" s="179">
        <v>131</v>
      </c>
      <c r="AI193" s="976">
        <f t="shared" si="113"/>
        <v>3.9548363724187898</v>
      </c>
      <c r="AJ193" s="976">
        <f t="shared" si="115"/>
        <v>131</v>
      </c>
      <c r="AK193" s="977">
        <f t="shared" si="123"/>
        <v>131</v>
      </c>
      <c r="AL193" s="991"/>
      <c r="AM193" s="52">
        <f t="shared" si="132"/>
        <v>131</v>
      </c>
    </row>
    <row r="194" spans="1:39" s="191" customFormat="1" ht="53.25" customHeight="1" outlineLevel="3">
      <c r="A194" s="139" t="s">
        <v>936</v>
      </c>
      <c r="B194" s="406" t="s">
        <v>937</v>
      </c>
      <c r="C194" s="198" t="s">
        <v>938</v>
      </c>
      <c r="D194" s="969" t="s">
        <v>1002</v>
      </c>
      <c r="E194" s="148" t="s">
        <v>939</v>
      </c>
      <c r="F194" s="410"/>
      <c r="G194" s="406" t="s">
        <v>121</v>
      </c>
      <c r="H194" s="406">
        <v>0</v>
      </c>
      <c r="I194" s="406">
        <v>0</v>
      </c>
      <c r="J194" s="406">
        <v>0</v>
      </c>
      <c r="K194" s="179">
        <v>0</v>
      </c>
      <c r="L194" s="179">
        <v>2515.0664499999998</v>
      </c>
      <c r="M194" s="179">
        <v>0</v>
      </c>
      <c r="N194" s="179">
        <v>0</v>
      </c>
      <c r="O194" s="179">
        <v>2525.4330299999997</v>
      </c>
      <c r="P194" s="179">
        <v>0</v>
      </c>
      <c r="Q194" s="180">
        <v>0</v>
      </c>
      <c r="R194" s="403">
        <v>0</v>
      </c>
      <c r="S194" s="402">
        <v>0</v>
      </c>
      <c r="T194" s="403">
        <f t="shared" si="111"/>
        <v>0</v>
      </c>
      <c r="U194" s="403">
        <f t="shared" si="112"/>
        <v>0</v>
      </c>
      <c r="V194" s="406">
        <v>0</v>
      </c>
      <c r="W194" s="167">
        <v>7859189.25</v>
      </c>
      <c r="X194" s="167">
        <v>7859.1892500000004</v>
      </c>
      <c r="Y194" s="406">
        <v>7859.1892500000004</v>
      </c>
      <c r="Z194" s="406">
        <v>0</v>
      </c>
      <c r="AA194" s="406">
        <v>7859.1892500000004</v>
      </c>
      <c r="AB194" s="406">
        <v>0</v>
      </c>
      <c r="AC194" s="403">
        <v>0</v>
      </c>
      <c r="AD194" s="406">
        <f>'[71]2. подк.неподк.'!X182</f>
        <v>10135.690736440678</v>
      </c>
      <c r="AE194" s="406">
        <f t="shared" si="131"/>
        <v>0</v>
      </c>
      <c r="AF194" s="402">
        <f t="shared" si="114"/>
        <v>0</v>
      </c>
      <c r="AG194" s="403">
        <v>0</v>
      </c>
      <c r="AH194" s="406">
        <v>10000</v>
      </c>
      <c r="AI194" s="957">
        <f t="shared" si="113"/>
        <v>1.2723958772210504</v>
      </c>
      <c r="AJ194" s="957">
        <f t="shared" si="115"/>
        <v>10000</v>
      </c>
      <c r="AK194" s="977">
        <f t="shared" si="123"/>
        <v>10000</v>
      </c>
      <c r="AL194" s="991"/>
      <c r="AM194" s="52">
        <f t="shared" si="132"/>
        <v>10000</v>
      </c>
    </row>
    <row r="195" spans="1:39" s="191" customFormat="1" ht="52.5" customHeight="1" outlineLevel="3">
      <c r="A195" s="139" t="s">
        <v>940</v>
      </c>
      <c r="B195" s="406" t="s">
        <v>941</v>
      </c>
      <c r="C195" s="198" t="s">
        <v>942</v>
      </c>
      <c r="D195" s="956" t="s">
        <v>1009</v>
      </c>
      <c r="E195" s="148" t="s">
        <v>943</v>
      </c>
      <c r="F195" s="149" t="s">
        <v>944</v>
      </c>
      <c r="G195" s="406" t="s">
        <v>121</v>
      </c>
      <c r="H195" s="406">
        <v>1908.21</v>
      </c>
      <c r="I195" s="406">
        <v>0</v>
      </c>
      <c r="J195" s="406">
        <v>0</v>
      </c>
      <c r="K195" s="406">
        <v>2093.8278837929997</v>
      </c>
      <c r="L195" s="406">
        <v>0</v>
      </c>
      <c r="M195" s="406">
        <v>0</v>
      </c>
      <c r="N195" s="406">
        <v>0</v>
      </c>
      <c r="O195" s="406"/>
      <c r="P195" s="406"/>
      <c r="Q195" s="150">
        <v>188.65848</v>
      </c>
      <c r="R195" s="406">
        <v>188.65848</v>
      </c>
      <c r="S195" s="402">
        <v>0</v>
      </c>
      <c r="T195" s="406">
        <f t="shared" si="111"/>
        <v>0</v>
      </c>
      <c r="U195" s="406">
        <f t="shared" si="112"/>
        <v>0</v>
      </c>
      <c r="V195" s="167">
        <v>0</v>
      </c>
      <c r="W195" s="167">
        <v>44528.92</v>
      </c>
      <c r="X195" s="167">
        <v>44.528919999999999</v>
      </c>
      <c r="Y195" s="406">
        <v>44.528919999999999</v>
      </c>
      <c r="Z195" s="406">
        <v>44.528919999999999</v>
      </c>
      <c r="AA195" s="406">
        <v>0</v>
      </c>
      <c r="AB195" s="406">
        <v>0</v>
      </c>
      <c r="AC195" s="403">
        <v>0</v>
      </c>
      <c r="AD195" s="406">
        <f>'[71]2. подк.неподк.'!X183</f>
        <v>30.04</v>
      </c>
      <c r="AE195" s="406">
        <f t="shared" si="131"/>
        <v>0</v>
      </c>
      <c r="AF195" s="953">
        <f t="shared" si="114"/>
        <v>0</v>
      </c>
      <c r="AG195" s="403">
        <v>0</v>
      </c>
      <c r="AH195" s="406">
        <v>30057.5</v>
      </c>
      <c r="AI195" s="957">
        <f t="shared" si="113"/>
        <v>675.01075705406731</v>
      </c>
      <c r="AJ195" s="957">
        <f t="shared" si="115"/>
        <v>30057.5</v>
      </c>
      <c r="AK195" s="958">
        <f t="shared" si="123"/>
        <v>30057.5</v>
      </c>
      <c r="AL195" s="996" t="s">
        <v>2153</v>
      </c>
      <c r="AM195" s="52">
        <f t="shared" si="132"/>
        <v>30057.5</v>
      </c>
    </row>
    <row r="196" spans="1:39" s="191" customFormat="1" ht="33" customHeight="1" outlineLevel="3">
      <c r="A196" s="139" t="s">
        <v>945</v>
      </c>
      <c r="B196" s="406" t="s">
        <v>946</v>
      </c>
      <c r="C196" s="198" t="s">
        <v>947</v>
      </c>
      <c r="D196" s="956" t="s">
        <v>1014</v>
      </c>
      <c r="E196" s="148" t="s">
        <v>948</v>
      </c>
      <c r="F196" s="410"/>
      <c r="G196" s="406" t="s">
        <v>121</v>
      </c>
      <c r="H196" s="406">
        <v>0</v>
      </c>
      <c r="I196" s="406">
        <v>0</v>
      </c>
      <c r="J196" s="406">
        <v>0</v>
      </c>
      <c r="K196" s="179">
        <v>0</v>
      </c>
      <c r="L196" s="179">
        <v>0</v>
      </c>
      <c r="M196" s="179">
        <v>0</v>
      </c>
      <c r="N196" s="179">
        <v>0</v>
      </c>
      <c r="O196" s="179"/>
      <c r="P196" s="179"/>
      <c r="Q196" s="180">
        <v>70.843620000000001</v>
      </c>
      <c r="R196" s="179">
        <v>165.73782999999997</v>
      </c>
      <c r="S196" s="402">
        <v>0</v>
      </c>
      <c r="T196" s="179">
        <f t="shared" si="111"/>
        <v>0</v>
      </c>
      <c r="U196" s="179">
        <f t="shared" si="112"/>
        <v>0</v>
      </c>
      <c r="V196" s="406">
        <v>693.09781124999995</v>
      </c>
      <c r="W196" s="167">
        <v>454112.14</v>
      </c>
      <c r="X196" s="167">
        <v>454.11214000000001</v>
      </c>
      <c r="Y196" s="406">
        <v>454.11214000000001</v>
      </c>
      <c r="Z196" s="406">
        <v>434.92716999999999</v>
      </c>
      <c r="AA196" s="406">
        <v>16.481020000000001</v>
      </c>
      <c r="AB196" s="406">
        <v>2.7039500000000003</v>
      </c>
      <c r="AC196" s="403">
        <v>0</v>
      </c>
      <c r="AD196" s="406">
        <f>'[71]2. подк.неподк.'!X184</f>
        <v>724.28721275624991</v>
      </c>
      <c r="AE196" s="406">
        <f>V196*$AD$11</f>
        <v>718.63968497344229</v>
      </c>
      <c r="AF196" s="402">
        <f t="shared" si="114"/>
        <v>718.63968497344229</v>
      </c>
      <c r="AG196" s="403">
        <v>0</v>
      </c>
      <c r="AH196" s="179">
        <v>526.65473701300004</v>
      </c>
      <c r="AI196" s="976">
        <f t="shared" si="113"/>
        <v>1.1597459980105356</v>
      </c>
      <c r="AJ196" s="976">
        <f t="shared" si="115"/>
        <v>526.65473701300004</v>
      </c>
      <c r="AK196" s="986"/>
      <c r="AL196" s="991"/>
      <c r="AM196" s="52">
        <f t="shared" si="132"/>
        <v>526.65473701300004</v>
      </c>
    </row>
    <row r="197" spans="1:39" s="191" customFormat="1" ht="33" customHeight="1" outlineLevel="3">
      <c r="A197" s="139" t="s">
        <v>949</v>
      </c>
      <c r="B197" s="406" t="s">
        <v>950</v>
      </c>
      <c r="C197" s="198" t="s">
        <v>951</v>
      </c>
      <c r="D197" s="956" t="s">
        <v>1019</v>
      </c>
      <c r="E197" s="148" t="s">
        <v>952</v>
      </c>
      <c r="F197" s="410"/>
      <c r="G197" s="406" t="s">
        <v>121</v>
      </c>
      <c r="H197" s="406">
        <v>0</v>
      </c>
      <c r="I197" s="406">
        <v>0</v>
      </c>
      <c r="J197" s="406">
        <v>0</v>
      </c>
      <c r="K197" s="179">
        <v>0</v>
      </c>
      <c r="L197" s="179">
        <v>0</v>
      </c>
      <c r="M197" s="179">
        <v>0</v>
      </c>
      <c r="N197" s="179">
        <v>0</v>
      </c>
      <c r="O197" s="179"/>
      <c r="P197" s="179"/>
      <c r="Q197" s="180">
        <v>165.73782999999997</v>
      </c>
      <c r="R197" s="179">
        <v>0</v>
      </c>
      <c r="S197" s="402">
        <v>0</v>
      </c>
      <c r="T197" s="179">
        <f t="shared" si="111"/>
        <v>0</v>
      </c>
      <c r="U197" s="179">
        <f t="shared" si="112"/>
        <v>0</v>
      </c>
      <c r="V197" s="406">
        <v>0</v>
      </c>
      <c r="W197" s="167">
        <v>177125</v>
      </c>
      <c r="X197" s="167">
        <v>177.125</v>
      </c>
      <c r="Y197" s="406">
        <v>177.125</v>
      </c>
      <c r="Z197" s="406">
        <v>177.125</v>
      </c>
      <c r="AA197" s="406">
        <v>0</v>
      </c>
      <c r="AB197" s="406">
        <v>0</v>
      </c>
      <c r="AC197" s="403">
        <v>0</v>
      </c>
      <c r="AD197" s="406">
        <f>'[71]2. подк.неподк.'!X185</f>
        <v>212.5</v>
      </c>
      <c r="AE197" s="406">
        <f t="shared" si="131"/>
        <v>0</v>
      </c>
      <c r="AF197" s="402">
        <f t="shared" si="114"/>
        <v>0</v>
      </c>
      <c r="AG197" s="403">
        <v>0</v>
      </c>
      <c r="AH197" s="179">
        <v>231.84</v>
      </c>
      <c r="AI197" s="976">
        <f t="shared" si="113"/>
        <v>1.3089061397318278</v>
      </c>
      <c r="AJ197" s="976">
        <f t="shared" si="115"/>
        <v>231.84</v>
      </c>
      <c r="AK197" s="977">
        <f t="shared" si="123"/>
        <v>231.84</v>
      </c>
      <c r="AL197" s="991"/>
      <c r="AM197" s="52">
        <f t="shared" si="132"/>
        <v>231.84</v>
      </c>
    </row>
    <row r="198" spans="1:39" s="191" customFormat="1" ht="33" customHeight="1" outlineLevel="3">
      <c r="A198" s="139" t="s">
        <v>953</v>
      </c>
      <c r="B198" s="406" t="s">
        <v>954</v>
      </c>
      <c r="C198" s="198" t="s">
        <v>955</v>
      </c>
      <c r="D198" s="956" t="s">
        <v>1024</v>
      </c>
      <c r="E198" s="148" t="s">
        <v>956</v>
      </c>
      <c r="F198" s="149" t="s">
        <v>957</v>
      </c>
      <c r="G198" s="406" t="s">
        <v>121</v>
      </c>
      <c r="H198" s="406">
        <v>0</v>
      </c>
      <c r="I198" s="406">
        <v>0</v>
      </c>
      <c r="J198" s="406">
        <v>0</v>
      </c>
      <c r="K198" s="406">
        <v>0</v>
      </c>
      <c r="L198" s="406">
        <v>19106.18389</v>
      </c>
      <c r="M198" s="406">
        <v>0</v>
      </c>
      <c r="N198" s="406">
        <v>0</v>
      </c>
      <c r="O198" s="406">
        <v>1456.6312499999999</v>
      </c>
      <c r="P198" s="406">
        <v>1430.4957899999999</v>
      </c>
      <c r="Q198" s="150">
        <v>0</v>
      </c>
      <c r="R198" s="406">
        <v>0</v>
      </c>
      <c r="S198" s="402">
        <v>0</v>
      </c>
      <c r="T198" s="406">
        <f t="shared" si="111"/>
        <v>0</v>
      </c>
      <c r="U198" s="406">
        <f t="shared" si="112"/>
        <v>-1430.4957899999999</v>
      </c>
      <c r="V198" s="406">
        <v>0</v>
      </c>
      <c r="W198" s="167">
        <v>847930.5</v>
      </c>
      <c r="X198" s="167">
        <v>847.93050000000005</v>
      </c>
      <c r="Y198" s="406">
        <v>535.88049999999987</v>
      </c>
      <c r="Z198" s="406">
        <v>516.55835000000002</v>
      </c>
      <c r="AA198" s="406">
        <v>14.95482</v>
      </c>
      <c r="AB198" s="406">
        <v>4.3673299999999999</v>
      </c>
      <c r="AC198" s="403">
        <v>0</v>
      </c>
      <c r="AD198" s="406">
        <f>'[71]2. подк.неподк.'!X186</f>
        <v>1696.9915200000003</v>
      </c>
      <c r="AE198" s="406">
        <f t="shared" si="131"/>
        <v>0</v>
      </c>
      <c r="AF198" s="402">
        <f t="shared" si="114"/>
        <v>0</v>
      </c>
      <c r="AG198" s="403">
        <v>0</v>
      </c>
      <c r="AH198" s="406">
        <v>9686.99</v>
      </c>
      <c r="AI198" s="957">
        <f t="shared" si="113"/>
        <v>11.424273569590904</v>
      </c>
      <c r="AJ198" s="957">
        <f t="shared" si="115"/>
        <v>9686.99</v>
      </c>
      <c r="AK198" s="958">
        <f t="shared" si="123"/>
        <v>9686.99</v>
      </c>
      <c r="AL198" s="991"/>
      <c r="AM198" s="52">
        <f t="shared" si="132"/>
        <v>9686.99</v>
      </c>
    </row>
    <row r="199" spans="1:39" ht="33" customHeight="1" outlineLevel="3">
      <c r="A199" s="139" t="s">
        <v>958</v>
      </c>
      <c r="B199" s="406" t="s">
        <v>959</v>
      </c>
      <c r="C199" s="198" t="s">
        <v>960</v>
      </c>
      <c r="D199" s="956" t="s">
        <v>1028</v>
      </c>
      <c r="E199" s="148" t="s">
        <v>961</v>
      </c>
      <c r="F199" s="410"/>
      <c r="G199" s="406" t="s">
        <v>121</v>
      </c>
      <c r="H199" s="406">
        <v>0</v>
      </c>
      <c r="I199" s="406">
        <v>0</v>
      </c>
      <c r="J199" s="406">
        <v>0</v>
      </c>
      <c r="K199" s="179">
        <v>0</v>
      </c>
      <c r="L199" s="179">
        <v>0</v>
      </c>
      <c r="M199" s="179">
        <v>0</v>
      </c>
      <c r="N199" s="179">
        <v>0</v>
      </c>
      <c r="O199" s="179"/>
      <c r="P199" s="179"/>
      <c r="Q199" s="180">
        <v>777.00405000000001</v>
      </c>
      <c r="R199" s="179">
        <v>777.00405000000001</v>
      </c>
      <c r="S199" s="402">
        <v>0</v>
      </c>
      <c r="T199" s="179">
        <f t="shared" si="111"/>
        <v>0</v>
      </c>
      <c r="U199" s="179">
        <f t="shared" si="112"/>
        <v>0</v>
      </c>
      <c r="V199" s="406">
        <v>0</v>
      </c>
      <c r="W199" s="167">
        <v>561917.81000000006</v>
      </c>
      <c r="X199" s="167">
        <v>561.91781000000003</v>
      </c>
      <c r="Y199" s="406">
        <v>561.91780999999992</v>
      </c>
      <c r="Z199" s="406">
        <v>561.86685999999997</v>
      </c>
      <c r="AA199" s="406">
        <v>4.0119999999999996E-2</v>
      </c>
      <c r="AB199" s="406">
        <v>1.0829999999999999E-2</v>
      </c>
      <c r="AC199" s="403">
        <v>0</v>
      </c>
      <c r="AD199" s="406">
        <f>'[71]2. подк.неподк.'!X187</f>
        <v>520</v>
      </c>
      <c r="AE199" s="406">
        <f t="shared" si="131"/>
        <v>0</v>
      </c>
      <c r="AF199" s="402">
        <f t="shared" si="114"/>
        <v>0</v>
      </c>
      <c r="AG199" s="403">
        <v>0</v>
      </c>
      <c r="AH199" s="179">
        <v>520</v>
      </c>
      <c r="AI199" s="976">
        <f t="shared" si="113"/>
        <v>0.92540223987561454</v>
      </c>
      <c r="AJ199" s="976">
        <f t="shared" si="115"/>
        <v>520</v>
      </c>
      <c r="AK199" s="977">
        <f t="shared" si="123"/>
        <v>520</v>
      </c>
      <c r="AL199" s="74"/>
      <c r="AM199" s="52">
        <f t="shared" si="132"/>
        <v>520</v>
      </c>
    </row>
    <row r="200" spans="1:39" ht="51" customHeight="1" outlineLevel="3">
      <c r="A200" s="139" t="s">
        <v>962</v>
      </c>
      <c r="B200" s="406" t="s">
        <v>963</v>
      </c>
      <c r="C200" s="198" t="s">
        <v>964</v>
      </c>
      <c r="D200" s="956" t="s">
        <v>1035</v>
      </c>
      <c r="E200" s="148" t="s">
        <v>965</v>
      </c>
      <c r="F200" s="410"/>
      <c r="G200" s="406" t="s">
        <v>121</v>
      </c>
      <c r="H200" s="406">
        <v>0</v>
      </c>
      <c r="I200" s="406">
        <v>0</v>
      </c>
      <c r="J200" s="406">
        <v>0</v>
      </c>
      <c r="K200" s="179">
        <v>0</v>
      </c>
      <c r="L200" s="179">
        <v>0</v>
      </c>
      <c r="M200" s="179">
        <v>0</v>
      </c>
      <c r="N200" s="179">
        <v>0</v>
      </c>
      <c r="O200" s="179">
        <v>3116.5554200000001</v>
      </c>
      <c r="P200" s="179">
        <v>3116.5554200000001</v>
      </c>
      <c r="Q200" s="180">
        <v>3116.5554200000001</v>
      </c>
      <c r="R200" s="179">
        <v>6323.6267900000003</v>
      </c>
      <c r="S200" s="402">
        <v>3116.5554200000001</v>
      </c>
      <c r="T200" s="179">
        <f t="shared" si="111"/>
        <v>3116.5554200000001</v>
      </c>
      <c r="U200" s="179">
        <f t="shared" si="112"/>
        <v>0</v>
      </c>
      <c r="V200" s="406">
        <v>0</v>
      </c>
      <c r="W200" s="167">
        <v>2826226.26</v>
      </c>
      <c r="X200" s="167">
        <v>2826.2262599999999</v>
      </c>
      <c r="Y200" s="406">
        <v>2826.2262600000004</v>
      </c>
      <c r="Z200" s="406">
        <v>2823.8093399999998</v>
      </c>
      <c r="AA200" s="406">
        <v>2.3884300000000001</v>
      </c>
      <c r="AB200" s="406">
        <v>2.8489999999999998E-2</v>
      </c>
      <c r="AC200" s="403">
        <v>0</v>
      </c>
      <c r="AD200" s="406">
        <f>'[71]2. подк.неподк.'!X188</f>
        <v>3440.68</v>
      </c>
      <c r="AE200" s="406">
        <f t="shared" si="131"/>
        <v>0</v>
      </c>
      <c r="AF200" s="402">
        <f t="shared" si="114"/>
        <v>0</v>
      </c>
      <c r="AG200" s="403">
        <v>0</v>
      </c>
      <c r="AH200" s="179">
        <v>3108.85</v>
      </c>
      <c r="AI200" s="976">
        <f t="shared" si="113"/>
        <v>1.1000003941651861</v>
      </c>
      <c r="AJ200" s="976">
        <f t="shared" si="115"/>
        <v>3108.85</v>
      </c>
      <c r="AK200" s="977">
        <f t="shared" si="123"/>
        <v>3108.85</v>
      </c>
      <c r="AL200" s="74"/>
      <c r="AM200" s="52">
        <f t="shared" si="132"/>
        <v>3108.85</v>
      </c>
    </row>
    <row r="201" spans="1:39" ht="51" customHeight="1" outlineLevel="3">
      <c r="A201" s="139"/>
      <c r="B201" s="406" t="s">
        <v>967</v>
      </c>
      <c r="C201" s="198" t="s">
        <v>2154</v>
      </c>
      <c r="D201" s="956" t="s">
        <v>1040</v>
      </c>
      <c r="E201" s="148" t="s">
        <v>2155</v>
      </c>
      <c r="F201" s="997"/>
      <c r="G201" s="406" t="s">
        <v>121</v>
      </c>
      <c r="H201" s="406"/>
      <c r="I201" s="406"/>
      <c r="J201" s="406"/>
      <c r="K201" s="179"/>
      <c r="L201" s="179"/>
      <c r="M201" s="179"/>
      <c r="N201" s="179"/>
      <c r="O201" s="179"/>
      <c r="P201" s="179"/>
      <c r="Q201" s="180"/>
      <c r="R201" s="179"/>
      <c r="S201" s="402"/>
      <c r="T201" s="179"/>
      <c r="U201" s="179"/>
      <c r="V201" s="406"/>
      <c r="W201" s="167"/>
      <c r="X201" s="167"/>
      <c r="Y201" s="406"/>
      <c r="Z201" s="406"/>
      <c r="AA201" s="406"/>
      <c r="AB201" s="406"/>
      <c r="AC201" s="403"/>
      <c r="AD201" s="406"/>
      <c r="AE201" s="406"/>
      <c r="AF201" s="402"/>
      <c r="AG201" s="403"/>
      <c r="AH201" s="179">
        <v>2569.8126181429993</v>
      </c>
      <c r="AI201" s="976" t="e">
        <f t="shared" si="113"/>
        <v>#DIV/0!</v>
      </c>
      <c r="AJ201" s="976">
        <f t="shared" si="115"/>
        <v>2569.8126181429993</v>
      </c>
      <c r="AK201" s="977">
        <f t="shared" si="123"/>
        <v>2569.8126181429993</v>
      </c>
      <c r="AL201" s="74"/>
      <c r="AM201" s="52">
        <f t="shared" si="132"/>
        <v>2569.8126181429993</v>
      </c>
    </row>
    <row r="202" spans="1:39" ht="33" customHeight="1" outlineLevel="3">
      <c r="A202" s="139" t="s">
        <v>966</v>
      </c>
      <c r="B202" s="406" t="s">
        <v>971</v>
      </c>
      <c r="C202" s="198" t="s">
        <v>2156</v>
      </c>
      <c r="D202" s="956" t="s">
        <v>1045</v>
      </c>
      <c r="E202" s="148" t="s">
        <v>2157</v>
      </c>
      <c r="G202" s="406" t="s">
        <v>121</v>
      </c>
      <c r="H202" s="406">
        <v>0</v>
      </c>
      <c r="I202" s="406">
        <v>0</v>
      </c>
      <c r="J202" s="406">
        <v>0</v>
      </c>
      <c r="K202" s="406">
        <v>0</v>
      </c>
      <c r="L202" s="406">
        <v>0</v>
      </c>
      <c r="M202" s="406">
        <v>0</v>
      </c>
      <c r="N202" s="406">
        <v>0</v>
      </c>
      <c r="O202" s="406">
        <v>7199.9702400000006</v>
      </c>
      <c r="P202" s="406">
        <v>6323.6267900000003</v>
      </c>
      <c r="Q202" s="180">
        <v>6323.6267900000003</v>
      </c>
      <c r="R202" s="179">
        <v>6323.6267900000003</v>
      </c>
      <c r="S202" s="402">
        <v>0</v>
      </c>
      <c r="T202" s="179">
        <f t="shared" si="111"/>
        <v>0</v>
      </c>
      <c r="U202" s="179">
        <f t="shared" si="112"/>
        <v>-6323.6267900000003</v>
      </c>
      <c r="V202" s="406"/>
      <c r="W202" s="167"/>
      <c r="X202" s="167"/>
      <c r="Y202" s="406"/>
      <c r="Z202" s="406"/>
      <c r="AA202" s="406"/>
      <c r="AB202" s="406"/>
      <c r="AC202" s="403"/>
      <c r="AD202" s="406"/>
      <c r="AE202" s="406"/>
      <c r="AF202" s="402"/>
      <c r="AG202" s="403"/>
      <c r="AH202" s="406">
        <v>3598.0869915000003</v>
      </c>
      <c r="AI202" s="957" t="e">
        <f t="shared" si="113"/>
        <v>#DIV/0!</v>
      </c>
      <c r="AJ202" s="957">
        <f t="shared" si="115"/>
        <v>3598.0869915000003</v>
      </c>
      <c r="AK202" s="958">
        <f t="shared" si="123"/>
        <v>3598.0869915000003</v>
      </c>
      <c r="AL202" s="74"/>
      <c r="AM202" s="52">
        <f t="shared" si="132"/>
        <v>3598.0869915000003</v>
      </c>
    </row>
    <row r="203" spans="1:39" ht="33" customHeight="1" outlineLevel="3">
      <c r="A203" s="139"/>
      <c r="B203" s="406" t="s">
        <v>972</v>
      </c>
      <c r="C203" s="198"/>
      <c r="D203" s="956" t="s">
        <v>1050</v>
      </c>
      <c r="E203" s="199" t="s">
        <v>551</v>
      </c>
      <c r="F203" s="149"/>
      <c r="G203" s="406" t="s">
        <v>121</v>
      </c>
      <c r="H203" s="406">
        <v>0</v>
      </c>
      <c r="I203" s="406">
        <v>0</v>
      </c>
      <c r="J203" s="406">
        <v>0</v>
      </c>
      <c r="K203" s="406"/>
      <c r="L203" s="406"/>
      <c r="M203" s="406"/>
      <c r="N203" s="406"/>
      <c r="O203" s="406">
        <v>90</v>
      </c>
      <c r="P203" s="406">
        <v>90</v>
      </c>
      <c r="Q203" s="180">
        <v>90</v>
      </c>
      <c r="R203" s="179">
        <v>90</v>
      </c>
      <c r="S203" s="402">
        <v>90</v>
      </c>
      <c r="T203" s="179">
        <f t="shared" si="111"/>
        <v>90</v>
      </c>
      <c r="U203" s="179">
        <f t="shared" si="112"/>
        <v>0</v>
      </c>
      <c r="V203" s="406">
        <v>0</v>
      </c>
      <c r="W203" s="167">
        <v>0</v>
      </c>
      <c r="X203" s="167">
        <v>0</v>
      </c>
      <c r="Y203" s="406"/>
      <c r="Z203" s="406"/>
      <c r="AA203" s="406"/>
      <c r="AB203" s="406"/>
      <c r="AC203" s="403">
        <v>0</v>
      </c>
      <c r="AD203" s="406">
        <v>0</v>
      </c>
      <c r="AE203" s="406">
        <f t="shared" si="131"/>
        <v>0</v>
      </c>
      <c r="AF203" s="402">
        <f t="shared" si="114"/>
        <v>0</v>
      </c>
      <c r="AG203" s="403">
        <v>0</v>
      </c>
      <c r="AH203" s="406"/>
      <c r="AI203" s="957" t="e">
        <f t="shared" si="113"/>
        <v>#DIV/0!</v>
      </c>
      <c r="AJ203" s="957">
        <f t="shared" si="115"/>
        <v>0</v>
      </c>
      <c r="AK203" s="958"/>
      <c r="AL203" s="74"/>
      <c r="AM203" s="52">
        <f t="shared" si="132"/>
        <v>0</v>
      </c>
    </row>
    <row r="204" spans="1:39" ht="33" customHeight="1" outlineLevel="3">
      <c r="A204" s="139"/>
      <c r="B204" s="406" t="s">
        <v>973</v>
      </c>
      <c r="C204" s="198"/>
      <c r="D204" s="956" t="s">
        <v>1055</v>
      </c>
      <c r="E204" s="199" t="s">
        <v>556</v>
      </c>
      <c r="F204" s="149"/>
      <c r="G204" s="406" t="s">
        <v>121</v>
      </c>
      <c r="H204" s="406">
        <v>0</v>
      </c>
      <c r="I204" s="406">
        <v>0</v>
      </c>
      <c r="J204" s="406">
        <v>0</v>
      </c>
      <c r="K204" s="406"/>
      <c r="L204" s="406"/>
      <c r="M204" s="406"/>
      <c r="N204" s="406"/>
      <c r="O204" s="406">
        <v>165.65</v>
      </c>
      <c r="P204" s="406">
        <v>153.82189000000002</v>
      </c>
      <c r="Q204" s="180">
        <v>153.82189000000002</v>
      </c>
      <c r="R204" s="179">
        <v>153.82189000000002</v>
      </c>
      <c r="S204" s="402">
        <v>153.82189000000002</v>
      </c>
      <c r="T204" s="179">
        <f t="shared" si="111"/>
        <v>153.82189000000002</v>
      </c>
      <c r="U204" s="179">
        <f t="shared" si="112"/>
        <v>0</v>
      </c>
      <c r="V204" s="406">
        <v>0</v>
      </c>
      <c r="W204" s="167">
        <v>0</v>
      </c>
      <c r="X204" s="167">
        <v>0</v>
      </c>
      <c r="Y204" s="406"/>
      <c r="Z204" s="406"/>
      <c r="AA204" s="406"/>
      <c r="AB204" s="406"/>
      <c r="AC204" s="403">
        <v>0</v>
      </c>
      <c r="AD204" s="406">
        <v>0</v>
      </c>
      <c r="AE204" s="406">
        <f t="shared" si="131"/>
        <v>0</v>
      </c>
      <c r="AF204" s="402">
        <f t="shared" si="114"/>
        <v>0</v>
      </c>
      <c r="AG204" s="403">
        <v>0</v>
      </c>
      <c r="AH204" s="406"/>
      <c r="AI204" s="957" t="e">
        <f t="shared" si="113"/>
        <v>#DIV/0!</v>
      </c>
      <c r="AJ204" s="957">
        <f t="shared" si="115"/>
        <v>0</v>
      </c>
      <c r="AK204" s="958"/>
      <c r="AL204" s="74"/>
      <c r="AM204" s="52">
        <f t="shared" si="132"/>
        <v>0</v>
      </c>
    </row>
    <row r="205" spans="1:39" ht="33" customHeight="1" outlineLevel="3">
      <c r="A205" s="139"/>
      <c r="B205" s="406" t="s">
        <v>2158</v>
      </c>
      <c r="C205" s="198"/>
      <c r="D205" s="956" t="s">
        <v>1060</v>
      </c>
      <c r="E205" s="199" t="s">
        <v>974</v>
      </c>
      <c r="F205" s="149"/>
      <c r="G205" s="406" t="s">
        <v>121</v>
      </c>
      <c r="H205" s="406">
        <v>0</v>
      </c>
      <c r="I205" s="406">
        <v>0</v>
      </c>
      <c r="J205" s="406">
        <v>0</v>
      </c>
      <c r="K205" s="406"/>
      <c r="L205" s="406"/>
      <c r="M205" s="406"/>
      <c r="N205" s="406"/>
      <c r="O205" s="406"/>
      <c r="P205" s="406"/>
      <c r="Q205" s="180"/>
      <c r="R205" s="179"/>
      <c r="S205" s="402"/>
      <c r="T205" s="179">
        <f t="shared" si="111"/>
        <v>0</v>
      </c>
      <c r="U205" s="179">
        <f t="shared" si="112"/>
        <v>0</v>
      </c>
      <c r="V205" s="406">
        <v>0</v>
      </c>
      <c r="W205" s="167">
        <v>0</v>
      </c>
      <c r="X205" s="167">
        <v>0</v>
      </c>
      <c r="Y205" s="406"/>
      <c r="Z205" s="406">
        <v>15667.75166</v>
      </c>
      <c r="AA205" s="406"/>
      <c r="AB205" s="406"/>
      <c r="AC205" s="403">
        <v>0</v>
      </c>
      <c r="AD205" s="406">
        <v>0</v>
      </c>
      <c r="AE205" s="406">
        <f t="shared" si="131"/>
        <v>0</v>
      </c>
      <c r="AF205" s="402">
        <f t="shared" si="114"/>
        <v>0</v>
      </c>
      <c r="AG205" s="403">
        <v>0</v>
      </c>
      <c r="AH205" s="406">
        <v>0</v>
      </c>
      <c r="AI205" s="957" t="e">
        <f t="shared" si="113"/>
        <v>#DIV/0!</v>
      </c>
      <c r="AJ205" s="957">
        <f t="shared" si="115"/>
        <v>0</v>
      </c>
      <c r="AK205" s="958"/>
      <c r="AL205" s="74"/>
      <c r="AM205" s="52">
        <f t="shared" si="132"/>
        <v>0</v>
      </c>
    </row>
    <row r="206" spans="1:39" s="161" customFormat="1" ht="33" customHeight="1" outlineLevel="2">
      <c r="A206" s="153"/>
      <c r="B206" s="402"/>
      <c r="C206" s="155"/>
      <c r="D206" s="966"/>
      <c r="E206" s="156" t="s">
        <v>975</v>
      </c>
      <c r="F206" s="157"/>
      <c r="G206" s="158"/>
      <c r="H206" s="154">
        <f t="shared" ref="H206:I206" si="133">SUM(H181:H202)</f>
        <v>74519.575548274923</v>
      </c>
      <c r="I206" s="154">
        <f t="shared" si="133"/>
        <v>114718.43003000002</v>
      </c>
      <c r="J206" s="154">
        <f t="shared" ref="J206" si="134">SUM(J181:J202)</f>
        <v>104459.21</v>
      </c>
      <c r="K206" s="154">
        <f>SUM(K181:K202)</f>
        <v>70405.40017858395</v>
      </c>
      <c r="L206" s="154">
        <f t="shared" ref="L206:N206" si="135">SUM(L181:L202)</f>
        <v>153383.25628999999</v>
      </c>
      <c r="M206" s="154">
        <f t="shared" si="135"/>
        <v>131289.87</v>
      </c>
      <c r="N206" s="154">
        <f t="shared" si="135"/>
        <v>72706.707507035826</v>
      </c>
      <c r="O206" s="154">
        <f>SUM(O181:O205)</f>
        <v>120830.31879</v>
      </c>
      <c r="P206" s="154">
        <f t="shared" ref="P206:V206" si="136">SUM(P181:P205)</f>
        <v>113298.80385000001</v>
      </c>
      <c r="Q206" s="159">
        <f t="shared" si="136"/>
        <v>111664.30840000001</v>
      </c>
      <c r="R206" s="154">
        <f t="shared" si="136"/>
        <v>114800.53615</v>
      </c>
      <c r="S206" s="402">
        <f t="shared" si="136"/>
        <v>105340.68161000001</v>
      </c>
      <c r="T206" s="402">
        <f t="shared" si="111"/>
        <v>32633.974102964188</v>
      </c>
      <c r="U206" s="402">
        <f t="shared" si="112"/>
        <v>-7958.122239999997</v>
      </c>
      <c r="V206" s="154">
        <f t="shared" si="136"/>
        <v>104383.55429948957</v>
      </c>
      <c r="W206" s="154">
        <f>SUM(W181:W205)</f>
        <v>63862427.400000006</v>
      </c>
      <c r="X206" s="154">
        <f>SUM(X181:X205)</f>
        <v>103314.42739999999</v>
      </c>
      <c r="Y206" s="154">
        <f t="shared" ref="Y206:AK206" si="137">SUM(Y181:Y205)</f>
        <v>103002.38193999998</v>
      </c>
      <c r="Z206" s="1041">
        <f t="shared" si="137"/>
        <v>109827.23316999998</v>
      </c>
      <c r="AA206" s="154">
        <f t="shared" si="137"/>
        <v>8608.2191600000006</v>
      </c>
      <c r="AB206" s="154">
        <f t="shared" si="137"/>
        <v>234.68126999999998</v>
      </c>
      <c r="AC206" s="194">
        <f t="shared" si="137"/>
        <v>108356.52369807284</v>
      </c>
      <c r="AD206" s="194">
        <f t="shared" si="137"/>
        <v>177554.37806543696</v>
      </c>
      <c r="AE206" s="194">
        <f t="shared" si="137"/>
        <v>108230.2719192051</v>
      </c>
      <c r="AF206" s="194">
        <f t="shared" si="137"/>
        <v>108230.2719192051</v>
      </c>
      <c r="AG206" s="194">
        <f t="shared" si="137"/>
        <v>112690.78784599576</v>
      </c>
      <c r="AH206" s="992">
        <f t="shared" si="137"/>
        <v>130043.24395747919</v>
      </c>
      <c r="AI206" s="993">
        <f t="shared" si="113"/>
        <v>1.2587133010377523</v>
      </c>
      <c r="AJ206" s="994">
        <f t="shared" ref="AJ206" si="138">SUM(AJ181:AJ205)</f>
        <v>17352.456111483421</v>
      </c>
      <c r="AK206" s="994">
        <f t="shared" si="137"/>
        <v>87473.769220466202</v>
      </c>
      <c r="AL206" s="964"/>
      <c r="AM206" s="52"/>
    </row>
    <row r="207" spans="1:39" ht="33" customHeight="1" outlineLevel="1">
      <c r="A207" s="139"/>
      <c r="B207" s="409" t="s">
        <v>765</v>
      </c>
      <c r="C207" s="141"/>
      <c r="D207" s="406"/>
      <c r="E207" s="410" t="s">
        <v>977</v>
      </c>
      <c r="F207" s="410" t="s">
        <v>977</v>
      </c>
      <c r="G207" s="406" t="s">
        <v>121</v>
      </c>
      <c r="H207" s="402">
        <f t="shared" ref="H207:J207" si="139">SUM(H208:H211)</f>
        <v>10697.547500000001</v>
      </c>
      <c r="I207" s="402">
        <f t="shared" si="139"/>
        <v>5558.1854999999996</v>
      </c>
      <c r="J207" s="402">
        <f t="shared" si="139"/>
        <v>5558.19</v>
      </c>
      <c r="K207" s="402">
        <f>SUM(K208:K211)</f>
        <v>10640.86</v>
      </c>
      <c r="L207" s="402">
        <f t="shared" ref="L207:AK207" si="140">SUM(L208:L211)</f>
        <v>7949.0336299999999</v>
      </c>
      <c r="M207" s="402">
        <f t="shared" si="140"/>
        <v>7539.8600000000006</v>
      </c>
      <c r="N207" s="402">
        <f t="shared" si="140"/>
        <v>5884.03</v>
      </c>
      <c r="O207" s="402">
        <f t="shared" si="140"/>
        <v>3864.2157499999994</v>
      </c>
      <c r="P207" s="402">
        <f t="shared" si="140"/>
        <v>3835.9159</v>
      </c>
      <c r="Q207" s="145">
        <f t="shared" si="140"/>
        <v>3775.7966499999998</v>
      </c>
      <c r="R207" s="402">
        <f t="shared" si="140"/>
        <v>3775.7966499999998</v>
      </c>
      <c r="S207" s="402">
        <f t="shared" si="140"/>
        <v>3775.7966499999998</v>
      </c>
      <c r="T207" s="402">
        <f t="shared" si="111"/>
        <v>-2108.23335</v>
      </c>
      <c r="U207" s="402">
        <f t="shared" si="112"/>
        <v>-60.119250000000193</v>
      </c>
      <c r="V207" s="402">
        <f t="shared" si="140"/>
        <v>8069.47474375</v>
      </c>
      <c r="W207" s="402">
        <f t="shared" si="140"/>
        <v>3918293.84</v>
      </c>
      <c r="X207" s="402">
        <f t="shared" si="140"/>
        <v>3918.2938399999998</v>
      </c>
      <c r="Y207" s="402">
        <f t="shared" si="140"/>
        <v>3918.2938400000003</v>
      </c>
      <c r="Z207" s="168">
        <f t="shared" si="140"/>
        <v>3851.2585600000002</v>
      </c>
      <c r="AA207" s="402">
        <f t="shared" si="140"/>
        <v>60.817710000000005</v>
      </c>
      <c r="AB207" s="402">
        <f t="shared" si="140"/>
        <v>6.2175700000000003</v>
      </c>
      <c r="AC207" s="170">
        <f t="shared" si="140"/>
        <v>8432.6000400124994</v>
      </c>
      <c r="AD207" s="170">
        <f t="shared" si="140"/>
        <v>8499.1200400124999</v>
      </c>
      <c r="AE207" s="170">
        <f t="shared" si="140"/>
        <v>8366.8490848226575</v>
      </c>
      <c r="AF207" s="170">
        <f t="shared" si="140"/>
        <v>8366.8490848226575</v>
      </c>
      <c r="AG207" s="170">
        <f t="shared" si="140"/>
        <v>8769.904041613001</v>
      </c>
      <c r="AH207" s="173">
        <f t="shared" si="140"/>
        <v>4172.9799999999996</v>
      </c>
      <c r="AI207" s="974">
        <f t="shared" si="113"/>
        <v>1.0649992497755094</v>
      </c>
      <c r="AJ207" s="975">
        <f t="shared" ref="AJ207" si="141">SUM(AJ208:AJ211)</f>
        <v>-4596.9240416130006</v>
      </c>
      <c r="AK207" s="975">
        <f t="shared" si="140"/>
        <v>81.95</v>
      </c>
      <c r="AL207" s="74"/>
    </row>
    <row r="208" spans="1:39" ht="33" customHeight="1" outlineLevel="2">
      <c r="A208" s="139" t="s">
        <v>978</v>
      </c>
      <c r="B208" s="406" t="s">
        <v>979</v>
      </c>
      <c r="C208" s="198" t="s">
        <v>980</v>
      </c>
      <c r="D208" s="998">
        <f>D205+1</f>
        <v>146</v>
      </c>
      <c r="E208" s="148" t="s">
        <v>981</v>
      </c>
      <c r="F208" s="1345" t="s">
        <v>982</v>
      </c>
      <c r="G208" s="406" t="s">
        <v>121</v>
      </c>
      <c r="H208" s="406">
        <v>10697.547500000001</v>
      </c>
      <c r="I208" s="406">
        <v>5558.1854999999996</v>
      </c>
      <c r="J208" s="406">
        <v>5558.19</v>
      </c>
      <c r="K208" s="406">
        <v>908.73</v>
      </c>
      <c r="L208" s="406">
        <v>650.71425999999997</v>
      </c>
      <c r="M208" s="406">
        <v>350.71</v>
      </c>
      <c r="N208" s="406">
        <v>502.5</v>
      </c>
      <c r="O208" s="406">
        <v>527.6</v>
      </c>
      <c r="P208" s="406">
        <v>519.37950000000001</v>
      </c>
      <c r="Q208" s="150">
        <v>519.37950000000001</v>
      </c>
      <c r="R208" s="167">
        <v>519.37950000000001</v>
      </c>
      <c r="S208" s="402">
        <v>519.37950000000001</v>
      </c>
      <c r="T208" s="167">
        <f t="shared" si="111"/>
        <v>16.879500000000007</v>
      </c>
      <c r="U208" s="167">
        <f t="shared" si="112"/>
        <v>0</v>
      </c>
      <c r="V208" s="406">
        <v>644.24</v>
      </c>
      <c r="W208" s="167">
        <v>386300</v>
      </c>
      <c r="X208" s="167">
        <v>386.3</v>
      </c>
      <c r="Y208" s="406">
        <v>386.3</v>
      </c>
      <c r="Z208" s="406">
        <v>378.27298999999999</v>
      </c>
      <c r="AA208" s="406">
        <v>6.9717699999999994</v>
      </c>
      <c r="AB208" s="406">
        <v>1.05524</v>
      </c>
      <c r="AC208" s="403">
        <v>673.22973279374992</v>
      </c>
      <c r="AD208" s="406">
        <f>'[71]2. подк.неподк.'!X195</f>
        <v>673.22973279374992</v>
      </c>
      <c r="AE208" s="406">
        <f>V208*$AD$11</f>
        <v>667.98137742249355</v>
      </c>
      <c r="AF208" s="402">
        <f t="shared" si="114"/>
        <v>667.98137742249355</v>
      </c>
      <c r="AG208" s="167">
        <v>700.15892210549998</v>
      </c>
      <c r="AH208" s="406">
        <v>411.41</v>
      </c>
      <c r="AI208" s="957">
        <f t="shared" si="113"/>
        <v>1.0650012943308309</v>
      </c>
      <c r="AJ208" s="957">
        <f t="shared" si="115"/>
        <v>-288.74892210549996</v>
      </c>
      <c r="AK208" s="965"/>
      <c r="AL208" s="74"/>
      <c r="AM208" s="52">
        <f>AH208-AG208</f>
        <v>-288.74892210549996</v>
      </c>
    </row>
    <row r="209" spans="1:39" ht="33" customHeight="1" outlineLevel="2">
      <c r="A209" s="139" t="s">
        <v>983</v>
      </c>
      <c r="B209" s="406" t="s">
        <v>984</v>
      </c>
      <c r="C209" s="198" t="s">
        <v>985</v>
      </c>
      <c r="D209" s="956" t="s">
        <v>1072</v>
      </c>
      <c r="E209" s="148" t="s">
        <v>986</v>
      </c>
      <c r="F209" s="1345"/>
      <c r="G209" s="406" t="s">
        <v>121</v>
      </c>
      <c r="H209" s="406">
        <v>0</v>
      </c>
      <c r="I209" s="406">
        <v>0</v>
      </c>
      <c r="J209" s="406">
        <v>0</v>
      </c>
      <c r="K209" s="406">
        <v>3711.53</v>
      </c>
      <c r="L209" s="406">
        <v>2713.8523700000001</v>
      </c>
      <c r="M209" s="406">
        <v>2713.85</v>
      </c>
      <c r="N209" s="406">
        <v>2052.35</v>
      </c>
      <c r="O209" s="406">
        <v>1013.5195699999999</v>
      </c>
      <c r="P209" s="406">
        <v>1009.3304899999999</v>
      </c>
      <c r="Q209" s="150">
        <v>1009.3304899999999</v>
      </c>
      <c r="R209" s="406">
        <v>1009.3304899999999</v>
      </c>
      <c r="S209" s="402">
        <v>1009.3304899999999</v>
      </c>
      <c r="T209" s="406">
        <f t="shared" si="111"/>
        <v>-1043.0195100000001</v>
      </c>
      <c r="U209" s="406">
        <f t="shared" si="112"/>
        <v>0</v>
      </c>
      <c r="V209" s="406">
        <v>2831.3551312500003</v>
      </c>
      <c r="W209" s="167">
        <v>1374943.39</v>
      </c>
      <c r="X209" s="167">
        <v>1374.9433899999999</v>
      </c>
      <c r="Y209" s="406">
        <v>1374.9433900000001</v>
      </c>
      <c r="Z209" s="406">
        <v>1341.7328900000002</v>
      </c>
      <c r="AA209" s="406">
        <v>31.121920000000003</v>
      </c>
      <c r="AB209" s="406">
        <v>2.0885799999999999</v>
      </c>
      <c r="AC209" s="403">
        <v>2958.7661121562501</v>
      </c>
      <c r="AD209" s="406">
        <f>'[71]2. подк.неподк.'!X196</f>
        <v>2958.7661121562501</v>
      </c>
      <c r="AE209" s="406">
        <f>V209*$AD$11</f>
        <v>2935.6955490882597</v>
      </c>
      <c r="AF209" s="402">
        <f t="shared" si="114"/>
        <v>2935.6955490882597</v>
      </c>
      <c r="AG209" s="167">
        <v>3077.1167566425001</v>
      </c>
      <c r="AH209" s="406">
        <v>1464.31</v>
      </c>
      <c r="AI209" s="957">
        <f t="shared" si="113"/>
        <v>1.0649965741498637</v>
      </c>
      <c r="AJ209" s="957">
        <f t="shared" si="115"/>
        <v>-1612.8067566425002</v>
      </c>
      <c r="AK209" s="965"/>
      <c r="AL209" s="74"/>
      <c r="AM209" s="52">
        <f>AH209-AG209</f>
        <v>-1612.8067566425002</v>
      </c>
    </row>
    <row r="210" spans="1:39" ht="33" customHeight="1" outlineLevel="2">
      <c r="A210" s="139" t="s">
        <v>987</v>
      </c>
      <c r="B210" s="406" t="s">
        <v>988</v>
      </c>
      <c r="C210" s="198" t="s">
        <v>989</v>
      </c>
      <c r="D210" s="956" t="s">
        <v>1077</v>
      </c>
      <c r="E210" s="148" t="s">
        <v>990</v>
      </c>
      <c r="F210" s="1345"/>
      <c r="G210" s="406" t="s">
        <v>121</v>
      </c>
      <c r="H210" s="406">
        <v>0</v>
      </c>
      <c r="I210" s="406">
        <v>0</v>
      </c>
      <c r="J210" s="406">
        <v>0</v>
      </c>
      <c r="K210" s="406">
        <v>6020.6</v>
      </c>
      <c r="L210" s="406">
        <v>4475.2997999999998</v>
      </c>
      <c r="M210" s="406">
        <v>4475.3</v>
      </c>
      <c r="N210" s="406">
        <v>3329.18</v>
      </c>
      <c r="O210" s="406">
        <v>2262.8432799999996</v>
      </c>
      <c r="P210" s="406">
        <v>2247.0866599999999</v>
      </c>
      <c r="Q210" s="150">
        <v>2247.0866599999999</v>
      </c>
      <c r="R210" s="406">
        <v>2247.0866599999999</v>
      </c>
      <c r="S210" s="402">
        <v>2247.0866599999999</v>
      </c>
      <c r="T210" s="406">
        <f t="shared" si="111"/>
        <v>-1082.0933399999999</v>
      </c>
      <c r="U210" s="406">
        <f t="shared" si="112"/>
        <v>0</v>
      </c>
      <c r="V210" s="406">
        <v>4593.8796124999999</v>
      </c>
      <c r="W210" s="167">
        <v>2080100.76</v>
      </c>
      <c r="X210" s="167">
        <v>2080.1007599999998</v>
      </c>
      <c r="Y210" s="406">
        <v>2080.1007600000003</v>
      </c>
      <c r="Z210" s="406">
        <v>2056.3283799999999</v>
      </c>
      <c r="AA210" s="406">
        <v>20.828790000000001</v>
      </c>
      <c r="AB210" s="406">
        <v>2.9435899999999999</v>
      </c>
      <c r="AC210" s="403">
        <v>4800.6041950624995</v>
      </c>
      <c r="AD210" s="406">
        <f>'[71]2. подк.неподк.'!X197</f>
        <v>4800.6041950624995</v>
      </c>
      <c r="AE210" s="406">
        <f>V210*$AD$11</f>
        <v>4763.1721583119042</v>
      </c>
      <c r="AF210" s="402">
        <f t="shared" si="114"/>
        <v>4763.1721583119042</v>
      </c>
      <c r="AG210" s="167">
        <v>4992.6283628649999</v>
      </c>
      <c r="AH210" s="406">
        <v>2215.31</v>
      </c>
      <c r="AI210" s="957">
        <f t="shared" si="113"/>
        <v>1.0650012934950326</v>
      </c>
      <c r="AJ210" s="957">
        <f t="shared" si="115"/>
        <v>-2777.3183628649999</v>
      </c>
      <c r="AK210" s="965"/>
      <c r="AL210" s="74"/>
      <c r="AM210" s="52">
        <f>AH210-AG210</f>
        <v>-2777.3183628649999</v>
      </c>
    </row>
    <row r="211" spans="1:39" ht="33" customHeight="1" outlineLevel="2">
      <c r="A211" s="139" t="s">
        <v>991</v>
      </c>
      <c r="B211" s="406" t="s">
        <v>992</v>
      </c>
      <c r="C211" s="198" t="s">
        <v>993</v>
      </c>
      <c r="D211" s="956" t="s">
        <v>1082</v>
      </c>
      <c r="E211" s="148" t="s">
        <v>994</v>
      </c>
      <c r="F211" s="410"/>
      <c r="G211" s="406" t="s">
        <v>121</v>
      </c>
      <c r="H211" s="406">
        <v>0</v>
      </c>
      <c r="I211" s="406">
        <v>0</v>
      </c>
      <c r="J211" s="406">
        <v>0</v>
      </c>
      <c r="K211" s="406">
        <v>0</v>
      </c>
      <c r="L211" s="406">
        <v>109.16719999999999</v>
      </c>
      <c r="M211" s="406">
        <v>0</v>
      </c>
      <c r="N211" s="406">
        <v>0</v>
      </c>
      <c r="O211" s="406">
        <v>60.252900000000004</v>
      </c>
      <c r="P211" s="406">
        <v>60.119250000000001</v>
      </c>
      <c r="Q211" s="150">
        <v>0</v>
      </c>
      <c r="R211" s="406">
        <v>0</v>
      </c>
      <c r="S211" s="402">
        <v>0</v>
      </c>
      <c r="T211" s="406">
        <f t="shared" si="111"/>
        <v>0</v>
      </c>
      <c r="U211" s="406">
        <f t="shared" si="112"/>
        <v>-60.119250000000001</v>
      </c>
      <c r="V211" s="406">
        <v>0</v>
      </c>
      <c r="W211" s="167">
        <v>76949.69</v>
      </c>
      <c r="X211" s="167">
        <v>76.949690000000004</v>
      </c>
      <c r="Y211" s="406">
        <v>76.949690000000004</v>
      </c>
      <c r="Z211" s="406">
        <v>74.924300000000002</v>
      </c>
      <c r="AA211" s="406">
        <v>1.89523</v>
      </c>
      <c r="AB211" s="406">
        <v>0.13016</v>
      </c>
      <c r="AC211" s="403">
        <v>0</v>
      </c>
      <c r="AD211" s="406">
        <f>'[71]2. подк.неподк.'!X198</f>
        <v>66.52</v>
      </c>
      <c r="AE211" s="406">
        <f>V211*$AD$11</f>
        <v>0</v>
      </c>
      <c r="AF211" s="402">
        <f t="shared" si="114"/>
        <v>0</v>
      </c>
      <c r="AG211" s="167">
        <v>0</v>
      </c>
      <c r="AH211" s="406">
        <v>81.95</v>
      </c>
      <c r="AI211" s="957">
        <f t="shared" si="113"/>
        <v>1.064981548333723</v>
      </c>
      <c r="AJ211" s="957">
        <f t="shared" si="115"/>
        <v>81.95</v>
      </c>
      <c r="AK211" s="958">
        <f t="shared" ref="AK211" si="142">AH211</f>
        <v>81.95</v>
      </c>
      <c r="AL211" s="74"/>
      <c r="AM211" s="52">
        <f>AH211-AG211</f>
        <v>81.95</v>
      </c>
    </row>
    <row r="212" spans="1:39" ht="33" customHeight="1" outlineLevel="1">
      <c r="A212" s="139"/>
      <c r="B212" s="409" t="s">
        <v>976</v>
      </c>
      <c r="C212" s="141"/>
      <c r="D212" s="406"/>
      <c r="E212" s="410" t="s">
        <v>996</v>
      </c>
      <c r="F212" s="410" t="s">
        <v>996</v>
      </c>
      <c r="G212" s="406" t="s">
        <v>121</v>
      </c>
      <c r="H212" s="402">
        <f t="shared" ref="H212:J212" si="143">H213+H214</f>
        <v>8385.18</v>
      </c>
      <c r="I212" s="402">
        <f t="shared" si="143"/>
        <v>6235.3351899999998</v>
      </c>
      <c r="J212" s="402">
        <f t="shared" si="143"/>
        <v>6235.34</v>
      </c>
      <c r="K212" s="402">
        <f>K213+K214</f>
        <v>10298.107247149399</v>
      </c>
      <c r="L212" s="402">
        <f t="shared" ref="L212:AK212" si="144">L213+L214</f>
        <v>6622.152149999999</v>
      </c>
      <c r="M212" s="402">
        <f t="shared" si="144"/>
        <v>6622.15</v>
      </c>
      <c r="N212" s="402">
        <f t="shared" si="144"/>
        <v>8358.6335827624789</v>
      </c>
      <c r="O212" s="402">
        <f t="shared" si="144"/>
        <v>6462.9502000000002</v>
      </c>
      <c r="P212" s="402">
        <f t="shared" si="144"/>
        <v>6267.0803600000008</v>
      </c>
      <c r="Q212" s="145">
        <f t="shared" si="144"/>
        <v>6267.0803600000008</v>
      </c>
      <c r="R212" s="402">
        <f t="shared" si="144"/>
        <v>6267.0803600000008</v>
      </c>
      <c r="S212" s="402">
        <f t="shared" si="144"/>
        <v>6267.0803600000008</v>
      </c>
      <c r="T212" s="402">
        <f t="shared" si="111"/>
        <v>-2091.5532227624781</v>
      </c>
      <c r="U212" s="402">
        <f t="shared" si="112"/>
        <v>0</v>
      </c>
      <c r="V212" s="402">
        <f t="shared" si="144"/>
        <v>8433.1435888077467</v>
      </c>
      <c r="W212" s="402">
        <f t="shared" si="144"/>
        <v>5947763.2599999998</v>
      </c>
      <c r="X212" s="402">
        <f t="shared" si="144"/>
        <v>5947.7632600000006</v>
      </c>
      <c r="Y212" s="402">
        <f t="shared" si="144"/>
        <v>5947.7632600000006</v>
      </c>
      <c r="Z212" s="168">
        <f t="shared" si="144"/>
        <v>5725.1453000000001</v>
      </c>
      <c r="AA212" s="402">
        <f t="shared" si="144"/>
        <v>186.82198</v>
      </c>
      <c r="AB212" s="402">
        <f t="shared" si="144"/>
        <v>35.79598</v>
      </c>
      <c r="AC212" s="170">
        <f t="shared" si="144"/>
        <v>8812.6413302415967</v>
      </c>
      <c r="AD212" s="170">
        <f t="shared" si="144"/>
        <v>8837.1013302415959</v>
      </c>
      <c r="AE212" s="170">
        <f t="shared" si="144"/>
        <v>8743.9197666296259</v>
      </c>
      <c r="AF212" s="170">
        <f t="shared" si="144"/>
        <v>8743.9197666296259</v>
      </c>
      <c r="AG212" s="170">
        <f t="shared" si="144"/>
        <v>9165.1404523162601</v>
      </c>
      <c r="AH212" s="173">
        <f t="shared" si="144"/>
        <v>6334.37</v>
      </c>
      <c r="AI212" s="974">
        <f t="shared" si="113"/>
        <v>1.06500035779837</v>
      </c>
      <c r="AJ212" s="975">
        <f t="shared" si="144"/>
        <v>-2830.7704523162606</v>
      </c>
      <c r="AK212" s="975">
        <f t="shared" si="144"/>
        <v>0</v>
      </c>
      <c r="AL212" s="74"/>
    </row>
    <row r="213" spans="1:39" ht="33" customHeight="1" outlineLevel="2">
      <c r="A213" s="407" t="s">
        <v>997</v>
      </c>
      <c r="B213" s="406" t="s">
        <v>998</v>
      </c>
      <c r="C213" s="198" t="s">
        <v>1900</v>
      </c>
      <c r="D213" s="956" t="s">
        <v>1086</v>
      </c>
      <c r="E213" s="164" t="s">
        <v>1000</v>
      </c>
      <c r="F213" s="196" t="s">
        <v>1001</v>
      </c>
      <c r="G213" s="406" t="s">
        <v>121</v>
      </c>
      <c r="H213" s="406">
        <v>7185.18</v>
      </c>
      <c r="I213" s="406">
        <v>4827.5798699999996</v>
      </c>
      <c r="J213" s="406">
        <v>4827.58</v>
      </c>
      <c r="K213" s="406">
        <v>8981.3792511493994</v>
      </c>
      <c r="L213" s="406">
        <v>5155.2999999999993</v>
      </c>
      <c r="M213" s="406">
        <v>5155.2999999999993</v>
      </c>
      <c r="N213" s="406">
        <v>6363.6392924233814</v>
      </c>
      <c r="O213" s="406">
        <v>5065.9046600000001</v>
      </c>
      <c r="P213" s="406">
        <v>4919.0623700000006</v>
      </c>
      <c r="Q213" s="150">
        <v>4919.0623700000006</v>
      </c>
      <c r="R213" s="406">
        <v>4919.0623700000006</v>
      </c>
      <c r="S213" s="402">
        <v>4919.0623700000006</v>
      </c>
      <c r="T213" s="406">
        <f t="shared" si="111"/>
        <v>-1444.5769224233809</v>
      </c>
      <c r="U213" s="406">
        <f t="shared" si="112"/>
        <v>0</v>
      </c>
      <c r="V213" s="406">
        <v>6328.4246125</v>
      </c>
      <c r="W213" s="167">
        <v>5203320.33</v>
      </c>
      <c r="X213" s="167">
        <v>5203.3203300000005</v>
      </c>
      <c r="Y213" s="406">
        <v>5203.3203300000005</v>
      </c>
      <c r="Z213" s="406">
        <v>4997.0457800000004</v>
      </c>
      <c r="AA213" s="406">
        <v>173.76134999999999</v>
      </c>
      <c r="AB213" s="406">
        <v>32.513199999999998</v>
      </c>
      <c r="AC213" s="403">
        <v>6613.21</v>
      </c>
      <c r="AD213" s="406">
        <f>'[71]2. подк.неподк.'!X200</f>
        <v>6637.67</v>
      </c>
      <c r="AE213" s="406">
        <f>V213*$AD$11</f>
        <v>6561.6381931767046</v>
      </c>
      <c r="AF213" s="402">
        <f t="shared" si="114"/>
        <v>6561.6381931767046</v>
      </c>
      <c r="AG213" s="403">
        <v>6877.7318688650003</v>
      </c>
      <c r="AH213" s="406">
        <v>5541.54</v>
      </c>
      <c r="AI213" s="957">
        <f t="shared" si="113"/>
        <v>1.0650007396334946</v>
      </c>
      <c r="AJ213" s="957">
        <f t="shared" si="115"/>
        <v>-1336.1918688650003</v>
      </c>
      <c r="AK213" s="965"/>
      <c r="AL213" s="74"/>
      <c r="AM213" s="52">
        <f>AH213-AG213</f>
        <v>-1336.1918688650003</v>
      </c>
    </row>
    <row r="214" spans="1:39" ht="33" customHeight="1" outlineLevel="2">
      <c r="A214" s="139" t="s">
        <v>1002</v>
      </c>
      <c r="B214" s="406" t="s">
        <v>1003</v>
      </c>
      <c r="C214" s="198" t="s">
        <v>1004</v>
      </c>
      <c r="D214" s="956" t="s">
        <v>1096</v>
      </c>
      <c r="E214" s="148" t="s">
        <v>1005</v>
      </c>
      <c r="F214" s="196" t="s">
        <v>1006</v>
      </c>
      <c r="G214" s="406" t="s">
        <v>121</v>
      </c>
      <c r="H214" s="406">
        <v>1200</v>
      </c>
      <c r="I214" s="406">
        <v>1407.75532</v>
      </c>
      <c r="J214" s="406">
        <v>1407.76</v>
      </c>
      <c r="K214" s="406">
        <v>1316.7279959999998</v>
      </c>
      <c r="L214" s="406">
        <v>1466.8521499999999</v>
      </c>
      <c r="M214" s="406">
        <v>1466.85</v>
      </c>
      <c r="N214" s="406">
        <v>1994.9942903390972</v>
      </c>
      <c r="O214" s="406">
        <v>1397.0455400000001</v>
      </c>
      <c r="P214" s="406">
        <v>1348.0179900000001</v>
      </c>
      <c r="Q214" s="150">
        <v>1348.0179900000001</v>
      </c>
      <c r="R214" s="406">
        <v>1348.0179900000001</v>
      </c>
      <c r="S214" s="402">
        <v>1348.0179900000001</v>
      </c>
      <c r="T214" s="406">
        <f t="shared" si="111"/>
        <v>-646.97630033909718</v>
      </c>
      <c r="U214" s="406">
        <f t="shared" si="112"/>
        <v>0</v>
      </c>
      <c r="V214" s="406">
        <v>2104.7189763077477</v>
      </c>
      <c r="W214" s="167">
        <v>744442.93</v>
      </c>
      <c r="X214" s="167">
        <v>744.44293000000005</v>
      </c>
      <c r="Y214" s="406">
        <v>744.44293000000005</v>
      </c>
      <c r="Z214" s="406">
        <v>728.09951999999998</v>
      </c>
      <c r="AA214" s="406">
        <v>13.06063</v>
      </c>
      <c r="AB214" s="406">
        <v>3.2827800000000003</v>
      </c>
      <c r="AC214" s="403">
        <v>2199.4313302415962</v>
      </c>
      <c r="AD214" s="406">
        <f>'[71]2. подк.неподк.'!X201</f>
        <v>2199.4313302415962</v>
      </c>
      <c r="AE214" s="406">
        <f>V214*$AD$11</f>
        <v>2182.2815734529213</v>
      </c>
      <c r="AF214" s="402">
        <f t="shared" si="114"/>
        <v>2182.2815734529213</v>
      </c>
      <c r="AG214" s="403">
        <v>2287.4085834512603</v>
      </c>
      <c r="AH214" s="406">
        <v>792.83</v>
      </c>
      <c r="AI214" s="957">
        <f t="shared" si="113"/>
        <v>1.0649976889430597</v>
      </c>
      <c r="AJ214" s="957">
        <f t="shared" si="115"/>
        <v>-1494.5785834512603</v>
      </c>
      <c r="AK214" s="965"/>
      <c r="AL214" s="74"/>
      <c r="AM214" s="52">
        <f>AH214-AG214</f>
        <v>-1494.5785834512603</v>
      </c>
    </row>
    <row r="215" spans="1:39" ht="48.75" customHeight="1" outlineLevel="1">
      <c r="A215" s="139"/>
      <c r="B215" s="409" t="s">
        <v>995</v>
      </c>
      <c r="C215" s="141"/>
      <c r="D215" s="406"/>
      <c r="E215" s="410" t="s">
        <v>1008</v>
      </c>
      <c r="F215" s="410" t="s">
        <v>1008</v>
      </c>
      <c r="G215" s="406" t="s">
        <v>121</v>
      </c>
      <c r="H215" s="402">
        <f t="shared" ref="H215:N215" si="145">H216+H217+H218+H220+H219</f>
        <v>4423.2824999999993</v>
      </c>
      <c r="I215" s="402">
        <f t="shared" si="145"/>
        <v>4695.1687400000001</v>
      </c>
      <c r="J215" s="402">
        <f t="shared" si="145"/>
        <v>4695.17</v>
      </c>
      <c r="K215" s="402">
        <f t="shared" si="145"/>
        <v>4853.5458738934994</v>
      </c>
      <c r="L215" s="402">
        <f t="shared" si="145"/>
        <v>6903.2195400000001</v>
      </c>
      <c r="M215" s="402">
        <f t="shared" si="145"/>
        <v>6902.74</v>
      </c>
      <c r="N215" s="402">
        <f t="shared" si="145"/>
        <v>6725.7858389534995</v>
      </c>
      <c r="O215" s="402">
        <f>O216+O217+O218+O220+O219</f>
        <v>6861.59555</v>
      </c>
      <c r="P215" s="402">
        <f t="shared" ref="P215:AK215" si="146">P216+P217+P218+P220+P219</f>
        <v>6711.2716199999995</v>
      </c>
      <c r="Q215" s="145">
        <f t="shared" si="146"/>
        <v>6711.2716199999995</v>
      </c>
      <c r="R215" s="402">
        <f t="shared" si="146"/>
        <v>6711.2716199999995</v>
      </c>
      <c r="S215" s="402">
        <f t="shared" si="146"/>
        <v>6711.2716199999995</v>
      </c>
      <c r="T215" s="402">
        <f t="shared" si="111"/>
        <v>-14.514218953499949</v>
      </c>
      <c r="U215" s="402">
        <f t="shared" si="112"/>
        <v>0</v>
      </c>
      <c r="V215" s="402">
        <f t="shared" si="146"/>
        <v>4889.7593388005898</v>
      </c>
      <c r="W215" s="402">
        <f t="shared" si="146"/>
        <v>7677359.9899999984</v>
      </c>
      <c r="X215" s="402">
        <f t="shared" si="146"/>
        <v>7677.359989999999</v>
      </c>
      <c r="Y215" s="402">
        <f t="shared" si="146"/>
        <v>7677.3599900000008</v>
      </c>
      <c r="Z215" s="168">
        <f t="shared" si="146"/>
        <v>7469.4703499999996</v>
      </c>
      <c r="AA215" s="402">
        <f t="shared" si="146"/>
        <v>184.5249</v>
      </c>
      <c r="AB215" s="402">
        <f t="shared" si="146"/>
        <v>23.364739999999998</v>
      </c>
      <c r="AC215" s="170">
        <f t="shared" si="146"/>
        <v>5109.7985090466163</v>
      </c>
      <c r="AD215" s="170">
        <f t="shared" si="146"/>
        <v>7972.9294579633333</v>
      </c>
      <c r="AE215" s="170">
        <f t="shared" si="146"/>
        <v>5069.9555730729535</v>
      </c>
      <c r="AF215" s="170">
        <f t="shared" si="146"/>
        <v>5069.9555730729535</v>
      </c>
      <c r="AG215" s="170">
        <f t="shared" si="146"/>
        <v>5314.1904494084811</v>
      </c>
      <c r="AH215" s="173">
        <f t="shared" si="146"/>
        <v>10363.426079468001</v>
      </c>
      <c r="AI215" s="974">
        <f t="shared" si="113"/>
        <v>1.3498684564702823</v>
      </c>
      <c r="AJ215" s="975">
        <f t="shared" si="146"/>
        <v>5049.2356300595202</v>
      </c>
      <c r="AK215" s="975">
        <f t="shared" si="146"/>
        <v>10363.426079468001</v>
      </c>
      <c r="AL215" s="74"/>
    </row>
    <row r="216" spans="1:39" ht="33" customHeight="1" outlineLevel="2">
      <c r="A216" s="139" t="s">
        <v>1009</v>
      </c>
      <c r="B216" s="406" t="s">
        <v>1010</v>
      </c>
      <c r="C216" s="198" t="s">
        <v>1011</v>
      </c>
      <c r="D216" s="956" t="s">
        <v>1101</v>
      </c>
      <c r="E216" s="148" t="s">
        <v>1012</v>
      </c>
      <c r="F216" s="149" t="s">
        <v>1013</v>
      </c>
      <c r="G216" s="406" t="s">
        <v>121</v>
      </c>
      <c r="H216" s="406">
        <v>833.52750000000003</v>
      </c>
      <c r="I216" s="406">
        <v>2605.75038</v>
      </c>
      <c r="J216" s="406">
        <v>2605.75</v>
      </c>
      <c r="K216" s="406">
        <v>914.60749557157499</v>
      </c>
      <c r="L216" s="406">
        <v>2652.3380000000002</v>
      </c>
      <c r="M216" s="406">
        <v>2652.34</v>
      </c>
      <c r="N216" s="406">
        <v>3072</v>
      </c>
      <c r="O216" s="406">
        <v>3071.08331</v>
      </c>
      <c r="P216" s="406">
        <v>3060.0621299999998</v>
      </c>
      <c r="Q216" s="150">
        <v>3060.0621299999998</v>
      </c>
      <c r="R216" s="406">
        <v>3060.0621299999998</v>
      </c>
      <c r="S216" s="402">
        <v>3060.0621299999998</v>
      </c>
      <c r="T216" s="406">
        <f t="shared" si="111"/>
        <v>-11.937870000000203</v>
      </c>
      <c r="U216" s="406">
        <f t="shared" si="112"/>
        <v>0</v>
      </c>
      <c r="V216" s="406">
        <v>2923.1111563005902</v>
      </c>
      <c r="W216" s="167">
        <v>3710148.51</v>
      </c>
      <c r="X216" s="167">
        <v>3710.14851</v>
      </c>
      <c r="Y216" s="406">
        <v>3710.1485100000004</v>
      </c>
      <c r="Z216" s="406">
        <v>3697.0834599999998</v>
      </c>
      <c r="AA216" s="406">
        <v>11.105079999999999</v>
      </c>
      <c r="AB216" s="406">
        <v>1.95997</v>
      </c>
      <c r="AC216" s="403">
        <v>3054.6511583341166</v>
      </c>
      <c r="AD216" s="406">
        <f>'[71]2. подк.неподк.'!X203</f>
        <v>3501.2715679999997</v>
      </c>
      <c r="AE216" s="406">
        <f>V216*$AD$11</f>
        <v>3030.8329450899141</v>
      </c>
      <c r="AF216" s="402">
        <f t="shared" si="114"/>
        <v>3030.8329450899141</v>
      </c>
      <c r="AG216" s="167">
        <v>3176.8372046674813</v>
      </c>
      <c r="AH216" s="406">
        <v>4674.057317400001</v>
      </c>
      <c r="AI216" s="957">
        <f t="shared" si="113"/>
        <v>1.2598032948821234</v>
      </c>
      <c r="AJ216" s="957">
        <f t="shared" si="115"/>
        <v>1497.2201127325197</v>
      </c>
      <c r="AK216" s="958">
        <f>AH216</f>
        <v>4674.057317400001</v>
      </c>
      <c r="AL216" s="74"/>
      <c r="AM216" s="52">
        <f>AH216-AG216</f>
        <v>1497.2201127325197</v>
      </c>
    </row>
    <row r="217" spans="1:39" ht="33" customHeight="1" outlineLevel="2">
      <c r="A217" s="139" t="s">
        <v>1014</v>
      </c>
      <c r="B217" s="406" t="s">
        <v>1015</v>
      </c>
      <c r="C217" s="198" t="s">
        <v>1016</v>
      </c>
      <c r="D217" s="956" t="s">
        <v>1106</v>
      </c>
      <c r="E217" s="162" t="s">
        <v>1017</v>
      </c>
      <c r="F217" s="149" t="s">
        <v>1018</v>
      </c>
      <c r="G217" s="406" t="s">
        <v>121</v>
      </c>
      <c r="H217" s="406">
        <v>648.4224999999999</v>
      </c>
      <c r="I217" s="406">
        <v>11.81719</v>
      </c>
      <c r="J217" s="406">
        <v>11.82</v>
      </c>
      <c r="K217" s="406">
        <v>711.49671582192479</v>
      </c>
      <c r="L217" s="406">
        <v>169.61799999999999</v>
      </c>
      <c r="M217" s="406">
        <v>169.62</v>
      </c>
      <c r="N217" s="406">
        <v>139</v>
      </c>
      <c r="O217" s="406">
        <v>135.22953000000001</v>
      </c>
      <c r="P217" s="406">
        <v>133.78155999999998</v>
      </c>
      <c r="Q217" s="150">
        <v>133.78155999999998</v>
      </c>
      <c r="R217" s="406">
        <v>133.78155999999998</v>
      </c>
      <c r="S217" s="402">
        <v>133.78155999999998</v>
      </c>
      <c r="T217" s="406">
        <f t="shared" si="111"/>
        <v>-5.2184400000000153</v>
      </c>
      <c r="U217" s="406">
        <f t="shared" si="112"/>
        <v>0</v>
      </c>
      <c r="V217" s="406">
        <v>192.37028249999997</v>
      </c>
      <c r="W217" s="167">
        <v>321424.73</v>
      </c>
      <c r="X217" s="167">
        <v>321.42472999999995</v>
      </c>
      <c r="Y217" s="406">
        <v>321.42473000000007</v>
      </c>
      <c r="Z217" s="406">
        <v>317.86176</v>
      </c>
      <c r="AA217" s="406">
        <v>3.2728299999999999</v>
      </c>
      <c r="AB217" s="406">
        <v>0.29014000000000001</v>
      </c>
      <c r="AC217" s="403">
        <v>201.02694521249995</v>
      </c>
      <c r="AD217" s="406">
        <f>'[71]2. подк.неподк.'!X204</f>
        <v>300.87273996333329</v>
      </c>
      <c r="AE217" s="406">
        <f>V217*$AD$11</f>
        <v>199.45946585046596</v>
      </c>
      <c r="AF217" s="402">
        <f t="shared" si="114"/>
        <v>199.45946585046596</v>
      </c>
      <c r="AG217" s="167">
        <v>209.06802302099996</v>
      </c>
      <c r="AH217" s="406">
        <v>555.96635206799999</v>
      </c>
      <c r="AI217" s="957">
        <f t="shared" si="113"/>
        <v>1.7296937670850656</v>
      </c>
      <c r="AJ217" s="957">
        <f t="shared" si="115"/>
        <v>346.89832904700006</v>
      </c>
      <c r="AK217" s="958">
        <f t="shared" ref="AK217:AK220" si="147">AH217</f>
        <v>555.96635206799999</v>
      </c>
      <c r="AL217" s="74"/>
      <c r="AM217" s="52">
        <f>AH217-AG217</f>
        <v>346.89832904700006</v>
      </c>
    </row>
    <row r="218" spans="1:39" ht="33" customHeight="1" outlineLevel="2">
      <c r="A218" s="139" t="s">
        <v>1019</v>
      </c>
      <c r="B218" s="406" t="s">
        <v>1020</v>
      </c>
      <c r="C218" s="198" t="s">
        <v>1021</v>
      </c>
      <c r="D218" s="956" t="s">
        <v>1111</v>
      </c>
      <c r="E218" s="148" t="s">
        <v>1022</v>
      </c>
      <c r="F218" s="1340" t="s">
        <v>1023</v>
      </c>
      <c r="G218" s="1341" t="s">
        <v>121</v>
      </c>
      <c r="H218" s="406">
        <v>0</v>
      </c>
      <c r="I218" s="406">
        <v>0</v>
      </c>
      <c r="J218" s="406">
        <v>0</v>
      </c>
      <c r="K218" s="406">
        <v>224.56</v>
      </c>
      <c r="L218" s="406">
        <v>445.06104999999997</v>
      </c>
      <c r="M218" s="406">
        <v>445.06</v>
      </c>
      <c r="N218" s="406">
        <v>732</v>
      </c>
      <c r="O218" s="406">
        <v>766.37175000000002</v>
      </c>
      <c r="P218" s="406">
        <v>739.79324999999994</v>
      </c>
      <c r="Q218" s="150">
        <v>739.79324999999994</v>
      </c>
      <c r="R218" s="406">
        <v>739.79324999999994</v>
      </c>
      <c r="S218" s="402">
        <v>739.79324999999994</v>
      </c>
      <c r="T218" s="406">
        <f t="shared" si="111"/>
        <v>7.7932499999999436</v>
      </c>
      <c r="U218" s="406">
        <f t="shared" si="112"/>
        <v>0</v>
      </c>
      <c r="V218" s="406">
        <v>214.68195</v>
      </c>
      <c r="W218" s="167">
        <v>791582.58</v>
      </c>
      <c r="X218" s="167">
        <v>791.58258000000001</v>
      </c>
      <c r="Y218" s="406">
        <v>791.58258000000001</v>
      </c>
      <c r="Z218" s="406">
        <v>772.04895999999997</v>
      </c>
      <c r="AA218" s="406">
        <v>16.961919999999999</v>
      </c>
      <c r="AB218" s="406">
        <v>2.5716999999999999</v>
      </c>
      <c r="AC218" s="403">
        <v>224.34263774999999</v>
      </c>
      <c r="AD218" s="406">
        <f>'[71]2. подк.неподк.'!X205</f>
        <v>844.44932400000016</v>
      </c>
      <c r="AE218" s="406">
        <f>V218*$AD$11</f>
        <v>222.59335755114071</v>
      </c>
      <c r="AF218" s="402">
        <f t="shared" si="114"/>
        <v>222.59335755114071</v>
      </c>
      <c r="AG218" s="167">
        <v>233.31634326</v>
      </c>
      <c r="AH218" s="406">
        <v>968.34048000000007</v>
      </c>
      <c r="AI218" s="957">
        <f t="shared" si="113"/>
        <v>1.2232968542587181</v>
      </c>
      <c r="AJ218" s="957">
        <f t="shared" si="115"/>
        <v>735.02413674000013</v>
      </c>
      <c r="AK218" s="958">
        <f t="shared" si="147"/>
        <v>968.34048000000007</v>
      </c>
      <c r="AL218" s="74"/>
      <c r="AM218" s="52">
        <f>AH218-AG218</f>
        <v>735.02413674000013</v>
      </c>
    </row>
    <row r="219" spans="1:39" ht="33" customHeight="1" outlineLevel="2">
      <c r="A219" s="139" t="s">
        <v>1024</v>
      </c>
      <c r="B219" s="406" t="s">
        <v>1025</v>
      </c>
      <c r="C219" s="198" t="s">
        <v>1026</v>
      </c>
      <c r="D219" s="956" t="s">
        <v>1116</v>
      </c>
      <c r="E219" s="162" t="s">
        <v>1027</v>
      </c>
      <c r="F219" s="1340"/>
      <c r="G219" s="1341"/>
      <c r="H219" s="406">
        <v>1691.3325</v>
      </c>
      <c r="I219" s="406">
        <v>1823.05007</v>
      </c>
      <c r="J219" s="406">
        <v>1823.05</v>
      </c>
      <c r="K219" s="406">
        <v>1631.29</v>
      </c>
      <c r="L219" s="406">
        <v>2762.4987599999999</v>
      </c>
      <c r="M219" s="406">
        <v>2762.02</v>
      </c>
      <c r="N219" s="406">
        <v>2122.0700000000002</v>
      </c>
      <c r="O219" s="406">
        <v>2243.00657</v>
      </c>
      <c r="P219" s="406">
        <v>2166.1840100000004</v>
      </c>
      <c r="Q219" s="150">
        <v>2166.1840100000004</v>
      </c>
      <c r="R219" s="406">
        <v>2166.1840100000004</v>
      </c>
      <c r="S219" s="402">
        <v>2166.1840100000004</v>
      </c>
      <c r="T219" s="406">
        <f t="shared" si="111"/>
        <v>44.114010000000235</v>
      </c>
      <c r="U219" s="406">
        <f t="shared" si="112"/>
        <v>0</v>
      </c>
      <c r="V219" s="406">
        <v>1559.5959499999999</v>
      </c>
      <c r="W219" s="167">
        <v>2797871.78</v>
      </c>
      <c r="X219" s="167">
        <v>2797.8717799999999</v>
      </c>
      <c r="Y219" s="406">
        <v>2797.8717799999999</v>
      </c>
      <c r="Z219" s="406">
        <v>2630.0435899999998</v>
      </c>
      <c r="AA219" s="406">
        <v>149.89343</v>
      </c>
      <c r="AB219" s="406">
        <v>17.934759999999997</v>
      </c>
      <c r="AC219" s="403">
        <v>1629.7777677499998</v>
      </c>
      <c r="AD219" s="406">
        <f>'[71]2. подк.неподк.'!X206</f>
        <v>2644.5540000000005</v>
      </c>
      <c r="AE219" s="406">
        <f>V219*$AD$11</f>
        <v>1617.0698045814329</v>
      </c>
      <c r="AF219" s="402">
        <f t="shared" si="114"/>
        <v>1617.0698045814329</v>
      </c>
      <c r="AG219" s="167">
        <v>1694.9688784599998</v>
      </c>
      <c r="AH219" s="406">
        <v>3105.8843300000003</v>
      </c>
      <c r="AI219" s="957">
        <f t="shared" si="113"/>
        <v>1.1100881577925634</v>
      </c>
      <c r="AJ219" s="957">
        <f t="shared" si="115"/>
        <v>1410.9154515400005</v>
      </c>
      <c r="AK219" s="958">
        <f t="shared" si="147"/>
        <v>3105.8843300000003</v>
      </c>
      <c r="AL219" s="74"/>
      <c r="AM219" s="52">
        <f>AH219-AG219</f>
        <v>1410.9154515400005</v>
      </c>
    </row>
    <row r="220" spans="1:39" ht="33" customHeight="1" outlineLevel="2">
      <c r="A220" s="139" t="s">
        <v>1028</v>
      </c>
      <c r="B220" s="406" t="s">
        <v>1029</v>
      </c>
      <c r="C220" s="198" t="s">
        <v>1030</v>
      </c>
      <c r="D220" s="956" t="s">
        <v>1124</v>
      </c>
      <c r="E220" s="148" t="s">
        <v>1031</v>
      </c>
      <c r="F220" s="149" t="s">
        <v>1032</v>
      </c>
      <c r="G220" s="406" t="s">
        <v>121</v>
      </c>
      <c r="H220" s="406">
        <v>1250</v>
      </c>
      <c r="I220" s="406">
        <v>254.55109999999999</v>
      </c>
      <c r="J220" s="406">
        <v>254.55</v>
      </c>
      <c r="K220" s="406">
        <v>1371.5916625</v>
      </c>
      <c r="L220" s="406">
        <v>873.70372999999995</v>
      </c>
      <c r="M220" s="406">
        <v>873.7</v>
      </c>
      <c r="N220" s="406">
        <v>660.71583895350022</v>
      </c>
      <c r="O220" s="406">
        <v>645.90439000000015</v>
      </c>
      <c r="P220" s="406">
        <v>611.45067000000006</v>
      </c>
      <c r="Q220" s="150">
        <v>611.45067000000006</v>
      </c>
      <c r="R220" s="406">
        <v>611.45067000000006</v>
      </c>
      <c r="S220" s="402">
        <v>611.45067000000006</v>
      </c>
      <c r="T220" s="406">
        <f t="shared" si="111"/>
        <v>-49.265168953500165</v>
      </c>
      <c r="U220" s="406">
        <f t="shared" si="112"/>
        <v>0</v>
      </c>
      <c r="V220" s="406">
        <v>0</v>
      </c>
      <c r="W220" s="167">
        <v>56332.39</v>
      </c>
      <c r="X220" s="167">
        <v>56.332389999999997</v>
      </c>
      <c r="Y220" s="406">
        <v>56.332389999999997</v>
      </c>
      <c r="Z220" s="406">
        <v>52.432580000000002</v>
      </c>
      <c r="AA220" s="406">
        <v>3.2916399999999997</v>
      </c>
      <c r="AB220" s="406">
        <v>0.60816999999999999</v>
      </c>
      <c r="AC220" s="403">
        <v>0</v>
      </c>
      <c r="AD220" s="406">
        <f>'[71]2. подк.неподк.'!X207</f>
        <v>681.78182600000002</v>
      </c>
      <c r="AE220" s="406">
        <f>V220*$AD$11</f>
        <v>0</v>
      </c>
      <c r="AF220" s="402">
        <f t="shared" si="114"/>
        <v>0</v>
      </c>
      <c r="AG220" s="167">
        <v>0</v>
      </c>
      <c r="AH220" s="406">
        <v>1059.1776000000002</v>
      </c>
      <c r="AI220" s="957">
        <f t="shared" si="113"/>
        <v>18.80228408558558</v>
      </c>
      <c r="AJ220" s="957">
        <f t="shared" si="115"/>
        <v>1059.1776000000002</v>
      </c>
      <c r="AK220" s="958">
        <f t="shared" si="147"/>
        <v>1059.1776000000002</v>
      </c>
      <c r="AL220" s="74"/>
      <c r="AM220" s="52">
        <f>AH220-AG220</f>
        <v>1059.1776000000002</v>
      </c>
    </row>
    <row r="221" spans="1:39" ht="33" customHeight="1" outlineLevel="1">
      <c r="A221" s="139"/>
      <c r="B221" s="409" t="s">
        <v>1007</v>
      </c>
      <c r="C221" s="141"/>
      <c r="D221" s="956"/>
      <c r="E221" s="410" t="s">
        <v>1034</v>
      </c>
      <c r="F221" s="410" t="s">
        <v>1034</v>
      </c>
      <c r="G221" s="406" t="s">
        <v>121</v>
      </c>
      <c r="H221" s="402">
        <f t="shared" ref="H221:L221" si="148">SUM(H222:H228)</f>
        <v>3708</v>
      </c>
      <c r="I221" s="402">
        <f t="shared" si="148"/>
        <v>3617.9949900000001</v>
      </c>
      <c r="J221" s="402">
        <f t="shared" si="148"/>
        <v>3334.6800000000003</v>
      </c>
      <c r="K221" s="402">
        <f t="shared" si="148"/>
        <v>4068.6894591454343</v>
      </c>
      <c r="L221" s="402">
        <f t="shared" si="148"/>
        <v>4833.9864900000002</v>
      </c>
      <c r="M221" s="402">
        <f t="shared" ref="M221:N221" si="149">SUM(M222:M228)</f>
        <v>3715.9700000000003</v>
      </c>
      <c r="N221" s="402">
        <f t="shared" si="149"/>
        <v>1470.8626544865938</v>
      </c>
      <c r="O221" s="402">
        <f>SUM(O222:O228)</f>
        <v>5331.6733299999996</v>
      </c>
      <c r="P221" s="402">
        <f t="shared" ref="P221:AK221" si="150">SUM(P222:P228)</f>
        <v>5324.6292599999997</v>
      </c>
      <c r="Q221" s="145">
        <f t="shared" si="150"/>
        <v>4151.8620600000004</v>
      </c>
      <c r="R221" s="402">
        <f t="shared" si="150"/>
        <v>4151.8620600000004</v>
      </c>
      <c r="S221" s="402">
        <f t="shared" si="150"/>
        <v>4151.8620600000004</v>
      </c>
      <c r="T221" s="402">
        <f t="shared" si="111"/>
        <v>2680.9994055134066</v>
      </c>
      <c r="U221" s="402">
        <f t="shared" si="112"/>
        <v>-1172.7671999999993</v>
      </c>
      <c r="V221" s="402">
        <f t="shared" si="150"/>
        <v>1544.0178233145814</v>
      </c>
      <c r="W221" s="402">
        <f t="shared" si="150"/>
        <v>5017340.09</v>
      </c>
      <c r="X221" s="402">
        <f t="shared" si="150"/>
        <v>5017.3400900000006</v>
      </c>
      <c r="Y221" s="402">
        <f t="shared" si="150"/>
        <v>5017.3400899999997</v>
      </c>
      <c r="Z221" s="168">
        <f t="shared" si="150"/>
        <v>5009.2267400000001</v>
      </c>
      <c r="AA221" s="402">
        <f t="shared" si="150"/>
        <v>7.4623299999999997</v>
      </c>
      <c r="AB221" s="402">
        <f t="shared" si="150"/>
        <v>0.65102000000000004</v>
      </c>
      <c r="AC221" s="170">
        <f t="shared" si="150"/>
        <v>1613.4986253637376</v>
      </c>
      <c r="AD221" s="170">
        <f t="shared" si="150"/>
        <v>7826.8382562026482</v>
      </c>
      <c r="AE221" s="170">
        <f t="shared" si="150"/>
        <v>1600.917596520791</v>
      </c>
      <c r="AF221" s="170">
        <f t="shared" si="150"/>
        <v>1600.917596520791</v>
      </c>
      <c r="AG221" s="170">
        <f t="shared" si="150"/>
        <v>1678.0385703782872</v>
      </c>
      <c r="AH221" s="173">
        <f t="shared" si="150"/>
        <v>5917.3857760000001</v>
      </c>
      <c r="AI221" s="974">
        <f t="shared" si="113"/>
        <v>1.1793870197864142</v>
      </c>
      <c r="AJ221" s="975">
        <f t="shared" si="150"/>
        <v>4239.3472056217133</v>
      </c>
      <c r="AK221" s="975">
        <f t="shared" si="150"/>
        <v>5160.49</v>
      </c>
      <c r="AL221" s="74"/>
    </row>
    <row r="222" spans="1:39" ht="33" customHeight="1" outlineLevel="2">
      <c r="A222" s="139" t="s">
        <v>1035</v>
      </c>
      <c r="B222" s="406" t="s">
        <v>1036</v>
      </c>
      <c r="C222" s="198" t="s">
        <v>1037</v>
      </c>
      <c r="D222" s="956" t="s">
        <v>2159</v>
      </c>
      <c r="E222" s="148" t="s">
        <v>1038</v>
      </c>
      <c r="F222" s="149" t="s">
        <v>1039</v>
      </c>
      <c r="G222" s="406" t="s">
        <v>121</v>
      </c>
      <c r="H222" s="406">
        <v>2016.224487468864</v>
      </c>
      <c r="I222" s="406">
        <v>218.91962000000001</v>
      </c>
      <c r="J222" s="406">
        <v>0</v>
      </c>
      <c r="K222" s="406">
        <v>2212.3493573925034</v>
      </c>
      <c r="L222" s="406">
        <v>1118.0188899999998</v>
      </c>
      <c r="M222" s="406">
        <v>0</v>
      </c>
      <c r="N222" s="406">
        <v>0</v>
      </c>
      <c r="O222" s="406">
        <v>1175.34247</v>
      </c>
      <c r="P222" s="406">
        <v>1172.7672</v>
      </c>
      <c r="Q222" s="150">
        <v>0</v>
      </c>
      <c r="R222" s="167">
        <v>0</v>
      </c>
      <c r="S222" s="402">
        <v>0</v>
      </c>
      <c r="T222" s="167">
        <f t="shared" si="111"/>
        <v>0</v>
      </c>
      <c r="U222" s="167">
        <f t="shared" si="112"/>
        <v>-1172.7672</v>
      </c>
      <c r="V222" s="406">
        <v>0</v>
      </c>
      <c r="W222" s="167">
        <v>859147.42</v>
      </c>
      <c r="X222" s="167">
        <v>859.14742000000001</v>
      </c>
      <c r="Y222" s="406">
        <v>859.14742000000001</v>
      </c>
      <c r="Z222" s="406">
        <v>856.22129000000007</v>
      </c>
      <c r="AA222" s="406">
        <v>2.52807</v>
      </c>
      <c r="AB222" s="406">
        <v>0.39806000000000002</v>
      </c>
      <c r="AC222" s="403">
        <v>0</v>
      </c>
      <c r="AD222" s="406">
        <f>'[71]2. подк.неподк.'!X209</f>
        <v>1297.5999999999999</v>
      </c>
      <c r="AE222" s="406">
        <f t="shared" ref="AE222:AE228" si="151">V222*$AD$11</f>
        <v>0</v>
      </c>
      <c r="AF222" s="402">
        <f t="shared" si="114"/>
        <v>0</v>
      </c>
      <c r="AG222" s="167">
        <v>0</v>
      </c>
      <c r="AH222" s="406">
        <v>914.99</v>
      </c>
      <c r="AI222" s="957">
        <f t="shared" ref="AI222:AI285" si="152">AH222/X222</f>
        <v>1.0649976694337278</v>
      </c>
      <c r="AJ222" s="957">
        <f t="shared" ref="AJ222:AJ285" si="153">AH222-AG222</f>
        <v>914.99</v>
      </c>
      <c r="AK222" s="958">
        <f>AH222</f>
        <v>914.99</v>
      </c>
      <c r="AL222" s="74"/>
      <c r="AM222" s="52">
        <f t="shared" ref="AM222:AM228" si="154">AH222-AG222</f>
        <v>914.99</v>
      </c>
    </row>
    <row r="223" spans="1:39" ht="33" customHeight="1" outlineLevel="2">
      <c r="A223" s="139" t="s">
        <v>1040</v>
      </c>
      <c r="B223" s="406" t="s">
        <v>1041</v>
      </c>
      <c r="C223" s="198" t="s">
        <v>1042</v>
      </c>
      <c r="D223" s="956" t="s">
        <v>2160</v>
      </c>
      <c r="E223" s="148" t="s">
        <v>1043</v>
      </c>
      <c r="F223" s="149" t="s">
        <v>1044</v>
      </c>
      <c r="G223" s="406" t="s">
        <v>121</v>
      </c>
      <c r="H223" s="406">
        <v>75.290000000000006</v>
      </c>
      <c r="I223" s="406">
        <v>450.69668999999999</v>
      </c>
      <c r="J223" s="406">
        <v>450.7</v>
      </c>
      <c r="K223" s="406">
        <v>82.613709015699996</v>
      </c>
      <c r="L223" s="406">
        <v>488.49576999999999</v>
      </c>
      <c r="M223" s="406">
        <v>488.5</v>
      </c>
      <c r="N223" s="406">
        <v>7.3386513448103958</v>
      </c>
      <c r="O223" s="406">
        <v>692.00274000000002</v>
      </c>
      <c r="P223" s="406">
        <v>692.00274000000002</v>
      </c>
      <c r="Q223" s="150">
        <v>692.00274000000002</v>
      </c>
      <c r="R223" s="406">
        <v>692.00274000000002</v>
      </c>
      <c r="S223" s="402">
        <v>692.00274000000002</v>
      </c>
      <c r="T223" s="406">
        <f t="shared" ref="T223:T286" si="155">S223-N223</f>
        <v>684.66408865518963</v>
      </c>
      <c r="U223" s="406">
        <f t="shared" ref="U223:U286" si="156">S223-P223</f>
        <v>0</v>
      </c>
      <c r="V223" s="406">
        <v>0</v>
      </c>
      <c r="W223" s="167">
        <v>420421.92</v>
      </c>
      <c r="X223" s="167">
        <v>420.42192</v>
      </c>
      <c r="Y223" s="406">
        <v>420.42192</v>
      </c>
      <c r="Z223" s="406">
        <v>420.42192</v>
      </c>
      <c r="AA223" s="406">
        <v>0</v>
      </c>
      <c r="AB223" s="406">
        <v>0</v>
      </c>
      <c r="AC223" s="403">
        <v>0</v>
      </c>
      <c r="AD223" s="406">
        <f>'[71]2. подк.неподк.'!X210</f>
        <v>0</v>
      </c>
      <c r="AE223" s="406">
        <f t="shared" si="151"/>
        <v>0</v>
      </c>
      <c r="AF223" s="402">
        <f>AE223</f>
        <v>0</v>
      </c>
      <c r="AG223" s="167">
        <v>0</v>
      </c>
      <c r="AH223" s="406">
        <v>0</v>
      </c>
      <c r="AI223" s="957">
        <f t="shared" si="152"/>
        <v>0</v>
      </c>
      <c r="AJ223" s="957">
        <f t="shared" si="153"/>
        <v>0</v>
      </c>
      <c r="AK223" s="958">
        <f t="shared" ref="AK223:AK228" si="157">AH223</f>
        <v>0</v>
      </c>
      <c r="AL223" s="74"/>
      <c r="AM223" s="52">
        <f t="shared" si="154"/>
        <v>0</v>
      </c>
    </row>
    <row r="224" spans="1:39" ht="33" customHeight="1" outlineLevel="2">
      <c r="A224" s="139" t="s">
        <v>1045</v>
      </c>
      <c r="B224" s="406" t="s">
        <v>1046</v>
      </c>
      <c r="C224" s="198" t="s">
        <v>1047</v>
      </c>
      <c r="D224" s="956" t="s">
        <v>1137</v>
      </c>
      <c r="E224" s="148" t="s">
        <v>1048</v>
      </c>
      <c r="F224" s="149" t="s">
        <v>1049</v>
      </c>
      <c r="G224" s="406" t="s">
        <v>121</v>
      </c>
      <c r="H224" s="406">
        <v>1459.2944047673459</v>
      </c>
      <c r="I224" s="406">
        <v>2546.5122500000002</v>
      </c>
      <c r="J224" s="406">
        <v>2546.5100000000002</v>
      </c>
      <c r="K224" s="406">
        <v>1601.2447871906013</v>
      </c>
      <c r="L224" s="406">
        <v>2437.5476500000004</v>
      </c>
      <c r="M224" s="406">
        <v>2437.5500000000002</v>
      </c>
      <c r="N224" s="406">
        <v>735.30390563933986</v>
      </c>
      <c r="O224" s="406">
        <v>2750.7380400000002</v>
      </c>
      <c r="P224" s="406">
        <v>2746.2692400000001</v>
      </c>
      <c r="Q224" s="150">
        <v>2746.2692400000001</v>
      </c>
      <c r="R224" s="406">
        <v>2746.2692400000001</v>
      </c>
      <c r="S224" s="402">
        <v>2746.2692400000001</v>
      </c>
      <c r="T224" s="406">
        <f t="shared" si="155"/>
        <v>2010.9653343606601</v>
      </c>
      <c r="U224" s="406">
        <f t="shared" si="156"/>
        <v>0</v>
      </c>
      <c r="V224" s="406">
        <v>775.74562044950346</v>
      </c>
      <c r="W224" s="167">
        <v>3062633.77</v>
      </c>
      <c r="X224" s="167">
        <v>3062.6337699999999</v>
      </c>
      <c r="Y224" s="406">
        <v>3062.6337699999995</v>
      </c>
      <c r="Z224" s="406">
        <v>3057.4465499999997</v>
      </c>
      <c r="AA224" s="406">
        <v>4.9342600000000001</v>
      </c>
      <c r="AB224" s="406">
        <v>0.25296000000000002</v>
      </c>
      <c r="AC224" s="403">
        <v>810.6541733697311</v>
      </c>
      <c r="AD224" s="406">
        <f>'[71]2. подк.неподк.'!X211</f>
        <v>4726.3938042086411</v>
      </c>
      <c r="AE224" s="406">
        <f t="shared" si="151"/>
        <v>804.33321134565722</v>
      </c>
      <c r="AF224" s="402">
        <f t="shared" ref="AF224:AF285" si="158">AE224</f>
        <v>804.33321134565722</v>
      </c>
      <c r="AG224" s="167">
        <v>843.0803403045204</v>
      </c>
      <c r="AH224" s="406">
        <v>4245.5</v>
      </c>
      <c r="AI224" s="957">
        <f t="shared" si="152"/>
        <v>1.3862251639705521</v>
      </c>
      <c r="AJ224" s="957">
        <f t="shared" si="153"/>
        <v>3402.4196596954798</v>
      </c>
      <c r="AK224" s="958">
        <f t="shared" si="157"/>
        <v>4245.5</v>
      </c>
      <c r="AL224" s="74"/>
      <c r="AM224" s="52">
        <f t="shared" si="154"/>
        <v>3402.4196596954798</v>
      </c>
    </row>
    <row r="225" spans="1:39" ht="33" customHeight="1" outlineLevel="2">
      <c r="A225" s="139" t="s">
        <v>1050</v>
      </c>
      <c r="B225" s="406" t="s">
        <v>1051</v>
      </c>
      <c r="C225" s="198" t="s">
        <v>1052</v>
      </c>
      <c r="D225" s="956" t="s">
        <v>1143</v>
      </c>
      <c r="E225" s="148" t="s">
        <v>1053</v>
      </c>
      <c r="F225" s="149" t="s">
        <v>1054</v>
      </c>
      <c r="G225" s="406" t="s">
        <v>121</v>
      </c>
      <c r="H225" s="406">
        <v>0</v>
      </c>
      <c r="I225" s="406">
        <v>64.400000000000006</v>
      </c>
      <c r="J225" s="406">
        <v>0</v>
      </c>
      <c r="K225" s="406">
        <v>0</v>
      </c>
      <c r="L225" s="406">
        <v>0</v>
      </c>
      <c r="M225" s="406">
        <v>0</v>
      </c>
      <c r="N225" s="406">
        <v>0</v>
      </c>
      <c r="O225" s="406">
        <v>0</v>
      </c>
      <c r="P225" s="406">
        <v>0</v>
      </c>
      <c r="Q225" s="150">
        <v>0</v>
      </c>
      <c r="R225" s="406">
        <v>0</v>
      </c>
      <c r="S225" s="402">
        <v>0</v>
      </c>
      <c r="T225" s="406">
        <f t="shared" si="155"/>
        <v>0</v>
      </c>
      <c r="U225" s="406">
        <f t="shared" si="156"/>
        <v>0</v>
      </c>
      <c r="V225" s="406">
        <v>0</v>
      </c>
      <c r="W225" s="167">
        <v>0</v>
      </c>
      <c r="X225" s="167">
        <v>0</v>
      </c>
      <c r="Y225" s="406">
        <v>0</v>
      </c>
      <c r="Z225" s="406">
        <v>0</v>
      </c>
      <c r="AA225" s="406">
        <v>0</v>
      </c>
      <c r="AB225" s="406">
        <v>0</v>
      </c>
      <c r="AC225" s="403">
        <v>0</v>
      </c>
      <c r="AD225" s="406">
        <f>'[71]2. подк.неподк.'!X212</f>
        <v>1000</v>
      </c>
      <c r="AE225" s="406">
        <f t="shared" si="151"/>
        <v>0</v>
      </c>
      <c r="AF225" s="402">
        <f t="shared" si="158"/>
        <v>0</v>
      </c>
      <c r="AG225" s="167">
        <v>0</v>
      </c>
      <c r="AH225" s="406">
        <v>0</v>
      </c>
      <c r="AI225" s="957" t="e">
        <f t="shared" si="152"/>
        <v>#DIV/0!</v>
      </c>
      <c r="AJ225" s="957">
        <f t="shared" si="153"/>
        <v>0</v>
      </c>
      <c r="AK225" s="958">
        <f t="shared" si="157"/>
        <v>0</v>
      </c>
      <c r="AL225" s="74"/>
      <c r="AM225" s="52">
        <f t="shared" si="154"/>
        <v>0</v>
      </c>
    </row>
    <row r="226" spans="1:39" ht="33" customHeight="1" outlineLevel="2">
      <c r="A226" s="139" t="s">
        <v>1055</v>
      </c>
      <c r="B226" s="406" t="s">
        <v>1056</v>
      </c>
      <c r="C226" s="198" t="s">
        <v>1057</v>
      </c>
      <c r="D226" s="956" t="s">
        <v>1148</v>
      </c>
      <c r="E226" s="148" t="s">
        <v>1058</v>
      </c>
      <c r="F226" s="149" t="s">
        <v>1059</v>
      </c>
      <c r="G226" s="406" t="s">
        <v>121</v>
      </c>
      <c r="H226" s="406">
        <v>157.19110776379011</v>
      </c>
      <c r="I226" s="406">
        <v>337.46643</v>
      </c>
      <c r="J226" s="406">
        <v>337.47</v>
      </c>
      <c r="K226" s="406">
        <v>172.48160554662959</v>
      </c>
      <c r="L226" s="406">
        <v>789.92417999999998</v>
      </c>
      <c r="M226" s="406">
        <v>789.92</v>
      </c>
      <c r="N226" s="406">
        <v>728.22009750244354</v>
      </c>
      <c r="O226" s="406">
        <v>713.59008000000006</v>
      </c>
      <c r="P226" s="406">
        <v>713.59008000000006</v>
      </c>
      <c r="Q226" s="150">
        <v>713.59008000000006</v>
      </c>
      <c r="R226" s="406">
        <v>713.59008000000006</v>
      </c>
      <c r="S226" s="402">
        <v>713.59008000000006</v>
      </c>
      <c r="T226" s="406">
        <f t="shared" si="155"/>
        <v>-14.630017502443479</v>
      </c>
      <c r="U226" s="406">
        <f t="shared" si="156"/>
        <v>0</v>
      </c>
      <c r="V226" s="406">
        <v>768.27220286507793</v>
      </c>
      <c r="W226" s="167">
        <v>675136.98</v>
      </c>
      <c r="X226" s="167">
        <v>675.13697999999999</v>
      </c>
      <c r="Y226" s="406">
        <v>675.13697999999999</v>
      </c>
      <c r="Z226" s="406">
        <v>675.13697999999999</v>
      </c>
      <c r="AA226" s="406">
        <v>0</v>
      </c>
      <c r="AB226" s="406">
        <v>0</v>
      </c>
      <c r="AC226" s="403">
        <v>802.84445199400636</v>
      </c>
      <c r="AD226" s="406">
        <f>'[71]2. подк.неподк.'!X213</f>
        <v>802.84445199400636</v>
      </c>
      <c r="AE226" s="406">
        <f t="shared" si="151"/>
        <v>796.58438517513378</v>
      </c>
      <c r="AF226" s="402">
        <f t="shared" si="158"/>
        <v>796.58438517513378</v>
      </c>
      <c r="AG226" s="167">
        <v>834.95823007376669</v>
      </c>
      <c r="AH226" s="406">
        <v>756.89577600000007</v>
      </c>
      <c r="AI226" s="957">
        <f t="shared" si="152"/>
        <v>1.121099567083409</v>
      </c>
      <c r="AJ226" s="957">
        <f t="shared" si="153"/>
        <v>-78.062454073766617</v>
      </c>
      <c r="AK226" s="965"/>
      <c r="AL226" s="74"/>
      <c r="AM226" s="52">
        <f t="shared" si="154"/>
        <v>-78.062454073766617</v>
      </c>
    </row>
    <row r="227" spans="1:39" ht="33" customHeight="1" outlineLevel="2">
      <c r="A227" s="139" t="s">
        <v>1060</v>
      </c>
      <c r="B227" s="406" t="s">
        <v>1061</v>
      </c>
      <c r="C227" s="198" t="s">
        <v>1062</v>
      </c>
      <c r="D227" s="956" t="s">
        <v>1155</v>
      </c>
      <c r="E227" s="148" t="s">
        <v>1063</v>
      </c>
      <c r="F227" s="149" t="s">
        <v>1064</v>
      </c>
      <c r="G227" s="406" t="s">
        <v>121</v>
      </c>
      <c r="H227" s="406">
        <v>0</v>
      </c>
      <c r="I227" s="406">
        <v>0</v>
      </c>
      <c r="J227" s="406">
        <v>0</v>
      </c>
      <c r="K227" s="406">
        <v>0</v>
      </c>
      <c r="L227" s="406">
        <v>0</v>
      </c>
      <c r="M227" s="406">
        <v>0</v>
      </c>
      <c r="N227" s="406">
        <v>0</v>
      </c>
      <c r="O227" s="406">
        <v>0</v>
      </c>
      <c r="P227" s="406">
        <v>0</v>
      </c>
      <c r="Q227" s="150">
        <v>0</v>
      </c>
      <c r="R227" s="406">
        <v>0</v>
      </c>
      <c r="S227" s="402">
        <v>0</v>
      </c>
      <c r="T227" s="406">
        <f t="shared" si="155"/>
        <v>0</v>
      </c>
      <c r="U227" s="406">
        <f t="shared" si="156"/>
        <v>0</v>
      </c>
      <c r="V227" s="406">
        <v>0</v>
      </c>
      <c r="W227" s="167">
        <v>0</v>
      </c>
      <c r="X227" s="167">
        <v>0</v>
      </c>
      <c r="Y227" s="406">
        <v>0</v>
      </c>
      <c r="Z227" s="406">
        <v>0</v>
      </c>
      <c r="AA227" s="406">
        <v>0</v>
      </c>
      <c r="AB227" s="406">
        <v>0</v>
      </c>
      <c r="AC227" s="403">
        <v>0</v>
      </c>
      <c r="AD227" s="406">
        <f>'[71]2. подк.неподк.'!X214</f>
        <v>0</v>
      </c>
      <c r="AE227" s="406">
        <f t="shared" si="151"/>
        <v>0</v>
      </c>
      <c r="AF227" s="402">
        <f t="shared" si="158"/>
        <v>0</v>
      </c>
      <c r="AG227" s="167">
        <v>0</v>
      </c>
      <c r="AH227" s="406">
        <v>0</v>
      </c>
      <c r="AI227" s="957" t="e">
        <f t="shared" si="152"/>
        <v>#DIV/0!</v>
      </c>
      <c r="AJ227" s="957">
        <f t="shared" si="153"/>
        <v>0</v>
      </c>
      <c r="AK227" s="958">
        <f t="shared" si="157"/>
        <v>0</v>
      </c>
      <c r="AL227" s="74"/>
      <c r="AM227" s="52">
        <f t="shared" si="154"/>
        <v>0</v>
      </c>
    </row>
    <row r="228" spans="1:39" ht="33" customHeight="1" outlineLevel="2">
      <c r="A228" s="139" t="s">
        <v>1065</v>
      </c>
      <c r="B228" s="406" t="s">
        <v>1066</v>
      </c>
      <c r="C228" s="198" t="s">
        <v>1067</v>
      </c>
      <c r="D228" s="956" t="s">
        <v>1160</v>
      </c>
      <c r="E228" s="189" t="s">
        <v>1068</v>
      </c>
      <c r="F228" s="149" t="s">
        <v>1069</v>
      </c>
      <c r="G228" s="406" t="s">
        <v>121</v>
      </c>
      <c r="H228" s="406">
        <v>0</v>
      </c>
      <c r="I228" s="406">
        <v>0</v>
      </c>
      <c r="J228" s="406">
        <v>0</v>
      </c>
      <c r="K228" s="406">
        <v>0</v>
      </c>
      <c r="L228" s="406">
        <v>0</v>
      </c>
      <c r="M228" s="406">
        <v>0</v>
      </c>
      <c r="N228" s="406">
        <v>0</v>
      </c>
      <c r="O228" s="406">
        <v>0</v>
      </c>
      <c r="P228" s="406">
        <v>0</v>
      </c>
      <c r="Q228" s="150">
        <v>0</v>
      </c>
      <c r="R228" s="406">
        <v>0</v>
      </c>
      <c r="S228" s="402">
        <v>0</v>
      </c>
      <c r="T228" s="406">
        <f t="shared" si="155"/>
        <v>0</v>
      </c>
      <c r="U228" s="406">
        <f t="shared" si="156"/>
        <v>0</v>
      </c>
      <c r="V228" s="406">
        <v>0</v>
      </c>
      <c r="W228" s="167">
        <v>0</v>
      </c>
      <c r="X228" s="167">
        <v>0</v>
      </c>
      <c r="Y228" s="406">
        <v>0</v>
      </c>
      <c r="Z228" s="406">
        <v>0</v>
      </c>
      <c r="AA228" s="406">
        <v>0</v>
      </c>
      <c r="AB228" s="406">
        <v>0</v>
      </c>
      <c r="AC228" s="403">
        <v>0</v>
      </c>
      <c r="AD228" s="406">
        <f>'[71]2. подк.неподк.'!X215</f>
        <v>0</v>
      </c>
      <c r="AE228" s="406">
        <f t="shared" si="151"/>
        <v>0</v>
      </c>
      <c r="AF228" s="402">
        <f t="shared" si="158"/>
        <v>0</v>
      </c>
      <c r="AG228" s="167">
        <v>0</v>
      </c>
      <c r="AH228" s="406">
        <v>0</v>
      </c>
      <c r="AI228" s="957" t="e">
        <f t="shared" si="152"/>
        <v>#DIV/0!</v>
      </c>
      <c r="AJ228" s="957">
        <f t="shared" si="153"/>
        <v>0</v>
      </c>
      <c r="AK228" s="958">
        <f t="shared" si="157"/>
        <v>0</v>
      </c>
      <c r="AL228" s="74"/>
      <c r="AM228" s="52">
        <f t="shared" si="154"/>
        <v>0</v>
      </c>
    </row>
    <row r="229" spans="1:39" ht="33" customHeight="1" outlineLevel="1">
      <c r="A229" s="139"/>
      <c r="B229" s="409" t="s">
        <v>1033</v>
      </c>
      <c r="C229" s="141"/>
      <c r="D229" s="406"/>
      <c r="E229" s="410" t="s">
        <v>1071</v>
      </c>
      <c r="F229" s="410" t="s">
        <v>1071</v>
      </c>
      <c r="G229" s="406" t="s">
        <v>121</v>
      </c>
      <c r="H229" s="402">
        <f t="shared" ref="H229:N229" si="159">SUM(H230:H234)</f>
        <v>5182.665</v>
      </c>
      <c r="I229" s="402">
        <f t="shared" si="159"/>
        <v>3407.2187800000002</v>
      </c>
      <c r="J229" s="402">
        <f t="shared" si="159"/>
        <v>2548.0699999999997</v>
      </c>
      <c r="K229" s="402">
        <f t="shared" si="159"/>
        <v>5686.8000828244494</v>
      </c>
      <c r="L229" s="402">
        <f t="shared" si="159"/>
        <v>8089.9306999999999</v>
      </c>
      <c r="M229" s="402">
        <f t="shared" si="159"/>
        <v>585.89</v>
      </c>
      <c r="N229" s="402">
        <f t="shared" si="159"/>
        <v>3951.4904896454455</v>
      </c>
      <c r="O229" s="402">
        <f>SUM(O230:O234)</f>
        <v>4228.9970599999997</v>
      </c>
      <c r="P229" s="402">
        <f t="shared" ref="P229:AK229" si="160">SUM(P230:P234)</f>
        <v>4034.8852999999999</v>
      </c>
      <c r="Q229" s="145">
        <f t="shared" si="160"/>
        <v>4034.8852999999999</v>
      </c>
      <c r="R229" s="402">
        <f t="shared" si="160"/>
        <v>4034.8852999999999</v>
      </c>
      <c r="S229" s="402">
        <f t="shared" si="160"/>
        <v>4034.8852999999999</v>
      </c>
      <c r="T229" s="402">
        <f t="shared" si="155"/>
        <v>83.394810354554465</v>
      </c>
      <c r="U229" s="402">
        <f t="shared" si="156"/>
        <v>0</v>
      </c>
      <c r="V229" s="402">
        <f t="shared" si="160"/>
        <v>664.47249624999995</v>
      </c>
      <c r="W229" s="402">
        <f t="shared" si="160"/>
        <v>4772262.2</v>
      </c>
      <c r="X229" s="402">
        <f t="shared" si="160"/>
        <v>4772.2622000000001</v>
      </c>
      <c r="Y229" s="402">
        <f t="shared" si="160"/>
        <v>4772.2621999999992</v>
      </c>
      <c r="Z229" s="168">
        <f t="shared" si="160"/>
        <v>4559.2133100000001</v>
      </c>
      <c r="AA229" s="402">
        <f t="shared" si="160"/>
        <v>163.18639000000002</v>
      </c>
      <c r="AB229" s="402">
        <f t="shared" si="160"/>
        <v>49.862499999999997</v>
      </c>
      <c r="AC229" s="170">
        <f t="shared" si="160"/>
        <v>694.37375858124994</v>
      </c>
      <c r="AD229" s="170">
        <f t="shared" si="160"/>
        <v>4728.9484599999996</v>
      </c>
      <c r="AE229" s="170">
        <f t="shared" si="160"/>
        <v>688.95947675468415</v>
      </c>
      <c r="AF229" s="170">
        <f t="shared" si="160"/>
        <v>688.95947675468415</v>
      </c>
      <c r="AG229" s="170">
        <f t="shared" si="160"/>
        <v>722.14870892449994</v>
      </c>
      <c r="AH229" s="173">
        <f t="shared" si="160"/>
        <v>2436.8737499999997</v>
      </c>
      <c r="AI229" s="974">
        <f t="shared" si="152"/>
        <v>0.5106328294367396</v>
      </c>
      <c r="AJ229" s="975">
        <f t="shared" si="160"/>
        <v>1714.7250410754998</v>
      </c>
      <c r="AK229" s="975">
        <f t="shared" si="160"/>
        <v>2436.8737499999997</v>
      </c>
      <c r="AL229" s="74"/>
    </row>
    <row r="230" spans="1:39" ht="33" customHeight="1" outlineLevel="2">
      <c r="A230" s="139" t="s">
        <v>1072</v>
      </c>
      <c r="B230" s="406" t="s">
        <v>1073</v>
      </c>
      <c r="C230" s="198" t="s">
        <v>1074</v>
      </c>
      <c r="D230" s="956" t="s">
        <v>1165</v>
      </c>
      <c r="E230" s="148" t="s">
        <v>1075</v>
      </c>
      <c r="F230" s="149" t="s">
        <v>1076</v>
      </c>
      <c r="G230" s="406" t="s">
        <v>121</v>
      </c>
      <c r="H230" s="406">
        <v>1691.3325</v>
      </c>
      <c r="I230" s="406">
        <v>455.76078999999999</v>
      </c>
      <c r="J230" s="406">
        <v>455.76</v>
      </c>
      <c r="K230" s="406">
        <v>1855.8540444122248</v>
      </c>
      <c r="L230" s="406">
        <v>585.88513999999998</v>
      </c>
      <c r="M230" s="406">
        <v>585.89</v>
      </c>
      <c r="N230" s="406">
        <v>584.79219924156894</v>
      </c>
      <c r="O230" s="406">
        <v>594.16305</v>
      </c>
      <c r="P230" s="406">
        <v>582.02267000000006</v>
      </c>
      <c r="Q230" s="150">
        <v>582.02267000000006</v>
      </c>
      <c r="R230" s="406">
        <v>582.02267000000006</v>
      </c>
      <c r="S230" s="402">
        <v>582.02267000000006</v>
      </c>
      <c r="T230" s="406">
        <f t="shared" si="155"/>
        <v>-2.7695292415688755</v>
      </c>
      <c r="U230" s="406">
        <f t="shared" si="156"/>
        <v>0</v>
      </c>
      <c r="V230" s="406">
        <v>664.47249624999995</v>
      </c>
      <c r="W230" s="167">
        <v>556396.85</v>
      </c>
      <c r="X230" s="167">
        <v>556.39684999999997</v>
      </c>
      <c r="Y230" s="406">
        <v>556.39684999999997</v>
      </c>
      <c r="Z230" s="406">
        <v>546.62463000000002</v>
      </c>
      <c r="AA230" s="406">
        <v>8.2705900000000003</v>
      </c>
      <c r="AB230" s="406">
        <v>1.50163</v>
      </c>
      <c r="AC230" s="403">
        <v>694.37375858124994</v>
      </c>
      <c r="AD230" s="406">
        <f>'[71]2. подк.неподк.'!X217</f>
        <v>920.91</v>
      </c>
      <c r="AE230" s="406">
        <f>V230*$AD$11</f>
        <v>688.95947675468415</v>
      </c>
      <c r="AF230" s="402">
        <f t="shared" si="158"/>
        <v>688.95947675468415</v>
      </c>
      <c r="AG230" s="167">
        <v>722.14870892449994</v>
      </c>
      <c r="AH230" s="406">
        <v>946.61374999999998</v>
      </c>
      <c r="AI230" s="957">
        <f t="shared" si="152"/>
        <v>1.7013283773982546</v>
      </c>
      <c r="AJ230" s="957">
        <f t="shared" si="153"/>
        <v>224.46504107550004</v>
      </c>
      <c r="AK230" s="958">
        <f>AH230</f>
        <v>946.61374999999998</v>
      </c>
      <c r="AL230" s="74"/>
      <c r="AM230" s="52">
        <f>AH230-AG230</f>
        <v>224.46504107550004</v>
      </c>
    </row>
    <row r="231" spans="1:39" ht="33" customHeight="1" outlineLevel="2">
      <c r="A231" s="139" t="s">
        <v>1077</v>
      </c>
      <c r="B231" s="406" t="s">
        <v>1078</v>
      </c>
      <c r="C231" s="198" t="s">
        <v>1079</v>
      </c>
      <c r="D231" s="956" t="s">
        <v>1170</v>
      </c>
      <c r="E231" s="148" t="s">
        <v>1080</v>
      </c>
      <c r="F231" s="149" t="s">
        <v>1081</v>
      </c>
      <c r="G231" s="406" t="s">
        <v>121</v>
      </c>
      <c r="H231" s="406">
        <v>1691.3325</v>
      </c>
      <c r="I231" s="406">
        <v>859.14836000000003</v>
      </c>
      <c r="J231" s="406">
        <v>0</v>
      </c>
      <c r="K231" s="406">
        <v>1855.8540444122248</v>
      </c>
      <c r="L231" s="406">
        <v>0</v>
      </c>
      <c r="M231" s="406">
        <v>0</v>
      </c>
      <c r="N231" s="406">
        <v>1129.6982904038766</v>
      </c>
      <c r="O231" s="406">
        <v>984.11404000000005</v>
      </c>
      <c r="P231" s="406">
        <v>930.62285999999995</v>
      </c>
      <c r="Q231" s="150">
        <v>930.62285999999995</v>
      </c>
      <c r="R231" s="406">
        <v>930.62285999999995</v>
      </c>
      <c r="S231" s="402">
        <v>930.62285999999995</v>
      </c>
      <c r="T231" s="406">
        <f t="shared" si="155"/>
        <v>-199.07543040387668</v>
      </c>
      <c r="U231" s="406">
        <f t="shared" si="156"/>
        <v>0</v>
      </c>
      <c r="V231" s="406">
        <v>0</v>
      </c>
      <c r="W231" s="167">
        <v>854300.02</v>
      </c>
      <c r="X231" s="167">
        <v>854.30002000000002</v>
      </c>
      <c r="Y231" s="406">
        <v>854.30002000000002</v>
      </c>
      <c r="Z231" s="406">
        <v>806.13731999999993</v>
      </c>
      <c r="AA231" s="406">
        <v>36.040039999999998</v>
      </c>
      <c r="AB231" s="406">
        <v>12.12266</v>
      </c>
      <c r="AC231" s="403">
        <v>0</v>
      </c>
      <c r="AD231" s="406">
        <f>'[71]2. подк.неподк.'!X218</f>
        <v>1166.4000000000001</v>
      </c>
      <c r="AE231" s="406">
        <f>V231*$AD$11</f>
        <v>0</v>
      </c>
      <c r="AF231" s="402">
        <f t="shared" si="158"/>
        <v>0</v>
      </c>
      <c r="AG231" s="167">
        <v>0</v>
      </c>
      <c r="AH231" s="406">
        <v>1030.7999999999997</v>
      </c>
      <c r="AI231" s="957">
        <f t="shared" si="152"/>
        <v>1.2066018680416275</v>
      </c>
      <c r="AJ231" s="957">
        <f t="shared" si="153"/>
        <v>1030.7999999999997</v>
      </c>
      <c r="AK231" s="958">
        <f t="shared" ref="AK231:AK234" si="161">AH231</f>
        <v>1030.7999999999997</v>
      </c>
      <c r="AL231" s="74"/>
      <c r="AM231" s="52">
        <f>AH231-AG231</f>
        <v>1030.7999999999997</v>
      </c>
    </row>
    <row r="232" spans="1:39" ht="33" customHeight="1" outlineLevel="2">
      <c r="A232" s="139" t="s">
        <v>1082</v>
      </c>
      <c r="B232" s="406" t="s">
        <v>1083</v>
      </c>
      <c r="C232" s="198" t="s">
        <v>1084</v>
      </c>
      <c r="D232" s="956" t="s">
        <v>1175</v>
      </c>
      <c r="E232" s="148" t="s">
        <v>1085</v>
      </c>
      <c r="F232" s="410"/>
      <c r="G232" s="406" t="s">
        <v>121</v>
      </c>
      <c r="H232" s="406">
        <v>0</v>
      </c>
      <c r="I232" s="406">
        <v>0</v>
      </c>
      <c r="J232" s="406">
        <v>0</v>
      </c>
      <c r="K232" s="406">
        <v>0</v>
      </c>
      <c r="L232" s="406">
        <v>0</v>
      </c>
      <c r="M232" s="406">
        <v>0</v>
      </c>
      <c r="N232" s="406">
        <v>0</v>
      </c>
      <c r="O232" s="406">
        <v>288.09564</v>
      </c>
      <c r="P232" s="406">
        <v>287.16131000000001</v>
      </c>
      <c r="Q232" s="150">
        <v>287.16131000000001</v>
      </c>
      <c r="R232" s="406">
        <v>287.16131000000001</v>
      </c>
      <c r="S232" s="402">
        <v>287.16131000000001</v>
      </c>
      <c r="T232" s="406">
        <f t="shared" si="155"/>
        <v>287.16131000000001</v>
      </c>
      <c r="U232" s="406">
        <f t="shared" si="156"/>
        <v>0</v>
      </c>
      <c r="V232" s="406">
        <v>0</v>
      </c>
      <c r="W232" s="167">
        <v>334689.48</v>
      </c>
      <c r="X232" s="167">
        <v>334.68948</v>
      </c>
      <c r="Y232" s="406">
        <v>334.68948</v>
      </c>
      <c r="Z232" s="406">
        <v>333.58797999999996</v>
      </c>
      <c r="AA232" s="406">
        <v>0.94894000000000001</v>
      </c>
      <c r="AB232" s="406">
        <v>0.15256</v>
      </c>
      <c r="AC232" s="403">
        <v>0</v>
      </c>
      <c r="AD232" s="406">
        <f>'[71]2. подк.неподк.'!X219</f>
        <v>406.56</v>
      </c>
      <c r="AE232" s="406">
        <f>V232*$AD$11</f>
        <v>0</v>
      </c>
      <c r="AF232" s="402">
        <f t="shared" si="158"/>
        <v>0</v>
      </c>
      <c r="AG232" s="167">
        <v>0</v>
      </c>
      <c r="AH232" s="406">
        <v>459.46</v>
      </c>
      <c r="AI232" s="957">
        <f t="shared" si="152"/>
        <v>1.3727948664535257</v>
      </c>
      <c r="AJ232" s="957">
        <f t="shared" si="153"/>
        <v>459.46</v>
      </c>
      <c r="AK232" s="958">
        <f t="shared" si="161"/>
        <v>459.46</v>
      </c>
      <c r="AL232" s="74"/>
      <c r="AM232" s="52">
        <f>AH232-AG232</f>
        <v>459.46</v>
      </c>
    </row>
    <row r="233" spans="1:39" ht="33" customHeight="1" outlineLevel="2">
      <c r="A233" s="139" t="s">
        <v>1086</v>
      </c>
      <c r="B233" s="406" t="s">
        <v>1087</v>
      </c>
      <c r="C233" s="198" t="s">
        <v>1088</v>
      </c>
      <c r="D233" s="956" t="s">
        <v>1180</v>
      </c>
      <c r="E233" s="148" t="s">
        <v>1089</v>
      </c>
      <c r="F233" s="149" t="s">
        <v>1090</v>
      </c>
      <c r="G233" s="406" t="s">
        <v>121</v>
      </c>
      <c r="H233" s="406">
        <v>1800</v>
      </c>
      <c r="I233" s="406">
        <v>2092.3096300000002</v>
      </c>
      <c r="J233" s="406">
        <v>2092.31</v>
      </c>
      <c r="K233" s="406">
        <v>1975.0919939999999</v>
      </c>
      <c r="L233" s="406">
        <v>0</v>
      </c>
      <c r="M233" s="406">
        <v>0</v>
      </c>
      <c r="N233" s="406">
        <v>2237</v>
      </c>
      <c r="O233" s="406">
        <v>2362.6243300000001</v>
      </c>
      <c r="P233" s="406">
        <v>2235.0784600000002</v>
      </c>
      <c r="Q233" s="150">
        <v>2235.0784600000002</v>
      </c>
      <c r="R233" s="406">
        <v>2235.0784600000002</v>
      </c>
      <c r="S233" s="402">
        <v>2235.0784600000002</v>
      </c>
      <c r="T233" s="406">
        <f t="shared" si="155"/>
        <v>-1.9215399999998226</v>
      </c>
      <c r="U233" s="406">
        <f t="shared" si="156"/>
        <v>0</v>
      </c>
      <c r="V233" s="406">
        <v>0</v>
      </c>
      <c r="W233" s="167">
        <v>3026875.85</v>
      </c>
      <c r="X233" s="167">
        <v>3026.8758499999999</v>
      </c>
      <c r="Y233" s="406">
        <v>3026.8758499999994</v>
      </c>
      <c r="Z233" s="406">
        <v>2872.8633799999998</v>
      </c>
      <c r="AA233" s="406">
        <v>117.92682000000001</v>
      </c>
      <c r="AB233" s="406">
        <v>36.085650000000001</v>
      </c>
      <c r="AC233" s="403">
        <v>0</v>
      </c>
      <c r="AD233" s="406">
        <f>'[71]2. подк.неподк.'!X220</f>
        <v>2235.0784600000002</v>
      </c>
      <c r="AE233" s="406">
        <f>V233*$AD$11</f>
        <v>0</v>
      </c>
      <c r="AF233" s="402">
        <f t="shared" si="158"/>
        <v>0</v>
      </c>
      <c r="AG233" s="167">
        <v>0</v>
      </c>
      <c r="AH233" s="406">
        <v>0</v>
      </c>
      <c r="AI233" s="957">
        <f t="shared" si="152"/>
        <v>0</v>
      </c>
      <c r="AJ233" s="957">
        <f t="shared" si="153"/>
        <v>0</v>
      </c>
      <c r="AK233" s="958">
        <f t="shared" si="161"/>
        <v>0</v>
      </c>
      <c r="AL233" s="74"/>
      <c r="AM233" s="52">
        <f>AH233-AG233</f>
        <v>0</v>
      </c>
    </row>
    <row r="234" spans="1:39" ht="33" customHeight="1" outlineLevel="2">
      <c r="A234" s="139"/>
      <c r="B234" s="406" t="s">
        <v>1091</v>
      </c>
      <c r="C234" s="198" t="s">
        <v>1876</v>
      </c>
      <c r="D234" s="956" t="s">
        <v>1185</v>
      </c>
      <c r="E234" s="148" t="s">
        <v>1093</v>
      </c>
      <c r="F234" s="149"/>
      <c r="G234" s="406" t="s">
        <v>121</v>
      </c>
      <c r="H234" s="406">
        <v>0</v>
      </c>
      <c r="I234" s="406">
        <v>0</v>
      </c>
      <c r="J234" s="406">
        <v>0</v>
      </c>
      <c r="K234" s="406">
        <v>0</v>
      </c>
      <c r="L234" s="406">
        <v>7504.0455599999996</v>
      </c>
      <c r="M234" s="406">
        <v>0</v>
      </c>
      <c r="N234" s="406">
        <v>0</v>
      </c>
      <c r="O234" s="406"/>
      <c r="P234" s="406"/>
      <c r="Q234" s="150">
        <v>0</v>
      </c>
      <c r="R234" s="167">
        <v>0</v>
      </c>
      <c r="S234" s="402">
        <v>0</v>
      </c>
      <c r="T234" s="167">
        <f t="shared" si="155"/>
        <v>0</v>
      </c>
      <c r="U234" s="167">
        <f t="shared" si="156"/>
        <v>0</v>
      </c>
      <c r="V234" s="406">
        <v>0</v>
      </c>
      <c r="W234" s="167">
        <v>0</v>
      </c>
      <c r="X234" s="167">
        <v>0</v>
      </c>
      <c r="Y234" s="406"/>
      <c r="Z234" s="406"/>
      <c r="AA234" s="406"/>
      <c r="AB234" s="406"/>
      <c r="AC234" s="403">
        <v>0</v>
      </c>
      <c r="AD234" s="406">
        <v>0</v>
      </c>
      <c r="AE234" s="406">
        <f>V234*$AD$11</f>
        <v>0</v>
      </c>
      <c r="AF234" s="402">
        <f t="shared" si="158"/>
        <v>0</v>
      </c>
      <c r="AG234" s="167">
        <v>0</v>
      </c>
      <c r="AH234" s="406">
        <v>0</v>
      </c>
      <c r="AI234" s="957" t="e">
        <f t="shared" si="152"/>
        <v>#DIV/0!</v>
      </c>
      <c r="AJ234" s="957">
        <f t="shared" si="153"/>
        <v>0</v>
      </c>
      <c r="AK234" s="958">
        <f t="shared" si="161"/>
        <v>0</v>
      </c>
      <c r="AL234" s="74"/>
      <c r="AM234" s="52">
        <f>AH234-AG234</f>
        <v>0</v>
      </c>
    </row>
    <row r="235" spans="1:39" ht="33" customHeight="1" outlineLevel="1">
      <c r="A235" s="408"/>
      <c r="B235" s="409" t="s">
        <v>1070</v>
      </c>
      <c r="C235" s="141"/>
      <c r="D235" s="406"/>
      <c r="E235" s="410" t="s">
        <v>1095</v>
      </c>
      <c r="F235" s="410" t="s">
        <v>1095</v>
      </c>
      <c r="G235" s="406" t="s">
        <v>121</v>
      </c>
      <c r="H235" s="402">
        <f t="shared" ref="H235:J235" si="162">SUM(H236:H240)</f>
        <v>2775.230507184152</v>
      </c>
      <c r="I235" s="402">
        <f t="shared" si="162"/>
        <v>3185.68833</v>
      </c>
      <c r="J235" s="402">
        <f t="shared" si="162"/>
        <v>3184.78836</v>
      </c>
      <c r="K235" s="402">
        <f>SUM(K236:K240)</f>
        <v>3045.1864201355434</v>
      </c>
      <c r="L235" s="402">
        <f t="shared" ref="L235:AK235" si="163">SUM(L236:L240)</f>
        <v>3129.8628799999997</v>
      </c>
      <c r="M235" s="402">
        <f t="shared" si="163"/>
        <v>3129.8599999999997</v>
      </c>
      <c r="N235" s="402">
        <f t="shared" si="163"/>
        <v>2688.2618994274103</v>
      </c>
      <c r="O235" s="402">
        <f t="shared" si="163"/>
        <v>5074.73369</v>
      </c>
      <c r="P235" s="402">
        <f t="shared" si="163"/>
        <v>4839.0552399999997</v>
      </c>
      <c r="Q235" s="145">
        <f t="shared" si="163"/>
        <v>4839.0552399999997</v>
      </c>
      <c r="R235" s="402">
        <f t="shared" si="163"/>
        <v>4839.0552399999997</v>
      </c>
      <c r="S235" s="402">
        <f t="shared" si="163"/>
        <v>4839.0552399999997</v>
      </c>
      <c r="T235" s="402">
        <f t="shared" si="155"/>
        <v>2150.7933405725894</v>
      </c>
      <c r="U235" s="402">
        <f t="shared" si="156"/>
        <v>0</v>
      </c>
      <c r="V235" s="402">
        <f t="shared" si="163"/>
        <v>3114.3808670829167</v>
      </c>
      <c r="W235" s="402">
        <f t="shared" si="163"/>
        <v>4262123.84</v>
      </c>
      <c r="X235" s="402">
        <f t="shared" si="163"/>
        <v>4262.1238400000002</v>
      </c>
      <c r="Y235" s="402">
        <f t="shared" si="163"/>
        <v>4262.1238400000002</v>
      </c>
      <c r="Z235" s="168">
        <f t="shared" si="163"/>
        <v>4038.1878900000006</v>
      </c>
      <c r="AA235" s="402">
        <f t="shared" si="163"/>
        <v>190.33166</v>
      </c>
      <c r="AB235" s="402">
        <f t="shared" si="163"/>
        <v>33.604289999999999</v>
      </c>
      <c r="AC235" s="170">
        <f t="shared" si="163"/>
        <v>3254.5280061016479</v>
      </c>
      <c r="AD235" s="170">
        <f t="shared" si="163"/>
        <v>5677.5950782500004</v>
      </c>
      <c r="AE235" s="170">
        <f t="shared" si="163"/>
        <v>3229.1512812186556</v>
      </c>
      <c r="AF235" s="170">
        <f t="shared" si="163"/>
        <v>3229.1512812186556</v>
      </c>
      <c r="AG235" s="170">
        <f t="shared" si="163"/>
        <v>3384.7091263457137</v>
      </c>
      <c r="AH235" s="173">
        <f t="shared" si="163"/>
        <v>7471.0120012407824</v>
      </c>
      <c r="AI235" s="974">
        <f t="shared" si="152"/>
        <v>1.7528847780361028</v>
      </c>
      <c r="AJ235" s="975">
        <f t="shared" si="163"/>
        <v>4086.3028748950687</v>
      </c>
      <c r="AK235" s="975">
        <f t="shared" si="163"/>
        <v>6588.2479816703835</v>
      </c>
      <c r="AL235" s="74"/>
    </row>
    <row r="236" spans="1:39" ht="33" customHeight="1" outlineLevel="2">
      <c r="A236" s="139" t="s">
        <v>1096</v>
      </c>
      <c r="B236" s="406" t="s">
        <v>1097</v>
      </c>
      <c r="C236" s="198" t="s">
        <v>1098</v>
      </c>
      <c r="D236" s="956" t="s">
        <v>1190</v>
      </c>
      <c r="E236" s="148" t="s">
        <v>1099</v>
      </c>
      <c r="F236" s="149" t="s">
        <v>1100</v>
      </c>
      <c r="G236" s="406" t="s">
        <v>121</v>
      </c>
      <c r="H236" s="406">
        <v>1200</v>
      </c>
      <c r="I236" s="406">
        <v>935</v>
      </c>
      <c r="J236" s="406">
        <v>935</v>
      </c>
      <c r="K236" s="406">
        <v>1316.7279959999998</v>
      </c>
      <c r="L236" s="406">
        <v>1036.5852199999999</v>
      </c>
      <c r="M236" s="406">
        <v>1036.5899999999999</v>
      </c>
      <c r="N236" s="406">
        <v>786.26208967510627</v>
      </c>
      <c r="O236" s="406">
        <v>1045.5140100000001</v>
      </c>
      <c r="P236" s="406">
        <v>985.90191000000004</v>
      </c>
      <c r="Q236" s="150">
        <v>985.90191000000004</v>
      </c>
      <c r="R236" s="406">
        <v>985.90191000000004</v>
      </c>
      <c r="S236" s="402">
        <v>985.90191000000004</v>
      </c>
      <c r="T236" s="406">
        <f t="shared" si="155"/>
        <v>199.63982032489378</v>
      </c>
      <c r="U236" s="406">
        <f t="shared" si="156"/>
        <v>0</v>
      </c>
      <c r="V236" s="406">
        <v>1175.6226337499997</v>
      </c>
      <c r="W236" s="167">
        <v>1094227.55</v>
      </c>
      <c r="X236" s="167">
        <v>1094.2275500000001</v>
      </c>
      <c r="Y236" s="406">
        <v>1094.2275500000001</v>
      </c>
      <c r="Z236" s="406">
        <v>1018.01241</v>
      </c>
      <c r="AA236" s="406">
        <v>64.284400000000005</v>
      </c>
      <c r="AB236" s="406">
        <v>11.93074</v>
      </c>
      <c r="AC236" s="403">
        <v>1228.5256522687496</v>
      </c>
      <c r="AD236" s="406">
        <f>'[71]2. подк.неподк.'!X223</f>
        <v>1255.9100000000001</v>
      </c>
      <c r="AE236" s="406">
        <f>V236*$AD$11</f>
        <v>1218.9463960967723</v>
      </c>
      <c r="AF236" s="402">
        <f t="shared" si="158"/>
        <v>1218.9463960967723</v>
      </c>
      <c r="AG236" s="167">
        <v>1277.6666783594997</v>
      </c>
      <c r="AH236" s="406">
        <v>1367.9939507623606</v>
      </c>
      <c r="AI236" s="957">
        <f t="shared" si="152"/>
        <v>1.2501914713830413</v>
      </c>
      <c r="AJ236" s="957">
        <f t="shared" si="153"/>
        <v>90.327272402860899</v>
      </c>
      <c r="AK236" s="958">
        <f>AH236</f>
        <v>1367.9939507623606</v>
      </c>
      <c r="AL236" s="74"/>
      <c r="AM236" s="52">
        <f t="shared" ref="AM236:AM242" si="164">AH236-AG236</f>
        <v>90.327272402860899</v>
      </c>
    </row>
    <row r="237" spans="1:39" s="200" customFormat="1" ht="99.6" customHeight="1" outlineLevel="2">
      <c r="A237" s="139" t="s">
        <v>1101</v>
      </c>
      <c r="B237" s="406" t="s">
        <v>1102</v>
      </c>
      <c r="C237" s="198" t="s">
        <v>1103</v>
      </c>
      <c r="D237" s="956" t="s">
        <v>1195</v>
      </c>
      <c r="E237" s="148" t="s">
        <v>1104</v>
      </c>
      <c r="F237" s="149" t="s">
        <v>1105</v>
      </c>
      <c r="G237" s="406" t="s">
        <v>121</v>
      </c>
      <c r="H237" s="406">
        <v>424.93776126163908</v>
      </c>
      <c r="I237" s="406">
        <v>974.90022999999997</v>
      </c>
      <c r="J237" s="406">
        <v>974</v>
      </c>
      <c r="K237" s="406">
        <v>466.27287234230369</v>
      </c>
      <c r="L237" s="406">
        <v>1096.7721899999999</v>
      </c>
      <c r="M237" s="406">
        <v>1096.77</v>
      </c>
      <c r="N237" s="406">
        <v>819.81507172678266</v>
      </c>
      <c r="O237" s="406">
        <v>1147.3548999999998</v>
      </c>
      <c r="P237" s="406">
        <v>1074.1103799999999</v>
      </c>
      <c r="Q237" s="150">
        <v>1074.1103799999999</v>
      </c>
      <c r="R237" s="406">
        <v>1074.1103799999999</v>
      </c>
      <c r="S237" s="402">
        <v>1074.1103799999999</v>
      </c>
      <c r="T237" s="406">
        <f t="shared" si="155"/>
        <v>254.29530827321719</v>
      </c>
      <c r="U237" s="406">
        <f t="shared" si="156"/>
        <v>0</v>
      </c>
      <c r="V237" s="406">
        <v>864.90490067175563</v>
      </c>
      <c r="W237" s="167">
        <v>1160713.95</v>
      </c>
      <c r="X237" s="167">
        <v>1160.7139499999998</v>
      </c>
      <c r="Y237" s="406">
        <v>1160.7139500000003</v>
      </c>
      <c r="Z237" s="406">
        <v>1077.0996100000002</v>
      </c>
      <c r="AA237" s="406">
        <v>70.860559999999992</v>
      </c>
      <c r="AB237" s="406">
        <v>12.753780000000001</v>
      </c>
      <c r="AC237" s="403">
        <v>903.82562120198452</v>
      </c>
      <c r="AD237" s="406">
        <f>'[71]2. подк.неподк.'!X224</f>
        <v>1384.53</v>
      </c>
      <c r="AE237" s="406">
        <f>V237*$AD$11</f>
        <v>896.778167903552</v>
      </c>
      <c r="AF237" s="402">
        <f t="shared" si="158"/>
        <v>896.778167903552</v>
      </c>
      <c r="AG237" s="167">
        <v>939.97864605006396</v>
      </c>
      <c r="AH237" s="406">
        <v>2913.4540309080217</v>
      </c>
      <c r="AI237" s="957">
        <f t="shared" si="152"/>
        <v>2.5100534295362111</v>
      </c>
      <c r="AJ237" s="957">
        <f t="shared" si="153"/>
        <v>1973.4753848579576</v>
      </c>
      <c r="AK237" s="958">
        <f t="shared" ref="AK237:AK240" si="165">AH237</f>
        <v>2913.4540309080217</v>
      </c>
      <c r="AL237" s="999" t="s">
        <v>2161</v>
      </c>
      <c r="AM237" s="52">
        <f t="shared" si="164"/>
        <v>1973.4753848579576</v>
      </c>
    </row>
    <row r="238" spans="1:39" ht="33" customHeight="1" outlineLevel="2">
      <c r="A238" s="139" t="s">
        <v>1106</v>
      </c>
      <c r="B238" s="406" t="s">
        <v>1107</v>
      </c>
      <c r="C238" s="198" t="s">
        <v>1108</v>
      </c>
      <c r="D238" s="956" t="s">
        <v>1200</v>
      </c>
      <c r="E238" s="148" t="s">
        <v>1109</v>
      </c>
      <c r="F238" s="149" t="s">
        <v>1110</v>
      </c>
      <c r="G238" s="406" t="s">
        <v>121</v>
      </c>
      <c r="H238" s="406">
        <v>805.26024439638672</v>
      </c>
      <c r="I238" s="406">
        <v>758.95182999999997</v>
      </c>
      <c r="J238" s="406">
        <v>758.95</v>
      </c>
      <c r="K238" s="406">
        <v>883.590589885437</v>
      </c>
      <c r="L238" s="406">
        <v>803.60307</v>
      </c>
      <c r="M238" s="406">
        <v>803.6</v>
      </c>
      <c r="N238" s="406">
        <v>638.21930675780322</v>
      </c>
      <c r="O238" s="406">
        <v>909.11506000000008</v>
      </c>
      <c r="P238" s="406">
        <v>844.19569999999999</v>
      </c>
      <c r="Q238" s="150">
        <v>844.19569999999999</v>
      </c>
      <c r="R238" s="406">
        <v>844.19569999999999</v>
      </c>
      <c r="S238" s="402">
        <v>844.19569999999999</v>
      </c>
      <c r="T238" s="406">
        <f t="shared" si="155"/>
        <v>205.97639324219676</v>
      </c>
      <c r="U238" s="406">
        <f t="shared" si="156"/>
        <v>0</v>
      </c>
      <c r="V238" s="406">
        <v>911.38284999999996</v>
      </c>
      <c r="W238" s="167">
        <v>716794.64</v>
      </c>
      <c r="X238" s="167">
        <v>716.79463999999996</v>
      </c>
      <c r="Y238" s="406">
        <v>716.79463999999996</v>
      </c>
      <c r="Z238" s="406">
        <v>667.41379000000006</v>
      </c>
      <c r="AA238" s="406">
        <v>42.490589999999997</v>
      </c>
      <c r="AB238" s="406">
        <v>6.8902600000000005</v>
      </c>
      <c r="AC238" s="403">
        <v>952.39507824999987</v>
      </c>
      <c r="AD238" s="406">
        <f>'[71]2. подк.неподк.'!X225</f>
        <v>952.39507824999987</v>
      </c>
      <c r="AE238" s="406">
        <f>V238*$AD$11</f>
        <v>944.96891143399637</v>
      </c>
      <c r="AF238" s="402">
        <f t="shared" si="158"/>
        <v>944.96891143399637</v>
      </c>
      <c r="AG238" s="167">
        <v>990.49088137999991</v>
      </c>
      <c r="AH238" s="406">
        <v>882.76401957040002</v>
      </c>
      <c r="AI238" s="957">
        <f t="shared" si="152"/>
        <v>1.2315438346056831</v>
      </c>
      <c r="AJ238" s="957">
        <f t="shared" si="153"/>
        <v>-107.72686180959988</v>
      </c>
      <c r="AK238" s="965"/>
      <c r="AL238" s="74"/>
      <c r="AM238" s="52">
        <f t="shared" si="164"/>
        <v>-107.72686180959988</v>
      </c>
    </row>
    <row r="239" spans="1:39" ht="33" customHeight="1" outlineLevel="2">
      <c r="A239" s="139" t="s">
        <v>1111</v>
      </c>
      <c r="B239" s="406" t="s">
        <v>1112</v>
      </c>
      <c r="C239" s="198" t="s">
        <v>1113</v>
      </c>
      <c r="D239" s="956" t="s">
        <v>1205</v>
      </c>
      <c r="E239" s="148" t="s">
        <v>1114</v>
      </c>
      <c r="F239" s="149" t="s">
        <v>1115</v>
      </c>
      <c r="G239" s="406" t="s">
        <v>121</v>
      </c>
      <c r="H239" s="406">
        <v>195.0325015261262</v>
      </c>
      <c r="I239" s="406">
        <v>344.81790999999998</v>
      </c>
      <c r="J239" s="406">
        <v>344.82</v>
      </c>
      <c r="K239" s="406">
        <v>214.00396240780256</v>
      </c>
      <c r="L239" s="406">
        <v>0</v>
      </c>
      <c r="M239" s="406">
        <v>0</v>
      </c>
      <c r="N239" s="406">
        <v>289.96497376898685</v>
      </c>
      <c r="O239" s="406">
        <v>1774.1974300000002</v>
      </c>
      <c r="P239" s="406">
        <v>1749.5303200000001</v>
      </c>
      <c r="Q239" s="150">
        <v>1749.5303200000001</v>
      </c>
      <c r="R239" s="406">
        <v>1749.5303200000001</v>
      </c>
      <c r="S239" s="402">
        <v>1749.5303200000001</v>
      </c>
      <c r="T239" s="406">
        <f t="shared" si="155"/>
        <v>1459.5653462310133</v>
      </c>
      <c r="U239" s="406">
        <f t="shared" si="156"/>
        <v>0</v>
      </c>
      <c r="V239" s="406">
        <v>0</v>
      </c>
      <c r="W239" s="167">
        <v>1113301.3500000001</v>
      </c>
      <c r="X239" s="167">
        <v>1113.3013500000002</v>
      </c>
      <c r="Y239" s="406">
        <v>1113.3013500000002</v>
      </c>
      <c r="Z239" s="406">
        <v>1113.3013500000002</v>
      </c>
      <c r="AA239" s="406">
        <v>0</v>
      </c>
      <c r="AB239" s="406">
        <v>0</v>
      </c>
      <c r="AC239" s="403">
        <v>0</v>
      </c>
      <c r="AD239" s="406">
        <f>'[71]2. подк.неподк.'!X226</f>
        <v>1876.63</v>
      </c>
      <c r="AE239" s="406">
        <f>V239*$AD$11</f>
        <v>0</v>
      </c>
      <c r="AF239" s="402">
        <f t="shared" si="158"/>
        <v>0</v>
      </c>
      <c r="AG239" s="167">
        <v>0</v>
      </c>
      <c r="AH239" s="406">
        <v>2111.2800000000002</v>
      </c>
      <c r="AI239" s="957">
        <f t="shared" si="152"/>
        <v>1.8964137607486058</v>
      </c>
      <c r="AJ239" s="957">
        <f t="shared" si="153"/>
        <v>2111.2800000000002</v>
      </c>
      <c r="AK239" s="958">
        <f t="shared" si="165"/>
        <v>2111.2800000000002</v>
      </c>
      <c r="AL239" s="74"/>
      <c r="AM239" s="52">
        <f t="shared" si="164"/>
        <v>2111.2800000000002</v>
      </c>
    </row>
    <row r="240" spans="1:39" ht="33" customHeight="1" outlineLevel="2">
      <c r="A240" s="139" t="s">
        <v>1116</v>
      </c>
      <c r="B240" s="406" t="s">
        <v>1117</v>
      </c>
      <c r="C240" s="198" t="s">
        <v>1118</v>
      </c>
      <c r="D240" s="956" t="s">
        <v>1210</v>
      </c>
      <c r="E240" s="148" t="s">
        <v>1119</v>
      </c>
      <c r="F240" s="149" t="s">
        <v>1120</v>
      </c>
      <c r="G240" s="406" t="s">
        <v>121</v>
      </c>
      <c r="H240" s="406">
        <v>150</v>
      </c>
      <c r="I240" s="406">
        <v>172.01836</v>
      </c>
      <c r="J240" s="406">
        <v>172.01836</v>
      </c>
      <c r="K240" s="179">
        <v>164.59099949999998</v>
      </c>
      <c r="L240" s="179">
        <v>192.9024</v>
      </c>
      <c r="M240" s="179">
        <v>192.9</v>
      </c>
      <c r="N240" s="179">
        <v>154.00045749873112</v>
      </c>
      <c r="O240" s="179">
        <v>198.55228999999997</v>
      </c>
      <c r="P240" s="179">
        <v>185.31692999999999</v>
      </c>
      <c r="Q240" s="180">
        <v>185.31692999999999</v>
      </c>
      <c r="R240" s="179">
        <v>185.31692999999999</v>
      </c>
      <c r="S240" s="402">
        <v>185.31692999999999</v>
      </c>
      <c r="T240" s="179">
        <f t="shared" si="155"/>
        <v>31.316472501268862</v>
      </c>
      <c r="U240" s="179">
        <f t="shared" si="156"/>
        <v>0</v>
      </c>
      <c r="V240" s="406">
        <v>162.47048266116133</v>
      </c>
      <c r="W240" s="167">
        <v>177086.35</v>
      </c>
      <c r="X240" s="167">
        <v>177.08635000000001</v>
      </c>
      <c r="Y240" s="406">
        <v>177.08635000000004</v>
      </c>
      <c r="Z240" s="406">
        <v>162.36073000000002</v>
      </c>
      <c r="AA240" s="406">
        <v>12.696110000000001</v>
      </c>
      <c r="AB240" s="406">
        <v>2.0295100000000001</v>
      </c>
      <c r="AC240" s="403">
        <v>169.78165438091358</v>
      </c>
      <c r="AD240" s="406">
        <f>'[71]2. подк.неподк.'!X227</f>
        <v>208.13</v>
      </c>
      <c r="AE240" s="406">
        <f>V240*$AD$11</f>
        <v>168.45780578433488</v>
      </c>
      <c r="AF240" s="402">
        <f t="shared" si="158"/>
        <v>168.45780578433488</v>
      </c>
      <c r="AG240" s="403">
        <v>176.57292055615014</v>
      </c>
      <c r="AH240" s="179">
        <v>195.52</v>
      </c>
      <c r="AI240" s="976">
        <f t="shared" si="152"/>
        <v>1.1040941326081881</v>
      </c>
      <c r="AJ240" s="976">
        <f t="shared" si="153"/>
        <v>18.947079443849873</v>
      </c>
      <c r="AK240" s="958">
        <f t="shared" si="165"/>
        <v>195.52</v>
      </c>
      <c r="AL240" s="74"/>
      <c r="AM240" s="52">
        <f t="shared" si="164"/>
        <v>18.947079443849873</v>
      </c>
    </row>
    <row r="241" spans="1:40" ht="33" customHeight="1" outlineLevel="1">
      <c r="A241" s="139"/>
      <c r="B241" s="409" t="s">
        <v>1094</v>
      </c>
      <c r="C241" s="141"/>
      <c r="D241" s="406"/>
      <c r="E241" s="410" t="s">
        <v>1122</v>
      </c>
      <c r="F241" s="410" t="s">
        <v>1123</v>
      </c>
      <c r="G241" s="406" t="s">
        <v>121</v>
      </c>
      <c r="H241" s="402">
        <f t="shared" ref="H241:J241" si="166">H242</f>
        <v>0</v>
      </c>
      <c r="I241" s="402">
        <f t="shared" si="166"/>
        <v>14.41</v>
      </c>
      <c r="J241" s="402">
        <f t="shared" si="166"/>
        <v>0</v>
      </c>
      <c r="K241" s="402">
        <f>K242</f>
        <v>0</v>
      </c>
      <c r="L241" s="402">
        <f t="shared" ref="L241:AK241" si="167">L242</f>
        <v>13.22683</v>
      </c>
      <c r="M241" s="402">
        <f t="shared" si="167"/>
        <v>0</v>
      </c>
      <c r="N241" s="402">
        <v>0</v>
      </c>
      <c r="O241" s="402">
        <v>0</v>
      </c>
      <c r="P241" s="402">
        <v>0</v>
      </c>
      <c r="Q241" s="145">
        <v>0</v>
      </c>
      <c r="R241" s="402">
        <v>0</v>
      </c>
      <c r="S241" s="402">
        <v>0</v>
      </c>
      <c r="T241" s="402">
        <f t="shared" si="155"/>
        <v>0</v>
      </c>
      <c r="U241" s="402">
        <f t="shared" si="156"/>
        <v>0</v>
      </c>
      <c r="V241" s="402">
        <f t="shared" si="167"/>
        <v>0</v>
      </c>
      <c r="W241" s="402">
        <f t="shared" si="167"/>
        <v>58939.05</v>
      </c>
      <c r="X241" s="402">
        <f t="shared" si="167"/>
        <v>58.939050000000002</v>
      </c>
      <c r="Y241" s="402">
        <f>Y242</f>
        <v>58.939049999999995</v>
      </c>
      <c r="Z241" s="168">
        <f t="shared" si="167"/>
        <v>58.487209999999997</v>
      </c>
      <c r="AA241" s="402">
        <f t="shared" si="167"/>
        <v>0.41960000000000003</v>
      </c>
      <c r="AB241" s="402">
        <f t="shared" si="167"/>
        <v>3.2240000000000005E-2</v>
      </c>
      <c r="AC241" s="170">
        <f t="shared" si="167"/>
        <v>0</v>
      </c>
      <c r="AD241" s="170">
        <f t="shared" si="167"/>
        <v>0</v>
      </c>
      <c r="AE241" s="170">
        <f t="shared" si="167"/>
        <v>0</v>
      </c>
      <c r="AF241" s="170">
        <f t="shared" si="167"/>
        <v>0</v>
      </c>
      <c r="AG241" s="170">
        <f t="shared" si="167"/>
        <v>0</v>
      </c>
      <c r="AH241" s="173">
        <f t="shared" si="167"/>
        <v>0</v>
      </c>
      <c r="AI241" s="974">
        <f t="shared" si="152"/>
        <v>0</v>
      </c>
      <c r="AJ241" s="975">
        <f t="shared" si="167"/>
        <v>0</v>
      </c>
      <c r="AK241" s="975">
        <f t="shared" si="167"/>
        <v>0</v>
      </c>
      <c r="AL241" s="74"/>
      <c r="AM241" s="52">
        <f t="shared" si="164"/>
        <v>0</v>
      </c>
    </row>
    <row r="242" spans="1:40" ht="33" customHeight="1" outlineLevel="2">
      <c r="A242" s="407" t="s">
        <v>1124</v>
      </c>
      <c r="B242" s="406" t="s">
        <v>1125</v>
      </c>
      <c r="C242" s="978" t="s">
        <v>1126</v>
      </c>
      <c r="D242" s="979" t="s">
        <v>1217</v>
      </c>
      <c r="E242" s="164" t="s">
        <v>1127</v>
      </c>
      <c r="F242" s="149" t="s">
        <v>1128</v>
      </c>
      <c r="G242" s="406" t="s">
        <v>121</v>
      </c>
      <c r="H242" s="406">
        <v>0</v>
      </c>
      <c r="I242" s="406">
        <v>14.41</v>
      </c>
      <c r="J242" s="406">
        <v>0</v>
      </c>
      <c r="K242" s="179">
        <v>0</v>
      </c>
      <c r="L242" s="179">
        <v>13.22683</v>
      </c>
      <c r="M242" s="179">
        <v>0</v>
      </c>
      <c r="N242" s="179">
        <v>0</v>
      </c>
      <c r="O242" s="179">
        <v>0</v>
      </c>
      <c r="P242" s="179">
        <v>0</v>
      </c>
      <c r="Q242" s="180">
        <v>0</v>
      </c>
      <c r="R242" s="179">
        <v>0</v>
      </c>
      <c r="S242" s="402">
        <v>0</v>
      </c>
      <c r="T242" s="179">
        <f t="shared" si="155"/>
        <v>0</v>
      </c>
      <c r="U242" s="179">
        <f t="shared" si="156"/>
        <v>0</v>
      </c>
      <c r="V242" s="406">
        <v>0</v>
      </c>
      <c r="W242" s="167">
        <v>58939.05</v>
      </c>
      <c r="X242" s="167">
        <v>58.939050000000002</v>
      </c>
      <c r="Y242" s="406">
        <v>58.939049999999995</v>
      </c>
      <c r="Z242" s="406">
        <v>58.487209999999997</v>
      </c>
      <c r="AA242" s="406">
        <v>0.41960000000000003</v>
      </c>
      <c r="AB242" s="406">
        <v>3.2240000000000005E-2</v>
      </c>
      <c r="AC242" s="403">
        <v>0</v>
      </c>
      <c r="AD242" s="406">
        <f>'[71]2. подк.неподк.'!X229</f>
        <v>0</v>
      </c>
      <c r="AE242" s="406">
        <f>V242*$AD$11</f>
        <v>0</v>
      </c>
      <c r="AF242" s="402">
        <f t="shared" si="158"/>
        <v>0</v>
      </c>
      <c r="AG242" s="403">
        <v>0</v>
      </c>
      <c r="AH242" s="179">
        <v>0</v>
      </c>
      <c r="AI242" s="976">
        <f t="shared" si="152"/>
        <v>0</v>
      </c>
      <c r="AJ242" s="976">
        <f t="shared" si="153"/>
        <v>0</v>
      </c>
      <c r="AK242" s="977"/>
      <c r="AL242" s="74"/>
      <c r="AM242" s="52">
        <f t="shared" si="164"/>
        <v>0</v>
      </c>
    </row>
    <row r="243" spans="1:40" ht="33" customHeight="1" outlineLevel="2">
      <c r="A243" s="407"/>
      <c r="B243" s="151"/>
      <c r="C243" s="201"/>
      <c r="D243" s="1000"/>
      <c r="E243" s="202" t="s">
        <v>1129</v>
      </c>
      <c r="F243" s="203"/>
      <c r="G243" s="151" t="s">
        <v>121</v>
      </c>
      <c r="H243" s="204">
        <f t="shared" ref="H243:J243" si="168">H244</f>
        <v>122841.85</v>
      </c>
      <c r="I243" s="204">
        <f t="shared" si="168"/>
        <v>365166</v>
      </c>
      <c r="J243" s="204">
        <f t="shared" si="168"/>
        <v>145028.34</v>
      </c>
      <c r="K243" s="204">
        <f>K244</f>
        <v>134791.08677484002</v>
      </c>
      <c r="L243" s="204">
        <f>L244+L245</f>
        <v>379717.01</v>
      </c>
      <c r="M243" s="204">
        <f t="shared" ref="M243:S243" si="169">M244+M245</f>
        <v>134791.09</v>
      </c>
      <c r="N243" s="204">
        <f t="shared" si="169"/>
        <v>139673.22</v>
      </c>
      <c r="O243" s="204">
        <f t="shared" si="169"/>
        <v>427241.94519</v>
      </c>
      <c r="P243" s="204">
        <f t="shared" si="169"/>
        <v>419796.17699000001</v>
      </c>
      <c r="Q243" s="205">
        <f t="shared" si="169"/>
        <v>419796.17699000001</v>
      </c>
      <c r="R243" s="204">
        <f t="shared" si="169"/>
        <v>419796.17699000001</v>
      </c>
      <c r="S243" s="402">
        <f t="shared" si="169"/>
        <v>341262.83999999997</v>
      </c>
      <c r="T243" s="206">
        <f t="shared" si="155"/>
        <v>201589.61999999997</v>
      </c>
      <c r="U243" s="206">
        <f t="shared" si="156"/>
        <v>-78533.33699000004</v>
      </c>
      <c r="V243" s="206">
        <f>'[71]2. подк.неподк.'!V230</f>
        <v>147355.24709999998</v>
      </c>
      <c r="W243" s="206">
        <f>W244+W245</f>
        <v>605590126.40999997</v>
      </c>
      <c r="X243" s="206">
        <f>X244+X245</f>
        <v>605590.12641000003</v>
      </c>
      <c r="Y243" s="206">
        <f t="shared" ref="Y243:AB243" si="170">Y244+Y245</f>
        <v>605590.12641000003</v>
      </c>
      <c r="Z243" s="1042">
        <f t="shared" si="170"/>
        <v>596158.74741999991</v>
      </c>
      <c r="AA243" s="206">
        <f t="shared" si="170"/>
        <v>8020.6499500000009</v>
      </c>
      <c r="AB243" s="206">
        <f t="shared" si="170"/>
        <v>1410.7290400000002</v>
      </c>
      <c r="AC243" s="206">
        <f>'[71]2. подк.неподк.'!W230</f>
        <v>153986.23321949996</v>
      </c>
      <c r="AD243" s="175">
        <f>'[71]2. подк.неподк.'!X230</f>
        <v>1018013</v>
      </c>
      <c r="AE243" s="175">
        <f>AE244+AE245</f>
        <v>152785.54720025128</v>
      </c>
      <c r="AF243" s="206">
        <f t="shared" si="158"/>
        <v>152785.54720025128</v>
      </c>
      <c r="AG243" s="204">
        <f>AG244</f>
        <v>160145.68254827996</v>
      </c>
      <c r="AH243" s="1001">
        <f>AH244+AH245</f>
        <v>650406</v>
      </c>
      <c r="AI243" s="1002">
        <f t="shared" si="152"/>
        <v>1.0740036398143957</v>
      </c>
      <c r="AJ243" s="1002">
        <f t="shared" si="153"/>
        <v>490260.31745172001</v>
      </c>
      <c r="AK243" s="1001">
        <f t="shared" ref="AK243" si="171">AK244</f>
        <v>533301</v>
      </c>
      <c r="AL243" s="74"/>
    </row>
    <row r="244" spans="1:40" ht="33.6" customHeight="1">
      <c r="A244" s="1342" t="s">
        <v>1130</v>
      </c>
      <c r="B244" s="1346" t="s">
        <v>1131</v>
      </c>
      <c r="C244" s="198" t="s">
        <v>1132</v>
      </c>
      <c r="D244" s="956" t="s">
        <v>1222</v>
      </c>
      <c r="E244" s="208" t="s">
        <v>1133</v>
      </c>
      <c r="F244" s="1347" t="s">
        <v>1134</v>
      </c>
      <c r="G244" s="1341" t="s">
        <v>121</v>
      </c>
      <c r="H244" s="1338">
        <v>122841.85</v>
      </c>
      <c r="I244" s="406">
        <v>365166</v>
      </c>
      <c r="J244" s="406">
        <v>145028.34</v>
      </c>
      <c r="K244" s="1367">
        <v>134791.08677484002</v>
      </c>
      <c r="L244" s="402">
        <v>153008.24</v>
      </c>
      <c r="M244" s="402">
        <v>134791.09</v>
      </c>
      <c r="N244" s="402">
        <v>139673.22</v>
      </c>
      <c r="O244" s="402">
        <v>292666.12676000001</v>
      </c>
      <c r="P244" s="402">
        <v>289913.17716000002</v>
      </c>
      <c r="Q244" s="145">
        <v>289913.17716000002</v>
      </c>
      <c r="R244" s="402">
        <v>289913.17716000002</v>
      </c>
      <c r="S244" s="402">
        <v>235675.91</v>
      </c>
      <c r="T244" s="402">
        <f t="shared" si="155"/>
        <v>96002.69</v>
      </c>
      <c r="U244" s="402">
        <f t="shared" si="156"/>
        <v>-54237.267160000018</v>
      </c>
      <c r="V244" s="1824">
        <v>147355.24709999998</v>
      </c>
      <c r="W244" s="953">
        <v>301639939.07999998</v>
      </c>
      <c r="X244" s="953">
        <v>301639.93907999998</v>
      </c>
      <c r="Y244" s="406">
        <v>301639.93907999998</v>
      </c>
      <c r="Z244" s="406">
        <v>298925.15002</v>
      </c>
      <c r="AA244" s="406">
        <v>2329.1464700000001</v>
      </c>
      <c r="AB244" s="406">
        <v>385.64259000000004</v>
      </c>
      <c r="AC244" s="1826">
        <v>153986.23321949996</v>
      </c>
      <c r="AD244" s="402">
        <f>'[71]2. подк.неподк.'!X231</f>
        <v>500000</v>
      </c>
      <c r="AE244" s="1338">
        <f>V244*AD11</f>
        <v>152785.54720025128</v>
      </c>
      <c r="AF244" s="402">
        <f t="shared" si="158"/>
        <v>152785.54720025128</v>
      </c>
      <c r="AG244" s="1826">
        <v>160145.68254827996</v>
      </c>
      <c r="AH244" s="402">
        <v>533301</v>
      </c>
      <c r="AI244" s="954">
        <f t="shared" si="152"/>
        <v>1.7680052635820205</v>
      </c>
      <c r="AJ244" s="954">
        <f t="shared" si="153"/>
        <v>373155.31745172001</v>
      </c>
      <c r="AK244" s="259">
        <f>AH244</f>
        <v>533301</v>
      </c>
      <c r="AL244" s="74"/>
      <c r="AM244" s="52">
        <f>AH244-AG244</f>
        <v>373155.31745172001</v>
      </c>
      <c r="AN244" s="191">
        <f>AH243-AG243</f>
        <v>490260.31745172001</v>
      </c>
    </row>
    <row r="245" spans="1:40" ht="33.6" customHeight="1" collapsed="1">
      <c r="A245" s="1343"/>
      <c r="B245" s="1346"/>
      <c r="C245" s="198" t="s">
        <v>1135</v>
      </c>
      <c r="D245" s="956" t="s">
        <v>1227</v>
      </c>
      <c r="E245" s="208" t="s">
        <v>1136</v>
      </c>
      <c r="F245" s="1347"/>
      <c r="G245" s="1341"/>
      <c r="H245" s="1339"/>
      <c r="I245" s="406">
        <v>0</v>
      </c>
      <c r="J245" s="406">
        <v>0</v>
      </c>
      <c r="K245" s="1367"/>
      <c r="L245" s="402">
        <v>226708.77</v>
      </c>
      <c r="M245" s="402">
        <v>0</v>
      </c>
      <c r="N245" s="402">
        <v>0</v>
      </c>
      <c r="O245" s="402">
        <v>134575.81843000001</v>
      </c>
      <c r="P245" s="402">
        <v>129882.99983</v>
      </c>
      <c r="Q245" s="145">
        <v>129882.99983</v>
      </c>
      <c r="R245" s="402">
        <v>129882.99983</v>
      </c>
      <c r="S245" s="402">
        <v>105586.93</v>
      </c>
      <c r="T245" s="402">
        <f t="shared" si="155"/>
        <v>105586.93</v>
      </c>
      <c r="U245" s="402">
        <f t="shared" si="156"/>
        <v>-24296.069830000008</v>
      </c>
      <c r="V245" s="1825"/>
      <c r="W245" s="1003">
        <v>303950187.32999998</v>
      </c>
      <c r="X245" s="953">
        <v>303950.18732999999</v>
      </c>
      <c r="Y245" s="406">
        <v>303950.18732999999</v>
      </c>
      <c r="Z245" s="406">
        <v>297233.59739999997</v>
      </c>
      <c r="AA245" s="406">
        <v>5691.5034800000003</v>
      </c>
      <c r="AB245" s="406">
        <v>1025.08645</v>
      </c>
      <c r="AC245" s="1826"/>
      <c r="AD245" s="402">
        <f>'[71]2. подк.неподк.'!X232</f>
        <v>518013</v>
      </c>
      <c r="AE245" s="1827"/>
      <c r="AF245" s="402">
        <f t="shared" si="158"/>
        <v>0</v>
      </c>
      <c r="AG245" s="1826"/>
      <c r="AH245" s="402">
        <v>117105</v>
      </c>
      <c r="AI245" s="954">
        <f t="shared" si="152"/>
        <v>0.38527694629402748</v>
      </c>
      <c r="AJ245" s="954">
        <f t="shared" si="153"/>
        <v>117105</v>
      </c>
      <c r="AK245" s="259">
        <f t="shared" ref="AK245:AK246" si="172">AH245</f>
        <v>117105</v>
      </c>
      <c r="AL245" s="74"/>
      <c r="AM245" s="52">
        <f>AH245-AG245</f>
        <v>117105</v>
      </c>
    </row>
    <row r="246" spans="1:40" ht="33.6" customHeight="1">
      <c r="A246" s="139" t="s">
        <v>1137</v>
      </c>
      <c r="B246" s="409" t="s">
        <v>1138</v>
      </c>
      <c r="C246" s="198" t="s">
        <v>1139</v>
      </c>
      <c r="D246" s="956" t="s">
        <v>1232</v>
      </c>
      <c r="E246" s="208" t="s">
        <v>1140</v>
      </c>
      <c r="F246" s="410" t="s">
        <v>1141</v>
      </c>
      <c r="G246" s="406" t="s">
        <v>121</v>
      </c>
      <c r="H246" s="406">
        <v>16762.93</v>
      </c>
      <c r="I246" s="406">
        <v>21298.679769999999</v>
      </c>
      <c r="J246" s="406">
        <v>21298.68</v>
      </c>
      <c r="K246" s="402">
        <v>18393.5</v>
      </c>
      <c r="L246" s="402">
        <v>25196.31407</v>
      </c>
      <c r="M246" s="402">
        <v>25196.31</v>
      </c>
      <c r="N246" s="402">
        <v>21298.679769999999</v>
      </c>
      <c r="O246" s="402">
        <v>28593.266530000001</v>
      </c>
      <c r="P246" s="402">
        <v>28494.76209</v>
      </c>
      <c r="Q246" s="145">
        <v>28494.76209</v>
      </c>
      <c r="R246" s="402">
        <v>28494.76209</v>
      </c>
      <c r="S246" s="402">
        <v>28494.76209</v>
      </c>
      <c r="T246" s="402">
        <f t="shared" si="155"/>
        <v>7196.0823200000013</v>
      </c>
      <c r="U246" s="402">
        <f t="shared" si="156"/>
        <v>0</v>
      </c>
      <c r="V246" s="402">
        <v>22470.107157349998</v>
      </c>
      <c r="W246" s="953">
        <v>32344038.91</v>
      </c>
      <c r="X246" s="953">
        <v>32344.038909999999</v>
      </c>
      <c r="Y246" s="406">
        <v>32344.038909999999</v>
      </c>
      <c r="Z246" s="166">
        <v>32239.048649999997</v>
      </c>
      <c r="AA246" s="406">
        <v>90.940100000000001</v>
      </c>
      <c r="AB246" s="406">
        <v>14.05016</v>
      </c>
      <c r="AC246" s="170">
        <v>23481.261979430747</v>
      </c>
      <c r="AD246" s="402">
        <f>'[71]2. подк.неподк.'!X233</f>
        <v>38592.99</v>
      </c>
      <c r="AE246" s="406">
        <f>V246*$AD$11</f>
        <v>23298.17013814368</v>
      </c>
      <c r="AF246" s="402">
        <f t="shared" si="158"/>
        <v>23298.17013814368</v>
      </c>
      <c r="AG246" s="170">
        <v>24420.512458607976</v>
      </c>
      <c r="AH246" s="402">
        <v>43156.39</v>
      </c>
      <c r="AI246" s="954">
        <f t="shared" si="152"/>
        <v>1.3342919268705518</v>
      </c>
      <c r="AJ246" s="954">
        <f t="shared" si="153"/>
        <v>18735.877541392023</v>
      </c>
      <c r="AK246" s="259">
        <f t="shared" si="172"/>
        <v>43156.39</v>
      </c>
      <c r="AL246" s="74"/>
      <c r="AM246" s="52">
        <f>AH246-AG246</f>
        <v>18735.877541392023</v>
      </c>
    </row>
    <row r="247" spans="1:40" s="214" customFormat="1" ht="21.75" customHeight="1">
      <c r="A247" s="211"/>
      <c r="B247" s="166"/>
      <c r="C247" s="212"/>
      <c r="D247" s="1004"/>
      <c r="E247" s="213" t="s">
        <v>1142</v>
      </c>
      <c r="F247" s="213" t="s">
        <v>1142</v>
      </c>
      <c r="G247" s="168" t="s">
        <v>121</v>
      </c>
      <c r="H247" s="168">
        <f t="shared" ref="H247:J247" si="173">H29+H95+H96+H113+H129+H244+H246</f>
        <v>1612170.9103215688</v>
      </c>
      <c r="I247" s="168">
        <f t="shared" si="173"/>
        <v>1943860.97095</v>
      </c>
      <c r="J247" s="168">
        <f t="shared" si="173"/>
        <v>1602820.2280177155</v>
      </c>
      <c r="K247" s="168">
        <f>K29+K95+K96+K113+K129+K244+K246</f>
        <v>1768857.1430750673</v>
      </c>
      <c r="L247" s="168">
        <f t="shared" ref="L247:S247" si="174">L29+L95+L96+L113+L129+L244+L245+L246</f>
        <v>2059211.8763689999</v>
      </c>
      <c r="M247" s="168">
        <f t="shared" si="174"/>
        <v>1749169.1986700001</v>
      </c>
      <c r="N247" s="168">
        <f t="shared" si="174"/>
        <v>1655457.4148923224</v>
      </c>
      <c r="O247" s="168">
        <f t="shared" si="174"/>
        <v>2252764.3344800002</v>
      </c>
      <c r="P247" s="168">
        <f t="shared" si="174"/>
        <v>2161665.4932500003</v>
      </c>
      <c r="Q247" s="168">
        <f t="shared" si="174"/>
        <v>2117678.8413225324</v>
      </c>
      <c r="R247" s="168">
        <f t="shared" si="174"/>
        <v>2120815.0690725325</v>
      </c>
      <c r="S247" s="168">
        <f t="shared" si="174"/>
        <v>2016701.8244825325</v>
      </c>
      <c r="T247" s="168">
        <f t="shared" si="155"/>
        <v>361244.40959021007</v>
      </c>
      <c r="U247" s="168">
        <f t="shared" si="156"/>
        <v>-144963.66876746784</v>
      </c>
      <c r="V247" s="168">
        <f>V29+V95+V96+V113+V129+V244+V245+V246</f>
        <v>1788344.6121256349</v>
      </c>
      <c r="W247" s="168">
        <f>W29+W95+W96+W113+W129+W244+W245+W246</f>
        <v>2501011612.9129996</v>
      </c>
      <c r="X247" s="168">
        <f>X29+X95+X96+X113+X129+X244+X245+X246</f>
        <v>2501011.6096530003</v>
      </c>
      <c r="Y247" s="168">
        <f t="shared" ref="Y247:AK247" si="175">Y29+Y95+Y96+Y113+Y129+Y244+Y245+Y246</f>
        <v>2501011.6161099998</v>
      </c>
      <c r="Z247" s="168">
        <f t="shared" si="175"/>
        <v>2396659.0879199998</v>
      </c>
      <c r="AA247" s="168">
        <f t="shared" si="175"/>
        <v>75357.000760000024</v>
      </c>
      <c r="AB247" s="168">
        <f t="shared" si="175"/>
        <v>28995.531719999995</v>
      </c>
      <c r="AC247" s="168">
        <f t="shared" si="175"/>
        <v>1868820.1185480736</v>
      </c>
      <c r="AD247" s="168">
        <f t="shared" si="175"/>
        <v>4313752.224070536</v>
      </c>
      <c r="AE247" s="168">
        <f>AE29+AE95+AE96+AE113+AE129+AE244+AE245+AE246</f>
        <v>1854248.2573478469</v>
      </c>
      <c r="AF247" s="168">
        <f>AF29+AF95+AF96+AF113+AF129+AF244+AF245+AF246</f>
        <v>1854248.2573478469</v>
      </c>
      <c r="AG247" s="168">
        <f t="shared" si="175"/>
        <v>1943572.9273249917</v>
      </c>
      <c r="AH247" s="168">
        <f t="shared" si="175"/>
        <v>4963470.6349882791</v>
      </c>
      <c r="AI247" s="1005">
        <f t="shared" si="152"/>
        <v>1.9845852037755753</v>
      </c>
      <c r="AJ247" s="1006">
        <f t="shared" si="175"/>
        <v>3019897.7076632869</v>
      </c>
      <c r="AK247" s="1006">
        <f t="shared" si="175"/>
        <v>4797253.5527352802</v>
      </c>
      <c r="AL247" s="356"/>
      <c r="AM247" s="1007">
        <f>SUM(AM31:AM246)</f>
        <v>3019897.7076632893</v>
      </c>
    </row>
    <row r="248" spans="1:40" ht="33" customHeight="1">
      <c r="A248" s="139" t="s">
        <v>1143</v>
      </c>
      <c r="B248" s="409" t="s">
        <v>1144</v>
      </c>
      <c r="C248" s="240" t="s">
        <v>1145</v>
      </c>
      <c r="D248" s="956" t="s">
        <v>1239</v>
      </c>
      <c r="E248" s="410" t="s">
        <v>1146</v>
      </c>
      <c r="F248" s="410" t="s">
        <v>1147</v>
      </c>
      <c r="G248" s="216" t="s">
        <v>552</v>
      </c>
      <c r="H248" s="411">
        <v>242856.14</v>
      </c>
      <c r="I248" s="411">
        <v>209032.18979999999</v>
      </c>
      <c r="J248" s="411">
        <v>209032.18979999999</v>
      </c>
      <c r="K248" s="402">
        <v>266480.56591900397</v>
      </c>
      <c r="L248" s="402">
        <v>252116.268376013</v>
      </c>
      <c r="M248" s="402">
        <v>252116.27</v>
      </c>
      <c r="N248" s="402">
        <v>267108.12723232195</v>
      </c>
      <c r="O248" s="402">
        <v>283140.83447</v>
      </c>
      <c r="P248" s="402">
        <v>262515.55822000001</v>
      </c>
      <c r="Q248" s="145">
        <v>262515.55822000001</v>
      </c>
      <c r="R248" s="402">
        <v>262515.56</v>
      </c>
      <c r="S248" s="402">
        <v>262515.56</v>
      </c>
      <c r="T248" s="402">
        <f t="shared" si="155"/>
        <v>-4592.5672323219478</v>
      </c>
      <c r="U248" s="402">
        <f t="shared" si="156"/>
        <v>1.7799999914132059E-3</v>
      </c>
      <c r="V248" s="402">
        <v>305659.3041537251</v>
      </c>
      <c r="W248" s="953">
        <v>292804215.25</v>
      </c>
      <c r="X248" s="953">
        <v>292804.21525000001</v>
      </c>
      <c r="Y248" s="406">
        <v>292804.21524999989</v>
      </c>
      <c r="Z248" s="166">
        <v>275720.58220999996</v>
      </c>
      <c r="AA248" s="406">
        <v>11037.935570000001</v>
      </c>
      <c r="AB248" s="406">
        <v>6045.6974700000001</v>
      </c>
      <c r="AC248" s="953">
        <v>319413.97284064273</v>
      </c>
      <c r="AD248" s="402">
        <f>'[71]2. подк.неподк.'!X235</f>
        <v>642070.35919999983</v>
      </c>
      <c r="AE248" s="406">
        <f>(AE95+AE96)*30.4%</f>
        <v>316923.38726345182</v>
      </c>
      <c r="AF248" s="402">
        <f t="shared" si="158"/>
        <v>316923.38726345182</v>
      </c>
      <c r="AG248" s="953">
        <v>332190.53175426839</v>
      </c>
      <c r="AH248" s="402">
        <f>681918.8464+56495.4075</f>
        <v>738414.25390000001</v>
      </c>
      <c r="AI248" s="954">
        <f t="shared" si="152"/>
        <v>2.5218702991332704</v>
      </c>
      <c r="AJ248" s="954">
        <f t="shared" si="153"/>
        <v>406223.72214573162</v>
      </c>
      <c r="AK248" s="259">
        <f>AH248</f>
        <v>738414.25390000001</v>
      </c>
      <c r="AL248" s="74"/>
      <c r="AM248" s="191">
        <f>AH247-AG247</f>
        <v>3019897.7076632874</v>
      </c>
    </row>
    <row r="249" spans="1:40" ht="25.5" customHeight="1">
      <c r="A249" s="407" t="s">
        <v>1148</v>
      </c>
      <c r="B249" s="409" t="s">
        <v>1149</v>
      </c>
      <c r="C249" s="240" t="s">
        <v>1150</v>
      </c>
      <c r="D249" s="956" t="s">
        <v>1276</v>
      </c>
      <c r="E249" s="208" t="s">
        <v>1151</v>
      </c>
      <c r="F249" s="410" t="s">
        <v>1152</v>
      </c>
      <c r="G249" s="404" t="s">
        <v>552</v>
      </c>
      <c r="H249" s="217">
        <v>190618.3</v>
      </c>
      <c r="I249" s="217">
        <v>210670</v>
      </c>
      <c r="J249" s="217">
        <v>206821.41</v>
      </c>
      <c r="K249" s="402">
        <v>320675.59000000003</v>
      </c>
      <c r="L249" s="402">
        <v>297196.01500000001</v>
      </c>
      <c r="M249" s="402">
        <v>297196.01500000001</v>
      </c>
      <c r="N249" s="402">
        <v>206057.33</v>
      </c>
      <c r="O249" s="402">
        <v>321828.63365999999</v>
      </c>
      <c r="P249" s="402">
        <v>320542.03473999997</v>
      </c>
      <c r="Q249" s="145">
        <v>320484.65000000002</v>
      </c>
      <c r="R249" s="402">
        <v>320484.65000000002</v>
      </c>
      <c r="S249" s="168">
        <v>320484.65000000002</v>
      </c>
      <c r="T249" s="402">
        <f t="shared" si="155"/>
        <v>114427.32000000004</v>
      </c>
      <c r="U249" s="402">
        <f t="shared" si="156"/>
        <v>-57.384739999950398</v>
      </c>
      <c r="V249" s="402">
        <v>297196.02</v>
      </c>
      <c r="W249" s="953">
        <v>360665697.98000002</v>
      </c>
      <c r="X249" s="953">
        <v>360665.69798</v>
      </c>
      <c r="Y249" s="406">
        <v>360665.69798</v>
      </c>
      <c r="Z249" s="166">
        <v>360093.47420000006</v>
      </c>
      <c r="AA249" s="406">
        <v>463.89358000000004</v>
      </c>
      <c r="AB249" s="406">
        <v>108.33019999999999</v>
      </c>
      <c r="AC249" s="953">
        <v>334238.02499999997</v>
      </c>
      <c r="AD249" s="402">
        <f>'[71]2. подк.неподк.'!X236</f>
        <v>973491.73</v>
      </c>
      <c r="AE249" s="406">
        <v>356306</v>
      </c>
      <c r="AF249" s="402">
        <f>AE249</f>
        <v>356306</v>
      </c>
      <c r="AG249" s="953">
        <v>347607.54599999997</v>
      </c>
      <c r="AH249" s="402">
        <v>645384.33350938186</v>
      </c>
      <c r="AI249" s="954">
        <f t="shared" si="152"/>
        <v>1.7894253241270823</v>
      </c>
      <c r="AJ249" s="954">
        <f t="shared" si="153"/>
        <v>297776.78750938189</v>
      </c>
      <c r="AK249" s="259">
        <f>AH249</f>
        <v>645384.33350938186</v>
      </c>
      <c r="AL249" s="74"/>
    </row>
    <row r="250" spans="1:40" s="224" customFormat="1" ht="33" customHeight="1">
      <c r="A250" s="218"/>
      <c r="B250" s="219" t="s">
        <v>1153</v>
      </c>
      <c r="C250" s="220"/>
      <c r="D250" s="219"/>
      <c r="E250" s="221" t="s">
        <v>1154</v>
      </c>
      <c r="F250" s="221" t="s">
        <v>1154</v>
      </c>
      <c r="G250" s="222" t="s">
        <v>552</v>
      </c>
      <c r="H250" s="223">
        <f t="shared" ref="H250:J250" si="176">SUM(H251:H262)</f>
        <v>1830295.91</v>
      </c>
      <c r="I250" s="223">
        <f t="shared" si="176"/>
        <v>1773388.9077499995</v>
      </c>
      <c r="J250" s="223">
        <f t="shared" si="176"/>
        <v>1771929.0301799998</v>
      </c>
      <c r="K250" s="223">
        <f>SUM(K251:K262)</f>
        <v>1142089.7710558169</v>
      </c>
      <c r="L250" s="223">
        <f>SUM(L251:L262)</f>
        <v>1610485.2276699999</v>
      </c>
      <c r="M250" s="223">
        <f>SUM(M251:M262)</f>
        <v>1602981.1629900001</v>
      </c>
      <c r="N250" s="223">
        <f t="shared" ref="N250" si="177">SUM(N251:N262)</f>
        <v>1371851.0164803262</v>
      </c>
      <c r="O250" s="223">
        <f>SUM(O251:O262)</f>
        <v>1364948.2011299999</v>
      </c>
      <c r="P250" s="223">
        <f t="shared" ref="P250:AK250" si="178">SUM(P251:P262)</f>
        <v>1362495.0174000002</v>
      </c>
      <c r="Q250" s="223">
        <f t="shared" si="178"/>
        <v>1362495.0174</v>
      </c>
      <c r="R250" s="223">
        <f t="shared" si="178"/>
        <v>1362495.0174</v>
      </c>
      <c r="S250" s="223">
        <f t="shared" si="178"/>
        <v>1362495.0174000002</v>
      </c>
      <c r="T250" s="223">
        <f t="shared" si="155"/>
        <v>-9355.9990803259425</v>
      </c>
      <c r="U250" s="223">
        <f t="shared" si="156"/>
        <v>0</v>
      </c>
      <c r="V250" s="223">
        <f t="shared" si="178"/>
        <v>1263084.8551806</v>
      </c>
      <c r="W250" s="223">
        <f t="shared" si="178"/>
        <v>1269641357.8900003</v>
      </c>
      <c r="X250" s="223">
        <f t="shared" si="178"/>
        <v>1269641.3578900001</v>
      </c>
      <c r="Y250" s="223">
        <f t="shared" si="178"/>
        <v>1269641.3578900001</v>
      </c>
      <c r="Z250" s="168">
        <f t="shared" si="178"/>
        <v>1267298.1950999999</v>
      </c>
      <c r="AA250" s="223">
        <f t="shared" si="178"/>
        <v>1963.20956</v>
      </c>
      <c r="AB250" s="223">
        <f t="shared" si="178"/>
        <v>379.95323000000002</v>
      </c>
      <c r="AC250" s="223">
        <f t="shared" si="178"/>
        <v>1319923.673663727</v>
      </c>
      <c r="AD250" s="223">
        <f t="shared" si="178"/>
        <v>1520064.7667064348</v>
      </c>
      <c r="AE250" s="223">
        <f t="shared" si="178"/>
        <v>1279232.5540322866</v>
      </c>
      <c r="AF250" s="223">
        <f t="shared" si="178"/>
        <v>1309946.4342949539</v>
      </c>
      <c r="AG250" s="223">
        <f t="shared" si="178"/>
        <v>1372720.6206102758</v>
      </c>
      <c r="AH250" s="223">
        <f t="shared" si="178"/>
        <v>1948863.3900000001</v>
      </c>
      <c r="AI250" s="1008">
        <f t="shared" si="152"/>
        <v>1.534971571215032</v>
      </c>
      <c r="AJ250" s="1009">
        <f t="shared" si="178"/>
        <v>576142.76938972378</v>
      </c>
      <c r="AK250" s="1009">
        <f t="shared" si="178"/>
        <v>1948863.3900000001</v>
      </c>
      <c r="AL250" s="1010"/>
    </row>
    <row r="251" spans="1:40" ht="28.5" customHeight="1" outlineLevel="1">
      <c r="A251" s="139" t="s">
        <v>1155</v>
      </c>
      <c r="B251" s="176" t="s">
        <v>1156</v>
      </c>
      <c r="C251" s="240" t="s">
        <v>1157</v>
      </c>
      <c r="D251" s="956" t="s">
        <v>1281</v>
      </c>
      <c r="E251" s="148" t="s">
        <v>1158</v>
      </c>
      <c r="F251" s="225" t="s">
        <v>1159</v>
      </c>
      <c r="G251" s="404" t="s">
        <v>552</v>
      </c>
      <c r="H251" s="404">
        <v>144465.29</v>
      </c>
      <c r="I251" s="404">
        <v>144794.01196999999</v>
      </c>
      <c r="J251" s="404">
        <v>144794.01196999999</v>
      </c>
      <c r="K251" s="406">
        <v>158517.90549375699</v>
      </c>
      <c r="L251" s="406">
        <v>126797.00155</v>
      </c>
      <c r="M251" s="406">
        <v>126797</v>
      </c>
      <c r="N251" s="406">
        <v>110968.17</v>
      </c>
      <c r="O251" s="406">
        <v>110968.16979</v>
      </c>
      <c r="P251" s="406">
        <v>110968.16979</v>
      </c>
      <c r="Q251" s="150">
        <v>110968.16979</v>
      </c>
      <c r="R251" s="406">
        <v>110968.16979</v>
      </c>
      <c r="S251" s="406">
        <v>110968.16979</v>
      </c>
      <c r="T251" s="406">
        <f t="shared" si="155"/>
        <v>-2.0999999833293259E-4</v>
      </c>
      <c r="U251" s="406">
        <f t="shared" si="156"/>
        <v>0</v>
      </c>
      <c r="V251" s="406">
        <v>57418.25</v>
      </c>
      <c r="W251" s="167">
        <v>57418245.68</v>
      </c>
      <c r="X251" s="167">
        <v>57418.24568</v>
      </c>
      <c r="Y251" s="406">
        <v>57418.24568</v>
      </c>
      <c r="Z251" s="406">
        <v>57418.24568</v>
      </c>
      <c r="AA251" s="406">
        <v>0</v>
      </c>
      <c r="AB251" s="406">
        <v>0</v>
      </c>
      <c r="AC251" s="406">
        <v>60002.071249999994</v>
      </c>
      <c r="AD251" s="166">
        <v>0</v>
      </c>
      <c r="AE251" s="406">
        <v>0</v>
      </c>
      <c r="AF251" s="402">
        <f t="shared" si="158"/>
        <v>0</v>
      </c>
      <c r="AG251" s="167">
        <v>62402.154099999992</v>
      </c>
      <c r="AH251" s="406">
        <v>629173.43999999994</v>
      </c>
      <c r="AI251" s="957">
        <f t="shared" si="152"/>
        <v>10.957726634604485</v>
      </c>
      <c r="AJ251" s="957">
        <f t="shared" si="153"/>
        <v>566771.2858999999</v>
      </c>
      <c r="AK251" s="958">
        <f>AH251</f>
        <v>629173.43999999994</v>
      </c>
      <c r="AL251" s="74"/>
    </row>
    <row r="252" spans="1:40" ht="28.5" customHeight="1" outlineLevel="1">
      <c r="A252" s="139" t="s">
        <v>1160</v>
      </c>
      <c r="B252" s="176" t="s">
        <v>1161</v>
      </c>
      <c r="C252" s="240" t="s">
        <v>1162</v>
      </c>
      <c r="D252" s="956" t="s">
        <v>1288</v>
      </c>
      <c r="E252" s="148" t="s">
        <v>1163</v>
      </c>
      <c r="F252" s="225" t="s">
        <v>1164</v>
      </c>
      <c r="G252" s="404" t="s">
        <v>552</v>
      </c>
      <c r="H252" s="404">
        <v>318029.19</v>
      </c>
      <c r="I252" s="404">
        <v>262920.66586000001</v>
      </c>
      <c r="J252" s="404">
        <v>262920.66586000001</v>
      </c>
      <c r="K252" s="406">
        <v>348964.93880762695</v>
      </c>
      <c r="L252" s="406">
        <v>185469.95342000001</v>
      </c>
      <c r="M252" s="406">
        <v>185469.95</v>
      </c>
      <c r="N252" s="406">
        <v>152505.99964000002</v>
      </c>
      <c r="O252" s="406">
        <v>154856.07118</v>
      </c>
      <c r="P252" s="406">
        <v>154856.07118</v>
      </c>
      <c r="Q252" s="150">
        <v>154856.07118</v>
      </c>
      <c r="R252" s="406">
        <v>154856.07118</v>
      </c>
      <c r="S252" s="406">
        <v>154856.07118</v>
      </c>
      <c r="T252" s="406">
        <f t="shared" si="155"/>
        <v>2350.0715399999754</v>
      </c>
      <c r="U252" s="406">
        <f t="shared" si="156"/>
        <v>0</v>
      </c>
      <c r="V252" s="406">
        <v>144204.47825999997</v>
      </c>
      <c r="W252" s="167">
        <v>149846233.33000001</v>
      </c>
      <c r="X252" s="167">
        <v>149846.23333000002</v>
      </c>
      <c r="Y252" s="406">
        <v>149846.23333000002</v>
      </c>
      <c r="Z252" s="406">
        <v>149846.23333000002</v>
      </c>
      <c r="AA252" s="406">
        <v>0</v>
      </c>
      <c r="AB252" s="406">
        <v>0</v>
      </c>
      <c r="AC252" s="406">
        <v>150693.67978169996</v>
      </c>
      <c r="AD252" s="406">
        <f>'[71]2. подк.неподк.'!X239</f>
        <v>320096.00685322029</v>
      </c>
      <c r="AE252" s="406">
        <v>173746.64</v>
      </c>
      <c r="AF252" s="402">
        <f t="shared" si="158"/>
        <v>173746.64</v>
      </c>
      <c r="AG252" s="167">
        <v>156721.42697296795</v>
      </c>
      <c r="AH252" s="406">
        <v>480955.39</v>
      </c>
      <c r="AI252" s="957">
        <f t="shared" si="152"/>
        <v>3.2096595243793171</v>
      </c>
      <c r="AJ252" s="957">
        <f t="shared" si="153"/>
        <v>324233.96302703209</v>
      </c>
      <c r="AK252" s="958">
        <f t="shared" ref="AK252:AK262" si="179">AH252</f>
        <v>480955.39</v>
      </c>
      <c r="AL252" s="74"/>
    </row>
    <row r="253" spans="1:40" ht="28.5" customHeight="1" outlineLevel="1">
      <c r="A253" s="139" t="s">
        <v>1165</v>
      </c>
      <c r="B253" s="176" t="s">
        <v>1166</v>
      </c>
      <c r="C253" s="240" t="s">
        <v>1167</v>
      </c>
      <c r="D253" s="956" t="s">
        <v>2162</v>
      </c>
      <c r="E253" s="148" t="s">
        <v>1168</v>
      </c>
      <c r="F253" s="225" t="s">
        <v>1169</v>
      </c>
      <c r="G253" s="404" t="s">
        <v>552</v>
      </c>
      <c r="H253" s="404">
        <v>113326.77</v>
      </c>
      <c r="I253" s="404">
        <v>83450.859200000006</v>
      </c>
      <c r="J253" s="404">
        <v>83450.859200000006</v>
      </c>
      <c r="K253" s="406">
        <v>124350.43889624099</v>
      </c>
      <c r="L253" s="406">
        <v>100013.73493999999</v>
      </c>
      <c r="M253" s="406">
        <v>100013.73</v>
      </c>
      <c r="N253" s="406">
        <v>90494.064429999984</v>
      </c>
      <c r="O253" s="406">
        <v>90494.061379999999</v>
      </c>
      <c r="P253" s="406">
        <v>90480.068419999996</v>
      </c>
      <c r="Q253" s="150">
        <v>90480.068419999996</v>
      </c>
      <c r="R253" s="406">
        <v>90480.068419999996</v>
      </c>
      <c r="S253" s="406">
        <v>90480.068419999996</v>
      </c>
      <c r="T253" s="406">
        <f t="shared" si="155"/>
        <v>-13.996009999988019</v>
      </c>
      <c r="U253" s="406">
        <f t="shared" si="156"/>
        <v>0</v>
      </c>
      <c r="V253" s="406">
        <v>88888.551999999996</v>
      </c>
      <c r="W253" s="167">
        <v>79629913.709999993</v>
      </c>
      <c r="X253" s="167">
        <v>79629.913709999993</v>
      </c>
      <c r="Y253" s="406">
        <v>79629.913709999993</v>
      </c>
      <c r="Z253" s="406">
        <v>79619.67031999999</v>
      </c>
      <c r="AA253" s="406">
        <v>8.5139999999999993</v>
      </c>
      <c r="AB253" s="406">
        <v>1.7293900000000002</v>
      </c>
      <c r="AC253" s="406">
        <v>92888.536839999986</v>
      </c>
      <c r="AD253" s="166">
        <f>'[71]2. подк.неподк.'!X240+60002.0645</f>
        <v>152890.60133999999</v>
      </c>
      <c r="AE253" s="406">
        <v>134303.46</v>
      </c>
      <c r="AF253" s="402">
        <f t="shared" si="158"/>
        <v>134303.46</v>
      </c>
      <c r="AG253" s="167">
        <v>96604.078313599995</v>
      </c>
      <c r="AH253" s="406">
        <v>279673.31</v>
      </c>
      <c r="AI253" s="957">
        <f t="shared" si="152"/>
        <v>3.5121639214444906</v>
      </c>
      <c r="AJ253" s="957">
        <f t="shared" si="153"/>
        <v>183069.23168640002</v>
      </c>
      <c r="AK253" s="958">
        <f t="shared" si="179"/>
        <v>279673.31</v>
      </c>
      <c r="AL253" s="74"/>
    </row>
    <row r="254" spans="1:40" ht="28.5" customHeight="1" outlineLevel="1">
      <c r="A254" s="139" t="s">
        <v>1170</v>
      </c>
      <c r="B254" s="176" t="s">
        <v>1171</v>
      </c>
      <c r="C254" s="240" t="s">
        <v>1172</v>
      </c>
      <c r="D254" s="956" t="s">
        <v>2163</v>
      </c>
      <c r="E254" s="148" t="s">
        <v>1173</v>
      </c>
      <c r="F254" s="225" t="s">
        <v>1174</v>
      </c>
      <c r="G254" s="404" t="s">
        <v>552</v>
      </c>
      <c r="H254" s="404">
        <v>789452.42</v>
      </c>
      <c r="I254" s="404">
        <v>902596.45401999995</v>
      </c>
      <c r="J254" s="404">
        <v>902596.45401999995</v>
      </c>
      <c r="K254" s="406">
        <v>0</v>
      </c>
      <c r="L254" s="406">
        <v>830969.39298999996</v>
      </c>
      <c r="M254" s="406">
        <v>830969.39298999996</v>
      </c>
      <c r="N254" s="406">
        <v>628510.49</v>
      </c>
      <c r="O254" s="406">
        <v>641206.82625000004</v>
      </c>
      <c r="P254" s="406">
        <v>641206.82625000004</v>
      </c>
      <c r="Q254" s="150">
        <v>641206.82625000004</v>
      </c>
      <c r="R254" s="406">
        <v>641206.82625000004</v>
      </c>
      <c r="S254" s="406">
        <v>641206.82625000004</v>
      </c>
      <c r="T254" s="406">
        <f t="shared" si="155"/>
        <v>12696.336250000051</v>
      </c>
      <c r="U254" s="406">
        <f t="shared" si="156"/>
        <v>0</v>
      </c>
      <c r="V254" s="406">
        <v>564085.91</v>
      </c>
      <c r="W254" s="167">
        <v>581730373.75</v>
      </c>
      <c r="X254" s="167">
        <v>581730.37375000003</v>
      </c>
      <c r="Y254" s="406">
        <v>581730.37375000003</v>
      </c>
      <c r="Z254" s="406">
        <v>581730.37375000003</v>
      </c>
      <c r="AA254" s="406">
        <v>0</v>
      </c>
      <c r="AB254" s="406">
        <v>0</v>
      </c>
      <c r="AC254" s="406">
        <v>589469.77595000004</v>
      </c>
      <c r="AD254" s="406">
        <v>589469.77595000004</v>
      </c>
      <c r="AE254" s="406">
        <v>547641.30000000005</v>
      </c>
      <c r="AF254" s="402">
        <f t="shared" si="158"/>
        <v>547641.30000000005</v>
      </c>
      <c r="AG254" s="167">
        <v>613048.56698800006</v>
      </c>
      <c r="AH254" s="406">
        <v>62752.07</v>
      </c>
      <c r="AI254" s="957">
        <f t="shared" si="152"/>
        <v>0.10787140027687096</v>
      </c>
      <c r="AJ254" s="957">
        <f t="shared" si="153"/>
        <v>-550296.49698800012</v>
      </c>
      <c r="AK254" s="958">
        <f t="shared" si="179"/>
        <v>62752.07</v>
      </c>
      <c r="AL254" s="74"/>
    </row>
    <row r="255" spans="1:40" ht="28.5" customHeight="1" outlineLevel="1">
      <c r="A255" s="139" t="s">
        <v>1175</v>
      </c>
      <c r="B255" s="176" t="s">
        <v>1176</v>
      </c>
      <c r="C255" s="240" t="s">
        <v>1177</v>
      </c>
      <c r="D255" s="956" t="s">
        <v>1299</v>
      </c>
      <c r="E255" s="148" t="s">
        <v>1178</v>
      </c>
      <c r="F255" s="225" t="s">
        <v>1179</v>
      </c>
      <c r="G255" s="404" t="s">
        <v>552</v>
      </c>
      <c r="H255" s="404">
        <v>95936.07</v>
      </c>
      <c r="I255" s="404">
        <v>58235.60961</v>
      </c>
      <c r="J255" s="404">
        <v>58235.60961</v>
      </c>
      <c r="K255" s="406">
        <v>105268.08811793099</v>
      </c>
      <c r="L255" s="406">
        <v>68222.991980000006</v>
      </c>
      <c r="M255" s="406">
        <v>68222.990000000005</v>
      </c>
      <c r="N255" s="406">
        <v>66781.149999999994</v>
      </c>
      <c r="O255" s="406">
        <v>62154.389900000002</v>
      </c>
      <c r="P255" s="406">
        <v>62154.389900000002</v>
      </c>
      <c r="Q255" s="150">
        <v>62154.389900000002</v>
      </c>
      <c r="R255" s="406">
        <v>62154.389900000002</v>
      </c>
      <c r="S255" s="406">
        <v>62154.389900000002</v>
      </c>
      <c r="T255" s="406">
        <f t="shared" si="155"/>
        <v>-4626.7600999999922</v>
      </c>
      <c r="U255" s="406">
        <f t="shared" si="156"/>
        <v>0</v>
      </c>
      <c r="V255" s="406">
        <v>72470.539999999994</v>
      </c>
      <c r="W255" s="167">
        <v>62081940.409999996</v>
      </c>
      <c r="X255" s="167">
        <v>62081.940409999996</v>
      </c>
      <c r="Y255" s="406">
        <v>62081.940409999996</v>
      </c>
      <c r="Z255" s="406">
        <v>62081.940409999996</v>
      </c>
      <c r="AA255" s="406">
        <v>0</v>
      </c>
      <c r="AB255" s="406">
        <v>0</v>
      </c>
      <c r="AC255" s="406">
        <v>75731.714299999992</v>
      </c>
      <c r="AD255" s="406">
        <v>75731.714299999992</v>
      </c>
      <c r="AE255" s="406">
        <f t="shared" ref="AE255:AE262" si="180">V255*$AD$11</f>
        <v>75141.206897665339</v>
      </c>
      <c r="AF255" s="402">
        <f t="shared" si="158"/>
        <v>75141.206897665339</v>
      </c>
      <c r="AG255" s="167">
        <v>78760.982871999993</v>
      </c>
      <c r="AH255" s="406">
        <v>77545.600000000006</v>
      </c>
      <c r="AI255" s="957">
        <f t="shared" si="152"/>
        <v>1.2490846691948625</v>
      </c>
      <c r="AJ255" s="957">
        <f t="shared" si="153"/>
        <v>-1215.3828719999874</v>
      </c>
      <c r="AK255" s="958">
        <f t="shared" si="179"/>
        <v>77545.600000000006</v>
      </c>
      <c r="AL255" s="74"/>
    </row>
    <row r="256" spans="1:40" ht="28.5" customHeight="1" outlineLevel="1">
      <c r="A256" s="139" t="s">
        <v>1180</v>
      </c>
      <c r="B256" s="176" t="s">
        <v>1181</v>
      </c>
      <c r="C256" s="240" t="s">
        <v>1182</v>
      </c>
      <c r="D256" s="956" t="s">
        <v>1307</v>
      </c>
      <c r="E256" s="148" t="s">
        <v>1183</v>
      </c>
      <c r="F256" s="225" t="s">
        <v>1184</v>
      </c>
      <c r="G256" s="404" t="s">
        <v>552</v>
      </c>
      <c r="H256" s="404">
        <v>8560.98</v>
      </c>
      <c r="I256" s="404">
        <v>5121.7745400000003</v>
      </c>
      <c r="J256" s="404">
        <v>5121.7745400000003</v>
      </c>
      <c r="K256" s="406">
        <v>9393.7347758339984</v>
      </c>
      <c r="L256" s="406">
        <v>4631.8183399999998</v>
      </c>
      <c r="M256" s="406">
        <v>4631.82</v>
      </c>
      <c r="N256" s="406">
        <v>4140.7700000000004</v>
      </c>
      <c r="O256" s="406">
        <v>4997.1476199999997</v>
      </c>
      <c r="P256" s="406">
        <v>4995.5531100000007</v>
      </c>
      <c r="Q256" s="150">
        <v>4995.5531100000007</v>
      </c>
      <c r="R256" s="406">
        <v>4995.5531100000007</v>
      </c>
      <c r="S256" s="406">
        <v>4995.5531100000007</v>
      </c>
      <c r="T256" s="406">
        <f t="shared" si="155"/>
        <v>854.78311000000031</v>
      </c>
      <c r="U256" s="406">
        <f t="shared" si="156"/>
        <v>0</v>
      </c>
      <c r="V256" s="406">
        <v>5120.3999999999996</v>
      </c>
      <c r="W256" s="167">
        <v>22739184.77</v>
      </c>
      <c r="X256" s="167">
        <v>22739.18477</v>
      </c>
      <c r="Y256" s="406">
        <v>22739.184770000003</v>
      </c>
      <c r="Z256" s="406">
        <v>22736.02592</v>
      </c>
      <c r="AA256" s="406">
        <v>2.6921200000000001</v>
      </c>
      <c r="AB256" s="406">
        <v>0.46673000000000003</v>
      </c>
      <c r="AC256" s="406">
        <v>5350.8179999999993</v>
      </c>
      <c r="AD256" s="406">
        <v>5508.6079430508489</v>
      </c>
      <c r="AE256" s="406">
        <f t="shared" si="180"/>
        <v>5309.0957484076371</v>
      </c>
      <c r="AF256" s="402">
        <f t="shared" si="158"/>
        <v>5309.0957484076371</v>
      </c>
      <c r="AG256" s="167">
        <v>5564.8507199999995</v>
      </c>
      <c r="AH256" s="406">
        <v>36498.230000000003</v>
      </c>
      <c r="AI256" s="957">
        <f t="shared" si="152"/>
        <v>1.6050808491671358</v>
      </c>
      <c r="AJ256" s="957">
        <f t="shared" si="153"/>
        <v>30933.379280000005</v>
      </c>
      <c r="AK256" s="958">
        <f t="shared" si="179"/>
        <v>36498.230000000003</v>
      </c>
      <c r="AL256" s="74"/>
    </row>
    <row r="257" spans="1:38" ht="28.5" customHeight="1" outlineLevel="1">
      <c r="A257" s="139" t="s">
        <v>1185</v>
      </c>
      <c r="B257" s="176" t="s">
        <v>1186</v>
      </c>
      <c r="C257" s="240" t="s">
        <v>1187</v>
      </c>
      <c r="D257" s="956" t="s">
        <v>1311</v>
      </c>
      <c r="E257" s="148" t="s">
        <v>1188</v>
      </c>
      <c r="F257" s="225" t="s">
        <v>1189</v>
      </c>
      <c r="G257" s="404" t="s">
        <v>552</v>
      </c>
      <c r="H257" s="404">
        <v>2685.21</v>
      </c>
      <c r="I257" s="404">
        <v>13724.02434</v>
      </c>
      <c r="J257" s="404">
        <v>13724.02434</v>
      </c>
      <c r="K257" s="406">
        <v>2946.409237893</v>
      </c>
      <c r="L257" s="406">
        <v>9285.9032700000007</v>
      </c>
      <c r="M257" s="406">
        <v>9285.9</v>
      </c>
      <c r="N257" s="406">
        <v>13727.381290326264</v>
      </c>
      <c r="O257" s="406">
        <v>5782.9227999999994</v>
      </c>
      <c r="P257" s="406">
        <v>5772.8763300000001</v>
      </c>
      <c r="Q257" s="150">
        <v>5772.8763300000001</v>
      </c>
      <c r="R257" s="406">
        <v>5772.8763300000001</v>
      </c>
      <c r="S257" s="406">
        <v>5772.8763300000001</v>
      </c>
      <c r="T257" s="406">
        <f t="shared" si="155"/>
        <v>-7954.5049603262642</v>
      </c>
      <c r="U257" s="406">
        <f t="shared" si="156"/>
        <v>0</v>
      </c>
      <c r="V257" s="406">
        <v>12796.04</v>
      </c>
      <c r="W257" s="167">
        <v>8444741.4499999993</v>
      </c>
      <c r="X257" s="167">
        <v>8444.7414499999995</v>
      </c>
      <c r="Y257" s="406">
        <v>8444.7414499999995</v>
      </c>
      <c r="Z257" s="406">
        <v>8431.7502700000005</v>
      </c>
      <c r="AA257" s="406">
        <v>9.8714099999999991</v>
      </c>
      <c r="AB257" s="406">
        <v>3.1197699999999999</v>
      </c>
      <c r="AC257" s="406">
        <v>13371.861800000001</v>
      </c>
      <c r="AD257" s="406">
        <v>13371.861800000001</v>
      </c>
      <c r="AE257" s="406">
        <f t="shared" si="180"/>
        <v>13267.596586292881</v>
      </c>
      <c r="AF257" s="402">
        <f t="shared" si="158"/>
        <v>13267.596586292881</v>
      </c>
      <c r="AG257" s="167">
        <v>13906.736272000002</v>
      </c>
      <c r="AH257" s="406">
        <v>16902.88</v>
      </c>
      <c r="AI257" s="957">
        <f t="shared" si="152"/>
        <v>2.0015864428863006</v>
      </c>
      <c r="AJ257" s="957">
        <f t="shared" si="153"/>
        <v>2996.1437279999991</v>
      </c>
      <c r="AK257" s="958">
        <f t="shared" si="179"/>
        <v>16902.88</v>
      </c>
      <c r="AL257" s="74"/>
    </row>
    <row r="258" spans="1:38" ht="38.25" customHeight="1" outlineLevel="1">
      <c r="A258" s="139" t="s">
        <v>1190</v>
      </c>
      <c r="B258" s="176" t="s">
        <v>1191</v>
      </c>
      <c r="C258" s="240" t="s">
        <v>1192</v>
      </c>
      <c r="D258" s="956" t="s">
        <v>1316</v>
      </c>
      <c r="E258" s="148" t="s">
        <v>1193</v>
      </c>
      <c r="F258" s="225" t="s">
        <v>1194</v>
      </c>
      <c r="G258" s="404" t="s">
        <v>552</v>
      </c>
      <c r="H258" s="404">
        <v>130725.43</v>
      </c>
      <c r="I258" s="404">
        <v>118666.49163999999</v>
      </c>
      <c r="J258" s="404">
        <v>117206.61407000001</v>
      </c>
      <c r="K258" s="406">
        <v>143441.52397001898</v>
      </c>
      <c r="L258" s="406">
        <v>114062.59647999999</v>
      </c>
      <c r="M258" s="406">
        <v>106558.55</v>
      </c>
      <c r="N258" s="406">
        <v>120738.58112</v>
      </c>
      <c r="O258" s="406">
        <v>117310.68969</v>
      </c>
      <c r="P258" s="406">
        <v>115109.19314</v>
      </c>
      <c r="Q258" s="150">
        <v>115032.44422</v>
      </c>
      <c r="R258" s="167">
        <v>115032.44422</v>
      </c>
      <c r="S258" s="167">
        <v>115109.19314</v>
      </c>
      <c r="T258" s="167">
        <f t="shared" si="155"/>
        <v>-5629.3879799999995</v>
      </c>
      <c r="U258" s="167">
        <f t="shared" si="156"/>
        <v>0</v>
      </c>
      <c r="V258" s="406">
        <v>112419.27122059999</v>
      </c>
      <c r="W258" s="167">
        <v>120149259.04000001</v>
      </c>
      <c r="X258" s="167">
        <v>120149.25904</v>
      </c>
      <c r="Y258" s="406">
        <v>120149.25904</v>
      </c>
      <c r="Z258" s="406">
        <v>118045.64634000001</v>
      </c>
      <c r="AA258" s="406">
        <v>1773.4729</v>
      </c>
      <c r="AB258" s="406">
        <v>330.13979999999998</v>
      </c>
      <c r="AC258" s="406">
        <v>117478.13842552698</v>
      </c>
      <c r="AD258" s="406">
        <v>147275.99940890036</v>
      </c>
      <c r="AE258" s="406">
        <f>V258*$AD$11</f>
        <v>116562.11914623319</v>
      </c>
      <c r="AF258" s="953">
        <v>147275.99940890036</v>
      </c>
      <c r="AG258" s="167">
        <v>122177.26396254807</v>
      </c>
      <c r="AH258" s="406">
        <v>147492.71</v>
      </c>
      <c r="AI258" s="957">
        <f t="shared" si="152"/>
        <v>1.227579022779465</v>
      </c>
      <c r="AJ258" s="957">
        <f t="shared" si="153"/>
        <v>25315.446037451926</v>
      </c>
      <c r="AK258" s="965">
        <f>AH258</f>
        <v>147492.71</v>
      </c>
      <c r="AL258" s="74"/>
    </row>
    <row r="259" spans="1:38" ht="28.5" customHeight="1" outlineLevel="1">
      <c r="A259" s="139" t="s">
        <v>1195</v>
      </c>
      <c r="B259" s="176" t="s">
        <v>1196</v>
      </c>
      <c r="C259" s="240" t="s">
        <v>1197</v>
      </c>
      <c r="D259" s="956" t="s">
        <v>1321</v>
      </c>
      <c r="E259" s="148" t="s">
        <v>1198</v>
      </c>
      <c r="F259" s="225" t="s">
        <v>1199</v>
      </c>
      <c r="G259" s="404" t="s">
        <v>552</v>
      </c>
      <c r="H259" s="404">
        <v>10653.58</v>
      </c>
      <c r="I259" s="404">
        <v>5895.0526200000004</v>
      </c>
      <c r="J259" s="404">
        <v>5895.0526200000004</v>
      </c>
      <c r="K259" s="406">
        <v>11689.888883413998</v>
      </c>
      <c r="L259" s="406">
        <v>1633.3358700000001</v>
      </c>
      <c r="M259" s="406">
        <v>1633.34</v>
      </c>
      <c r="N259" s="406">
        <v>1769.02</v>
      </c>
      <c r="O259" s="406">
        <v>953.08475999999996</v>
      </c>
      <c r="P259" s="406">
        <v>953.08475999999996</v>
      </c>
      <c r="Q259" s="150">
        <v>953.08475999999996</v>
      </c>
      <c r="R259" s="406">
        <v>953.08475999999996</v>
      </c>
      <c r="S259" s="406">
        <v>953.08475999999996</v>
      </c>
      <c r="T259" s="406">
        <f t="shared" si="155"/>
        <v>-815.93524000000002</v>
      </c>
      <c r="U259" s="406">
        <f t="shared" si="156"/>
        <v>0</v>
      </c>
      <c r="V259" s="406">
        <v>1723.1736999999998</v>
      </c>
      <c r="W259" s="167">
        <v>0</v>
      </c>
      <c r="X259" s="167">
        <v>0</v>
      </c>
      <c r="Y259" s="406">
        <v>0</v>
      </c>
      <c r="Z259" s="406">
        <v>0</v>
      </c>
      <c r="AA259" s="406">
        <v>0</v>
      </c>
      <c r="AB259" s="406">
        <v>0</v>
      </c>
      <c r="AC259" s="406">
        <v>1800.7165164999997</v>
      </c>
      <c r="AD259" s="406">
        <v>1800.7165164999997</v>
      </c>
      <c r="AE259" s="406">
        <f t="shared" si="180"/>
        <v>1786.6756824540771</v>
      </c>
      <c r="AF259" s="402">
        <f t="shared" si="158"/>
        <v>1786.6756824540771</v>
      </c>
      <c r="AG259" s="167">
        <v>1872.7451771599997</v>
      </c>
      <c r="AH259" s="406">
        <v>1790.8</v>
      </c>
      <c r="AI259" s="957" t="e">
        <f t="shared" si="152"/>
        <v>#DIV/0!</v>
      </c>
      <c r="AJ259" s="957">
        <f t="shared" si="153"/>
        <v>-81.94517715999973</v>
      </c>
      <c r="AK259" s="965">
        <f>AH259</f>
        <v>1790.8</v>
      </c>
      <c r="AL259" s="74"/>
    </row>
    <row r="260" spans="1:38" ht="28.5" customHeight="1" outlineLevel="1">
      <c r="A260" s="139" t="s">
        <v>1200</v>
      </c>
      <c r="B260" s="176" t="s">
        <v>1201</v>
      </c>
      <c r="C260" s="240" t="s">
        <v>1202</v>
      </c>
      <c r="D260" s="956" t="s">
        <v>1326</v>
      </c>
      <c r="E260" s="148" t="s">
        <v>1203</v>
      </c>
      <c r="F260" s="225" t="s">
        <v>1204</v>
      </c>
      <c r="G260" s="404" t="s">
        <v>552</v>
      </c>
      <c r="H260" s="404">
        <v>44464.07</v>
      </c>
      <c r="I260" s="404">
        <v>33688.11778</v>
      </c>
      <c r="J260" s="404">
        <v>33688.11778</v>
      </c>
      <c r="K260" s="406">
        <v>48789.236820330996</v>
      </c>
      <c r="L260" s="406">
        <v>36127.274089999999</v>
      </c>
      <c r="M260" s="406">
        <v>36127.269999999997</v>
      </c>
      <c r="N260" s="406">
        <v>38351.5</v>
      </c>
      <c r="O260" s="406">
        <v>38174.099550000006</v>
      </c>
      <c r="P260" s="406">
        <v>38047.931859999997</v>
      </c>
      <c r="Q260" s="150">
        <v>38047.931859999997</v>
      </c>
      <c r="R260" s="406">
        <v>38047.931859999997</v>
      </c>
      <c r="S260" s="406">
        <v>38047.931859999997</v>
      </c>
      <c r="T260" s="406">
        <f t="shared" si="155"/>
        <v>-303.56814000000304</v>
      </c>
      <c r="U260" s="406">
        <f t="shared" si="156"/>
        <v>0</v>
      </c>
      <c r="V260" s="406">
        <v>43428.9</v>
      </c>
      <c r="W260" s="167">
        <v>42678772.439999998</v>
      </c>
      <c r="X260" s="167">
        <v>42678.772440000001</v>
      </c>
      <c r="Y260" s="406">
        <v>42678.772440000001</v>
      </c>
      <c r="Z260" s="406">
        <v>42547.889479999998</v>
      </c>
      <c r="AA260" s="406">
        <v>111.71246000000001</v>
      </c>
      <c r="AB260" s="406">
        <v>19.170500000000001</v>
      </c>
      <c r="AC260" s="406">
        <v>45383.200499999999</v>
      </c>
      <c r="AD260" s="406">
        <v>46050.558721627123</v>
      </c>
      <c r="AE260" s="406">
        <f t="shared" si="180"/>
        <v>45029.331370209446</v>
      </c>
      <c r="AF260" s="402">
        <f t="shared" si="158"/>
        <v>45029.331370209446</v>
      </c>
      <c r="AG260" s="167">
        <v>47198.52852</v>
      </c>
      <c r="AH260" s="406">
        <v>47550.57</v>
      </c>
      <c r="AI260" s="957">
        <f t="shared" si="152"/>
        <v>1.1141503675357349</v>
      </c>
      <c r="AJ260" s="957">
        <f t="shared" si="153"/>
        <v>352.04147999999986</v>
      </c>
      <c r="AK260" s="965">
        <f t="shared" si="179"/>
        <v>47550.57</v>
      </c>
      <c r="AL260" s="74"/>
    </row>
    <row r="261" spans="1:38" ht="38.25" customHeight="1" outlineLevel="1">
      <c r="A261" s="139" t="s">
        <v>1205</v>
      </c>
      <c r="B261" s="176" t="s">
        <v>1206</v>
      </c>
      <c r="C261" s="240" t="s">
        <v>1207</v>
      </c>
      <c r="D261" s="956" t="s">
        <v>1331</v>
      </c>
      <c r="E261" s="148" t="s">
        <v>1208</v>
      </c>
      <c r="F261" s="225" t="s">
        <v>1209</v>
      </c>
      <c r="G261" s="404" t="s">
        <v>552</v>
      </c>
      <c r="H261" s="404">
        <v>171996.9</v>
      </c>
      <c r="I261" s="404">
        <v>144295.84617</v>
      </c>
      <c r="J261" s="404">
        <v>144295.84617</v>
      </c>
      <c r="K261" s="406">
        <v>188727.60605276999</v>
      </c>
      <c r="L261" s="406">
        <v>133271.22474000001</v>
      </c>
      <c r="M261" s="406">
        <v>133271.22</v>
      </c>
      <c r="N261" s="406">
        <v>143863.89000000001</v>
      </c>
      <c r="O261" s="406">
        <v>138050.73821000001</v>
      </c>
      <c r="P261" s="406">
        <v>137950.85266</v>
      </c>
      <c r="Q261" s="150">
        <v>137950.85266</v>
      </c>
      <c r="R261" s="406">
        <v>137950.85266</v>
      </c>
      <c r="S261" s="406">
        <v>137950.85266</v>
      </c>
      <c r="T261" s="406">
        <f t="shared" si="155"/>
        <v>-5913.0373400000099</v>
      </c>
      <c r="U261" s="406">
        <f t="shared" si="156"/>
        <v>0</v>
      </c>
      <c r="V261" s="406">
        <v>160529.34</v>
      </c>
      <c r="W261" s="167">
        <v>144911378.89000002</v>
      </c>
      <c r="X261" s="167">
        <v>144911.37889000002</v>
      </c>
      <c r="Y261" s="406">
        <v>144911.37889000002</v>
      </c>
      <c r="Z261" s="406">
        <v>144829.11398000002</v>
      </c>
      <c r="AA261" s="406">
        <v>56.94014</v>
      </c>
      <c r="AB261" s="406">
        <v>25.324770000000001</v>
      </c>
      <c r="AC261" s="406">
        <v>167753.16029999999</v>
      </c>
      <c r="AD261" s="406">
        <v>167753.16029999999</v>
      </c>
      <c r="AE261" s="406">
        <f t="shared" si="180"/>
        <v>166445.12860102416</v>
      </c>
      <c r="AF261" s="402">
        <f t="shared" si="158"/>
        <v>166445.12860102416</v>
      </c>
      <c r="AG261" s="167">
        <v>174463.286712</v>
      </c>
      <c r="AH261" s="406">
        <v>168405.91</v>
      </c>
      <c r="AI261" s="957">
        <f t="shared" si="152"/>
        <v>1.1621303398667837</v>
      </c>
      <c r="AJ261" s="957">
        <f t="shared" si="153"/>
        <v>-6057.3767119999975</v>
      </c>
      <c r="AK261" s="965">
        <f>AH261</f>
        <v>168405.91</v>
      </c>
      <c r="AL261" s="74"/>
    </row>
    <row r="262" spans="1:38" ht="33" customHeight="1" outlineLevel="1">
      <c r="A262" s="139" t="s">
        <v>1210</v>
      </c>
      <c r="B262" s="176" t="s">
        <v>1211</v>
      </c>
      <c r="C262" s="240" t="s">
        <v>1212</v>
      </c>
      <c r="D262" s="956" t="s">
        <v>1335</v>
      </c>
      <c r="E262" s="148" t="s">
        <v>1213</v>
      </c>
      <c r="F262" s="177"/>
      <c r="G262" s="177"/>
      <c r="H262" s="404">
        <v>0</v>
      </c>
      <c r="I262" s="404">
        <v>0</v>
      </c>
      <c r="J262" s="404">
        <v>0</v>
      </c>
      <c r="K262" s="406">
        <v>0</v>
      </c>
      <c r="L262" s="406">
        <v>0</v>
      </c>
      <c r="M262" s="406">
        <v>0</v>
      </c>
      <c r="N262" s="406">
        <v>0</v>
      </c>
      <c r="O262" s="406"/>
      <c r="P262" s="406"/>
      <c r="Q262" s="150">
        <v>76.748919999999998</v>
      </c>
      <c r="R262" s="406">
        <v>76.748919999999998</v>
      </c>
      <c r="S262" s="406">
        <v>0</v>
      </c>
      <c r="T262" s="406">
        <f t="shared" si="155"/>
        <v>0</v>
      </c>
      <c r="U262" s="406">
        <f t="shared" si="156"/>
        <v>0</v>
      </c>
      <c r="V262" s="406">
        <v>0</v>
      </c>
      <c r="W262" s="167">
        <v>11314.42</v>
      </c>
      <c r="X262" s="167">
        <v>11.31442</v>
      </c>
      <c r="Y262" s="406">
        <v>11.314420000000002</v>
      </c>
      <c r="Z262" s="406">
        <v>11.305620000000001</v>
      </c>
      <c r="AA262" s="406">
        <v>6.5300000000000002E-3</v>
      </c>
      <c r="AB262" s="406">
        <v>2.2699999999999999E-3</v>
      </c>
      <c r="AC262" s="406">
        <v>0</v>
      </c>
      <c r="AD262" s="406">
        <v>115.76357313600002</v>
      </c>
      <c r="AE262" s="406">
        <f t="shared" si="180"/>
        <v>0</v>
      </c>
      <c r="AF262" s="402">
        <f t="shared" si="158"/>
        <v>0</v>
      </c>
      <c r="AG262" s="167">
        <v>0</v>
      </c>
      <c r="AH262" s="406">
        <v>122.48</v>
      </c>
      <c r="AI262" s="957">
        <f t="shared" si="152"/>
        <v>10.825124045244918</v>
      </c>
      <c r="AJ262" s="957">
        <f t="shared" si="153"/>
        <v>122.48</v>
      </c>
      <c r="AK262" s="958">
        <f t="shared" si="179"/>
        <v>122.48</v>
      </c>
      <c r="AL262" s="74"/>
    </row>
    <row r="263" spans="1:38" ht="33" customHeight="1">
      <c r="A263" s="139"/>
      <c r="B263" s="409" t="s">
        <v>1214</v>
      </c>
      <c r="C263" s="1011"/>
      <c r="D263" s="167"/>
      <c r="E263" s="142" t="s">
        <v>1215</v>
      </c>
      <c r="F263" s="142" t="s">
        <v>1216</v>
      </c>
      <c r="G263" s="404" t="s">
        <v>552</v>
      </c>
      <c r="H263" s="402">
        <f t="shared" ref="H263:L263" si="181">SUM(H264:H267)</f>
        <v>7541.0651584000007</v>
      </c>
      <c r="I263" s="402">
        <f t="shared" si="181"/>
        <v>9234.7918700000009</v>
      </c>
      <c r="J263" s="402">
        <f t="shared" si="181"/>
        <v>9234.7888199999998</v>
      </c>
      <c r="K263" s="402">
        <f t="shared" si="181"/>
        <v>8274.6096887804197</v>
      </c>
      <c r="L263" s="402">
        <f t="shared" si="181"/>
        <v>22048.092809999998</v>
      </c>
      <c r="M263" s="402">
        <f t="shared" ref="M263:N263" si="182">SUM(M264:M267)</f>
        <v>22048.1</v>
      </c>
      <c r="N263" s="402">
        <f t="shared" si="182"/>
        <v>22999.781288762038</v>
      </c>
      <c r="O263" s="402">
        <f>SUM(O264:O267)</f>
        <v>39436.677009999999</v>
      </c>
      <c r="P263" s="402">
        <f t="shared" ref="P263:AK263" si="183">SUM(P264:P267)</f>
        <v>38017.816229999997</v>
      </c>
      <c r="Q263" s="145">
        <f t="shared" ref="Q263:S263" si="184">P263</f>
        <v>38017.816229999997</v>
      </c>
      <c r="R263" s="402">
        <f t="shared" si="184"/>
        <v>38017.816229999997</v>
      </c>
      <c r="S263" s="402">
        <f t="shared" si="184"/>
        <v>38017.816229999997</v>
      </c>
      <c r="T263" s="402">
        <f t="shared" si="155"/>
        <v>15018.034941237958</v>
      </c>
      <c r="U263" s="402">
        <f t="shared" si="156"/>
        <v>0</v>
      </c>
      <c r="V263" s="402">
        <f t="shared" si="183"/>
        <v>49202.400000000001</v>
      </c>
      <c r="W263" s="402">
        <f t="shared" si="183"/>
        <v>46492296.959999993</v>
      </c>
      <c r="X263" s="402">
        <f t="shared" si="183"/>
        <v>46492.29696</v>
      </c>
      <c r="Y263" s="402">
        <f t="shared" si="183"/>
        <v>46492.296960000007</v>
      </c>
      <c r="Z263" s="168">
        <f t="shared" si="183"/>
        <v>45207.210980000003</v>
      </c>
      <c r="AA263" s="402">
        <f t="shared" si="183"/>
        <v>1184.6402699999999</v>
      </c>
      <c r="AB263" s="402">
        <f t="shared" si="183"/>
        <v>100.44570999999999</v>
      </c>
      <c r="AC263" s="402">
        <f t="shared" si="183"/>
        <v>51416.507999999994</v>
      </c>
      <c r="AD263" s="402">
        <f t="shared" si="183"/>
        <v>86424.864949999988</v>
      </c>
      <c r="AE263" s="402">
        <f t="shared" si="183"/>
        <v>61010.539999999994</v>
      </c>
      <c r="AF263" s="402">
        <f t="shared" si="183"/>
        <v>61010.539999999994</v>
      </c>
      <c r="AG263" s="953">
        <f t="shared" si="183"/>
        <v>53473.16831999999</v>
      </c>
      <c r="AH263" s="402">
        <f t="shared" si="183"/>
        <v>56227.583353904956</v>
      </c>
      <c r="AI263" s="1012">
        <f t="shared" si="152"/>
        <v>1.2093956855321815</v>
      </c>
      <c r="AJ263" s="953">
        <f t="shared" si="183"/>
        <v>2754.415033904962</v>
      </c>
      <c r="AK263" s="953">
        <f t="shared" si="183"/>
        <v>0</v>
      </c>
      <c r="AL263" s="74"/>
    </row>
    <row r="264" spans="1:38" ht="25.5" customHeight="1" outlineLevel="1">
      <c r="A264" s="139" t="s">
        <v>1217</v>
      </c>
      <c r="B264" s="176" t="s">
        <v>1218</v>
      </c>
      <c r="C264" s="240" t="s">
        <v>1219</v>
      </c>
      <c r="D264" s="956" t="s">
        <v>1340</v>
      </c>
      <c r="E264" s="148" t="s">
        <v>1220</v>
      </c>
      <c r="F264" s="226" t="s">
        <v>1221</v>
      </c>
      <c r="G264" s="404" t="s">
        <v>552</v>
      </c>
      <c r="H264" s="404">
        <v>376.06141510000003</v>
      </c>
      <c r="I264" s="404">
        <v>298.79334999999998</v>
      </c>
      <c r="J264" s="404">
        <v>298.79000000000002</v>
      </c>
      <c r="K264" s="406">
        <v>412.64216123128932</v>
      </c>
      <c r="L264" s="406">
        <v>1238.6773400000002</v>
      </c>
      <c r="M264" s="406">
        <v>1238.68</v>
      </c>
      <c r="N264" s="406">
        <v>434.09955361531638</v>
      </c>
      <c r="O264" s="406">
        <v>9193.9609999999993</v>
      </c>
      <c r="P264" s="406">
        <v>8225.2744600000005</v>
      </c>
      <c r="Q264" s="150">
        <v>8225.2744600000005</v>
      </c>
      <c r="R264" s="406">
        <v>8225.2744600000005</v>
      </c>
      <c r="S264" s="406">
        <v>8225.2744600000005</v>
      </c>
      <c r="T264" s="406">
        <f t="shared" si="155"/>
        <v>7791.1749063846837</v>
      </c>
      <c r="U264" s="406">
        <f t="shared" si="156"/>
        <v>0</v>
      </c>
      <c r="V264" s="406">
        <v>8260.75</v>
      </c>
      <c r="W264" s="167">
        <v>9587691.6400000006</v>
      </c>
      <c r="X264" s="167">
        <v>9587.6916400000009</v>
      </c>
      <c r="Y264" s="406">
        <v>9587.6916399999991</v>
      </c>
      <c r="Z264" s="406">
        <v>8856.4818500000001</v>
      </c>
      <c r="AA264" s="406">
        <v>692.8877</v>
      </c>
      <c r="AB264" s="406">
        <v>38.322089999999996</v>
      </c>
      <c r="AC264" s="406">
        <v>8632.4837499999994</v>
      </c>
      <c r="AD264" s="166">
        <f>'[71]2. подк.неподк.'!X251+2000</f>
        <v>11615.84</v>
      </c>
      <c r="AE264" s="406">
        <v>10243.256798550476</v>
      </c>
      <c r="AF264" s="402">
        <f t="shared" si="158"/>
        <v>10243.256798550476</v>
      </c>
      <c r="AG264" s="167">
        <v>8977.7831000000006</v>
      </c>
      <c r="AH264" s="406">
        <v>9797.1902841516021</v>
      </c>
      <c r="AI264" s="957">
        <f t="shared" si="152"/>
        <v>1.0218507907865506</v>
      </c>
      <c r="AJ264" s="957">
        <f t="shared" si="153"/>
        <v>819.40718415160154</v>
      </c>
      <c r="AK264" s="965"/>
      <c r="AL264" s="74"/>
    </row>
    <row r="265" spans="1:38" ht="22.5" customHeight="1" outlineLevel="1">
      <c r="A265" s="139" t="s">
        <v>1222</v>
      </c>
      <c r="B265" s="176" t="s">
        <v>1223</v>
      </c>
      <c r="C265" s="1013" t="s">
        <v>1224</v>
      </c>
      <c r="D265" s="956" t="s">
        <v>2164</v>
      </c>
      <c r="E265" s="162" t="s">
        <v>1225</v>
      </c>
      <c r="F265" s="226" t="s">
        <v>1226</v>
      </c>
      <c r="G265" s="404" t="s">
        <v>552</v>
      </c>
      <c r="H265" s="404">
        <v>69.669200000000004</v>
      </c>
      <c r="I265" s="404">
        <v>0</v>
      </c>
      <c r="J265" s="404">
        <v>0</v>
      </c>
      <c r="K265" s="406">
        <v>76.446155082435993</v>
      </c>
      <c r="L265" s="406">
        <v>936.4</v>
      </c>
      <c r="M265" s="406">
        <v>936.4</v>
      </c>
      <c r="N265" s="406">
        <v>80.421355146722675</v>
      </c>
      <c r="O265" s="406">
        <v>946.83600000000001</v>
      </c>
      <c r="P265" s="406">
        <v>937.53021000000001</v>
      </c>
      <c r="Q265" s="150">
        <v>937.53021000000001</v>
      </c>
      <c r="R265" s="406">
        <v>937.53021000000001</v>
      </c>
      <c r="S265" s="406">
        <v>937.53021000000001</v>
      </c>
      <c r="T265" s="406">
        <f t="shared" si="155"/>
        <v>857.10885485327731</v>
      </c>
      <c r="U265" s="406">
        <f t="shared" si="156"/>
        <v>0</v>
      </c>
      <c r="V265" s="406">
        <v>978.11</v>
      </c>
      <c r="W265" s="167">
        <v>991990</v>
      </c>
      <c r="X265" s="167">
        <v>991.99</v>
      </c>
      <c r="Y265" s="406">
        <v>991.99</v>
      </c>
      <c r="Z265" s="406">
        <v>984.51221999999996</v>
      </c>
      <c r="AA265" s="406">
        <v>7.08589</v>
      </c>
      <c r="AB265" s="406">
        <v>0.39188999999999996</v>
      </c>
      <c r="AC265" s="406">
        <v>1022.1249499999999</v>
      </c>
      <c r="AD265" s="166">
        <f>'[71]2. подк.неподк.'!X252+1000</f>
        <v>2022.1249499999999</v>
      </c>
      <c r="AE265" s="406">
        <v>1212.847732618734</v>
      </c>
      <c r="AF265" s="402">
        <f t="shared" si="158"/>
        <v>1212.847732618734</v>
      </c>
      <c r="AG265" s="167">
        <v>1063.0099479999999</v>
      </c>
      <c r="AH265" s="406">
        <v>1315.8991499999997</v>
      </c>
      <c r="AI265" s="957">
        <f t="shared" si="152"/>
        <v>1.3265246121432672</v>
      </c>
      <c r="AJ265" s="957">
        <f t="shared" si="153"/>
        <v>252.88920199999984</v>
      </c>
      <c r="AK265" s="965"/>
      <c r="AL265" s="74"/>
    </row>
    <row r="266" spans="1:38" s="191" customFormat="1" ht="21" customHeight="1" outlineLevel="1">
      <c r="A266" s="139" t="s">
        <v>1227</v>
      </c>
      <c r="B266" s="176" t="s">
        <v>1228</v>
      </c>
      <c r="C266" s="1013" t="s">
        <v>1229</v>
      </c>
      <c r="D266" s="956" t="s">
        <v>1345</v>
      </c>
      <c r="E266" s="162" t="s">
        <v>1230</v>
      </c>
      <c r="F266" s="226" t="s">
        <v>1231</v>
      </c>
      <c r="G266" s="404" t="s">
        <v>552</v>
      </c>
      <c r="H266" s="404">
        <v>5513.3645433000002</v>
      </c>
      <c r="I266" s="404">
        <v>4609.3688199999997</v>
      </c>
      <c r="J266" s="404">
        <v>4609.3688199999997</v>
      </c>
      <c r="K266" s="406">
        <v>6049.6678826065945</v>
      </c>
      <c r="L266" s="406">
        <v>18373.98547</v>
      </c>
      <c r="M266" s="406">
        <v>18373.990000000002</v>
      </c>
      <c r="N266" s="406">
        <v>21291.119999999999</v>
      </c>
      <c r="O266" s="406">
        <v>27851.028999999999</v>
      </c>
      <c r="P266" s="406">
        <v>27587.461620000002</v>
      </c>
      <c r="Q266" s="150">
        <v>27587.461620000002</v>
      </c>
      <c r="R266" s="406">
        <v>27587.461620000002</v>
      </c>
      <c r="S266" s="406">
        <v>27587.461620000002</v>
      </c>
      <c r="T266" s="406">
        <f t="shared" si="155"/>
        <v>6296.3416200000029</v>
      </c>
      <c r="U266" s="406">
        <f t="shared" si="156"/>
        <v>0</v>
      </c>
      <c r="V266" s="406">
        <v>38611.82</v>
      </c>
      <c r="W266" s="167">
        <v>34094284.159999996</v>
      </c>
      <c r="X266" s="167">
        <v>34094.284159999996</v>
      </c>
      <c r="Y266" s="406">
        <v>34094.284160000003</v>
      </c>
      <c r="Z266" s="406">
        <v>33774.398510000006</v>
      </c>
      <c r="AA266" s="406">
        <v>281.01673</v>
      </c>
      <c r="AB266" s="406">
        <v>38.868919999999996</v>
      </c>
      <c r="AC266" s="406">
        <v>40349.351899999994</v>
      </c>
      <c r="AD266" s="166">
        <f>'[71]2. подк.неподк.'!X253-4000</f>
        <v>70315.759999999995</v>
      </c>
      <c r="AE266" s="406">
        <v>47878.314646903396</v>
      </c>
      <c r="AF266" s="402">
        <v>47878.314646903396</v>
      </c>
      <c r="AG266" s="167">
        <v>41963.325975999993</v>
      </c>
      <c r="AH266" s="406">
        <v>43106.993919753353</v>
      </c>
      <c r="AI266" s="957">
        <f t="shared" si="152"/>
        <v>1.2643466487654615</v>
      </c>
      <c r="AJ266" s="957">
        <f t="shared" si="153"/>
        <v>1143.6679437533603</v>
      </c>
      <c r="AK266" s="965"/>
      <c r="AL266" s="991"/>
    </row>
    <row r="267" spans="1:38" ht="36" customHeight="1" outlineLevel="1">
      <c r="A267" s="139" t="s">
        <v>1232</v>
      </c>
      <c r="B267" s="176" t="s">
        <v>1233</v>
      </c>
      <c r="C267" s="1013" t="s">
        <v>1234</v>
      </c>
      <c r="D267" s="956" t="s">
        <v>1350</v>
      </c>
      <c r="E267" s="162" t="s">
        <v>1235</v>
      </c>
      <c r="F267" s="226" t="s">
        <v>1236</v>
      </c>
      <c r="G267" s="404" t="s">
        <v>552</v>
      </c>
      <c r="H267" s="404">
        <v>1581.97</v>
      </c>
      <c r="I267" s="404">
        <v>4326.6297000000004</v>
      </c>
      <c r="J267" s="404">
        <v>4326.63</v>
      </c>
      <c r="K267" s="406">
        <v>1735.8534898600999</v>
      </c>
      <c r="L267" s="406">
        <v>1499.03</v>
      </c>
      <c r="M267" s="406">
        <v>1499.03</v>
      </c>
      <c r="N267" s="406">
        <v>1194.1403800000001</v>
      </c>
      <c r="O267" s="406">
        <v>1444.8510100000001</v>
      </c>
      <c r="P267" s="406">
        <v>1267.5499399999999</v>
      </c>
      <c r="Q267" s="150">
        <v>1267.5499399999999</v>
      </c>
      <c r="R267" s="406">
        <v>1267.5499399999999</v>
      </c>
      <c r="S267" s="406">
        <v>1267.5499399999999</v>
      </c>
      <c r="T267" s="406">
        <f t="shared" si="155"/>
        <v>73.409559999999829</v>
      </c>
      <c r="U267" s="406">
        <f t="shared" si="156"/>
        <v>0</v>
      </c>
      <c r="V267" s="406">
        <v>1351.72</v>
      </c>
      <c r="W267" s="167">
        <v>1818331.16</v>
      </c>
      <c r="X267" s="167">
        <v>1818.33116</v>
      </c>
      <c r="Y267" s="406">
        <v>1818.33116</v>
      </c>
      <c r="Z267" s="406">
        <v>1591.8183999999999</v>
      </c>
      <c r="AA267" s="406">
        <v>203.64995000000002</v>
      </c>
      <c r="AB267" s="406">
        <v>22.86281</v>
      </c>
      <c r="AC267" s="406">
        <v>1412.5473999999999</v>
      </c>
      <c r="AD267" s="166">
        <f>'[71]2. подк.неподк.'!X254+1000</f>
        <v>2471.1400000000003</v>
      </c>
      <c r="AE267" s="406">
        <v>1676.1208219273856</v>
      </c>
      <c r="AF267" s="402">
        <f t="shared" si="158"/>
        <v>1676.1208219273856</v>
      </c>
      <c r="AG267" s="167">
        <v>1469.0492959999999</v>
      </c>
      <c r="AH267" s="406">
        <v>2007.5</v>
      </c>
      <c r="AI267" s="957">
        <f t="shared" si="152"/>
        <v>1.1040343168292843</v>
      </c>
      <c r="AJ267" s="957">
        <f t="shared" si="153"/>
        <v>538.45070400000009</v>
      </c>
      <c r="AK267" s="965"/>
      <c r="AL267" s="74"/>
    </row>
    <row r="268" spans="1:38" s="224" customFormat="1" ht="33" customHeight="1">
      <c r="A268" s="228"/>
      <c r="B268" s="229" t="s">
        <v>1237</v>
      </c>
      <c r="C268" s="230"/>
      <c r="D268" s="1014"/>
      <c r="E268" s="231" t="s">
        <v>1238</v>
      </c>
      <c r="F268" s="231" t="s">
        <v>1238</v>
      </c>
      <c r="G268" s="222" t="s">
        <v>552</v>
      </c>
      <c r="H268" s="223">
        <f t="shared" ref="H268:N268" si="185">H269+H270+H271+H272</f>
        <v>97268.786800749993</v>
      </c>
      <c r="I268" s="223">
        <f t="shared" si="185"/>
        <v>114535</v>
      </c>
      <c r="J268" s="223">
        <f t="shared" si="185"/>
        <v>33984.17</v>
      </c>
      <c r="K268" s="223">
        <f t="shared" si="185"/>
        <v>120732.58128418244</v>
      </c>
      <c r="L268" s="223">
        <f t="shared" si="185"/>
        <v>42563.4</v>
      </c>
      <c r="M268" s="223">
        <f t="shared" si="185"/>
        <v>10914.799442499998</v>
      </c>
      <c r="N268" s="223">
        <f t="shared" si="185"/>
        <v>33181.1325</v>
      </c>
      <c r="O268" s="223">
        <f>O269+O270+O271+O272</f>
        <v>14303.000000000005</v>
      </c>
      <c r="P268" s="223">
        <f t="shared" ref="P268:S268" si="186">P269+P270+P271+P272</f>
        <v>-33146</v>
      </c>
      <c r="Q268" s="223">
        <f t="shared" si="186"/>
        <v>30598.419227500006</v>
      </c>
      <c r="R268" s="223">
        <f t="shared" si="186"/>
        <v>30598.419227500006</v>
      </c>
      <c r="S268" s="223">
        <f t="shared" si="186"/>
        <v>29017.512530000004</v>
      </c>
      <c r="T268" s="223">
        <f t="shared" si="155"/>
        <v>-4163.6199699999961</v>
      </c>
      <c r="U268" s="223">
        <f>SUM(U269:U275)</f>
        <v>-17593.821715723974</v>
      </c>
      <c r="V268" s="223">
        <f>V269+V270+V271+V272</f>
        <v>94894.848929852014</v>
      </c>
      <c r="W268" s="223">
        <f>W269+W270+W271+W272+W273+W274+W275</f>
        <v>134032623.39</v>
      </c>
      <c r="X268" s="223">
        <f>X269+X270+X271+X272+X273+X274+X275</f>
        <v>134032.62338999999</v>
      </c>
      <c r="Y268" s="223">
        <f t="shared" ref="Y268:AB268" si="187">Y269+Y270+Y271+Y272+Y273+Y274+Y275</f>
        <v>0</v>
      </c>
      <c r="Z268" s="223">
        <f>Z269+Z270+Z271+Z272+Z273+Z274+Z275</f>
        <v>0</v>
      </c>
      <c r="AA268" s="223">
        <f t="shared" si="187"/>
        <v>0</v>
      </c>
      <c r="AB268" s="223">
        <f t="shared" si="187"/>
        <v>0</v>
      </c>
      <c r="AC268" s="223">
        <f>AC269+AC270+AC271+AC272</f>
        <v>99875.162665224314</v>
      </c>
      <c r="AD268" s="223">
        <f t="shared" ref="AD268:AK268" si="188">AD269+AD270+AD271+AD272</f>
        <v>240747.37227624294</v>
      </c>
      <c r="AE268" s="223">
        <f t="shared" si="188"/>
        <v>100136.47299469695</v>
      </c>
      <c r="AF268" s="223">
        <f t="shared" si="188"/>
        <v>101034.89390476303</v>
      </c>
      <c r="AG268" s="223">
        <f t="shared" si="188"/>
        <v>103870.16916088315</v>
      </c>
      <c r="AH268" s="223">
        <f t="shared" si="188"/>
        <v>263661.57188421319</v>
      </c>
      <c r="AI268" s="1008">
        <f t="shared" si="152"/>
        <v>1.9671447533860973</v>
      </c>
      <c r="AJ268" s="1009">
        <f t="shared" si="188"/>
        <v>159791.40272333004</v>
      </c>
      <c r="AK268" s="1009">
        <f t="shared" si="188"/>
        <v>248701.69551662324</v>
      </c>
      <c r="AL268" s="1010"/>
    </row>
    <row r="269" spans="1:38" ht="33" customHeight="1" outlineLevel="1">
      <c r="A269" s="139" t="s">
        <v>1239</v>
      </c>
      <c r="B269" s="176" t="s">
        <v>1240</v>
      </c>
      <c r="C269" s="240" t="s">
        <v>1241</v>
      </c>
      <c r="D269" s="956" t="s">
        <v>1354</v>
      </c>
      <c r="E269" s="148" t="s">
        <v>1242</v>
      </c>
      <c r="F269" s="232" t="s">
        <v>1243</v>
      </c>
      <c r="G269" s="404" t="s">
        <v>552</v>
      </c>
      <c r="H269" s="404">
        <v>97268.786800749993</v>
      </c>
      <c r="I269" s="404">
        <v>114535</v>
      </c>
      <c r="J269" s="404">
        <v>33984.17</v>
      </c>
      <c r="K269" s="406">
        <v>120732.58128418244</v>
      </c>
      <c r="L269" s="406">
        <v>30763.669316423468</v>
      </c>
      <c r="M269" s="406">
        <v>10914.799442499998</v>
      </c>
      <c r="N269" s="406">
        <v>33181.1325</v>
      </c>
      <c r="O269" s="406">
        <v>14761.000000000004</v>
      </c>
      <c r="P269" s="406">
        <v>-34207.376494441727</v>
      </c>
      <c r="Q269" s="150">
        <v>30598.419227500006</v>
      </c>
      <c r="R269" s="406">
        <v>30598.419227500006</v>
      </c>
      <c r="S269" s="406">
        <v>29017.512530000004</v>
      </c>
      <c r="T269" s="406">
        <f t="shared" si="155"/>
        <v>-4163.6199699999961</v>
      </c>
      <c r="U269" s="406">
        <v>0</v>
      </c>
      <c r="V269" s="406">
        <v>94894.848929852014</v>
      </c>
      <c r="W269" s="167">
        <v>32284348.370000001</v>
      </c>
      <c r="X269" s="167">
        <v>32284.34837</v>
      </c>
      <c r="Y269" s="406">
        <v>0</v>
      </c>
      <c r="Z269" s="406">
        <v>0</v>
      </c>
      <c r="AA269" s="406">
        <v>0</v>
      </c>
      <c r="AB269" s="406">
        <v>0</v>
      </c>
      <c r="AC269" s="406">
        <v>99875.162665224314</v>
      </c>
      <c r="AD269" s="406">
        <f>'[71]2. подк.неподк.'!X256</f>
        <v>240747.37227624294</v>
      </c>
      <c r="AE269" s="406">
        <f>AE385</f>
        <v>100136.47299469695</v>
      </c>
      <c r="AF269" s="402">
        <v>101034.89390476303</v>
      </c>
      <c r="AG269" s="406">
        <v>103870.16916088315</v>
      </c>
      <c r="AH269" s="406">
        <v>263661.57188421319</v>
      </c>
      <c r="AI269" s="957">
        <f t="shared" si="152"/>
        <v>8.1668543797903883</v>
      </c>
      <c r="AJ269" s="957">
        <f t="shared" si="153"/>
        <v>159791.40272333004</v>
      </c>
      <c r="AK269" s="958">
        <v>248701.69551662324</v>
      </c>
      <c r="AL269" s="74"/>
    </row>
    <row r="270" spans="1:38" ht="33" customHeight="1" outlineLevel="1">
      <c r="A270" s="139" t="s">
        <v>1244</v>
      </c>
      <c r="B270" s="176" t="s">
        <v>1245</v>
      </c>
      <c r="C270" s="243" t="s">
        <v>1246</v>
      </c>
      <c r="D270" s="956" t="s">
        <v>1359</v>
      </c>
      <c r="E270" s="148" t="s">
        <v>1247</v>
      </c>
      <c r="F270" s="177"/>
      <c r="G270" s="404" t="s">
        <v>552</v>
      </c>
      <c r="H270" s="404">
        <v>0</v>
      </c>
      <c r="I270" s="404">
        <v>0</v>
      </c>
      <c r="J270" s="404">
        <v>0</v>
      </c>
      <c r="K270" s="406">
        <v>0</v>
      </c>
      <c r="L270" s="406">
        <v>10212.206836832402</v>
      </c>
      <c r="M270" s="406">
        <v>0</v>
      </c>
      <c r="N270" s="406">
        <v>0</v>
      </c>
      <c r="O270" s="406">
        <v>-2194</v>
      </c>
      <c r="P270" s="406">
        <v>5084.4105432426759</v>
      </c>
      <c r="Q270" s="150">
        <v>0</v>
      </c>
      <c r="R270" s="406">
        <v>0</v>
      </c>
      <c r="S270" s="406">
        <v>0</v>
      </c>
      <c r="T270" s="406">
        <f t="shared" si="155"/>
        <v>0</v>
      </c>
      <c r="U270" s="406">
        <f t="shared" si="156"/>
        <v>-5084.4105432426759</v>
      </c>
      <c r="V270" s="406">
        <v>0</v>
      </c>
      <c r="W270" s="167">
        <v>18735034.75</v>
      </c>
      <c r="X270" s="167">
        <v>18735.034749999999</v>
      </c>
      <c r="Y270" s="406">
        <v>0</v>
      </c>
      <c r="Z270" s="406">
        <v>0</v>
      </c>
      <c r="AA270" s="406">
        <v>0</v>
      </c>
      <c r="AB270" s="406">
        <v>0</v>
      </c>
      <c r="AC270" s="406">
        <v>0</v>
      </c>
      <c r="AD270" s="406">
        <f>'[71]2. подк.неподк.'!X257</f>
        <v>0</v>
      </c>
      <c r="AE270" s="406">
        <f t="shared" ref="AE270:AE275" si="189">V270*$AD$11</f>
        <v>0</v>
      </c>
      <c r="AF270" s="402">
        <f t="shared" si="158"/>
        <v>0</v>
      </c>
      <c r="AG270" s="406">
        <v>0</v>
      </c>
      <c r="AH270" s="406">
        <v>0</v>
      </c>
      <c r="AI270" s="957">
        <f t="shared" si="152"/>
        <v>0</v>
      </c>
      <c r="AJ270" s="957">
        <f t="shared" si="153"/>
        <v>0</v>
      </c>
      <c r="AK270" s="958">
        <f>AH270</f>
        <v>0</v>
      </c>
      <c r="AL270" s="74"/>
    </row>
    <row r="271" spans="1:38" ht="33" customHeight="1" outlineLevel="1">
      <c r="A271" s="139" t="s">
        <v>1248</v>
      </c>
      <c r="B271" s="176" t="s">
        <v>1249</v>
      </c>
      <c r="C271" s="243" t="s">
        <v>1250</v>
      </c>
      <c r="D271" s="956" t="s">
        <v>1364</v>
      </c>
      <c r="E271" s="148" t="s">
        <v>1251</v>
      </c>
      <c r="F271" s="177"/>
      <c r="G271" s="404" t="s">
        <v>552</v>
      </c>
      <c r="H271" s="404">
        <v>0</v>
      </c>
      <c r="I271" s="404">
        <v>0</v>
      </c>
      <c r="J271" s="404">
        <v>0</v>
      </c>
      <c r="K271" s="406">
        <v>0</v>
      </c>
      <c r="L271" s="406">
        <v>-846.7541713965179</v>
      </c>
      <c r="M271" s="406">
        <v>0</v>
      </c>
      <c r="N271" s="406">
        <v>0</v>
      </c>
      <c r="O271" s="406">
        <v>-5397.9999999999991</v>
      </c>
      <c r="P271" s="406">
        <v>12509.411172481299</v>
      </c>
      <c r="Q271" s="150">
        <v>0</v>
      </c>
      <c r="R271" s="406">
        <v>0</v>
      </c>
      <c r="S271" s="406">
        <v>0</v>
      </c>
      <c r="T271" s="406">
        <f t="shared" si="155"/>
        <v>0</v>
      </c>
      <c r="U271" s="406">
        <f t="shared" si="156"/>
        <v>-12509.411172481299</v>
      </c>
      <c r="V271" s="406">
        <v>0</v>
      </c>
      <c r="W271" s="167">
        <v>-4816411.3600000003</v>
      </c>
      <c r="X271" s="167">
        <v>-4816.4113600000001</v>
      </c>
      <c r="Y271" s="406">
        <v>0</v>
      </c>
      <c r="Z271" s="406">
        <v>0</v>
      </c>
      <c r="AA271" s="406">
        <v>0</v>
      </c>
      <c r="AB271" s="406">
        <v>0</v>
      </c>
      <c r="AC271" s="406">
        <v>0</v>
      </c>
      <c r="AD271" s="406">
        <f>'[71]2. подк.неподк.'!X258</f>
        <v>0</v>
      </c>
      <c r="AE271" s="406">
        <f t="shared" si="189"/>
        <v>0</v>
      </c>
      <c r="AF271" s="402">
        <f t="shared" si="158"/>
        <v>0</v>
      </c>
      <c r="AG271" s="406">
        <v>0</v>
      </c>
      <c r="AH271" s="406">
        <v>0</v>
      </c>
      <c r="AI271" s="957">
        <f t="shared" si="152"/>
        <v>0</v>
      </c>
      <c r="AJ271" s="957">
        <f t="shared" si="153"/>
        <v>0</v>
      </c>
      <c r="AK271" s="958">
        <f t="shared" ref="AK271:AK275" si="190">AH271</f>
        <v>0</v>
      </c>
      <c r="AL271" s="74"/>
    </row>
    <row r="272" spans="1:38" ht="33" customHeight="1" outlineLevel="1">
      <c r="A272" s="139" t="s">
        <v>1252</v>
      </c>
      <c r="B272" s="176" t="s">
        <v>1253</v>
      </c>
      <c r="C272" s="243" t="s">
        <v>1254</v>
      </c>
      <c r="D272" s="956" t="s">
        <v>1368</v>
      </c>
      <c r="E272" s="148" t="s">
        <v>1255</v>
      </c>
      <c r="F272" s="177"/>
      <c r="G272" s="404" t="s">
        <v>552</v>
      </c>
      <c r="H272" s="404">
        <v>0</v>
      </c>
      <c r="I272" s="404">
        <v>0</v>
      </c>
      <c r="J272" s="404">
        <v>0</v>
      </c>
      <c r="K272" s="406">
        <v>0</v>
      </c>
      <c r="L272" s="406">
        <v>2434.2780181406461</v>
      </c>
      <c r="M272" s="406">
        <v>0</v>
      </c>
      <c r="N272" s="406">
        <v>0</v>
      </c>
      <c r="O272" s="406">
        <v>7134.0000000000009</v>
      </c>
      <c r="P272" s="406">
        <v>-16532.445221282251</v>
      </c>
      <c r="Q272" s="150">
        <v>0</v>
      </c>
      <c r="R272" s="406">
        <v>0</v>
      </c>
      <c r="S272" s="406">
        <v>0</v>
      </c>
      <c r="T272" s="406">
        <f t="shared" si="155"/>
        <v>0</v>
      </c>
      <c r="U272" s="406">
        <v>0</v>
      </c>
      <c r="V272" s="406">
        <v>0</v>
      </c>
      <c r="W272" s="167">
        <v>0</v>
      </c>
      <c r="X272" s="167">
        <v>0</v>
      </c>
      <c r="Y272" s="406">
        <v>0</v>
      </c>
      <c r="Z272" s="406">
        <v>0</v>
      </c>
      <c r="AA272" s="406">
        <v>0</v>
      </c>
      <c r="AB272" s="406">
        <v>0</v>
      </c>
      <c r="AC272" s="406">
        <v>0</v>
      </c>
      <c r="AD272" s="406">
        <f>'[71]2. подк.неподк.'!X259</f>
        <v>0</v>
      </c>
      <c r="AE272" s="406">
        <f t="shared" si="189"/>
        <v>0</v>
      </c>
      <c r="AF272" s="402">
        <f t="shared" si="158"/>
        <v>0</v>
      </c>
      <c r="AG272" s="406">
        <v>0</v>
      </c>
      <c r="AH272" s="406">
        <v>0</v>
      </c>
      <c r="AI272" s="957" t="e">
        <f t="shared" si="152"/>
        <v>#DIV/0!</v>
      </c>
      <c r="AJ272" s="957">
        <f t="shared" si="153"/>
        <v>0</v>
      </c>
      <c r="AK272" s="958">
        <f t="shared" si="190"/>
        <v>0</v>
      </c>
      <c r="AL272" s="74"/>
    </row>
    <row r="273" spans="1:38" ht="33" customHeight="1" outlineLevel="1">
      <c r="A273" s="139" t="s">
        <v>1256</v>
      </c>
      <c r="B273" s="176" t="s">
        <v>1257</v>
      </c>
      <c r="C273" s="243" t="s">
        <v>1258</v>
      </c>
      <c r="D273" s="956" t="s">
        <v>1594</v>
      </c>
      <c r="E273" s="148" t="s">
        <v>1259</v>
      </c>
      <c r="F273" s="177"/>
      <c r="G273" s="404" t="s">
        <v>552</v>
      </c>
      <c r="H273" s="404">
        <v>0</v>
      </c>
      <c r="I273" s="404">
        <v>0</v>
      </c>
      <c r="J273" s="404">
        <v>0</v>
      </c>
      <c r="K273" s="406">
        <v>0</v>
      </c>
      <c r="L273" s="406">
        <v>0</v>
      </c>
      <c r="M273" s="406">
        <v>0</v>
      </c>
      <c r="N273" s="406">
        <v>0</v>
      </c>
      <c r="O273" s="406">
        <v>0</v>
      </c>
      <c r="P273" s="406">
        <v>0</v>
      </c>
      <c r="Q273" s="150">
        <v>0</v>
      </c>
      <c r="R273" s="406">
        <v>0</v>
      </c>
      <c r="S273" s="406">
        <v>0</v>
      </c>
      <c r="T273" s="406">
        <f t="shared" si="155"/>
        <v>0</v>
      </c>
      <c r="U273" s="406">
        <f t="shared" si="156"/>
        <v>0</v>
      </c>
      <c r="V273" s="406">
        <v>0</v>
      </c>
      <c r="W273" s="167">
        <v>55624000</v>
      </c>
      <c r="X273" s="167">
        <v>55624</v>
      </c>
      <c r="Y273" s="406">
        <v>0</v>
      </c>
      <c r="Z273" s="406">
        <v>0</v>
      </c>
      <c r="AA273" s="406">
        <v>0</v>
      </c>
      <c r="AB273" s="406">
        <v>0</v>
      </c>
      <c r="AC273" s="406">
        <v>0</v>
      </c>
      <c r="AD273" s="406">
        <f>'[71]2. подк.неподк.'!X260</f>
        <v>0</v>
      </c>
      <c r="AE273" s="406">
        <f t="shared" si="189"/>
        <v>0</v>
      </c>
      <c r="AF273" s="402">
        <f t="shared" si="158"/>
        <v>0</v>
      </c>
      <c r="AG273" s="406">
        <v>0</v>
      </c>
      <c r="AH273" s="406">
        <v>0</v>
      </c>
      <c r="AI273" s="957">
        <f t="shared" si="152"/>
        <v>0</v>
      </c>
      <c r="AJ273" s="957">
        <f t="shared" si="153"/>
        <v>0</v>
      </c>
      <c r="AK273" s="958">
        <f t="shared" si="190"/>
        <v>0</v>
      </c>
      <c r="AL273" s="74"/>
    </row>
    <row r="274" spans="1:38" ht="33" customHeight="1" outlineLevel="1">
      <c r="A274" s="139" t="s">
        <v>1260</v>
      </c>
      <c r="B274" s="176" t="s">
        <v>1261</v>
      </c>
      <c r="C274" s="243" t="s">
        <v>1262</v>
      </c>
      <c r="D274" s="956" t="s">
        <v>1372</v>
      </c>
      <c r="E274" s="148" t="s">
        <v>1263</v>
      </c>
      <c r="F274" s="232" t="s">
        <v>1264</v>
      </c>
      <c r="G274" s="404" t="s">
        <v>552</v>
      </c>
      <c r="H274" s="404">
        <v>0</v>
      </c>
      <c r="I274" s="404">
        <v>0</v>
      </c>
      <c r="J274" s="404">
        <v>0</v>
      </c>
      <c r="K274" s="406">
        <v>0</v>
      </c>
      <c r="L274" s="406">
        <v>0</v>
      </c>
      <c r="M274" s="406">
        <v>0</v>
      </c>
      <c r="N274" s="406">
        <v>0</v>
      </c>
      <c r="O274" s="406">
        <v>0</v>
      </c>
      <c r="P274" s="406">
        <v>0</v>
      </c>
      <c r="Q274" s="150">
        <v>0</v>
      </c>
      <c r="R274" s="406">
        <v>0</v>
      </c>
      <c r="S274" s="406">
        <v>0</v>
      </c>
      <c r="T274" s="406">
        <f t="shared" si="155"/>
        <v>0</v>
      </c>
      <c r="U274" s="406">
        <f t="shared" si="156"/>
        <v>0</v>
      </c>
      <c r="V274" s="406">
        <v>0</v>
      </c>
      <c r="W274" s="167">
        <v>0</v>
      </c>
      <c r="X274" s="167">
        <v>0</v>
      </c>
      <c r="Y274" s="406">
        <v>0</v>
      </c>
      <c r="Z274" s="406">
        <v>0</v>
      </c>
      <c r="AA274" s="406">
        <v>0</v>
      </c>
      <c r="AB274" s="406">
        <v>0</v>
      </c>
      <c r="AC274" s="406">
        <v>0</v>
      </c>
      <c r="AD274" s="406">
        <f>'[71]2. подк.неподк.'!X261</f>
        <v>0</v>
      </c>
      <c r="AE274" s="406">
        <f t="shared" si="189"/>
        <v>0</v>
      </c>
      <c r="AF274" s="402">
        <f t="shared" si="158"/>
        <v>0</v>
      </c>
      <c r="AG274" s="406">
        <v>0</v>
      </c>
      <c r="AH274" s="406">
        <v>0</v>
      </c>
      <c r="AI274" s="957" t="e">
        <f t="shared" si="152"/>
        <v>#DIV/0!</v>
      </c>
      <c r="AJ274" s="957">
        <f t="shared" si="153"/>
        <v>0</v>
      </c>
      <c r="AK274" s="958">
        <f t="shared" si="190"/>
        <v>0</v>
      </c>
      <c r="AL274" s="74"/>
    </row>
    <row r="275" spans="1:38" ht="33" customHeight="1" outlineLevel="1">
      <c r="A275" s="139" t="s">
        <v>1265</v>
      </c>
      <c r="B275" s="176" t="s">
        <v>1266</v>
      </c>
      <c r="C275" s="243" t="s">
        <v>1267</v>
      </c>
      <c r="D275" s="956" t="s">
        <v>1377</v>
      </c>
      <c r="E275" s="148" t="s">
        <v>1268</v>
      </c>
      <c r="F275" s="177"/>
      <c r="G275" s="404" t="s">
        <v>552</v>
      </c>
      <c r="H275" s="404">
        <v>0</v>
      </c>
      <c r="I275" s="404">
        <v>0</v>
      </c>
      <c r="J275" s="404">
        <v>0</v>
      </c>
      <c r="K275" s="406">
        <v>0</v>
      </c>
      <c r="L275" s="406">
        <v>0</v>
      </c>
      <c r="M275" s="406">
        <v>0</v>
      </c>
      <c r="N275" s="406">
        <v>0</v>
      </c>
      <c r="O275" s="406">
        <v>0</v>
      </c>
      <c r="P275" s="406">
        <v>0</v>
      </c>
      <c r="Q275" s="150">
        <v>0</v>
      </c>
      <c r="R275" s="406">
        <v>0</v>
      </c>
      <c r="S275" s="406">
        <v>0</v>
      </c>
      <c r="T275" s="406">
        <f t="shared" si="155"/>
        <v>0</v>
      </c>
      <c r="U275" s="406">
        <f t="shared" si="156"/>
        <v>0</v>
      </c>
      <c r="V275" s="406">
        <v>0</v>
      </c>
      <c r="W275" s="167">
        <v>32205651.629999999</v>
      </c>
      <c r="X275" s="167">
        <v>32205.65163</v>
      </c>
      <c r="Y275" s="406">
        <v>0</v>
      </c>
      <c r="Z275" s="406">
        <v>0</v>
      </c>
      <c r="AA275" s="406">
        <v>0</v>
      </c>
      <c r="AB275" s="406">
        <v>0</v>
      </c>
      <c r="AC275" s="406">
        <v>0</v>
      </c>
      <c r="AD275" s="406">
        <f>'[71]2. подк.неподк.'!X262</f>
        <v>0</v>
      </c>
      <c r="AE275" s="406">
        <f t="shared" si="189"/>
        <v>0</v>
      </c>
      <c r="AF275" s="402">
        <f t="shared" si="158"/>
        <v>0</v>
      </c>
      <c r="AG275" s="406">
        <v>0</v>
      </c>
      <c r="AH275" s="406">
        <v>0</v>
      </c>
      <c r="AI275" s="957">
        <f t="shared" si="152"/>
        <v>0</v>
      </c>
      <c r="AJ275" s="957">
        <f t="shared" si="153"/>
        <v>0</v>
      </c>
      <c r="AK275" s="958">
        <f t="shared" si="190"/>
        <v>0</v>
      </c>
      <c r="AL275" s="74"/>
    </row>
    <row r="276" spans="1:38" s="237" customFormat="1" ht="33" customHeight="1">
      <c r="A276" s="228"/>
      <c r="B276" s="219" t="s">
        <v>1269</v>
      </c>
      <c r="C276" s="234"/>
      <c r="D276" s="956" t="s">
        <v>1381</v>
      </c>
      <c r="E276" s="235" t="s">
        <v>1270</v>
      </c>
      <c r="F276" s="221" t="s">
        <v>1271</v>
      </c>
      <c r="G276" s="236" t="s">
        <v>552</v>
      </c>
      <c r="H276" s="236">
        <v>217326.59</v>
      </c>
      <c r="I276" s="236">
        <v>0</v>
      </c>
      <c r="J276" s="236">
        <v>-1503.8</v>
      </c>
      <c r="K276" s="223">
        <v>450143.9</v>
      </c>
      <c r="L276" s="223">
        <v>0</v>
      </c>
      <c r="M276" s="223">
        <v>0</v>
      </c>
      <c r="N276" s="223">
        <v>341940.25276786846</v>
      </c>
      <c r="O276" s="223">
        <v>0</v>
      </c>
      <c r="P276" s="223">
        <v>0</v>
      </c>
      <c r="Q276" s="223">
        <v>0</v>
      </c>
      <c r="R276" s="223">
        <v>0</v>
      </c>
      <c r="S276" s="223">
        <v>0</v>
      </c>
      <c r="T276" s="223">
        <f t="shared" si="155"/>
        <v>-341940.25276786846</v>
      </c>
      <c r="U276" s="223">
        <f t="shared" si="156"/>
        <v>0</v>
      </c>
      <c r="V276" s="223">
        <f>'[71]2. подк.неподк.'!V263</f>
        <v>345140.29777159984</v>
      </c>
      <c r="W276" s="269"/>
      <c r="X276" s="223"/>
      <c r="Y276" s="223"/>
      <c r="Z276" s="223"/>
      <c r="AA276" s="223"/>
      <c r="AB276" s="223"/>
      <c r="AC276" s="223">
        <f>'[71]2. подк.неподк.'!W263</f>
        <v>333453.19945632201</v>
      </c>
      <c r="AD276" s="223">
        <f>'[71]2. подк.неподк.'!X263</f>
        <v>5341487.6500000004</v>
      </c>
      <c r="AE276" s="223">
        <f>'[70]4. Выпадающие 2012_2015'!AB91</f>
        <v>0</v>
      </c>
      <c r="AF276" s="223">
        <f t="shared" si="158"/>
        <v>0</v>
      </c>
      <c r="AG276" s="223">
        <v>346791.31743457401</v>
      </c>
      <c r="AH276" s="223"/>
      <c r="AI276" s="1008" t="e">
        <f t="shared" si="152"/>
        <v>#DIV/0!</v>
      </c>
      <c r="AJ276" s="1008">
        <f t="shared" si="153"/>
        <v>-346791.31743457401</v>
      </c>
      <c r="AK276" s="1009">
        <f>AH276</f>
        <v>0</v>
      </c>
      <c r="AL276" s="1015"/>
    </row>
    <row r="277" spans="1:38" s="224" customFormat="1" ht="33" customHeight="1">
      <c r="A277" s="218"/>
      <c r="B277" s="219" t="s">
        <v>1272</v>
      </c>
      <c r="C277" s="238"/>
      <c r="D277" s="956" t="s">
        <v>1385</v>
      </c>
      <c r="E277" s="221" t="s">
        <v>1273</v>
      </c>
      <c r="F277" s="221" t="s">
        <v>1273</v>
      </c>
      <c r="G277" s="222" t="s">
        <v>552</v>
      </c>
      <c r="H277" s="223">
        <v>326829.46999999997</v>
      </c>
      <c r="I277" s="223">
        <v>94491</v>
      </c>
      <c r="J277" s="223">
        <v>0</v>
      </c>
      <c r="K277" s="223">
        <v>414629.91919286898</v>
      </c>
      <c r="L277" s="223">
        <v>81519.929999999993</v>
      </c>
      <c r="M277" s="223">
        <v>0</v>
      </c>
      <c r="N277" s="223">
        <v>64196.78</v>
      </c>
      <c r="O277" s="223">
        <v>262313.280030002</v>
      </c>
      <c r="P277" s="223">
        <v>101736.78313000068</v>
      </c>
      <c r="Q277" s="223">
        <v>64196.78</v>
      </c>
      <c r="R277" s="223">
        <v>64196.78</v>
      </c>
      <c r="S277" s="223">
        <v>64196.78</v>
      </c>
      <c r="T277" s="223">
        <f t="shared" si="155"/>
        <v>0</v>
      </c>
      <c r="U277" s="223">
        <f t="shared" si="156"/>
        <v>-37540.003130000681</v>
      </c>
      <c r="V277" s="223">
        <f>'[71]2. подк.неподк.'!V264</f>
        <v>336598.63571940805</v>
      </c>
      <c r="W277" s="223">
        <v>96981775.886998996</v>
      </c>
      <c r="X277" s="223">
        <v>96981.775886998992</v>
      </c>
      <c r="Y277" s="223">
        <v>231014.39857772301</v>
      </c>
      <c r="Z277" s="168">
        <v>-61273.425802276135</v>
      </c>
      <c r="AA277" s="223">
        <v>226107.90055999995</v>
      </c>
      <c r="AB277" s="223">
        <v>66179.923820000025</v>
      </c>
      <c r="AC277" s="223">
        <f>'[71]2. подк.неподк.'!W264</f>
        <v>354585.75646089728</v>
      </c>
      <c r="AD277" s="223">
        <f>'[71]2. подк.неподк.'!X264</f>
        <v>775756.23813897197</v>
      </c>
      <c r="AE277" s="223">
        <v>355981.21535599872</v>
      </c>
      <c r="AF277" s="223">
        <v>359574.89899626304</v>
      </c>
      <c r="AG277" s="223">
        <v>368769.1866755326</v>
      </c>
      <c r="AH277" s="223">
        <v>831264.87253649521</v>
      </c>
      <c r="AI277" s="1008">
        <f t="shared" si="152"/>
        <v>8.5713513176441172</v>
      </c>
      <c r="AJ277" s="1008">
        <f t="shared" si="153"/>
        <v>462495.68586096261</v>
      </c>
      <c r="AK277" s="1009">
        <v>772920.3670661354</v>
      </c>
      <c r="AL277" s="1010"/>
    </row>
    <row r="278" spans="1:38" ht="26.25" customHeight="1">
      <c r="A278" s="139"/>
      <c r="B278" s="409" t="s">
        <v>1274</v>
      </c>
      <c r="C278" s="177"/>
      <c r="D278" s="956"/>
      <c r="E278" s="172" t="s">
        <v>1275</v>
      </c>
      <c r="F278" s="172" t="s">
        <v>1275</v>
      </c>
      <c r="G278" s="406" t="s">
        <v>121</v>
      </c>
      <c r="H278" s="402">
        <f t="shared" ref="H278:M278" si="191">H279</f>
        <v>6015.91</v>
      </c>
      <c r="I278" s="402">
        <f t="shared" si="191"/>
        <v>4521.5244199999997</v>
      </c>
      <c r="J278" s="402">
        <f t="shared" si="191"/>
        <v>4521.5200000000004</v>
      </c>
      <c r="K278" s="402">
        <f t="shared" si="191"/>
        <v>6601.1</v>
      </c>
      <c r="L278" s="402">
        <f t="shared" si="191"/>
        <v>4119.4361200000003</v>
      </c>
      <c r="M278" s="402">
        <f t="shared" si="191"/>
        <v>4119.4399999999996</v>
      </c>
      <c r="N278" s="402">
        <f>N279</f>
        <v>2462.2300300000002</v>
      </c>
      <c r="O278" s="402">
        <f>O279</f>
        <v>5039.1831000000002</v>
      </c>
      <c r="P278" s="402">
        <f t="shared" ref="P278:AK278" si="192">P279</f>
        <v>4628.4464700000008</v>
      </c>
      <c r="Q278" s="145">
        <f t="shared" si="192"/>
        <v>4628.4464700000008</v>
      </c>
      <c r="R278" s="402">
        <f t="shared" si="192"/>
        <v>4628.4464700000008</v>
      </c>
      <c r="S278" s="402">
        <f t="shared" si="192"/>
        <v>4628.4464700000008</v>
      </c>
      <c r="T278" s="402">
        <f t="shared" si="155"/>
        <v>2166.2164400000006</v>
      </c>
      <c r="U278" s="402">
        <f t="shared" si="156"/>
        <v>0</v>
      </c>
      <c r="V278" s="402">
        <f t="shared" si="192"/>
        <v>4671.9598899999992</v>
      </c>
      <c r="W278" s="402">
        <f t="shared" si="192"/>
        <v>5459004.4299999997</v>
      </c>
      <c r="X278" s="402">
        <f t="shared" si="192"/>
        <v>5459.00443</v>
      </c>
      <c r="Y278" s="402">
        <f t="shared" si="192"/>
        <v>5459.00443</v>
      </c>
      <c r="Z278" s="168">
        <f t="shared" si="192"/>
        <v>5073.2844999999998</v>
      </c>
      <c r="AA278" s="402">
        <f t="shared" si="192"/>
        <v>330.23453999999998</v>
      </c>
      <c r="AB278" s="402">
        <f t="shared" si="192"/>
        <v>55.485390000000002</v>
      </c>
      <c r="AC278" s="402">
        <f t="shared" si="192"/>
        <v>4882.1980850499986</v>
      </c>
      <c r="AD278" s="402">
        <f t="shared" si="192"/>
        <v>5116.54</v>
      </c>
      <c r="AE278" s="402">
        <f t="shared" si="192"/>
        <v>4844.1298314057512</v>
      </c>
      <c r="AF278" s="402">
        <f t="shared" si="192"/>
        <v>4844.1298314057512</v>
      </c>
      <c r="AG278" s="402">
        <f t="shared" si="192"/>
        <v>5077.4860084519987</v>
      </c>
      <c r="AH278" s="402">
        <f t="shared" si="192"/>
        <v>6768.9245282915927</v>
      </c>
      <c r="AI278" s="1012">
        <f t="shared" si="152"/>
        <v>1.2399558591843078</v>
      </c>
      <c r="AJ278" s="1012">
        <f t="shared" si="153"/>
        <v>1691.4385198395939</v>
      </c>
      <c r="AK278" s="402">
        <f t="shared" si="192"/>
        <v>6768.9245282915927</v>
      </c>
      <c r="AL278" s="74"/>
    </row>
    <row r="279" spans="1:38" ht="33" customHeight="1" outlineLevel="1">
      <c r="A279" s="139" t="s">
        <v>1276</v>
      </c>
      <c r="B279" s="176" t="s">
        <v>1277</v>
      </c>
      <c r="C279" s="240" t="s">
        <v>1278</v>
      </c>
      <c r="D279" s="956" t="s">
        <v>1390</v>
      </c>
      <c r="E279" s="149" t="s">
        <v>1279</v>
      </c>
      <c r="F279" s="149" t="s">
        <v>1280</v>
      </c>
      <c r="G279" s="406" t="s">
        <v>121</v>
      </c>
      <c r="H279" s="406">
        <v>6015.91</v>
      </c>
      <c r="I279" s="406">
        <v>4521.5244199999997</v>
      </c>
      <c r="J279" s="406">
        <v>4521.5200000000004</v>
      </c>
      <c r="K279" s="406">
        <v>6601.1</v>
      </c>
      <c r="L279" s="406">
        <v>4119.4361200000003</v>
      </c>
      <c r="M279" s="406">
        <v>4119.4399999999996</v>
      </c>
      <c r="N279" s="406">
        <v>2462.2300300000002</v>
      </c>
      <c r="O279" s="406">
        <v>5039.1831000000002</v>
      </c>
      <c r="P279" s="406">
        <v>4628.4464700000008</v>
      </c>
      <c r="Q279" s="150">
        <v>4628.4464700000008</v>
      </c>
      <c r="R279" s="406">
        <v>4628.4464700000008</v>
      </c>
      <c r="S279" s="406">
        <v>4628.4464700000008</v>
      </c>
      <c r="T279" s="406">
        <f t="shared" si="155"/>
        <v>2166.2164400000006</v>
      </c>
      <c r="U279" s="406">
        <f t="shared" si="156"/>
        <v>0</v>
      </c>
      <c r="V279" s="406">
        <v>4671.9598899999992</v>
      </c>
      <c r="W279" s="167">
        <v>5459004.4299999997</v>
      </c>
      <c r="X279" s="167">
        <v>5459.00443</v>
      </c>
      <c r="Y279" s="406">
        <v>5459.00443</v>
      </c>
      <c r="Z279" s="406">
        <v>5073.2844999999998</v>
      </c>
      <c r="AA279" s="406">
        <v>330.23453999999998</v>
      </c>
      <c r="AB279" s="406">
        <v>55.485390000000002</v>
      </c>
      <c r="AC279" s="406">
        <v>4882.1980850499986</v>
      </c>
      <c r="AD279" s="406">
        <f>'[71]2. подк.неподк.'!X266</f>
        <v>5116.54</v>
      </c>
      <c r="AE279" s="406">
        <f>V279*$AD$11</f>
        <v>4844.1298314057512</v>
      </c>
      <c r="AF279" s="402">
        <f t="shared" si="158"/>
        <v>4844.1298314057512</v>
      </c>
      <c r="AG279" s="406">
        <v>5077.4860084519987</v>
      </c>
      <c r="AH279" s="406">
        <v>6768.9245282915927</v>
      </c>
      <c r="AI279" s="957">
        <f t="shared" si="152"/>
        <v>1.2399558591843078</v>
      </c>
      <c r="AJ279" s="957">
        <f t="shared" si="153"/>
        <v>1691.4385198395939</v>
      </c>
      <c r="AK279" s="958">
        <f>AH279</f>
        <v>6768.9245282915927</v>
      </c>
      <c r="AL279" s="74"/>
    </row>
    <row r="280" spans="1:38" ht="24" customHeight="1">
      <c r="A280" s="139" t="s">
        <v>1281</v>
      </c>
      <c r="B280" s="239" t="s">
        <v>1282</v>
      </c>
      <c r="C280" s="240" t="s">
        <v>1283</v>
      </c>
      <c r="D280" s="956" t="s">
        <v>2165</v>
      </c>
      <c r="E280" s="241" t="s">
        <v>1284</v>
      </c>
      <c r="F280" s="142" t="s">
        <v>1285</v>
      </c>
      <c r="G280" s="404" t="s">
        <v>552</v>
      </c>
      <c r="H280" s="217">
        <v>20800</v>
      </c>
      <c r="I280" s="217">
        <v>0</v>
      </c>
      <c r="J280" s="217">
        <v>0</v>
      </c>
      <c r="K280" s="402">
        <v>22823.2853</v>
      </c>
      <c r="L280" s="402">
        <v>7247.24802</v>
      </c>
      <c r="M280" s="402">
        <v>7247.25</v>
      </c>
      <c r="N280" s="402">
        <v>20800</v>
      </c>
      <c r="O280" s="402">
        <v>7560.8363399999998</v>
      </c>
      <c r="P280" s="402">
        <v>7088.4152899999999</v>
      </c>
      <c r="Q280" s="145">
        <v>7088.4152899999999</v>
      </c>
      <c r="R280" s="402">
        <v>7088.4152899999999</v>
      </c>
      <c r="S280" s="402">
        <v>7088.4152899999999</v>
      </c>
      <c r="T280" s="402">
        <f t="shared" si="155"/>
        <v>-13711.584709999999</v>
      </c>
      <c r="U280" s="402">
        <f t="shared" si="156"/>
        <v>0</v>
      </c>
      <c r="V280" s="402">
        <f>'[71]2. подк.неподк.'!V267</f>
        <v>20800</v>
      </c>
      <c r="W280" s="953">
        <v>9631023.0399999991</v>
      </c>
      <c r="X280" s="953">
        <v>9631.0230399999982</v>
      </c>
      <c r="Y280" s="402">
        <v>9631.0230399999982</v>
      </c>
      <c r="Z280" s="168">
        <v>8964.0206199999993</v>
      </c>
      <c r="AA280" s="402">
        <v>562.96753000000001</v>
      </c>
      <c r="AB280" s="402">
        <v>104.03489</v>
      </c>
      <c r="AC280" s="402">
        <f>'[71]2. подк.неподк.'!W267</f>
        <v>21736</v>
      </c>
      <c r="AD280" s="402">
        <f>'[71]2. подк.неподк.'!X267</f>
        <v>21736</v>
      </c>
      <c r="AE280" s="402">
        <f>V280</f>
        <v>20800</v>
      </c>
      <c r="AF280" s="402">
        <f>AE280</f>
        <v>20800</v>
      </c>
      <c r="AG280" s="402">
        <v>22605.440000000002</v>
      </c>
      <c r="AH280" s="402">
        <v>8934.82</v>
      </c>
      <c r="AI280" s="954">
        <f t="shared" si="152"/>
        <v>0.92771245203043362</v>
      </c>
      <c r="AJ280" s="954">
        <f t="shared" si="153"/>
        <v>-13670.620000000003</v>
      </c>
      <c r="AK280" s="259">
        <f>AH280</f>
        <v>8934.82</v>
      </c>
      <c r="AL280" s="74"/>
    </row>
    <row r="281" spans="1:38" ht="19.5" customHeight="1">
      <c r="A281" s="139"/>
      <c r="B281" s="409" t="s">
        <v>1286</v>
      </c>
      <c r="C281" s="1011"/>
      <c r="D281" s="167"/>
      <c r="E281" s="410" t="s">
        <v>1287</v>
      </c>
      <c r="F281" s="410" t="s">
        <v>1287</v>
      </c>
      <c r="G281" s="404" t="s">
        <v>552</v>
      </c>
      <c r="H281" s="402">
        <f>H282+H283+H284+H285</f>
        <v>4161.644397</v>
      </c>
      <c r="I281" s="402">
        <f t="shared" ref="I281:J281" si="193">I282+I283+I284+I285</f>
        <v>67230</v>
      </c>
      <c r="J281" s="402">
        <f t="shared" si="193"/>
        <v>4273</v>
      </c>
      <c r="K281" s="402">
        <f>SUM(K282+K285)</f>
        <v>4531.2451859056318</v>
      </c>
      <c r="L281" s="402">
        <f t="shared" ref="L281:AK281" si="194">SUM(L282+L285+L283)</f>
        <v>33081.443930000001</v>
      </c>
      <c r="M281" s="402">
        <f t="shared" si="194"/>
        <v>3674.79</v>
      </c>
      <c r="N281" s="402">
        <f t="shared" si="194"/>
        <v>4748.74</v>
      </c>
      <c r="O281" s="402">
        <f>SUM(O282+O285+O283)</f>
        <v>367781.34206000005</v>
      </c>
      <c r="P281" s="402">
        <f t="shared" si="194"/>
        <v>332686.40981000004</v>
      </c>
      <c r="Q281" s="145">
        <f t="shared" si="194"/>
        <v>1984.5105799999999</v>
      </c>
      <c r="R281" s="402">
        <f t="shared" si="194"/>
        <v>1984.5105799999999</v>
      </c>
      <c r="S281" s="402">
        <f t="shared" si="194"/>
        <v>1984.5105799999999</v>
      </c>
      <c r="T281" s="402">
        <f t="shared" si="155"/>
        <v>-2764.2294199999997</v>
      </c>
      <c r="U281" s="402">
        <f t="shared" si="156"/>
        <v>-330701.89923000004</v>
      </c>
      <c r="V281" s="402">
        <f t="shared" si="194"/>
        <v>3097.21</v>
      </c>
      <c r="W281" s="402">
        <f t="shared" si="194"/>
        <v>565861539.88</v>
      </c>
      <c r="X281" s="402">
        <f t="shared" si="194"/>
        <v>565861.53987999994</v>
      </c>
      <c r="Y281" s="402">
        <f t="shared" si="194"/>
        <v>565861.53987999982</v>
      </c>
      <c r="Z281" s="402">
        <f t="shared" si="194"/>
        <v>560204.12034999998</v>
      </c>
      <c r="AA281" s="402">
        <f t="shared" si="194"/>
        <v>4142.34458</v>
      </c>
      <c r="AB281" s="402">
        <f t="shared" si="194"/>
        <v>1515.0749500000002</v>
      </c>
      <c r="AC281" s="402">
        <f t="shared" si="194"/>
        <v>3236.5844499999998</v>
      </c>
      <c r="AD281" s="402">
        <f t="shared" si="194"/>
        <v>3639.7289999999998</v>
      </c>
      <c r="AE281" s="402">
        <f t="shared" si="194"/>
        <v>3211.347637474732</v>
      </c>
      <c r="AF281" s="402">
        <f t="shared" si="194"/>
        <v>3211.347637474732</v>
      </c>
      <c r="AG281" s="402">
        <f>SUM(AG282+AG285+AG283)</f>
        <v>3366.0478279999998</v>
      </c>
      <c r="AH281" s="402">
        <f t="shared" si="194"/>
        <v>16893.93</v>
      </c>
      <c r="AI281" s="1012">
        <f t="shared" si="152"/>
        <v>2.9855236324388877E-2</v>
      </c>
      <c r="AJ281" s="402">
        <f t="shared" si="194"/>
        <v>13527.882172000003</v>
      </c>
      <c r="AK281" s="402">
        <f t="shared" si="194"/>
        <v>16840.400000000001</v>
      </c>
      <c r="AL281" s="74"/>
    </row>
    <row r="282" spans="1:38" ht="33" customHeight="1" outlineLevel="1">
      <c r="A282" s="139" t="s">
        <v>1288</v>
      </c>
      <c r="B282" s="176" t="s">
        <v>1289</v>
      </c>
      <c r="C282" s="240" t="s">
        <v>1290</v>
      </c>
      <c r="D282" s="956" t="s">
        <v>2166</v>
      </c>
      <c r="E282" s="196" t="s">
        <v>1291</v>
      </c>
      <c r="F282" s="196" t="s">
        <v>1292</v>
      </c>
      <c r="G282" s="404" t="s">
        <v>552</v>
      </c>
      <c r="H282" s="404">
        <v>3241.5643970000001</v>
      </c>
      <c r="I282" s="404">
        <v>4273</v>
      </c>
      <c r="J282" s="404">
        <v>4273</v>
      </c>
      <c r="K282" s="406">
        <v>3556.8821603056317</v>
      </c>
      <c r="L282" s="406">
        <v>3504.11085</v>
      </c>
      <c r="M282" s="406">
        <v>3504.11</v>
      </c>
      <c r="N282" s="406">
        <v>3739.0899999999997</v>
      </c>
      <c r="O282" s="406">
        <v>2091.12228</v>
      </c>
      <c r="P282" s="406">
        <v>1876.4972399999999</v>
      </c>
      <c r="Q282" s="150">
        <v>1876.4972399999999</v>
      </c>
      <c r="R282" s="406">
        <v>1876.4972399999999</v>
      </c>
      <c r="S282" s="406">
        <v>1876.4972399999999</v>
      </c>
      <c r="T282" s="406">
        <f t="shared" si="155"/>
        <v>-1862.5927599999998</v>
      </c>
      <c r="U282" s="406">
        <f t="shared" si="156"/>
        <v>0</v>
      </c>
      <c r="V282" s="406">
        <v>2949.29</v>
      </c>
      <c r="W282" s="167">
        <v>4341717.3600000003</v>
      </c>
      <c r="X282" s="167">
        <v>4341.7173600000006</v>
      </c>
      <c r="Y282" s="406">
        <v>4341.7173600000006</v>
      </c>
      <c r="Z282" s="166">
        <v>3947.60833</v>
      </c>
      <c r="AA282" s="406">
        <v>349.29611999999997</v>
      </c>
      <c r="AB282" s="406">
        <v>44.812910000000002</v>
      </c>
      <c r="AC282" s="406">
        <v>3082.0080499999999</v>
      </c>
      <c r="AD282" s="406">
        <f>'[71]2. подк.неподк.'!X269</f>
        <v>3485.1525999999999</v>
      </c>
      <c r="AE282" s="406">
        <f>V282*$AD$11</f>
        <v>3057.9765252365364</v>
      </c>
      <c r="AF282" s="402">
        <f t="shared" si="158"/>
        <v>3057.9765252365364</v>
      </c>
      <c r="AG282" s="406">
        <v>3205.288372</v>
      </c>
      <c r="AH282" s="406">
        <v>16840.400000000001</v>
      </c>
      <c r="AI282" s="957">
        <f t="shared" si="152"/>
        <v>3.8787416599591826</v>
      </c>
      <c r="AJ282" s="957">
        <f t="shared" si="153"/>
        <v>13635.111628000002</v>
      </c>
      <c r="AK282" s="958">
        <f>AH282</f>
        <v>16840.400000000001</v>
      </c>
      <c r="AL282" s="74"/>
    </row>
    <row r="283" spans="1:38" ht="33" customHeight="1" outlineLevel="1">
      <c r="A283" s="139"/>
      <c r="B283" s="176" t="s">
        <v>1293</v>
      </c>
      <c r="C283" s="240" t="s">
        <v>1969</v>
      </c>
      <c r="D283" s="956" t="s">
        <v>1394</v>
      </c>
      <c r="E283" s="196" t="s">
        <v>1294</v>
      </c>
      <c r="F283" s="196" t="s">
        <v>1295</v>
      </c>
      <c r="G283" s="404" t="s">
        <v>552</v>
      </c>
      <c r="H283" s="404">
        <v>920.08</v>
      </c>
      <c r="I283" s="404">
        <v>62957</v>
      </c>
      <c r="J283" s="404">
        <v>0</v>
      </c>
      <c r="K283" s="406">
        <v>0</v>
      </c>
      <c r="L283" s="406">
        <v>29406.651000000002</v>
      </c>
      <c r="M283" s="406">
        <v>0</v>
      </c>
      <c r="N283" s="406">
        <v>0</v>
      </c>
      <c r="O283" s="406">
        <v>365568.57398000004</v>
      </c>
      <c r="P283" s="406">
        <v>330701.89923000004</v>
      </c>
      <c r="Q283" s="150">
        <v>0</v>
      </c>
      <c r="R283" s="406">
        <v>0</v>
      </c>
      <c r="S283" s="406">
        <v>0</v>
      </c>
      <c r="T283" s="406">
        <f t="shared" si="155"/>
        <v>0</v>
      </c>
      <c r="U283" s="406">
        <f t="shared" si="156"/>
        <v>-330701.89923000004</v>
      </c>
      <c r="V283" s="406">
        <v>0</v>
      </c>
      <c r="W283" s="167">
        <v>561436366.48000002</v>
      </c>
      <c r="X283" s="167">
        <v>561436.36647999997</v>
      </c>
      <c r="Y283" s="406">
        <v>561436.36647999985</v>
      </c>
      <c r="Z283" s="166">
        <v>556178.09529999993</v>
      </c>
      <c r="AA283" s="406">
        <v>3788.8983800000001</v>
      </c>
      <c r="AB283" s="406">
        <v>1469.3728000000001</v>
      </c>
      <c r="AC283" s="406">
        <v>0</v>
      </c>
      <c r="AD283" s="406">
        <f>'[71]2. подк.неподк.'!X270</f>
        <v>0</v>
      </c>
      <c r="AE283" s="406">
        <f>V283*$AD$11</f>
        <v>0</v>
      </c>
      <c r="AF283" s="402">
        <f t="shared" si="158"/>
        <v>0</v>
      </c>
      <c r="AG283" s="406">
        <v>0</v>
      </c>
      <c r="AH283" s="406">
        <v>0</v>
      </c>
      <c r="AI283" s="957">
        <f t="shared" si="152"/>
        <v>0</v>
      </c>
      <c r="AJ283" s="957">
        <f t="shared" si="153"/>
        <v>0</v>
      </c>
      <c r="AK283" s="958">
        <f t="shared" ref="AK283:AK284" si="195">AH283</f>
        <v>0</v>
      </c>
      <c r="AL283" s="74"/>
    </row>
    <row r="284" spans="1:38" ht="33" customHeight="1" outlineLevel="1">
      <c r="A284" s="139"/>
      <c r="B284" s="176" t="s">
        <v>1296</v>
      </c>
      <c r="C284" s="240" t="s">
        <v>1970</v>
      </c>
      <c r="D284" s="956" t="s">
        <v>1400</v>
      </c>
      <c r="E284" s="196" t="s">
        <v>1297</v>
      </c>
      <c r="F284" s="196" t="s">
        <v>1298</v>
      </c>
      <c r="G284" s="404" t="s">
        <v>552</v>
      </c>
      <c r="H284" s="404">
        <v>0</v>
      </c>
      <c r="I284" s="404">
        <v>0</v>
      </c>
      <c r="J284" s="404">
        <v>0</v>
      </c>
      <c r="K284" s="406"/>
      <c r="L284" s="406"/>
      <c r="M284" s="406"/>
      <c r="N284" s="406"/>
      <c r="O284" s="406">
        <v>0</v>
      </c>
      <c r="P284" s="406">
        <v>0</v>
      </c>
      <c r="Q284" s="150">
        <v>0</v>
      </c>
      <c r="R284" s="406">
        <v>0</v>
      </c>
      <c r="S284" s="406">
        <v>0</v>
      </c>
      <c r="T284" s="406">
        <f t="shared" si="155"/>
        <v>0</v>
      </c>
      <c r="U284" s="406">
        <f t="shared" si="156"/>
        <v>0</v>
      </c>
      <c r="V284" s="406">
        <v>0</v>
      </c>
      <c r="W284" s="167">
        <v>0</v>
      </c>
      <c r="X284" s="167">
        <v>0</v>
      </c>
      <c r="Y284" s="406">
        <v>0</v>
      </c>
      <c r="Z284" s="406">
        <v>0</v>
      </c>
      <c r="AA284" s="406">
        <v>0</v>
      </c>
      <c r="AB284" s="406">
        <v>0</v>
      </c>
      <c r="AC284" s="406">
        <v>1</v>
      </c>
      <c r="AD284" s="406">
        <f>'[71]2. подк.неподк.'!X271</f>
        <v>0</v>
      </c>
      <c r="AE284" s="406">
        <f>V284*$AD$11</f>
        <v>0</v>
      </c>
      <c r="AF284" s="402">
        <f t="shared" si="158"/>
        <v>0</v>
      </c>
      <c r="AG284" s="406">
        <v>0</v>
      </c>
      <c r="AH284" s="406">
        <v>0</v>
      </c>
      <c r="AI284" s="957" t="e">
        <f t="shared" si="152"/>
        <v>#DIV/0!</v>
      </c>
      <c r="AJ284" s="957">
        <f t="shared" si="153"/>
        <v>0</v>
      </c>
      <c r="AK284" s="958">
        <f t="shared" si="195"/>
        <v>0</v>
      </c>
      <c r="AL284" s="74"/>
    </row>
    <row r="285" spans="1:38" ht="33" customHeight="1" outlineLevel="1">
      <c r="A285" s="139" t="s">
        <v>1299</v>
      </c>
      <c r="B285" s="176" t="s">
        <v>1300</v>
      </c>
      <c r="C285" s="240" t="s">
        <v>1301</v>
      </c>
      <c r="D285" s="956" t="s">
        <v>1404</v>
      </c>
      <c r="E285" s="196" t="s">
        <v>1302</v>
      </c>
      <c r="F285" s="196" t="s">
        <v>1303</v>
      </c>
      <c r="G285" s="404" t="s">
        <v>552</v>
      </c>
      <c r="H285" s="404">
        <v>0</v>
      </c>
      <c r="I285" s="404">
        <v>0</v>
      </c>
      <c r="J285" s="404">
        <v>0</v>
      </c>
      <c r="K285" s="406">
        <v>974.36302560000013</v>
      </c>
      <c r="L285" s="406">
        <v>170.68207999999998</v>
      </c>
      <c r="M285" s="406">
        <v>170.68</v>
      </c>
      <c r="N285" s="406">
        <v>1009.65</v>
      </c>
      <c r="O285" s="406">
        <v>121.64580000000001</v>
      </c>
      <c r="P285" s="406">
        <v>108.01334</v>
      </c>
      <c r="Q285" s="150">
        <v>108.01334</v>
      </c>
      <c r="R285" s="406">
        <v>108.01334</v>
      </c>
      <c r="S285" s="406">
        <v>108.01334</v>
      </c>
      <c r="T285" s="406">
        <f t="shared" si="155"/>
        <v>-901.63666000000001</v>
      </c>
      <c r="U285" s="406">
        <f t="shared" si="156"/>
        <v>0</v>
      </c>
      <c r="V285" s="406">
        <v>147.91999999999999</v>
      </c>
      <c r="W285" s="167">
        <v>83456.039999999994</v>
      </c>
      <c r="X285" s="167">
        <v>83.456039999999987</v>
      </c>
      <c r="Y285" s="406">
        <v>83.456040000000002</v>
      </c>
      <c r="Z285" s="166">
        <v>78.416719999999998</v>
      </c>
      <c r="AA285" s="406">
        <v>4.15008</v>
      </c>
      <c r="AB285" s="406">
        <v>0.88924000000000003</v>
      </c>
      <c r="AC285" s="406">
        <v>154.57639999999998</v>
      </c>
      <c r="AD285" s="406">
        <f>'[71]2. подк.неподк.'!X272</f>
        <v>154.57639999999998</v>
      </c>
      <c r="AE285" s="406">
        <f>V285*$AD$11</f>
        <v>153.37111223819576</v>
      </c>
      <c r="AF285" s="402">
        <f t="shared" si="158"/>
        <v>153.37111223819576</v>
      </c>
      <c r="AG285" s="406">
        <v>160.75945599999997</v>
      </c>
      <c r="AH285" s="406">
        <v>53.53</v>
      </c>
      <c r="AI285" s="957">
        <f t="shared" si="152"/>
        <v>0.64141552846264938</v>
      </c>
      <c r="AJ285" s="957">
        <f t="shared" si="153"/>
        <v>-107.22945599999997</v>
      </c>
      <c r="AK285" s="965"/>
      <c r="AL285" s="74"/>
    </row>
    <row r="286" spans="1:38" ht="20.25" customHeight="1">
      <c r="A286" s="139"/>
      <c r="B286" s="409" t="s">
        <v>1304</v>
      </c>
      <c r="C286" s="215"/>
      <c r="D286" s="1016"/>
      <c r="E286" s="142" t="s">
        <v>1305</v>
      </c>
      <c r="F286" s="142" t="s">
        <v>1306</v>
      </c>
      <c r="G286" s="404" t="s">
        <v>552</v>
      </c>
      <c r="H286" s="402">
        <f>SUM(H287:H317)</f>
        <v>1637.41</v>
      </c>
      <c r="I286" s="402">
        <f t="shared" ref="I286:N286" si="196">SUM(I287:I317)</f>
        <v>97751</v>
      </c>
      <c r="J286" s="402">
        <f t="shared" si="196"/>
        <v>4317.2299999999996</v>
      </c>
      <c r="K286" s="402">
        <f t="shared" si="196"/>
        <v>4737.0626746223861</v>
      </c>
      <c r="L286" s="402">
        <f t="shared" si="196"/>
        <v>143220.65036</v>
      </c>
      <c r="M286" s="402">
        <f t="shared" si="196"/>
        <v>0</v>
      </c>
      <c r="N286" s="402">
        <f t="shared" si="196"/>
        <v>4964.441683004261</v>
      </c>
      <c r="O286" s="402">
        <f>SUM(O287:O323)</f>
        <v>248782.46003999995</v>
      </c>
      <c r="P286" s="402">
        <f>SUM(P287:P323)</f>
        <v>127325.39408999997</v>
      </c>
      <c r="Q286" s="145">
        <f>SUM(Q287:Q323)</f>
        <v>21063.618310000002</v>
      </c>
      <c r="R286" s="402">
        <f>SUM(R287:R323)</f>
        <v>21063.618310000002</v>
      </c>
      <c r="S286" s="402">
        <f>SUM(S287:S323)</f>
        <v>12074.092410000001</v>
      </c>
      <c r="T286" s="402">
        <f t="shared" si="155"/>
        <v>7109.6507269957401</v>
      </c>
      <c r="U286" s="402">
        <f t="shared" si="156"/>
        <v>-115251.30167999998</v>
      </c>
      <c r="V286" s="402">
        <f>SUM(V287:V323)</f>
        <v>0</v>
      </c>
      <c r="W286" s="402">
        <f>SUM(W287:W323)</f>
        <v>265789471.40999997</v>
      </c>
      <c r="X286" s="402">
        <f>SUM(X287:X323)</f>
        <v>265789.47141000006</v>
      </c>
      <c r="Y286" s="402">
        <f t="shared" ref="Y286:AK286" si="197">SUM(Y287:Y323)</f>
        <v>265789.4714122758</v>
      </c>
      <c r="Z286" s="168">
        <f t="shared" si="197"/>
        <v>192004.51217227566</v>
      </c>
      <c r="AA286" s="402">
        <f t="shared" si="197"/>
        <v>47511.397970000005</v>
      </c>
      <c r="AB286" s="402">
        <f t="shared" si="197"/>
        <v>26273.561270000006</v>
      </c>
      <c r="AC286" s="402">
        <f t="shared" si="197"/>
        <v>0</v>
      </c>
      <c r="AD286" s="402">
        <f t="shared" si="197"/>
        <v>36527.200965999997</v>
      </c>
      <c r="AE286" s="402">
        <f t="shared" si="197"/>
        <v>0</v>
      </c>
      <c r="AF286" s="402">
        <f t="shared" si="197"/>
        <v>0</v>
      </c>
      <c r="AG286" s="402">
        <f t="shared" si="197"/>
        <v>0</v>
      </c>
      <c r="AH286" s="402">
        <f t="shared" si="197"/>
        <v>93895.280857602993</v>
      </c>
      <c r="AI286" s="1012">
        <f t="shared" ref="AI286:AI323" si="198">AH286/X286</f>
        <v>0.35326937654638141</v>
      </c>
      <c r="AJ286" s="402">
        <f t="shared" si="197"/>
        <v>93895.280857602993</v>
      </c>
      <c r="AK286" s="402">
        <f t="shared" si="197"/>
        <v>71105.030857602993</v>
      </c>
      <c r="AL286" s="74"/>
    </row>
    <row r="287" spans="1:38" ht="33" customHeight="1" outlineLevel="1">
      <c r="A287" s="139" t="s">
        <v>1307</v>
      </c>
      <c r="B287" s="242" t="s">
        <v>1308</v>
      </c>
      <c r="C287" s="240" t="s">
        <v>1309</v>
      </c>
      <c r="D287" s="956" t="s">
        <v>1408</v>
      </c>
      <c r="E287" s="199" t="s">
        <v>1310</v>
      </c>
      <c r="F287" s="148" t="s">
        <v>1305</v>
      </c>
      <c r="G287" s="404" t="s">
        <v>552</v>
      </c>
      <c r="H287" s="404">
        <v>0</v>
      </c>
      <c r="I287" s="404">
        <v>1753</v>
      </c>
      <c r="J287" s="404">
        <v>0</v>
      </c>
      <c r="K287" s="406">
        <v>4737.0626746223861</v>
      </c>
      <c r="L287" s="406">
        <v>34282.24005</v>
      </c>
      <c r="M287" s="406">
        <v>0</v>
      </c>
      <c r="N287" s="406">
        <v>4964.441683004261</v>
      </c>
      <c r="O287" s="406">
        <v>6383.3005499999999</v>
      </c>
      <c r="P287" s="406">
        <v>4017.1843699999999</v>
      </c>
      <c r="Q287" s="150">
        <v>4017.1843699999999</v>
      </c>
      <c r="R287" s="167">
        <v>4017.1843699999999</v>
      </c>
      <c r="S287" s="167">
        <v>4017.1843699999999</v>
      </c>
      <c r="T287" s="167">
        <f t="shared" ref="T287:T324" si="199">S287-N287</f>
        <v>-947.25731300426105</v>
      </c>
      <c r="U287" s="167">
        <f t="shared" ref="U287:U345" si="200">S287-P287</f>
        <v>0</v>
      </c>
      <c r="V287" s="406">
        <v>0</v>
      </c>
      <c r="W287" s="167">
        <v>7019041.9899999993</v>
      </c>
      <c r="X287" s="167">
        <v>7019.0419899999997</v>
      </c>
      <c r="Y287" s="406">
        <v>7019.0719922757498</v>
      </c>
      <c r="Z287" s="406">
        <v>5853.1444322757498</v>
      </c>
      <c r="AA287" s="406">
        <v>103.0947</v>
      </c>
      <c r="AB287" s="406">
        <v>1062.8328600000002</v>
      </c>
      <c r="AC287" s="406">
        <v>0</v>
      </c>
      <c r="AD287" s="406">
        <v>0</v>
      </c>
      <c r="AE287" s="406">
        <f t="shared" ref="AE287:AE323" si="201">V287*$AD$11</f>
        <v>0</v>
      </c>
      <c r="AF287" s="402">
        <f t="shared" ref="AF287:AF323" si="202">AE287</f>
        <v>0</v>
      </c>
      <c r="AG287" s="406">
        <v>0</v>
      </c>
      <c r="AH287" s="406">
        <v>0</v>
      </c>
      <c r="AI287" s="957">
        <f t="shared" si="198"/>
        <v>0</v>
      </c>
      <c r="AJ287" s="957">
        <f t="shared" ref="AJ287:AJ350" si="203">AH287-AG287</f>
        <v>0</v>
      </c>
      <c r="AK287" s="958">
        <f>AH287</f>
        <v>0</v>
      </c>
      <c r="AL287" s="74"/>
    </row>
    <row r="288" spans="1:38" ht="33" customHeight="1" outlineLevel="1">
      <c r="A288" s="139" t="s">
        <v>1311</v>
      </c>
      <c r="B288" s="242" t="s">
        <v>1312</v>
      </c>
      <c r="C288" s="243" t="s">
        <v>1313</v>
      </c>
      <c r="D288" s="956" t="s">
        <v>1412</v>
      </c>
      <c r="E288" s="199" t="s">
        <v>1314</v>
      </c>
      <c r="F288" s="232" t="s">
        <v>1315</v>
      </c>
      <c r="G288" s="404" t="s">
        <v>552</v>
      </c>
      <c r="H288" s="404">
        <v>0</v>
      </c>
      <c r="I288" s="404">
        <v>0</v>
      </c>
      <c r="J288" s="404">
        <v>0</v>
      </c>
      <c r="K288" s="406">
        <v>0</v>
      </c>
      <c r="L288" s="406">
        <v>0</v>
      </c>
      <c r="M288" s="406">
        <v>0</v>
      </c>
      <c r="N288" s="406">
        <v>0</v>
      </c>
      <c r="O288" s="406">
        <v>9749.808070000001</v>
      </c>
      <c r="P288" s="406"/>
      <c r="Q288" s="150">
        <v>0</v>
      </c>
      <c r="R288" s="167">
        <v>0</v>
      </c>
      <c r="S288" s="167">
        <v>0</v>
      </c>
      <c r="T288" s="167">
        <f t="shared" si="199"/>
        <v>0</v>
      </c>
      <c r="U288" s="167">
        <f t="shared" si="200"/>
        <v>0</v>
      </c>
      <c r="V288" s="406">
        <v>0</v>
      </c>
      <c r="W288" s="167">
        <v>10164878.780000001</v>
      </c>
      <c r="X288" s="167">
        <v>10164.878780000001</v>
      </c>
      <c r="Y288" s="406">
        <v>10164.878779999999</v>
      </c>
      <c r="Z288" s="406">
        <v>32.888640000000002</v>
      </c>
      <c r="AA288" s="406">
        <v>3.7667100000000002</v>
      </c>
      <c r="AB288" s="406">
        <v>10128.22343</v>
      </c>
      <c r="AC288" s="406">
        <v>0</v>
      </c>
      <c r="AD288" s="406">
        <v>0</v>
      </c>
      <c r="AE288" s="406">
        <f t="shared" si="201"/>
        <v>0</v>
      </c>
      <c r="AF288" s="402">
        <f t="shared" si="202"/>
        <v>0</v>
      </c>
      <c r="AG288" s="406">
        <v>0</v>
      </c>
      <c r="AH288" s="406">
        <v>10230.129999999999</v>
      </c>
      <c r="AI288" s="957">
        <f t="shared" si="198"/>
        <v>1.0064192816670263</v>
      </c>
      <c r="AJ288" s="957">
        <f t="shared" si="203"/>
        <v>10230.129999999999</v>
      </c>
      <c r="AK288" s="958">
        <v>0</v>
      </c>
      <c r="AL288" s="74"/>
    </row>
    <row r="289" spans="1:38" ht="33" customHeight="1" outlineLevel="1">
      <c r="A289" s="139" t="s">
        <v>1316</v>
      </c>
      <c r="B289" s="242" t="s">
        <v>1317</v>
      </c>
      <c r="C289" s="243" t="s">
        <v>1318</v>
      </c>
      <c r="D289" s="956" t="s">
        <v>548</v>
      </c>
      <c r="E289" s="199" t="s">
        <v>1319</v>
      </c>
      <c r="F289" s="232" t="s">
        <v>1320</v>
      </c>
      <c r="G289" s="404" t="s">
        <v>552</v>
      </c>
      <c r="H289" s="404">
        <v>0</v>
      </c>
      <c r="I289" s="404">
        <v>0</v>
      </c>
      <c r="J289" s="404">
        <v>0</v>
      </c>
      <c r="K289" s="406">
        <v>0</v>
      </c>
      <c r="L289" s="406">
        <v>898.95402999999999</v>
      </c>
      <c r="M289" s="406">
        <v>0</v>
      </c>
      <c r="N289" s="406">
        <v>0</v>
      </c>
      <c r="O289" s="406">
        <v>3605.5514400000002</v>
      </c>
      <c r="P289" s="406"/>
      <c r="Q289" s="150">
        <v>0</v>
      </c>
      <c r="R289" s="167">
        <v>0</v>
      </c>
      <c r="S289" s="167">
        <v>0</v>
      </c>
      <c r="T289" s="167">
        <f t="shared" si="199"/>
        <v>0</v>
      </c>
      <c r="U289" s="167">
        <f t="shared" si="200"/>
        <v>0</v>
      </c>
      <c r="V289" s="406">
        <v>0</v>
      </c>
      <c r="W289" s="167">
        <v>2277426.34</v>
      </c>
      <c r="X289" s="167">
        <v>2277.42634</v>
      </c>
      <c r="Y289" s="406">
        <v>2277.42634</v>
      </c>
      <c r="Z289" s="406">
        <v>0</v>
      </c>
      <c r="AA289" s="406">
        <v>0</v>
      </c>
      <c r="AB289" s="406">
        <v>2277.42634</v>
      </c>
      <c r="AC289" s="406">
        <v>0</v>
      </c>
      <c r="AD289" s="406">
        <v>0</v>
      </c>
      <c r="AE289" s="406">
        <f t="shared" si="201"/>
        <v>0</v>
      </c>
      <c r="AF289" s="402">
        <f t="shared" si="202"/>
        <v>0</v>
      </c>
      <c r="AG289" s="406">
        <v>0</v>
      </c>
      <c r="AH289" s="406">
        <v>2178.98</v>
      </c>
      <c r="AI289" s="957">
        <f t="shared" si="198"/>
        <v>0.95677298612432837</v>
      </c>
      <c r="AJ289" s="957">
        <f t="shared" si="203"/>
        <v>2178.98</v>
      </c>
      <c r="AK289" s="958">
        <v>0</v>
      </c>
      <c r="AL289" s="74"/>
    </row>
    <row r="290" spans="1:38" ht="33" customHeight="1" outlineLevel="1">
      <c r="A290" s="139" t="s">
        <v>1321</v>
      </c>
      <c r="B290" s="176" t="s">
        <v>1322</v>
      </c>
      <c r="C290" s="243" t="s">
        <v>1323</v>
      </c>
      <c r="D290" s="956" t="s">
        <v>1416</v>
      </c>
      <c r="E290" s="148" t="s">
        <v>1324</v>
      </c>
      <c r="F290" s="232" t="s">
        <v>1325</v>
      </c>
      <c r="G290" s="404" t="s">
        <v>552</v>
      </c>
      <c r="H290" s="404">
        <v>0</v>
      </c>
      <c r="I290" s="404">
        <v>0</v>
      </c>
      <c r="J290" s="404">
        <v>0</v>
      </c>
      <c r="K290" s="406">
        <v>0</v>
      </c>
      <c r="L290" s="406">
        <v>0</v>
      </c>
      <c r="M290" s="406">
        <v>0</v>
      </c>
      <c r="N290" s="406">
        <v>0</v>
      </c>
      <c r="O290" s="406">
        <v>147.60840999999999</v>
      </c>
      <c r="P290" s="406"/>
      <c r="Q290" s="150">
        <v>0</v>
      </c>
      <c r="R290" s="167">
        <v>0</v>
      </c>
      <c r="S290" s="167">
        <v>0</v>
      </c>
      <c r="T290" s="167">
        <f t="shared" si="199"/>
        <v>0</v>
      </c>
      <c r="U290" s="167">
        <f t="shared" si="200"/>
        <v>0</v>
      </c>
      <c r="V290" s="406">
        <v>0</v>
      </c>
      <c r="W290" s="167">
        <v>472088.03</v>
      </c>
      <c r="X290" s="167">
        <v>472.08803</v>
      </c>
      <c r="Y290" s="406">
        <v>472.08803</v>
      </c>
      <c r="Z290" s="406">
        <v>0</v>
      </c>
      <c r="AA290" s="406">
        <v>0</v>
      </c>
      <c r="AB290" s="406">
        <v>472.08803</v>
      </c>
      <c r="AC290" s="406">
        <v>0</v>
      </c>
      <c r="AD290" s="406">
        <v>0</v>
      </c>
      <c r="AE290" s="406">
        <f t="shared" si="201"/>
        <v>0</v>
      </c>
      <c r="AF290" s="402">
        <f t="shared" si="202"/>
        <v>0</v>
      </c>
      <c r="AG290" s="406">
        <v>0</v>
      </c>
      <c r="AH290" s="406">
        <v>162.16</v>
      </c>
      <c r="AI290" s="957">
        <f t="shared" si="198"/>
        <v>0.34349525871266001</v>
      </c>
      <c r="AJ290" s="957">
        <f t="shared" si="203"/>
        <v>162.16</v>
      </c>
      <c r="AK290" s="958">
        <v>0</v>
      </c>
      <c r="AL290" s="74"/>
    </row>
    <row r="291" spans="1:38" ht="33" customHeight="1" outlineLevel="1">
      <c r="A291" s="139" t="s">
        <v>1326</v>
      </c>
      <c r="B291" s="176" t="s">
        <v>1327</v>
      </c>
      <c r="C291" s="243" t="s">
        <v>1328</v>
      </c>
      <c r="D291" s="956" t="s">
        <v>1420</v>
      </c>
      <c r="E291" s="148" t="s">
        <v>1329</v>
      </c>
      <c r="F291" s="232" t="s">
        <v>1330</v>
      </c>
      <c r="G291" s="404" t="s">
        <v>552</v>
      </c>
      <c r="H291" s="404">
        <v>0</v>
      </c>
      <c r="I291" s="404">
        <v>0</v>
      </c>
      <c r="J291" s="404">
        <v>0</v>
      </c>
      <c r="K291" s="406">
        <v>0</v>
      </c>
      <c r="L291" s="406">
        <v>0</v>
      </c>
      <c r="M291" s="406">
        <v>0</v>
      </c>
      <c r="N291" s="406">
        <v>0</v>
      </c>
      <c r="O291" s="406">
        <v>79320.149999999994</v>
      </c>
      <c r="P291" s="406"/>
      <c r="Q291" s="150">
        <v>0</v>
      </c>
      <c r="R291" s="167">
        <v>0</v>
      </c>
      <c r="S291" s="167">
        <v>0</v>
      </c>
      <c r="T291" s="167">
        <f t="shared" si="199"/>
        <v>0</v>
      </c>
      <c r="U291" s="167">
        <f t="shared" si="200"/>
        <v>0</v>
      </c>
      <c r="V291" s="406">
        <v>0</v>
      </c>
      <c r="W291" s="167">
        <v>0</v>
      </c>
      <c r="X291" s="167">
        <v>0</v>
      </c>
      <c r="Y291" s="406">
        <v>0</v>
      </c>
      <c r="Z291" s="406">
        <v>0</v>
      </c>
      <c r="AA291" s="406">
        <v>0</v>
      </c>
      <c r="AB291" s="406">
        <v>0</v>
      </c>
      <c r="AC291" s="406">
        <v>0</v>
      </c>
      <c r="AD291" s="406">
        <v>0</v>
      </c>
      <c r="AE291" s="406">
        <f t="shared" si="201"/>
        <v>0</v>
      </c>
      <c r="AF291" s="402">
        <f t="shared" si="202"/>
        <v>0</v>
      </c>
      <c r="AG291" s="406">
        <v>0</v>
      </c>
      <c r="AH291" s="406">
        <v>0</v>
      </c>
      <c r="AI291" s="957" t="e">
        <f t="shared" si="198"/>
        <v>#DIV/0!</v>
      </c>
      <c r="AJ291" s="957">
        <f t="shared" si="203"/>
        <v>0</v>
      </c>
      <c r="AK291" s="958">
        <f>AH291</f>
        <v>0</v>
      </c>
      <c r="AL291" s="74"/>
    </row>
    <row r="292" spans="1:38" ht="33" customHeight="1" outlineLevel="1">
      <c r="A292" s="139" t="s">
        <v>1331</v>
      </c>
      <c r="B292" s="176" t="s">
        <v>1332</v>
      </c>
      <c r="C292" s="243" t="s">
        <v>1333</v>
      </c>
      <c r="D292" s="956" t="s">
        <v>553</v>
      </c>
      <c r="E292" s="148" t="s">
        <v>1334</v>
      </c>
      <c r="F292" s="142"/>
      <c r="G292" s="404" t="s">
        <v>552</v>
      </c>
      <c r="H292" s="404">
        <v>0</v>
      </c>
      <c r="I292" s="404">
        <v>0</v>
      </c>
      <c r="J292" s="404">
        <v>0</v>
      </c>
      <c r="K292" s="406">
        <v>0</v>
      </c>
      <c r="L292" s="406">
        <v>0</v>
      </c>
      <c r="M292" s="406">
        <v>0</v>
      </c>
      <c r="N292" s="406">
        <v>0</v>
      </c>
      <c r="O292" s="406">
        <v>0</v>
      </c>
      <c r="P292" s="406"/>
      <c r="Q292" s="150">
        <v>0</v>
      </c>
      <c r="R292" s="167">
        <v>0</v>
      </c>
      <c r="S292" s="167">
        <v>0</v>
      </c>
      <c r="T292" s="167">
        <f t="shared" si="199"/>
        <v>0</v>
      </c>
      <c r="U292" s="167">
        <f t="shared" si="200"/>
        <v>0</v>
      </c>
      <c r="V292" s="406">
        <v>0</v>
      </c>
      <c r="W292" s="167">
        <v>0</v>
      </c>
      <c r="X292" s="167">
        <v>0</v>
      </c>
      <c r="Y292" s="406">
        <v>0</v>
      </c>
      <c r="Z292" s="406">
        <v>0</v>
      </c>
      <c r="AA292" s="406">
        <v>0</v>
      </c>
      <c r="AB292" s="406">
        <v>0</v>
      </c>
      <c r="AC292" s="406">
        <v>0</v>
      </c>
      <c r="AD292" s="406">
        <v>0</v>
      </c>
      <c r="AE292" s="406">
        <f t="shared" si="201"/>
        <v>0</v>
      </c>
      <c r="AF292" s="402">
        <f t="shared" si="202"/>
        <v>0</v>
      </c>
      <c r="AG292" s="406">
        <v>0</v>
      </c>
      <c r="AH292" s="406">
        <v>0</v>
      </c>
      <c r="AI292" s="957" t="e">
        <f t="shared" si="198"/>
        <v>#DIV/0!</v>
      </c>
      <c r="AJ292" s="957">
        <f t="shared" si="203"/>
        <v>0</v>
      </c>
      <c r="AK292" s="958">
        <f>AH292</f>
        <v>0</v>
      </c>
      <c r="AL292" s="74"/>
    </row>
    <row r="293" spans="1:38" ht="33" customHeight="1" outlineLevel="1">
      <c r="A293" s="139" t="s">
        <v>1335</v>
      </c>
      <c r="B293" s="242" t="s">
        <v>1336</v>
      </c>
      <c r="C293" s="243" t="s">
        <v>1337</v>
      </c>
      <c r="D293" s="956" t="s">
        <v>1428</v>
      </c>
      <c r="E293" s="199" t="s">
        <v>1338</v>
      </c>
      <c r="F293" s="232" t="s">
        <v>1339</v>
      </c>
      <c r="G293" s="404" t="s">
        <v>552</v>
      </c>
      <c r="H293" s="404">
        <v>0</v>
      </c>
      <c r="I293" s="404">
        <v>10642</v>
      </c>
      <c r="J293" s="404">
        <v>0</v>
      </c>
      <c r="K293" s="406">
        <v>0</v>
      </c>
      <c r="L293" s="406">
        <v>0</v>
      </c>
      <c r="M293" s="406">
        <v>0</v>
      </c>
      <c r="N293" s="406">
        <v>0</v>
      </c>
      <c r="O293" s="406">
        <v>171.64151999999999</v>
      </c>
      <c r="P293" s="406">
        <v>171.64151999999999</v>
      </c>
      <c r="Q293" s="150">
        <v>0</v>
      </c>
      <c r="R293" s="406">
        <v>0</v>
      </c>
      <c r="S293" s="406">
        <v>0</v>
      </c>
      <c r="T293" s="406">
        <f t="shared" si="199"/>
        <v>0</v>
      </c>
      <c r="U293" s="406">
        <f t="shared" si="200"/>
        <v>-171.64151999999999</v>
      </c>
      <c r="V293" s="406">
        <v>0</v>
      </c>
      <c r="W293" s="167">
        <v>543996.09</v>
      </c>
      <c r="X293" s="167">
        <v>543.99608999999998</v>
      </c>
      <c r="Y293" s="406">
        <v>543.99608999999998</v>
      </c>
      <c r="Z293" s="406">
        <v>543.99608999999998</v>
      </c>
      <c r="AA293" s="406">
        <v>0</v>
      </c>
      <c r="AB293" s="406">
        <v>0</v>
      </c>
      <c r="AC293" s="406">
        <v>0</v>
      </c>
      <c r="AD293" s="406">
        <f>'[71]2. подк.неподк.'!X280</f>
        <v>0</v>
      </c>
      <c r="AE293" s="406">
        <f t="shared" si="201"/>
        <v>0</v>
      </c>
      <c r="AF293" s="402">
        <f t="shared" si="202"/>
        <v>0</v>
      </c>
      <c r="AG293" s="406">
        <v>0</v>
      </c>
      <c r="AH293" s="406">
        <v>193.98</v>
      </c>
      <c r="AI293" s="957">
        <f t="shared" si="198"/>
        <v>0.35658344529645425</v>
      </c>
      <c r="AJ293" s="957">
        <f t="shared" si="203"/>
        <v>193.98</v>
      </c>
      <c r="AK293" s="958">
        <v>0</v>
      </c>
      <c r="AL293" s="74"/>
    </row>
    <row r="294" spans="1:38" ht="33" customHeight="1" outlineLevel="1">
      <c r="A294" s="139" t="s">
        <v>1340</v>
      </c>
      <c r="B294" s="242" t="s">
        <v>1341</v>
      </c>
      <c r="C294" s="243" t="s">
        <v>1342</v>
      </c>
      <c r="D294" s="956" t="s">
        <v>1433</v>
      </c>
      <c r="E294" s="199" t="s">
        <v>1343</v>
      </c>
      <c r="F294" s="232" t="s">
        <v>1344</v>
      </c>
      <c r="G294" s="404" t="s">
        <v>552</v>
      </c>
      <c r="H294" s="404">
        <v>0</v>
      </c>
      <c r="I294" s="404">
        <v>0</v>
      </c>
      <c r="J294" s="404">
        <v>0</v>
      </c>
      <c r="K294" s="406">
        <v>0</v>
      </c>
      <c r="L294" s="406">
        <v>399.34</v>
      </c>
      <c r="M294" s="406">
        <v>0</v>
      </c>
      <c r="N294" s="406">
        <v>0</v>
      </c>
      <c r="O294" s="406">
        <v>322.9153</v>
      </c>
      <c r="P294" s="406">
        <v>290.23509999999999</v>
      </c>
      <c r="Q294" s="150">
        <v>0</v>
      </c>
      <c r="R294" s="406">
        <v>0</v>
      </c>
      <c r="S294" s="406">
        <v>0</v>
      </c>
      <c r="T294" s="406">
        <f t="shared" si="199"/>
        <v>0</v>
      </c>
      <c r="U294" s="406">
        <f t="shared" si="200"/>
        <v>-290.23509999999999</v>
      </c>
      <c r="V294" s="406">
        <v>0</v>
      </c>
      <c r="W294" s="167">
        <v>374232.25</v>
      </c>
      <c r="X294" s="167">
        <v>374.23225000000002</v>
      </c>
      <c r="Y294" s="406">
        <v>374.23225000000002</v>
      </c>
      <c r="Z294" s="406">
        <v>349.61371000000003</v>
      </c>
      <c r="AA294" s="406">
        <v>20.614609999999999</v>
      </c>
      <c r="AB294" s="406">
        <v>4.0039299999999995</v>
      </c>
      <c r="AC294" s="406">
        <v>0</v>
      </c>
      <c r="AD294" s="406">
        <f>'[71]2. подк.неподк.'!X281</f>
        <v>400</v>
      </c>
      <c r="AE294" s="406">
        <f t="shared" si="201"/>
        <v>0</v>
      </c>
      <c r="AF294" s="402">
        <f t="shared" si="202"/>
        <v>0</v>
      </c>
      <c r="AG294" s="406">
        <v>0</v>
      </c>
      <c r="AH294" s="406">
        <v>432.39</v>
      </c>
      <c r="AI294" s="957">
        <f t="shared" si="198"/>
        <v>1.155405500194064</v>
      </c>
      <c r="AJ294" s="957">
        <f t="shared" si="203"/>
        <v>432.39</v>
      </c>
      <c r="AK294" s="958">
        <f>AH294</f>
        <v>432.39</v>
      </c>
      <c r="AL294" s="74"/>
    </row>
    <row r="295" spans="1:38" ht="33" customHeight="1" outlineLevel="1">
      <c r="A295" s="139"/>
      <c r="B295" s="242" t="s">
        <v>1346</v>
      </c>
      <c r="C295" s="198" t="s">
        <v>968</v>
      </c>
      <c r="D295" s="956" t="s">
        <v>1244</v>
      </c>
      <c r="E295" s="199" t="s">
        <v>969</v>
      </c>
      <c r="F295" s="149" t="s">
        <v>970</v>
      </c>
      <c r="G295" s="404" t="s">
        <v>552</v>
      </c>
      <c r="H295" s="404"/>
      <c r="I295" s="404"/>
      <c r="J295" s="404"/>
      <c r="K295" s="406"/>
      <c r="L295" s="406"/>
      <c r="M295" s="406"/>
      <c r="N295" s="406"/>
      <c r="O295" s="406"/>
      <c r="P295" s="406"/>
      <c r="Q295" s="150"/>
      <c r="R295" s="406"/>
      <c r="S295" s="406"/>
      <c r="T295" s="406"/>
      <c r="U295" s="406"/>
      <c r="V295" s="406">
        <v>0</v>
      </c>
      <c r="W295" s="167">
        <v>4709652.62</v>
      </c>
      <c r="X295" s="167">
        <v>4709.6526199999998</v>
      </c>
      <c r="Y295" s="406">
        <v>4709.6526199999998</v>
      </c>
      <c r="Z295" s="406">
        <v>4562.6158500000001</v>
      </c>
      <c r="AA295" s="406">
        <v>90.999470000000002</v>
      </c>
      <c r="AB295" s="406">
        <v>56.037299999999995</v>
      </c>
      <c r="AC295" s="406">
        <v>0</v>
      </c>
      <c r="AD295" s="406">
        <v>246.69</v>
      </c>
      <c r="AE295" s="406"/>
      <c r="AF295" s="402">
        <v>0</v>
      </c>
      <c r="AG295" s="406">
        <v>0</v>
      </c>
      <c r="AH295" s="406">
        <v>5015.8</v>
      </c>
      <c r="AI295" s="957">
        <f t="shared" si="198"/>
        <v>1.0650042380408091</v>
      </c>
      <c r="AJ295" s="957">
        <f t="shared" si="203"/>
        <v>5015.8</v>
      </c>
      <c r="AK295" s="958">
        <f>AH295</f>
        <v>5015.8</v>
      </c>
      <c r="AL295" s="74"/>
    </row>
    <row r="296" spans="1:38" ht="33" customHeight="1" outlineLevel="1">
      <c r="A296" s="139" t="s">
        <v>1345</v>
      </c>
      <c r="B296" s="242" t="s">
        <v>1351</v>
      </c>
      <c r="C296" s="243" t="s">
        <v>1347</v>
      </c>
      <c r="D296" s="969" t="s">
        <v>1248</v>
      </c>
      <c r="E296" s="199" t="s">
        <v>1348</v>
      </c>
      <c r="F296" s="232" t="s">
        <v>1349</v>
      </c>
      <c r="G296" s="404" t="s">
        <v>552</v>
      </c>
      <c r="H296" s="404">
        <v>0</v>
      </c>
      <c r="I296" s="404">
        <v>0</v>
      </c>
      <c r="J296" s="404">
        <v>0</v>
      </c>
      <c r="K296" s="406">
        <v>0</v>
      </c>
      <c r="L296" s="406">
        <v>0</v>
      </c>
      <c r="M296" s="406">
        <v>0</v>
      </c>
      <c r="N296" s="406">
        <v>0</v>
      </c>
      <c r="O296" s="406">
        <v>133.88426000000001</v>
      </c>
      <c r="P296" s="406">
        <v>129.16819000000001</v>
      </c>
      <c r="Q296" s="150">
        <v>0</v>
      </c>
      <c r="R296" s="406">
        <v>0</v>
      </c>
      <c r="S296" s="406">
        <v>0</v>
      </c>
      <c r="T296" s="406">
        <f t="shared" si="199"/>
        <v>0</v>
      </c>
      <c r="U296" s="406">
        <f t="shared" si="200"/>
        <v>-129.16819000000001</v>
      </c>
      <c r="V296" s="406">
        <v>0</v>
      </c>
      <c r="W296" s="167">
        <v>521291.58</v>
      </c>
      <c r="X296" s="167">
        <v>521.29158000000007</v>
      </c>
      <c r="Y296" s="406">
        <v>521.29158000000007</v>
      </c>
      <c r="Z296" s="406">
        <v>0</v>
      </c>
      <c r="AA296" s="406">
        <v>521.29158000000007</v>
      </c>
      <c r="AB296" s="406">
        <v>0</v>
      </c>
      <c r="AC296" s="406">
        <v>0</v>
      </c>
      <c r="AD296" s="406">
        <f>'[71]2. подк.неподк.'!X282</f>
        <v>0</v>
      </c>
      <c r="AE296" s="406">
        <f t="shared" si="201"/>
        <v>0</v>
      </c>
      <c r="AF296" s="402">
        <f t="shared" si="202"/>
        <v>0</v>
      </c>
      <c r="AG296" s="406">
        <v>0</v>
      </c>
      <c r="AH296" s="406">
        <v>10000</v>
      </c>
      <c r="AI296" s="957">
        <f t="shared" si="198"/>
        <v>19.183122044672196</v>
      </c>
      <c r="AJ296" s="957">
        <f t="shared" si="203"/>
        <v>10000</v>
      </c>
      <c r="AK296" s="958">
        <v>0</v>
      </c>
      <c r="AL296" s="74"/>
    </row>
    <row r="297" spans="1:38" ht="33" customHeight="1" outlineLevel="1">
      <c r="A297" s="139" t="s">
        <v>1350</v>
      </c>
      <c r="B297" s="242" t="s">
        <v>1355</v>
      </c>
      <c r="C297" s="243" t="s">
        <v>1352</v>
      </c>
      <c r="D297" s="956" t="s">
        <v>1252</v>
      </c>
      <c r="E297" s="199" t="s">
        <v>1353</v>
      </c>
      <c r="F297" s="142"/>
      <c r="G297" s="404" t="s">
        <v>552</v>
      </c>
      <c r="H297" s="404">
        <v>0</v>
      </c>
      <c r="I297" s="404">
        <v>0</v>
      </c>
      <c r="J297" s="404">
        <v>0</v>
      </c>
      <c r="K297" s="406">
        <v>0</v>
      </c>
      <c r="L297" s="406">
        <v>1420.36887</v>
      </c>
      <c r="M297" s="406">
        <v>0</v>
      </c>
      <c r="N297" s="406">
        <v>0</v>
      </c>
      <c r="O297" s="406">
        <v>1773.89723</v>
      </c>
      <c r="P297" s="406">
        <v>983.84157999999991</v>
      </c>
      <c r="Q297" s="150">
        <v>0</v>
      </c>
      <c r="R297" s="406">
        <v>0</v>
      </c>
      <c r="S297" s="406">
        <v>0</v>
      </c>
      <c r="T297" s="406">
        <f t="shared" si="199"/>
        <v>0</v>
      </c>
      <c r="U297" s="406">
        <f t="shared" si="200"/>
        <v>-983.84157999999991</v>
      </c>
      <c r="V297" s="406">
        <v>0</v>
      </c>
      <c r="W297" s="167">
        <v>630570.4</v>
      </c>
      <c r="X297" s="167">
        <v>630.57040000000006</v>
      </c>
      <c r="Y297" s="406">
        <v>630.57039999999995</v>
      </c>
      <c r="Z297" s="406">
        <v>479.42865999999998</v>
      </c>
      <c r="AA297" s="406">
        <v>5.5667300000000006</v>
      </c>
      <c r="AB297" s="406">
        <v>145.57500999999999</v>
      </c>
      <c r="AC297" s="406">
        <v>0</v>
      </c>
      <c r="AD297" s="406">
        <f>'[71]2. подк.неподк.'!X283</f>
        <v>1958.3825400000001</v>
      </c>
      <c r="AE297" s="406">
        <f t="shared" si="201"/>
        <v>0</v>
      </c>
      <c r="AF297" s="402">
        <f t="shared" si="202"/>
        <v>0</v>
      </c>
      <c r="AG297" s="406">
        <v>0</v>
      </c>
      <c r="AH297" s="406">
        <v>712.54</v>
      </c>
      <c r="AI297" s="957">
        <f t="shared" si="198"/>
        <v>1.1299927811391082</v>
      </c>
      <c r="AJ297" s="957">
        <f t="shared" si="203"/>
        <v>712.54</v>
      </c>
      <c r="AK297" s="958">
        <f>AH297</f>
        <v>712.54</v>
      </c>
      <c r="AL297" s="74"/>
    </row>
    <row r="298" spans="1:38" ht="33" customHeight="1" outlineLevel="1">
      <c r="A298" s="139" t="s">
        <v>1354</v>
      </c>
      <c r="B298" s="242" t="s">
        <v>1360</v>
      </c>
      <c r="C298" s="243" t="s">
        <v>1356</v>
      </c>
      <c r="D298" s="956" t="s">
        <v>1256</v>
      </c>
      <c r="E298" s="199" t="s">
        <v>1357</v>
      </c>
      <c r="F298" s="232" t="s">
        <v>1358</v>
      </c>
      <c r="G298" s="404" t="s">
        <v>552</v>
      </c>
      <c r="H298" s="404">
        <v>1637.41</v>
      </c>
      <c r="I298" s="404">
        <v>85356</v>
      </c>
      <c r="J298" s="404">
        <v>4317.2299999999996</v>
      </c>
      <c r="K298" s="406">
        <v>0</v>
      </c>
      <c r="L298" s="406">
        <v>69622.929000000004</v>
      </c>
      <c r="M298" s="406">
        <v>0</v>
      </c>
      <c r="N298" s="406">
        <v>0</v>
      </c>
      <c r="O298" s="406">
        <v>83353.972290000005</v>
      </c>
      <c r="P298" s="406">
        <v>82760.428840000008</v>
      </c>
      <c r="Q298" s="150">
        <v>0</v>
      </c>
      <c r="R298" s="406">
        <v>0</v>
      </c>
      <c r="S298" s="406">
        <v>0</v>
      </c>
      <c r="T298" s="406">
        <f t="shared" si="199"/>
        <v>0</v>
      </c>
      <c r="U298" s="406">
        <f t="shared" si="200"/>
        <v>-82760.428840000008</v>
      </c>
      <c r="V298" s="406">
        <v>0</v>
      </c>
      <c r="W298" s="167">
        <v>178921961.57999998</v>
      </c>
      <c r="X298" s="167">
        <v>178921.96157999997</v>
      </c>
      <c r="Y298" s="406">
        <v>178921.96157999997</v>
      </c>
      <c r="Z298" s="406">
        <v>147919.48778999998</v>
      </c>
      <c r="AA298" s="406">
        <v>27509.143350000002</v>
      </c>
      <c r="AB298" s="406">
        <v>3493.3304399999997</v>
      </c>
      <c r="AC298" s="406">
        <v>0</v>
      </c>
      <c r="AD298" s="406">
        <f>'[71]2. подк.неподк.'!X284</f>
        <v>0</v>
      </c>
      <c r="AE298" s="406">
        <f t="shared" si="201"/>
        <v>0</v>
      </c>
      <c r="AF298" s="402">
        <f t="shared" si="202"/>
        <v>0</v>
      </c>
      <c r="AG298" s="406">
        <v>0</v>
      </c>
      <c r="AH298" s="406">
        <v>0</v>
      </c>
      <c r="AI298" s="957">
        <f t="shared" si="198"/>
        <v>0</v>
      </c>
      <c r="AJ298" s="957">
        <f t="shared" si="203"/>
        <v>0</v>
      </c>
      <c r="AK298" s="958">
        <f>AH298</f>
        <v>0</v>
      </c>
      <c r="AL298" s="74"/>
    </row>
    <row r="299" spans="1:38" s="244" customFormat="1" ht="33" customHeight="1" outlineLevel="1">
      <c r="A299" s="139" t="s">
        <v>1359</v>
      </c>
      <c r="B299" s="242" t="s">
        <v>1365</v>
      </c>
      <c r="C299" s="243" t="s">
        <v>1361</v>
      </c>
      <c r="D299" s="956" t="s">
        <v>1260</v>
      </c>
      <c r="E299" s="199" t="s">
        <v>1362</v>
      </c>
      <c r="F299" s="232" t="s">
        <v>1363</v>
      </c>
      <c r="G299" s="404" t="s">
        <v>552</v>
      </c>
      <c r="H299" s="404">
        <v>0</v>
      </c>
      <c r="I299" s="404">
        <v>0</v>
      </c>
      <c r="J299" s="404">
        <v>0</v>
      </c>
      <c r="K299" s="406">
        <v>0</v>
      </c>
      <c r="L299" s="406">
        <v>630.92899999999997</v>
      </c>
      <c r="M299" s="406">
        <v>0</v>
      </c>
      <c r="N299" s="406">
        <v>0</v>
      </c>
      <c r="O299" s="406">
        <v>109.25556</v>
      </c>
      <c r="P299" s="406">
        <v>108.9982</v>
      </c>
      <c r="Q299" s="150">
        <v>108.9982</v>
      </c>
      <c r="R299" s="406">
        <v>108.9982</v>
      </c>
      <c r="S299" s="406">
        <v>108.9982</v>
      </c>
      <c r="T299" s="406">
        <f t="shared" si="199"/>
        <v>108.9982</v>
      </c>
      <c r="U299" s="406">
        <f t="shared" si="200"/>
        <v>0</v>
      </c>
      <c r="V299" s="406">
        <v>0</v>
      </c>
      <c r="W299" s="167">
        <v>33510</v>
      </c>
      <c r="X299" s="167">
        <v>33.51</v>
      </c>
      <c r="Y299" s="406">
        <v>33.51</v>
      </c>
      <c r="Z299" s="406">
        <v>28.741400000000002</v>
      </c>
      <c r="AA299" s="406">
        <v>4.4284600000000003</v>
      </c>
      <c r="AB299" s="406">
        <v>0.34014</v>
      </c>
      <c r="AC299" s="406">
        <v>0</v>
      </c>
      <c r="AD299" s="406">
        <f>'[71]2. подк.неподк.'!X285</f>
        <v>0</v>
      </c>
      <c r="AE299" s="406">
        <f t="shared" si="201"/>
        <v>0</v>
      </c>
      <c r="AF299" s="402">
        <f t="shared" si="202"/>
        <v>0</v>
      </c>
      <c r="AG299" s="406">
        <v>0</v>
      </c>
      <c r="AH299" s="406">
        <v>0</v>
      </c>
      <c r="AI299" s="957">
        <f t="shared" si="198"/>
        <v>0</v>
      </c>
      <c r="AJ299" s="957">
        <f t="shared" si="203"/>
        <v>0</v>
      </c>
      <c r="AK299" s="958">
        <f t="shared" ref="AK299:AK306" si="204">AH299</f>
        <v>0</v>
      </c>
      <c r="AL299" s="1017"/>
    </row>
    <row r="300" spans="1:38" ht="33" customHeight="1" outlineLevel="1">
      <c r="A300" s="139" t="s">
        <v>1364</v>
      </c>
      <c r="B300" s="242" t="s">
        <v>1369</v>
      </c>
      <c r="C300" s="243" t="s">
        <v>1366</v>
      </c>
      <c r="D300" s="956" t="s">
        <v>1265</v>
      </c>
      <c r="E300" s="148" t="s">
        <v>1367</v>
      </c>
      <c r="F300" s="142"/>
      <c r="G300" s="404" t="s">
        <v>552</v>
      </c>
      <c r="H300" s="404">
        <v>0</v>
      </c>
      <c r="I300" s="404">
        <v>0</v>
      </c>
      <c r="J300" s="404">
        <v>0</v>
      </c>
      <c r="K300" s="406">
        <v>0</v>
      </c>
      <c r="L300" s="406">
        <v>0</v>
      </c>
      <c r="M300" s="406">
        <v>0</v>
      </c>
      <c r="N300" s="406">
        <v>0</v>
      </c>
      <c r="O300" s="406">
        <v>0</v>
      </c>
      <c r="P300" s="406">
        <v>0</v>
      </c>
      <c r="Q300" s="150">
        <v>0</v>
      </c>
      <c r="R300" s="406">
        <v>0</v>
      </c>
      <c r="S300" s="406">
        <v>0</v>
      </c>
      <c r="T300" s="406">
        <f t="shared" si="199"/>
        <v>0</v>
      </c>
      <c r="U300" s="406">
        <f t="shared" si="200"/>
        <v>0</v>
      </c>
      <c r="V300" s="406">
        <v>0</v>
      </c>
      <c r="W300" s="167">
        <v>0</v>
      </c>
      <c r="X300" s="167">
        <v>0</v>
      </c>
      <c r="Y300" s="406">
        <v>0</v>
      </c>
      <c r="Z300" s="406">
        <v>0</v>
      </c>
      <c r="AA300" s="406">
        <v>0</v>
      </c>
      <c r="AB300" s="406">
        <v>0</v>
      </c>
      <c r="AC300" s="406">
        <v>0</v>
      </c>
      <c r="AD300" s="406">
        <f>'[71]2. подк.неподк.'!X286</f>
        <v>0</v>
      </c>
      <c r="AE300" s="406">
        <f t="shared" si="201"/>
        <v>0</v>
      </c>
      <c r="AF300" s="402">
        <f t="shared" si="202"/>
        <v>0</v>
      </c>
      <c r="AG300" s="406">
        <v>0</v>
      </c>
      <c r="AH300" s="406">
        <v>0</v>
      </c>
      <c r="AI300" s="957" t="e">
        <f t="shared" si="198"/>
        <v>#DIV/0!</v>
      </c>
      <c r="AJ300" s="957">
        <f t="shared" si="203"/>
        <v>0</v>
      </c>
      <c r="AK300" s="958">
        <f t="shared" si="204"/>
        <v>0</v>
      </c>
      <c r="AL300" s="74"/>
    </row>
    <row r="301" spans="1:38" ht="33" customHeight="1" outlineLevel="1">
      <c r="A301" s="139" t="s">
        <v>1368</v>
      </c>
      <c r="B301" s="242" t="s">
        <v>1373</v>
      </c>
      <c r="C301" s="243" t="s">
        <v>1370</v>
      </c>
      <c r="D301" s="956" t="s">
        <v>2167</v>
      </c>
      <c r="E301" s="199" t="s">
        <v>1371</v>
      </c>
      <c r="F301" s="142"/>
      <c r="G301" s="404" t="s">
        <v>552</v>
      </c>
      <c r="H301" s="404">
        <v>0</v>
      </c>
      <c r="I301" s="404">
        <v>0</v>
      </c>
      <c r="J301" s="404">
        <v>0</v>
      </c>
      <c r="K301" s="406">
        <v>0</v>
      </c>
      <c r="L301" s="406">
        <v>11596.027900000001</v>
      </c>
      <c r="M301" s="406">
        <v>0</v>
      </c>
      <c r="N301" s="406">
        <v>0</v>
      </c>
      <c r="O301" s="406">
        <v>8303.9612300000008</v>
      </c>
      <c r="P301" s="406">
        <v>958.96831999999995</v>
      </c>
      <c r="Q301" s="150">
        <v>0</v>
      </c>
      <c r="R301" s="406">
        <v>0</v>
      </c>
      <c r="S301" s="406">
        <v>0</v>
      </c>
      <c r="T301" s="406">
        <f t="shared" si="199"/>
        <v>0</v>
      </c>
      <c r="U301" s="406">
        <f t="shared" si="200"/>
        <v>-958.96831999999995</v>
      </c>
      <c r="V301" s="406">
        <v>0</v>
      </c>
      <c r="W301" s="167">
        <v>5595766.0199999996</v>
      </c>
      <c r="X301" s="167">
        <v>5595.7660199999991</v>
      </c>
      <c r="Y301" s="406">
        <v>5595.7660199999991</v>
      </c>
      <c r="Z301" s="406">
        <v>35.558959999999999</v>
      </c>
      <c r="AA301" s="406">
        <v>2.37839</v>
      </c>
      <c r="AB301" s="406">
        <v>5557.8286699999999</v>
      </c>
      <c r="AC301" s="406">
        <v>0</v>
      </c>
      <c r="AD301" s="406">
        <f>'[71]2. подк.неподк.'!X287</f>
        <v>0</v>
      </c>
      <c r="AE301" s="406">
        <f t="shared" si="201"/>
        <v>0</v>
      </c>
      <c r="AF301" s="402">
        <f t="shared" si="202"/>
        <v>0</v>
      </c>
      <c r="AG301" s="406">
        <v>0</v>
      </c>
      <c r="AH301" s="406">
        <v>0</v>
      </c>
      <c r="AI301" s="957">
        <f t="shared" si="198"/>
        <v>0</v>
      </c>
      <c r="AJ301" s="957">
        <f t="shared" si="203"/>
        <v>0</v>
      </c>
      <c r="AK301" s="958">
        <f t="shared" si="204"/>
        <v>0</v>
      </c>
      <c r="AL301" s="74"/>
    </row>
    <row r="302" spans="1:38" ht="33" customHeight="1" outlineLevel="1">
      <c r="A302" s="139" t="s">
        <v>1372</v>
      </c>
      <c r="B302" s="242" t="s">
        <v>1378</v>
      </c>
      <c r="C302" s="243" t="s">
        <v>1374</v>
      </c>
      <c r="D302" s="956" t="s">
        <v>2168</v>
      </c>
      <c r="E302" s="199" t="s">
        <v>1375</v>
      </c>
      <c r="F302" s="232" t="s">
        <v>1376</v>
      </c>
      <c r="G302" s="404" t="s">
        <v>552</v>
      </c>
      <c r="H302" s="404">
        <v>0</v>
      </c>
      <c r="I302" s="404">
        <v>0</v>
      </c>
      <c r="J302" s="404">
        <v>0</v>
      </c>
      <c r="K302" s="406">
        <v>0</v>
      </c>
      <c r="L302" s="406">
        <v>4314.96191</v>
      </c>
      <c r="M302" s="406">
        <v>0</v>
      </c>
      <c r="N302" s="406">
        <v>0</v>
      </c>
      <c r="O302" s="406">
        <v>5275.9599200000002</v>
      </c>
      <c r="P302" s="406">
        <v>2890.5173199999999</v>
      </c>
      <c r="Q302" s="150">
        <v>0</v>
      </c>
      <c r="R302" s="406">
        <v>0</v>
      </c>
      <c r="S302" s="406">
        <v>0</v>
      </c>
      <c r="T302" s="406">
        <f t="shared" si="199"/>
        <v>0</v>
      </c>
      <c r="U302" s="406">
        <f t="shared" si="200"/>
        <v>-2890.5173199999999</v>
      </c>
      <c r="V302" s="406">
        <v>0</v>
      </c>
      <c r="W302" s="167">
        <v>2542047.41</v>
      </c>
      <c r="X302" s="167">
        <v>2542.0474100000001</v>
      </c>
      <c r="Y302" s="406">
        <v>2542.0474100000001</v>
      </c>
      <c r="Z302" s="406">
        <v>2016.91408</v>
      </c>
      <c r="AA302" s="406">
        <v>432.64479000000006</v>
      </c>
      <c r="AB302" s="406">
        <v>92.48854</v>
      </c>
      <c r="AC302" s="406">
        <v>0</v>
      </c>
      <c r="AD302" s="406">
        <f>'[71]2. подк.неподк.'!X288</f>
        <v>5825.4</v>
      </c>
      <c r="AE302" s="406">
        <f t="shared" si="201"/>
        <v>0</v>
      </c>
      <c r="AF302" s="402">
        <f t="shared" si="202"/>
        <v>0</v>
      </c>
      <c r="AG302" s="406">
        <v>0</v>
      </c>
      <c r="AH302" s="406">
        <v>3252.8807273050006</v>
      </c>
      <c r="AI302" s="957">
        <f t="shared" si="198"/>
        <v>1.2796302360485874</v>
      </c>
      <c r="AJ302" s="957">
        <f t="shared" si="203"/>
        <v>3252.8807273050006</v>
      </c>
      <c r="AK302" s="958">
        <f t="shared" si="204"/>
        <v>3252.8807273050006</v>
      </c>
      <c r="AL302" s="74"/>
    </row>
    <row r="303" spans="1:38" ht="33" customHeight="1" outlineLevel="1">
      <c r="A303" s="139" t="s">
        <v>1377</v>
      </c>
      <c r="B303" s="242" t="s">
        <v>1382</v>
      </c>
      <c r="C303" s="243" t="s">
        <v>1379</v>
      </c>
      <c r="D303" s="956" t="s">
        <v>2169</v>
      </c>
      <c r="E303" s="199" t="s">
        <v>1380</v>
      </c>
      <c r="F303" s="142"/>
      <c r="G303" s="404" t="s">
        <v>552</v>
      </c>
      <c r="H303" s="404">
        <v>0</v>
      </c>
      <c r="I303" s="404">
        <v>0</v>
      </c>
      <c r="J303" s="404">
        <v>0</v>
      </c>
      <c r="K303" s="406">
        <v>0</v>
      </c>
      <c r="L303" s="406">
        <v>2021.8932299999999</v>
      </c>
      <c r="M303" s="406">
        <v>0</v>
      </c>
      <c r="N303" s="406">
        <v>0</v>
      </c>
      <c r="O303" s="406">
        <v>1564.3558400000002</v>
      </c>
      <c r="P303" s="406">
        <v>1260.02998</v>
      </c>
      <c r="Q303" s="150">
        <v>0</v>
      </c>
      <c r="R303" s="406">
        <v>0</v>
      </c>
      <c r="S303" s="406">
        <v>0</v>
      </c>
      <c r="T303" s="406">
        <f t="shared" si="199"/>
        <v>0</v>
      </c>
      <c r="U303" s="406">
        <f t="shared" si="200"/>
        <v>-1260.02998</v>
      </c>
      <c r="V303" s="406">
        <v>0</v>
      </c>
      <c r="W303" s="167">
        <v>1341539.24</v>
      </c>
      <c r="X303" s="167">
        <v>1341.5392400000001</v>
      </c>
      <c r="Y303" s="406">
        <v>1341.5392400000003</v>
      </c>
      <c r="Z303" s="406">
        <v>1215.16057</v>
      </c>
      <c r="AA303" s="406">
        <v>111.77285999999999</v>
      </c>
      <c r="AB303" s="406">
        <v>14.60581</v>
      </c>
      <c r="AC303" s="406">
        <v>0</v>
      </c>
      <c r="AD303" s="406">
        <f>'[71]2. подк.неподк.'!X289</f>
        <v>1821.58</v>
      </c>
      <c r="AE303" s="406">
        <f t="shared" si="201"/>
        <v>0</v>
      </c>
      <c r="AF303" s="402">
        <f t="shared" si="202"/>
        <v>0</v>
      </c>
      <c r="AG303" s="406">
        <v>0</v>
      </c>
      <c r="AH303" s="406">
        <v>1518.2032380524997</v>
      </c>
      <c r="AI303" s="957">
        <f t="shared" si="198"/>
        <v>1.1316875368121917</v>
      </c>
      <c r="AJ303" s="957">
        <f t="shared" si="203"/>
        <v>1518.2032380524997</v>
      </c>
      <c r="AK303" s="958">
        <f t="shared" si="204"/>
        <v>1518.2032380524997</v>
      </c>
      <c r="AL303" s="74"/>
    </row>
    <row r="304" spans="1:38" ht="33" customHeight="1" outlineLevel="1">
      <c r="A304" s="139" t="s">
        <v>1381</v>
      </c>
      <c r="B304" s="242" t="s">
        <v>1386</v>
      </c>
      <c r="C304" s="243" t="s">
        <v>1383</v>
      </c>
      <c r="D304" s="956" t="s">
        <v>2170</v>
      </c>
      <c r="E304" s="199" t="s">
        <v>1384</v>
      </c>
      <c r="F304" s="142"/>
      <c r="G304" s="404" t="s">
        <v>552</v>
      </c>
      <c r="H304" s="404">
        <v>0</v>
      </c>
      <c r="I304" s="404">
        <v>0</v>
      </c>
      <c r="J304" s="404">
        <v>0</v>
      </c>
      <c r="K304" s="406">
        <v>0</v>
      </c>
      <c r="L304" s="406">
        <v>946.94</v>
      </c>
      <c r="M304" s="406">
        <v>0</v>
      </c>
      <c r="N304" s="406">
        <v>0</v>
      </c>
      <c r="O304" s="406">
        <v>957.34492</v>
      </c>
      <c r="P304" s="406">
        <v>555.33811000000003</v>
      </c>
      <c r="Q304" s="150">
        <v>0</v>
      </c>
      <c r="R304" s="406">
        <v>0</v>
      </c>
      <c r="S304" s="406">
        <v>0</v>
      </c>
      <c r="T304" s="406">
        <f t="shared" si="199"/>
        <v>0</v>
      </c>
      <c r="U304" s="406">
        <f t="shared" si="200"/>
        <v>-555.33811000000003</v>
      </c>
      <c r="V304" s="406">
        <v>0</v>
      </c>
      <c r="W304" s="167">
        <v>1016400</v>
      </c>
      <c r="X304" s="167">
        <v>1016.4</v>
      </c>
      <c r="Y304" s="406">
        <v>1016.4</v>
      </c>
      <c r="Z304" s="406">
        <v>802.29806999999994</v>
      </c>
      <c r="AA304" s="406">
        <v>202.98949999999999</v>
      </c>
      <c r="AB304" s="406">
        <v>11.11243</v>
      </c>
      <c r="AC304" s="406">
        <v>0</v>
      </c>
      <c r="AD304" s="406">
        <f>'[71]2. подк.неподк.'!X290</f>
        <v>1061.49</v>
      </c>
      <c r="AE304" s="406">
        <f t="shared" si="201"/>
        <v>0</v>
      </c>
      <c r="AF304" s="402">
        <f t="shared" si="202"/>
        <v>0</v>
      </c>
      <c r="AG304" s="406">
        <v>0</v>
      </c>
      <c r="AH304" s="406">
        <v>1158.2386199999999</v>
      </c>
      <c r="AI304" s="957">
        <f t="shared" si="198"/>
        <v>1.1395499999999998</v>
      </c>
      <c r="AJ304" s="957">
        <f t="shared" si="203"/>
        <v>1158.2386199999999</v>
      </c>
      <c r="AK304" s="958">
        <f t="shared" si="204"/>
        <v>1158.2386199999999</v>
      </c>
      <c r="AL304" s="74"/>
    </row>
    <row r="305" spans="1:38" ht="33" customHeight="1" outlineLevel="1">
      <c r="A305" s="139" t="s">
        <v>1385</v>
      </c>
      <c r="B305" s="242" t="s">
        <v>1391</v>
      </c>
      <c r="C305" s="243" t="s">
        <v>1387</v>
      </c>
      <c r="D305" s="956" t="s">
        <v>2171</v>
      </c>
      <c r="E305" s="199" t="s">
        <v>1388</v>
      </c>
      <c r="F305" s="232" t="s">
        <v>1389</v>
      </c>
      <c r="G305" s="404" t="s">
        <v>552</v>
      </c>
      <c r="H305" s="404">
        <v>0</v>
      </c>
      <c r="I305" s="404">
        <v>0</v>
      </c>
      <c r="J305" s="404">
        <v>0</v>
      </c>
      <c r="K305" s="406">
        <v>0</v>
      </c>
      <c r="L305" s="406">
        <v>3279.3604300000002</v>
      </c>
      <c r="M305" s="406">
        <v>0</v>
      </c>
      <c r="N305" s="406">
        <v>0</v>
      </c>
      <c r="O305" s="406">
        <v>3608.1098900000002</v>
      </c>
      <c r="P305" s="406">
        <v>1848.6675400000001</v>
      </c>
      <c r="Q305" s="150">
        <v>1848.6675400000001</v>
      </c>
      <c r="R305" s="406">
        <v>1848.6675400000001</v>
      </c>
      <c r="S305" s="406">
        <v>1848.6675400000001</v>
      </c>
      <c r="T305" s="406">
        <f t="shared" si="199"/>
        <v>1848.6675400000001</v>
      </c>
      <c r="U305" s="406">
        <f t="shared" si="200"/>
        <v>0</v>
      </c>
      <c r="V305" s="406">
        <v>0</v>
      </c>
      <c r="W305" s="167">
        <v>5956797.7699999996</v>
      </c>
      <c r="X305" s="167">
        <v>5956.7977699999992</v>
      </c>
      <c r="Y305" s="406">
        <v>5956.7677699999995</v>
      </c>
      <c r="Z305" s="406">
        <v>2887.38906</v>
      </c>
      <c r="AA305" s="406">
        <v>186.85825</v>
      </c>
      <c r="AB305" s="406">
        <v>2882.5204600000002</v>
      </c>
      <c r="AC305" s="406">
        <v>0</v>
      </c>
      <c r="AD305" s="406">
        <f>'[71]2. подк.неподк.'!X291</f>
        <v>3983.35</v>
      </c>
      <c r="AE305" s="406">
        <f t="shared" si="201"/>
        <v>0</v>
      </c>
      <c r="AF305" s="402">
        <f t="shared" si="202"/>
        <v>0</v>
      </c>
      <c r="AG305" s="406">
        <v>0</v>
      </c>
      <c r="AH305" s="406">
        <v>6731.18</v>
      </c>
      <c r="AI305" s="957">
        <f t="shared" si="198"/>
        <v>1.129999751527573</v>
      </c>
      <c r="AJ305" s="957">
        <f t="shared" si="203"/>
        <v>6731.18</v>
      </c>
      <c r="AK305" s="958">
        <f t="shared" si="204"/>
        <v>6731.18</v>
      </c>
      <c r="AL305" s="74"/>
    </row>
    <row r="306" spans="1:38" ht="33" customHeight="1" outlineLevel="1">
      <c r="A306" s="139" t="s">
        <v>1390</v>
      </c>
      <c r="B306" s="242" t="s">
        <v>1395</v>
      </c>
      <c r="C306" s="243" t="s">
        <v>1392</v>
      </c>
      <c r="D306" s="956" t="s">
        <v>1598</v>
      </c>
      <c r="E306" s="199" t="s">
        <v>1393</v>
      </c>
      <c r="F306" s="142"/>
      <c r="G306" s="404" t="s">
        <v>552</v>
      </c>
      <c r="H306" s="404">
        <v>0</v>
      </c>
      <c r="I306" s="404">
        <v>0</v>
      </c>
      <c r="J306" s="404">
        <v>0</v>
      </c>
      <c r="K306" s="406">
        <v>0</v>
      </c>
      <c r="L306" s="406">
        <v>1865.1919399999999</v>
      </c>
      <c r="M306" s="406">
        <v>0</v>
      </c>
      <c r="N306" s="406">
        <v>0</v>
      </c>
      <c r="O306" s="406">
        <v>12479.986210000001</v>
      </c>
      <c r="P306" s="406">
        <v>5662.7112100000004</v>
      </c>
      <c r="Q306" s="150">
        <v>0</v>
      </c>
      <c r="R306" s="406">
        <v>0</v>
      </c>
      <c r="S306" s="406">
        <v>0</v>
      </c>
      <c r="T306" s="406">
        <f t="shared" si="199"/>
        <v>0</v>
      </c>
      <c r="U306" s="406">
        <f t="shared" si="200"/>
        <v>-5662.7112100000004</v>
      </c>
      <c r="V306" s="406">
        <v>0</v>
      </c>
      <c r="W306" s="167">
        <v>20329774.300000001</v>
      </c>
      <c r="X306" s="167">
        <v>20329.774300000001</v>
      </c>
      <c r="Y306" s="406">
        <v>20329.774300000001</v>
      </c>
      <c r="Z306" s="406">
        <v>2429.2743</v>
      </c>
      <c r="AA306" s="406">
        <v>17900</v>
      </c>
      <c r="AB306" s="406">
        <v>0.5</v>
      </c>
      <c r="AC306" s="406">
        <v>0</v>
      </c>
      <c r="AD306" s="406">
        <f>'[71]2. подк.неподк.'!X292</f>
        <v>13777.9</v>
      </c>
      <c r="AE306" s="406">
        <f t="shared" si="201"/>
        <v>0</v>
      </c>
      <c r="AF306" s="402">
        <f t="shared" si="202"/>
        <v>0</v>
      </c>
      <c r="AG306" s="406">
        <v>0</v>
      </c>
      <c r="AH306" s="406">
        <v>22972.639999999999</v>
      </c>
      <c r="AI306" s="957">
        <f t="shared" si="198"/>
        <v>1.1299997560720583</v>
      </c>
      <c r="AJ306" s="957">
        <f t="shared" si="203"/>
        <v>22972.639999999999</v>
      </c>
      <c r="AK306" s="958">
        <f t="shared" si="204"/>
        <v>22972.639999999999</v>
      </c>
      <c r="AL306" s="74"/>
    </row>
    <row r="307" spans="1:38" ht="33" customHeight="1" outlineLevel="1">
      <c r="A307" s="139" t="s">
        <v>1394</v>
      </c>
      <c r="B307" s="242" t="s">
        <v>1398</v>
      </c>
      <c r="C307" s="243" t="s">
        <v>1396</v>
      </c>
      <c r="D307" s="956" t="s">
        <v>2172</v>
      </c>
      <c r="E307" s="148" t="s">
        <v>1397</v>
      </c>
      <c r="F307" s="177"/>
      <c r="G307" s="404" t="s">
        <v>552</v>
      </c>
      <c r="H307" s="404">
        <v>0</v>
      </c>
      <c r="I307" s="404">
        <v>0</v>
      </c>
      <c r="J307" s="404">
        <v>0</v>
      </c>
      <c r="K307" s="406">
        <v>0</v>
      </c>
      <c r="L307" s="406">
        <v>0</v>
      </c>
      <c r="M307" s="406">
        <v>0</v>
      </c>
      <c r="N307" s="406">
        <v>0</v>
      </c>
      <c r="O307" s="406">
        <v>0</v>
      </c>
      <c r="P307" s="406">
        <v>0</v>
      </c>
      <c r="Q307" s="150">
        <v>0</v>
      </c>
      <c r="R307" s="406">
        <v>0</v>
      </c>
      <c r="S307" s="406">
        <v>0</v>
      </c>
      <c r="T307" s="406">
        <f t="shared" si="199"/>
        <v>0</v>
      </c>
      <c r="U307" s="406">
        <f t="shared" si="200"/>
        <v>0</v>
      </c>
      <c r="V307" s="406">
        <v>0</v>
      </c>
      <c r="W307" s="167">
        <v>0</v>
      </c>
      <c r="X307" s="167">
        <v>0</v>
      </c>
      <c r="Y307" s="406">
        <v>0</v>
      </c>
      <c r="Z307" s="406">
        <v>0</v>
      </c>
      <c r="AA307" s="406">
        <v>0</v>
      </c>
      <c r="AB307" s="406">
        <v>0</v>
      </c>
      <c r="AC307" s="406">
        <v>0</v>
      </c>
      <c r="AD307" s="406">
        <f>'[71]2. подк.неподк.'!X293</f>
        <v>750</v>
      </c>
      <c r="AE307" s="406">
        <f t="shared" si="201"/>
        <v>0</v>
      </c>
      <c r="AF307" s="402">
        <f t="shared" si="202"/>
        <v>0</v>
      </c>
      <c r="AG307" s="406">
        <v>0</v>
      </c>
      <c r="AH307" s="406">
        <v>25</v>
      </c>
      <c r="AI307" s="957" t="e">
        <f t="shared" si="198"/>
        <v>#DIV/0!</v>
      </c>
      <c r="AJ307" s="957">
        <f t="shared" si="203"/>
        <v>25</v>
      </c>
      <c r="AK307" s="958">
        <v>0</v>
      </c>
      <c r="AL307" s="74"/>
    </row>
    <row r="308" spans="1:38" ht="33" customHeight="1" outlineLevel="1">
      <c r="A308" s="139"/>
      <c r="B308" s="242" t="s">
        <v>1401</v>
      </c>
      <c r="C308" s="243" t="s">
        <v>1961</v>
      </c>
      <c r="D308" s="956" t="s">
        <v>2173</v>
      </c>
      <c r="E308" s="148" t="s">
        <v>1399</v>
      </c>
      <c r="F308" s="177"/>
      <c r="G308" s="404"/>
      <c r="H308" s="404">
        <v>0</v>
      </c>
      <c r="I308" s="404">
        <v>0</v>
      </c>
      <c r="J308" s="404">
        <v>0</v>
      </c>
      <c r="K308" s="406"/>
      <c r="L308" s="406"/>
      <c r="M308" s="406"/>
      <c r="N308" s="406"/>
      <c r="O308" s="406">
        <v>5000</v>
      </c>
      <c r="P308" s="406"/>
      <c r="Q308" s="150">
        <v>0</v>
      </c>
      <c r="R308" s="406"/>
      <c r="S308" s="406"/>
      <c r="T308" s="406">
        <f t="shared" si="199"/>
        <v>0</v>
      </c>
      <c r="U308" s="406">
        <f t="shared" si="200"/>
        <v>0</v>
      </c>
      <c r="V308" s="406">
        <v>0</v>
      </c>
      <c r="W308" s="167">
        <v>0</v>
      </c>
      <c r="X308" s="167">
        <v>0</v>
      </c>
      <c r="Y308" s="406">
        <v>0</v>
      </c>
      <c r="Z308" s="406">
        <v>0</v>
      </c>
      <c r="AA308" s="406">
        <v>0</v>
      </c>
      <c r="AB308" s="406">
        <v>0</v>
      </c>
      <c r="AC308" s="406">
        <v>0</v>
      </c>
      <c r="AD308" s="406">
        <v>0</v>
      </c>
      <c r="AE308" s="406">
        <f t="shared" si="201"/>
        <v>0</v>
      </c>
      <c r="AF308" s="402">
        <f t="shared" si="202"/>
        <v>0</v>
      </c>
      <c r="AG308" s="406">
        <v>0</v>
      </c>
      <c r="AH308" s="406">
        <v>0</v>
      </c>
      <c r="AI308" s="957" t="e">
        <f t="shared" si="198"/>
        <v>#DIV/0!</v>
      </c>
      <c r="AJ308" s="957">
        <f t="shared" si="203"/>
        <v>0</v>
      </c>
      <c r="AK308" s="958">
        <f>AH308</f>
        <v>0</v>
      </c>
      <c r="AL308" s="74"/>
    </row>
    <row r="309" spans="1:38" ht="33" customHeight="1" outlineLevel="1">
      <c r="A309" s="139" t="s">
        <v>1400</v>
      </c>
      <c r="B309" s="242" t="s">
        <v>1405</v>
      </c>
      <c r="C309" s="243" t="s">
        <v>1402</v>
      </c>
      <c r="D309" s="956" t="s">
        <v>2174</v>
      </c>
      <c r="E309" s="148" t="s">
        <v>1403</v>
      </c>
      <c r="F309" s="177"/>
      <c r="G309" s="404" t="s">
        <v>552</v>
      </c>
      <c r="H309" s="404">
        <v>0</v>
      </c>
      <c r="I309" s="404">
        <v>0</v>
      </c>
      <c r="J309" s="404">
        <v>0</v>
      </c>
      <c r="K309" s="406">
        <v>0</v>
      </c>
      <c r="L309" s="406">
        <v>0</v>
      </c>
      <c r="M309" s="406">
        <v>0</v>
      </c>
      <c r="N309" s="406">
        <v>0</v>
      </c>
      <c r="O309" s="406">
        <v>0</v>
      </c>
      <c r="P309" s="406"/>
      <c r="Q309" s="150">
        <v>0</v>
      </c>
      <c r="R309" s="406">
        <v>0</v>
      </c>
      <c r="S309" s="406">
        <v>0</v>
      </c>
      <c r="T309" s="406">
        <f t="shared" si="199"/>
        <v>0</v>
      </c>
      <c r="U309" s="406">
        <f t="shared" si="200"/>
        <v>0</v>
      </c>
      <c r="V309" s="406">
        <v>0</v>
      </c>
      <c r="W309" s="167">
        <v>0</v>
      </c>
      <c r="X309" s="167">
        <v>0</v>
      </c>
      <c r="Y309" s="406">
        <v>0</v>
      </c>
      <c r="Z309" s="406">
        <v>0</v>
      </c>
      <c r="AA309" s="406">
        <v>0</v>
      </c>
      <c r="AB309" s="406">
        <v>0</v>
      </c>
      <c r="AC309" s="406">
        <v>0</v>
      </c>
      <c r="AD309" s="406">
        <v>0</v>
      </c>
      <c r="AE309" s="406">
        <f t="shared" si="201"/>
        <v>0</v>
      </c>
      <c r="AF309" s="402">
        <f t="shared" si="202"/>
        <v>0</v>
      </c>
      <c r="AG309" s="406">
        <v>0</v>
      </c>
      <c r="AH309" s="406">
        <v>0</v>
      </c>
      <c r="AI309" s="957" t="e">
        <f t="shared" si="198"/>
        <v>#DIV/0!</v>
      </c>
      <c r="AJ309" s="957">
        <f t="shared" si="203"/>
        <v>0</v>
      </c>
      <c r="AK309" s="958">
        <f t="shared" ref="AK309:AK323" si="205">AH309</f>
        <v>0</v>
      </c>
      <c r="AL309" s="74"/>
    </row>
    <row r="310" spans="1:38" ht="33" customHeight="1" outlineLevel="1">
      <c r="A310" s="139" t="s">
        <v>1404</v>
      </c>
      <c r="B310" s="242" t="s">
        <v>1409</v>
      </c>
      <c r="C310" s="243" t="s">
        <v>1406</v>
      </c>
      <c r="D310" s="956" t="s">
        <v>2175</v>
      </c>
      <c r="E310" s="199" t="s">
        <v>1407</v>
      </c>
      <c r="F310" s="177"/>
      <c r="G310" s="404" t="s">
        <v>552</v>
      </c>
      <c r="H310" s="404">
        <v>0</v>
      </c>
      <c r="I310" s="404">
        <v>0</v>
      </c>
      <c r="J310" s="404">
        <v>0</v>
      </c>
      <c r="K310" s="406">
        <v>0</v>
      </c>
      <c r="L310" s="406">
        <v>616.96</v>
      </c>
      <c r="M310" s="406">
        <v>0</v>
      </c>
      <c r="N310" s="406">
        <v>0</v>
      </c>
      <c r="O310" s="406">
        <v>63.142710000000001</v>
      </c>
      <c r="P310" s="406">
        <v>60.339199999999998</v>
      </c>
      <c r="Q310" s="150">
        <v>60.339199999999998</v>
      </c>
      <c r="R310" s="406">
        <v>60.339199999999998</v>
      </c>
      <c r="S310" s="406">
        <v>60.339199999999998</v>
      </c>
      <c r="T310" s="406">
        <f t="shared" si="199"/>
        <v>60.339199999999998</v>
      </c>
      <c r="U310" s="406">
        <f t="shared" si="200"/>
        <v>0</v>
      </c>
      <c r="V310" s="406">
        <v>0</v>
      </c>
      <c r="W310" s="167">
        <v>102800</v>
      </c>
      <c r="X310" s="167">
        <v>102.8</v>
      </c>
      <c r="Y310" s="406">
        <v>102.80000000000001</v>
      </c>
      <c r="Z310" s="406">
        <v>99.511769999999999</v>
      </c>
      <c r="AA310" s="406">
        <v>2.4542100000000002</v>
      </c>
      <c r="AB310" s="406">
        <v>0.83401999999999998</v>
      </c>
      <c r="AC310" s="406">
        <v>0</v>
      </c>
      <c r="AD310" s="406">
        <v>0</v>
      </c>
      <c r="AE310" s="406">
        <f t="shared" si="201"/>
        <v>0</v>
      </c>
      <c r="AF310" s="402">
        <f t="shared" si="202"/>
        <v>0</v>
      </c>
      <c r="AG310" s="406">
        <v>0</v>
      </c>
      <c r="AH310" s="406">
        <v>0</v>
      </c>
      <c r="AI310" s="957">
        <f t="shared" si="198"/>
        <v>0</v>
      </c>
      <c r="AJ310" s="957">
        <f t="shared" si="203"/>
        <v>0</v>
      </c>
      <c r="AK310" s="958">
        <f t="shared" si="205"/>
        <v>0</v>
      </c>
      <c r="AL310" s="74"/>
    </row>
    <row r="311" spans="1:38" ht="33" customHeight="1" outlineLevel="1">
      <c r="A311" s="139" t="s">
        <v>1408</v>
      </c>
      <c r="B311" s="242" t="s">
        <v>1413</v>
      </c>
      <c r="C311" s="243" t="s">
        <v>1410</v>
      </c>
      <c r="D311" s="956" t="s">
        <v>2176</v>
      </c>
      <c r="E311" s="199" t="s">
        <v>1411</v>
      </c>
      <c r="F311" s="177"/>
      <c r="G311" s="404" t="s">
        <v>552</v>
      </c>
      <c r="H311" s="404">
        <v>0</v>
      </c>
      <c r="I311" s="404">
        <v>0</v>
      </c>
      <c r="J311" s="404">
        <v>0</v>
      </c>
      <c r="K311" s="406">
        <v>0</v>
      </c>
      <c r="L311" s="406">
        <v>101.74</v>
      </c>
      <c r="M311" s="406">
        <v>0</v>
      </c>
      <c r="N311" s="406">
        <v>0</v>
      </c>
      <c r="O311" s="406">
        <v>0</v>
      </c>
      <c r="P311" s="406"/>
      <c r="Q311" s="150">
        <v>0</v>
      </c>
      <c r="R311" s="406">
        <v>0</v>
      </c>
      <c r="S311" s="406">
        <v>0</v>
      </c>
      <c r="T311" s="406">
        <f t="shared" si="199"/>
        <v>0</v>
      </c>
      <c r="U311" s="406">
        <f t="shared" si="200"/>
        <v>0</v>
      </c>
      <c r="V311" s="406">
        <v>0</v>
      </c>
      <c r="W311" s="167">
        <v>31201.759999999998</v>
      </c>
      <c r="X311" s="167">
        <v>31.20176</v>
      </c>
      <c r="Y311" s="406">
        <v>31.20176</v>
      </c>
      <c r="Z311" s="406">
        <v>30.130459999999999</v>
      </c>
      <c r="AA311" s="406">
        <v>0.76121000000000005</v>
      </c>
      <c r="AB311" s="406">
        <v>0.31008999999999998</v>
      </c>
      <c r="AC311" s="406">
        <v>0</v>
      </c>
      <c r="AD311" s="406">
        <v>0</v>
      </c>
      <c r="AE311" s="406">
        <f t="shared" si="201"/>
        <v>0</v>
      </c>
      <c r="AF311" s="402">
        <f t="shared" si="202"/>
        <v>0</v>
      </c>
      <c r="AG311" s="406">
        <v>0</v>
      </c>
      <c r="AH311" s="406">
        <v>0</v>
      </c>
      <c r="AI311" s="957">
        <f t="shared" si="198"/>
        <v>0</v>
      </c>
      <c r="AJ311" s="957">
        <f t="shared" si="203"/>
        <v>0</v>
      </c>
      <c r="AK311" s="958">
        <f t="shared" si="205"/>
        <v>0</v>
      </c>
      <c r="AL311" s="74"/>
    </row>
    <row r="312" spans="1:38" ht="33" customHeight="1" outlineLevel="1">
      <c r="A312" s="139" t="s">
        <v>1412</v>
      </c>
      <c r="B312" s="242" t="s">
        <v>1417</v>
      </c>
      <c r="C312" s="243" t="s">
        <v>1414</v>
      </c>
      <c r="D312" s="956" t="s">
        <v>2177</v>
      </c>
      <c r="E312" s="199" t="s">
        <v>1415</v>
      </c>
      <c r="F312" s="177"/>
      <c r="G312" s="404" t="s">
        <v>552</v>
      </c>
      <c r="H312" s="404">
        <v>0</v>
      </c>
      <c r="I312" s="404">
        <v>0</v>
      </c>
      <c r="J312" s="404">
        <v>0</v>
      </c>
      <c r="K312" s="406">
        <v>0</v>
      </c>
      <c r="L312" s="406">
        <v>3205.41</v>
      </c>
      <c r="M312" s="406">
        <v>0</v>
      </c>
      <c r="N312" s="406">
        <v>0</v>
      </c>
      <c r="O312" s="406">
        <v>6172.3715000000002</v>
      </c>
      <c r="P312" s="406">
        <v>6038.9030999999995</v>
      </c>
      <c r="Q312" s="150">
        <v>6038.9030999999995</v>
      </c>
      <c r="R312" s="406">
        <v>6038.9030999999995</v>
      </c>
      <c r="S312" s="406">
        <v>6038.9030999999995</v>
      </c>
      <c r="T312" s="406">
        <f t="shared" si="199"/>
        <v>6038.9030999999995</v>
      </c>
      <c r="U312" s="406">
        <f t="shared" si="200"/>
        <v>0</v>
      </c>
      <c r="V312" s="406">
        <v>0</v>
      </c>
      <c r="W312" s="167">
        <v>4374472.7</v>
      </c>
      <c r="X312" s="167">
        <v>4374.4727000000003</v>
      </c>
      <c r="Y312" s="406">
        <v>4374.4727000000003</v>
      </c>
      <c r="Z312" s="406">
        <v>4307.4105799999998</v>
      </c>
      <c r="AA312" s="406">
        <v>50.880400000000002</v>
      </c>
      <c r="AB312" s="406">
        <v>16.181719999999999</v>
      </c>
      <c r="AC312" s="406">
        <v>0</v>
      </c>
      <c r="AD312" s="406">
        <f>'[71]2. подк.неподк.'!X298</f>
        <v>0</v>
      </c>
      <c r="AE312" s="406">
        <f t="shared" si="201"/>
        <v>0</v>
      </c>
      <c r="AF312" s="402">
        <f t="shared" si="202"/>
        <v>0</v>
      </c>
      <c r="AG312" s="406">
        <v>0</v>
      </c>
      <c r="AH312" s="406">
        <v>6968.6074235000006</v>
      </c>
      <c r="AI312" s="957">
        <f t="shared" si="198"/>
        <v>1.5930165534008247</v>
      </c>
      <c r="AJ312" s="957">
        <f t="shared" si="203"/>
        <v>6968.6074235000006</v>
      </c>
      <c r="AK312" s="958">
        <f t="shared" si="205"/>
        <v>6968.6074235000006</v>
      </c>
      <c r="AL312" s="74"/>
    </row>
    <row r="313" spans="1:38" ht="33" customHeight="1" outlineLevel="1">
      <c r="A313" s="139" t="s">
        <v>1416</v>
      </c>
      <c r="B313" s="242" t="s">
        <v>1421</v>
      </c>
      <c r="C313" s="243" t="s">
        <v>1418</v>
      </c>
      <c r="D313" s="956" t="s">
        <v>2178</v>
      </c>
      <c r="E313" s="199" t="s">
        <v>1419</v>
      </c>
      <c r="F313" s="177"/>
      <c r="G313" s="404" t="s">
        <v>552</v>
      </c>
      <c r="H313" s="404">
        <v>0</v>
      </c>
      <c r="I313" s="404">
        <v>0</v>
      </c>
      <c r="J313" s="404">
        <v>0</v>
      </c>
      <c r="K313" s="406">
        <v>0</v>
      </c>
      <c r="L313" s="406">
        <v>1337.51</v>
      </c>
      <c r="M313" s="406">
        <v>0</v>
      </c>
      <c r="N313" s="406">
        <v>0</v>
      </c>
      <c r="O313" s="406">
        <v>1487.4</v>
      </c>
      <c r="P313" s="406">
        <v>1314.06493</v>
      </c>
      <c r="Q313" s="150">
        <v>0</v>
      </c>
      <c r="R313" s="406">
        <v>0</v>
      </c>
      <c r="S313" s="406">
        <v>0</v>
      </c>
      <c r="T313" s="406">
        <f t="shared" si="199"/>
        <v>0</v>
      </c>
      <c r="U313" s="406">
        <f t="shared" si="200"/>
        <v>-1314.06493</v>
      </c>
      <c r="V313" s="406">
        <v>0</v>
      </c>
      <c r="W313" s="167">
        <v>1617699</v>
      </c>
      <c r="X313" s="167">
        <v>1617.6990000000001</v>
      </c>
      <c r="Y313" s="406">
        <v>1617.6990000000003</v>
      </c>
      <c r="Z313" s="406">
        <v>1470.44381</v>
      </c>
      <c r="AA313" s="406">
        <v>128.84136000000001</v>
      </c>
      <c r="AB313" s="406">
        <v>18.413830000000001</v>
      </c>
      <c r="AC313" s="406">
        <v>0</v>
      </c>
      <c r="AD313" s="406">
        <f>'[71]2. подк.неподк.'!X299</f>
        <v>4258.62</v>
      </c>
      <c r="AE313" s="406">
        <f t="shared" si="201"/>
        <v>0</v>
      </c>
      <c r="AF313" s="402">
        <f t="shared" si="202"/>
        <v>0</v>
      </c>
      <c r="AG313" s="406">
        <v>0</v>
      </c>
      <c r="AH313" s="406">
        <v>4706.1000000000004</v>
      </c>
      <c r="AI313" s="957">
        <f t="shared" si="198"/>
        <v>2.9091320449601565</v>
      </c>
      <c r="AJ313" s="957">
        <f t="shared" si="203"/>
        <v>4706.1000000000004</v>
      </c>
      <c r="AK313" s="958">
        <f t="shared" si="205"/>
        <v>4706.1000000000004</v>
      </c>
      <c r="AL313" s="74"/>
    </row>
    <row r="314" spans="1:38" ht="33" customHeight="1" outlineLevel="1">
      <c r="A314" s="139" t="s">
        <v>1420</v>
      </c>
      <c r="B314" s="242" t="s">
        <v>1424</v>
      </c>
      <c r="C314" s="243" t="s">
        <v>1422</v>
      </c>
      <c r="D314" s="956" t="s">
        <v>2179</v>
      </c>
      <c r="E314" s="199" t="s">
        <v>1423</v>
      </c>
      <c r="F314" s="177"/>
      <c r="G314" s="404" t="s">
        <v>552</v>
      </c>
      <c r="H314" s="404">
        <v>0</v>
      </c>
      <c r="I314" s="404">
        <v>0</v>
      </c>
      <c r="J314" s="404">
        <v>0</v>
      </c>
      <c r="K314" s="406">
        <v>0</v>
      </c>
      <c r="L314" s="406">
        <v>78.524000000000001</v>
      </c>
      <c r="M314" s="406">
        <v>0</v>
      </c>
      <c r="N314" s="406">
        <v>0</v>
      </c>
      <c r="O314" s="406">
        <v>267.3</v>
      </c>
      <c r="P314" s="406">
        <v>233.21495000000002</v>
      </c>
      <c r="Q314" s="150">
        <v>0</v>
      </c>
      <c r="R314" s="406">
        <v>0</v>
      </c>
      <c r="S314" s="406">
        <v>0</v>
      </c>
      <c r="T314" s="406">
        <f t="shared" si="199"/>
        <v>0</v>
      </c>
      <c r="U314" s="406">
        <f t="shared" si="200"/>
        <v>-233.21495000000002</v>
      </c>
      <c r="V314" s="406">
        <v>0</v>
      </c>
      <c r="W314" s="167">
        <v>172044</v>
      </c>
      <c r="X314" s="167">
        <v>172.04400000000001</v>
      </c>
      <c r="Y314" s="406">
        <v>172.04400000000001</v>
      </c>
      <c r="Z314" s="406">
        <v>154.54242000000002</v>
      </c>
      <c r="AA314" s="406">
        <v>15.73624</v>
      </c>
      <c r="AB314" s="406">
        <v>1.7653399999999999</v>
      </c>
      <c r="AC314" s="406">
        <v>0</v>
      </c>
      <c r="AD314" s="406">
        <f>'[71]2. подк.неподк.'!X300</f>
        <v>225.49</v>
      </c>
      <c r="AE314" s="406">
        <f t="shared" si="201"/>
        <v>0</v>
      </c>
      <c r="AF314" s="402">
        <f t="shared" si="202"/>
        <v>0</v>
      </c>
      <c r="AG314" s="406">
        <v>0</v>
      </c>
      <c r="AH314" s="406">
        <v>162.078</v>
      </c>
      <c r="AI314" s="957">
        <f t="shared" si="198"/>
        <v>0.94207295808049096</v>
      </c>
      <c r="AJ314" s="957">
        <f t="shared" si="203"/>
        <v>162.078</v>
      </c>
      <c r="AK314" s="958">
        <f t="shared" si="205"/>
        <v>162.078</v>
      </c>
      <c r="AL314" s="74"/>
    </row>
    <row r="315" spans="1:38" s="244" customFormat="1" ht="33" customHeight="1" outlineLevel="1">
      <c r="A315" s="139"/>
      <c r="B315" s="242" t="s">
        <v>1429</v>
      </c>
      <c r="C315" s="245" t="s">
        <v>1425</v>
      </c>
      <c r="D315" s="956" t="s">
        <v>2180</v>
      </c>
      <c r="E315" s="246" t="s">
        <v>1426</v>
      </c>
      <c r="F315" s="149" t="s">
        <v>1427</v>
      </c>
      <c r="G315" s="406" t="s">
        <v>121</v>
      </c>
      <c r="H315" s="404">
        <v>0</v>
      </c>
      <c r="I315" s="404">
        <v>0</v>
      </c>
      <c r="J315" s="404">
        <v>0</v>
      </c>
      <c r="K315" s="406">
        <v>0</v>
      </c>
      <c r="L315" s="406">
        <v>6601.37</v>
      </c>
      <c r="M315" s="406">
        <v>0</v>
      </c>
      <c r="N315" s="406">
        <v>0</v>
      </c>
      <c r="O315" s="406">
        <v>8490.477359999999</v>
      </c>
      <c r="P315" s="406">
        <v>8419.0388000000003</v>
      </c>
      <c r="Q315" s="150">
        <v>0</v>
      </c>
      <c r="R315" s="406">
        <v>0</v>
      </c>
      <c r="S315" s="406">
        <v>0</v>
      </c>
      <c r="T315" s="406">
        <f t="shared" si="199"/>
        <v>0</v>
      </c>
      <c r="U315" s="406">
        <f t="shared" si="200"/>
        <v>-8419.0388000000003</v>
      </c>
      <c r="V315" s="406">
        <v>0</v>
      </c>
      <c r="W315" s="167">
        <v>13968786.73</v>
      </c>
      <c r="X315" s="167">
        <v>13968.78673</v>
      </c>
      <c r="Y315" s="406">
        <v>13968.78673</v>
      </c>
      <c r="Z315" s="406">
        <v>13968.78673</v>
      </c>
      <c r="AA315" s="406">
        <v>0</v>
      </c>
      <c r="AB315" s="406">
        <v>0</v>
      </c>
      <c r="AC315" s="406">
        <v>0</v>
      </c>
      <c r="AD315" s="406">
        <f>'[71]2. подк.неподк.'!X301</f>
        <v>0</v>
      </c>
      <c r="AE315" s="406">
        <f t="shared" si="201"/>
        <v>0</v>
      </c>
      <c r="AF315" s="402">
        <f t="shared" si="202"/>
        <v>0</v>
      </c>
      <c r="AG315" s="406">
        <v>0</v>
      </c>
      <c r="AH315" s="406">
        <v>13968.787</v>
      </c>
      <c r="AI315" s="957">
        <f t="shared" si="198"/>
        <v>1.0000000193288083</v>
      </c>
      <c r="AJ315" s="957">
        <f t="shared" si="203"/>
        <v>13968.787</v>
      </c>
      <c r="AK315" s="958">
        <f t="shared" si="205"/>
        <v>13968.787</v>
      </c>
      <c r="AL315" s="1017"/>
    </row>
    <row r="316" spans="1:38" ht="33" customHeight="1" outlineLevel="1">
      <c r="A316" s="139" t="s">
        <v>1428</v>
      </c>
      <c r="B316" s="242" t="s">
        <v>1434</v>
      </c>
      <c r="C316" s="1018" t="s">
        <v>1430</v>
      </c>
      <c r="D316" s="956" t="s">
        <v>1600</v>
      </c>
      <c r="E316" s="199" t="s">
        <v>1431</v>
      </c>
      <c r="F316" s="232" t="s">
        <v>1432</v>
      </c>
      <c r="G316" s="404" t="s">
        <v>552</v>
      </c>
      <c r="H316" s="404">
        <v>0</v>
      </c>
      <c r="I316" s="404">
        <v>0</v>
      </c>
      <c r="J316" s="404">
        <v>0</v>
      </c>
      <c r="K316" s="406">
        <v>0</v>
      </c>
      <c r="L316" s="406">
        <v>0</v>
      </c>
      <c r="M316" s="406">
        <v>0</v>
      </c>
      <c r="N316" s="406">
        <v>0</v>
      </c>
      <c r="O316" s="406">
        <v>9325.6830600000012</v>
      </c>
      <c r="P316" s="406">
        <v>8989.5259000000005</v>
      </c>
      <c r="Q316" s="150">
        <v>8989.5259000000005</v>
      </c>
      <c r="R316" s="406">
        <v>8989.5259000000005</v>
      </c>
      <c r="S316" s="406">
        <v>0</v>
      </c>
      <c r="T316" s="406">
        <f t="shared" si="199"/>
        <v>0</v>
      </c>
      <c r="U316" s="406">
        <f t="shared" si="200"/>
        <v>-8989.5259000000005</v>
      </c>
      <c r="V316" s="406">
        <v>0</v>
      </c>
      <c r="W316" s="167">
        <v>0</v>
      </c>
      <c r="X316" s="167">
        <v>0</v>
      </c>
      <c r="Y316" s="406">
        <v>0</v>
      </c>
      <c r="Z316" s="406">
        <v>0</v>
      </c>
      <c r="AA316" s="406">
        <v>0</v>
      </c>
      <c r="AB316" s="406">
        <v>0</v>
      </c>
      <c r="AC316" s="406">
        <v>0</v>
      </c>
      <c r="AD316" s="406">
        <f>'[71]2. подк.неподк.'!X302</f>
        <v>0</v>
      </c>
      <c r="AE316" s="406">
        <f t="shared" si="201"/>
        <v>0</v>
      </c>
      <c r="AF316" s="402">
        <f t="shared" si="202"/>
        <v>0</v>
      </c>
      <c r="AG316" s="406">
        <v>0</v>
      </c>
      <c r="AH316" s="406">
        <v>0</v>
      </c>
      <c r="AI316" s="957" t="e">
        <f t="shared" si="198"/>
        <v>#DIV/0!</v>
      </c>
      <c r="AJ316" s="957">
        <f t="shared" si="203"/>
        <v>0</v>
      </c>
      <c r="AK316" s="958">
        <f t="shared" si="205"/>
        <v>0</v>
      </c>
      <c r="AL316" s="74"/>
    </row>
    <row r="317" spans="1:38" ht="33" customHeight="1" outlineLevel="1">
      <c r="A317" s="139" t="s">
        <v>1433</v>
      </c>
      <c r="B317" s="242" t="s">
        <v>1437</v>
      </c>
      <c r="C317" s="1018" t="s">
        <v>1435</v>
      </c>
      <c r="D317" s="956" t="s">
        <v>2181</v>
      </c>
      <c r="E317" s="199" t="s">
        <v>1436</v>
      </c>
      <c r="F317" s="177"/>
      <c r="G317" s="404" t="s">
        <v>552</v>
      </c>
      <c r="H317" s="404">
        <v>0</v>
      </c>
      <c r="I317" s="404">
        <v>0</v>
      </c>
      <c r="J317" s="404">
        <v>0</v>
      </c>
      <c r="K317" s="406">
        <v>0</v>
      </c>
      <c r="L317" s="406">
        <v>0</v>
      </c>
      <c r="M317" s="406">
        <v>0</v>
      </c>
      <c r="N317" s="406">
        <v>0</v>
      </c>
      <c r="O317" s="406">
        <v>0</v>
      </c>
      <c r="P317" s="406"/>
      <c r="Q317" s="150">
        <v>0</v>
      </c>
      <c r="R317" s="406">
        <v>0</v>
      </c>
      <c r="S317" s="406">
        <v>0</v>
      </c>
      <c r="T317" s="406">
        <f t="shared" si="199"/>
        <v>0</v>
      </c>
      <c r="U317" s="406">
        <f t="shared" si="200"/>
        <v>0</v>
      </c>
      <c r="V317" s="406">
        <v>0</v>
      </c>
      <c r="W317" s="167">
        <v>0</v>
      </c>
      <c r="X317" s="167">
        <v>0</v>
      </c>
      <c r="Y317" s="406">
        <v>0</v>
      </c>
      <c r="Z317" s="406">
        <v>0</v>
      </c>
      <c r="AA317" s="406">
        <v>0</v>
      </c>
      <c r="AB317" s="406">
        <v>0</v>
      </c>
      <c r="AC317" s="406">
        <v>0</v>
      </c>
      <c r="AD317" s="406">
        <v>0</v>
      </c>
      <c r="AE317" s="406">
        <f t="shared" si="201"/>
        <v>0</v>
      </c>
      <c r="AF317" s="402">
        <f t="shared" si="202"/>
        <v>0</v>
      </c>
      <c r="AG317" s="406">
        <v>0</v>
      </c>
      <c r="AH317" s="406">
        <v>0</v>
      </c>
      <c r="AI317" s="957" t="e">
        <f t="shared" si="198"/>
        <v>#DIV/0!</v>
      </c>
      <c r="AJ317" s="957">
        <f t="shared" si="203"/>
        <v>0</v>
      </c>
      <c r="AK317" s="958">
        <f t="shared" si="205"/>
        <v>0</v>
      </c>
      <c r="AL317" s="74"/>
    </row>
    <row r="318" spans="1:38" ht="33" customHeight="1" outlineLevel="1">
      <c r="A318" s="139"/>
      <c r="B318" s="242" t="s">
        <v>1439</v>
      </c>
      <c r="C318" s="1018" t="s">
        <v>1966</v>
      </c>
      <c r="D318" s="956" t="s">
        <v>2182</v>
      </c>
      <c r="E318" s="199" t="s">
        <v>1438</v>
      </c>
      <c r="F318" s="177"/>
      <c r="G318" s="404" t="s">
        <v>552</v>
      </c>
      <c r="H318" s="404">
        <v>0</v>
      </c>
      <c r="I318" s="404">
        <v>0</v>
      </c>
      <c r="J318" s="404">
        <v>0</v>
      </c>
      <c r="K318" s="406"/>
      <c r="L318" s="406"/>
      <c r="M318" s="406"/>
      <c r="N318" s="406"/>
      <c r="O318" s="406">
        <v>276.44400000000002</v>
      </c>
      <c r="P318" s="406">
        <v>263.07453000000004</v>
      </c>
      <c r="Q318" s="150">
        <v>0</v>
      </c>
      <c r="R318" s="406"/>
      <c r="S318" s="406"/>
      <c r="T318" s="406">
        <f t="shared" si="199"/>
        <v>0</v>
      </c>
      <c r="U318" s="406">
        <f t="shared" si="200"/>
        <v>-263.07453000000004</v>
      </c>
      <c r="V318" s="406">
        <v>0</v>
      </c>
      <c r="W318" s="167">
        <v>450000</v>
      </c>
      <c r="X318" s="167">
        <v>450</v>
      </c>
      <c r="Y318" s="406">
        <v>450</v>
      </c>
      <c r="Z318" s="406">
        <v>374.73270000000002</v>
      </c>
      <c r="AA318" s="406">
        <v>69.898250000000004</v>
      </c>
      <c r="AB318" s="406">
        <v>5.3690500000000005</v>
      </c>
      <c r="AC318" s="406">
        <v>0</v>
      </c>
      <c r="AD318" s="406">
        <f>'[71]2. подк.неподк.'!X304</f>
        <v>211.19417600000003</v>
      </c>
      <c r="AE318" s="406">
        <f t="shared" si="201"/>
        <v>0</v>
      </c>
      <c r="AF318" s="402">
        <f t="shared" si="202"/>
        <v>0</v>
      </c>
      <c r="AG318" s="406">
        <v>0</v>
      </c>
      <c r="AH318" s="406">
        <v>496.8</v>
      </c>
      <c r="AI318" s="957">
        <f t="shared" si="198"/>
        <v>1.1040000000000001</v>
      </c>
      <c r="AJ318" s="957">
        <f t="shared" si="203"/>
        <v>496.8</v>
      </c>
      <c r="AK318" s="958">
        <f t="shared" si="205"/>
        <v>496.8</v>
      </c>
      <c r="AL318" s="74"/>
    </row>
    <row r="319" spans="1:38" ht="33" customHeight="1" outlineLevel="1">
      <c r="A319" s="139"/>
      <c r="B319" s="242" t="s">
        <v>1441</v>
      </c>
      <c r="C319" s="1018" t="s">
        <v>1976</v>
      </c>
      <c r="D319" s="956" t="s">
        <v>2183</v>
      </c>
      <c r="E319" s="199" t="s">
        <v>1440</v>
      </c>
      <c r="F319" s="177"/>
      <c r="G319" s="404" t="s">
        <v>552</v>
      </c>
      <c r="H319" s="404">
        <v>0</v>
      </c>
      <c r="I319" s="404">
        <v>0</v>
      </c>
      <c r="J319" s="404">
        <v>0</v>
      </c>
      <c r="K319" s="406"/>
      <c r="L319" s="406"/>
      <c r="M319" s="406"/>
      <c r="N319" s="406"/>
      <c r="O319" s="406">
        <v>224.57900000000001</v>
      </c>
      <c r="P319" s="406">
        <v>178.12549999999999</v>
      </c>
      <c r="Q319" s="150">
        <v>0</v>
      </c>
      <c r="R319" s="406">
        <v>0</v>
      </c>
      <c r="S319" s="406">
        <v>0</v>
      </c>
      <c r="T319" s="406">
        <f t="shared" si="199"/>
        <v>0</v>
      </c>
      <c r="U319" s="406">
        <f t="shared" si="200"/>
        <v>-178.12549999999999</v>
      </c>
      <c r="V319" s="406">
        <v>0</v>
      </c>
      <c r="W319" s="167">
        <v>409645.93</v>
      </c>
      <c r="X319" s="167">
        <v>409.64593000000002</v>
      </c>
      <c r="Y319" s="406">
        <v>409.64593000000002</v>
      </c>
      <c r="Z319" s="406">
        <v>363.28638000000001</v>
      </c>
      <c r="AA319" s="406">
        <v>41.576860000000003</v>
      </c>
      <c r="AB319" s="406">
        <v>4.7826900000000006</v>
      </c>
      <c r="AC319" s="406">
        <v>0</v>
      </c>
      <c r="AD319" s="406">
        <f>'[71]2. подк.неподк.'!X305</f>
        <v>50.954250000000002</v>
      </c>
      <c r="AE319" s="406">
        <f t="shared" si="201"/>
        <v>0</v>
      </c>
      <c r="AF319" s="402">
        <f t="shared" si="202"/>
        <v>0</v>
      </c>
      <c r="AG319" s="406">
        <v>0</v>
      </c>
      <c r="AH319" s="406">
        <v>437.83</v>
      </c>
      <c r="AI319" s="957">
        <f t="shared" si="198"/>
        <v>1.0688010497260401</v>
      </c>
      <c r="AJ319" s="957">
        <f t="shared" si="203"/>
        <v>437.83</v>
      </c>
      <c r="AK319" s="958">
        <f t="shared" si="205"/>
        <v>437.83</v>
      </c>
      <c r="AL319" s="74"/>
    </row>
    <row r="320" spans="1:38" ht="33" customHeight="1" outlineLevel="1">
      <c r="A320" s="139"/>
      <c r="B320" s="242" t="s">
        <v>1443</v>
      </c>
      <c r="C320" s="1018" t="s">
        <v>1977</v>
      </c>
      <c r="D320" s="956" t="s">
        <v>2184</v>
      </c>
      <c r="E320" s="199" t="s">
        <v>1442</v>
      </c>
      <c r="F320" s="177"/>
      <c r="G320" s="404" t="s">
        <v>552</v>
      </c>
      <c r="H320" s="404">
        <v>0</v>
      </c>
      <c r="I320" s="404">
        <v>0</v>
      </c>
      <c r="J320" s="404">
        <v>0</v>
      </c>
      <c r="K320" s="406"/>
      <c r="L320" s="406"/>
      <c r="M320" s="406"/>
      <c r="N320" s="406"/>
      <c r="O320" s="406">
        <v>213.35977</v>
      </c>
      <c r="P320" s="406">
        <v>191.37690000000001</v>
      </c>
      <c r="Q320" s="150">
        <v>0</v>
      </c>
      <c r="R320" s="406"/>
      <c r="S320" s="406"/>
      <c r="T320" s="406">
        <f t="shared" si="199"/>
        <v>0</v>
      </c>
      <c r="U320" s="406">
        <f t="shared" si="200"/>
        <v>-191.37690000000001</v>
      </c>
      <c r="V320" s="406">
        <v>0</v>
      </c>
      <c r="W320" s="167">
        <v>97961.01</v>
      </c>
      <c r="X320" s="167">
        <v>97.961010000000002</v>
      </c>
      <c r="Y320" s="406">
        <v>97.961010000000002</v>
      </c>
      <c r="Z320" s="406">
        <v>89.019139999999993</v>
      </c>
      <c r="AA320" s="406">
        <v>7.8517200000000003</v>
      </c>
      <c r="AB320" s="406">
        <v>1.0901500000000002</v>
      </c>
      <c r="AC320" s="406">
        <v>0</v>
      </c>
      <c r="AD320" s="406">
        <f>'[71]2. подк.неподк.'!X306</f>
        <v>224.24</v>
      </c>
      <c r="AE320" s="406">
        <f t="shared" si="201"/>
        <v>0</v>
      </c>
      <c r="AF320" s="402">
        <f t="shared" si="202"/>
        <v>0</v>
      </c>
      <c r="AG320" s="406">
        <v>0</v>
      </c>
      <c r="AH320" s="406">
        <v>168.60896894550001</v>
      </c>
      <c r="AI320" s="957">
        <f t="shared" si="198"/>
        <v>1.7211844686523752</v>
      </c>
      <c r="AJ320" s="957">
        <f t="shared" si="203"/>
        <v>168.60896894550001</v>
      </c>
      <c r="AK320" s="958">
        <f t="shared" si="205"/>
        <v>168.60896894550001</v>
      </c>
      <c r="AL320" s="74"/>
    </row>
    <row r="321" spans="1:38" ht="33" customHeight="1" outlineLevel="1">
      <c r="A321" s="139"/>
      <c r="B321" s="242" t="s">
        <v>1445</v>
      </c>
      <c r="C321" s="1018" t="s">
        <v>1979</v>
      </c>
      <c r="D321" s="956" t="s">
        <v>2185</v>
      </c>
      <c r="E321" s="148" t="s">
        <v>1444</v>
      </c>
      <c r="F321" s="177"/>
      <c r="G321" s="404" t="s">
        <v>552</v>
      </c>
      <c r="H321" s="404">
        <v>0</v>
      </c>
      <c r="I321" s="404">
        <v>0</v>
      </c>
      <c r="J321" s="404">
        <v>0</v>
      </c>
      <c r="K321" s="406"/>
      <c r="L321" s="406"/>
      <c r="M321" s="406"/>
      <c r="N321" s="406"/>
      <c r="O321" s="406">
        <v>0</v>
      </c>
      <c r="P321" s="406">
        <v>0</v>
      </c>
      <c r="Q321" s="150">
        <v>0</v>
      </c>
      <c r="R321" s="406"/>
      <c r="S321" s="406"/>
      <c r="T321" s="406">
        <f t="shared" si="199"/>
        <v>0</v>
      </c>
      <c r="U321" s="406">
        <f t="shared" si="200"/>
        <v>0</v>
      </c>
      <c r="V321" s="406">
        <v>0</v>
      </c>
      <c r="W321" s="167">
        <v>1208356</v>
      </c>
      <c r="X321" s="167">
        <v>1208.356</v>
      </c>
      <c r="Y321" s="406">
        <v>1208.356</v>
      </c>
      <c r="Z321" s="406">
        <v>1164.7482399999999</v>
      </c>
      <c r="AA321" s="406">
        <v>28.530269999999998</v>
      </c>
      <c r="AB321" s="406">
        <v>15.077489999999999</v>
      </c>
      <c r="AC321" s="406">
        <v>0</v>
      </c>
      <c r="AD321" s="406">
        <f>'[71]2. подк.неподк.'!X307</f>
        <v>1731.91</v>
      </c>
      <c r="AE321" s="406">
        <f t="shared" si="201"/>
        <v>0</v>
      </c>
      <c r="AF321" s="402">
        <f t="shared" si="202"/>
        <v>0</v>
      </c>
      <c r="AG321" s="406">
        <v>0</v>
      </c>
      <c r="AH321" s="406">
        <v>1377.6668798000001</v>
      </c>
      <c r="AI321" s="957">
        <f t="shared" si="198"/>
        <v>1.1401167204035898</v>
      </c>
      <c r="AJ321" s="957">
        <f t="shared" si="203"/>
        <v>1377.6668798000001</v>
      </c>
      <c r="AK321" s="958">
        <f t="shared" si="205"/>
        <v>1377.6668798000001</v>
      </c>
      <c r="AL321" s="74"/>
    </row>
    <row r="322" spans="1:38" ht="45.75" customHeight="1" outlineLevel="1">
      <c r="A322" s="139"/>
      <c r="B322" s="242" t="s">
        <v>2186</v>
      </c>
      <c r="C322" s="1018" t="s">
        <v>1980</v>
      </c>
      <c r="D322" s="956" t="s">
        <v>2187</v>
      </c>
      <c r="E322" s="148" t="s">
        <v>1981</v>
      </c>
      <c r="F322" s="177"/>
      <c r="G322" s="404" t="s">
        <v>552</v>
      </c>
      <c r="H322" s="404"/>
      <c r="I322" s="404"/>
      <c r="J322" s="404"/>
      <c r="K322" s="406"/>
      <c r="L322" s="406"/>
      <c r="M322" s="406"/>
      <c r="N322" s="406"/>
      <c r="O322" s="406"/>
      <c r="P322" s="406"/>
      <c r="Q322" s="150"/>
      <c r="R322" s="406"/>
      <c r="S322" s="406"/>
      <c r="T322" s="406"/>
      <c r="U322" s="406"/>
      <c r="V322" s="406">
        <v>0</v>
      </c>
      <c r="W322" s="167">
        <v>19859.88</v>
      </c>
      <c r="X322" s="167">
        <v>19.85988</v>
      </c>
      <c r="Y322" s="406">
        <v>19.859879999999997</v>
      </c>
      <c r="Z322" s="406">
        <v>19.200689999999998</v>
      </c>
      <c r="AA322" s="406">
        <v>0.41252</v>
      </c>
      <c r="AB322" s="406">
        <v>0.24667000000000003</v>
      </c>
      <c r="AC322" s="406">
        <v>0</v>
      </c>
      <c r="AD322" s="406">
        <v>0</v>
      </c>
      <c r="AE322" s="406">
        <f t="shared" si="201"/>
        <v>0</v>
      </c>
      <c r="AF322" s="402">
        <f t="shared" si="202"/>
        <v>0</v>
      </c>
      <c r="AG322" s="406">
        <v>0</v>
      </c>
      <c r="AH322" s="406">
        <v>0</v>
      </c>
      <c r="AI322" s="957">
        <f t="shared" si="198"/>
        <v>0</v>
      </c>
      <c r="AJ322" s="957">
        <f t="shared" si="203"/>
        <v>0</v>
      </c>
      <c r="AK322" s="958">
        <f t="shared" si="205"/>
        <v>0</v>
      </c>
      <c r="AL322" s="74"/>
    </row>
    <row r="323" spans="1:38" ht="33" customHeight="1" outlineLevel="1">
      <c r="A323" s="139"/>
      <c r="B323" s="242" t="s">
        <v>2188</v>
      </c>
      <c r="C323" s="1018" t="s">
        <v>1982</v>
      </c>
      <c r="D323" s="956" t="s">
        <v>2189</v>
      </c>
      <c r="E323" s="148" t="s">
        <v>1446</v>
      </c>
      <c r="F323" s="177"/>
      <c r="G323" s="404" t="s">
        <v>552</v>
      </c>
      <c r="H323" s="404">
        <v>0</v>
      </c>
      <c r="I323" s="404">
        <v>0</v>
      </c>
      <c r="J323" s="404">
        <v>0</v>
      </c>
      <c r="K323" s="406"/>
      <c r="L323" s="406"/>
      <c r="M323" s="406"/>
      <c r="N323" s="406"/>
      <c r="O323" s="406">
        <v>0</v>
      </c>
      <c r="P323" s="406">
        <v>0</v>
      </c>
      <c r="Q323" s="150">
        <v>0</v>
      </c>
      <c r="R323" s="406"/>
      <c r="S323" s="406"/>
      <c r="T323" s="406">
        <f t="shared" si="199"/>
        <v>0</v>
      </c>
      <c r="U323" s="406">
        <f t="shared" si="200"/>
        <v>0</v>
      </c>
      <c r="V323" s="406">
        <v>0</v>
      </c>
      <c r="W323" s="167">
        <v>885670</v>
      </c>
      <c r="X323" s="167">
        <v>885.67</v>
      </c>
      <c r="Y323" s="406">
        <v>885.67</v>
      </c>
      <c r="Z323" s="406">
        <v>806.18763999999999</v>
      </c>
      <c r="AA323" s="406">
        <v>68.905529999999999</v>
      </c>
      <c r="AB323" s="406">
        <v>10.576829999999999</v>
      </c>
      <c r="AC323" s="406">
        <v>0</v>
      </c>
      <c r="AD323" s="406">
        <f>'[71]2. подк.неподк.'!X308</f>
        <v>0</v>
      </c>
      <c r="AE323" s="406">
        <f t="shared" si="201"/>
        <v>0</v>
      </c>
      <c r="AF323" s="402">
        <f t="shared" si="202"/>
        <v>0</v>
      </c>
      <c r="AG323" s="406">
        <v>0</v>
      </c>
      <c r="AH323" s="406">
        <v>1024.68</v>
      </c>
      <c r="AI323" s="957">
        <f t="shared" si="198"/>
        <v>1.1569546219246447</v>
      </c>
      <c r="AJ323" s="957">
        <f t="shared" si="203"/>
        <v>1024.68</v>
      </c>
      <c r="AK323" s="958">
        <f t="shared" si="205"/>
        <v>1024.68</v>
      </c>
      <c r="AL323" s="74"/>
    </row>
    <row r="324" spans="1:38" s="214" customFormat="1" ht="33" customHeight="1">
      <c r="A324" s="211"/>
      <c r="B324" s="166"/>
      <c r="C324" s="249"/>
      <c r="D324" s="166"/>
      <c r="E324" s="213" t="s">
        <v>1447</v>
      </c>
      <c r="F324" s="213" t="s">
        <v>1447</v>
      </c>
      <c r="G324" s="213" t="s">
        <v>552</v>
      </c>
      <c r="H324" s="168">
        <f>H248+H249+H250+H263+H269+H276+H277+H278+H280+H281+H286</f>
        <v>2945351.2263561506</v>
      </c>
      <c r="I324" s="168">
        <f>I248+I249+I250+I263+I269+I276+I277+I278+I280+I281+I286</f>
        <v>2580854.4138399996</v>
      </c>
      <c r="J324" s="168">
        <f>J248+J249+J250+J263+J269+J276+J277+J278+J280+J281+J286</f>
        <v>2242609.5387999997</v>
      </c>
      <c r="K324" s="168">
        <f>K248+K249+K250+K263+K269+K276+K277+K278+K280+K281+K287</f>
        <v>2761719.6303011812</v>
      </c>
      <c r="L324" s="168">
        <f t="shared" ref="L324:S324" si="206">L248+L249+L250+L263+L268+L276+L277+L278+L280+L281+L286</f>
        <v>2493597.7122860127</v>
      </c>
      <c r="M324" s="168">
        <f t="shared" si="206"/>
        <v>2200297.8274325002</v>
      </c>
      <c r="N324" s="168">
        <f t="shared" si="206"/>
        <v>2340309.8319822834</v>
      </c>
      <c r="O324" s="168">
        <f t="shared" si="206"/>
        <v>2915134.4478400019</v>
      </c>
      <c r="P324" s="168">
        <f t="shared" si="206"/>
        <v>2523889.875380001</v>
      </c>
      <c r="Q324" s="168">
        <f t="shared" si="206"/>
        <v>2113073.2317275</v>
      </c>
      <c r="R324" s="168">
        <f t="shared" si="206"/>
        <v>2113073.2335075</v>
      </c>
      <c r="S324" s="168">
        <f t="shared" si="206"/>
        <v>2102502.8009100002</v>
      </c>
      <c r="T324" s="168">
        <f t="shared" si="199"/>
        <v>-237807.03107228316</v>
      </c>
      <c r="U324" s="168">
        <f t="shared" si="200"/>
        <v>-421387.07447000081</v>
      </c>
      <c r="V324" s="168">
        <f>V248+V249+V250+V263+V268+V276+V277+V278+V280+V281+V286</f>
        <v>2720345.5316451848</v>
      </c>
      <c r="W324" s="168">
        <f>W248+W249+W250+W263+W268+W276+W277+W278+W280+W281+W286</f>
        <v>3047359006.1169991</v>
      </c>
      <c r="X324" s="168">
        <f>X248+X249+X250+X263+X268+X276+X277+X278+X280+X281+X286</f>
        <v>3047359.0061169993</v>
      </c>
      <c r="Y324" s="168">
        <f t="shared" ref="Y324:AK324" si="207">Y248+Y249+Y250+Y263+Y268+Y276+Y277+Y278+Y280+Y281+Y286</f>
        <v>3047359.0054199984</v>
      </c>
      <c r="Z324" s="168">
        <f t="shared" si="207"/>
        <v>2653291.9743299992</v>
      </c>
      <c r="AA324" s="168">
        <f t="shared" si="207"/>
        <v>293304.52415999997</v>
      </c>
      <c r="AB324" s="168">
        <f t="shared" si="207"/>
        <v>100762.50693000002</v>
      </c>
      <c r="AC324" s="168">
        <f t="shared" si="207"/>
        <v>2842761.0806218632</v>
      </c>
      <c r="AD324" s="168">
        <f t="shared" si="207"/>
        <v>9647062.4512376487</v>
      </c>
      <c r="AE324" s="168">
        <f t="shared" si="207"/>
        <v>2498445.6471153144</v>
      </c>
      <c r="AF324" s="168">
        <f t="shared" si="207"/>
        <v>2533651.6319283121</v>
      </c>
      <c r="AG324" s="168">
        <f t="shared" si="207"/>
        <v>2956471.5137919858</v>
      </c>
      <c r="AH324" s="168">
        <f t="shared" si="207"/>
        <v>4610308.9605698893</v>
      </c>
      <c r="AI324" s="1006"/>
      <c r="AJ324" s="1006">
        <f t="shared" si="207"/>
        <v>1653837.4467779035</v>
      </c>
      <c r="AK324" s="1006">
        <f t="shared" si="207"/>
        <v>4457933.2153780358</v>
      </c>
      <c r="AL324" s="356"/>
    </row>
    <row r="325" spans="1:38" ht="33" customHeight="1" outlineLevel="1">
      <c r="A325" s="139"/>
      <c r="B325" s="406"/>
      <c r="C325" s="177"/>
      <c r="D325" s="177"/>
      <c r="E325" s="196" t="s">
        <v>1448</v>
      </c>
      <c r="F325" s="196" t="s">
        <v>1448</v>
      </c>
      <c r="G325" s="404" t="s">
        <v>552</v>
      </c>
      <c r="H325" s="404"/>
      <c r="I325" s="404"/>
      <c r="J325" s="404"/>
      <c r="K325" s="177"/>
      <c r="L325" s="177"/>
      <c r="M325" s="177"/>
      <c r="N325" s="177"/>
      <c r="O325" s="177"/>
      <c r="P325" s="177"/>
      <c r="Q325" s="250"/>
      <c r="R325" s="177"/>
      <c r="S325" s="406"/>
      <c r="T325" s="141"/>
      <c r="U325" s="141"/>
      <c r="V325" s="177"/>
      <c r="W325" s="177"/>
      <c r="X325" s="177"/>
      <c r="Y325" s="177"/>
      <c r="Z325" s="177"/>
      <c r="AA325" s="177"/>
      <c r="AB325" s="177"/>
      <c r="AC325" s="177"/>
      <c r="AD325" s="177"/>
      <c r="AE325" s="177"/>
      <c r="AF325" s="177"/>
      <c r="AG325" s="177"/>
      <c r="AH325" s="177"/>
      <c r="AI325" s="177"/>
      <c r="AJ325" s="177"/>
      <c r="AK325" s="177"/>
    </row>
    <row r="326" spans="1:38" ht="15" customHeight="1">
      <c r="A326" s="139"/>
      <c r="B326" s="406"/>
      <c r="C326" s="177"/>
      <c r="D326" s="177"/>
      <c r="E326" s="177"/>
      <c r="F326" s="177"/>
      <c r="G326" s="177"/>
      <c r="H326" s="177"/>
      <c r="I326" s="177"/>
      <c r="J326" s="177"/>
      <c r="K326" s="177"/>
      <c r="L326" s="177"/>
      <c r="M326" s="177"/>
      <c r="N326" s="177"/>
      <c r="O326" s="177"/>
      <c r="P326" s="177"/>
      <c r="Q326" s="177"/>
      <c r="R326" s="177"/>
      <c r="S326" s="177"/>
      <c r="T326" s="177"/>
      <c r="U326" s="177"/>
      <c r="V326" s="177"/>
      <c r="W326" s="177"/>
      <c r="X326" s="177"/>
      <c r="Y326" s="177"/>
      <c r="Z326" s="177"/>
      <c r="AA326" s="177"/>
      <c r="AB326" s="177"/>
      <c r="AC326" s="177"/>
      <c r="AD326" s="177"/>
      <c r="AE326" s="177"/>
      <c r="AF326" s="177"/>
      <c r="AG326" s="177"/>
      <c r="AH326" s="177"/>
      <c r="AI326" s="177"/>
      <c r="AJ326" s="177"/>
      <c r="AK326" s="177"/>
    </row>
    <row r="327" spans="1:38" s="256" customFormat="1" ht="55.5" customHeight="1">
      <c r="A327" s="252"/>
      <c r="B327" s="146"/>
      <c r="C327" s="253"/>
      <c r="D327" s="253"/>
      <c r="E327" s="254" t="s">
        <v>1449</v>
      </c>
      <c r="F327" s="254" t="s">
        <v>1449</v>
      </c>
      <c r="G327" s="255" t="s">
        <v>552</v>
      </c>
      <c r="H327" s="146">
        <f t="shared" ref="H327:S327" si="208">H324-H276</f>
        <v>2728024.6363561507</v>
      </c>
      <c r="I327" s="146">
        <f t="shared" si="208"/>
        <v>2580854.4138399996</v>
      </c>
      <c r="J327" s="146">
        <f t="shared" si="208"/>
        <v>2244113.3387999996</v>
      </c>
      <c r="K327" s="146">
        <f t="shared" si="208"/>
        <v>2311575.7303011813</v>
      </c>
      <c r="L327" s="146">
        <f t="shared" si="208"/>
        <v>2493597.7122860127</v>
      </c>
      <c r="M327" s="146">
        <f t="shared" si="208"/>
        <v>2200297.8274325002</v>
      </c>
      <c r="N327" s="146">
        <f t="shared" si="208"/>
        <v>1998369.579214415</v>
      </c>
      <c r="O327" s="146">
        <f t="shared" si="208"/>
        <v>2915134.4478400019</v>
      </c>
      <c r="P327" s="146">
        <f t="shared" si="208"/>
        <v>2523889.875380001</v>
      </c>
      <c r="Q327" s="146">
        <f t="shared" si="208"/>
        <v>2113073.2317275</v>
      </c>
      <c r="R327" s="146">
        <f t="shared" si="208"/>
        <v>2113073.2335075</v>
      </c>
      <c r="S327" s="146">
        <f t="shared" si="208"/>
        <v>2102502.8009100002</v>
      </c>
      <c r="T327" s="146">
        <f t="shared" ref="T327:T330" si="209">S327-N327</f>
        <v>104133.22169558518</v>
      </c>
      <c r="U327" s="146">
        <f t="shared" si="200"/>
        <v>-421387.07447000081</v>
      </c>
      <c r="V327" s="146">
        <f>V324-V276</f>
        <v>2375205.2338735852</v>
      </c>
      <c r="W327" s="146">
        <f>W324-W276</f>
        <v>3047359006.1169991</v>
      </c>
      <c r="X327" s="146">
        <f>X324-X276</f>
        <v>3047359.0061169993</v>
      </c>
      <c r="Y327" s="146">
        <f t="shared" ref="Y327:AK327" si="210">Y324-Y276</f>
        <v>3047359.0054199984</v>
      </c>
      <c r="Z327" s="146">
        <f t="shared" si="210"/>
        <v>2653291.9743299992</v>
      </c>
      <c r="AA327" s="146">
        <f t="shared" si="210"/>
        <v>293304.52415999997</v>
      </c>
      <c r="AB327" s="146">
        <f t="shared" si="210"/>
        <v>100762.50693000002</v>
      </c>
      <c r="AC327" s="146">
        <f t="shared" si="210"/>
        <v>2509307.8811655412</v>
      </c>
      <c r="AD327" s="146">
        <f t="shared" si="210"/>
        <v>4305574.8012376484</v>
      </c>
      <c r="AE327" s="146">
        <f t="shared" si="210"/>
        <v>2498445.6471153144</v>
      </c>
      <c r="AF327" s="146">
        <f t="shared" si="210"/>
        <v>2533651.6319283121</v>
      </c>
      <c r="AG327" s="146">
        <f t="shared" si="210"/>
        <v>2609680.1963574118</v>
      </c>
      <c r="AH327" s="146">
        <f t="shared" si="210"/>
        <v>4610308.9605698893</v>
      </c>
      <c r="AI327" s="146"/>
      <c r="AJ327" s="146">
        <f t="shared" si="210"/>
        <v>2000628.7642124775</v>
      </c>
      <c r="AK327" s="146">
        <f t="shared" si="210"/>
        <v>4457933.2153780358</v>
      </c>
    </row>
    <row r="328" spans="1:38" s="214" customFormat="1" ht="33" customHeight="1">
      <c r="A328" s="211"/>
      <c r="B328" s="168"/>
      <c r="C328" s="249"/>
      <c r="D328" s="249"/>
      <c r="E328" s="257" t="s">
        <v>1450</v>
      </c>
      <c r="F328" s="257" t="s">
        <v>1450</v>
      </c>
      <c r="G328" s="213" t="s">
        <v>1451</v>
      </c>
      <c r="H328" s="168">
        <f t="shared" ref="H328:J328" si="211">SUM(H329:H330)</f>
        <v>4557522.1366777197</v>
      </c>
      <c r="I328" s="168">
        <f t="shared" si="211"/>
        <v>4524715.3847899996</v>
      </c>
      <c r="J328" s="168">
        <f t="shared" si="211"/>
        <v>3845429.766817715</v>
      </c>
      <c r="K328" s="168">
        <f>SUM(K329:K330)</f>
        <v>4530576.7733762488</v>
      </c>
      <c r="L328" s="168">
        <f t="shared" ref="L328:N328" si="212">SUM(L329:L330)</f>
        <v>4552809.5886550127</v>
      </c>
      <c r="M328" s="168">
        <f t="shared" si="212"/>
        <v>3949467.0261025</v>
      </c>
      <c r="N328" s="168">
        <f t="shared" si="212"/>
        <v>3995767.2468746058</v>
      </c>
      <c r="O328" s="168">
        <f>SUM(O329:O330)</f>
        <v>5167898.7823200021</v>
      </c>
      <c r="P328" s="168">
        <f t="shared" ref="P328:S328" si="213">SUM(P329:P330)</f>
        <v>4685555.3686300013</v>
      </c>
      <c r="Q328" s="168">
        <f t="shared" si="213"/>
        <v>4230752.0730500324</v>
      </c>
      <c r="R328" s="168">
        <f t="shared" si="213"/>
        <v>4233888.3025800325</v>
      </c>
      <c r="S328" s="168">
        <f t="shared" si="213"/>
        <v>4119204.6253925329</v>
      </c>
      <c r="T328" s="168">
        <f t="shared" si="209"/>
        <v>123437.37851792714</v>
      </c>
      <c r="U328" s="168">
        <f t="shared" si="200"/>
        <v>-566350.74323746841</v>
      </c>
      <c r="V328" s="168">
        <f>SUM(V329:V330)</f>
        <v>4508690.1437708195</v>
      </c>
      <c r="W328" s="168">
        <f t="shared" ref="W328" si="214">SUM(W329:W330)</f>
        <v>5548370619.0299988</v>
      </c>
      <c r="X328" s="168">
        <f>SUM(X329:X330)</f>
        <v>5548370.6157699991</v>
      </c>
      <c r="Y328" s="168">
        <f t="shared" ref="Y328:AB328" si="215">SUM(Y329:Y330)</f>
        <v>5548370.6215299983</v>
      </c>
      <c r="Z328" s="168">
        <f t="shared" si="215"/>
        <v>5049951.0622499995</v>
      </c>
      <c r="AA328" s="168">
        <f t="shared" si="215"/>
        <v>368661.52492</v>
      </c>
      <c r="AB328" s="168">
        <f t="shared" si="215"/>
        <v>129758.03865000002</v>
      </c>
      <c r="AC328" s="168">
        <f>SUM(AC329:AC330)</f>
        <v>4711581.1991699366</v>
      </c>
      <c r="AD328" s="1019">
        <f t="shared" ref="AD328:AK328" si="216">SUM(AD329:AD330)</f>
        <v>13960814.675308185</v>
      </c>
      <c r="AE328" s="168">
        <f t="shared" si="216"/>
        <v>4352693.9044631608</v>
      </c>
      <c r="AF328" s="168">
        <f>SUM(AF329:AF330)</f>
        <v>4387899.889276159</v>
      </c>
      <c r="AG328" s="168">
        <f t="shared" si="216"/>
        <v>4900044.4411169775</v>
      </c>
      <c r="AH328" s="168">
        <f t="shared" si="216"/>
        <v>9573779.5955581684</v>
      </c>
      <c r="AI328" s="168"/>
      <c r="AJ328" s="168">
        <f t="shared" si="216"/>
        <v>4673735.1544411909</v>
      </c>
      <c r="AK328" s="168">
        <f t="shared" si="216"/>
        <v>9255186.7681133151</v>
      </c>
    </row>
    <row r="329" spans="1:38" ht="30" customHeight="1">
      <c r="A329" s="139"/>
      <c r="B329" s="402"/>
      <c r="C329" s="177"/>
      <c r="D329" s="177"/>
      <c r="E329" s="409" t="s">
        <v>1452</v>
      </c>
      <c r="F329" s="409" t="s">
        <v>1452</v>
      </c>
      <c r="G329" s="217" t="s">
        <v>1451</v>
      </c>
      <c r="H329" s="402">
        <f t="shared" ref="H329:S329" si="217">H247</f>
        <v>1612170.9103215688</v>
      </c>
      <c r="I329" s="402">
        <f t="shared" si="217"/>
        <v>1943860.97095</v>
      </c>
      <c r="J329" s="402">
        <f t="shared" si="217"/>
        <v>1602820.2280177155</v>
      </c>
      <c r="K329" s="402">
        <f t="shared" si="217"/>
        <v>1768857.1430750673</v>
      </c>
      <c r="L329" s="402">
        <f t="shared" si="217"/>
        <v>2059211.8763689999</v>
      </c>
      <c r="M329" s="402">
        <f t="shared" si="217"/>
        <v>1749169.1986700001</v>
      </c>
      <c r="N329" s="402">
        <f t="shared" si="217"/>
        <v>1655457.4148923224</v>
      </c>
      <c r="O329" s="402">
        <f t="shared" si="217"/>
        <v>2252764.3344800002</v>
      </c>
      <c r="P329" s="402">
        <f t="shared" si="217"/>
        <v>2161665.4932500003</v>
      </c>
      <c r="Q329" s="402">
        <f t="shared" si="217"/>
        <v>2117678.8413225324</v>
      </c>
      <c r="R329" s="402">
        <f t="shared" si="217"/>
        <v>2120815.0690725325</v>
      </c>
      <c r="S329" s="402">
        <f t="shared" si="217"/>
        <v>2016701.8244825325</v>
      </c>
      <c r="T329" s="402">
        <f t="shared" si="209"/>
        <v>361244.40959021007</v>
      </c>
      <c r="U329" s="402">
        <f t="shared" si="200"/>
        <v>-144963.66876746784</v>
      </c>
      <c r="V329" s="402">
        <f>V247</f>
        <v>1788344.6121256349</v>
      </c>
      <c r="W329" s="402">
        <f>W247</f>
        <v>2501011612.9129996</v>
      </c>
      <c r="X329" s="402">
        <f>X247</f>
        <v>2501011.6096530003</v>
      </c>
      <c r="Y329" s="402">
        <f t="shared" ref="Y329:Z329" si="218">Y247</f>
        <v>2501011.6161099998</v>
      </c>
      <c r="Z329" s="402">
        <f t="shared" si="218"/>
        <v>2396659.0879199998</v>
      </c>
      <c r="AA329" s="402">
        <f>AA247</f>
        <v>75357.000760000024</v>
      </c>
      <c r="AB329" s="402">
        <f t="shared" ref="AB329:AK329" si="219">AB247</f>
        <v>28995.531719999995</v>
      </c>
      <c r="AC329" s="402">
        <f t="shared" si="219"/>
        <v>1868820.1185480736</v>
      </c>
      <c r="AD329" s="173">
        <f t="shared" si="219"/>
        <v>4313752.224070536</v>
      </c>
      <c r="AE329" s="402">
        <f t="shared" si="219"/>
        <v>1854248.2573478469</v>
      </c>
      <c r="AF329" s="402">
        <f t="shared" si="219"/>
        <v>1854248.2573478469</v>
      </c>
      <c r="AG329" s="402">
        <f t="shared" si="219"/>
        <v>1943572.9273249917</v>
      </c>
      <c r="AH329" s="402">
        <f t="shared" si="219"/>
        <v>4963470.6349882791</v>
      </c>
      <c r="AI329" s="402"/>
      <c r="AJ329" s="402">
        <f t="shared" si="203"/>
        <v>3019897.7076632874</v>
      </c>
      <c r="AK329" s="402">
        <f t="shared" si="219"/>
        <v>4797253.5527352802</v>
      </c>
    </row>
    <row r="330" spans="1:38" ht="25.95" customHeight="1">
      <c r="A330" s="139"/>
      <c r="B330" s="402"/>
      <c r="C330" s="177"/>
      <c r="D330" s="177"/>
      <c r="E330" s="409" t="s">
        <v>1453</v>
      </c>
      <c r="F330" s="409" t="s">
        <v>1453</v>
      </c>
      <c r="G330" s="217" t="s">
        <v>1451</v>
      </c>
      <c r="H330" s="402">
        <f t="shared" ref="H330:AK330" si="220">H324</f>
        <v>2945351.2263561506</v>
      </c>
      <c r="I330" s="402">
        <f t="shared" si="220"/>
        <v>2580854.4138399996</v>
      </c>
      <c r="J330" s="402">
        <f t="shared" si="220"/>
        <v>2242609.5387999997</v>
      </c>
      <c r="K330" s="402">
        <f t="shared" si="220"/>
        <v>2761719.6303011812</v>
      </c>
      <c r="L330" s="402">
        <f t="shared" si="220"/>
        <v>2493597.7122860127</v>
      </c>
      <c r="M330" s="402">
        <f t="shared" si="220"/>
        <v>2200297.8274325002</v>
      </c>
      <c r="N330" s="402">
        <f t="shared" si="220"/>
        <v>2340309.8319822834</v>
      </c>
      <c r="O330" s="402">
        <f t="shared" si="220"/>
        <v>2915134.4478400019</v>
      </c>
      <c r="P330" s="402">
        <f t="shared" si="220"/>
        <v>2523889.875380001</v>
      </c>
      <c r="Q330" s="402">
        <f t="shared" si="220"/>
        <v>2113073.2317275</v>
      </c>
      <c r="R330" s="402">
        <f t="shared" si="220"/>
        <v>2113073.2335075</v>
      </c>
      <c r="S330" s="402">
        <f t="shared" si="220"/>
        <v>2102502.8009100002</v>
      </c>
      <c r="T330" s="402">
        <f t="shared" si="209"/>
        <v>-237807.03107228316</v>
      </c>
      <c r="U330" s="402">
        <f t="shared" si="200"/>
        <v>-421387.07447000081</v>
      </c>
      <c r="V330" s="402">
        <f t="shared" si="220"/>
        <v>2720345.5316451848</v>
      </c>
      <c r="W330" s="402">
        <f t="shared" si="220"/>
        <v>3047359006.1169991</v>
      </c>
      <c r="X330" s="402">
        <f t="shared" si="220"/>
        <v>3047359.0061169993</v>
      </c>
      <c r="Y330" s="402">
        <f t="shared" si="220"/>
        <v>3047359.0054199984</v>
      </c>
      <c r="Z330" s="402">
        <f t="shared" si="220"/>
        <v>2653291.9743299992</v>
      </c>
      <c r="AA330" s="402">
        <f t="shared" si="220"/>
        <v>293304.52415999997</v>
      </c>
      <c r="AB330" s="402">
        <f t="shared" si="220"/>
        <v>100762.50693000002</v>
      </c>
      <c r="AC330" s="402">
        <f t="shared" si="220"/>
        <v>2842761.0806218632</v>
      </c>
      <c r="AD330" s="173">
        <f t="shared" si="220"/>
        <v>9647062.4512376487</v>
      </c>
      <c r="AE330" s="402">
        <f t="shared" si="220"/>
        <v>2498445.6471153144</v>
      </c>
      <c r="AF330" s="402">
        <f t="shared" si="220"/>
        <v>2533651.6319283121</v>
      </c>
      <c r="AG330" s="402">
        <f t="shared" si="220"/>
        <v>2956471.5137919858</v>
      </c>
      <c r="AH330" s="402">
        <f t="shared" si="220"/>
        <v>4610308.9605698893</v>
      </c>
      <c r="AI330" s="402"/>
      <c r="AJ330" s="402">
        <f t="shared" si="203"/>
        <v>1653837.4467779035</v>
      </c>
      <c r="AK330" s="402">
        <f t="shared" si="220"/>
        <v>4457933.2153780358</v>
      </c>
    </row>
    <row r="331" spans="1:38" ht="25.95" customHeight="1">
      <c r="A331" s="258"/>
      <c r="B331" s="259"/>
      <c r="C331" s="260"/>
      <c r="D331" s="260"/>
      <c r="E331" s="261"/>
      <c r="F331" s="409"/>
      <c r="G331" s="217"/>
      <c r="H331" s="402"/>
      <c r="I331" s="402"/>
      <c r="J331" s="402"/>
      <c r="K331" s="402"/>
      <c r="L331" s="402"/>
      <c r="M331" s="402"/>
      <c r="N331" s="402"/>
      <c r="O331" s="402"/>
      <c r="P331" s="402"/>
      <c r="Q331" s="402"/>
      <c r="R331" s="402"/>
      <c r="S331" s="402"/>
      <c r="T331" s="402"/>
      <c r="U331" s="402"/>
      <c r="V331" s="402"/>
      <c r="W331" s="402"/>
      <c r="X331" s="402"/>
      <c r="Y331" s="402"/>
      <c r="Z331" s="402"/>
      <c r="AA331" s="402"/>
      <c r="AB331" s="402"/>
      <c r="AC331" s="402"/>
      <c r="AD331" s="402"/>
      <c r="AE331" s="402"/>
      <c r="AF331" s="402"/>
      <c r="AG331" s="402"/>
      <c r="AH331" s="402"/>
      <c r="AI331" s="402"/>
      <c r="AJ331" s="402">
        <f t="shared" si="203"/>
        <v>0</v>
      </c>
      <c r="AK331" s="402"/>
    </row>
    <row r="332" spans="1:38" ht="25.95" customHeight="1">
      <c r="A332" s="258"/>
      <c r="B332" s="259"/>
      <c r="C332" s="260"/>
      <c r="D332" s="260"/>
      <c r="E332" s="1020" t="s">
        <v>1454</v>
      </c>
      <c r="F332" s="409"/>
      <c r="G332" s="217" t="s">
        <v>1451</v>
      </c>
      <c r="H332" s="402"/>
      <c r="I332" s="402"/>
      <c r="J332" s="402"/>
      <c r="K332" s="402"/>
      <c r="L332" s="402"/>
      <c r="M332" s="402"/>
      <c r="N332" s="402"/>
      <c r="O332" s="402"/>
      <c r="P332" s="402"/>
      <c r="Q332" s="402"/>
      <c r="R332" s="402"/>
      <c r="S332" s="402"/>
      <c r="T332" s="402"/>
      <c r="U332" s="402"/>
      <c r="V332" s="402"/>
      <c r="W332" s="402"/>
      <c r="X332" s="402"/>
      <c r="Y332" s="402"/>
      <c r="Z332" s="402"/>
      <c r="AA332" s="402"/>
      <c r="AB332" s="402"/>
      <c r="AC332" s="402"/>
      <c r="AD332" s="402"/>
      <c r="AE332" s="402"/>
      <c r="AF332" s="402">
        <f>AF333+AF334</f>
        <v>5731.1727849999988</v>
      </c>
      <c r="AG332" s="402"/>
      <c r="AH332" s="269"/>
      <c r="AI332" s="402"/>
      <c r="AJ332" s="402">
        <f t="shared" si="203"/>
        <v>0</v>
      </c>
      <c r="AK332" s="402"/>
    </row>
    <row r="333" spans="1:38" ht="25.95" customHeight="1">
      <c r="A333" s="258"/>
      <c r="B333" s="259"/>
      <c r="C333" s="260"/>
      <c r="D333" s="260"/>
      <c r="E333" s="261" t="s">
        <v>1455</v>
      </c>
      <c r="F333" s="409"/>
      <c r="G333" s="217" t="s">
        <v>1451</v>
      </c>
      <c r="H333" s="402"/>
      <c r="I333" s="402"/>
      <c r="J333" s="402"/>
      <c r="K333" s="402"/>
      <c r="L333" s="402"/>
      <c r="M333" s="402"/>
      <c r="N333" s="402"/>
      <c r="O333" s="402"/>
      <c r="P333" s="402"/>
      <c r="Q333" s="402"/>
      <c r="R333" s="402"/>
      <c r="S333" s="402"/>
      <c r="T333" s="402"/>
      <c r="U333" s="402"/>
      <c r="V333" s="402"/>
      <c r="W333" s="402"/>
      <c r="X333" s="402"/>
      <c r="Y333" s="402"/>
      <c r="Z333" s="402"/>
      <c r="AA333" s="402"/>
      <c r="AB333" s="402"/>
      <c r="AC333" s="402"/>
      <c r="AD333" s="402"/>
      <c r="AE333" s="402"/>
      <c r="AF333" s="402">
        <f>'[70]1. инд. тарифы'!T91</f>
        <v>4460.0326499999992</v>
      </c>
      <c r="AG333" s="402"/>
      <c r="AH333" s="269"/>
      <c r="AI333" s="402"/>
      <c r="AJ333" s="402">
        <f t="shared" si="203"/>
        <v>0</v>
      </c>
      <c r="AK333" s="402"/>
    </row>
    <row r="334" spans="1:38" ht="25.95" customHeight="1">
      <c r="A334" s="258"/>
      <c r="B334" s="259"/>
      <c r="C334" s="260"/>
      <c r="D334" s="260"/>
      <c r="E334" s="261" t="s">
        <v>1456</v>
      </c>
      <c r="F334" s="409"/>
      <c r="G334" s="217" t="s">
        <v>1451</v>
      </c>
      <c r="H334" s="402"/>
      <c r="I334" s="402"/>
      <c r="J334" s="402"/>
      <c r="K334" s="402"/>
      <c r="L334" s="402"/>
      <c r="M334" s="402"/>
      <c r="N334" s="402"/>
      <c r="O334" s="402"/>
      <c r="P334" s="402"/>
      <c r="Q334" s="402"/>
      <c r="R334" s="402"/>
      <c r="S334" s="402"/>
      <c r="T334" s="402"/>
      <c r="U334" s="402"/>
      <c r="V334" s="402"/>
      <c r="W334" s="402"/>
      <c r="X334" s="402"/>
      <c r="Y334" s="402"/>
      <c r="Z334" s="402"/>
      <c r="AA334" s="402"/>
      <c r="AB334" s="402"/>
      <c r="AC334" s="402"/>
      <c r="AD334" s="402"/>
      <c r="AE334" s="402"/>
      <c r="AF334" s="402">
        <f>'[70]1. инд. тарифы'!T94</f>
        <v>1271.1401349999999</v>
      </c>
      <c r="AG334" s="402"/>
      <c r="AH334" s="269"/>
      <c r="AI334" s="402"/>
      <c r="AJ334" s="402">
        <f t="shared" si="203"/>
        <v>0</v>
      </c>
      <c r="AK334" s="402"/>
    </row>
    <row r="335" spans="1:38" ht="25.95" customHeight="1">
      <c r="A335" s="258"/>
      <c r="B335" s="259"/>
      <c r="C335" s="260"/>
      <c r="D335" s="260"/>
      <c r="E335" s="261"/>
      <c r="F335" s="409"/>
      <c r="G335" s="217"/>
      <c r="H335" s="402"/>
      <c r="I335" s="402"/>
      <c r="J335" s="402"/>
      <c r="K335" s="402"/>
      <c r="L335" s="402"/>
      <c r="M335" s="402"/>
      <c r="N335" s="402"/>
      <c r="O335" s="402"/>
      <c r="P335" s="402"/>
      <c r="Q335" s="402"/>
      <c r="R335" s="402"/>
      <c r="S335" s="402"/>
      <c r="T335" s="402"/>
      <c r="U335" s="402"/>
      <c r="V335" s="402"/>
      <c r="W335" s="402"/>
      <c r="X335" s="402"/>
      <c r="Y335" s="402"/>
      <c r="Z335" s="402"/>
      <c r="AA335" s="402"/>
      <c r="AB335" s="402"/>
      <c r="AC335" s="402"/>
      <c r="AD335" s="402"/>
      <c r="AE335" s="402"/>
      <c r="AF335" s="402"/>
      <c r="AG335" s="402"/>
      <c r="AH335" s="402"/>
      <c r="AI335" s="402"/>
      <c r="AJ335" s="402">
        <f t="shared" si="203"/>
        <v>0</v>
      </c>
      <c r="AK335" s="402"/>
    </row>
    <row r="336" spans="1:38" s="270" customFormat="1" ht="25.95" customHeight="1">
      <c r="A336" s="262"/>
      <c r="B336" s="263"/>
      <c r="C336" s="264"/>
      <c r="D336" s="264"/>
      <c r="E336" s="265" t="s">
        <v>1450</v>
      </c>
      <c r="F336" s="266" t="s">
        <v>1450</v>
      </c>
      <c r="G336" s="267" t="s">
        <v>1451</v>
      </c>
      <c r="H336" s="268">
        <v>4557522.1366777197</v>
      </c>
      <c r="I336" s="268">
        <v>4524715.3847899996</v>
      </c>
      <c r="J336" s="268">
        <v>3845429.766817715</v>
      </c>
      <c r="K336" s="268">
        <v>4530576.7733762488</v>
      </c>
      <c r="L336" s="268">
        <v>4552809.5886550127</v>
      </c>
      <c r="M336" s="268">
        <v>3949467.0261025</v>
      </c>
      <c r="N336" s="268"/>
      <c r="O336" s="268"/>
      <c r="P336" s="268"/>
      <c r="Q336" s="268"/>
      <c r="R336" s="268"/>
      <c r="S336" s="268"/>
      <c r="T336" s="268"/>
      <c r="U336" s="268"/>
      <c r="V336" s="268">
        <f>V328</f>
        <v>4508690.1437708195</v>
      </c>
      <c r="W336" s="268">
        <f t="shared" ref="W336:AE336" si="221">W328</f>
        <v>5548370619.0299988</v>
      </c>
      <c r="X336" s="268">
        <f t="shared" si="221"/>
        <v>5548370.6157699991</v>
      </c>
      <c r="Y336" s="268">
        <f t="shared" si="221"/>
        <v>5548370.6215299983</v>
      </c>
      <c r="Z336" s="268">
        <f t="shared" si="221"/>
        <v>5049951.0622499995</v>
      </c>
      <c r="AA336" s="268">
        <f t="shared" si="221"/>
        <v>368661.52492</v>
      </c>
      <c r="AB336" s="268">
        <f t="shared" si="221"/>
        <v>129758.03865000002</v>
      </c>
      <c r="AC336" s="268">
        <f t="shared" si="221"/>
        <v>4711581.1991699366</v>
      </c>
      <c r="AD336" s="268">
        <f t="shared" si="221"/>
        <v>13960814.675308185</v>
      </c>
      <c r="AE336" s="268">
        <f t="shared" si="221"/>
        <v>4352693.9044631608</v>
      </c>
      <c r="AF336" s="402">
        <f>AF328+AF332</f>
        <v>4393631.0620611589</v>
      </c>
      <c r="AG336" s="268">
        <f t="shared" ref="AG336:AK336" si="222">AG328+AG332</f>
        <v>4900044.4411169775</v>
      </c>
      <c r="AH336" s="268">
        <f t="shared" si="222"/>
        <v>9573779.5955581684</v>
      </c>
      <c r="AI336" s="268"/>
      <c r="AJ336" s="268">
        <f t="shared" si="222"/>
        <v>4673735.1544411909</v>
      </c>
      <c r="AK336" s="268">
        <f t="shared" si="222"/>
        <v>9255186.7681133151</v>
      </c>
    </row>
    <row r="337" spans="1:37" ht="25.95" customHeight="1">
      <c r="A337" s="258"/>
      <c r="B337" s="259"/>
      <c r="C337" s="260"/>
      <c r="D337" s="260"/>
      <c r="E337" s="261"/>
      <c r="F337" s="409"/>
      <c r="G337" s="217"/>
      <c r="H337" s="402"/>
      <c r="I337" s="402"/>
      <c r="J337" s="402"/>
      <c r="K337" s="402"/>
      <c r="L337" s="402"/>
      <c r="M337" s="402"/>
      <c r="N337" s="402"/>
      <c r="O337" s="402"/>
      <c r="P337" s="402"/>
      <c r="Q337" s="402"/>
      <c r="R337" s="402"/>
      <c r="S337" s="402"/>
      <c r="T337" s="402"/>
      <c r="U337" s="402"/>
      <c r="V337" s="402"/>
      <c r="W337" s="402"/>
      <c r="X337" s="402"/>
      <c r="Y337" s="402"/>
      <c r="Z337" s="402"/>
      <c r="AA337" s="402"/>
      <c r="AB337" s="402"/>
      <c r="AC337" s="402"/>
      <c r="AD337" s="402"/>
      <c r="AE337" s="402"/>
      <c r="AF337" s="402"/>
      <c r="AG337" s="402"/>
      <c r="AH337" s="402"/>
      <c r="AI337" s="402"/>
      <c r="AJ337" s="402">
        <f t="shared" si="203"/>
        <v>0</v>
      </c>
      <c r="AK337" s="402"/>
    </row>
    <row r="338" spans="1:37" ht="12.75" hidden="1" customHeight="1">
      <c r="B338" s="1364" t="s">
        <v>1457</v>
      </c>
      <c r="C338" s="1365"/>
      <c r="D338" s="1365"/>
      <c r="E338" s="1366"/>
      <c r="F338" s="271"/>
      <c r="G338" s="271"/>
      <c r="H338" s="271"/>
      <c r="I338" s="271"/>
      <c r="J338" s="271"/>
      <c r="K338" s="271"/>
      <c r="L338" s="271"/>
      <c r="M338" s="272"/>
      <c r="N338" s="272"/>
      <c r="O338" s="272"/>
      <c r="P338" s="272"/>
      <c r="Q338" s="273"/>
      <c r="R338" s="272"/>
      <c r="S338" s="274"/>
      <c r="T338" s="274"/>
      <c r="U338" s="274"/>
      <c r="V338" s="272"/>
      <c r="W338" s="272"/>
      <c r="X338" s="272"/>
      <c r="Y338" s="272"/>
      <c r="Z338" s="272"/>
      <c r="AA338" s="272"/>
      <c r="AB338" s="272"/>
      <c r="AC338" s="272"/>
      <c r="AD338" s="272"/>
      <c r="AE338" s="272"/>
      <c r="AF338" s="272"/>
      <c r="AG338" s="272"/>
      <c r="AH338" s="272"/>
      <c r="AI338" s="272"/>
      <c r="AJ338" s="272">
        <f t="shared" si="203"/>
        <v>0</v>
      </c>
      <c r="AK338" s="272"/>
    </row>
    <row r="339" spans="1:37" ht="24.75" hidden="1" customHeight="1" outlineLevel="1">
      <c r="B339" s="1021"/>
      <c r="C339" s="277"/>
      <c r="D339" s="277"/>
      <c r="E339" s="1022"/>
      <c r="F339" s="1022"/>
      <c r="G339" s="1023"/>
      <c r="H339" s="1023"/>
      <c r="I339" s="1023"/>
      <c r="J339" s="1023"/>
      <c r="K339" s="280"/>
      <c r="L339" s="281"/>
      <c r="M339" s="281"/>
      <c r="N339" s="281"/>
      <c r="O339" s="281"/>
      <c r="P339" s="281"/>
      <c r="Q339" s="281"/>
      <c r="R339" s="281"/>
      <c r="S339" s="281"/>
      <c r="T339" s="281"/>
      <c r="U339" s="281"/>
      <c r="V339" s="283"/>
      <c r="W339" s="283"/>
      <c r="X339" s="283"/>
      <c r="Y339" s="283"/>
      <c r="Z339" s="283"/>
      <c r="AA339" s="283"/>
      <c r="AB339" s="283"/>
      <c r="AC339" s="283"/>
      <c r="AD339" s="283"/>
      <c r="AE339" s="283"/>
      <c r="AF339" s="283"/>
      <c r="AG339" s="281"/>
      <c r="AH339" s="281"/>
      <c r="AI339" s="281"/>
      <c r="AJ339" s="281">
        <f t="shared" si="203"/>
        <v>0</v>
      </c>
      <c r="AK339" s="281"/>
    </row>
    <row r="340" spans="1:37" s="214" customFormat="1" ht="43.95" customHeight="1" collapsed="1">
      <c r="A340" s="211"/>
      <c r="B340" s="168"/>
      <c r="C340" s="249"/>
      <c r="D340" s="249"/>
      <c r="E340" s="284" t="s">
        <v>1458</v>
      </c>
      <c r="F340" s="284" t="s">
        <v>1458</v>
      </c>
      <c r="G340" s="213" t="s">
        <v>1451</v>
      </c>
      <c r="H340" s="168">
        <f t="shared" ref="H340:W340" si="223">H341+H342</f>
        <v>4340195.5466777198</v>
      </c>
      <c r="I340" s="168">
        <f t="shared" si="223"/>
        <v>4524715.3847899996</v>
      </c>
      <c r="J340" s="168">
        <f t="shared" si="223"/>
        <v>3846933.5668177148</v>
      </c>
      <c r="K340" s="168">
        <f t="shared" si="223"/>
        <v>4080432.8733762484</v>
      </c>
      <c r="L340" s="168">
        <f t="shared" si="223"/>
        <v>4552809.5886550127</v>
      </c>
      <c r="M340" s="168">
        <f t="shared" si="223"/>
        <v>3949467.0261025</v>
      </c>
      <c r="N340" s="168">
        <f t="shared" si="223"/>
        <v>3653826.9941067374</v>
      </c>
      <c r="O340" s="168">
        <f t="shared" si="223"/>
        <v>5167898.7823200021</v>
      </c>
      <c r="P340" s="168">
        <f t="shared" si="223"/>
        <v>4685555.3686300013</v>
      </c>
      <c r="Q340" s="168">
        <f t="shared" si="223"/>
        <v>4230752.0730500324</v>
      </c>
      <c r="R340" s="168">
        <f t="shared" si="223"/>
        <v>4233888.3025800325</v>
      </c>
      <c r="S340" s="168">
        <f t="shared" si="223"/>
        <v>4119204.6253925329</v>
      </c>
      <c r="T340" s="168">
        <f>S340-N340</f>
        <v>465377.63128579548</v>
      </c>
      <c r="U340" s="168">
        <f t="shared" si="200"/>
        <v>-566350.74323746841</v>
      </c>
      <c r="V340" s="168">
        <f>V341+V342</f>
        <v>4163549.8459992204</v>
      </c>
      <c r="W340" s="168">
        <f t="shared" si="223"/>
        <v>5548370619.0299988</v>
      </c>
      <c r="X340" s="168">
        <f>X341+X342</f>
        <v>5548370.6157699991</v>
      </c>
      <c r="Y340" s="168">
        <f t="shared" ref="Y340:AK340" si="224">Y341+Y342</f>
        <v>5548370.6215299983</v>
      </c>
      <c r="Z340" s="168">
        <f t="shared" si="224"/>
        <v>5049951.0622499995</v>
      </c>
      <c r="AA340" s="168">
        <f t="shared" si="224"/>
        <v>368661.52492</v>
      </c>
      <c r="AB340" s="168">
        <f t="shared" si="224"/>
        <v>129758.03865000002</v>
      </c>
      <c r="AC340" s="168">
        <f t="shared" si="224"/>
        <v>4378127.9997136146</v>
      </c>
      <c r="AD340" s="168">
        <f t="shared" si="224"/>
        <v>8619327.0253081843</v>
      </c>
      <c r="AE340" s="168">
        <f t="shared" si="224"/>
        <v>4352693.9044631608</v>
      </c>
      <c r="AF340" s="168">
        <f t="shared" si="224"/>
        <v>4387899.889276159</v>
      </c>
      <c r="AG340" s="168">
        <f t="shared" si="224"/>
        <v>4553253.1236824039</v>
      </c>
      <c r="AH340" s="168">
        <f t="shared" si="224"/>
        <v>9573779.5955581684</v>
      </c>
      <c r="AI340" s="168"/>
      <c r="AJ340" s="168">
        <f t="shared" si="224"/>
        <v>5020526.4718757644</v>
      </c>
      <c r="AK340" s="168">
        <f t="shared" si="224"/>
        <v>9255186.7681133151</v>
      </c>
    </row>
    <row r="341" spans="1:37" ht="25.95" customHeight="1">
      <c r="A341" s="139"/>
      <c r="B341" s="406"/>
      <c r="C341" s="177"/>
      <c r="D341" s="177"/>
      <c r="E341" s="409" t="s">
        <v>1452</v>
      </c>
      <c r="F341" s="409" t="s">
        <v>1452</v>
      </c>
      <c r="G341" s="217" t="s">
        <v>1451</v>
      </c>
      <c r="H341" s="402">
        <f t="shared" ref="H341:S341" si="225">H247</f>
        <v>1612170.9103215688</v>
      </c>
      <c r="I341" s="402">
        <f t="shared" si="225"/>
        <v>1943860.97095</v>
      </c>
      <c r="J341" s="402">
        <f t="shared" si="225"/>
        <v>1602820.2280177155</v>
      </c>
      <c r="K341" s="402">
        <f t="shared" si="225"/>
        <v>1768857.1430750673</v>
      </c>
      <c r="L341" s="402">
        <f t="shared" si="225"/>
        <v>2059211.8763689999</v>
      </c>
      <c r="M341" s="402">
        <f t="shared" si="225"/>
        <v>1749169.1986700001</v>
      </c>
      <c r="N341" s="402">
        <f t="shared" si="225"/>
        <v>1655457.4148923224</v>
      </c>
      <c r="O341" s="402">
        <f t="shared" si="225"/>
        <v>2252764.3344800002</v>
      </c>
      <c r="P341" s="402">
        <f t="shared" si="225"/>
        <v>2161665.4932500003</v>
      </c>
      <c r="Q341" s="402">
        <f t="shared" si="225"/>
        <v>2117678.8413225324</v>
      </c>
      <c r="R341" s="402">
        <f t="shared" si="225"/>
        <v>2120815.0690725325</v>
      </c>
      <c r="S341" s="402">
        <f t="shared" si="225"/>
        <v>2016701.8244825325</v>
      </c>
      <c r="T341" s="402">
        <f t="shared" ref="T341:T345" si="226">S341-N341</f>
        <v>361244.40959021007</v>
      </c>
      <c r="U341" s="402">
        <f t="shared" si="200"/>
        <v>-144963.66876746784</v>
      </c>
      <c r="V341" s="402">
        <f>V247</f>
        <v>1788344.6121256349</v>
      </c>
      <c r="W341" s="402">
        <f>W247</f>
        <v>2501011612.9129996</v>
      </c>
      <c r="X341" s="402">
        <f>X247</f>
        <v>2501011.6096530003</v>
      </c>
      <c r="Y341" s="402">
        <f t="shared" ref="Y341:AK341" si="227">Y247</f>
        <v>2501011.6161099998</v>
      </c>
      <c r="Z341" s="402">
        <f t="shared" si="227"/>
        <v>2396659.0879199998</v>
      </c>
      <c r="AA341" s="402">
        <f t="shared" si="227"/>
        <v>75357.000760000024</v>
      </c>
      <c r="AB341" s="402">
        <f t="shared" si="227"/>
        <v>28995.531719999995</v>
      </c>
      <c r="AC341" s="402">
        <f t="shared" si="227"/>
        <v>1868820.1185480736</v>
      </c>
      <c r="AD341" s="402">
        <f t="shared" si="227"/>
        <v>4313752.224070536</v>
      </c>
      <c r="AE341" s="402">
        <f t="shared" si="227"/>
        <v>1854248.2573478469</v>
      </c>
      <c r="AF341" s="402">
        <f t="shared" si="227"/>
        <v>1854248.2573478469</v>
      </c>
      <c r="AG341" s="402">
        <f t="shared" si="227"/>
        <v>1943572.9273249917</v>
      </c>
      <c r="AH341" s="402">
        <f t="shared" si="227"/>
        <v>4963470.6349882791</v>
      </c>
      <c r="AI341" s="402"/>
      <c r="AJ341" s="402">
        <f t="shared" si="203"/>
        <v>3019897.7076632874</v>
      </c>
      <c r="AK341" s="402">
        <f t="shared" si="227"/>
        <v>4797253.5527352802</v>
      </c>
    </row>
    <row r="342" spans="1:37" ht="21" customHeight="1">
      <c r="A342" s="139"/>
      <c r="B342" s="406"/>
      <c r="C342" s="177"/>
      <c r="D342" s="177"/>
      <c r="E342" s="409" t="s">
        <v>1453</v>
      </c>
      <c r="F342" s="409" t="s">
        <v>1453</v>
      </c>
      <c r="G342" s="217" t="s">
        <v>1451</v>
      </c>
      <c r="H342" s="402">
        <f>H327</f>
        <v>2728024.6363561507</v>
      </c>
      <c r="I342" s="402">
        <f t="shared" ref="I342:J342" si="228">I327</f>
        <v>2580854.4138399996</v>
      </c>
      <c r="J342" s="402">
        <f t="shared" si="228"/>
        <v>2244113.3387999996</v>
      </c>
      <c r="K342" s="402">
        <f>K327</f>
        <v>2311575.7303011813</v>
      </c>
      <c r="L342" s="402">
        <f>L327</f>
        <v>2493597.7122860127</v>
      </c>
      <c r="M342" s="402">
        <f>M327</f>
        <v>2200297.8274325002</v>
      </c>
      <c r="N342" s="402">
        <f>N327</f>
        <v>1998369.579214415</v>
      </c>
      <c r="O342" s="402">
        <f t="shared" ref="O342:AF342" si="229">O327</f>
        <v>2915134.4478400019</v>
      </c>
      <c r="P342" s="402">
        <f t="shared" si="229"/>
        <v>2523889.875380001</v>
      </c>
      <c r="Q342" s="402">
        <f t="shared" si="229"/>
        <v>2113073.2317275</v>
      </c>
      <c r="R342" s="402">
        <f t="shared" si="229"/>
        <v>2113073.2335075</v>
      </c>
      <c r="S342" s="402">
        <f t="shared" si="229"/>
        <v>2102502.8009100002</v>
      </c>
      <c r="T342" s="402">
        <f t="shared" si="226"/>
        <v>104133.22169558518</v>
      </c>
      <c r="U342" s="402">
        <f t="shared" si="200"/>
        <v>-421387.07447000081</v>
      </c>
      <c r="V342" s="402">
        <f t="shared" si="229"/>
        <v>2375205.2338735852</v>
      </c>
      <c r="W342" s="402">
        <f t="shared" si="229"/>
        <v>3047359006.1169991</v>
      </c>
      <c r="X342" s="402">
        <f t="shared" si="229"/>
        <v>3047359.0061169993</v>
      </c>
      <c r="Y342" s="402">
        <f t="shared" si="229"/>
        <v>3047359.0054199984</v>
      </c>
      <c r="Z342" s="402">
        <f t="shared" si="229"/>
        <v>2653291.9743299992</v>
      </c>
      <c r="AA342" s="402">
        <f t="shared" si="229"/>
        <v>293304.52415999997</v>
      </c>
      <c r="AB342" s="402">
        <f t="shared" si="229"/>
        <v>100762.50693000002</v>
      </c>
      <c r="AC342" s="402">
        <f t="shared" si="229"/>
        <v>2509307.8811655412</v>
      </c>
      <c r="AD342" s="402">
        <f t="shared" si="229"/>
        <v>4305574.8012376484</v>
      </c>
      <c r="AE342" s="402">
        <f t="shared" si="229"/>
        <v>2498445.6471153144</v>
      </c>
      <c r="AF342" s="402">
        <f t="shared" si="229"/>
        <v>2533651.6319283121</v>
      </c>
      <c r="AG342" s="402">
        <f>AG327</f>
        <v>2609680.1963574118</v>
      </c>
      <c r="AH342" s="402">
        <f t="shared" ref="AH342:AK342" si="230">AH327</f>
        <v>4610308.9605698893</v>
      </c>
      <c r="AI342" s="402"/>
      <c r="AJ342" s="402">
        <f t="shared" si="203"/>
        <v>2000628.7642124775</v>
      </c>
      <c r="AK342" s="402">
        <f t="shared" si="230"/>
        <v>4457933.2153780358</v>
      </c>
    </row>
    <row r="343" spans="1:37" s="214" customFormat="1" ht="66.75" customHeight="1" collapsed="1">
      <c r="A343" s="211"/>
      <c r="B343" s="168"/>
      <c r="C343" s="249"/>
      <c r="D343" s="249"/>
      <c r="E343" s="284" t="s">
        <v>1459</v>
      </c>
      <c r="F343" s="284" t="s">
        <v>1459</v>
      </c>
      <c r="G343" s="213" t="s">
        <v>1451</v>
      </c>
      <c r="H343" s="168">
        <f t="shared" ref="H343" si="231">H344+H345</f>
        <v>4013366.0766777201</v>
      </c>
      <c r="I343" s="168">
        <f>I344+I345</f>
        <v>4430224.3847899996</v>
      </c>
      <c r="J343" s="168">
        <f t="shared" ref="J343" si="232">J344+J345</f>
        <v>3846933.5668177148</v>
      </c>
      <c r="K343" s="168">
        <f>K344+K345</f>
        <v>3665802.9541833797</v>
      </c>
      <c r="L343" s="168">
        <f>L344+L345</f>
        <v>4471289.658655012</v>
      </c>
      <c r="M343" s="168">
        <f t="shared" ref="M343:AK343" si="233">M344+M345</f>
        <v>3949467.0261025</v>
      </c>
      <c r="N343" s="168">
        <f t="shared" si="233"/>
        <v>3589630.2141067376</v>
      </c>
      <c r="O343" s="168">
        <f t="shared" si="233"/>
        <v>4905585.5022900002</v>
      </c>
      <c r="P343" s="168">
        <f t="shared" si="233"/>
        <v>4583818.5855</v>
      </c>
      <c r="Q343" s="168">
        <f t="shared" si="233"/>
        <v>4166555.2930500321</v>
      </c>
      <c r="R343" s="168">
        <f t="shared" si="233"/>
        <v>4169691.5225800322</v>
      </c>
      <c r="S343" s="168">
        <f t="shared" si="233"/>
        <v>4055007.8453925326</v>
      </c>
      <c r="T343" s="168">
        <f t="shared" si="226"/>
        <v>465377.63128579501</v>
      </c>
      <c r="U343" s="168">
        <f t="shared" si="200"/>
        <v>-528810.7401074674</v>
      </c>
      <c r="V343" s="168">
        <f t="shared" si="233"/>
        <v>3826951.2102798121</v>
      </c>
      <c r="W343" s="168">
        <f t="shared" si="233"/>
        <v>5451388843.1429996</v>
      </c>
      <c r="X343" s="168">
        <f t="shared" si="233"/>
        <v>5451388.8398830006</v>
      </c>
      <c r="Y343" s="168">
        <f t="shared" si="233"/>
        <v>5317356.2229522746</v>
      </c>
      <c r="Z343" s="168">
        <f t="shared" si="233"/>
        <v>5111224.488052275</v>
      </c>
      <c r="AA343" s="168">
        <f t="shared" si="233"/>
        <v>142553.62436000005</v>
      </c>
      <c r="AB343" s="168">
        <f t="shared" si="233"/>
        <v>63578.114829999991</v>
      </c>
      <c r="AC343" s="168">
        <f t="shared" si="233"/>
        <v>4023542.2432527179</v>
      </c>
      <c r="AD343" s="168">
        <f t="shared" si="233"/>
        <v>7843570.7871692125</v>
      </c>
      <c r="AE343" s="168">
        <f t="shared" si="233"/>
        <v>3996712.6891071624</v>
      </c>
      <c r="AF343" s="168">
        <f t="shared" si="233"/>
        <v>4028324.9902798957</v>
      </c>
      <c r="AG343" s="168">
        <f t="shared" si="233"/>
        <v>4184483.9370068708</v>
      </c>
      <c r="AH343" s="168">
        <f t="shared" si="233"/>
        <v>8742514.723021673</v>
      </c>
      <c r="AI343" s="168"/>
      <c r="AJ343" s="168">
        <f t="shared" si="233"/>
        <v>4558030.7860148028</v>
      </c>
      <c r="AK343" s="168">
        <f t="shared" si="233"/>
        <v>8482266.4010471813</v>
      </c>
    </row>
    <row r="344" spans="1:37" ht="25.95" customHeight="1">
      <c r="A344" s="139"/>
      <c r="B344" s="406"/>
      <c r="C344" s="177"/>
      <c r="D344" s="177"/>
      <c r="E344" s="409" t="s">
        <v>1452</v>
      </c>
      <c r="F344" s="409" t="s">
        <v>1452</v>
      </c>
      <c r="G344" s="217" t="s">
        <v>1451</v>
      </c>
      <c r="H344" s="402">
        <f t="shared" ref="H344:S344" si="234">H247</f>
        <v>1612170.9103215688</v>
      </c>
      <c r="I344" s="402">
        <f t="shared" si="234"/>
        <v>1943860.97095</v>
      </c>
      <c r="J344" s="402">
        <f t="shared" si="234"/>
        <v>1602820.2280177155</v>
      </c>
      <c r="K344" s="402">
        <f t="shared" si="234"/>
        <v>1768857.1430750673</v>
      </c>
      <c r="L344" s="402">
        <f t="shared" si="234"/>
        <v>2059211.8763689999</v>
      </c>
      <c r="M344" s="402">
        <f t="shared" si="234"/>
        <v>1749169.1986700001</v>
      </c>
      <c r="N344" s="402">
        <f t="shared" si="234"/>
        <v>1655457.4148923224</v>
      </c>
      <c r="O344" s="402">
        <f t="shared" si="234"/>
        <v>2252764.3344800002</v>
      </c>
      <c r="P344" s="402">
        <f t="shared" si="234"/>
        <v>2161665.4932500003</v>
      </c>
      <c r="Q344" s="402">
        <f t="shared" si="234"/>
        <v>2117678.8413225324</v>
      </c>
      <c r="R344" s="402">
        <f t="shared" si="234"/>
        <v>2120815.0690725325</v>
      </c>
      <c r="S344" s="402">
        <f t="shared" si="234"/>
        <v>2016701.8244825325</v>
      </c>
      <c r="T344" s="402">
        <f t="shared" si="226"/>
        <v>361244.40959021007</v>
      </c>
      <c r="U344" s="402">
        <f t="shared" si="200"/>
        <v>-144963.66876746784</v>
      </c>
      <c r="V344" s="402">
        <f>V247</f>
        <v>1788344.6121256349</v>
      </c>
      <c r="W344" s="402">
        <f>W247</f>
        <v>2501011612.9129996</v>
      </c>
      <c r="X344" s="402">
        <f>X247</f>
        <v>2501011.6096530003</v>
      </c>
      <c r="Y344" s="402">
        <f t="shared" ref="Y344:AK344" si="235">Y247</f>
        <v>2501011.6161099998</v>
      </c>
      <c r="Z344" s="402">
        <f t="shared" si="235"/>
        <v>2396659.0879199998</v>
      </c>
      <c r="AA344" s="402">
        <f t="shared" si="235"/>
        <v>75357.000760000024</v>
      </c>
      <c r="AB344" s="402">
        <f t="shared" si="235"/>
        <v>28995.531719999995</v>
      </c>
      <c r="AC344" s="402">
        <f t="shared" si="235"/>
        <v>1868820.1185480736</v>
      </c>
      <c r="AD344" s="953">
        <f t="shared" si="235"/>
        <v>4313752.224070536</v>
      </c>
      <c r="AE344" s="402">
        <f t="shared" si="235"/>
        <v>1854248.2573478469</v>
      </c>
      <c r="AF344" s="402">
        <f t="shared" si="235"/>
        <v>1854248.2573478469</v>
      </c>
      <c r="AG344" s="402">
        <f t="shared" si="235"/>
        <v>1943572.9273249917</v>
      </c>
      <c r="AH344" s="402">
        <f t="shared" si="235"/>
        <v>4963470.6349882791</v>
      </c>
      <c r="AI344" s="402"/>
      <c r="AJ344" s="402">
        <f t="shared" si="203"/>
        <v>3019897.7076632874</v>
      </c>
      <c r="AK344" s="402">
        <f t="shared" si="235"/>
        <v>4797253.5527352802</v>
      </c>
    </row>
    <row r="345" spans="1:37" ht="22.95" customHeight="1">
      <c r="A345" s="139"/>
      <c r="B345" s="406"/>
      <c r="C345" s="177"/>
      <c r="D345" s="177"/>
      <c r="E345" s="409" t="s">
        <v>1453</v>
      </c>
      <c r="F345" s="409" t="s">
        <v>1453</v>
      </c>
      <c r="G345" s="217" t="s">
        <v>1451</v>
      </c>
      <c r="H345" s="402">
        <f t="shared" ref="H345:S345" si="236">H324-H276-H277</f>
        <v>2401195.166356151</v>
      </c>
      <c r="I345" s="402">
        <f t="shared" si="236"/>
        <v>2486363.4138399996</v>
      </c>
      <c r="J345" s="402">
        <f t="shared" si="236"/>
        <v>2244113.3387999996</v>
      </c>
      <c r="K345" s="402">
        <f t="shared" si="236"/>
        <v>1896945.8111083123</v>
      </c>
      <c r="L345" s="402">
        <f t="shared" si="236"/>
        <v>2412077.7822860125</v>
      </c>
      <c r="M345" s="402">
        <f t="shared" si="236"/>
        <v>2200297.8274325002</v>
      </c>
      <c r="N345" s="402">
        <f t="shared" si="236"/>
        <v>1934172.799214415</v>
      </c>
      <c r="O345" s="402">
        <f t="shared" si="236"/>
        <v>2652821.16781</v>
      </c>
      <c r="P345" s="402">
        <f t="shared" si="236"/>
        <v>2422153.0922500002</v>
      </c>
      <c r="Q345" s="402">
        <f t="shared" si="236"/>
        <v>2048876.4517275</v>
      </c>
      <c r="R345" s="402">
        <f t="shared" si="236"/>
        <v>2048876.4535075</v>
      </c>
      <c r="S345" s="402">
        <f t="shared" si="236"/>
        <v>2038306.0209100002</v>
      </c>
      <c r="T345" s="402">
        <f t="shared" si="226"/>
        <v>104133.22169558518</v>
      </c>
      <c r="U345" s="402">
        <f t="shared" si="200"/>
        <v>-383847.07134000002</v>
      </c>
      <c r="V345" s="402">
        <f>V324-V276-V277</f>
        <v>2038606.5981541772</v>
      </c>
      <c r="W345" s="402">
        <f>W324-W276-W277</f>
        <v>2950377230.23</v>
      </c>
      <c r="X345" s="402">
        <f>X324-X276-X277</f>
        <v>2950377.2302300003</v>
      </c>
      <c r="Y345" s="402">
        <f t="shared" ref="Y345:AK345" si="237">Y324-Y276-Y277</f>
        <v>2816344.6068422752</v>
      </c>
      <c r="Z345" s="402">
        <f t="shared" si="237"/>
        <v>2714565.4001322752</v>
      </c>
      <c r="AA345" s="402">
        <f t="shared" si="237"/>
        <v>67196.623600000021</v>
      </c>
      <c r="AB345" s="402">
        <f t="shared" si="237"/>
        <v>34582.583109999992</v>
      </c>
      <c r="AC345" s="402">
        <f t="shared" si="237"/>
        <v>2154722.1247046441</v>
      </c>
      <c r="AD345" s="402">
        <f t="shared" si="237"/>
        <v>3529818.5630986765</v>
      </c>
      <c r="AE345" s="402">
        <f t="shared" si="237"/>
        <v>2142464.4317593155</v>
      </c>
      <c r="AF345" s="402">
        <f t="shared" si="237"/>
        <v>2174076.7329320488</v>
      </c>
      <c r="AG345" s="402">
        <f t="shared" si="237"/>
        <v>2240911.0096818791</v>
      </c>
      <c r="AH345" s="402">
        <f t="shared" si="237"/>
        <v>3779044.088033394</v>
      </c>
      <c r="AI345" s="402"/>
      <c r="AJ345" s="402">
        <f t="shared" si="203"/>
        <v>1538133.0783515149</v>
      </c>
      <c r="AK345" s="402">
        <f t="shared" si="237"/>
        <v>3685012.8483119002</v>
      </c>
    </row>
    <row r="346" spans="1:37" ht="33" hidden="1" customHeight="1" outlineLevel="1">
      <c r="A346" s="285"/>
      <c r="B346" s="286"/>
      <c r="C346" s="287"/>
      <c r="D346" s="287"/>
      <c r="E346" s="287" t="s">
        <v>1460</v>
      </c>
      <c r="F346" s="288"/>
      <c r="G346" s="289"/>
      <c r="H346" s="290">
        <f t="shared" ref="H346:S346" si="238">H29+H95+H113+H129-H202-H203-H204-H205+H246+H248+H249+H250+H263+H279+H280</f>
        <v>3750327.9354799693</v>
      </c>
      <c r="I346" s="290">
        <f t="shared" si="238"/>
        <v>3729222.3847899996</v>
      </c>
      <c r="J346" s="290">
        <f t="shared" si="238"/>
        <v>3622202.3768177154</v>
      </c>
      <c r="K346" s="290">
        <f t="shared" si="238"/>
        <v>3360270.9382638289</v>
      </c>
      <c r="L346" s="290">
        <f t="shared" si="238"/>
        <v>3828852.9561360129</v>
      </c>
      <c r="M346" s="290">
        <f t="shared" si="238"/>
        <v>3756427.1488900003</v>
      </c>
      <c r="N346" s="290">
        <f t="shared" si="238"/>
        <v>3366322.6399237332</v>
      </c>
      <c r="O346" s="290">
        <f t="shared" si="238"/>
        <v>3793847.75538</v>
      </c>
      <c r="P346" s="290">
        <f t="shared" si="238"/>
        <v>3690864.4627100006</v>
      </c>
      <c r="Q346" s="290">
        <f t="shared" si="238"/>
        <v>3646820.4260425325</v>
      </c>
      <c r="R346" s="290">
        <f t="shared" si="238"/>
        <v>3649956.6555725327</v>
      </c>
      <c r="S346" s="290">
        <f t="shared" si="238"/>
        <v>3630700.3747625328</v>
      </c>
      <c r="T346" s="290"/>
      <c r="U346" s="290"/>
      <c r="V346" s="290">
        <f>V29+V95+V113+V129-V202-V203-V204-V205+V246+V248+V249+V250+V263+V279+V280</f>
        <v>3538623.1442499598</v>
      </c>
      <c r="W346" s="290">
        <f>W29+W95+W113+W129-W202-W203-W204-W205+W246+W248+W249+W250+W263+W279+W280</f>
        <v>3812346771.723</v>
      </c>
      <c r="X346" s="290">
        <f>X29+X95+X113+X129-X202-X203-X204-X205+X246+X248+X249+X250+X263+X279+X280</f>
        <v>3812346.7684630002</v>
      </c>
      <c r="Y346" s="290">
        <f t="shared" ref="Y346:Z346" si="239">Y29+Y95+Y113+Y129-Y202-Y203-Y204-Y205+Y246+Y248+Y249+Y250+Y263+Y279+Y280</f>
        <v>3812346.7749199998</v>
      </c>
      <c r="Z346" s="290">
        <f t="shared" si="239"/>
        <v>3706938.2051700004</v>
      </c>
      <c r="AA346" s="290"/>
      <c r="AB346" s="290"/>
      <c r="AC346" s="290">
        <f t="shared" ref="AC346:AG346" si="240">AC29+AC95+AC113+AC129-AC202-AC203-AC204-AC205+AC246+AC248+AC249+AC250+AC263+AC279+AC280</f>
        <v>3721529.3687179936</v>
      </c>
      <c r="AD346" s="290">
        <f t="shared" si="240"/>
        <v>6393937.4349269709</v>
      </c>
      <c r="AE346" s="290">
        <f t="shared" si="240"/>
        <v>3696014.6446519508</v>
      </c>
      <c r="AF346" s="290">
        <f t="shared" si="240"/>
        <v>3726728.5249146181</v>
      </c>
      <c r="AG346" s="290">
        <f t="shared" si="240"/>
        <v>3870390.5475017079</v>
      </c>
      <c r="AH346" s="290"/>
      <c r="AI346" s="290"/>
      <c r="AJ346" s="290">
        <f t="shared" si="203"/>
        <v>-3870390.5475017079</v>
      </c>
      <c r="AK346" s="290"/>
    </row>
    <row r="347" spans="1:37" ht="33" hidden="1" customHeight="1" outlineLevel="1">
      <c r="A347" s="285"/>
      <c r="B347" s="286"/>
      <c r="C347" s="287"/>
      <c r="D347" s="287"/>
      <c r="E347" s="287"/>
      <c r="F347" s="288"/>
      <c r="G347" s="289"/>
      <c r="H347" s="290"/>
      <c r="I347" s="290"/>
      <c r="J347" s="290"/>
      <c r="K347" s="290"/>
      <c r="L347" s="290"/>
      <c r="M347" s="290"/>
      <c r="N347" s="290">
        <f>'[72]3. НВВ '!M234</f>
        <v>3366322.6399237323</v>
      </c>
      <c r="O347" s="290">
        <f>'[72]3. НВВ '!N234</f>
        <v>3793845.75538</v>
      </c>
      <c r="P347" s="290">
        <f>'[72]3. НВВ '!O234</f>
        <v>3690864.4627100006</v>
      </c>
      <c r="Q347" s="290">
        <f>'[72]3. НВВ '!P234</f>
        <v>3646820.4260425325</v>
      </c>
      <c r="R347" s="290">
        <f>'[72]3. НВВ '!Q234</f>
        <v>3649956.6555725327</v>
      </c>
      <c r="S347" s="290">
        <f>'[72]3. НВВ '!R234</f>
        <v>3630700.3747625328</v>
      </c>
      <c r="T347" s="290"/>
      <c r="U347" s="290"/>
      <c r="V347" s="290"/>
      <c r="W347" s="290"/>
      <c r="X347" s="290"/>
      <c r="Y347" s="290"/>
      <c r="Z347" s="290"/>
      <c r="AA347" s="290"/>
      <c r="AB347" s="290"/>
      <c r="AC347" s="290"/>
      <c r="AD347" s="290"/>
      <c r="AG347" s="290"/>
      <c r="AH347" s="290"/>
      <c r="AI347" s="290"/>
      <c r="AJ347" s="290">
        <f t="shared" si="203"/>
        <v>0</v>
      </c>
      <c r="AK347" s="290"/>
    </row>
    <row r="348" spans="1:37" ht="29.25" customHeight="1" collapsed="1" thickBot="1">
      <c r="A348" s="285"/>
      <c r="B348" s="1349" t="s">
        <v>1461</v>
      </c>
      <c r="C348" s="1349"/>
      <c r="D348" s="1349"/>
      <c r="E348" s="1349"/>
      <c r="F348" s="1349"/>
      <c r="G348" s="1349"/>
      <c r="H348" s="1349"/>
      <c r="I348" s="1349"/>
      <c r="J348" s="1349"/>
      <c r="K348" s="1349"/>
      <c r="L348" s="1349"/>
      <c r="M348" s="1349"/>
      <c r="N348" s="1349"/>
      <c r="O348" s="1349"/>
      <c r="P348" s="1349"/>
      <c r="Q348" s="1349"/>
      <c r="R348" s="1349"/>
      <c r="S348" s="1349"/>
      <c r="T348" s="1349"/>
      <c r="U348" s="1349"/>
      <c r="V348" s="1349"/>
      <c r="W348" s="1349"/>
      <c r="X348" s="1349"/>
      <c r="Y348" s="1349"/>
      <c r="Z348" s="1349"/>
      <c r="AA348" s="1349"/>
      <c r="AB348" s="1349"/>
      <c r="AC348" s="1349"/>
      <c r="AD348" s="1349"/>
      <c r="AE348" s="1349"/>
      <c r="AF348" s="401"/>
    </row>
    <row r="349" spans="1:37" ht="33" customHeight="1">
      <c r="A349" s="258"/>
      <c r="B349" s="292" t="s">
        <v>1</v>
      </c>
      <c r="C349" s="293"/>
      <c r="D349" s="293"/>
      <c r="E349" s="294" t="s">
        <v>1462</v>
      </c>
      <c r="F349" s="294" t="s">
        <v>1462</v>
      </c>
      <c r="G349" s="295" t="s">
        <v>1451</v>
      </c>
      <c r="H349" s="295"/>
      <c r="I349" s="295"/>
      <c r="J349" s="295"/>
      <c r="K349" s="296">
        <f>K248</f>
        <v>266480.56591900397</v>
      </c>
      <c r="L349" s="296">
        <f>L248</f>
        <v>252116.268376013</v>
      </c>
      <c r="M349" s="296">
        <f>M248</f>
        <v>252116.27</v>
      </c>
      <c r="N349" s="296">
        <f t="shared" ref="N349:Z349" si="241">N249</f>
        <v>206057.33</v>
      </c>
      <c r="O349" s="296">
        <f t="shared" si="241"/>
        <v>321828.63365999999</v>
      </c>
      <c r="P349" s="296">
        <f t="shared" si="241"/>
        <v>320542.03473999997</v>
      </c>
      <c r="Q349" s="296">
        <f t="shared" si="241"/>
        <v>320484.65000000002</v>
      </c>
      <c r="R349" s="296">
        <f t="shared" si="241"/>
        <v>320484.65000000002</v>
      </c>
      <c r="S349" s="296">
        <f t="shared" si="241"/>
        <v>320484.65000000002</v>
      </c>
      <c r="T349" s="296">
        <f t="shared" si="241"/>
        <v>114427.32000000004</v>
      </c>
      <c r="U349" s="296">
        <f t="shared" si="241"/>
        <v>-57.384739999950398</v>
      </c>
      <c r="V349" s="296">
        <f t="shared" si="241"/>
        <v>297196.02</v>
      </c>
      <c r="W349" s="296">
        <f t="shared" si="241"/>
        <v>360665697.98000002</v>
      </c>
      <c r="X349" s="296">
        <f t="shared" si="241"/>
        <v>360665.69798</v>
      </c>
      <c r="Y349" s="296">
        <f t="shared" si="241"/>
        <v>360665.69798</v>
      </c>
      <c r="Z349" s="296">
        <f t="shared" si="241"/>
        <v>360093.47420000006</v>
      </c>
      <c r="AA349" s="296"/>
      <c r="AB349" s="296"/>
      <c r="AC349" s="296">
        <f t="shared" ref="AC349:AK349" si="242">AC249</f>
        <v>334238.02499999997</v>
      </c>
      <c r="AD349" s="296">
        <f t="shared" si="242"/>
        <v>973491.73</v>
      </c>
      <c r="AE349" s="296">
        <f t="shared" si="242"/>
        <v>356306</v>
      </c>
      <c r="AF349" s="296">
        <f t="shared" si="242"/>
        <v>356306</v>
      </c>
      <c r="AG349" s="296">
        <f t="shared" si="242"/>
        <v>347607.54599999997</v>
      </c>
      <c r="AH349" s="296">
        <f t="shared" si="242"/>
        <v>645384.33350938186</v>
      </c>
      <c r="AI349" s="296"/>
      <c r="AJ349" s="296">
        <f t="shared" si="203"/>
        <v>297776.78750938189</v>
      </c>
      <c r="AK349" s="296">
        <f t="shared" si="242"/>
        <v>645384.33350938186</v>
      </c>
    </row>
    <row r="350" spans="1:37" ht="33" customHeight="1">
      <c r="A350" s="258"/>
      <c r="B350" s="297" t="s">
        <v>6</v>
      </c>
      <c r="C350" s="177"/>
      <c r="D350" s="177"/>
      <c r="E350" s="232" t="s">
        <v>1463</v>
      </c>
      <c r="F350" s="232" t="s">
        <v>1463</v>
      </c>
      <c r="G350" s="404" t="s">
        <v>1451</v>
      </c>
      <c r="H350" s="404"/>
      <c r="I350" s="404"/>
      <c r="J350" s="404"/>
      <c r="K350" s="406">
        <f>K276</f>
        <v>450143.9</v>
      </c>
      <c r="L350" s="406">
        <f>L276</f>
        <v>0</v>
      </c>
      <c r="M350" s="406">
        <f>M276</f>
        <v>0</v>
      </c>
      <c r="N350" s="406">
        <f t="shared" ref="N350:Z350" si="243">N277</f>
        <v>64196.78</v>
      </c>
      <c r="O350" s="406">
        <f t="shared" si="243"/>
        <v>262313.280030002</v>
      </c>
      <c r="P350" s="406">
        <f t="shared" si="243"/>
        <v>101736.78313000068</v>
      </c>
      <c r="Q350" s="406">
        <f t="shared" si="243"/>
        <v>64196.78</v>
      </c>
      <c r="R350" s="406">
        <f t="shared" si="243"/>
        <v>64196.78</v>
      </c>
      <c r="S350" s="406">
        <f t="shared" si="243"/>
        <v>64196.78</v>
      </c>
      <c r="T350" s="406">
        <f t="shared" si="243"/>
        <v>0</v>
      </c>
      <c r="U350" s="406">
        <f t="shared" si="243"/>
        <v>-37540.003130000681</v>
      </c>
      <c r="V350" s="406">
        <f t="shared" si="243"/>
        <v>336598.63571940805</v>
      </c>
      <c r="W350" s="406">
        <f t="shared" si="243"/>
        <v>96981775.886998996</v>
      </c>
      <c r="X350" s="406">
        <f t="shared" si="243"/>
        <v>96981.775886998992</v>
      </c>
      <c r="Y350" s="406">
        <f t="shared" si="243"/>
        <v>231014.39857772301</v>
      </c>
      <c r="Z350" s="406">
        <f t="shared" si="243"/>
        <v>-61273.425802276135</v>
      </c>
      <c r="AA350" s="406"/>
      <c r="AB350" s="406"/>
      <c r="AC350" s="406">
        <f t="shared" ref="AC350:AK350" si="244">AC277</f>
        <v>354585.75646089728</v>
      </c>
      <c r="AD350" s="406">
        <f t="shared" si="244"/>
        <v>775756.23813897197</v>
      </c>
      <c r="AE350" s="406">
        <f t="shared" si="244"/>
        <v>355981.21535599872</v>
      </c>
      <c r="AF350" s="406">
        <f t="shared" si="244"/>
        <v>359574.89899626304</v>
      </c>
      <c r="AG350" s="406">
        <f t="shared" si="244"/>
        <v>368769.1866755326</v>
      </c>
      <c r="AH350" s="406">
        <f t="shared" si="244"/>
        <v>831264.87253649521</v>
      </c>
      <c r="AI350" s="406"/>
      <c r="AJ350" s="406">
        <f t="shared" si="203"/>
        <v>462495.68586096261</v>
      </c>
      <c r="AK350" s="406">
        <f t="shared" si="244"/>
        <v>772920.3670661354</v>
      </c>
    </row>
    <row r="351" spans="1:37">
      <c r="A351" s="258"/>
      <c r="B351" s="297"/>
      <c r="C351" s="177"/>
      <c r="D351" s="177"/>
      <c r="E351" s="298" t="s">
        <v>1464</v>
      </c>
      <c r="F351" s="142" t="s">
        <v>1464</v>
      </c>
      <c r="G351" s="217" t="s">
        <v>1451</v>
      </c>
      <c r="H351" s="217"/>
      <c r="I351" s="217"/>
      <c r="J351" s="217"/>
      <c r="K351" s="402">
        <f>K349+K350</f>
        <v>716624.46591900405</v>
      </c>
      <c r="L351" s="402">
        <f t="shared" ref="L351:S352" si="245">L349+L350</f>
        <v>252116.268376013</v>
      </c>
      <c r="M351" s="402">
        <f t="shared" si="245"/>
        <v>252116.27</v>
      </c>
      <c r="N351" s="402">
        <f t="shared" si="245"/>
        <v>270254.11</v>
      </c>
      <c r="O351" s="402">
        <f t="shared" si="245"/>
        <v>584141.91369000194</v>
      </c>
      <c r="P351" s="402">
        <f t="shared" si="245"/>
        <v>422278.81787000067</v>
      </c>
      <c r="Q351" s="402">
        <f t="shared" si="245"/>
        <v>384681.43000000005</v>
      </c>
      <c r="R351" s="402">
        <f t="shared" si="245"/>
        <v>384681.43000000005</v>
      </c>
      <c r="S351" s="402">
        <f t="shared" si="245"/>
        <v>384681.43000000005</v>
      </c>
      <c r="T351" s="402">
        <f t="shared" ref="T351" si="246">S351-N351</f>
        <v>114427.32000000007</v>
      </c>
      <c r="U351" s="402">
        <f t="shared" ref="U351" si="247">S351-P351</f>
        <v>-37597.387870000617</v>
      </c>
      <c r="V351" s="402">
        <f t="shared" ref="V351:Z351" si="248">V349+V350</f>
        <v>633794.65571940807</v>
      </c>
      <c r="W351" s="402">
        <f t="shared" si="248"/>
        <v>457647473.86699903</v>
      </c>
      <c r="X351" s="402">
        <f t="shared" si="248"/>
        <v>457647.47386699897</v>
      </c>
      <c r="Y351" s="402">
        <f t="shared" si="248"/>
        <v>591680.09655772301</v>
      </c>
      <c r="Z351" s="402">
        <f t="shared" si="248"/>
        <v>298820.04839772393</v>
      </c>
      <c r="AA351" s="402"/>
      <c r="AB351" s="402"/>
      <c r="AC351" s="402">
        <f t="shared" ref="AC351:AK351" si="249">AC349+AC350</f>
        <v>688823.7814608973</v>
      </c>
      <c r="AD351" s="402">
        <f t="shared" si="249"/>
        <v>1749247.9681389718</v>
      </c>
      <c r="AE351" s="402">
        <f t="shared" si="249"/>
        <v>712287.21535599872</v>
      </c>
      <c r="AF351" s="402">
        <f t="shared" si="249"/>
        <v>715880.89899626304</v>
      </c>
      <c r="AG351" s="402">
        <f t="shared" si="249"/>
        <v>716376.73267553258</v>
      </c>
      <c r="AH351" s="402">
        <f t="shared" si="249"/>
        <v>1476649.2060458772</v>
      </c>
      <c r="AI351" s="402"/>
      <c r="AJ351" s="402">
        <f t="shared" ref="AJ351:AJ353" si="250">AH351-AG351</f>
        <v>760272.47337034461</v>
      </c>
      <c r="AK351" s="402">
        <f t="shared" si="249"/>
        <v>1418304.7005755173</v>
      </c>
    </row>
    <row r="352" spans="1:37" ht="33" customHeight="1">
      <c r="A352" s="258"/>
      <c r="B352" s="297" t="s">
        <v>16</v>
      </c>
      <c r="C352" s="177"/>
      <c r="D352" s="177"/>
      <c r="E352" s="232" t="s">
        <v>65</v>
      </c>
      <c r="F352" s="142" t="s">
        <v>1464</v>
      </c>
      <c r="G352" s="404" t="s">
        <v>1451</v>
      </c>
      <c r="H352" s="404"/>
      <c r="I352" s="404"/>
      <c r="J352" s="404"/>
      <c r="K352" s="406">
        <f>K350+K351</f>
        <v>1166768.3659190042</v>
      </c>
      <c r="L352" s="406">
        <f t="shared" si="245"/>
        <v>252116.268376013</v>
      </c>
      <c r="M352" s="406">
        <f t="shared" si="245"/>
        <v>252116.27</v>
      </c>
      <c r="N352" s="406">
        <f t="shared" ref="N352:Z352" si="251">N251+N252+N253+N254</f>
        <v>982478.72407</v>
      </c>
      <c r="O352" s="406">
        <f t="shared" si="251"/>
        <v>997525.12860000005</v>
      </c>
      <c r="P352" s="406">
        <f t="shared" si="251"/>
        <v>997511.13563999999</v>
      </c>
      <c r="Q352" s="406">
        <f t="shared" si="251"/>
        <v>997511.13563999999</v>
      </c>
      <c r="R352" s="406">
        <f t="shared" si="251"/>
        <v>997511.13563999999</v>
      </c>
      <c r="S352" s="406">
        <f t="shared" si="251"/>
        <v>997511.13563999999</v>
      </c>
      <c r="T352" s="406">
        <f t="shared" si="251"/>
        <v>15032.41157000004</v>
      </c>
      <c r="U352" s="406">
        <f t="shared" si="251"/>
        <v>0</v>
      </c>
      <c r="V352" s="406">
        <f t="shared" si="251"/>
        <v>854597.19026000006</v>
      </c>
      <c r="W352" s="406">
        <f t="shared" si="251"/>
        <v>868624766.47000003</v>
      </c>
      <c r="X352" s="406">
        <f t="shared" si="251"/>
        <v>868624.76647000003</v>
      </c>
      <c r="Y352" s="406">
        <f t="shared" si="251"/>
        <v>868624.76647000003</v>
      </c>
      <c r="Z352" s="406">
        <f t="shared" si="251"/>
        <v>868614.52307999996</v>
      </c>
      <c r="AA352" s="406"/>
      <c r="AB352" s="406"/>
      <c r="AC352" s="406">
        <f t="shared" ref="AC352:AK352" si="252">AC251+AC252+AC253+AC254</f>
        <v>893054.06382169994</v>
      </c>
      <c r="AD352" s="406">
        <f t="shared" si="252"/>
        <v>1062456.3841432203</v>
      </c>
      <c r="AE352" s="406">
        <f t="shared" si="252"/>
        <v>855691.4</v>
      </c>
      <c r="AF352" s="406">
        <f t="shared" si="252"/>
        <v>855691.4</v>
      </c>
      <c r="AG352" s="406">
        <f t="shared" si="252"/>
        <v>928776.22637456795</v>
      </c>
      <c r="AH352" s="406">
        <f t="shared" si="252"/>
        <v>1452554.2100000002</v>
      </c>
      <c r="AI352" s="406"/>
      <c r="AJ352" s="406">
        <f t="shared" si="250"/>
        <v>523777.98362543224</v>
      </c>
      <c r="AK352" s="406">
        <f t="shared" si="252"/>
        <v>1452554.2100000002</v>
      </c>
    </row>
    <row r="353" spans="1:37" ht="17.25" customHeight="1" collapsed="1" thickBot="1">
      <c r="B353" s="297"/>
      <c r="C353" s="177"/>
      <c r="D353" s="177"/>
      <c r="E353" s="298" t="s">
        <v>1465</v>
      </c>
      <c r="F353" s="300"/>
      <c r="G353" s="217" t="s">
        <v>1451</v>
      </c>
      <c r="H353" s="217"/>
      <c r="I353" s="217"/>
      <c r="J353" s="217"/>
      <c r="K353" s="402"/>
      <c r="L353" s="402"/>
      <c r="M353" s="402"/>
      <c r="N353" s="402">
        <f>N351+N352</f>
        <v>1252732.8340699999</v>
      </c>
      <c r="O353" s="402">
        <f t="shared" ref="O353:AK353" si="253">O351+O352</f>
        <v>1581667.0422900021</v>
      </c>
      <c r="P353" s="402">
        <f t="shared" si="253"/>
        <v>1419789.9535100006</v>
      </c>
      <c r="Q353" s="402">
        <f t="shared" si="253"/>
        <v>1382192.5656400002</v>
      </c>
      <c r="R353" s="402">
        <f t="shared" si="253"/>
        <v>1382192.5656400002</v>
      </c>
      <c r="S353" s="402">
        <f t="shared" si="253"/>
        <v>1382192.5656400002</v>
      </c>
      <c r="T353" s="402">
        <f t="shared" si="253"/>
        <v>129459.73157000011</v>
      </c>
      <c r="U353" s="402">
        <f t="shared" si="253"/>
        <v>-37597.387870000617</v>
      </c>
      <c r="V353" s="402">
        <f t="shared" si="253"/>
        <v>1488391.8459794081</v>
      </c>
      <c r="W353" s="402">
        <f t="shared" si="253"/>
        <v>1326272240.3369989</v>
      </c>
      <c r="X353" s="402">
        <f t="shared" si="253"/>
        <v>1326272.2403369991</v>
      </c>
      <c r="Y353" s="402">
        <f t="shared" si="253"/>
        <v>1460304.863027723</v>
      </c>
      <c r="Z353" s="402">
        <f t="shared" si="253"/>
        <v>1167434.5714777238</v>
      </c>
      <c r="AA353" s="402"/>
      <c r="AB353" s="402"/>
      <c r="AC353" s="402">
        <f t="shared" si="253"/>
        <v>1581877.8452825972</v>
      </c>
      <c r="AD353" s="402">
        <f t="shared" si="253"/>
        <v>2811704.3522821921</v>
      </c>
      <c r="AE353" s="402">
        <f t="shared" si="253"/>
        <v>1567978.6153559987</v>
      </c>
      <c r="AF353" s="402">
        <f t="shared" si="253"/>
        <v>1571572.2989962632</v>
      </c>
      <c r="AG353" s="402">
        <f t="shared" si="253"/>
        <v>1645152.9590501005</v>
      </c>
      <c r="AH353" s="402">
        <f t="shared" si="253"/>
        <v>2929203.4160458772</v>
      </c>
      <c r="AI353" s="402"/>
      <c r="AJ353" s="402">
        <f t="shared" si="250"/>
        <v>1284050.4569957766</v>
      </c>
      <c r="AK353" s="402">
        <f t="shared" si="253"/>
        <v>2870858.9105755175</v>
      </c>
    </row>
    <row r="354" spans="1:37" s="305" customFormat="1" ht="42.75" hidden="1" customHeight="1">
      <c r="A354" s="301"/>
      <c r="B354" s="1828" t="s">
        <v>110</v>
      </c>
      <c r="C354" s="1830" t="s">
        <v>1466</v>
      </c>
      <c r="D354" s="1831"/>
      <c r="E354" s="1832"/>
      <c r="F354" s="1833"/>
      <c r="G354" s="1828" t="s">
        <v>255</v>
      </c>
      <c r="H354" s="1024"/>
      <c r="I354" s="1024"/>
      <c r="J354" s="1024"/>
      <c r="K354" s="1358">
        <v>2014</v>
      </c>
      <c r="L354" s="1838" t="s">
        <v>1467</v>
      </c>
      <c r="M354" s="1835"/>
      <c r="N354" s="1835"/>
      <c r="O354" s="1835"/>
      <c r="P354" s="1835"/>
      <c r="Q354" s="1835"/>
      <c r="R354" s="1835"/>
      <c r="S354" s="1835"/>
      <c r="T354" s="1835"/>
      <c r="U354" s="1835"/>
      <c r="V354" s="1835"/>
      <c r="W354" s="1025"/>
      <c r="X354" s="1025"/>
      <c r="Y354" s="1025"/>
      <c r="Z354" s="1025"/>
      <c r="AA354" s="1025"/>
      <c r="AB354" s="1025"/>
      <c r="AC354" s="1025"/>
      <c r="AD354" s="304"/>
      <c r="AE354" s="304"/>
      <c r="AF354" s="304"/>
    </row>
    <row r="355" spans="1:37" ht="17.25" hidden="1" customHeight="1">
      <c r="B355" s="1828"/>
      <c r="C355" s="1830"/>
      <c r="D355" s="1831"/>
      <c r="E355" s="1832"/>
      <c r="F355" s="1833"/>
      <c r="G355" s="1828"/>
      <c r="H355" s="1024"/>
      <c r="I355" s="1024"/>
      <c r="J355" s="1024"/>
      <c r="K355" s="1358"/>
      <c r="L355" s="1839">
        <v>2015</v>
      </c>
      <c r="M355" s="1841"/>
      <c r="N355" s="1026"/>
      <c r="O355" s="1026"/>
      <c r="P355" s="1026"/>
      <c r="Q355" s="1026"/>
      <c r="R355" s="1026"/>
      <c r="S355" s="1026"/>
      <c r="T355" s="1026"/>
      <c r="U355" s="1026"/>
      <c r="V355" s="1027"/>
      <c r="W355" s="1027"/>
      <c r="X355" s="1027"/>
      <c r="Y355" s="1027"/>
      <c r="Z355" s="1027"/>
      <c r="AA355" s="1027"/>
      <c r="AB355" s="1027"/>
      <c r="AC355" s="1027"/>
      <c r="AD355" s="1027"/>
      <c r="AE355" s="1027"/>
      <c r="AF355" s="1028"/>
      <c r="AG355" s="1026"/>
      <c r="AH355" s="1026"/>
      <c r="AI355" s="1026"/>
      <c r="AJ355" s="1026"/>
      <c r="AK355" s="1026"/>
    </row>
    <row r="356" spans="1:37" ht="17.25" hidden="1" customHeight="1">
      <c r="B356" s="1828"/>
      <c r="C356" s="1830"/>
      <c r="D356" s="1831"/>
      <c r="E356" s="1832"/>
      <c r="F356" s="1833"/>
      <c r="G356" s="1828"/>
      <c r="H356" s="1024"/>
      <c r="I356" s="1024"/>
      <c r="J356" s="1024"/>
      <c r="K356" s="1358"/>
      <c r="L356" s="1840"/>
      <c r="M356" s="1835"/>
      <c r="N356" s="1029"/>
      <c r="O356" s="1029"/>
      <c r="P356" s="1029"/>
      <c r="Q356" s="1029"/>
      <c r="R356" s="1029"/>
      <c r="S356" s="1029"/>
      <c r="T356" s="1029"/>
      <c r="U356" s="1029"/>
      <c r="V356" s="1029"/>
      <c r="W356" s="1029"/>
      <c r="X356" s="1029"/>
      <c r="Y356" s="1029"/>
      <c r="Z356" s="1029"/>
      <c r="AA356" s="1029"/>
      <c r="AB356" s="1029"/>
      <c r="AC356" s="1029"/>
      <c r="AD356" s="1029"/>
      <c r="AE356" s="1029"/>
      <c r="AF356" s="1025"/>
      <c r="AG356" s="1029"/>
      <c r="AH356" s="1029"/>
      <c r="AI356" s="1029"/>
      <c r="AJ356" s="1029"/>
      <c r="AK356" s="1029"/>
    </row>
    <row r="357" spans="1:37" ht="17.25" hidden="1" customHeight="1">
      <c r="B357" s="1829"/>
      <c r="C357" s="1834"/>
      <c r="D357" s="1835"/>
      <c r="E357" s="1835"/>
      <c r="F357" s="1836"/>
      <c r="G357" s="1829"/>
      <c r="H357" s="1030"/>
      <c r="I357" s="1030"/>
      <c r="J357" s="1030"/>
      <c r="K357" s="1837"/>
      <c r="L357" s="1829"/>
      <c r="M357" s="1031"/>
      <c r="N357" s="1032"/>
      <c r="O357" s="1032"/>
      <c r="P357" s="1032"/>
      <c r="Q357" s="1032"/>
      <c r="R357" s="1033"/>
      <c r="S357" s="1033"/>
      <c r="T357" s="1033"/>
      <c r="U357" s="1033"/>
      <c r="V357" s="1034"/>
      <c r="W357" s="1034"/>
      <c r="X357" s="1034"/>
      <c r="Y357" s="1034"/>
      <c r="Z357" s="1034"/>
      <c r="AA357" s="1034"/>
      <c r="AB357" s="1034"/>
      <c r="AC357" s="1034"/>
      <c r="AD357" s="1034"/>
      <c r="AE357" s="1034"/>
      <c r="AF357" s="1025"/>
      <c r="AG357" s="1032"/>
      <c r="AH357" s="1032"/>
      <c r="AI357" s="1032"/>
      <c r="AJ357" s="1032"/>
      <c r="AK357" s="1032"/>
    </row>
    <row r="358" spans="1:37" ht="17.25" hidden="1" customHeight="1">
      <c r="B358" s="1035" t="s">
        <v>1468</v>
      </c>
      <c r="C358" s="1374" t="s">
        <v>244</v>
      </c>
      <c r="D358" s="1842"/>
      <c r="E358" s="1843"/>
      <c r="F358" s="1844"/>
      <c r="G358" s="1035" t="s">
        <v>202</v>
      </c>
      <c r="H358" s="1035"/>
      <c r="I358" s="1035"/>
      <c r="J358" s="1035"/>
      <c r="K358" s="316"/>
      <c r="L358" s="1035">
        <v>106.7</v>
      </c>
      <c r="M358" s="1035"/>
      <c r="N358" s="1035"/>
      <c r="O358" s="1035"/>
      <c r="P358" s="1035"/>
      <c r="Q358" s="1035"/>
      <c r="R358" s="1035"/>
      <c r="S358" s="1035"/>
      <c r="T358" s="1035"/>
      <c r="U358" s="1035"/>
      <c r="V358" s="317"/>
      <c r="W358" s="317"/>
      <c r="X358" s="317"/>
      <c r="Y358" s="317"/>
      <c r="Z358" s="317"/>
      <c r="AA358" s="317"/>
      <c r="AB358" s="317"/>
      <c r="AC358" s="317"/>
      <c r="AD358" s="317"/>
      <c r="AE358" s="317"/>
      <c r="AF358" s="318"/>
      <c r="AG358" s="1035"/>
      <c r="AH358" s="1035"/>
      <c r="AI358" s="1035"/>
      <c r="AJ358" s="1035"/>
      <c r="AK358" s="1035"/>
    </row>
    <row r="359" spans="1:37" hidden="1">
      <c r="B359" s="1035" t="s">
        <v>6</v>
      </c>
      <c r="C359" s="1374" t="s">
        <v>245</v>
      </c>
      <c r="D359" s="1842"/>
      <c r="E359" s="1843"/>
      <c r="F359" s="1844"/>
      <c r="G359" s="1035" t="s">
        <v>202</v>
      </c>
      <c r="H359" s="1035"/>
      <c r="I359" s="1035"/>
      <c r="J359" s="1035"/>
      <c r="K359" s="316"/>
      <c r="L359" s="1036">
        <v>75</v>
      </c>
      <c r="M359" s="1036"/>
      <c r="N359" s="1036"/>
      <c r="O359" s="1036"/>
      <c r="P359" s="1036"/>
      <c r="Q359" s="1036"/>
      <c r="R359" s="1036"/>
      <c r="S359" s="1036"/>
      <c r="T359" s="1036"/>
      <c r="U359" s="1036"/>
      <c r="V359" s="1036"/>
      <c r="W359" s="1036"/>
      <c r="X359" s="1036"/>
      <c r="Y359" s="1036"/>
      <c r="Z359" s="1036"/>
      <c r="AA359" s="1036"/>
      <c r="AB359" s="1036"/>
      <c r="AC359" s="1036"/>
      <c r="AD359" s="1036"/>
      <c r="AE359" s="1036"/>
      <c r="AF359" s="1028"/>
      <c r="AG359" s="1036"/>
      <c r="AH359" s="1036"/>
      <c r="AI359" s="1036"/>
      <c r="AJ359" s="1036"/>
      <c r="AK359" s="1036"/>
    </row>
    <row r="360" spans="1:37" s="111" customFormat="1" hidden="1">
      <c r="A360" s="108"/>
      <c r="B360" s="1035" t="s">
        <v>16</v>
      </c>
      <c r="C360" s="1374" t="s">
        <v>246</v>
      </c>
      <c r="D360" s="1842"/>
      <c r="E360" s="1843"/>
      <c r="F360" s="1844"/>
      <c r="G360" s="1035" t="s">
        <v>43</v>
      </c>
      <c r="H360" s="1035"/>
      <c r="I360" s="1035"/>
      <c r="J360" s="1035"/>
      <c r="K360" s="320">
        <f>L383</f>
        <v>0</v>
      </c>
      <c r="L360" s="320">
        <v>98255.76</v>
      </c>
      <c r="M360" s="320"/>
      <c r="N360" s="320"/>
      <c r="O360" s="320"/>
      <c r="P360" s="320"/>
      <c r="Q360" s="320"/>
      <c r="R360" s="320"/>
      <c r="S360" s="320"/>
      <c r="T360" s="320"/>
      <c r="U360" s="320"/>
      <c r="V360" s="320"/>
      <c r="W360" s="320"/>
      <c r="X360" s="320"/>
      <c r="Y360" s="320"/>
      <c r="Z360" s="320"/>
      <c r="AA360" s="320"/>
      <c r="AB360" s="320"/>
      <c r="AC360" s="320"/>
      <c r="AD360" s="320"/>
      <c r="AE360" s="320"/>
      <c r="AF360" s="321"/>
      <c r="AG360" s="320"/>
      <c r="AH360" s="320"/>
      <c r="AI360" s="320"/>
      <c r="AJ360" s="320"/>
      <c r="AK360" s="320"/>
    </row>
    <row r="361" spans="1:37" s="111" customFormat="1" hidden="1">
      <c r="A361" s="108"/>
      <c r="B361" s="1035" t="s">
        <v>33</v>
      </c>
      <c r="C361" s="1374" t="s">
        <v>247</v>
      </c>
      <c r="D361" s="1842"/>
      <c r="E361" s="1843"/>
      <c r="F361" s="1844"/>
      <c r="G361" s="1035" t="s">
        <v>202</v>
      </c>
      <c r="H361" s="1035"/>
      <c r="I361" s="1035"/>
      <c r="J361" s="1035"/>
      <c r="K361" s="316"/>
      <c r="L361" s="322"/>
      <c r="M361" s="322"/>
      <c r="N361" s="322"/>
      <c r="O361" s="322"/>
      <c r="P361" s="322"/>
      <c r="Q361" s="322"/>
      <c r="R361" s="322"/>
      <c r="S361" s="322"/>
      <c r="T361" s="322"/>
      <c r="U361" s="322"/>
      <c r="V361" s="322"/>
      <c r="W361" s="322"/>
      <c r="X361" s="322"/>
      <c r="Y361" s="322"/>
      <c r="Z361" s="322"/>
      <c r="AA361" s="322"/>
      <c r="AB361" s="322"/>
      <c r="AC361" s="322"/>
      <c r="AD361" s="322"/>
      <c r="AE361" s="322"/>
      <c r="AF361" s="323"/>
      <c r="AG361" s="322"/>
      <c r="AH361" s="322"/>
      <c r="AI361" s="322"/>
      <c r="AJ361" s="322"/>
      <c r="AK361" s="322"/>
    </row>
    <row r="362" spans="1:37" s="111" customFormat="1" hidden="1">
      <c r="A362" s="108"/>
      <c r="B362" s="1036" t="s">
        <v>1469</v>
      </c>
      <c r="C362" s="1374" t="s">
        <v>248</v>
      </c>
      <c r="D362" s="1842"/>
      <c r="E362" s="1845"/>
      <c r="F362" s="1846"/>
      <c r="G362" s="1036" t="s">
        <v>202</v>
      </c>
      <c r="H362" s="1036"/>
      <c r="I362" s="1036"/>
      <c r="J362" s="1036"/>
      <c r="K362" s="316"/>
      <c r="L362" s="317">
        <v>1.5</v>
      </c>
      <c r="M362" s="317"/>
      <c r="N362" s="317"/>
      <c r="O362" s="317"/>
      <c r="P362" s="317"/>
      <c r="Q362" s="317"/>
      <c r="R362" s="317"/>
      <c r="S362" s="317"/>
      <c r="T362" s="317"/>
      <c r="U362" s="317"/>
      <c r="V362" s="317"/>
      <c r="W362" s="317"/>
      <c r="X362" s="317"/>
      <c r="Y362" s="317"/>
      <c r="Z362" s="317"/>
      <c r="AA362" s="317"/>
      <c r="AB362" s="317"/>
      <c r="AC362" s="317"/>
      <c r="AD362" s="317"/>
      <c r="AE362" s="317"/>
      <c r="AF362" s="318"/>
      <c r="AG362" s="317"/>
      <c r="AH362" s="317"/>
      <c r="AI362" s="317"/>
      <c r="AJ362" s="317"/>
      <c r="AK362" s="317"/>
    </row>
    <row r="363" spans="1:37" ht="30.75" hidden="1" customHeight="1" thickBot="1">
      <c r="B363" s="1036" t="s">
        <v>1470</v>
      </c>
      <c r="C363" s="1374" t="s">
        <v>1471</v>
      </c>
      <c r="D363" s="1842"/>
      <c r="E363" s="1845"/>
      <c r="F363" s="1846"/>
      <c r="G363" s="1036" t="s">
        <v>202</v>
      </c>
      <c r="H363" s="1036"/>
      <c r="I363" s="1036"/>
      <c r="J363" s="1036"/>
      <c r="K363" s="316"/>
      <c r="L363" s="322"/>
      <c r="M363" s="322"/>
      <c r="N363" s="324"/>
      <c r="O363" s="324"/>
      <c r="P363" s="324"/>
      <c r="Q363" s="324"/>
      <c r="R363" s="324"/>
      <c r="S363" s="324"/>
      <c r="T363" s="324"/>
      <c r="U363" s="324"/>
      <c r="V363" s="325"/>
      <c r="W363" s="325"/>
      <c r="X363" s="325"/>
      <c r="Y363" s="325"/>
      <c r="Z363" s="325"/>
      <c r="AA363" s="325"/>
      <c r="AB363" s="325"/>
      <c r="AC363" s="325"/>
      <c r="AD363" s="325"/>
      <c r="AE363" s="325"/>
      <c r="AF363" s="326"/>
      <c r="AG363" s="324"/>
      <c r="AH363" s="324"/>
      <c r="AI363" s="324"/>
      <c r="AJ363" s="324"/>
      <c r="AK363" s="324"/>
    </row>
    <row r="364" spans="1:37" ht="33" hidden="1" customHeight="1" thickBot="1">
      <c r="A364" s="258"/>
      <c r="B364" s="327" t="s">
        <v>16</v>
      </c>
      <c r="C364" s="328"/>
      <c r="D364" s="328"/>
      <c r="E364" s="329" t="s">
        <v>1472</v>
      </c>
      <c r="F364" s="329" t="s">
        <v>1472</v>
      </c>
      <c r="G364" s="330" t="s">
        <v>1451</v>
      </c>
      <c r="H364" s="331"/>
      <c r="I364" s="331"/>
      <c r="J364" s="331"/>
      <c r="K364" s="327">
        <f t="shared" ref="K364:S364" si="254">K251+K252+K253+K254</f>
        <v>631833.28319762496</v>
      </c>
      <c r="L364" s="332">
        <f t="shared" si="254"/>
        <v>1243250.0829</v>
      </c>
      <c r="M364" s="332">
        <f t="shared" si="254"/>
        <v>1243250.07299</v>
      </c>
      <c r="N364" s="333">
        <f t="shared" si="254"/>
        <v>982478.72407</v>
      </c>
      <c r="O364" s="334">
        <f t="shared" si="254"/>
        <v>997525.12860000005</v>
      </c>
      <c r="P364" s="334">
        <f t="shared" si="254"/>
        <v>997511.13563999999</v>
      </c>
      <c r="Q364" s="335">
        <f t="shared" si="254"/>
        <v>997511.13563999999</v>
      </c>
      <c r="R364" s="335">
        <f t="shared" si="254"/>
        <v>997511.13563999999</v>
      </c>
      <c r="S364" s="335">
        <f t="shared" si="254"/>
        <v>997511.13563999999</v>
      </c>
      <c r="T364" s="335">
        <f t="shared" ref="T364:T365" si="255">S364-N364</f>
        <v>15032.411569999997</v>
      </c>
      <c r="U364" s="335">
        <f t="shared" ref="U364:U365" si="256">S364-P364</f>
        <v>0</v>
      </c>
      <c r="V364" s="337">
        <f>V251+V252+V253+V254</f>
        <v>854597.19026000006</v>
      </c>
      <c r="W364" s="337"/>
      <c r="X364" s="337"/>
      <c r="Y364" s="337"/>
      <c r="Z364" s="337"/>
      <c r="AA364" s="337"/>
      <c r="AB364" s="337"/>
      <c r="AC364" s="337">
        <f>AC251+AC252+AC253+AC254</f>
        <v>893054.06382169994</v>
      </c>
      <c r="AD364" s="332">
        <f>AD251+AD252+AD253+AD254</f>
        <v>1062456.3841432203</v>
      </c>
      <c r="AE364" s="332">
        <f>AE251+AE252+AE253+AE254</f>
        <v>855691.4</v>
      </c>
      <c r="AF364" s="336"/>
      <c r="AG364" s="333"/>
      <c r="AH364" s="333"/>
      <c r="AI364" s="333"/>
      <c r="AJ364" s="333"/>
      <c r="AK364" s="333"/>
    </row>
    <row r="365" spans="1:37" ht="33" hidden="1" customHeight="1" thickBot="1">
      <c r="A365" s="258"/>
      <c r="B365" s="327"/>
      <c r="C365" s="328"/>
      <c r="D365" s="328"/>
      <c r="E365" s="338" t="s">
        <v>1473</v>
      </c>
      <c r="F365" s="338" t="s">
        <v>1473</v>
      </c>
      <c r="G365" s="330" t="s">
        <v>1451</v>
      </c>
      <c r="H365" s="331"/>
      <c r="I365" s="331"/>
      <c r="J365" s="331"/>
      <c r="K365" s="339">
        <f>K352+K364</f>
        <v>1798601.6491166293</v>
      </c>
      <c r="L365" s="340">
        <f t="shared" ref="L365:V365" si="257">L352+L364</f>
        <v>1495366.3512760131</v>
      </c>
      <c r="M365" s="340">
        <f t="shared" si="257"/>
        <v>1495366.34299</v>
      </c>
      <c r="N365" s="341">
        <f t="shared" si="257"/>
        <v>1964957.44814</v>
      </c>
      <c r="O365" s="342">
        <f t="shared" si="257"/>
        <v>1995050.2572000001</v>
      </c>
      <c r="P365" s="342">
        <f t="shared" si="257"/>
        <v>1995022.27128</v>
      </c>
      <c r="Q365" s="343">
        <f t="shared" si="257"/>
        <v>1995022.27128</v>
      </c>
      <c r="R365" s="343">
        <f t="shared" si="257"/>
        <v>1995022.27128</v>
      </c>
      <c r="S365" s="343">
        <f t="shared" si="257"/>
        <v>1995022.27128</v>
      </c>
      <c r="T365" s="343">
        <f t="shared" si="255"/>
        <v>30064.823139999993</v>
      </c>
      <c r="U365" s="343">
        <f t="shared" si="256"/>
        <v>0</v>
      </c>
      <c r="V365" s="346">
        <f t="shared" si="257"/>
        <v>1709194.3805200001</v>
      </c>
      <c r="W365" s="346"/>
      <c r="X365" s="346"/>
      <c r="Y365" s="346"/>
      <c r="Z365" s="346"/>
      <c r="AA365" s="346"/>
      <c r="AB365" s="346"/>
      <c r="AC365" s="346">
        <f t="shared" ref="AC365:AE365" si="258">AC352+AC364</f>
        <v>1786108.1276433999</v>
      </c>
      <c r="AD365" s="340">
        <f t="shared" si="258"/>
        <v>2124912.7682864405</v>
      </c>
      <c r="AE365" s="340">
        <f t="shared" si="258"/>
        <v>1711382.8</v>
      </c>
      <c r="AF365" s="347"/>
      <c r="AG365" s="341"/>
      <c r="AH365" s="341"/>
      <c r="AI365" s="341"/>
      <c r="AJ365" s="341"/>
      <c r="AK365" s="341"/>
    </row>
    <row r="366" spans="1:37" ht="33" hidden="1" customHeight="1" thickBot="1">
      <c r="A366" s="258"/>
      <c r="B366" s="327"/>
      <c r="C366" s="328"/>
      <c r="D366" s="328"/>
      <c r="E366" s="328" t="s">
        <v>1474</v>
      </c>
      <c r="F366" s="348"/>
      <c r="G366" s="330"/>
      <c r="H366" s="331"/>
      <c r="I366" s="331"/>
      <c r="J366" s="331"/>
      <c r="K366" s="339"/>
      <c r="L366" s="340"/>
      <c r="M366" s="349"/>
      <c r="N366" s="350">
        <f>N328-N340</f>
        <v>341940.25276786834</v>
      </c>
      <c r="O366" s="350">
        <f t="shared" ref="O366:T366" si="259">O328-O340</f>
        <v>0</v>
      </c>
      <c r="P366" s="350">
        <f t="shared" si="259"/>
        <v>0</v>
      </c>
      <c r="Q366" s="350">
        <f t="shared" si="259"/>
        <v>0</v>
      </c>
      <c r="R366" s="350">
        <f t="shared" si="259"/>
        <v>0</v>
      </c>
      <c r="S366" s="350">
        <f t="shared" si="259"/>
        <v>0</v>
      </c>
      <c r="T366" s="350">
        <f t="shared" si="259"/>
        <v>-341940.25276786834</v>
      </c>
      <c r="U366" s="345"/>
      <c r="V366" s="351"/>
      <c r="W366" s="351"/>
      <c r="X366" s="351"/>
      <c r="Y366" s="351"/>
      <c r="Z366" s="351"/>
      <c r="AA366" s="351"/>
      <c r="AB366" s="351"/>
      <c r="AC366" s="351"/>
      <c r="AD366" s="351"/>
      <c r="AE366" s="351"/>
      <c r="AF366" s="352"/>
      <c r="AG366" s="350"/>
      <c r="AH366" s="350"/>
      <c r="AI366" s="350"/>
      <c r="AJ366" s="350"/>
      <c r="AK366" s="350"/>
    </row>
    <row r="367" spans="1:37" hidden="1"/>
    <row r="368" spans="1:37" hidden="1">
      <c r="E368" s="103" t="s">
        <v>1475</v>
      </c>
      <c r="O368" s="103" t="s">
        <v>1475</v>
      </c>
      <c r="Q368" s="52">
        <f>Q328-Q276-Q277-Q268-Q255-Q254-Q253-Q252-Q251</f>
        <v>3076291.3482825328</v>
      </c>
    </row>
    <row r="369" spans="2:37" hidden="1">
      <c r="E369" s="52"/>
      <c r="Q369" s="52">
        <v>3076348.7330225334</v>
      </c>
    </row>
    <row r="370" spans="2:37" ht="100.8" hidden="1">
      <c r="E370" s="1037" t="s">
        <v>1476</v>
      </c>
      <c r="O370" s="353" t="s">
        <v>1476</v>
      </c>
      <c r="Q370" s="52">
        <f>Q369*0.12</f>
        <v>369161.84796270396</v>
      </c>
    </row>
    <row r="371" spans="2:37" hidden="1">
      <c r="B371" s="400"/>
      <c r="C371" s="355"/>
      <c r="D371" s="355"/>
      <c r="E371" s="356"/>
      <c r="F371" s="74" t="s">
        <v>1477</v>
      </c>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67"/>
      <c r="AG371" s="74"/>
      <c r="AH371" s="74"/>
      <c r="AI371" s="74"/>
      <c r="AJ371" s="74"/>
      <c r="AK371" s="74"/>
    </row>
    <row r="372" spans="2:37" hidden="1">
      <c r="B372" s="400"/>
      <c r="C372" s="355"/>
      <c r="D372" s="355"/>
      <c r="E372" s="356"/>
      <c r="F372" s="74" t="s">
        <v>1478</v>
      </c>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67"/>
      <c r="AG372" s="74"/>
      <c r="AH372" s="74"/>
      <c r="AI372" s="74"/>
      <c r="AJ372" s="74"/>
      <c r="AK372" s="74"/>
    </row>
    <row r="373" spans="2:37" ht="33.6" hidden="1">
      <c r="B373" s="400"/>
      <c r="C373" s="355"/>
      <c r="D373" s="355"/>
      <c r="E373" s="356"/>
      <c r="F373" s="357" t="s">
        <v>1479</v>
      </c>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67"/>
      <c r="AG373" s="74"/>
      <c r="AH373" s="74"/>
      <c r="AI373" s="74"/>
      <c r="AJ373" s="74"/>
      <c r="AK373" s="74"/>
    </row>
    <row r="374" spans="2:37" ht="33.6" hidden="1">
      <c r="B374" s="400"/>
      <c r="C374" s="355"/>
      <c r="D374" s="355"/>
      <c r="E374" s="356"/>
      <c r="F374" s="357" t="s">
        <v>1480</v>
      </c>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67"/>
      <c r="AG374" s="74"/>
      <c r="AH374" s="74"/>
      <c r="AI374" s="74"/>
      <c r="AJ374" s="74"/>
      <c r="AK374" s="74"/>
    </row>
    <row r="375" spans="2:37" ht="36" customHeight="1" thickBot="1">
      <c r="B375" s="400"/>
      <c r="C375" s="355"/>
      <c r="D375" s="355"/>
      <c r="E375" s="356"/>
      <c r="F375" s="74" t="s">
        <v>1481</v>
      </c>
      <c r="G375" s="74"/>
      <c r="H375" s="74"/>
      <c r="I375" s="74"/>
      <c r="J375" s="74"/>
      <c r="K375" s="74"/>
      <c r="L375" s="74"/>
      <c r="M375" s="74"/>
      <c r="N375" s="1369" t="s">
        <v>1482</v>
      </c>
      <c r="O375" s="1370"/>
      <c r="P375" s="1370"/>
      <c r="Q375" s="1370"/>
      <c r="R375" s="1370"/>
      <c r="S375" s="1370"/>
      <c r="T375" s="1370"/>
      <c r="U375" s="1370"/>
      <c r="V375" s="1370"/>
      <c r="W375" s="1370"/>
      <c r="X375" s="1370"/>
      <c r="Y375" s="1370"/>
      <c r="Z375" s="1370"/>
      <c r="AA375" s="1370"/>
      <c r="AB375" s="1370"/>
      <c r="AC375" s="1370"/>
      <c r="AD375" s="1371"/>
    </row>
    <row r="376" spans="2:37" ht="19.5" customHeight="1">
      <c r="B376" s="400"/>
      <c r="C376" s="355"/>
      <c r="D376" s="355"/>
      <c r="E376" s="358" t="s">
        <v>1484</v>
      </c>
      <c r="F376" s="357" t="s">
        <v>1483</v>
      </c>
      <c r="G376" s="74"/>
      <c r="H376" s="74"/>
      <c r="I376" s="74"/>
      <c r="J376" s="74"/>
      <c r="K376" s="74"/>
      <c r="L376" s="74"/>
      <c r="M376" s="74"/>
      <c r="N376" s="358" t="s">
        <v>1484</v>
      </c>
      <c r="O376" s="359">
        <f>O328</f>
        <v>5167898.7823200021</v>
      </c>
      <c r="P376" s="360">
        <f t="shared" ref="P376:S376" si="260">P328</f>
        <v>4685555.3686300013</v>
      </c>
      <c r="Q376" s="360">
        <f t="shared" si="260"/>
        <v>4230752.0730500324</v>
      </c>
      <c r="R376" s="360">
        <f t="shared" si="260"/>
        <v>4233888.3025800325</v>
      </c>
      <c r="S376" s="361">
        <f t="shared" si="260"/>
        <v>4119204.6253925329</v>
      </c>
      <c r="T376" s="1372"/>
      <c r="U376" s="1373"/>
      <c r="V376" s="364">
        <f t="shared" ref="V376:AE376" si="261">V328</f>
        <v>4508690.1437708195</v>
      </c>
      <c r="W376" s="364">
        <f t="shared" si="261"/>
        <v>5548370619.0299988</v>
      </c>
      <c r="X376" s="364">
        <f t="shared" si="261"/>
        <v>5548370.6157699991</v>
      </c>
      <c r="Y376" s="364">
        <f t="shared" si="261"/>
        <v>5548370.6215299983</v>
      </c>
      <c r="Z376" s="364">
        <f t="shared" si="261"/>
        <v>5049951.0622499995</v>
      </c>
      <c r="AA376" s="364">
        <f t="shared" si="261"/>
        <v>368661.52492</v>
      </c>
      <c r="AB376" s="364">
        <f t="shared" si="261"/>
        <v>129758.03865000002</v>
      </c>
      <c r="AC376" s="361">
        <f t="shared" si="261"/>
        <v>4711581.1991699366</v>
      </c>
      <c r="AD376" s="361">
        <f t="shared" si="261"/>
        <v>13960814.675308185</v>
      </c>
      <c r="AE376" s="361">
        <f t="shared" si="261"/>
        <v>4352693.9044631608</v>
      </c>
      <c r="AF376" s="361">
        <f>AF328</f>
        <v>4387899.889276159</v>
      </c>
      <c r="AG376" s="358"/>
      <c r="AH376" s="361">
        <f>AH328</f>
        <v>9573779.5955581684</v>
      </c>
      <c r="AI376" s="361"/>
      <c r="AJ376" s="361"/>
      <c r="AK376" s="361">
        <f>AK328</f>
        <v>9255186.7681133151</v>
      </c>
    </row>
    <row r="377" spans="2:37">
      <c r="B377" s="400"/>
      <c r="C377" s="355"/>
      <c r="D377" s="355"/>
      <c r="E377" s="366" t="s">
        <v>1485</v>
      </c>
      <c r="F377" s="74"/>
      <c r="G377" s="74"/>
      <c r="H377" s="74"/>
      <c r="I377" s="74"/>
      <c r="J377" s="74"/>
      <c r="K377" s="74"/>
      <c r="L377" s="74"/>
      <c r="M377" s="74"/>
      <c r="N377" s="366" t="s">
        <v>1485</v>
      </c>
      <c r="O377" s="367">
        <f>O376-O378-O379-O380-O381-O382</f>
        <v>3831602.9837900004</v>
      </c>
      <c r="P377" s="368">
        <f>P376-P378-P379-P380-P381-P382</f>
        <v>3557299.0599600007</v>
      </c>
      <c r="Q377" s="368">
        <f>Q376-Q378-Q379-Q380-Q381-Q382</f>
        <v>3076291.3482825328</v>
      </c>
      <c r="R377" s="368">
        <f>R376-R378-R379-R380-R381-R382</f>
        <v>3079427.5778125329</v>
      </c>
      <c r="S377" s="369">
        <f>S376-S378-S379-S380-S381-S382</f>
        <v>2966324.8073225333</v>
      </c>
      <c r="T377" s="1372"/>
      <c r="U377" s="1373"/>
      <c r="V377" s="370">
        <f t="shared" ref="V377:AD377" si="262">V376-V378-V379-V380-V381-V382</f>
        <v>2804988.6310899593</v>
      </c>
      <c r="W377" s="370">
        <f t="shared" si="262"/>
        <v>4386649512.8729992</v>
      </c>
      <c r="X377" s="370">
        <f t="shared" si="262"/>
        <v>4386649.5096129989</v>
      </c>
      <c r="Y377" s="370">
        <f t="shared" si="262"/>
        <v>4386649.5160722751</v>
      </c>
      <c r="Z377" s="370">
        <f t="shared" si="262"/>
        <v>4180528.024562276</v>
      </c>
      <c r="AA377" s="370">
        <f t="shared" si="262"/>
        <v>142545.11036000002</v>
      </c>
      <c r="AB377" s="370">
        <f t="shared" si="262"/>
        <v>63576.385439999998</v>
      </c>
      <c r="AC377" s="369">
        <f t="shared" si="262"/>
        <v>2954881.3024657932</v>
      </c>
      <c r="AD377" s="369">
        <f t="shared" si="262"/>
        <v>6464635.3164497502</v>
      </c>
      <c r="AE377" s="369">
        <f>AE376-AE378-AE379-AE380-AE381-AE382</f>
        <v>2965743.6092147999</v>
      </c>
      <c r="AF377" s="369">
        <f>AF376-AF378-AF379-AF380-AF381-AF382</f>
        <v>2996457.4894774682</v>
      </c>
      <c r="AG377" s="366"/>
      <c r="AH377" s="369">
        <f>AH376-AH378-AH379-AH380-AH381-AH382</f>
        <v>6948753.3411374604</v>
      </c>
      <c r="AI377" s="369"/>
      <c r="AJ377" s="369"/>
      <c r="AK377" s="369">
        <f>AK376-AK378-AK379-AK380-AK381-AK382</f>
        <v>6703464.8955305563</v>
      </c>
    </row>
    <row r="378" spans="2:37">
      <c r="B378" s="400"/>
      <c r="C378" s="355"/>
      <c r="D378" s="355"/>
      <c r="E378" s="372" t="s">
        <v>1486</v>
      </c>
      <c r="F378" s="74"/>
      <c r="G378" s="74"/>
      <c r="H378" s="74"/>
      <c r="I378" s="74"/>
      <c r="J378" s="74"/>
      <c r="K378" s="74"/>
      <c r="L378" s="74"/>
      <c r="M378" s="74"/>
      <c r="N378" s="372" t="s">
        <v>1486</v>
      </c>
      <c r="O378" s="367">
        <f>O251+O252+O253+O254</f>
        <v>997525.12860000005</v>
      </c>
      <c r="P378" s="368">
        <f>P251+P252+P253+P254</f>
        <v>997511.13563999999</v>
      </c>
      <c r="Q378" s="368">
        <f>Q251+Q252+Q253+Q254</f>
        <v>997511.13563999999</v>
      </c>
      <c r="R378" s="368">
        <f>R251+R252+R253+R254</f>
        <v>997511.13563999999</v>
      </c>
      <c r="S378" s="369">
        <f>S251+S252+S253+S254</f>
        <v>997511.13563999999</v>
      </c>
      <c r="T378" s="1372"/>
      <c r="U378" s="1373"/>
      <c r="V378" s="370">
        <f>V251+V252+V253+V254</f>
        <v>854597.19026000006</v>
      </c>
      <c r="W378" s="370">
        <f t="shared" ref="W378:AB378" si="263">W251+W252+W253+W254</f>
        <v>868624766.47000003</v>
      </c>
      <c r="X378" s="370">
        <f t="shared" si="263"/>
        <v>868624.76647000003</v>
      </c>
      <c r="Y378" s="370">
        <f t="shared" si="263"/>
        <v>868624.76647000003</v>
      </c>
      <c r="Z378" s="370">
        <f t="shared" si="263"/>
        <v>868614.52307999996</v>
      </c>
      <c r="AA378" s="370">
        <f t="shared" si="263"/>
        <v>8.5139999999999993</v>
      </c>
      <c r="AB378" s="370">
        <f t="shared" si="263"/>
        <v>1.7293900000000002</v>
      </c>
      <c r="AC378" s="369">
        <f>AC251+AC252+AC253+AC254</f>
        <v>893054.06382169994</v>
      </c>
      <c r="AD378" s="369">
        <f>AD251+AD252+AD253+AD254</f>
        <v>1062456.3841432203</v>
      </c>
      <c r="AE378" s="369">
        <f>AE251+AE252+AE253+AE254</f>
        <v>855691.4</v>
      </c>
      <c r="AF378" s="369">
        <f>AF251+AF252+AF253+AF254</f>
        <v>855691.4</v>
      </c>
      <c r="AG378" s="372"/>
      <c r="AH378" s="369">
        <f>AH251+AH252+AH253+AH254</f>
        <v>1452554.2100000002</v>
      </c>
      <c r="AI378" s="369"/>
      <c r="AJ378" s="369"/>
      <c r="AK378" s="369">
        <f>AK251+AK252+AK253+AK254</f>
        <v>1452554.2100000002</v>
      </c>
    </row>
    <row r="379" spans="2:37" ht="50.4">
      <c r="B379" s="400"/>
      <c r="C379" s="355"/>
      <c r="D379" s="355"/>
      <c r="E379" s="373" t="s">
        <v>1487</v>
      </c>
      <c r="F379" s="74"/>
      <c r="G379" s="74"/>
      <c r="H379" s="74"/>
      <c r="I379" s="74"/>
      <c r="J379" s="74"/>
      <c r="K379" s="74"/>
      <c r="L379" s="74"/>
      <c r="M379" s="74"/>
      <c r="N379" s="373" t="s">
        <v>1487</v>
      </c>
      <c r="O379" s="367">
        <f>O255</f>
        <v>62154.389900000002</v>
      </c>
      <c r="P379" s="368">
        <f>P255</f>
        <v>62154.389900000002</v>
      </c>
      <c r="Q379" s="368">
        <f>Q255</f>
        <v>62154.389900000002</v>
      </c>
      <c r="R379" s="368">
        <f>R255</f>
        <v>62154.389900000002</v>
      </c>
      <c r="S379" s="369">
        <f>S255</f>
        <v>62154.389900000002</v>
      </c>
      <c r="T379" s="1372"/>
      <c r="U379" s="1373"/>
      <c r="V379" s="370">
        <f>V255</f>
        <v>72470.539999999994</v>
      </c>
      <c r="W379" s="370">
        <f t="shared" ref="W379:AB379" si="264">W255</f>
        <v>62081940.409999996</v>
      </c>
      <c r="X379" s="370">
        <f t="shared" si="264"/>
        <v>62081.940409999996</v>
      </c>
      <c r="Y379" s="370">
        <f t="shared" si="264"/>
        <v>62081.940409999996</v>
      </c>
      <c r="Z379" s="370">
        <f t="shared" si="264"/>
        <v>62081.940409999996</v>
      </c>
      <c r="AA379" s="370">
        <f t="shared" si="264"/>
        <v>0</v>
      </c>
      <c r="AB379" s="370">
        <f t="shared" si="264"/>
        <v>0</v>
      </c>
      <c r="AC379" s="369">
        <f>AC255</f>
        <v>75731.714299999992</v>
      </c>
      <c r="AD379" s="369">
        <f>AD255</f>
        <v>75731.714299999992</v>
      </c>
      <c r="AE379" s="369">
        <f>AE255</f>
        <v>75141.206897665339</v>
      </c>
      <c r="AF379" s="369">
        <f>AF255</f>
        <v>75141.206897665339</v>
      </c>
      <c r="AG379" s="373"/>
      <c r="AH379" s="369">
        <f>AH255</f>
        <v>77545.600000000006</v>
      </c>
      <c r="AI379" s="369"/>
      <c r="AJ379" s="369"/>
      <c r="AK379" s="369">
        <f>AK255</f>
        <v>77545.600000000006</v>
      </c>
    </row>
    <row r="380" spans="2:37" ht="84">
      <c r="B380" s="400"/>
      <c r="C380" s="355"/>
      <c r="D380" s="355"/>
      <c r="E380" s="373" t="s">
        <v>1488</v>
      </c>
      <c r="F380" s="74"/>
      <c r="G380" s="74"/>
      <c r="H380" s="74"/>
      <c r="I380" s="74"/>
      <c r="J380" s="74"/>
      <c r="K380" s="74"/>
      <c r="L380" s="74"/>
      <c r="M380" s="74"/>
      <c r="N380" s="373" t="s">
        <v>1488</v>
      </c>
      <c r="O380" s="367">
        <f>O277</f>
        <v>262313.280030002</v>
      </c>
      <c r="P380" s="368">
        <f>P277</f>
        <v>101736.78313000068</v>
      </c>
      <c r="Q380" s="368">
        <f>Q277</f>
        <v>64196.78</v>
      </c>
      <c r="R380" s="368">
        <f>R277</f>
        <v>64196.78</v>
      </c>
      <c r="S380" s="369">
        <f>S277</f>
        <v>64196.78</v>
      </c>
      <c r="T380" s="1372"/>
      <c r="U380" s="1373"/>
      <c r="V380" s="370">
        <f>V277</f>
        <v>336598.63571940805</v>
      </c>
      <c r="W380" s="370">
        <f t="shared" ref="W380:AB380" si="265">W277</f>
        <v>96981775.886998996</v>
      </c>
      <c r="X380" s="370">
        <f t="shared" si="265"/>
        <v>96981.775886998992</v>
      </c>
      <c r="Y380" s="370">
        <f t="shared" si="265"/>
        <v>231014.39857772301</v>
      </c>
      <c r="Z380" s="370">
        <f t="shared" si="265"/>
        <v>-61273.425802276135</v>
      </c>
      <c r="AA380" s="370">
        <f t="shared" si="265"/>
        <v>226107.90055999995</v>
      </c>
      <c r="AB380" s="370">
        <f t="shared" si="265"/>
        <v>66179.923820000025</v>
      </c>
      <c r="AC380" s="369">
        <f>AC277</f>
        <v>354585.75646089728</v>
      </c>
      <c r="AD380" s="369">
        <f>AD277</f>
        <v>775756.23813897197</v>
      </c>
      <c r="AE380" s="369">
        <f>AE277</f>
        <v>355981.21535599872</v>
      </c>
      <c r="AF380" s="369">
        <f>AF277</f>
        <v>359574.89899626304</v>
      </c>
      <c r="AG380" s="373"/>
      <c r="AH380" s="369">
        <f>AH277</f>
        <v>831264.87253649521</v>
      </c>
      <c r="AI380" s="369"/>
      <c r="AJ380" s="369"/>
      <c r="AK380" s="369">
        <f>AK277</f>
        <v>772920.3670661354</v>
      </c>
    </row>
    <row r="381" spans="2:37" ht="33.6">
      <c r="B381" s="400"/>
      <c r="C381" s="355"/>
      <c r="D381" s="355"/>
      <c r="E381" s="373" t="s">
        <v>1489</v>
      </c>
      <c r="F381" s="74"/>
      <c r="G381" s="74"/>
      <c r="H381" s="74"/>
      <c r="I381" s="74"/>
      <c r="J381" s="74"/>
      <c r="K381" s="74"/>
      <c r="L381" s="74"/>
      <c r="M381" s="74"/>
      <c r="N381" s="373" t="s">
        <v>1489</v>
      </c>
      <c r="O381" s="367">
        <f>O276</f>
        <v>0</v>
      </c>
      <c r="P381" s="368">
        <f>P276</f>
        <v>0</v>
      </c>
      <c r="Q381" s="368">
        <f>Q276</f>
        <v>0</v>
      </c>
      <c r="R381" s="368">
        <f>R276</f>
        <v>0</v>
      </c>
      <c r="S381" s="369">
        <f>S276</f>
        <v>0</v>
      </c>
      <c r="T381" s="1372"/>
      <c r="U381" s="1373"/>
      <c r="V381" s="370">
        <f>V276</f>
        <v>345140.29777159984</v>
      </c>
      <c r="W381" s="370">
        <f t="shared" ref="W381:AB381" si="266">W276</f>
        <v>0</v>
      </c>
      <c r="X381" s="370">
        <f t="shared" si="266"/>
        <v>0</v>
      </c>
      <c r="Y381" s="370">
        <f t="shared" si="266"/>
        <v>0</v>
      </c>
      <c r="Z381" s="370">
        <f t="shared" si="266"/>
        <v>0</v>
      </c>
      <c r="AA381" s="370">
        <f t="shared" si="266"/>
        <v>0</v>
      </c>
      <c r="AB381" s="370">
        <f t="shared" si="266"/>
        <v>0</v>
      </c>
      <c r="AC381" s="369">
        <f>AC276</f>
        <v>333453.19945632201</v>
      </c>
      <c r="AD381" s="369">
        <f>AD276</f>
        <v>5341487.6500000004</v>
      </c>
      <c r="AE381" s="369">
        <f>AE276</f>
        <v>0</v>
      </c>
      <c r="AF381" s="369">
        <f>AF276</f>
        <v>0</v>
      </c>
      <c r="AG381" s="373"/>
      <c r="AH381" s="369">
        <f>AH276</f>
        <v>0</v>
      </c>
      <c r="AI381" s="369"/>
      <c r="AJ381" s="369"/>
      <c r="AK381" s="369">
        <f>AK276</f>
        <v>0</v>
      </c>
    </row>
    <row r="382" spans="2:37">
      <c r="B382" s="400"/>
      <c r="C382" s="355"/>
      <c r="D382" s="355"/>
      <c r="E382" s="373" t="s">
        <v>66</v>
      </c>
      <c r="F382" s="74"/>
      <c r="G382" s="74"/>
      <c r="H382" s="74"/>
      <c r="I382" s="74"/>
      <c r="J382" s="74"/>
      <c r="K382" s="74"/>
      <c r="L382" s="74"/>
      <c r="M382" s="74"/>
      <c r="N382" s="373" t="s">
        <v>66</v>
      </c>
      <c r="O382" s="367">
        <f>O268</f>
        <v>14303.000000000005</v>
      </c>
      <c r="P382" s="368">
        <f>P268</f>
        <v>-33146</v>
      </c>
      <c r="Q382" s="368">
        <f>Q268</f>
        <v>30598.419227500006</v>
      </c>
      <c r="R382" s="368">
        <f>R268</f>
        <v>30598.419227500006</v>
      </c>
      <c r="S382" s="369">
        <f>S268</f>
        <v>29017.512530000004</v>
      </c>
      <c r="T382" s="1372"/>
      <c r="U382" s="1373"/>
      <c r="V382" s="370">
        <f>V268</f>
        <v>94894.848929852014</v>
      </c>
      <c r="W382" s="370">
        <f t="shared" ref="W382:AB382" si="267">W268</f>
        <v>134032623.39</v>
      </c>
      <c r="X382" s="370">
        <f t="shared" si="267"/>
        <v>134032.62338999999</v>
      </c>
      <c r="Y382" s="370">
        <f t="shared" si="267"/>
        <v>0</v>
      </c>
      <c r="Z382" s="370">
        <f t="shared" si="267"/>
        <v>0</v>
      </c>
      <c r="AA382" s="370">
        <f t="shared" si="267"/>
        <v>0</v>
      </c>
      <c r="AB382" s="370">
        <f t="shared" si="267"/>
        <v>0</v>
      </c>
      <c r="AC382" s="369">
        <f>AC268</f>
        <v>99875.162665224314</v>
      </c>
      <c r="AD382" s="369">
        <f>AD268</f>
        <v>240747.37227624294</v>
      </c>
      <c r="AE382" s="369">
        <f>AE268</f>
        <v>100136.47299469695</v>
      </c>
      <c r="AF382" s="369">
        <f>AF268</f>
        <v>101034.89390476303</v>
      </c>
      <c r="AG382" s="373"/>
      <c r="AH382" s="369">
        <f>AH268</f>
        <v>263661.57188421319</v>
      </c>
      <c r="AI382" s="369"/>
      <c r="AJ382" s="369"/>
      <c r="AK382" s="369">
        <f>AK268</f>
        <v>248701.69551662324</v>
      </c>
    </row>
    <row r="383" spans="2:37">
      <c r="B383" s="400"/>
      <c r="C383" s="355"/>
      <c r="D383" s="355"/>
      <c r="E383" s="374"/>
      <c r="F383" s="74"/>
      <c r="G383" s="74"/>
      <c r="H383" s="74"/>
      <c r="I383" s="74"/>
      <c r="J383" s="74"/>
      <c r="K383" s="74"/>
      <c r="L383" s="74"/>
      <c r="M383" s="74"/>
      <c r="N383" s="374"/>
      <c r="O383" s="375"/>
      <c r="P383" s="74"/>
      <c r="Q383" s="74"/>
      <c r="R383" s="74"/>
      <c r="S383" s="376"/>
      <c r="T383" s="1372"/>
      <c r="U383" s="1373"/>
      <c r="V383" s="377"/>
      <c r="W383" s="1038"/>
      <c r="X383" s="1038"/>
      <c r="Y383" s="1038"/>
      <c r="Z383" s="1038"/>
      <c r="AA383" s="1038"/>
      <c r="AB383" s="1038"/>
      <c r="AC383" s="376"/>
      <c r="AD383" s="376"/>
      <c r="AE383" s="376"/>
      <c r="AF383" s="376"/>
      <c r="AG383" s="374"/>
      <c r="AH383" s="376"/>
      <c r="AI383" s="376"/>
      <c r="AJ383" s="376"/>
      <c r="AK383" s="376"/>
    </row>
    <row r="384" spans="2:37" ht="135" thickBot="1">
      <c r="B384" s="400"/>
      <c r="C384" s="355"/>
      <c r="D384" s="355"/>
      <c r="E384" s="378" t="s">
        <v>1490</v>
      </c>
      <c r="F384" s="74"/>
      <c r="G384" s="74"/>
      <c r="H384" s="74"/>
      <c r="I384" s="74"/>
      <c r="J384" s="74"/>
      <c r="K384" s="74"/>
      <c r="L384" s="74"/>
      <c r="M384" s="74"/>
      <c r="N384" s="378" t="s">
        <v>1490</v>
      </c>
      <c r="O384" s="379">
        <f>(O96+O277+O294+O202+O287+O302+O303+O304+O305+O205+O306+O307+O309+O312+O313+O314+O203+O204+O297)/0.8</f>
        <v>445294.02626250248</v>
      </c>
      <c r="P384" s="380">
        <f>(P96+P277+P294+P202+P287+P302+P303+P304+P305+P205+P306+P307+P309+P312+P313+P314+P203+P204+P297)/0.8</f>
        <v>216404.54152500085</v>
      </c>
      <c r="Q384" s="380">
        <f>(Q96+Q277+Q294+Q202+Q287+Q302+Q303+Q304+Q305+Q205+Q306+Q307+Q309+Q312+Q313+Q314+Q203+Q204+Q297)/0.8</f>
        <v>152992.09613749999</v>
      </c>
      <c r="R384" s="380">
        <f>(R96+R277+R294+R202+R287+R302+R303+R304+R305+R205+R306+R307+R309+R312+R313+R314+R203+R204+R297)/0.8</f>
        <v>152992.09613749999</v>
      </c>
      <c r="S384" s="381">
        <f>(S96+S277+S294+S202+S287+S302+S303+S304+S305+S205+S306+S307+S309+S312+S313+S314+S203+S204+S297)/0.8</f>
        <v>145087.56265000001</v>
      </c>
      <c r="T384" s="1372"/>
      <c r="U384" s="1373"/>
      <c r="V384" s="379">
        <f>(V96+V277+V294+V202+V287+V302+V303+V304+V305+V205+V306+V307+V309+V312+V313+V314+V203+V204+V297)/0.8</f>
        <v>474474.24464926007</v>
      </c>
      <c r="W384" s="379">
        <f t="shared" ref="W384:AB384" si="268">(W96+W277+W294+W202+W287+W302+W303+W304+W305+W205+W306+W307+W309+W312+W313+W314+W203+W204+W297)/0.8</f>
        <v>262655881.59624878</v>
      </c>
      <c r="X384" s="379">
        <f t="shared" si="268"/>
        <v>262655.88159624871</v>
      </c>
      <c r="Y384" s="379">
        <f t="shared" si="268"/>
        <v>430196.65996249852</v>
      </c>
      <c r="Z384" s="379">
        <f>(Z96+Z277+Z294+Z202+Z287+Z302+Z303+Z304+Z305+Z205+Z306+Z307+Z309+Z312+Z313+Z314+Z203+Z204+Z297)/0.8</f>
        <v>20763.871037499513</v>
      </c>
      <c r="AA384" s="379">
        <f t="shared" si="268"/>
        <v>320596.57157499983</v>
      </c>
      <c r="AB384" s="379">
        <f t="shared" si="268"/>
        <v>88836.217350000021</v>
      </c>
      <c r="AC384" s="380">
        <f>(AC96+AC277+AC294+AC202+AC287+AC302+AC303+AC304+AC305+AC205+AC306+AC307+AC309+AC312+AC313+AC314+AC203+AC204+AC297)/0.8</f>
        <v>499375.81332612154</v>
      </c>
      <c r="AD384" s="381">
        <f>(AD96+AD277+AD294+AD202+AD287+AD302+AD303+AD304+AD305+AD205+AD306+AD307+AD309+AD312+AD313+AD314+AD203+AD204+AD297)/0.8</f>
        <v>1200655.6258487147</v>
      </c>
      <c r="AE384" s="381">
        <f>(AE96+AE277+AE294+AE202+AE287+AE302+AE303+AE304+AE305+AE205+AE306+AE307+AE309+AE312+AE313+AE314+AE203+AE204+AE297)/0.8</f>
        <v>500682.36497348471</v>
      </c>
      <c r="AF384" s="381">
        <f>(AF96+AF277+AF294+AF202+AF287+AF302+AF303+AF304+AF305+AF205+AF306+AF307+AF309+AF312+AF313+AF314+AF203+AF204+AF297)/0.8</f>
        <v>505174.46952381509</v>
      </c>
      <c r="AG384" s="378"/>
      <c r="AH384" s="381">
        <f>(AH96+AH277+AH294+AH202+AH287+AH302+AH303+AH304+AH305+AH205+AH306+AH307+AH309+AH312+AH313+AH314+AH203+AH204+AH297)/0.8</f>
        <v>1318307.8594210658</v>
      </c>
      <c r="AI384" s="381"/>
      <c r="AJ384" s="381"/>
      <c r="AK384" s="381">
        <f>(AK96+AK277+AK294+AK202+AK287+AK302+AK303+AK304+AK305+AK205+AK306+AK307+AK309+AK312+AK313+AK314+AK203+AK204+AK297)/0.8</f>
        <v>1243508.4775831162</v>
      </c>
    </row>
    <row r="385" spans="5:37" ht="27" customHeight="1" thickBot="1">
      <c r="E385" s="383" t="s">
        <v>1491</v>
      </c>
      <c r="N385" s="383" t="s">
        <v>1491</v>
      </c>
      <c r="O385" s="384">
        <f>O384*0.2</f>
        <v>89058.805252500504</v>
      </c>
      <c r="P385" s="385">
        <f t="shared" ref="P385:R385" si="269">P384*0.2</f>
        <v>43280.908305000172</v>
      </c>
      <c r="Q385" s="385">
        <f t="shared" si="269"/>
        <v>30598.419227499999</v>
      </c>
      <c r="R385" s="385">
        <f t="shared" si="269"/>
        <v>30598.419227499999</v>
      </c>
      <c r="S385" s="386">
        <f>S384*0.2</f>
        <v>29017.512530000004</v>
      </c>
      <c r="T385" s="1372"/>
      <c r="U385" s="1373"/>
      <c r="V385" s="387">
        <f>V384*0.2</f>
        <v>94894.848929852014</v>
      </c>
      <c r="W385" s="387">
        <f t="shared" ref="W385:AE385" si="270">W384*0.2</f>
        <v>52531176.319249757</v>
      </c>
      <c r="X385" s="387">
        <f t="shared" si="270"/>
        <v>52531.176319249746</v>
      </c>
      <c r="Y385" s="387">
        <f t="shared" si="270"/>
        <v>86039.331992499705</v>
      </c>
      <c r="Z385" s="387">
        <f t="shared" si="270"/>
        <v>4152.7742074999032</v>
      </c>
      <c r="AA385" s="387">
        <f t="shared" si="270"/>
        <v>64119.314314999967</v>
      </c>
      <c r="AB385" s="387">
        <f t="shared" si="270"/>
        <v>17767.243470000005</v>
      </c>
      <c r="AC385" s="386">
        <f t="shared" si="270"/>
        <v>99875.162665224314</v>
      </c>
      <c r="AD385" s="386">
        <f t="shared" si="270"/>
        <v>240131.12516974297</v>
      </c>
      <c r="AE385" s="386">
        <f t="shared" si="270"/>
        <v>100136.47299469695</v>
      </c>
      <c r="AF385" s="386">
        <f>AF384*0.2</f>
        <v>101034.89390476303</v>
      </c>
      <c r="AG385" s="383"/>
      <c r="AH385" s="1039">
        <f>AH384*0.2</f>
        <v>263661.57188421319</v>
      </c>
      <c r="AI385" s="1039"/>
      <c r="AJ385" s="1039"/>
      <c r="AK385" s="386">
        <f>AK384*0.2</f>
        <v>248701.69551662324</v>
      </c>
    </row>
    <row r="386" spans="5:37" ht="17.399999999999999" thickBot="1">
      <c r="E386" s="52"/>
      <c r="T386" s="1373"/>
      <c r="U386" s="1373"/>
    </row>
    <row r="387" spans="5:37" ht="135" thickBot="1">
      <c r="E387" s="388" t="s">
        <v>1492</v>
      </c>
      <c r="N387" s="388" t="s">
        <v>1492</v>
      </c>
      <c r="O387" s="389">
        <f>O377*12%</f>
        <v>459792.35805480002</v>
      </c>
      <c r="P387" s="390">
        <f>P377*12%</f>
        <v>426875.88719520008</v>
      </c>
      <c r="Q387" s="390">
        <f>Q377*12%</f>
        <v>369154.9617939039</v>
      </c>
      <c r="R387" s="390">
        <f>R377*12%</f>
        <v>369531.30933750392</v>
      </c>
      <c r="S387" s="391">
        <f>S377*12%</f>
        <v>355958.97687870398</v>
      </c>
      <c r="T387" s="1372"/>
      <c r="U387" s="1373"/>
      <c r="V387" s="392">
        <f>V377*12%</f>
        <v>336598.6357307951</v>
      </c>
      <c r="W387" s="392">
        <f t="shared" ref="W387:AD387" si="271">W377*12%</f>
        <v>526397941.54475987</v>
      </c>
      <c r="X387" s="392">
        <f t="shared" si="271"/>
        <v>526397.94115355983</v>
      </c>
      <c r="Y387" s="392">
        <f t="shared" si="271"/>
        <v>526397.94192867295</v>
      </c>
      <c r="Z387" s="392">
        <f t="shared" si="271"/>
        <v>501663.36294747307</v>
      </c>
      <c r="AA387" s="392">
        <f t="shared" si="271"/>
        <v>17105.413243200001</v>
      </c>
      <c r="AB387" s="392">
        <f t="shared" si="271"/>
        <v>7629.1662527999997</v>
      </c>
      <c r="AC387" s="391">
        <f t="shared" si="271"/>
        <v>354585.75629589515</v>
      </c>
      <c r="AD387" s="391">
        <f t="shared" si="271"/>
        <v>775756.23797397001</v>
      </c>
      <c r="AE387" s="391">
        <f>AE377*12%</f>
        <v>355889.23310577596</v>
      </c>
      <c r="AF387" s="391">
        <f>AF377*12%</f>
        <v>359574.89873729617</v>
      </c>
      <c r="AG387" s="388"/>
      <c r="AH387" s="1040">
        <f>AH377*12%</f>
        <v>833850.40093649516</v>
      </c>
      <c r="AI387" s="1040"/>
      <c r="AJ387" s="1040"/>
      <c r="AK387" s="391">
        <f>AK377*12%</f>
        <v>804415.78746366675</v>
      </c>
    </row>
  </sheetData>
  <autoFilter ref="AH26:AK325"/>
  <mergeCells count="103">
    <mergeCell ref="N375:AD375"/>
    <mergeCell ref="T376:T387"/>
    <mergeCell ref="U376:U387"/>
    <mergeCell ref="C358:F358"/>
    <mergeCell ref="C359:F359"/>
    <mergeCell ref="C360:F360"/>
    <mergeCell ref="C361:F361"/>
    <mergeCell ref="C362:F362"/>
    <mergeCell ref="C363:F363"/>
    <mergeCell ref="A244:A245"/>
    <mergeCell ref="B244:B245"/>
    <mergeCell ref="F244:F245"/>
    <mergeCell ref="G244:G245"/>
    <mergeCell ref="B338:E338"/>
    <mergeCell ref="B348:AE348"/>
    <mergeCell ref="B354:B357"/>
    <mergeCell ref="C354:F357"/>
    <mergeCell ref="G354:G357"/>
    <mergeCell ref="K354:K357"/>
    <mergeCell ref="L354:V354"/>
    <mergeCell ref="L355:L357"/>
    <mergeCell ref="M355:M356"/>
    <mergeCell ref="F170:F171"/>
    <mergeCell ref="G170:G171"/>
    <mergeCell ref="K170:K171"/>
    <mergeCell ref="AL176:AL177"/>
    <mergeCell ref="F208:F210"/>
    <mergeCell ref="G59:G60"/>
    <mergeCell ref="F116:F117"/>
    <mergeCell ref="G116:G117"/>
    <mergeCell ref="H244:H245"/>
    <mergeCell ref="K244:K245"/>
    <mergeCell ref="V244:V245"/>
    <mergeCell ref="AC244:AC245"/>
    <mergeCell ref="AE244:AE245"/>
    <mergeCell ref="AG244:AG245"/>
    <mergeCell ref="F218:F219"/>
    <mergeCell ref="G218:G219"/>
    <mergeCell ref="A144:A145"/>
    <mergeCell ref="C144:C145"/>
    <mergeCell ref="F146:F147"/>
    <mergeCell ref="G146:G147"/>
    <mergeCell ref="AF26:AF27"/>
    <mergeCell ref="AG26:AG27"/>
    <mergeCell ref="AH26:AH27"/>
    <mergeCell ref="AI26:AI27"/>
    <mergeCell ref="AJ26:AJ27"/>
    <mergeCell ref="H26:H27"/>
    <mergeCell ref="I26:I27"/>
    <mergeCell ref="J26:J27"/>
    <mergeCell ref="K26:K27"/>
    <mergeCell ref="L26:L27"/>
    <mergeCell ref="M26:M27"/>
    <mergeCell ref="K146:K147"/>
    <mergeCell ref="AG25:AK25"/>
    <mergeCell ref="AL25:AL27"/>
    <mergeCell ref="N26:N27"/>
    <mergeCell ref="O26:O27"/>
    <mergeCell ref="P26:P27"/>
    <mergeCell ref="Q26:Q27"/>
    <mergeCell ref="AK26:AK27"/>
    <mergeCell ref="Z26:Z27"/>
    <mergeCell ref="AA26:AA27"/>
    <mergeCell ref="AB26:AB27"/>
    <mergeCell ref="AC26:AC27"/>
    <mergeCell ref="AD26:AD27"/>
    <mergeCell ref="AE26:AE27"/>
    <mergeCell ref="R26:R27"/>
    <mergeCell ref="S26:S27"/>
    <mergeCell ref="T26:T27"/>
    <mergeCell ref="U26:U27"/>
    <mergeCell ref="V26:V27"/>
    <mergeCell ref="Y26:Y27"/>
    <mergeCell ref="F23:G23"/>
    <mergeCell ref="B24:AD24"/>
    <mergeCell ref="A25:A27"/>
    <mergeCell ref="B25:B27"/>
    <mergeCell ref="C25:C27"/>
    <mergeCell ref="D25:D27"/>
    <mergeCell ref="E25:E27"/>
    <mergeCell ref="F25:F27"/>
    <mergeCell ref="G25:G27"/>
    <mergeCell ref="H25:J25"/>
    <mergeCell ref="K25:M25"/>
    <mergeCell ref="N25:U25"/>
    <mergeCell ref="V25:AB25"/>
    <mergeCell ref="AC25:AF25"/>
    <mergeCell ref="R3:R4"/>
    <mergeCell ref="S3:S4"/>
    <mergeCell ref="T3:T4"/>
    <mergeCell ref="U3:V3"/>
    <mergeCell ref="AC3:AC4"/>
    <mergeCell ref="AD3:AD4"/>
    <mergeCell ref="P2:AD2"/>
    <mergeCell ref="H3:H4"/>
    <mergeCell ref="I3:I4"/>
    <mergeCell ref="J3:J4"/>
    <mergeCell ref="K3:K4"/>
    <mergeCell ref="L3:L4"/>
    <mergeCell ref="M3:N3"/>
    <mergeCell ref="O3:O4"/>
    <mergeCell ref="P3:P4"/>
    <mergeCell ref="Q3:Q4"/>
  </mergeCells>
  <dataValidations disablePrompts="1" count="1">
    <dataValidation type="decimal" allowBlank="1" showInputMessage="1" showErrorMessage="1" error="Ввведеное значение неверно" sqref="K6:O6 S6:AF6">
      <formula1>-1000000000000000</formula1>
      <formula2>1000000000000000</formula2>
    </dataValidation>
  </dataValidations>
  <printOptions horizontalCentered="1"/>
  <pageMargins left="0" right="0" top="0.19685039370078741" bottom="0" header="0" footer="0"/>
  <pageSetup paperSize="8" scale="50" fitToHeight="0" orientation="portrait" cellComments="asDisplayed"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9"/>
  <sheetViews>
    <sheetView view="pageBreakPreview" zoomScale="80" zoomScaleNormal="60" zoomScaleSheetLayoutView="80" workbookViewId="0">
      <pane xSplit="3" ySplit="7" topLeftCell="E8" activePane="bottomRight" state="frozen"/>
      <selection pane="topRight" activeCell="E1" sqref="E1"/>
      <selection pane="bottomLeft" activeCell="A8" sqref="A8"/>
      <selection pane="bottomRight" activeCell="F39" sqref="F39"/>
    </sheetView>
  </sheetViews>
  <sheetFormatPr defaultColWidth="9.109375" defaultRowHeight="18"/>
  <cols>
    <col min="1" max="1" width="15" style="12" customWidth="1"/>
    <col min="2" max="2" width="62.6640625" style="2" customWidth="1"/>
    <col min="3" max="3" width="18.33203125" style="8" customWidth="1"/>
    <col min="4" max="4" width="51.44140625" style="1" customWidth="1"/>
    <col min="5" max="5" width="73.6640625" style="1" customWidth="1"/>
    <col min="6" max="6" width="64.33203125" style="1" customWidth="1"/>
    <col min="7" max="7" width="25.88671875" style="1" customWidth="1"/>
    <col min="8" max="8" width="67.5546875" style="1" customWidth="1"/>
    <col min="9" max="10" width="17" style="1" bestFit="1" customWidth="1"/>
    <col min="11" max="16384" width="9.109375" style="1"/>
  </cols>
  <sheetData>
    <row r="1" spans="1:8">
      <c r="A1" s="1"/>
      <c r="B1" s="1"/>
      <c r="C1" s="1"/>
      <c r="F1" s="1105" t="s">
        <v>2238</v>
      </c>
    </row>
    <row r="2" spans="1:8" ht="44.4" customHeight="1">
      <c r="A2" s="9"/>
      <c r="B2" s="9"/>
      <c r="C2" s="9"/>
      <c r="D2" s="9"/>
      <c r="E2" s="9"/>
      <c r="F2" s="1116" t="s">
        <v>2209</v>
      </c>
    </row>
    <row r="3" spans="1:8" ht="6.75" hidden="1" customHeight="1">
      <c r="A3" s="9"/>
      <c r="B3" s="9"/>
      <c r="C3" s="9"/>
      <c r="D3" s="9"/>
      <c r="E3" s="9"/>
      <c r="F3" s="1116"/>
    </row>
    <row r="4" spans="1:8" ht="51.75" customHeight="1">
      <c r="A4" s="1117" t="s">
        <v>2210</v>
      </c>
      <c r="B4" s="1117"/>
      <c r="C4" s="1117"/>
      <c r="D4" s="1117"/>
      <c r="E4" s="1117"/>
      <c r="F4" s="1117"/>
    </row>
    <row r="5" spans="1:8">
      <c r="A5" s="10"/>
      <c r="B5" s="8"/>
      <c r="D5" s="8"/>
      <c r="E5" s="8"/>
      <c r="F5" s="18"/>
      <c r="G5" s="396"/>
    </row>
    <row r="6" spans="1:8" s="2" customFormat="1" ht="41.25" customHeight="1">
      <c r="A6" s="1122" t="s">
        <v>76</v>
      </c>
      <c r="B6" s="1123" t="s">
        <v>2224</v>
      </c>
      <c r="C6" s="1123" t="s">
        <v>0</v>
      </c>
      <c r="D6" s="1118" t="s">
        <v>68</v>
      </c>
      <c r="E6" s="1119"/>
      <c r="F6" s="1120"/>
    </row>
    <row r="7" spans="1:8" s="2" customFormat="1" ht="69.599999999999994" customHeight="1">
      <c r="A7" s="1122"/>
      <c r="B7" s="1123"/>
      <c r="C7" s="1123"/>
      <c r="D7" s="1084" t="s">
        <v>2225</v>
      </c>
      <c r="E7" s="5" t="s">
        <v>2226</v>
      </c>
      <c r="F7" s="1084" t="s">
        <v>2234</v>
      </c>
      <c r="G7" s="1094"/>
      <c r="H7" s="1094"/>
    </row>
    <row r="8" spans="1:8" s="22" customFormat="1" ht="39" customHeight="1">
      <c r="A8" s="19" t="s">
        <v>1</v>
      </c>
      <c r="B8" s="31" t="s">
        <v>8</v>
      </c>
      <c r="C8" s="20"/>
      <c r="D8" s="21"/>
      <c r="E8" s="21"/>
      <c r="F8" s="1100"/>
      <c r="G8" s="1079"/>
    </row>
    <row r="9" spans="1:8" ht="29.25" customHeight="1">
      <c r="A9" s="11" t="s">
        <v>2</v>
      </c>
      <c r="B9" s="32" t="s">
        <v>1526</v>
      </c>
      <c r="C9" s="5" t="s">
        <v>14</v>
      </c>
      <c r="D9" s="397">
        <v>7509867.7614900004</v>
      </c>
      <c r="E9" s="397">
        <v>8028581.78321952</v>
      </c>
      <c r="F9" s="1101">
        <v>41645973.829999998</v>
      </c>
      <c r="G9" s="396"/>
    </row>
    <row r="10" spans="1:8" ht="25.2" customHeight="1">
      <c r="A10" s="11" t="s">
        <v>3</v>
      </c>
      <c r="B10" s="32" t="s">
        <v>9</v>
      </c>
      <c r="C10" s="5" t="s">
        <v>14</v>
      </c>
      <c r="D10" s="397">
        <f>'1.3'!CF27</f>
        <v>609468</v>
      </c>
      <c r="E10" s="397">
        <v>1029544.4698925889</v>
      </c>
      <c r="F10" s="1101">
        <v>16780681.640000001</v>
      </c>
      <c r="H10" s="1081"/>
    </row>
    <row r="11" spans="1:8" ht="43.2" customHeight="1">
      <c r="A11" s="11" t="s">
        <v>4</v>
      </c>
      <c r="B11" s="32" t="s">
        <v>10</v>
      </c>
      <c r="C11" s="5" t="s">
        <v>14</v>
      </c>
      <c r="D11" s="397">
        <v>894982</v>
      </c>
      <c r="E11" s="397">
        <v>969701.34010237863</v>
      </c>
      <c r="F11" s="397">
        <v>2712644.084512949</v>
      </c>
    </row>
    <row r="12" spans="1:8" ht="24" customHeight="1">
      <c r="A12" s="11" t="s">
        <v>5</v>
      </c>
      <c r="B12" s="32" t="s">
        <v>11</v>
      </c>
      <c r="C12" s="5" t="s">
        <v>14</v>
      </c>
      <c r="D12" s="397">
        <f>'1.3'!CF38</f>
        <v>-135768</v>
      </c>
      <c r="E12" s="397">
        <v>359574.89899626304</v>
      </c>
      <c r="F12" s="1101">
        <v>880034.07725789805</v>
      </c>
    </row>
    <row r="13" spans="1:8" s="22" customFormat="1" ht="17.399999999999999">
      <c r="A13" s="19" t="s">
        <v>6</v>
      </c>
      <c r="B13" s="31" t="s">
        <v>12</v>
      </c>
      <c r="C13" s="20"/>
      <c r="D13" s="1069"/>
      <c r="E13" s="1069"/>
      <c r="F13" s="1102"/>
    </row>
    <row r="14" spans="1:8" ht="74.25" customHeight="1">
      <c r="A14" s="11" t="s">
        <v>7</v>
      </c>
      <c r="B14" s="32" t="s">
        <v>13</v>
      </c>
      <c r="C14" s="5" t="s">
        <v>15</v>
      </c>
      <c r="D14" s="397">
        <f>D10/D9*100</f>
        <v>8.1155623421933338</v>
      </c>
      <c r="E14" s="397">
        <v>12.823491093338999</v>
      </c>
      <c r="F14" s="1101">
        <v>40.29</v>
      </c>
    </row>
    <row r="15" spans="1:8" s="22" customFormat="1" ht="34.799999999999997">
      <c r="A15" s="19" t="s">
        <v>16</v>
      </c>
      <c r="B15" s="31" t="s">
        <v>26</v>
      </c>
      <c r="C15" s="20"/>
      <c r="D15" s="21"/>
      <c r="E15" s="21"/>
      <c r="F15" s="1100"/>
      <c r="G15" s="1079"/>
    </row>
    <row r="16" spans="1:8" ht="36">
      <c r="A16" s="11" t="s">
        <v>19</v>
      </c>
      <c r="B16" s="32" t="s">
        <v>69</v>
      </c>
      <c r="C16" s="5" t="s">
        <v>24</v>
      </c>
      <c r="D16" s="6" t="s">
        <v>63</v>
      </c>
      <c r="E16" s="6" t="s">
        <v>63</v>
      </c>
      <c r="F16" s="1068" t="s">
        <v>63</v>
      </c>
      <c r="G16" s="1079"/>
      <c r="H16" s="22"/>
    </row>
    <row r="17" spans="1:10" ht="36">
      <c r="A17" s="11" t="s">
        <v>20</v>
      </c>
      <c r="B17" s="32" t="s">
        <v>1532</v>
      </c>
      <c r="C17" s="5" t="s">
        <v>70</v>
      </c>
      <c r="D17" s="6" t="s">
        <v>63</v>
      </c>
      <c r="E17" s="6" t="s">
        <v>63</v>
      </c>
      <c r="F17" s="1068" t="s">
        <v>63</v>
      </c>
      <c r="G17" s="396"/>
    </row>
    <row r="18" spans="1:10" s="1080" customFormat="1" ht="60.6" customHeight="1">
      <c r="A18" s="1082" t="s">
        <v>21</v>
      </c>
      <c r="B18" s="1083" t="s">
        <v>17</v>
      </c>
      <c r="C18" s="1084" t="s">
        <v>24</v>
      </c>
      <c r="D18" s="397">
        <v>806.51484064976898</v>
      </c>
      <c r="E18" s="397">
        <v>802.04</v>
      </c>
      <c r="F18" s="397">
        <v>823.7</v>
      </c>
    </row>
    <row r="19" spans="1:10" ht="33.6" customHeight="1">
      <c r="A19" s="1082" t="s">
        <v>22</v>
      </c>
      <c r="B19" s="1083" t="s">
        <v>18</v>
      </c>
      <c r="C19" s="1084" t="s">
        <v>25</v>
      </c>
      <c r="D19" s="397">
        <v>5647973.1855080929</v>
      </c>
      <c r="E19" s="397">
        <v>5674626.4699999997</v>
      </c>
      <c r="F19" s="397">
        <v>5769517.4186300002</v>
      </c>
    </row>
    <row r="20" spans="1:10" ht="44.25" customHeight="1">
      <c r="A20" s="1082" t="s">
        <v>23</v>
      </c>
      <c r="B20" s="1083" t="s">
        <v>51</v>
      </c>
      <c r="C20" s="1084" t="s">
        <v>25</v>
      </c>
      <c r="D20" s="397">
        <v>2496012.7234999998</v>
      </c>
      <c r="E20" s="397">
        <v>2530148.6800000002</v>
      </c>
      <c r="F20" s="397">
        <v>2572458.9079840528</v>
      </c>
    </row>
    <row r="21" spans="1:10" ht="66.75" customHeight="1">
      <c r="A21" s="1082" t="s">
        <v>71</v>
      </c>
      <c r="B21" s="1083" t="s">
        <v>100</v>
      </c>
      <c r="C21" s="1084" t="s">
        <v>15</v>
      </c>
      <c r="D21" s="397" t="s">
        <v>1523</v>
      </c>
      <c r="E21" s="397" t="s">
        <v>1523</v>
      </c>
      <c r="F21" s="397" t="s">
        <v>1523</v>
      </c>
    </row>
    <row r="22" spans="1:10" ht="262.95" customHeight="1">
      <c r="A22" s="11" t="s">
        <v>72</v>
      </c>
      <c r="B22" s="32" t="s">
        <v>82</v>
      </c>
      <c r="C22" s="5"/>
      <c r="D22" s="395" t="s">
        <v>1524</v>
      </c>
      <c r="E22" s="1137" t="s">
        <v>2235</v>
      </c>
      <c r="F22" s="1138"/>
    </row>
    <row r="23" spans="1:10" ht="54">
      <c r="A23" s="11" t="s">
        <v>73</v>
      </c>
      <c r="B23" s="32" t="s">
        <v>74</v>
      </c>
      <c r="C23" s="5" t="s">
        <v>70</v>
      </c>
      <c r="D23" s="6" t="s">
        <v>63</v>
      </c>
      <c r="E23" s="6" t="s">
        <v>63</v>
      </c>
      <c r="F23" s="1068" t="s">
        <v>63</v>
      </c>
    </row>
    <row r="24" spans="1:10" s="22" customFormat="1" ht="49.5" customHeight="1">
      <c r="A24" s="19" t="s">
        <v>33</v>
      </c>
      <c r="B24" s="31" t="s">
        <v>1525</v>
      </c>
      <c r="C24" s="20"/>
      <c r="D24" s="21">
        <v>5049951.0580799989</v>
      </c>
      <c r="E24" s="21">
        <v>4762004.1714969696</v>
      </c>
      <c r="F24" s="1102">
        <v>37719915.420000002</v>
      </c>
      <c r="H24" s="1079"/>
    </row>
    <row r="25" spans="1:10" ht="36">
      <c r="A25" s="1129" t="s">
        <v>34</v>
      </c>
      <c r="B25" s="32" t="s">
        <v>27</v>
      </c>
      <c r="C25" s="1126" t="s">
        <v>14</v>
      </c>
      <c r="D25" s="6">
        <v>2396659.0837499998</v>
      </c>
      <c r="E25" s="6">
        <v>1854248.2595059047</v>
      </c>
      <c r="F25" s="1101">
        <v>5024588.9760646364</v>
      </c>
      <c r="H25" s="1079"/>
    </row>
    <row r="26" spans="1:10" ht="26.4" customHeight="1">
      <c r="A26" s="1130"/>
      <c r="B26" s="32" t="s">
        <v>35</v>
      </c>
      <c r="C26" s="1127"/>
      <c r="D26" s="6"/>
      <c r="E26" s="6"/>
      <c r="F26" s="1101"/>
    </row>
    <row r="27" spans="1:10" ht="30" customHeight="1">
      <c r="A27" s="1130"/>
      <c r="B27" s="32" t="s">
        <v>36</v>
      </c>
      <c r="C27" s="1128"/>
      <c r="D27" s="6">
        <f>'Приложение № 8'!CG25</f>
        <v>938966.87582999992</v>
      </c>
      <c r="E27" s="6">
        <v>997946.4656911972</v>
      </c>
      <c r="F27" s="1101">
        <v>2243154.1</v>
      </c>
      <c r="G27" s="396"/>
    </row>
    <row r="28" spans="1:10" ht="28.95" customHeight="1">
      <c r="A28" s="1130"/>
      <c r="B28" s="32" t="s">
        <v>37</v>
      </c>
      <c r="C28" s="1126"/>
      <c r="D28" s="6">
        <f>'1. подк.неподк. факт'!Z113</f>
        <v>153414.06935000001</v>
      </c>
      <c r="E28" s="6">
        <v>76756.5014479456</v>
      </c>
      <c r="F28" s="1101">
        <v>165243.15666195759</v>
      </c>
    </row>
    <row r="29" spans="1:10" ht="31.2" customHeight="1">
      <c r="A29" s="1131"/>
      <c r="B29" s="32" t="s">
        <v>38</v>
      </c>
      <c r="C29" s="1128"/>
      <c r="D29" s="6">
        <f>'1. подк.неподк. факт'!Z29</f>
        <v>305661.52798000001</v>
      </c>
      <c r="E29" s="6">
        <v>252865.03119831113</v>
      </c>
      <c r="F29" s="1101">
        <v>426452.04844466853</v>
      </c>
    </row>
    <row r="30" spans="1:10" ht="48" customHeight="1">
      <c r="A30" s="11" t="s">
        <v>39</v>
      </c>
      <c r="B30" s="32" t="s">
        <v>28</v>
      </c>
      <c r="C30" s="5" t="s">
        <v>14</v>
      </c>
      <c r="D30" s="6">
        <f>2653291.97433-D32</f>
        <v>1560353.2411162122</v>
      </c>
      <c r="E30" s="6">
        <v>962079.3315679254</v>
      </c>
      <c r="F30" s="1101">
        <v>1757297.2616728642</v>
      </c>
    </row>
    <row r="31" spans="1:10" ht="36">
      <c r="A31" s="11" t="s">
        <v>40</v>
      </c>
      <c r="B31" s="32" t="s">
        <v>29</v>
      </c>
      <c r="C31" s="5" t="s">
        <v>14</v>
      </c>
      <c r="D31" s="6">
        <v>0</v>
      </c>
      <c r="E31" s="6">
        <v>368373.10943581146</v>
      </c>
      <c r="F31" s="1101">
        <v>14712171.289999999</v>
      </c>
      <c r="G31" s="396"/>
    </row>
    <row r="32" spans="1:10" ht="36">
      <c r="A32" s="11" t="s">
        <v>41</v>
      </c>
      <c r="B32" s="32" t="s">
        <v>1527</v>
      </c>
      <c r="C32" s="5" t="s">
        <v>14</v>
      </c>
      <c r="D32" s="6">
        <v>1092938.7332137879</v>
      </c>
      <c r="E32" s="6">
        <v>1571572.2989962632</v>
      </c>
      <c r="F32" s="1068">
        <v>3460064.7072578981</v>
      </c>
      <c r="G32" s="396"/>
      <c r="I32" s="396"/>
      <c r="J32" s="396"/>
    </row>
    <row r="33" spans="1:7" ht="301.5" customHeight="1">
      <c r="A33" s="11" t="s">
        <v>42</v>
      </c>
      <c r="B33" s="32" t="s">
        <v>83</v>
      </c>
      <c r="C33" s="5"/>
      <c r="D33" s="1067" t="s">
        <v>2213</v>
      </c>
      <c r="E33" s="1095" t="s">
        <v>1533</v>
      </c>
      <c r="F33" s="1095" t="s">
        <v>1534</v>
      </c>
    </row>
    <row r="34" spans="1:7">
      <c r="A34" s="13"/>
      <c r="B34" s="33" t="s">
        <v>30</v>
      </c>
      <c r="C34" s="5"/>
      <c r="D34" s="6"/>
      <c r="E34" s="6"/>
      <c r="F34" s="1068"/>
      <c r="G34" s="396"/>
    </row>
    <row r="35" spans="1:7" ht="40.5" customHeight="1">
      <c r="A35" s="13"/>
      <c r="B35" s="32" t="s">
        <v>31</v>
      </c>
      <c r="C35" s="5" t="s">
        <v>43</v>
      </c>
      <c r="D35" s="6">
        <v>98245.39</v>
      </c>
      <c r="E35" s="6">
        <v>98245.42</v>
      </c>
      <c r="F35" s="1068">
        <v>98474.93</v>
      </c>
    </row>
    <row r="36" spans="1:7" ht="39.75" customHeight="1">
      <c r="A36" s="14"/>
      <c r="B36" s="32" t="s">
        <v>32</v>
      </c>
      <c r="C36" s="5" t="s">
        <v>44</v>
      </c>
      <c r="D36" s="6">
        <f>D25/D35</f>
        <v>24.394621302332862</v>
      </c>
      <c r="E36" s="6">
        <v>18.873635631115473</v>
      </c>
      <c r="F36" s="1068">
        <v>51.024042119802843</v>
      </c>
    </row>
    <row r="37" spans="1:7" s="22" customFormat="1" ht="55.5" customHeight="1">
      <c r="A37" s="19" t="s">
        <v>52</v>
      </c>
      <c r="B37" s="31" t="s">
        <v>50</v>
      </c>
      <c r="C37" s="20"/>
      <c r="D37" s="21"/>
      <c r="E37" s="21"/>
      <c r="F37" s="1100"/>
    </row>
    <row r="38" spans="1:7" ht="27.6" customHeight="1">
      <c r="A38" s="11" t="s">
        <v>53</v>
      </c>
      <c r="B38" s="32" t="s">
        <v>45</v>
      </c>
      <c r="C38" s="5" t="s">
        <v>46</v>
      </c>
      <c r="D38" s="397">
        <v>2917.4</v>
      </c>
      <c r="E38" s="6">
        <v>3078.3</v>
      </c>
      <c r="F38" s="1068">
        <v>4458.4998256434901</v>
      </c>
    </row>
    <row r="39" spans="1:7" ht="36">
      <c r="A39" s="11" t="s">
        <v>54</v>
      </c>
      <c r="B39" s="32" t="s">
        <v>48</v>
      </c>
      <c r="C39" s="5" t="s">
        <v>49</v>
      </c>
      <c r="D39" s="397">
        <f>D27/12/D38</f>
        <v>26.820881487797351</v>
      </c>
      <c r="E39" s="6">
        <v>27.02</v>
      </c>
      <c r="F39" s="1068">
        <v>41.926548310754697</v>
      </c>
    </row>
    <row r="40" spans="1:7" ht="54" customHeight="1">
      <c r="A40" s="11" t="s">
        <v>55</v>
      </c>
      <c r="B40" s="32" t="s">
        <v>99</v>
      </c>
      <c r="C40" s="5"/>
      <c r="D40" s="1132" t="s">
        <v>2240</v>
      </c>
      <c r="E40" s="1133"/>
      <c r="F40" s="1134"/>
    </row>
    <row r="41" spans="1:7">
      <c r="A41" s="13"/>
      <c r="B41" s="33" t="s">
        <v>30</v>
      </c>
      <c r="C41" s="5"/>
      <c r="D41" s="6"/>
      <c r="E41" s="6"/>
      <c r="F41" s="1068"/>
    </row>
    <row r="42" spans="1:7" ht="45.75" customHeight="1">
      <c r="A42" s="13"/>
      <c r="B42" s="32" t="s">
        <v>47</v>
      </c>
      <c r="C42" s="5" t="s">
        <v>14</v>
      </c>
      <c r="D42" s="6">
        <v>162870.85999999999</v>
      </c>
      <c r="E42" s="6" t="s">
        <v>63</v>
      </c>
      <c r="F42" s="1068" t="s">
        <v>63</v>
      </c>
    </row>
    <row r="43" spans="1:7" ht="52.5" customHeight="1">
      <c r="A43" s="14"/>
      <c r="B43" s="32" t="s">
        <v>1531</v>
      </c>
      <c r="C43" s="5" t="s">
        <v>14</v>
      </c>
      <c r="D43" s="6">
        <v>4188000</v>
      </c>
      <c r="E43" s="6" t="s">
        <v>63</v>
      </c>
      <c r="F43" s="1068" t="s">
        <v>63</v>
      </c>
    </row>
    <row r="45" spans="1:7" ht="46.5" customHeight="1">
      <c r="A45" s="1135" t="s">
        <v>1528</v>
      </c>
      <c r="B45" s="1136"/>
      <c r="C45" s="1136"/>
      <c r="D45" s="1136"/>
      <c r="E45" s="1136"/>
      <c r="F45" s="1136"/>
    </row>
    <row r="46" spans="1:7" s="1085" customFormat="1" ht="18" customHeight="1">
      <c r="A46" s="1124" t="s">
        <v>2221</v>
      </c>
      <c r="B46" s="1125"/>
      <c r="C46" s="1125"/>
      <c r="D46" s="1125"/>
      <c r="E46" s="1125"/>
      <c r="F46" s="1098"/>
    </row>
    <row r="47" spans="1:7">
      <c r="A47" s="1135" t="s">
        <v>1529</v>
      </c>
      <c r="B47" s="1136"/>
      <c r="C47" s="1136"/>
      <c r="D47" s="1136"/>
      <c r="E47" s="1136"/>
      <c r="F47" s="1096"/>
    </row>
    <row r="48" spans="1:7">
      <c r="A48" s="1121" t="s">
        <v>1530</v>
      </c>
      <c r="B48" s="1121"/>
      <c r="C48" s="1121"/>
      <c r="D48" s="1121"/>
      <c r="E48" s="1121"/>
      <c r="F48" s="1097"/>
    </row>
    <row r="49" spans="1:6">
      <c r="A49" s="1121"/>
      <c r="B49" s="1121"/>
      <c r="C49" s="1121"/>
      <c r="D49" s="1121"/>
      <c r="E49" s="1121"/>
      <c r="F49" s="1097"/>
    </row>
  </sheetData>
  <mergeCells count="16">
    <mergeCell ref="F2:F3"/>
    <mergeCell ref="A4:F4"/>
    <mergeCell ref="D6:F6"/>
    <mergeCell ref="A48:E48"/>
    <mergeCell ref="A49:E49"/>
    <mergeCell ref="A6:A7"/>
    <mergeCell ref="B6:B7"/>
    <mergeCell ref="C6:C7"/>
    <mergeCell ref="A46:E46"/>
    <mergeCell ref="C25:C27"/>
    <mergeCell ref="C28:C29"/>
    <mergeCell ref="A25:A29"/>
    <mergeCell ref="D40:F40"/>
    <mergeCell ref="A45:F45"/>
    <mergeCell ref="A47:E47"/>
    <mergeCell ref="E22:F22"/>
  </mergeCells>
  <pageMargins left="0.98425196850393704" right="0.59055118110236227" top="0.59055118110236227" bottom="0.39370078740157483" header="0.31496062992125984" footer="0.31496062992125984"/>
  <pageSetup paperSize="9" scale="45" fitToHeight="0" orientation="landscape" r:id="rId1"/>
  <headerFooter differentFirst="1" scaleWithDoc="0" alignWithMargins="0">
    <oddHeader>&amp;C&amp;8&amp;P</oddHeader>
  </headerFooter>
  <rowBreaks count="2" manualBreakCount="2">
    <brk id="21" max="5" man="1"/>
    <brk id="33" max="5"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71"/>
  <sheetViews>
    <sheetView view="pageBreakPreview" zoomScaleNormal="80" zoomScaleSheetLayoutView="100" workbookViewId="0">
      <selection activeCell="I14" sqref="I14"/>
    </sheetView>
  </sheetViews>
  <sheetFormatPr defaultColWidth="9.109375" defaultRowHeight="18"/>
  <cols>
    <col min="1" max="1" width="8" style="10" customWidth="1"/>
    <col min="2" max="2" width="34.44140625" style="3" customWidth="1"/>
    <col min="3" max="3" width="15.33203125" style="4" customWidth="1"/>
    <col min="4" max="5" width="13.33203125" style="1" customWidth="1"/>
    <col min="6" max="6" width="14.33203125" style="1" customWidth="1"/>
    <col min="7" max="7" width="15.5546875" style="1" customWidth="1"/>
    <col min="8" max="9" width="15.33203125" style="1" customWidth="1"/>
    <col min="10" max="16384" width="9.109375" style="1"/>
  </cols>
  <sheetData>
    <row r="1" spans="1:9" s="28" customFormat="1" ht="18.600000000000001" customHeight="1">
      <c r="H1" s="1142" t="s">
        <v>2211</v>
      </c>
      <c r="I1" s="1143"/>
    </row>
    <row r="2" spans="1:9" s="28" customFormat="1" ht="36" customHeight="1">
      <c r="A2" s="29"/>
      <c r="B2" s="29"/>
      <c r="C2" s="29"/>
      <c r="D2" s="29"/>
      <c r="E2" s="29"/>
      <c r="F2" s="29"/>
      <c r="H2" s="1144" t="s">
        <v>2239</v>
      </c>
      <c r="I2" s="1145"/>
    </row>
    <row r="3" spans="1:9" s="28" customFormat="1" ht="7.5" customHeight="1">
      <c r="A3" s="29"/>
      <c r="B3" s="29"/>
      <c r="C3" s="29"/>
      <c r="D3" s="29"/>
      <c r="E3" s="29"/>
      <c r="F3" s="29"/>
      <c r="H3" s="1106"/>
      <c r="I3" s="1106"/>
    </row>
    <row r="4" spans="1:9">
      <c r="A4" s="9"/>
      <c r="B4" s="9"/>
      <c r="C4" s="9"/>
      <c r="D4" s="9"/>
      <c r="E4" s="9"/>
      <c r="F4" s="9"/>
      <c r="G4" s="9"/>
      <c r="H4" s="1099"/>
      <c r="I4" s="1099"/>
    </row>
    <row r="5" spans="1:9" ht="21.6" customHeight="1">
      <c r="A5" s="1147" t="s">
        <v>2212</v>
      </c>
      <c r="B5" s="1147"/>
      <c r="C5" s="1147"/>
      <c r="D5" s="1147"/>
      <c r="E5" s="1147"/>
      <c r="F5" s="1147"/>
      <c r="G5" s="1147"/>
      <c r="H5" s="1147"/>
      <c r="I5" s="1147"/>
    </row>
    <row r="7" spans="1:9" s="23" customFormat="1" ht="60" customHeight="1">
      <c r="A7" s="1141" t="s">
        <v>98</v>
      </c>
      <c r="B7" s="1140" t="s">
        <v>2224</v>
      </c>
      <c r="C7" s="1140" t="s">
        <v>255</v>
      </c>
      <c r="D7" s="1146" t="s">
        <v>2227</v>
      </c>
      <c r="E7" s="1146"/>
      <c r="F7" s="1140" t="s">
        <v>2228</v>
      </c>
      <c r="G7" s="1140"/>
      <c r="H7" s="1146" t="s">
        <v>2236</v>
      </c>
      <c r="I7" s="1146"/>
    </row>
    <row r="8" spans="1:9" s="23" customFormat="1" ht="38.25" customHeight="1">
      <c r="A8" s="1141"/>
      <c r="B8" s="1140"/>
      <c r="C8" s="1140"/>
      <c r="D8" s="45" t="s">
        <v>57</v>
      </c>
      <c r="E8" s="45" t="s">
        <v>56</v>
      </c>
      <c r="F8" s="45" t="s">
        <v>57</v>
      </c>
      <c r="G8" s="45" t="s">
        <v>56</v>
      </c>
      <c r="H8" s="1103" t="s">
        <v>57</v>
      </c>
      <c r="I8" s="1103" t="s">
        <v>56</v>
      </c>
    </row>
    <row r="9" spans="1:9" s="25" customFormat="1" ht="27.6">
      <c r="A9" s="44" t="s">
        <v>1</v>
      </c>
      <c r="B9" s="30" t="s">
        <v>58</v>
      </c>
      <c r="C9" s="46"/>
      <c r="D9" s="46"/>
      <c r="E9" s="46"/>
      <c r="F9" s="46"/>
      <c r="G9" s="46"/>
      <c r="H9" s="1104"/>
      <c r="I9" s="1104"/>
    </row>
    <row r="10" spans="1:9" s="25" customFormat="1" ht="27.6">
      <c r="A10" s="44" t="s">
        <v>75</v>
      </c>
      <c r="B10" s="30" t="s">
        <v>59</v>
      </c>
      <c r="C10" s="45"/>
      <c r="D10" s="24"/>
      <c r="E10" s="24"/>
      <c r="F10" s="24"/>
      <c r="G10" s="24"/>
      <c r="H10" s="1088"/>
      <c r="I10" s="1088"/>
    </row>
    <row r="11" spans="1:9" s="1089" customFormat="1" ht="13.95" customHeight="1">
      <c r="A11" s="1139"/>
      <c r="B11" s="1086" t="s">
        <v>217</v>
      </c>
      <c r="C11" s="1087"/>
      <c r="D11" s="1088"/>
      <c r="E11" s="1088"/>
      <c r="F11" s="1088"/>
      <c r="G11" s="1088"/>
      <c r="H11" s="1088"/>
      <c r="I11" s="1088"/>
    </row>
    <row r="12" spans="1:9" s="1089" customFormat="1" ht="13.95" customHeight="1">
      <c r="A12" s="1139"/>
      <c r="B12" s="1090" t="s">
        <v>60</v>
      </c>
      <c r="C12" s="1087" t="s">
        <v>2222</v>
      </c>
      <c r="D12" s="1088">
        <v>310300.43</v>
      </c>
      <c r="E12" s="1088">
        <v>310300.43</v>
      </c>
      <c r="F12" s="1088">
        <v>320723.65999999997</v>
      </c>
      <c r="G12" s="1088">
        <v>320723.65999999997</v>
      </c>
      <c r="H12" s="1088">
        <v>3816105.72</v>
      </c>
      <c r="I12" s="1088">
        <v>3816105.72</v>
      </c>
    </row>
    <row r="13" spans="1:9" s="1089" customFormat="1" ht="34.200000000000003" customHeight="1">
      <c r="A13" s="1139"/>
      <c r="B13" s="1090" t="s">
        <v>61</v>
      </c>
      <c r="C13" s="1087" t="s">
        <v>2223</v>
      </c>
      <c r="D13" s="1088">
        <v>538.82000000000005</v>
      </c>
      <c r="E13" s="1088">
        <v>534.98</v>
      </c>
      <c r="F13" s="1088">
        <v>577.30999999999995</v>
      </c>
      <c r="G13" s="1088">
        <v>577.30999999999995</v>
      </c>
      <c r="H13" s="1088">
        <v>594.0892414351863</v>
      </c>
      <c r="I13" s="1088">
        <v>759.50796138169835</v>
      </c>
    </row>
    <row r="14" spans="1:9" s="1089" customFormat="1" ht="21" customHeight="1">
      <c r="A14" s="1092"/>
      <c r="B14" s="1086" t="s">
        <v>62</v>
      </c>
      <c r="C14" s="1087" t="s">
        <v>2207</v>
      </c>
      <c r="D14" s="1091">
        <v>1.3474600000000001</v>
      </c>
      <c r="E14" s="1091">
        <v>1.34362</v>
      </c>
      <c r="F14" s="1091">
        <v>1.4165000000000001</v>
      </c>
      <c r="G14" s="1091">
        <v>1.4165000000000001</v>
      </c>
      <c r="H14" s="1091">
        <v>7.4366899999999996</v>
      </c>
      <c r="I14" s="1091">
        <v>7.0184899999999999</v>
      </c>
    </row>
    <row r="15" spans="1:9" s="1085" customFormat="1">
      <c r="A15" s="1093"/>
      <c r="B15" s="1093"/>
      <c r="C15" s="1093"/>
    </row>
    <row r="16" spans="1:9">
      <c r="B16" s="4"/>
    </row>
    <row r="17" spans="2:2">
      <c r="B17" s="4"/>
    </row>
    <row r="18" spans="2:2">
      <c r="B18" s="4"/>
    </row>
    <row r="19" spans="2:2">
      <c r="B19" s="4"/>
    </row>
    <row r="20" spans="2:2">
      <c r="B20" s="4"/>
    </row>
    <row r="21" spans="2:2">
      <c r="B21" s="4"/>
    </row>
    <row r="22" spans="2:2">
      <c r="B22" s="4"/>
    </row>
    <row r="23" spans="2:2">
      <c r="B23" s="4"/>
    </row>
    <row r="24" spans="2:2">
      <c r="B24" s="4"/>
    </row>
    <row r="25" spans="2:2">
      <c r="B25" s="4"/>
    </row>
    <row r="26" spans="2:2">
      <c r="B26" s="4"/>
    </row>
    <row r="27" spans="2:2">
      <c r="B27" s="4"/>
    </row>
    <row r="28" spans="2:2">
      <c r="B28" s="4"/>
    </row>
    <row r="29" spans="2:2">
      <c r="B29" s="4"/>
    </row>
    <row r="30" spans="2:2">
      <c r="B30" s="4"/>
    </row>
    <row r="31" spans="2:2">
      <c r="B31" s="4"/>
    </row>
    <row r="32" spans="2:2">
      <c r="B32" s="4"/>
    </row>
    <row r="33" spans="2:2">
      <c r="B33" s="4"/>
    </row>
    <row r="34" spans="2:2">
      <c r="B34" s="4"/>
    </row>
    <row r="35" spans="2:2">
      <c r="B35" s="4"/>
    </row>
    <row r="36" spans="2:2">
      <c r="B36" s="4"/>
    </row>
    <row r="37" spans="2:2">
      <c r="B37" s="4"/>
    </row>
    <row r="38" spans="2:2">
      <c r="B38" s="4"/>
    </row>
    <row r="39" spans="2:2">
      <c r="B39" s="4"/>
    </row>
    <row r="40" spans="2:2">
      <c r="B40" s="4"/>
    </row>
    <row r="41" spans="2:2">
      <c r="B41" s="4"/>
    </row>
    <row r="42" spans="2:2">
      <c r="B42" s="4"/>
    </row>
    <row r="43" spans="2:2">
      <c r="B43" s="4"/>
    </row>
    <row r="44" spans="2:2">
      <c r="B44" s="4"/>
    </row>
    <row r="45" spans="2:2">
      <c r="B45" s="4"/>
    </row>
    <row r="46" spans="2:2">
      <c r="B46" s="4"/>
    </row>
    <row r="47" spans="2:2">
      <c r="B47" s="4"/>
    </row>
    <row r="48" spans="2:2">
      <c r="B48" s="4"/>
    </row>
    <row r="49" spans="2:2">
      <c r="B49" s="4"/>
    </row>
    <row r="50" spans="2:2">
      <c r="B50" s="4"/>
    </row>
    <row r="51" spans="2:2">
      <c r="B51" s="4"/>
    </row>
    <row r="52" spans="2:2">
      <c r="B52" s="4"/>
    </row>
    <row r="53" spans="2:2">
      <c r="B53" s="4"/>
    </row>
    <row r="54" spans="2:2">
      <c r="B54" s="4"/>
    </row>
    <row r="55" spans="2:2">
      <c r="B55" s="4"/>
    </row>
    <row r="56" spans="2:2">
      <c r="B56" s="4"/>
    </row>
    <row r="57" spans="2:2">
      <c r="B57" s="4"/>
    </row>
    <row r="58" spans="2:2">
      <c r="B58" s="4"/>
    </row>
    <row r="59" spans="2:2">
      <c r="B59" s="4"/>
    </row>
    <row r="60" spans="2:2">
      <c r="B60" s="4"/>
    </row>
    <row r="61" spans="2:2">
      <c r="B61" s="4"/>
    </row>
    <row r="62" spans="2:2">
      <c r="B62" s="4"/>
    </row>
    <row r="63" spans="2:2">
      <c r="B63" s="4"/>
    </row>
    <row r="64" spans="2:2">
      <c r="B64" s="4"/>
    </row>
    <row r="65" spans="2:2">
      <c r="B65" s="4"/>
    </row>
    <row r="66" spans="2:2">
      <c r="B66" s="4"/>
    </row>
    <row r="67" spans="2:2">
      <c r="B67" s="4"/>
    </row>
    <row r="68" spans="2:2">
      <c r="B68" s="4"/>
    </row>
    <row r="69" spans="2:2">
      <c r="B69" s="4"/>
    </row>
    <row r="70" spans="2:2">
      <c r="B70" s="4"/>
    </row>
    <row r="71" spans="2:2">
      <c r="B71" s="4"/>
    </row>
  </sheetData>
  <mergeCells count="10">
    <mergeCell ref="A11:A13"/>
    <mergeCell ref="B7:B8"/>
    <mergeCell ref="A7:A8"/>
    <mergeCell ref="H1:I1"/>
    <mergeCell ref="H2:I2"/>
    <mergeCell ref="D7:E7"/>
    <mergeCell ref="F7:G7"/>
    <mergeCell ref="C7:C8"/>
    <mergeCell ref="H7:I7"/>
    <mergeCell ref="A5:I5"/>
  </mergeCells>
  <pageMargins left="1.1023622047244095" right="0.19685039370078741" top="0.74803149606299213" bottom="0.74803149606299213" header="0.31496062992125984" footer="0.31496062992125984"/>
  <pageSetup paperSize="9" scale="91" fitToHeight="0" orientation="landscap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U122"/>
  <sheetViews>
    <sheetView view="pageBreakPreview" topLeftCell="A4" zoomScale="80" zoomScaleNormal="100" zoomScaleSheetLayoutView="80" workbookViewId="0">
      <pane xSplit="10" ySplit="13" topLeftCell="K17" activePane="bottomRight" state="frozen"/>
      <selection activeCell="G25" sqref="G25"/>
      <selection pane="topRight" activeCell="G25" sqref="G25"/>
      <selection pane="bottomLeft" activeCell="G25" sqref="G25"/>
      <selection pane="bottomRight" activeCell="CQ25" sqref="CQ25:DG26"/>
    </sheetView>
  </sheetViews>
  <sheetFormatPr defaultColWidth="0.88671875" defaultRowHeight="15" customHeight="1" outlineLevelRow="1"/>
  <cols>
    <col min="1" max="7" width="0.88671875" style="35"/>
    <col min="8" max="8" width="2.88671875" style="35" customWidth="1"/>
    <col min="9" max="70" width="0.88671875" style="35"/>
    <col min="71" max="71" width="2.33203125" style="35" customWidth="1"/>
    <col min="72" max="72" width="14.33203125" style="35" hidden="1" customWidth="1"/>
    <col min="73" max="74" width="10.6640625" style="35" customWidth="1"/>
    <col min="75" max="77" width="0.88671875" style="35"/>
    <col min="78" max="78" width="3.6640625" style="35" customWidth="1"/>
    <col min="79" max="81" width="0.88671875" style="35"/>
    <col min="82" max="82" width="2.109375" style="35" customWidth="1"/>
    <col min="83" max="89" width="0.88671875" style="35"/>
    <col min="90" max="90" width="5" style="35" customWidth="1"/>
    <col min="91" max="91" width="1.5546875" style="35" customWidth="1"/>
    <col min="92" max="110" width="0.88671875" style="35"/>
    <col min="111" max="111" width="37.44140625" style="35" customWidth="1"/>
    <col min="112" max="112" width="27.44140625" style="35" hidden="1" customWidth="1"/>
    <col min="113" max="113" width="7.88671875" style="35" customWidth="1"/>
    <col min="114" max="114" width="22.6640625" style="35" customWidth="1"/>
    <col min="115" max="115" width="0.88671875" style="35"/>
    <col min="116" max="116" width="31.33203125" style="35" customWidth="1"/>
    <col min="117" max="123" width="0.88671875" style="35"/>
    <col min="124" max="124" width="10.6640625" style="35" customWidth="1"/>
    <col min="125" max="125" width="11.44140625" style="35" customWidth="1"/>
    <col min="126" max="329" width="0.88671875" style="35"/>
    <col min="330" max="330" width="2.33203125" style="35" customWidth="1"/>
    <col min="331" max="367" width="0.88671875" style="35"/>
    <col min="368" max="368" width="27.44140625" style="35" customWidth="1"/>
    <col min="369" max="585" width="0.88671875" style="35"/>
    <col min="586" max="586" width="2.33203125" style="35" customWidth="1"/>
    <col min="587" max="623" width="0.88671875" style="35"/>
    <col min="624" max="624" width="27.44140625" style="35" customWidth="1"/>
    <col min="625" max="841" width="0.88671875" style="35"/>
    <col min="842" max="842" width="2.33203125" style="35" customWidth="1"/>
    <col min="843" max="879" width="0.88671875" style="35"/>
    <col min="880" max="880" width="27.44140625" style="35" customWidth="1"/>
    <col min="881" max="1097" width="0.88671875" style="35"/>
    <col min="1098" max="1098" width="2.33203125" style="35" customWidth="1"/>
    <col min="1099" max="1135" width="0.88671875" style="35"/>
    <col min="1136" max="1136" width="27.44140625" style="35" customWidth="1"/>
    <col min="1137" max="1353" width="0.88671875" style="35"/>
    <col min="1354" max="1354" width="2.33203125" style="35" customWidth="1"/>
    <col min="1355" max="1391" width="0.88671875" style="35"/>
    <col min="1392" max="1392" width="27.44140625" style="35" customWidth="1"/>
    <col min="1393" max="1609" width="0.88671875" style="35"/>
    <col min="1610" max="1610" width="2.33203125" style="35" customWidth="1"/>
    <col min="1611" max="1647" width="0.88671875" style="35"/>
    <col min="1648" max="1648" width="27.44140625" style="35" customWidth="1"/>
    <col min="1649" max="1865" width="0.88671875" style="35"/>
    <col min="1866" max="1866" width="2.33203125" style="35" customWidth="1"/>
    <col min="1867" max="1903" width="0.88671875" style="35"/>
    <col min="1904" max="1904" width="27.44140625" style="35" customWidth="1"/>
    <col min="1905" max="2121" width="0.88671875" style="35"/>
    <col min="2122" max="2122" width="2.33203125" style="35" customWidth="1"/>
    <col min="2123" max="2159" width="0.88671875" style="35"/>
    <col min="2160" max="2160" width="27.44140625" style="35" customWidth="1"/>
    <col min="2161" max="2377" width="0.88671875" style="35"/>
    <col min="2378" max="2378" width="2.33203125" style="35" customWidth="1"/>
    <col min="2379" max="2415" width="0.88671875" style="35"/>
    <col min="2416" max="2416" width="27.44140625" style="35" customWidth="1"/>
    <col min="2417" max="2633" width="0.88671875" style="35"/>
    <col min="2634" max="2634" width="2.33203125" style="35" customWidth="1"/>
    <col min="2635" max="2671" width="0.88671875" style="35"/>
    <col min="2672" max="2672" width="27.44140625" style="35" customWidth="1"/>
    <col min="2673" max="2889" width="0.88671875" style="35"/>
    <col min="2890" max="2890" width="2.33203125" style="35" customWidth="1"/>
    <col min="2891" max="2927" width="0.88671875" style="35"/>
    <col min="2928" max="2928" width="27.44140625" style="35" customWidth="1"/>
    <col min="2929" max="3145" width="0.88671875" style="35"/>
    <col min="3146" max="3146" width="2.33203125" style="35" customWidth="1"/>
    <col min="3147" max="3183" width="0.88671875" style="35"/>
    <col min="3184" max="3184" width="27.44140625" style="35" customWidth="1"/>
    <col min="3185" max="3401" width="0.88671875" style="35"/>
    <col min="3402" max="3402" width="2.33203125" style="35" customWidth="1"/>
    <col min="3403" max="3439" width="0.88671875" style="35"/>
    <col min="3440" max="3440" width="27.44140625" style="35" customWidth="1"/>
    <col min="3441" max="3657" width="0.88671875" style="35"/>
    <col min="3658" max="3658" width="2.33203125" style="35" customWidth="1"/>
    <col min="3659" max="3695" width="0.88671875" style="35"/>
    <col min="3696" max="3696" width="27.44140625" style="35" customWidth="1"/>
    <col min="3697" max="3913" width="0.88671875" style="35"/>
    <col min="3914" max="3914" width="2.33203125" style="35" customWidth="1"/>
    <col min="3915" max="3951" width="0.88671875" style="35"/>
    <col min="3952" max="3952" width="27.44140625" style="35" customWidth="1"/>
    <col min="3953" max="4169" width="0.88671875" style="35"/>
    <col min="4170" max="4170" width="2.33203125" style="35" customWidth="1"/>
    <col min="4171" max="4207" width="0.88671875" style="35"/>
    <col min="4208" max="4208" width="27.44140625" style="35" customWidth="1"/>
    <col min="4209" max="4425" width="0.88671875" style="35"/>
    <col min="4426" max="4426" width="2.33203125" style="35" customWidth="1"/>
    <col min="4427" max="4463" width="0.88671875" style="35"/>
    <col min="4464" max="4464" width="27.44140625" style="35" customWidth="1"/>
    <col min="4465" max="4681" width="0.88671875" style="35"/>
    <col min="4682" max="4682" width="2.33203125" style="35" customWidth="1"/>
    <col min="4683" max="4719" width="0.88671875" style="35"/>
    <col min="4720" max="4720" width="27.44140625" style="35" customWidth="1"/>
    <col min="4721" max="4937" width="0.88671875" style="35"/>
    <col min="4938" max="4938" width="2.33203125" style="35" customWidth="1"/>
    <col min="4939" max="4975" width="0.88671875" style="35"/>
    <col min="4976" max="4976" width="27.44140625" style="35" customWidth="1"/>
    <col min="4977" max="5193" width="0.88671875" style="35"/>
    <col min="5194" max="5194" width="2.33203125" style="35" customWidth="1"/>
    <col min="5195" max="5231" width="0.88671875" style="35"/>
    <col min="5232" max="5232" width="27.44140625" style="35" customWidth="1"/>
    <col min="5233" max="5449" width="0.88671875" style="35"/>
    <col min="5450" max="5450" width="2.33203125" style="35" customWidth="1"/>
    <col min="5451" max="5487" width="0.88671875" style="35"/>
    <col min="5488" max="5488" width="27.44140625" style="35" customWidth="1"/>
    <col min="5489" max="5705" width="0.88671875" style="35"/>
    <col min="5706" max="5706" width="2.33203125" style="35" customWidth="1"/>
    <col min="5707" max="5743" width="0.88671875" style="35"/>
    <col min="5744" max="5744" width="27.44140625" style="35" customWidth="1"/>
    <col min="5745" max="5961" width="0.88671875" style="35"/>
    <col min="5962" max="5962" width="2.33203125" style="35" customWidth="1"/>
    <col min="5963" max="5999" width="0.88671875" style="35"/>
    <col min="6000" max="6000" width="27.44140625" style="35" customWidth="1"/>
    <col min="6001" max="6217" width="0.88671875" style="35"/>
    <col min="6218" max="6218" width="2.33203125" style="35" customWidth="1"/>
    <col min="6219" max="6255" width="0.88671875" style="35"/>
    <col min="6256" max="6256" width="27.44140625" style="35" customWidth="1"/>
    <col min="6257" max="6473" width="0.88671875" style="35"/>
    <col min="6474" max="6474" width="2.33203125" style="35" customWidth="1"/>
    <col min="6475" max="6511" width="0.88671875" style="35"/>
    <col min="6512" max="6512" width="27.44140625" style="35" customWidth="1"/>
    <col min="6513" max="6729" width="0.88671875" style="35"/>
    <col min="6730" max="6730" width="2.33203125" style="35" customWidth="1"/>
    <col min="6731" max="6767" width="0.88671875" style="35"/>
    <col min="6768" max="6768" width="27.44140625" style="35" customWidth="1"/>
    <col min="6769" max="6985" width="0.88671875" style="35"/>
    <col min="6986" max="6986" width="2.33203125" style="35" customWidth="1"/>
    <col min="6987" max="7023" width="0.88671875" style="35"/>
    <col min="7024" max="7024" width="27.44140625" style="35" customWidth="1"/>
    <col min="7025" max="7241" width="0.88671875" style="35"/>
    <col min="7242" max="7242" width="2.33203125" style="35" customWidth="1"/>
    <col min="7243" max="7279" width="0.88671875" style="35"/>
    <col min="7280" max="7280" width="27.44140625" style="35" customWidth="1"/>
    <col min="7281" max="7497" width="0.88671875" style="35"/>
    <col min="7498" max="7498" width="2.33203125" style="35" customWidth="1"/>
    <col min="7499" max="7535" width="0.88671875" style="35"/>
    <col min="7536" max="7536" width="27.44140625" style="35" customWidth="1"/>
    <col min="7537" max="7753" width="0.88671875" style="35"/>
    <col min="7754" max="7754" width="2.33203125" style="35" customWidth="1"/>
    <col min="7755" max="7791" width="0.88671875" style="35"/>
    <col min="7792" max="7792" width="27.44140625" style="35" customWidth="1"/>
    <col min="7793" max="8009" width="0.88671875" style="35"/>
    <col min="8010" max="8010" width="2.33203125" style="35" customWidth="1"/>
    <col min="8011" max="8047" width="0.88671875" style="35"/>
    <col min="8048" max="8048" width="27.44140625" style="35" customWidth="1"/>
    <col min="8049" max="8265" width="0.88671875" style="35"/>
    <col min="8266" max="8266" width="2.33203125" style="35" customWidth="1"/>
    <col min="8267" max="8303" width="0.88671875" style="35"/>
    <col min="8304" max="8304" width="27.44140625" style="35" customWidth="1"/>
    <col min="8305" max="8521" width="0.88671875" style="35"/>
    <col min="8522" max="8522" width="2.33203125" style="35" customWidth="1"/>
    <col min="8523" max="8559" width="0.88671875" style="35"/>
    <col min="8560" max="8560" width="27.44140625" style="35" customWidth="1"/>
    <col min="8561" max="8777" width="0.88671875" style="35"/>
    <col min="8778" max="8778" width="2.33203125" style="35" customWidth="1"/>
    <col min="8779" max="8815" width="0.88671875" style="35"/>
    <col min="8816" max="8816" width="27.44140625" style="35" customWidth="1"/>
    <col min="8817" max="9033" width="0.88671875" style="35"/>
    <col min="9034" max="9034" width="2.33203125" style="35" customWidth="1"/>
    <col min="9035" max="9071" width="0.88671875" style="35"/>
    <col min="9072" max="9072" width="27.44140625" style="35" customWidth="1"/>
    <col min="9073" max="9289" width="0.88671875" style="35"/>
    <col min="9290" max="9290" width="2.33203125" style="35" customWidth="1"/>
    <col min="9291" max="9327" width="0.88671875" style="35"/>
    <col min="9328" max="9328" width="27.44140625" style="35" customWidth="1"/>
    <col min="9329" max="9545" width="0.88671875" style="35"/>
    <col min="9546" max="9546" width="2.33203125" style="35" customWidth="1"/>
    <col min="9547" max="9583" width="0.88671875" style="35"/>
    <col min="9584" max="9584" width="27.44140625" style="35" customWidth="1"/>
    <col min="9585" max="9801" width="0.88671875" style="35"/>
    <col min="9802" max="9802" width="2.33203125" style="35" customWidth="1"/>
    <col min="9803" max="9839" width="0.88671875" style="35"/>
    <col min="9840" max="9840" width="27.44140625" style="35" customWidth="1"/>
    <col min="9841" max="10057" width="0.88671875" style="35"/>
    <col min="10058" max="10058" width="2.33203125" style="35" customWidth="1"/>
    <col min="10059" max="10095" width="0.88671875" style="35"/>
    <col min="10096" max="10096" width="27.44140625" style="35" customWidth="1"/>
    <col min="10097" max="10313" width="0.88671875" style="35"/>
    <col min="10314" max="10314" width="2.33203125" style="35" customWidth="1"/>
    <col min="10315" max="10351" width="0.88671875" style="35"/>
    <col min="10352" max="10352" width="27.44140625" style="35" customWidth="1"/>
    <col min="10353" max="10569" width="0.88671875" style="35"/>
    <col min="10570" max="10570" width="2.33203125" style="35" customWidth="1"/>
    <col min="10571" max="10607" width="0.88671875" style="35"/>
    <col min="10608" max="10608" width="27.44140625" style="35" customWidth="1"/>
    <col min="10609" max="10825" width="0.88671875" style="35"/>
    <col min="10826" max="10826" width="2.33203125" style="35" customWidth="1"/>
    <col min="10827" max="10863" width="0.88671875" style="35"/>
    <col min="10864" max="10864" width="27.44140625" style="35" customWidth="1"/>
    <col min="10865" max="11081" width="0.88671875" style="35"/>
    <col min="11082" max="11082" width="2.33203125" style="35" customWidth="1"/>
    <col min="11083" max="11119" width="0.88671875" style="35"/>
    <col min="11120" max="11120" width="27.44140625" style="35" customWidth="1"/>
    <col min="11121" max="11337" width="0.88671875" style="35"/>
    <col min="11338" max="11338" width="2.33203125" style="35" customWidth="1"/>
    <col min="11339" max="11375" width="0.88671875" style="35"/>
    <col min="11376" max="11376" width="27.44140625" style="35" customWidth="1"/>
    <col min="11377" max="11593" width="0.88671875" style="35"/>
    <col min="11594" max="11594" width="2.33203125" style="35" customWidth="1"/>
    <col min="11595" max="11631" width="0.88671875" style="35"/>
    <col min="11632" max="11632" width="27.44140625" style="35" customWidth="1"/>
    <col min="11633" max="11849" width="0.88671875" style="35"/>
    <col min="11850" max="11850" width="2.33203125" style="35" customWidth="1"/>
    <col min="11851" max="11887" width="0.88671875" style="35"/>
    <col min="11888" max="11888" width="27.44140625" style="35" customWidth="1"/>
    <col min="11889" max="12105" width="0.88671875" style="35"/>
    <col min="12106" max="12106" width="2.33203125" style="35" customWidth="1"/>
    <col min="12107" max="12143" width="0.88671875" style="35"/>
    <col min="12144" max="12144" width="27.44140625" style="35" customWidth="1"/>
    <col min="12145" max="12361" width="0.88671875" style="35"/>
    <col min="12362" max="12362" width="2.33203125" style="35" customWidth="1"/>
    <col min="12363" max="12399" width="0.88671875" style="35"/>
    <col min="12400" max="12400" width="27.44140625" style="35" customWidth="1"/>
    <col min="12401" max="12617" width="0.88671875" style="35"/>
    <col min="12618" max="12618" width="2.33203125" style="35" customWidth="1"/>
    <col min="12619" max="12655" width="0.88671875" style="35"/>
    <col min="12656" max="12656" width="27.44140625" style="35" customWidth="1"/>
    <col min="12657" max="12873" width="0.88671875" style="35"/>
    <col min="12874" max="12874" width="2.33203125" style="35" customWidth="1"/>
    <col min="12875" max="12911" width="0.88671875" style="35"/>
    <col min="12912" max="12912" width="27.44140625" style="35" customWidth="1"/>
    <col min="12913" max="13129" width="0.88671875" style="35"/>
    <col min="13130" max="13130" width="2.33203125" style="35" customWidth="1"/>
    <col min="13131" max="13167" width="0.88671875" style="35"/>
    <col min="13168" max="13168" width="27.44140625" style="35" customWidth="1"/>
    <col min="13169" max="13385" width="0.88671875" style="35"/>
    <col min="13386" max="13386" width="2.33203125" style="35" customWidth="1"/>
    <col min="13387" max="13423" width="0.88671875" style="35"/>
    <col min="13424" max="13424" width="27.44140625" style="35" customWidth="1"/>
    <col min="13425" max="13641" width="0.88671875" style="35"/>
    <col min="13642" max="13642" width="2.33203125" style="35" customWidth="1"/>
    <col min="13643" max="13679" width="0.88671875" style="35"/>
    <col min="13680" max="13680" width="27.44140625" style="35" customWidth="1"/>
    <col min="13681" max="13897" width="0.88671875" style="35"/>
    <col min="13898" max="13898" width="2.33203125" style="35" customWidth="1"/>
    <col min="13899" max="13935" width="0.88671875" style="35"/>
    <col min="13936" max="13936" width="27.44140625" style="35" customWidth="1"/>
    <col min="13937" max="14153" width="0.88671875" style="35"/>
    <col min="14154" max="14154" width="2.33203125" style="35" customWidth="1"/>
    <col min="14155" max="14191" width="0.88671875" style="35"/>
    <col min="14192" max="14192" width="27.44140625" style="35" customWidth="1"/>
    <col min="14193" max="14409" width="0.88671875" style="35"/>
    <col min="14410" max="14410" width="2.33203125" style="35" customWidth="1"/>
    <col min="14411" max="14447" width="0.88671875" style="35"/>
    <col min="14448" max="14448" width="27.44140625" style="35" customWidth="1"/>
    <col min="14449" max="14665" width="0.88671875" style="35"/>
    <col min="14666" max="14666" width="2.33203125" style="35" customWidth="1"/>
    <col min="14667" max="14703" width="0.88671875" style="35"/>
    <col min="14704" max="14704" width="27.44140625" style="35" customWidth="1"/>
    <col min="14705" max="14921" width="0.88671875" style="35"/>
    <col min="14922" max="14922" width="2.33203125" style="35" customWidth="1"/>
    <col min="14923" max="14959" width="0.88671875" style="35"/>
    <col min="14960" max="14960" width="27.44140625" style="35" customWidth="1"/>
    <col min="14961" max="15177" width="0.88671875" style="35"/>
    <col min="15178" max="15178" width="2.33203125" style="35" customWidth="1"/>
    <col min="15179" max="15215" width="0.88671875" style="35"/>
    <col min="15216" max="15216" width="27.44140625" style="35" customWidth="1"/>
    <col min="15217" max="15433" width="0.88671875" style="35"/>
    <col min="15434" max="15434" width="2.33203125" style="35" customWidth="1"/>
    <col min="15435" max="15471" width="0.88671875" style="35"/>
    <col min="15472" max="15472" width="27.44140625" style="35" customWidth="1"/>
    <col min="15473" max="15689" width="0.88671875" style="35"/>
    <col min="15690" max="15690" width="2.33203125" style="35" customWidth="1"/>
    <col min="15691" max="15727" width="0.88671875" style="35"/>
    <col min="15728" max="15728" width="27.44140625" style="35" customWidth="1"/>
    <col min="15729" max="15945" width="0.88671875" style="35"/>
    <col min="15946" max="15946" width="2.33203125" style="35" customWidth="1"/>
    <col min="15947" max="15983" width="0.88671875" style="35"/>
    <col min="15984" max="15984" width="27.44140625" style="35" customWidth="1"/>
    <col min="15985" max="16201" width="0.88671875" style="35"/>
    <col min="16202" max="16202" width="2.33203125" style="35" customWidth="1"/>
    <col min="16203" max="16239" width="0.88671875" style="35"/>
    <col min="16240" max="16240" width="27.44140625" style="35" customWidth="1"/>
    <col min="16241" max="16384" width="0.88671875" style="35"/>
  </cols>
  <sheetData>
    <row r="1" spans="1:116" s="34" customFormat="1" ht="12" customHeight="1">
      <c r="BO1" s="1203" t="s">
        <v>218</v>
      </c>
      <c r="BP1" s="1204"/>
      <c r="BQ1" s="1204"/>
      <c r="BR1" s="1204"/>
      <c r="BS1" s="1204"/>
      <c r="BT1" s="1204"/>
      <c r="BU1" s="1204"/>
      <c r="BV1" s="1204"/>
      <c r="BW1" s="1204"/>
      <c r="BX1" s="1204"/>
      <c r="BY1" s="1204"/>
      <c r="BZ1" s="1204"/>
      <c r="CA1" s="1204"/>
      <c r="CB1" s="1204"/>
      <c r="CC1" s="1204"/>
      <c r="CD1" s="1204"/>
      <c r="CE1" s="1204"/>
      <c r="CF1" s="1204"/>
      <c r="CG1" s="1204"/>
      <c r="CH1" s="1204"/>
      <c r="CI1" s="1204"/>
      <c r="CJ1" s="1204"/>
      <c r="CK1" s="1204"/>
      <c r="CL1" s="1204"/>
      <c r="CM1" s="1204"/>
      <c r="CN1" s="1204"/>
      <c r="CO1" s="1204"/>
      <c r="CP1" s="1204"/>
      <c r="CQ1" s="1204"/>
      <c r="CR1" s="1204"/>
      <c r="CS1" s="1204"/>
      <c r="CT1" s="1204"/>
      <c r="CU1" s="1204"/>
      <c r="CV1" s="1204"/>
      <c r="CW1" s="1204"/>
      <c r="CX1" s="1204"/>
      <c r="CY1" s="1204"/>
      <c r="CZ1" s="1204"/>
      <c r="DA1" s="1204"/>
      <c r="DB1" s="1204"/>
      <c r="DC1" s="1204"/>
      <c r="DD1" s="1204"/>
      <c r="DE1" s="1204"/>
      <c r="DF1" s="1204"/>
      <c r="DG1" s="1204"/>
      <c r="DH1" s="1204"/>
    </row>
    <row r="2" spans="1:116" s="34" customFormat="1" ht="12" customHeight="1">
      <c r="BO2" s="1203" t="s">
        <v>94</v>
      </c>
      <c r="BP2" s="1204"/>
      <c r="BQ2" s="1204"/>
      <c r="BR2" s="1204"/>
      <c r="BS2" s="1204"/>
      <c r="BT2" s="1204"/>
      <c r="BU2" s="1204"/>
      <c r="BV2" s="1204"/>
      <c r="BW2" s="1204"/>
      <c r="BX2" s="1204"/>
      <c r="BY2" s="1204"/>
      <c r="BZ2" s="1204"/>
      <c r="CA2" s="1204"/>
      <c r="CB2" s="1204"/>
      <c r="CC2" s="1204"/>
      <c r="CD2" s="1204"/>
      <c r="CE2" s="1204"/>
      <c r="CF2" s="1204"/>
      <c r="CG2" s="1204"/>
      <c r="CH2" s="1204"/>
      <c r="CI2" s="1204"/>
      <c r="CJ2" s="1204"/>
      <c r="CK2" s="1204"/>
      <c r="CL2" s="1204"/>
      <c r="CM2" s="1204"/>
      <c r="CN2" s="1204"/>
      <c r="CO2" s="1204"/>
      <c r="CP2" s="1204"/>
      <c r="CQ2" s="1204"/>
      <c r="CR2" s="1204"/>
      <c r="CS2" s="1204"/>
      <c r="CT2" s="1204"/>
      <c r="CU2" s="1204"/>
      <c r="CV2" s="1204"/>
      <c r="CW2" s="1204"/>
      <c r="CX2" s="1204"/>
      <c r="CY2" s="1204"/>
      <c r="CZ2" s="1204"/>
      <c r="DA2" s="1204"/>
      <c r="DB2" s="1204"/>
      <c r="DC2" s="1204"/>
      <c r="DD2" s="1204"/>
      <c r="DE2" s="1204"/>
      <c r="DF2" s="1204"/>
      <c r="DG2" s="1204"/>
      <c r="DH2" s="1204"/>
    </row>
    <row r="3" spans="1:116" s="34" customFormat="1" ht="12" customHeight="1">
      <c r="BO3" s="1203"/>
      <c r="BP3" s="1204"/>
      <c r="BQ3" s="1204"/>
      <c r="BR3" s="1204"/>
      <c r="BS3" s="1204"/>
      <c r="BT3" s="1204"/>
      <c r="BU3" s="1204"/>
      <c r="BV3" s="1204"/>
      <c r="BW3" s="1204"/>
      <c r="BX3" s="1204"/>
      <c r="BY3" s="1204"/>
      <c r="BZ3" s="1204"/>
      <c r="CA3" s="1204"/>
      <c r="CB3" s="1204"/>
      <c r="CC3" s="1204"/>
      <c r="CD3" s="1204"/>
      <c r="CE3" s="1204"/>
      <c r="CF3" s="1204"/>
      <c r="CG3" s="1204"/>
      <c r="CH3" s="1204"/>
      <c r="CI3" s="1204"/>
      <c r="CJ3" s="1204"/>
      <c r="CK3" s="1204"/>
      <c r="CL3" s="1204"/>
      <c r="CM3" s="1204"/>
      <c r="CN3" s="1204"/>
      <c r="CO3" s="1204"/>
      <c r="CP3" s="1204"/>
      <c r="CQ3" s="1204"/>
      <c r="CR3" s="1204"/>
      <c r="CS3" s="1204"/>
      <c r="CT3" s="1204"/>
      <c r="CU3" s="1204"/>
      <c r="CV3" s="1204"/>
      <c r="CW3" s="1204"/>
      <c r="CX3" s="1204"/>
      <c r="CY3" s="1204"/>
      <c r="CZ3" s="1204"/>
      <c r="DA3" s="1204"/>
      <c r="DB3" s="1204"/>
      <c r="DC3" s="1204"/>
      <c r="DD3" s="1204"/>
      <c r="DE3" s="1204"/>
      <c r="DF3" s="1204"/>
      <c r="DG3" s="1204"/>
      <c r="DH3" s="1204"/>
    </row>
    <row r="4" spans="1:116" ht="21" customHeight="1"/>
    <row r="5" spans="1:116" s="36" customFormat="1" ht="14.25" customHeight="1">
      <c r="A5" s="1205" t="s">
        <v>101</v>
      </c>
      <c r="B5" s="1205"/>
      <c r="C5" s="1205"/>
      <c r="D5" s="1205"/>
      <c r="E5" s="1205"/>
      <c r="F5" s="1205"/>
      <c r="G5" s="1205"/>
      <c r="H5" s="1205"/>
      <c r="I5" s="1205"/>
      <c r="J5" s="1205"/>
      <c r="K5" s="1205"/>
      <c r="L5" s="1205"/>
      <c r="M5" s="1205"/>
      <c r="N5" s="1205"/>
      <c r="O5" s="1205"/>
      <c r="P5" s="1205"/>
      <c r="Q5" s="1205"/>
      <c r="R5" s="1205"/>
      <c r="S5" s="1205"/>
      <c r="T5" s="1205"/>
      <c r="U5" s="1205"/>
      <c r="V5" s="1205"/>
      <c r="W5" s="1205"/>
      <c r="X5" s="1205"/>
      <c r="Y5" s="1205"/>
      <c r="Z5" s="1205"/>
      <c r="AA5" s="1205"/>
      <c r="AB5" s="1205"/>
      <c r="AC5" s="1205"/>
      <c r="AD5" s="1205"/>
      <c r="AE5" s="1205"/>
      <c r="AF5" s="1205"/>
      <c r="AG5" s="1205"/>
      <c r="AH5" s="1205"/>
      <c r="AI5" s="1205"/>
      <c r="AJ5" s="1205"/>
      <c r="AK5" s="1205"/>
      <c r="AL5" s="1205"/>
      <c r="AM5" s="1205"/>
      <c r="AN5" s="1205"/>
      <c r="AO5" s="1205"/>
      <c r="AP5" s="1205"/>
      <c r="AQ5" s="1205"/>
      <c r="AR5" s="1205"/>
      <c r="AS5" s="1205"/>
      <c r="AT5" s="1205"/>
      <c r="AU5" s="1205"/>
      <c r="AV5" s="1205"/>
      <c r="AW5" s="1205"/>
      <c r="AX5" s="1205"/>
      <c r="AY5" s="1205"/>
      <c r="AZ5" s="1205"/>
      <c r="BA5" s="1205"/>
      <c r="BB5" s="1205"/>
      <c r="BC5" s="1205"/>
      <c r="BD5" s="1205"/>
      <c r="BE5" s="1205"/>
      <c r="BF5" s="1205"/>
      <c r="BG5" s="1205"/>
      <c r="BH5" s="1205"/>
      <c r="BI5" s="1205"/>
      <c r="BJ5" s="1205"/>
      <c r="BK5" s="1205"/>
      <c r="BL5" s="1205"/>
      <c r="BM5" s="1205"/>
      <c r="BN5" s="1205"/>
      <c r="BO5" s="1205"/>
      <c r="BP5" s="1205"/>
      <c r="BQ5" s="1205"/>
      <c r="BR5" s="1205"/>
      <c r="BS5" s="1205"/>
      <c r="BT5" s="1205"/>
      <c r="BU5" s="1205"/>
      <c r="BV5" s="1205"/>
      <c r="BW5" s="1205"/>
      <c r="BX5" s="1205"/>
      <c r="BY5" s="1205"/>
      <c r="BZ5" s="1205"/>
      <c r="CA5" s="1205"/>
      <c r="CB5" s="1205"/>
      <c r="CC5" s="1205"/>
      <c r="CD5" s="1205"/>
      <c r="CE5" s="1205"/>
      <c r="CF5" s="1205"/>
      <c r="CG5" s="1205"/>
      <c r="CH5" s="1205"/>
      <c r="CI5" s="1205"/>
      <c r="CJ5" s="1205"/>
      <c r="CK5" s="1205"/>
      <c r="CL5" s="1205"/>
      <c r="CM5" s="1205"/>
      <c r="CN5" s="1205"/>
      <c r="CO5" s="1205"/>
      <c r="CP5" s="1205"/>
      <c r="CQ5" s="1205"/>
      <c r="CR5" s="1205"/>
      <c r="CS5" s="1205"/>
      <c r="CT5" s="1205"/>
      <c r="CU5" s="1205"/>
      <c r="CV5" s="1205"/>
      <c r="CW5" s="1205"/>
      <c r="CX5" s="1205"/>
      <c r="CY5" s="1205"/>
      <c r="CZ5" s="1205"/>
      <c r="DA5" s="1205"/>
      <c r="DB5" s="1205"/>
      <c r="DC5" s="1205"/>
      <c r="DD5" s="1205"/>
      <c r="DE5" s="1205"/>
      <c r="DF5" s="1205"/>
      <c r="DG5" s="1205"/>
      <c r="DH5" s="1205"/>
      <c r="DJ5" s="1063">
        <f>DJ7+DJ8</f>
        <v>763710.51109000063</v>
      </c>
    </row>
    <row r="6" spans="1:116" s="36" customFormat="1" ht="14.25" customHeight="1">
      <c r="A6" s="1205" t="s">
        <v>102</v>
      </c>
      <c r="B6" s="1205"/>
      <c r="C6" s="1205"/>
      <c r="D6" s="1205"/>
      <c r="E6" s="1205"/>
      <c r="F6" s="1205"/>
      <c r="G6" s="1205"/>
      <c r="H6" s="1205"/>
      <c r="I6" s="1205"/>
      <c r="J6" s="1205"/>
      <c r="K6" s="1205"/>
      <c r="L6" s="1205"/>
      <c r="M6" s="1205"/>
      <c r="N6" s="1205"/>
      <c r="O6" s="1205"/>
      <c r="P6" s="1205"/>
      <c r="Q6" s="1205"/>
      <c r="R6" s="1205"/>
      <c r="S6" s="1205"/>
      <c r="T6" s="1205"/>
      <c r="U6" s="1205"/>
      <c r="V6" s="1205"/>
      <c r="W6" s="1205"/>
      <c r="X6" s="1205"/>
      <c r="Y6" s="1205"/>
      <c r="Z6" s="1205"/>
      <c r="AA6" s="1205"/>
      <c r="AB6" s="1205"/>
      <c r="AC6" s="1205"/>
      <c r="AD6" s="1205"/>
      <c r="AE6" s="1205"/>
      <c r="AF6" s="1205"/>
      <c r="AG6" s="1205"/>
      <c r="AH6" s="1205"/>
      <c r="AI6" s="1205"/>
      <c r="AJ6" s="1205"/>
      <c r="AK6" s="1205"/>
      <c r="AL6" s="1205"/>
      <c r="AM6" s="1205"/>
      <c r="AN6" s="1205"/>
      <c r="AO6" s="1205"/>
      <c r="AP6" s="1205"/>
      <c r="AQ6" s="1205"/>
      <c r="AR6" s="1205"/>
      <c r="AS6" s="1205"/>
      <c r="AT6" s="1205"/>
      <c r="AU6" s="1205"/>
      <c r="AV6" s="1205"/>
      <c r="AW6" s="1205"/>
      <c r="AX6" s="1205"/>
      <c r="AY6" s="1205"/>
      <c r="AZ6" s="1205"/>
      <c r="BA6" s="1205"/>
      <c r="BB6" s="1205"/>
      <c r="BC6" s="1205"/>
      <c r="BD6" s="1205"/>
      <c r="BE6" s="1205"/>
      <c r="BF6" s="1205"/>
      <c r="BG6" s="1205"/>
      <c r="BH6" s="1205"/>
      <c r="BI6" s="1205"/>
      <c r="BJ6" s="1205"/>
      <c r="BK6" s="1205"/>
      <c r="BL6" s="1205"/>
      <c r="BM6" s="1205"/>
      <c r="BN6" s="1205"/>
      <c r="BO6" s="1205"/>
      <c r="BP6" s="1205"/>
      <c r="BQ6" s="1205"/>
      <c r="BR6" s="1205"/>
      <c r="BS6" s="1205"/>
      <c r="BT6" s="1205"/>
      <c r="BU6" s="1205"/>
      <c r="BV6" s="1205"/>
      <c r="BW6" s="1205"/>
      <c r="BX6" s="1205"/>
      <c r="BY6" s="1205"/>
      <c r="BZ6" s="1205"/>
      <c r="CA6" s="1205"/>
      <c r="CB6" s="1205"/>
      <c r="CC6" s="1205"/>
      <c r="CD6" s="1205"/>
      <c r="CE6" s="1205"/>
      <c r="CF6" s="1205"/>
      <c r="CG6" s="1205"/>
      <c r="CH6" s="1205"/>
      <c r="CI6" s="1205"/>
      <c r="CJ6" s="1205"/>
      <c r="CK6" s="1205"/>
      <c r="CL6" s="1205"/>
      <c r="CM6" s="1205"/>
      <c r="CN6" s="1205"/>
      <c r="CO6" s="1205"/>
      <c r="CP6" s="1205"/>
      <c r="CQ6" s="1205"/>
      <c r="CR6" s="1205"/>
      <c r="CS6" s="1205"/>
      <c r="CT6" s="1205"/>
      <c r="CU6" s="1205"/>
      <c r="CV6" s="1205"/>
      <c r="CW6" s="1205"/>
      <c r="CX6" s="1205"/>
      <c r="CY6" s="1205"/>
      <c r="CZ6" s="1205"/>
      <c r="DA6" s="1205"/>
      <c r="DB6" s="1205"/>
      <c r="DC6" s="1205"/>
      <c r="DD6" s="1205"/>
      <c r="DE6" s="1205"/>
      <c r="DF6" s="1205"/>
      <c r="DG6" s="1205"/>
      <c r="DH6" s="1205"/>
    </row>
    <row r="7" spans="1:116" s="36" customFormat="1" ht="14.25" customHeight="1">
      <c r="A7" s="1205" t="s">
        <v>103</v>
      </c>
      <c r="B7" s="1205"/>
      <c r="C7" s="1205"/>
      <c r="D7" s="1205"/>
      <c r="E7" s="1205"/>
      <c r="F7" s="1205"/>
      <c r="G7" s="1205"/>
      <c r="H7" s="1205"/>
      <c r="I7" s="1205"/>
      <c r="J7" s="1205"/>
      <c r="K7" s="1205"/>
      <c r="L7" s="1205"/>
      <c r="M7" s="1205"/>
      <c r="N7" s="1205"/>
      <c r="O7" s="1205"/>
      <c r="P7" s="1205"/>
      <c r="Q7" s="1205"/>
      <c r="R7" s="1205"/>
      <c r="S7" s="1205"/>
      <c r="T7" s="1205"/>
      <c r="U7" s="1205"/>
      <c r="V7" s="1205"/>
      <c r="W7" s="1205"/>
      <c r="X7" s="1205"/>
      <c r="Y7" s="1205"/>
      <c r="Z7" s="1205"/>
      <c r="AA7" s="1205"/>
      <c r="AB7" s="1205"/>
      <c r="AC7" s="1205"/>
      <c r="AD7" s="1205"/>
      <c r="AE7" s="1205"/>
      <c r="AF7" s="1205"/>
      <c r="AG7" s="1205"/>
      <c r="AH7" s="1205"/>
      <c r="AI7" s="1205"/>
      <c r="AJ7" s="1205"/>
      <c r="AK7" s="1205"/>
      <c r="AL7" s="1205"/>
      <c r="AM7" s="1205"/>
      <c r="AN7" s="1205"/>
      <c r="AO7" s="1205"/>
      <c r="AP7" s="1205"/>
      <c r="AQ7" s="1205"/>
      <c r="AR7" s="1205"/>
      <c r="AS7" s="1205"/>
      <c r="AT7" s="1205"/>
      <c r="AU7" s="1205"/>
      <c r="AV7" s="1205"/>
      <c r="AW7" s="1205"/>
      <c r="AX7" s="1205"/>
      <c r="AY7" s="1205"/>
      <c r="AZ7" s="1205"/>
      <c r="BA7" s="1205"/>
      <c r="BB7" s="1205"/>
      <c r="BC7" s="1205"/>
      <c r="BD7" s="1205"/>
      <c r="BE7" s="1205"/>
      <c r="BF7" s="1205"/>
      <c r="BG7" s="1205"/>
      <c r="BH7" s="1205"/>
      <c r="BI7" s="1205"/>
      <c r="BJ7" s="1205"/>
      <c r="BK7" s="1205"/>
      <c r="BL7" s="1205"/>
      <c r="BM7" s="1205"/>
      <c r="BN7" s="1205"/>
      <c r="BO7" s="1205"/>
      <c r="BP7" s="1205"/>
      <c r="BQ7" s="1205"/>
      <c r="BR7" s="1205"/>
      <c r="BS7" s="1205"/>
      <c r="BT7" s="1205"/>
      <c r="BU7" s="1205"/>
      <c r="BV7" s="1205"/>
      <c r="BW7" s="1205"/>
      <c r="BX7" s="1205"/>
      <c r="BY7" s="1205"/>
      <c r="BZ7" s="1205"/>
      <c r="CA7" s="1205"/>
      <c r="CB7" s="1205"/>
      <c r="CC7" s="1205"/>
      <c r="CD7" s="1205"/>
      <c r="CE7" s="1205"/>
      <c r="CF7" s="1205"/>
      <c r="CG7" s="1205"/>
      <c r="CH7" s="1205"/>
      <c r="CI7" s="1205"/>
      <c r="CJ7" s="1205"/>
      <c r="CK7" s="1205"/>
      <c r="CL7" s="1205"/>
      <c r="CM7" s="1205"/>
      <c r="CN7" s="1205"/>
      <c r="CO7" s="1205"/>
      <c r="CP7" s="1205"/>
      <c r="CQ7" s="1205"/>
      <c r="CR7" s="1205"/>
      <c r="CS7" s="1205"/>
      <c r="CT7" s="1205"/>
      <c r="CU7" s="1205"/>
      <c r="CV7" s="1205"/>
      <c r="CW7" s="1205"/>
      <c r="CX7" s="1205"/>
      <c r="CY7" s="1205"/>
      <c r="CZ7" s="1205"/>
      <c r="DA7" s="1205"/>
      <c r="DB7" s="1205"/>
      <c r="DC7" s="1205"/>
      <c r="DD7" s="1205"/>
      <c r="DE7" s="1205"/>
      <c r="DF7" s="1205"/>
      <c r="DG7" s="1205"/>
      <c r="DH7" s="1205"/>
      <c r="DJ7" s="1063">
        <f>BV18-BU18</f>
        <v>689788.24109000061</v>
      </c>
    </row>
    <row r="8" spans="1:116" s="36" customFormat="1" ht="14.25" customHeight="1">
      <c r="A8" s="1205" t="s">
        <v>104</v>
      </c>
      <c r="B8" s="1205"/>
      <c r="C8" s="1205"/>
      <c r="D8" s="1205"/>
      <c r="E8" s="1205"/>
      <c r="F8" s="1205"/>
      <c r="G8" s="1205"/>
      <c r="H8" s="1205"/>
      <c r="I8" s="1205"/>
      <c r="J8" s="1205"/>
      <c r="K8" s="1205"/>
      <c r="L8" s="1205"/>
      <c r="M8" s="1205"/>
      <c r="N8" s="1205"/>
      <c r="O8" s="1205"/>
      <c r="P8" s="1205"/>
      <c r="Q8" s="1205"/>
      <c r="R8" s="1205"/>
      <c r="S8" s="1205"/>
      <c r="T8" s="1205"/>
      <c r="U8" s="1205"/>
      <c r="V8" s="1205"/>
      <c r="W8" s="1205"/>
      <c r="X8" s="1205"/>
      <c r="Y8" s="1205"/>
      <c r="Z8" s="1205"/>
      <c r="AA8" s="1205"/>
      <c r="AB8" s="1205"/>
      <c r="AC8" s="1205"/>
      <c r="AD8" s="1205"/>
      <c r="AE8" s="1205"/>
      <c r="AF8" s="1205"/>
      <c r="AG8" s="1205"/>
      <c r="AH8" s="1205"/>
      <c r="AI8" s="1205"/>
      <c r="AJ8" s="1205"/>
      <c r="AK8" s="1205"/>
      <c r="AL8" s="1205"/>
      <c r="AM8" s="1205"/>
      <c r="AN8" s="1205"/>
      <c r="AO8" s="1205"/>
      <c r="AP8" s="1205"/>
      <c r="AQ8" s="1205"/>
      <c r="AR8" s="1205"/>
      <c r="AS8" s="1205"/>
      <c r="AT8" s="1205"/>
      <c r="AU8" s="1205"/>
      <c r="AV8" s="1205"/>
      <c r="AW8" s="1205"/>
      <c r="AX8" s="1205"/>
      <c r="AY8" s="1205"/>
      <c r="AZ8" s="1205"/>
      <c r="BA8" s="1205"/>
      <c r="BB8" s="1205"/>
      <c r="BC8" s="1205"/>
      <c r="BD8" s="1205"/>
      <c r="BE8" s="1205"/>
      <c r="BF8" s="1205"/>
      <c r="BG8" s="1205"/>
      <c r="BH8" s="1205"/>
      <c r="BI8" s="1205"/>
      <c r="BJ8" s="1205"/>
      <c r="BK8" s="1205"/>
      <c r="BL8" s="1205"/>
      <c r="BM8" s="1205"/>
      <c r="BN8" s="1205"/>
      <c r="BO8" s="1205"/>
      <c r="BP8" s="1205"/>
      <c r="BQ8" s="1205"/>
      <c r="BR8" s="1205"/>
      <c r="BS8" s="1205"/>
      <c r="BT8" s="1205"/>
      <c r="BU8" s="1205"/>
      <c r="BV8" s="1205"/>
      <c r="BW8" s="1205"/>
      <c r="BX8" s="1205"/>
      <c r="BY8" s="1205"/>
      <c r="BZ8" s="1205"/>
      <c r="CA8" s="1205"/>
      <c r="CB8" s="1205"/>
      <c r="CC8" s="1205"/>
      <c r="CD8" s="1205"/>
      <c r="CE8" s="1205"/>
      <c r="CF8" s="1205"/>
      <c r="CG8" s="1205"/>
      <c r="CH8" s="1205"/>
      <c r="CI8" s="1205"/>
      <c r="CJ8" s="1205"/>
      <c r="CK8" s="1205"/>
      <c r="CL8" s="1205"/>
      <c r="CM8" s="1205"/>
      <c r="CN8" s="1205"/>
      <c r="CO8" s="1205"/>
      <c r="CP8" s="1205"/>
      <c r="CQ8" s="1205"/>
      <c r="CR8" s="1205"/>
      <c r="CS8" s="1205"/>
      <c r="CT8" s="1205"/>
      <c r="CU8" s="1205"/>
      <c r="CV8" s="1205"/>
      <c r="CW8" s="1205"/>
      <c r="CX8" s="1205"/>
      <c r="CY8" s="1205"/>
      <c r="CZ8" s="1205"/>
      <c r="DA8" s="1205"/>
      <c r="DB8" s="1205"/>
      <c r="DC8" s="1205"/>
      <c r="DD8" s="1205"/>
      <c r="DE8" s="1205"/>
      <c r="DF8" s="1205"/>
      <c r="DG8" s="1205"/>
      <c r="DH8" s="1205"/>
      <c r="DJ8" s="1063">
        <f>BV86-BU86</f>
        <v>73922.270000000019</v>
      </c>
    </row>
    <row r="9" spans="1:116" ht="21" customHeight="1"/>
    <row r="10" spans="1:116" ht="13.8">
      <c r="C10" s="37" t="s">
        <v>105</v>
      </c>
      <c r="D10" s="37"/>
      <c r="AG10" s="1209" t="s">
        <v>221</v>
      </c>
      <c r="AH10" s="1209"/>
      <c r="AI10" s="1209"/>
      <c r="AJ10" s="1209"/>
      <c r="AK10" s="1209"/>
      <c r="AL10" s="1209"/>
      <c r="AM10" s="1209"/>
      <c r="AN10" s="1209"/>
      <c r="AO10" s="1209"/>
      <c r="AP10" s="1209"/>
      <c r="AQ10" s="1209"/>
      <c r="AR10" s="1209"/>
      <c r="AS10" s="1209"/>
      <c r="AT10" s="1209"/>
      <c r="AU10" s="1209"/>
      <c r="AV10" s="1209"/>
      <c r="AW10" s="1209"/>
      <c r="AX10" s="1209"/>
      <c r="AY10" s="1209"/>
      <c r="AZ10" s="1209"/>
      <c r="BA10" s="1209"/>
      <c r="BB10" s="1209"/>
      <c r="BC10" s="1209"/>
      <c r="BD10" s="1209"/>
      <c r="BE10" s="1209"/>
      <c r="BF10" s="1209"/>
      <c r="BG10" s="1209"/>
      <c r="BH10" s="1209"/>
      <c r="BI10" s="1209"/>
      <c r="BJ10" s="1209"/>
      <c r="BK10" s="1209"/>
      <c r="BL10" s="1209"/>
      <c r="BM10" s="1209"/>
      <c r="BN10" s="1209"/>
      <c r="BO10" s="1209"/>
      <c r="BP10" s="1209"/>
      <c r="BQ10" s="1209"/>
      <c r="BR10" s="1209"/>
      <c r="BS10" s="1209"/>
      <c r="BT10" s="1209"/>
      <c r="BU10" s="1209"/>
      <c r="BV10" s="1209"/>
      <c r="BW10" s="1209"/>
      <c r="BX10" s="1209"/>
      <c r="BY10" s="1209"/>
      <c r="BZ10" s="1209"/>
      <c r="CA10" s="1209"/>
      <c r="CB10" s="1209"/>
      <c r="CC10" s="1209"/>
      <c r="CD10" s="1209"/>
      <c r="CE10" s="1209"/>
      <c r="CF10" s="1209"/>
      <c r="CG10" s="1209"/>
      <c r="CH10" s="1209"/>
      <c r="CI10" s="1209"/>
      <c r="CJ10" s="1209"/>
      <c r="CK10" s="1209"/>
      <c r="CL10" s="1209"/>
      <c r="DJ10" s="1064">
        <f>CG18-BW18</f>
        <v>541261.65540009923</v>
      </c>
      <c r="DL10" s="1064">
        <f>CG18-BW18</f>
        <v>541261.65540009923</v>
      </c>
    </row>
    <row r="11" spans="1:116" ht="13.8">
      <c r="C11" s="37" t="s">
        <v>106</v>
      </c>
      <c r="D11" s="37"/>
      <c r="J11" s="1210" t="s">
        <v>224</v>
      </c>
      <c r="K11" s="1210"/>
      <c r="L11" s="1210"/>
      <c r="M11" s="1210"/>
      <c r="N11" s="1210"/>
      <c r="O11" s="1210"/>
      <c r="P11" s="1210"/>
      <c r="Q11" s="1210"/>
      <c r="R11" s="1210"/>
      <c r="S11" s="1210"/>
      <c r="T11" s="1210"/>
      <c r="U11" s="1210"/>
      <c r="V11" s="1210"/>
      <c r="W11" s="1210"/>
      <c r="X11" s="1210"/>
      <c r="Y11" s="1210"/>
      <c r="Z11" s="1210"/>
      <c r="AA11" s="1210"/>
      <c r="AB11" s="1210"/>
      <c r="AC11" s="1210"/>
      <c r="AD11" s="1210"/>
      <c r="AE11" s="1210"/>
      <c r="AF11" s="1210"/>
      <c r="AG11" s="1210"/>
      <c r="AH11" s="1210"/>
      <c r="AI11" s="1210"/>
      <c r="AJ11" s="1210"/>
      <c r="AK11" s="1210"/>
      <c r="AL11" s="1210"/>
      <c r="AM11" s="1210"/>
      <c r="AN11" s="1210"/>
      <c r="AO11" s="1210"/>
      <c r="AP11" s="1210"/>
      <c r="AQ11" s="1210"/>
      <c r="AR11" s="1210"/>
      <c r="AS11" s="1210"/>
      <c r="AT11" s="1210"/>
      <c r="AU11" s="1210"/>
      <c r="AV11" s="1210"/>
      <c r="AW11" s="1210"/>
      <c r="AX11" s="1210"/>
      <c r="AY11" s="1210"/>
      <c r="AZ11" s="1210"/>
      <c r="BA11" s="1210"/>
      <c r="BB11" s="1210"/>
      <c r="BC11" s="1210"/>
      <c r="BD11" s="1210"/>
      <c r="BE11" s="1210"/>
      <c r="BF11" s="1210"/>
      <c r="BG11" s="1210"/>
      <c r="BH11" s="1210"/>
      <c r="BI11" s="1210"/>
      <c r="BJ11" s="1210"/>
      <c r="BK11" s="1210"/>
      <c r="BL11" s="1210"/>
      <c r="BM11" s="1210"/>
      <c r="BN11" s="1210"/>
      <c r="DJ11" s="1064">
        <f>CG86-BW86</f>
        <v>229745.83999999985</v>
      </c>
    </row>
    <row r="12" spans="1:116" ht="13.8">
      <c r="C12" s="37" t="s">
        <v>107</v>
      </c>
      <c r="D12" s="37"/>
      <c r="J12" s="1211" t="s">
        <v>225</v>
      </c>
      <c r="K12" s="1211"/>
      <c r="L12" s="1211"/>
      <c r="M12" s="1211"/>
      <c r="N12" s="1211"/>
      <c r="O12" s="1211"/>
      <c r="P12" s="1211"/>
      <c r="Q12" s="1211"/>
      <c r="R12" s="1211"/>
      <c r="S12" s="1211"/>
      <c r="T12" s="1211"/>
      <c r="U12" s="1211"/>
      <c r="V12" s="1211"/>
      <c r="W12" s="1211"/>
      <c r="X12" s="1211"/>
      <c r="Y12" s="1211"/>
      <c r="Z12" s="1211"/>
      <c r="AA12" s="1211"/>
      <c r="AB12" s="1211"/>
      <c r="AC12" s="1211"/>
      <c r="AD12" s="1211"/>
      <c r="AE12" s="1211"/>
      <c r="AF12" s="1211"/>
      <c r="AG12" s="1211"/>
      <c r="AH12" s="1211"/>
      <c r="AI12" s="1211"/>
      <c r="AJ12" s="1211"/>
      <c r="AK12" s="1211"/>
      <c r="AL12" s="1211"/>
      <c r="AM12" s="1211"/>
      <c r="AN12" s="1211"/>
      <c r="AO12" s="1211"/>
      <c r="AP12" s="1211"/>
      <c r="AQ12" s="1211"/>
      <c r="AR12" s="1211"/>
      <c r="AS12" s="1211"/>
      <c r="AT12" s="1211"/>
      <c r="AU12" s="1211"/>
      <c r="AV12" s="1211"/>
      <c r="AW12" s="1211"/>
      <c r="AX12" s="1211"/>
      <c r="AY12" s="1211"/>
      <c r="AZ12" s="1211"/>
      <c r="BA12" s="1211"/>
      <c r="BB12" s="1211"/>
      <c r="BC12" s="1211"/>
      <c r="BD12" s="1211"/>
      <c r="BE12" s="1211"/>
      <c r="BF12" s="1211"/>
      <c r="BG12" s="1211"/>
      <c r="BH12" s="1211"/>
      <c r="BI12" s="1211"/>
      <c r="BJ12" s="1211"/>
      <c r="BK12" s="1211"/>
      <c r="BL12" s="1211"/>
      <c r="BM12" s="1211"/>
      <c r="BN12" s="1211"/>
      <c r="DJ12" s="1064">
        <f>DJ10+DJ11</f>
        <v>771007.49540009908</v>
      </c>
    </row>
    <row r="13" spans="1:116" ht="13.8">
      <c r="C13" s="37" t="s">
        <v>108</v>
      </c>
      <c r="D13" s="37"/>
      <c r="AQ13" s="1212" t="s">
        <v>226</v>
      </c>
      <c r="AR13" s="1212"/>
      <c r="AS13" s="1212"/>
      <c r="AT13" s="1212"/>
      <c r="AU13" s="1212"/>
      <c r="AV13" s="1212"/>
      <c r="AW13" s="1212"/>
      <c r="AX13" s="1212"/>
      <c r="AY13" s="1213" t="s">
        <v>63</v>
      </c>
      <c r="AZ13" s="1213"/>
      <c r="BA13" s="1212" t="s">
        <v>227</v>
      </c>
      <c r="BB13" s="1212"/>
      <c r="BC13" s="1212"/>
      <c r="BD13" s="1212"/>
      <c r="BE13" s="1212"/>
      <c r="BF13" s="1212"/>
      <c r="BG13" s="1212"/>
      <c r="BH13" s="1212"/>
      <c r="BI13" s="35" t="s">
        <v>109</v>
      </c>
      <c r="DJ13" s="1064">
        <f>DJ12-771007</f>
        <v>0.49540009908378124</v>
      </c>
    </row>
    <row r="15" spans="1:116" s="38" customFormat="1" ht="13.5" customHeight="1">
      <c r="A15" s="1214" t="s">
        <v>110</v>
      </c>
      <c r="B15" s="1215"/>
      <c r="C15" s="1215"/>
      <c r="D15" s="1215"/>
      <c r="E15" s="1215"/>
      <c r="F15" s="1215"/>
      <c r="G15" s="1215"/>
      <c r="H15" s="1215"/>
      <c r="I15" s="1216"/>
      <c r="J15" s="1220" t="s">
        <v>111</v>
      </c>
      <c r="K15" s="1215"/>
      <c r="L15" s="1215"/>
      <c r="M15" s="1215"/>
      <c r="N15" s="1215"/>
      <c r="O15" s="1215"/>
      <c r="P15" s="1215"/>
      <c r="Q15" s="1215"/>
      <c r="R15" s="1215"/>
      <c r="S15" s="1215"/>
      <c r="T15" s="1215"/>
      <c r="U15" s="1215"/>
      <c r="V15" s="1215"/>
      <c r="W15" s="1215"/>
      <c r="X15" s="1215"/>
      <c r="Y15" s="1215"/>
      <c r="Z15" s="1215"/>
      <c r="AA15" s="1215"/>
      <c r="AB15" s="1215"/>
      <c r="AC15" s="1215"/>
      <c r="AD15" s="1215"/>
      <c r="AE15" s="1215"/>
      <c r="AF15" s="1215"/>
      <c r="AG15" s="1215"/>
      <c r="AH15" s="1215"/>
      <c r="AI15" s="1215"/>
      <c r="AJ15" s="1215"/>
      <c r="AK15" s="1215"/>
      <c r="AL15" s="1215"/>
      <c r="AM15" s="1215"/>
      <c r="AN15" s="1215"/>
      <c r="AO15" s="1215"/>
      <c r="AP15" s="1215"/>
      <c r="AQ15" s="1215"/>
      <c r="AR15" s="1215"/>
      <c r="AS15" s="1215"/>
      <c r="AT15" s="1215"/>
      <c r="AU15" s="1215"/>
      <c r="AV15" s="1215"/>
      <c r="AW15" s="1215"/>
      <c r="AX15" s="1215"/>
      <c r="AY15" s="1215"/>
      <c r="AZ15" s="1215"/>
      <c r="BA15" s="1215"/>
      <c r="BB15" s="1215"/>
      <c r="BC15" s="1215"/>
      <c r="BD15" s="1215"/>
      <c r="BE15" s="1215"/>
      <c r="BF15" s="1215"/>
      <c r="BG15" s="1215"/>
      <c r="BH15" s="1216"/>
      <c r="BI15" s="1214" t="s">
        <v>112</v>
      </c>
      <c r="BJ15" s="1215"/>
      <c r="BK15" s="1215"/>
      <c r="BL15" s="1215"/>
      <c r="BM15" s="1215"/>
      <c r="BN15" s="1215"/>
      <c r="BO15" s="1215"/>
      <c r="BP15" s="1215"/>
      <c r="BQ15" s="1215"/>
      <c r="BR15" s="1215"/>
      <c r="BS15" s="1216"/>
      <c r="BT15" s="1206" t="s">
        <v>95</v>
      </c>
      <c r="BU15" s="1183">
        <v>2014</v>
      </c>
      <c r="BV15" s="1184"/>
      <c r="BW15" s="1183">
        <v>2015</v>
      </c>
      <c r="BX15" s="1184"/>
      <c r="BY15" s="1184"/>
      <c r="BZ15" s="1184"/>
      <c r="CA15" s="1184"/>
      <c r="CB15" s="1184"/>
      <c r="CC15" s="1184"/>
      <c r="CD15" s="1184"/>
      <c r="CE15" s="1184"/>
      <c r="CF15" s="1184"/>
      <c r="CG15" s="1184"/>
      <c r="CH15" s="1184"/>
      <c r="CI15" s="1184"/>
      <c r="CJ15" s="1184"/>
      <c r="CK15" s="1184"/>
      <c r="CL15" s="1184"/>
      <c r="CM15" s="1184"/>
      <c r="CN15" s="1184"/>
      <c r="CO15" s="1184"/>
      <c r="CP15" s="1185"/>
      <c r="CQ15" s="1214" t="s">
        <v>113</v>
      </c>
      <c r="CR15" s="1221"/>
      <c r="CS15" s="1221"/>
      <c r="CT15" s="1221"/>
      <c r="CU15" s="1221"/>
      <c r="CV15" s="1221"/>
      <c r="CW15" s="1221"/>
      <c r="CX15" s="1221"/>
      <c r="CY15" s="1221"/>
      <c r="CZ15" s="1221"/>
      <c r="DA15" s="1221"/>
      <c r="DB15" s="1221"/>
      <c r="DC15" s="1221"/>
      <c r="DD15" s="1221"/>
      <c r="DE15" s="1221"/>
      <c r="DF15" s="1221"/>
      <c r="DG15" s="1222"/>
      <c r="DH15" s="1206" t="s">
        <v>114</v>
      </c>
    </row>
    <row r="16" spans="1:116" s="38" customFormat="1" ht="38.4" customHeight="1">
      <c r="A16" s="1217"/>
      <c r="B16" s="1218"/>
      <c r="C16" s="1218"/>
      <c r="D16" s="1218"/>
      <c r="E16" s="1218"/>
      <c r="F16" s="1218"/>
      <c r="G16" s="1218"/>
      <c r="H16" s="1218"/>
      <c r="I16" s="1219"/>
      <c r="J16" s="1217"/>
      <c r="K16" s="1218"/>
      <c r="L16" s="1218"/>
      <c r="M16" s="1218"/>
      <c r="N16" s="1218"/>
      <c r="O16" s="1218"/>
      <c r="P16" s="1218"/>
      <c r="Q16" s="1218"/>
      <c r="R16" s="1218"/>
      <c r="S16" s="1218"/>
      <c r="T16" s="1218"/>
      <c r="U16" s="1218"/>
      <c r="V16" s="1218"/>
      <c r="W16" s="1218"/>
      <c r="X16" s="1218"/>
      <c r="Y16" s="1218"/>
      <c r="Z16" s="1218"/>
      <c r="AA16" s="1218"/>
      <c r="AB16" s="1218"/>
      <c r="AC16" s="1218"/>
      <c r="AD16" s="1218"/>
      <c r="AE16" s="1218"/>
      <c r="AF16" s="1218"/>
      <c r="AG16" s="1218"/>
      <c r="AH16" s="1218"/>
      <c r="AI16" s="1218"/>
      <c r="AJ16" s="1218"/>
      <c r="AK16" s="1218"/>
      <c r="AL16" s="1218"/>
      <c r="AM16" s="1218"/>
      <c r="AN16" s="1218"/>
      <c r="AO16" s="1218"/>
      <c r="AP16" s="1218"/>
      <c r="AQ16" s="1218"/>
      <c r="AR16" s="1218"/>
      <c r="AS16" s="1218"/>
      <c r="AT16" s="1218"/>
      <c r="AU16" s="1218"/>
      <c r="AV16" s="1218"/>
      <c r="AW16" s="1218"/>
      <c r="AX16" s="1218"/>
      <c r="AY16" s="1218"/>
      <c r="AZ16" s="1218"/>
      <c r="BA16" s="1218"/>
      <c r="BB16" s="1218"/>
      <c r="BC16" s="1218"/>
      <c r="BD16" s="1218"/>
      <c r="BE16" s="1218"/>
      <c r="BF16" s="1218"/>
      <c r="BG16" s="1218"/>
      <c r="BH16" s="1219"/>
      <c r="BI16" s="1217"/>
      <c r="BJ16" s="1218"/>
      <c r="BK16" s="1218"/>
      <c r="BL16" s="1218"/>
      <c r="BM16" s="1218"/>
      <c r="BN16" s="1218"/>
      <c r="BO16" s="1218"/>
      <c r="BP16" s="1218"/>
      <c r="BQ16" s="1218"/>
      <c r="BR16" s="1218"/>
      <c r="BS16" s="1219"/>
      <c r="BT16" s="1287"/>
      <c r="BU16" s="1050" t="s">
        <v>2193</v>
      </c>
      <c r="BV16" s="1050" t="s">
        <v>1752</v>
      </c>
      <c r="BW16" s="1183" t="s">
        <v>115</v>
      </c>
      <c r="BX16" s="1184"/>
      <c r="BY16" s="1184"/>
      <c r="BZ16" s="1184"/>
      <c r="CA16" s="1184"/>
      <c r="CB16" s="1184"/>
      <c r="CC16" s="1184"/>
      <c r="CD16" s="1184"/>
      <c r="CE16" s="1184"/>
      <c r="CF16" s="1185"/>
      <c r="CG16" s="1208" t="s">
        <v>1522</v>
      </c>
      <c r="CH16" s="1184"/>
      <c r="CI16" s="1184"/>
      <c r="CJ16" s="1184"/>
      <c r="CK16" s="1184"/>
      <c r="CL16" s="1184"/>
      <c r="CM16" s="1184"/>
      <c r="CN16" s="1184"/>
      <c r="CO16" s="1184"/>
      <c r="CP16" s="1185"/>
      <c r="CQ16" s="1223"/>
      <c r="CR16" s="1224"/>
      <c r="CS16" s="1224"/>
      <c r="CT16" s="1224"/>
      <c r="CU16" s="1224"/>
      <c r="CV16" s="1224"/>
      <c r="CW16" s="1224"/>
      <c r="CX16" s="1224"/>
      <c r="CY16" s="1224"/>
      <c r="CZ16" s="1224"/>
      <c r="DA16" s="1224"/>
      <c r="DB16" s="1224"/>
      <c r="DC16" s="1224"/>
      <c r="DD16" s="1224"/>
      <c r="DE16" s="1224"/>
      <c r="DF16" s="1224"/>
      <c r="DG16" s="1225"/>
      <c r="DH16" s="1207"/>
    </row>
    <row r="17" spans="1:125" s="38" customFormat="1" ht="15" customHeight="1">
      <c r="A17" s="1148" t="s">
        <v>116</v>
      </c>
      <c r="B17" s="1149"/>
      <c r="C17" s="1149"/>
      <c r="D17" s="1149"/>
      <c r="E17" s="1149"/>
      <c r="F17" s="1149"/>
      <c r="G17" s="1149"/>
      <c r="H17" s="1149"/>
      <c r="I17" s="1150"/>
      <c r="J17" s="39"/>
      <c r="K17" s="1189" t="s">
        <v>117</v>
      </c>
      <c r="L17" s="1189"/>
      <c r="M17" s="1189"/>
      <c r="N17" s="1189"/>
      <c r="O17" s="1189"/>
      <c r="P17" s="1189"/>
      <c r="Q17" s="1189"/>
      <c r="R17" s="1189"/>
      <c r="S17" s="1189"/>
      <c r="T17" s="1189"/>
      <c r="U17" s="1189"/>
      <c r="V17" s="1189"/>
      <c r="W17" s="1189"/>
      <c r="X17" s="1189"/>
      <c r="Y17" s="1189"/>
      <c r="Z17" s="1189"/>
      <c r="AA17" s="1189"/>
      <c r="AB17" s="1189"/>
      <c r="AC17" s="1189"/>
      <c r="AD17" s="1189"/>
      <c r="AE17" s="1189"/>
      <c r="AF17" s="1189"/>
      <c r="AG17" s="1189"/>
      <c r="AH17" s="1189"/>
      <c r="AI17" s="1189"/>
      <c r="AJ17" s="1189"/>
      <c r="AK17" s="1189"/>
      <c r="AL17" s="1189"/>
      <c r="AM17" s="1189"/>
      <c r="AN17" s="1189"/>
      <c r="AO17" s="1189"/>
      <c r="AP17" s="1189"/>
      <c r="AQ17" s="1189"/>
      <c r="AR17" s="1189"/>
      <c r="AS17" s="1189"/>
      <c r="AT17" s="1189"/>
      <c r="AU17" s="1189"/>
      <c r="AV17" s="1189"/>
      <c r="AW17" s="1189"/>
      <c r="AX17" s="1189"/>
      <c r="AY17" s="1189"/>
      <c r="AZ17" s="1189"/>
      <c r="BA17" s="1189"/>
      <c r="BB17" s="1189"/>
      <c r="BC17" s="1189"/>
      <c r="BD17" s="1189"/>
      <c r="BE17" s="1189"/>
      <c r="BF17" s="1189"/>
      <c r="BG17" s="1189"/>
      <c r="BH17" s="40"/>
      <c r="BI17" s="1183" t="s">
        <v>118</v>
      </c>
      <c r="BJ17" s="1184"/>
      <c r="BK17" s="1184"/>
      <c r="BL17" s="1184"/>
      <c r="BM17" s="1184"/>
      <c r="BN17" s="1184"/>
      <c r="BO17" s="1184"/>
      <c r="BP17" s="1184"/>
      <c r="BQ17" s="1184"/>
      <c r="BR17" s="1184"/>
      <c r="BS17" s="1185"/>
      <c r="BT17" s="43" t="s">
        <v>118</v>
      </c>
      <c r="BU17" s="1049"/>
      <c r="BV17" s="1049"/>
      <c r="BW17" s="1183" t="s">
        <v>118</v>
      </c>
      <c r="BX17" s="1184"/>
      <c r="BY17" s="1184"/>
      <c r="BZ17" s="1184"/>
      <c r="CA17" s="1184"/>
      <c r="CB17" s="1184"/>
      <c r="CC17" s="1184"/>
      <c r="CD17" s="1184"/>
      <c r="CE17" s="1184"/>
      <c r="CF17" s="1185"/>
      <c r="CG17" s="1183" t="s">
        <v>118</v>
      </c>
      <c r="CH17" s="1184"/>
      <c r="CI17" s="1184"/>
      <c r="CJ17" s="1184"/>
      <c r="CK17" s="1184"/>
      <c r="CL17" s="1184"/>
      <c r="CM17" s="1184"/>
      <c r="CN17" s="1184"/>
      <c r="CO17" s="1184"/>
      <c r="CP17" s="1185"/>
      <c r="CQ17" s="1208" t="s">
        <v>118</v>
      </c>
      <c r="CR17" s="1229"/>
      <c r="CS17" s="1229"/>
      <c r="CT17" s="1229"/>
      <c r="CU17" s="1229"/>
      <c r="CV17" s="1229"/>
      <c r="CW17" s="1229"/>
      <c r="CX17" s="1229"/>
      <c r="CY17" s="1229"/>
      <c r="CZ17" s="1229"/>
      <c r="DA17" s="1229"/>
      <c r="DB17" s="1229"/>
      <c r="DC17" s="1229"/>
      <c r="DD17" s="1229"/>
      <c r="DE17" s="1229"/>
      <c r="DF17" s="1229"/>
      <c r="DG17" s="1230"/>
      <c r="DH17" s="41" t="s">
        <v>118</v>
      </c>
      <c r="DJ17" s="417" t="s">
        <v>2202</v>
      </c>
      <c r="DL17" s="416">
        <f>DL18-CG18</f>
        <v>-5.5792275816202164E-2</v>
      </c>
      <c r="DT17" s="417" t="s">
        <v>2203</v>
      </c>
    </row>
    <row r="18" spans="1:125" s="38" customFormat="1" ht="30" customHeight="1">
      <c r="A18" s="1148" t="s">
        <v>119</v>
      </c>
      <c r="B18" s="1149"/>
      <c r="C18" s="1149"/>
      <c r="D18" s="1149"/>
      <c r="E18" s="1149"/>
      <c r="F18" s="1149"/>
      <c r="G18" s="1149"/>
      <c r="H18" s="1149"/>
      <c r="I18" s="1150"/>
      <c r="J18" s="39"/>
      <c r="K18" s="1189" t="s">
        <v>120</v>
      </c>
      <c r="L18" s="1189"/>
      <c r="M18" s="1189"/>
      <c r="N18" s="1189"/>
      <c r="O18" s="1189"/>
      <c r="P18" s="1189"/>
      <c r="Q18" s="1189"/>
      <c r="R18" s="1189"/>
      <c r="S18" s="1189"/>
      <c r="T18" s="1189"/>
      <c r="U18" s="1189"/>
      <c r="V18" s="1189"/>
      <c r="W18" s="1189"/>
      <c r="X18" s="1189"/>
      <c r="Y18" s="1189"/>
      <c r="Z18" s="1189"/>
      <c r="AA18" s="1189"/>
      <c r="AB18" s="1189"/>
      <c r="AC18" s="1189"/>
      <c r="AD18" s="1189"/>
      <c r="AE18" s="1189"/>
      <c r="AF18" s="1189"/>
      <c r="AG18" s="1189"/>
      <c r="AH18" s="1189"/>
      <c r="AI18" s="1189"/>
      <c r="AJ18" s="1189"/>
      <c r="AK18" s="1189"/>
      <c r="AL18" s="1189"/>
      <c r="AM18" s="1189"/>
      <c r="AN18" s="1189"/>
      <c r="AO18" s="1189"/>
      <c r="AP18" s="1189"/>
      <c r="AQ18" s="1189"/>
      <c r="AR18" s="1189"/>
      <c r="AS18" s="1189"/>
      <c r="AT18" s="1189"/>
      <c r="AU18" s="1189"/>
      <c r="AV18" s="1189"/>
      <c r="AW18" s="1189"/>
      <c r="AX18" s="1189"/>
      <c r="AY18" s="1189"/>
      <c r="AZ18" s="1189"/>
      <c r="BA18" s="1189"/>
      <c r="BB18" s="1189"/>
      <c r="BC18" s="1189"/>
      <c r="BD18" s="1189"/>
      <c r="BE18" s="1189"/>
      <c r="BF18" s="1189"/>
      <c r="BG18" s="1189"/>
      <c r="BH18" s="40"/>
      <c r="BI18" s="1183" t="s">
        <v>121</v>
      </c>
      <c r="BJ18" s="1184"/>
      <c r="BK18" s="1184"/>
      <c r="BL18" s="1184"/>
      <c r="BM18" s="1184"/>
      <c r="BN18" s="1184"/>
      <c r="BO18" s="1184"/>
      <c r="BP18" s="1184"/>
      <c r="BQ18" s="1184"/>
      <c r="BR18" s="1184"/>
      <c r="BS18" s="1185"/>
      <c r="BT18" s="1234">
        <v>42460</v>
      </c>
      <c r="BU18" s="1052">
        <v>3995767</v>
      </c>
      <c r="BV18" s="1052">
        <v>4685555.2410900006</v>
      </c>
      <c r="BW18" s="1186">
        <f>BW19+BW52+BW84</f>
        <v>4508690.1458521765</v>
      </c>
      <c r="BX18" s="1187"/>
      <c r="BY18" s="1187"/>
      <c r="BZ18" s="1187"/>
      <c r="CA18" s="1187"/>
      <c r="CB18" s="1187"/>
      <c r="CC18" s="1187"/>
      <c r="CD18" s="1187"/>
      <c r="CE18" s="1187"/>
      <c r="CF18" s="1188"/>
      <c r="CG18" s="1186">
        <f>CG19+CG52</f>
        <v>5049951.8012522757</v>
      </c>
      <c r="CH18" s="1187"/>
      <c r="CI18" s="1187"/>
      <c r="CJ18" s="1187"/>
      <c r="CK18" s="1187"/>
      <c r="CL18" s="1187"/>
      <c r="CM18" s="1187"/>
      <c r="CN18" s="1187"/>
      <c r="CO18" s="1187"/>
      <c r="CP18" s="1188"/>
      <c r="CQ18" s="1226"/>
      <c r="CR18" s="1227"/>
      <c r="CS18" s="1227"/>
      <c r="CT18" s="1227"/>
      <c r="CU18" s="1227"/>
      <c r="CV18" s="1227"/>
      <c r="CW18" s="1227"/>
      <c r="CX18" s="1227"/>
      <c r="CY18" s="1227"/>
      <c r="CZ18" s="1227"/>
      <c r="DA18" s="1227"/>
      <c r="DB18" s="1227"/>
      <c r="DC18" s="1227"/>
      <c r="DD18" s="1227"/>
      <c r="DE18" s="1227"/>
      <c r="DF18" s="1227"/>
      <c r="DG18" s="1228"/>
      <c r="DH18" s="1247" t="s">
        <v>122</v>
      </c>
      <c r="DJ18" s="416">
        <f>CG18+CG86</f>
        <v>8243413.8012522757</v>
      </c>
      <c r="DL18" s="1061">
        <f>'1.3'!HW40</f>
        <v>5049951.7454599999</v>
      </c>
    </row>
    <row r="19" spans="1:125" s="38" customFormat="1" ht="30" customHeight="1">
      <c r="A19" s="1148" t="s">
        <v>2</v>
      </c>
      <c r="B19" s="1149"/>
      <c r="C19" s="1149"/>
      <c r="D19" s="1149"/>
      <c r="E19" s="1149"/>
      <c r="F19" s="1149"/>
      <c r="G19" s="1149"/>
      <c r="H19" s="1149"/>
      <c r="I19" s="1150"/>
      <c r="J19" s="39"/>
      <c r="K19" s="1189" t="s">
        <v>123</v>
      </c>
      <c r="L19" s="1189"/>
      <c r="M19" s="1189"/>
      <c r="N19" s="1189"/>
      <c r="O19" s="1189"/>
      <c r="P19" s="1189"/>
      <c r="Q19" s="1189"/>
      <c r="R19" s="1189"/>
      <c r="S19" s="1189"/>
      <c r="T19" s="1189"/>
      <c r="U19" s="1189"/>
      <c r="V19" s="1189"/>
      <c r="W19" s="1189"/>
      <c r="X19" s="1189"/>
      <c r="Y19" s="1189"/>
      <c r="Z19" s="1189"/>
      <c r="AA19" s="1189"/>
      <c r="AB19" s="1189"/>
      <c r="AC19" s="1189"/>
      <c r="AD19" s="1189"/>
      <c r="AE19" s="1189"/>
      <c r="AF19" s="1189"/>
      <c r="AG19" s="1189"/>
      <c r="AH19" s="1189"/>
      <c r="AI19" s="1189"/>
      <c r="AJ19" s="1189"/>
      <c r="AK19" s="1189"/>
      <c r="AL19" s="1189"/>
      <c r="AM19" s="1189"/>
      <c r="AN19" s="1189"/>
      <c r="AO19" s="1189"/>
      <c r="AP19" s="1189"/>
      <c r="AQ19" s="1189"/>
      <c r="AR19" s="1189"/>
      <c r="AS19" s="1189"/>
      <c r="AT19" s="1189"/>
      <c r="AU19" s="1189"/>
      <c r="AV19" s="1189"/>
      <c r="AW19" s="1189"/>
      <c r="AX19" s="1189"/>
      <c r="AY19" s="1189"/>
      <c r="AZ19" s="1189"/>
      <c r="BA19" s="1189"/>
      <c r="BB19" s="1189"/>
      <c r="BC19" s="1189"/>
      <c r="BD19" s="1189"/>
      <c r="BE19" s="1189"/>
      <c r="BF19" s="1189"/>
      <c r="BG19" s="1189"/>
      <c r="BH19" s="40"/>
      <c r="BI19" s="1183" t="s">
        <v>121</v>
      </c>
      <c r="BJ19" s="1184"/>
      <c r="BK19" s="1184"/>
      <c r="BL19" s="1184"/>
      <c r="BM19" s="1184"/>
      <c r="BN19" s="1184"/>
      <c r="BO19" s="1184"/>
      <c r="BP19" s="1184"/>
      <c r="BQ19" s="1184"/>
      <c r="BR19" s="1184"/>
      <c r="BS19" s="1185"/>
      <c r="BT19" s="1235"/>
      <c r="BU19" s="1052">
        <v>1655457</v>
      </c>
      <c r="BV19" s="1052">
        <v>2175018.1865600003</v>
      </c>
      <c r="BW19" s="1186">
        <f>BW20+BW25+BW27+BW49+BW50+BW51</f>
        <v>1788344.6142069914</v>
      </c>
      <c r="BX19" s="1187"/>
      <c r="BY19" s="1187"/>
      <c r="BZ19" s="1187"/>
      <c r="CA19" s="1187"/>
      <c r="CB19" s="1187"/>
      <c r="CC19" s="1187"/>
      <c r="CD19" s="1187"/>
      <c r="CE19" s="1187"/>
      <c r="CF19" s="1188"/>
      <c r="CG19" s="1186">
        <f>CG20+CG25+CG27+CG49+CG50+CG51</f>
        <v>2396659.46361</v>
      </c>
      <c r="CH19" s="1187"/>
      <c r="CI19" s="1187"/>
      <c r="CJ19" s="1187"/>
      <c r="CK19" s="1187"/>
      <c r="CL19" s="1187"/>
      <c r="CM19" s="1187"/>
      <c r="CN19" s="1187"/>
      <c r="CO19" s="1187"/>
      <c r="CP19" s="1188"/>
      <c r="CQ19" s="1237"/>
      <c r="CR19" s="1238"/>
      <c r="CS19" s="1238"/>
      <c r="CT19" s="1238"/>
      <c r="CU19" s="1238"/>
      <c r="CV19" s="1238"/>
      <c r="CW19" s="1238"/>
      <c r="CX19" s="1238"/>
      <c r="CY19" s="1238"/>
      <c r="CZ19" s="1238"/>
      <c r="DA19" s="1238"/>
      <c r="DB19" s="1238"/>
      <c r="DC19" s="1238"/>
      <c r="DD19" s="1238"/>
      <c r="DE19" s="1238"/>
      <c r="DF19" s="1238"/>
      <c r="DG19" s="1239"/>
      <c r="DH19" s="1249"/>
      <c r="DI19" s="1057">
        <f>CG19*100/BW19-100</f>
        <v>34.015527240690943</v>
      </c>
      <c r="DJ19" s="418">
        <f>'1.3'!HU40</f>
        <v>8243414</v>
      </c>
      <c r="DL19" s="417" t="s">
        <v>1535</v>
      </c>
    </row>
    <row r="20" spans="1:125" s="38" customFormat="1" ht="15" customHeight="1">
      <c r="A20" s="1148" t="s">
        <v>124</v>
      </c>
      <c r="B20" s="1149"/>
      <c r="C20" s="1149"/>
      <c r="D20" s="1149"/>
      <c r="E20" s="1149"/>
      <c r="F20" s="1149"/>
      <c r="G20" s="1149"/>
      <c r="H20" s="1149"/>
      <c r="I20" s="1150"/>
      <c r="J20" s="39"/>
      <c r="K20" s="1189" t="s">
        <v>125</v>
      </c>
      <c r="L20" s="1189"/>
      <c r="M20" s="1189"/>
      <c r="N20" s="1189"/>
      <c r="O20" s="1189"/>
      <c r="P20" s="1189"/>
      <c r="Q20" s="1189"/>
      <c r="R20" s="1189"/>
      <c r="S20" s="1189"/>
      <c r="T20" s="1189"/>
      <c r="U20" s="1189"/>
      <c r="V20" s="1189"/>
      <c r="W20" s="1189"/>
      <c r="X20" s="1189"/>
      <c r="Y20" s="1189"/>
      <c r="Z20" s="1189"/>
      <c r="AA20" s="1189"/>
      <c r="AB20" s="1189"/>
      <c r="AC20" s="1189"/>
      <c r="AD20" s="1189"/>
      <c r="AE20" s="1189"/>
      <c r="AF20" s="1189"/>
      <c r="AG20" s="1189"/>
      <c r="AH20" s="1189"/>
      <c r="AI20" s="1189"/>
      <c r="AJ20" s="1189"/>
      <c r="AK20" s="1189"/>
      <c r="AL20" s="1189"/>
      <c r="AM20" s="1189"/>
      <c r="AN20" s="1189"/>
      <c r="AO20" s="1189"/>
      <c r="AP20" s="1189"/>
      <c r="AQ20" s="1189"/>
      <c r="AR20" s="1189"/>
      <c r="AS20" s="1189"/>
      <c r="AT20" s="1189"/>
      <c r="AU20" s="1189"/>
      <c r="AV20" s="1189"/>
      <c r="AW20" s="1189"/>
      <c r="AX20" s="1189"/>
      <c r="AY20" s="1189"/>
      <c r="AZ20" s="1189"/>
      <c r="BA20" s="1189"/>
      <c r="BB20" s="1189"/>
      <c r="BC20" s="1189"/>
      <c r="BD20" s="1189"/>
      <c r="BE20" s="1189"/>
      <c r="BF20" s="1189"/>
      <c r="BG20" s="1189"/>
      <c r="BH20" s="40"/>
      <c r="BI20" s="1183" t="s">
        <v>121</v>
      </c>
      <c r="BJ20" s="1184"/>
      <c r="BK20" s="1184"/>
      <c r="BL20" s="1184"/>
      <c r="BM20" s="1184"/>
      <c r="BN20" s="1184"/>
      <c r="BO20" s="1184"/>
      <c r="BP20" s="1184"/>
      <c r="BQ20" s="1184"/>
      <c r="BR20" s="1184"/>
      <c r="BS20" s="1185"/>
      <c r="BT20" s="1235"/>
      <c r="BU20" s="1052">
        <v>369433</v>
      </c>
      <c r="BV20" s="1052">
        <v>426870.21915999998</v>
      </c>
      <c r="BW20" s="1190">
        <f>BW21+BW22+BW23</f>
        <v>317906.13237067999</v>
      </c>
      <c r="BX20" s="1191"/>
      <c r="BY20" s="1191"/>
      <c r="BZ20" s="1191"/>
      <c r="CA20" s="1191"/>
      <c r="CB20" s="1191"/>
      <c r="CC20" s="1191"/>
      <c r="CD20" s="1191"/>
      <c r="CE20" s="1191"/>
      <c r="CF20" s="1192"/>
      <c r="CG20" s="1231">
        <f>'1.6.'!BT23+'1.6.'!BT34</f>
        <v>459076</v>
      </c>
      <c r="CH20" s="1232"/>
      <c r="CI20" s="1232"/>
      <c r="CJ20" s="1232"/>
      <c r="CK20" s="1232"/>
      <c r="CL20" s="1232"/>
      <c r="CM20" s="1232"/>
      <c r="CN20" s="1232"/>
      <c r="CO20" s="1232"/>
      <c r="CP20" s="1233"/>
      <c r="CQ20" s="1159" t="s">
        <v>2205</v>
      </c>
      <c r="CR20" s="1160"/>
      <c r="CS20" s="1160"/>
      <c r="CT20" s="1160"/>
      <c r="CU20" s="1160"/>
      <c r="CV20" s="1160"/>
      <c r="CW20" s="1160"/>
      <c r="CX20" s="1160"/>
      <c r="CY20" s="1160"/>
      <c r="CZ20" s="1160"/>
      <c r="DA20" s="1160"/>
      <c r="DB20" s="1160"/>
      <c r="DC20" s="1160"/>
      <c r="DD20" s="1160"/>
      <c r="DE20" s="1160"/>
      <c r="DF20" s="1160"/>
      <c r="DG20" s="1161"/>
      <c r="DH20" s="1249"/>
      <c r="DI20" s="1057">
        <f t="shared" ref="DI20:DI71" si="0">CG20*100/BW20-100</f>
        <v>44.406147996137207</v>
      </c>
      <c r="DJ20" s="416">
        <f>DJ19-DJ18</f>
        <v>0.19874772429466248</v>
      </c>
      <c r="DL20" s="1061"/>
      <c r="DT20" s="1061">
        <f>'8.Бюджет на 2015'!DF85+'8.Бюджет на 2015'!DF146</f>
        <v>459075.59732999996</v>
      </c>
      <c r="DU20" s="418">
        <f>DT20-CG20</f>
        <v>-0.4026700000395067</v>
      </c>
    </row>
    <row r="21" spans="1:125" s="38" customFormat="1" ht="30" customHeight="1">
      <c r="A21" s="1148" t="s">
        <v>126</v>
      </c>
      <c r="B21" s="1149"/>
      <c r="C21" s="1149"/>
      <c r="D21" s="1149"/>
      <c r="E21" s="1149"/>
      <c r="F21" s="1149"/>
      <c r="G21" s="1149"/>
      <c r="H21" s="1149"/>
      <c r="I21" s="1150"/>
      <c r="J21" s="39"/>
      <c r="K21" s="1240" t="s">
        <v>127</v>
      </c>
      <c r="L21" s="1240"/>
      <c r="M21" s="1240"/>
      <c r="N21" s="1240"/>
      <c r="O21" s="1240"/>
      <c r="P21" s="1240"/>
      <c r="Q21" s="1240"/>
      <c r="R21" s="1240"/>
      <c r="S21" s="1240"/>
      <c r="T21" s="1240"/>
      <c r="U21" s="1240"/>
      <c r="V21" s="1240"/>
      <c r="W21" s="1240"/>
      <c r="X21" s="1240"/>
      <c r="Y21" s="1240"/>
      <c r="Z21" s="1240"/>
      <c r="AA21" s="1240"/>
      <c r="AB21" s="1240"/>
      <c r="AC21" s="1240"/>
      <c r="AD21" s="1240"/>
      <c r="AE21" s="1240"/>
      <c r="AF21" s="1240"/>
      <c r="AG21" s="1240"/>
      <c r="AH21" s="1240"/>
      <c r="AI21" s="1240"/>
      <c r="AJ21" s="1240"/>
      <c r="AK21" s="1240"/>
      <c r="AL21" s="1240"/>
      <c r="AM21" s="1240"/>
      <c r="AN21" s="1240"/>
      <c r="AO21" s="1240"/>
      <c r="AP21" s="1240"/>
      <c r="AQ21" s="1240"/>
      <c r="AR21" s="1240"/>
      <c r="AS21" s="1240"/>
      <c r="AT21" s="1240"/>
      <c r="AU21" s="1240"/>
      <c r="AV21" s="1240"/>
      <c r="AW21" s="1240"/>
      <c r="AX21" s="1240"/>
      <c r="AY21" s="1240"/>
      <c r="AZ21" s="1240"/>
      <c r="BA21" s="1240"/>
      <c r="BB21" s="1240"/>
      <c r="BC21" s="1240"/>
      <c r="BD21" s="1240"/>
      <c r="BE21" s="1240"/>
      <c r="BF21" s="1240"/>
      <c r="BG21" s="1240"/>
      <c r="BH21" s="40"/>
      <c r="BI21" s="1183" t="s">
        <v>121</v>
      </c>
      <c r="BJ21" s="1184"/>
      <c r="BK21" s="1184"/>
      <c r="BL21" s="1184"/>
      <c r="BM21" s="1184"/>
      <c r="BN21" s="1184"/>
      <c r="BO21" s="1184"/>
      <c r="BP21" s="1184"/>
      <c r="BQ21" s="1184"/>
      <c r="BR21" s="1184"/>
      <c r="BS21" s="1185"/>
      <c r="BT21" s="1235"/>
      <c r="BU21" s="1052">
        <v>100036</v>
      </c>
      <c r="BV21" s="1052">
        <v>134636.96</v>
      </c>
      <c r="BW21" s="1190">
        <f>'5. подк.неподк.план'!Y29-'5. подк.неподк.план'!Y33-'5. подк.неподк.план'!Y51-'5. подк.неподк.план'!Y55-'5. подк.неподк.план'!Y57-'5. подк.неподк.план'!Y58-'5. подк.неподк.план'!Y59-'5. подк.неподк.план'!Y60-'5. подк.неподк.план'!Y66-'5. подк.неподк.план'!Y83</f>
        <v>102151.7441394201</v>
      </c>
      <c r="BX21" s="1191"/>
      <c r="BY21" s="1191"/>
      <c r="BZ21" s="1191"/>
      <c r="CA21" s="1191"/>
      <c r="CB21" s="1191"/>
      <c r="CC21" s="1191"/>
      <c r="CD21" s="1191"/>
      <c r="CE21" s="1191"/>
      <c r="CF21" s="1192"/>
      <c r="CG21" s="1190">
        <f>CG20-CG22-CG23</f>
        <v>158166</v>
      </c>
      <c r="CH21" s="1191"/>
      <c r="CI21" s="1191"/>
      <c r="CJ21" s="1191"/>
      <c r="CK21" s="1191"/>
      <c r="CL21" s="1191"/>
      <c r="CM21" s="1191"/>
      <c r="CN21" s="1191"/>
      <c r="CO21" s="1191"/>
      <c r="CP21" s="1192"/>
      <c r="CQ21" s="1162"/>
      <c r="CR21" s="1163"/>
      <c r="CS21" s="1163"/>
      <c r="CT21" s="1163"/>
      <c r="CU21" s="1163"/>
      <c r="CV21" s="1163"/>
      <c r="CW21" s="1163"/>
      <c r="CX21" s="1163"/>
      <c r="CY21" s="1163"/>
      <c r="CZ21" s="1163"/>
      <c r="DA21" s="1163"/>
      <c r="DB21" s="1163"/>
      <c r="DC21" s="1163"/>
      <c r="DD21" s="1163"/>
      <c r="DE21" s="1163"/>
      <c r="DF21" s="1163"/>
      <c r="DG21" s="1164"/>
      <c r="DH21" s="1249"/>
      <c r="DI21" s="1057">
        <f t="shared" si="0"/>
        <v>54.83436071745362</v>
      </c>
      <c r="DJ21" s="416"/>
    </row>
    <row r="22" spans="1:125" s="38" customFormat="1" ht="15" customHeight="1">
      <c r="A22" s="1148" t="s">
        <v>128</v>
      </c>
      <c r="B22" s="1149"/>
      <c r="C22" s="1149"/>
      <c r="D22" s="1149"/>
      <c r="E22" s="1149"/>
      <c r="F22" s="1149"/>
      <c r="G22" s="1149"/>
      <c r="H22" s="1149"/>
      <c r="I22" s="1150"/>
      <c r="J22" s="39"/>
      <c r="K22" s="1189" t="s">
        <v>129</v>
      </c>
      <c r="L22" s="1189"/>
      <c r="M22" s="1189"/>
      <c r="N22" s="1189"/>
      <c r="O22" s="1189"/>
      <c r="P22" s="1189"/>
      <c r="Q22" s="1189"/>
      <c r="R22" s="1189"/>
      <c r="S22" s="1189"/>
      <c r="T22" s="1189"/>
      <c r="U22" s="1189"/>
      <c r="V22" s="1189"/>
      <c r="W22" s="1189"/>
      <c r="X22" s="1189"/>
      <c r="Y22" s="1189"/>
      <c r="Z22" s="1189"/>
      <c r="AA22" s="1189"/>
      <c r="AB22" s="1189"/>
      <c r="AC22" s="1189"/>
      <c r="AD22" s="1189"/>
      <c r="AE22" s="1189"/>
      <c r="AF22" s="1189"/>
      <c r="AG22" s="1189"/>
      <c r="AH22" s="1189"/>
      <c r="AI22" s="1189"/>
      <c r="AJ22" s="1189"/>
      <c r="AK22" s="1189"/>
      <c r="AL22" s="1189"/>
      <c r="AM22" s="1189"/>
      <c r="AN22" s="1189"/>
      <c r="AO22" s="1189"/>
      <c r="AP22" s="1189"/>
      <c r="AQ22" s="1189"/>
      <c r="AR22" s="1189"/>
      <c r="AS22" s="1189"/>
      <c r="AT22" s="1189"/>
      <c r="AU22" s="1189"/>
      <c r="AV22" s="1189"/>
      <c r="AW22" s="1189"/>
      <c r="AX22" s="1189"/>
      <c r="AY22" s="1189"/>
      <c r="AZ22" s="1189"/>
      <c r="BA22" s="1189"/>
      <c r="BB22" s="1189"/>
      <c r="BC22" s="1189"/>
      <c r="BD22" s="1189"/>
      <c r="BE22" s="1189"/>
      <c r="BF22" s="1189"/>
      <c r="BG22" s="1189"/>
      <c r="BH22" s="40"/>
      <c r="BI22" s="1183" t="s">
        <v>121</v>
      </c>
      <c r="BJ22" s="1184"/>
      <c r="BK22" s="1184"/>
      <c r="BL22" s="1184"/>
      <c r="BM22" s="1184"/>
      <c r="BN22" s="1184"/>
      <c r="BO22" s="1184"/>
      <c r="BP22" s="1184"/>
      <c r="BQ22" s="1184"/>
      <c r="BR22" s="1184"/>
      <c r="BS22" s="1185"/>
      <c r="BT22" s="1235"/>
      <c r="BU22" s="1052">
        <v>183116</v>
      </c>
      <c r="BV22" s="1052">
        <v>163145</v>
      </c>
      <c r="BW22" s="1190">
        <f>'5. подк.неподк.план'!Y33+'5. подк.неподк.план'!Y51+'5. подк.неподк.план'!Y55+'5. подк.неподк.план'!Y57+'5. подк.неподк.план'!Y58+'5. подк.неподк.план'!Y59+'5. подк.неподк.план'!Y60+'5. подк.неподк.план'!Y66+'5. подк.неподк.план'!Y83</f>
        <v>141725.96443951706</v>
      </c>
      <c r="BX22" s="1191"/>
      <c r="BY22" s="1191"/>
      <c r="BZ22" s="1191"/>
      <c r="CA22" s="1191"/>
      <c r="CB22" s="1191"/>
      <c r="CC22" s="1191"/>
      <c r="CD22" s="1191"/>
      <c r="CE22" s="1191"/>
      <c r="CF22" s="1192"/>
      <c r="CG22" s="1190">
        <f>'1.6.'!BT63</f>
        <v>147496</v>
      </c>
      <c r="CH22" s="1191"/>
      <c r="CI22" s="1191"/>
      <c r="CJ22" s="1191"/>
      <c r="CK22" s="1191"/>
      <c r="CL22" s="1191"/>
      <c r="CM22" s="1191"/>
      <c r="CN22" s="1191"/>
      <c r="CO22" s="1191"/>
      <c r="CP22" s="1192"/>
      <c r="CQ22" s="1162"/>
      <c r="CR22" s="1163"/>
      <c r="CS22" s="1163"/>
      <c r="CT22" s="1163"/>
      <c r="CU22" s="1163"/>
      <c r="CV22" s="1163"/>
      <c r="CW22" s="1163"/>
      <c r="CX22" s="1163"/>
      <c r="CY22" s="1163"/>
      <c r="CZ22" s="1163"/>
      <c r="DA22" s="1163"/>
      <c r="DB22" s="1163"/>
      <c r="DC22" s="1163"/>
      <c r="DD22" s="1163"/>
      <c r="DE22" s="1163"/>
      <c r="DF22" s="1163"/>
      <c r="DG22" s="1164"/>
      <c r="DH22" s="1249"/>
      <c r="DI22" s="1057">
        <f t="shared" si="0"/>
        <v>4.0712621595497183</v>
      </c>
      <c r="DJ22" s="418">
        <f>'1.6.'!BT63</f>
        <v>147496</v>
      </c>
    </row>
    <row r="23" spans="1:125" s="38" customFormat="1" ht="58.5" customHeight="1">
      <c r="A23" s="1148" t="s">
        <v>130</v>
      </c>
      <c r="B23" s="1149"/>
      <c r="C23" s="1149"/>
      <c r="D23" s="1149"/>
      <c r="E23" s="1149"/>
      <c r="F23" s="1149"/>
      <c r="G23" s="1149"/>
      <c r="H23" s="1149"/>
      <c r="I23" s="1150"/>
      <c r="J23" s="39"/>
      <c r="K23" s="1189" t="s">
        <v>2190</v>
      </c>
      <c r="L23" s="1189"/>
      <c r="M23" s="1189"/>
      <c r="N23" s="1189"/>
      <c r="O23" s="1189"/>
      <c r="P23" s="1189"/>
      <c r="Q23" s="1189"/>
      <c r="R23" s="1189"/>
      <c r="S23" s="1189"/>
      <c r="T23" s="1189"/>
      <c r="U23" s="1189"/>
      <c r="V23" s="1189"/>
      <c r="W23" s="1189"/>
      <c r="X23" s="1189"/>
      <c r="Y23" s="1189"/>
      <c r="Z23" s="1189"/>
      <c r="AA23" s="1189"/>
      <c r="AB23" s="1189"/>
      <c r="AC23" s="1189"/>
      <c r="AD23" s="1189"/>
      <c r="AE23" s="1189"/>
      <c r="AF23" s="1189"/>
      <c r="AG23" s="1189"/>
      <c r="AH23" s="1189"/>
      <c r="AI23" s="1189"/>
      <c r="AJ23" s="1189"/>
      <c r="AK23" s="1189"/>
      <c r="AL23" s="1189"/>
      <c r="AM23" s="1189"/>
      <c r="AN23" s="1189"/>
      <c r="AO23" s="1189"/>
      <c r="AP23" s="1189"/>
      <c r="AQ23" s="1189"/>
      <c r="AR23" s="1189"/>
      <c r="AS23" s="1189"/>
      <c r="AT23" s="1189"/>
      <c r="AU23" s="1189"/>
      <c r="AV23" s="1189"/>
      <c r="AW23" s="1189"/>
      <c r="AX23" s="1189"/>
      <c r="AY23" s="1189"/>
      <c r="AZ23" s="1189"/>
      <c r="BA23" s="1189"/>
      <c r="BB23" s="1189"/>
      <c r="BC23" s="1189"/>
      <c r="BD23" s="1189"/>
      <c r="BE23" s="1189"/>
      <c r="BF23" s="1189"/>
      <c r="BG23" s="1189"/>
      <c r="BH23" s="40"/>
      <c r="BI23" s="1183" t="s">
        <v>121</v>
      </c>
      <c r="BJ23" s="1184"/>
      <c r="BK23" s="1184"/>
      <c r="BL23" s="1184"/>
      <c r="BM23" s="1184"/>
      <c r="BN23" s="1184"/>
      <c r="BO23" s="1184"/>
      <c r="BP23" s="1184"/>
      <c r="BQ23" s="1184"/>
      <c r="BR23" s="1184"/>
      <c r="BS23" s="1185"/>
      <c r="BT23" s="1235"/>
      <c r="BU23" s="1052">
        <v>86280</v>
      </c>
      <c r="BV23" s="1052">
        <v>129088</v>
      </c>
      <c r="BW23" s="1190">
        <f>'5. подк.неподк.план'!Y113</f>
        <v>74028.423791742825</v>
      </c>
      <c r="BX23" s="1191"/>
      <c r="BY23" s="1191"/>
      <c r="BZ23" s="1191"/>
      <c r="CA23" s="1191"/>
      <c r="CB23" s="1191"/>
      <c r="CC23" s="1191"/>
      <c r="CD23" s="1191"/>
      <c r="CE23" s="1191"/>
      <c r="CF23" s="1192"/>
      <c r="CG23" s="1190">
        <f>'1.6.'!BT65</f>
        <v>153414</v>
      </c>
      <c r="CH23" s="1191"/>
      <c r="CI23" s="1191"/>
      <c r="CJ23" s="1191"/>
      <c r="CK23" s="1191"/>
      <c r="CL23" s="1191"/>
      <c r="CM23" s="1191"/>
      <c r="CN23" s="1191"/>
      <c r="CO23" s="1191"/>
      <c r="CP23" s="1192"/>
      <c r="CQ23" s="1162"/>
      <c r="CR23" s="1163"/>
      <c r="CS23" s="1163"/>
      <c r="CT23" s="1163"/>
      <c r="CU23" s="1163"/>
      <c r="CV23" s="1163"/>
      <c r="CW23" s="1163"/>
      <c r="CX23" s="1163"/>
      <c r="CY23" s="1163"/>
      <c r="CZ23" s="1163"/>
      <c r="DA23" s="1163"/>
      <c r="DB23" s="1163"/>
      <c r="DC23" s="1163"/>
      <c r="DD23" s="1163"/>
      <c r="DE23" s="1163"/>
      <c r="DF23" s="1163"/>
      <c r="DG23" s="1164"/>
      <c r="DH23" s="1249"/>
      <c r="DI23" s="1057">
        <f t="shared" si="0"/>
        <v>107.23661553511542</v>
      </c>
      <c r="DJ23" s="418">
        <f>'1.6.'!BT65</f>
        <v>153414</v>
      </c>
    </row>
    <row r="24" spans="1:125" s="38" customFormat="1" ht="15" customHeight="1">
      <c r="A24" s="1148" t="s">
        <v>131</v>
      </c>
      <c r="B24" s="1149"/>
      <c r="C24" s="1149"/>
      <c r="D24" s="1149"/>
      <c r="E24" s="1149"/>
      <c r="F24" s="1149"/>
      <c r="G24" s="1149"/>
      <c r="H24" s="1149"/>
      <c r="I24" s="1150"/>
      <c r="J24" s="39"/>
      <c r="K24" s="1189" t="s">
        <v>132</v>
      </c>
      <c r="L24" s="1189"/>
      <c r="M24" s="1189"/>
      <c r="N24" s="1189"/>
      <c r="O24" s="1189"/>
      <c r="P24" s="1189"/>
      <c r="Q24" s="1189"/>
      <c r="R24" s="1189"/>
      <c r="S24" s="1189"/>
      <c r="T24" s="1189"/>
      <c r="U24" s="1189"/>
      <c r="V24" s="1189"/>
      <c r="W24" s="1189"/>
      <c r="X24" s="1189"/>
      <c r="Y24" s="1189"/>
      <c r="Z24" s="1189"/>
      <c r="AA24" s="1189"/>
      <c r="AB24" s="1189"/>
      <c r="AC24" s="1189"/>
      <c r="AD24" s="1189"/>
      <c r="AE24" s="1189"/>
      <c r="AF24" s="1189"/>
      <c r="AG24" s="1189"/>
      <c r="AH24" s="1189"/>
      <c r="AI24" s="1189"/>
      <c r="AJ24" s="1189"/>
      <c r="AK24" s="1189"/>
      <c r="AL24" s="1189"/>
      <c r="AM24" s="1189"/>
      <c r="AN24" s="1189"/>
      <c r="AO24" s="1189"/>
      <c r="AP24" s="1189"/>
      <c r="AQ24" s="1189"/>
      <c r="AR24" s="1189"/>
      <c r="AS24" s="1189"/>
      <c r="AT24" s="1189"/>
      <c r="AU24" s="1189"/>
      <c r="AV24" s="1189"/>
      <c r="AW24" s="1189"/>
      <c r="AX24" s="1189"/>
      <c r="AY24" s="1189"/>
      <c r="AZ24" s="1189"/>
      <c r="BA24" s="1189"/>
      <c r="BB24" s="1189"/>
      <c r="BC24" s="1189"/>
      <c r="BD24" s="1189"/>
      <c r="BE24" s="1189"/>
      <c r="BF24" s="1189"/>
      <c r="BG24" s="1189"/>
      <c r="BH24" s="40"/>
      <c r="BI24" s="1183" t="s">
        <v>121</v>
      </c>
      <c r="BJ24" s="1184"/>
      <c r="BK24" s="1184"/>
      <c r="BL24" s="1184"/>
      <c r="BM24" s="1184"/>
      <c r="BN24" s="1184"/>
      <c r="BO24" s="1184"/>
      <c r="BP24" s="1184"/>
      <c r="BQ24" s="1184"/>
      <c r="BR24" s="1184"/>
      <c r="BS24" s="1185"/>
      <c r="BT24" s="1235"/>
      <c r="BU24" s="1052">
        <v>86280</v>
      </c>
      <c r="BV24" s="1052">
        <v>129088</v>
      </c>
      <c r="BW24" s="1190">
        <f>BW23</f>
        <v>74028.423791742825</v>
      </c>
      <c r="BX24" s="1191"/>
      <c r="BY24" s="1191"/>
      <c r="BZ24" s="1191"/>
      <c r="CA24" s="1191"/>
      <c r="CB24" s="1191"/>
      <c r="CC24" s="1191"/>
      <c r="CD24" s="1191"/>
      <c r="CE24" s="1191"/>
      <c r="CF24" s="1192"/>
      <c r="CG24" s="1190">
        <f>CG23</f>
        <v>153414</v>
      </c>
      <c r="CH24" s="1191"/>
      <c r="CI24" s="1191"/>
      <c r="CJ24" s="1191"/>
      <c r="CK24" s="1191"/>
      <c r="CL24" s="1191"/>
      <c r="CM24" s="1191"/>
      <c r="CN24" s="1191"/>
      <c r="CO24" s="1191"/>
      <c r="CP24" s="1192"/>
      <c r="CQ24" s="1165"/>
      <c r="CR24" s="1166"/>
      <c r="CS24" s="1166"/>
      <c r="CT24" s="1166"/>
      <c r="CU24" s="1166"/>
      <c r="CV24" s="1166"/>
      <c r="CW24" s="1166"/>
      <c r="CX24" s="1166"/>
      <c r="CY24" s="1166"/>
      <c r="CZ24" s="1166"/>
      <c r="DA24" s="1166"/>
      <c r="DB24" s="1166"/>
      <c r="DC24" s="1166"/>
      <c r="DD24" s="1166"/>
      <c r="DE24" s="1166"/>
      <c r="DF24" s="1166"/>
      <c r="DG24" s="1167"/>
      <c r="DH24" s="1249"/>
      <c r="DI24" s="1057">
        <f t="shared" si="0"/>
        <v>107.23661553511542</v>
      </c>
    </row>
    <row r="25" spans="1:125" s="38" customFormat="1" ht="61.95" customHeight="1">
      <c r="A25" s="1148" t="s">
        <v>133</v>
      </c>
      <c r="B25" s="1149"/>
      <c r="C25" s="1149"/>
      <c r="D25" s="1149"/>
      <c r="E25" s="1149"/>
      <c r="F25" s="1149"/>
      <c r="G25" s="1149"/>
      <c r="H25" s="1149"/>
      <c r="I25" s="1150"/>
      <c r="J25" s="39"/>
      <c r="K25" s="1189" t="s">
        <v>134</v>
      </c>
      <c r="L25" s="1189"/>
      <c r="M25" s="1189"/>
      <c r="N25" s="1189"/>
      <c r="O25" s="1189"/>
      <c r="P25" s="1189"/>
      <c r="Q25" s="1189"/>
      <c r="R25" s="1189"/>
      <c r="S25" s="1189"/>
      <c r="T25" s="1189"/>
      <c r="U25" s="1189"/>
      <c r="V25" s="1189"/>
      <c r="W25" s="1189"/>
      <c r="X25" s="1189"/>
      <c r="Y25" s="1189"/>
      <c r="Z25" s="1189"/>
      <c r="AA25" s="1189"/>
      <c r="AB25" s="1189"/>
      <c r="AC25" s="1189"/>
      <c r="AD25" s="1189"/>
      <c r="AE25" s="1189"/>
      <c r="AF25" s="1189"/>
      <c r="AG25" s="1189"/>
      <c r="AH25" s="1189"/>
      <c r="AI25" s="1189"/>
      <c r="AJ25" s="1189"/>
      <c r="AK25" s="1189"/>
      <c r="AL25" s="1189"/>
      <c r="AM25" s="1189"/>
      <c r="AN25" s="1189"/>
      <c r="AO25" s="1189"/>
      <c r="AP25" s="1189"/>
      <c r="AQ25" s="1189"/>
      <c r="AR25" s="1189"/>
      <c r="AS25" s="1189"/>
      <c r="AT25" s="1189"/>
      <c r="AU25" s="1189"/>
      <c r="AV25" s="1189"/>
      <c r="AW25" s="1189"/>
      <c r="AX25" s="1189"/>
      <c r="AY25" s="1189"/>
      <c r="AZ25" s="1189"/>
      <c r="BA25" s="1189"/>
      <c r="BB25" s="1189"/>
      <c r="BC25" s="1189"/>
      <c r="BD25" s="1189"/>
      <c r="BE25" s="1189"/>
      <c r="BF25" s="1189"/>
      <c r="BG25" s="1189"/>
      <c r="BH25" s="40"/>
      <c r="BI25" s="1183" t="s">
        <v>121</v>
      </c>
      <c r="BJ25" s="1184"/>
      <c r="BK25" s="1184"/>
      <c r="BL25" s="1184"/>
      <c r="BM25" s="1184"/>
      <c r="BN25" s="1184"/>
      <c r="BO25" s="1184"/>
      <c r="BP25" s="1184"/>
      <c r="BQ25" s="1184"/>
      <c r="BR25" s="1184"/>
      <c r="BS25" s="1185"/>
      <c r="BT25" s="1235"/>
      <c r="BU25" s="1052">
        <v>837905</v>
      </c>
      <c r="BV25" s="1052">
        <v>872361</v>
      </c>
      <c r="BW25" s="1190">
        <f>'5. подк.неподк.план'!Y95</f>
        <v>962477.4773477799</v>
      </c>
      <c r="BX25" s="1191"/>
      <c r="BY25" s="1191"/>
      <c r="BZ25" s="1191"/>
      <c r="CA25" s="1191"/>
      <c r="CB25" s="1191"/>
      <c r="CC25" s="1191"/>
      <c r="CD25" s="1191"/>
      <c r="CE25" s="1191"/>
      <c r="CF25" s="1192"/>
      <c r="CG25" s="1231">
        <f>SUM('8.Бюджет на 2015'!DF39:DF51)</f>
        <v>938966.87582999992</v>
      </c>
      <c r="CH25" s="1232"/>
      <c r="CI25" s="1232"/>
      <c r="CJ25" s="1232"/>
      <c r="CK25" s="1232"/>
      <c r="CL25" s="1232"/>
      <c r="CM25" s="1232"/>
      <c r="CN25" s="1232"/>
      <c r="CO25" s="1232"/>
      <c r="CP25" s="1233"/>
      <c r="CQ25" s="1168"/>
      <c r="CR25" s="1160"/>
      <c r="CS25" s="1160"/>
      <c r="CT25" s="1160"/>
      <c r="CU25" s="1160"/>
      <c r="CV25" s="1160"/>
      <c r="CW25" s="1160"/>
      <c r="CX25" s="1160"/>
      <c r="CY25" s="1160"/>
      <c r="CZ25" s="1160"/>
      <c r="DA25" s="1160"/>
      <c r="DB25" s="1160"/>
      <c r="DC25" s="1160"/>
      <c r="DD25" s="1160"/>
      <c r="DE25" s="1160"/>
      <c r="DF25" s="1160"/>
      <c r="DG25" s="1161"/>
      <c r="DH25" s="1249"/>
      <c r="DI25" s="1057">
        <f t="shared" si="0"/>
        <v>-2.4427170579166386</v>
      </c>
      <c r="DJ25" s="418">
        <f>'1.6.'!BT35</f>
        <v>953599</v>
      </c>
      <c r="DL25" s="1058" t="s">
        <v>2201</v>
      </c>
    </row>
    <row r="26" spans="1:125" s="38" customFormat="1" ht="61.95" customHeight="1">
      <c r="A26" s="1148" t="s">
        <v>135</v>
      </c>
      <c r="B26" s="1149"/>
      <c r="C26" s="1149"/>
      <c r="D26" s="1149"/>
      <c r="E26" s="1149"/>
      <c r="F26" s="1149"/>
      <c r="G26" s="1149"/>
      <c r="H26" s="1149"/>
      <c r="I26" s="1150"/>
      <c r="J26" s="39"/>
      <c r="K26" s="1189" t="s">
        <v>132</v>
      </c>
      <c r="L26" s="1189"/>
      <c r="M26" s="1189"/>
      <c r="N26" s="1189"/>
      <c r="O26" s="1189"/>
      <c r="P26" s="1189"/>
      <c r="Q26" s="1189"/>
      <c r="R26" s="1189"/>
      <c r="S26" s="1189"/>
      <c r="T26" s="1189"/>
      <c r="U26" s="1189"/>
      <c r="V26" s="1189"/>
      <c r="W26" s="1189"/>
      <c r="X26" s="1189"/>
      <c r="Y26" s="1189"/>
      <c r="Z26" s="1189"/>
      <c r="AA26" s="1189"/>
      <c r="AB26" s="1189"/>
      <c r="AC26" s="1189"/>
      <c r="AD26" s="1189"/>
      <c r="AE26" s="1189"/>
      <c r="AF26" s="1189"/>
      <c r="AG26" s="1189"/>
      <c r="AH26" s="1189"/>
      <c r="AI26" s="1189"/>
      <c r="AJ26" s="1189"/>
      <c r="AK26" s="1189"/>
      <c r="AL26" s="1189"/>
      <c r="AM26" s="1189"/>
      <c r="AN26" s="1189"/>
      <c r="AO26" s="1189"/>
      <c r="AP26" s="1189"/>
      <c r="AQ26" s="1189"/>
      <c r="AR26" s="1189"/>
      <c r="AS26" s="1189"/>
      <c r="AT26" s="1189"/>
      <c r="AU26" s="1189"/>
      <c r="AV26" s="1189"/>
      <c r="AW26" s="1189"/>
      <c r="AX26" s="1189"/>
      <c r="AY26" s="1189"/>
      <c r="AZ26" s="1189"/>
      <c r="BA26" s="1189"/>
      <c r="BB26" s="1189"/>
      <c r="BC26" s="1189"/>
      <c r="BD26" s="1189"/>
      <c r="BE26" s="1189"/>
      <c r="BF26" s="1189"/>
      <c r="BG26" s="1189"/>
      <c r="BH26" s="40"/>
      <c r="BI26" s="1183" t="s">
        <v>121</v>
      </c>
      <c r="BJ26" s="1184"/>
      <c r="BK26" s="1184"/>
      <c r="BL26" s="1184"/>
      <c r="BM26" s="1184"/>
      <c r="BN26" s="1184"/>
      <c r="BO26" s="1184"/>
      <c r="BP26" s="1184"/>
      <c r="BQ26" s="1184"/>
      <c r="BR26" s="1184"/>
      <c r="BS26" s="1185"/>
      <c r="BT26" s="1235"/>
      <c r="BU26" s="1052"/>
      <c r="BV26" s="1052"/>
      <c r="BW26" s="1186"/>
      <c r="BX26" s="1187"/>
      <c r="BY26" s="1187"/>
      <c r="BZ26" s="1187"/>
      <c r="CA26" s="1187"/>
      <c r="CB26" s="1187"/>
      <c r="CC26" s="1187"/>
      <c r="CD26" s="1187"/>
      <c r="CE26" s="1187"/>
      <c r="CF26" s="1188"/>
      <c r="CG26" s="1241"/>
      <c r="CH26" s="1242"/>
      <c r="CI26" s="1242"/>
      <c r="CJ26" s="1242"/>
      <c r="CK26" s="1242"/>
      <c r="CL26" s="1242"/>
      <c r="CM26" s="1242"/>
      <c r="CN26" s="1242"/>
      <c r="CO26" s="1242"/>
      <c r="CP26" s="1243"/>
      <c r="CQ26" s="1165"/>
      <c r="CR26" s="1166"/>
      <c r="CS26" s="1166"/>
      <c r="CT26" s="1166"/>
      <c r="CU26" s="1166"/>
      <c r="CV26" s="1166"/>
      <c r="CW26" s="1166"/>
      <c r="CX26" s="1166"/>
      <c r="CY26" s="1166"/>
      <c r="CZ26" s="1166"/>
      <c r="DA26" s="1166"/>
      <c r="DB26" s="1166"/>
      <c r="DC26" s="1166"/>
      <c r="DD26" s="1166"/>
      <c r="DE26" s="1166"/>
      <c r="DF26" s="1166"/>
      <c r="DG26" s="1167"/>
      <c r="DH26" s="1249"/>
      <c r="DI26" s="1057" t="e">
        <f t="shared" si="0"/>
        <v>#DIV/0!</v>
      </c>
    </row>
    <row r="27" spans="1:125" s="38" customFormat="1" ht="30" customHeight="1">
      <c r="A27" s="1148" t="s">
        <v>136</v>
      </c>
      <c r="B27" s="1149"/>
      <c r="C27" s="1149"/>
      <c r="D27" s="1149"/>
      <c r="E27" s="1149"/>
      <c r="F27" s="1149"/>
      <c r="G27" s="1149"/>
      <c r="H27" s="1149"/>
      <c r="I27" s="1150"/>
      <c r="J27" s="39"/>
      <c r="K27" s="1189" t="s">
        <v>137</v>
      </c>
      <c r="L27" s="1189"/>
      <c r="M27" s="1189"/>
      <c r="N27" s="1189"/>
      <c r="O27" s="1189"/>
      <c r="P27" s="1189"/>
      <c r="Q27" s="1189"/>
      <c r="R27" s="1189"/>
      <c r="S27" s="1189"/>
      <c r="T27" s="1189"/>
      <c r="U27" s="1189"/>
      <c r="V27" s="1189"/>
      <c r="W27" s="1189"/>
      <c r="X27" s="1189"/>
      <c r="Y27" s="1189"/>
      <c r="Z27" s="1189"/>
      <c r="AA27" s="1189"/>
      <c r="AB27" s="1189"/>
      <c r="AC27" s="1189"/>
      <c r="AD27" s="1189"/>
      <c r="AE27" s="1189"/>
      <c r="AF27" s="1189"/>
      <c r="AG27" s="1189"/>
      <c r="AH27" s="1189"/>
      <c r="AI27" s="1189"/>
      <c r="AJ27" s="1189"/>
      <c r="AK27" s="1189"/>
      <c r="AL27" s="1189"/>
      <c r="AM27" s="1189"/>
      <c r="AN27" s="1189"/>
      <c r="AO27" s="1189"/>
      <c r="AP27" s="1189"/>
      <c r="AQ27" s="1189"/>
      <c r="AR27" s="1189"/>
      <c r="AS27" s="1189"/>
      <c r="AT27" s="1189"/>
      <c r="AU27" s="1189"/>
      <c r="AV27" s="1189"/>
      <c r="AW27" s="1189"/>
      <c r="AX27" s="1189"/>
      <c r="AY27" s="1189"/>
      <c r="AZ27" s="1189"/>
      <c r="BA27" s="1189"/>
      <c r="BB27" s="1189"/>
      <c r="BC27" s="1189"/>
      <c r="BD27" s="1189"/>
      <c r="BE27" s="1189"/>
      <c r="BF27" s="1189"/>
      <c r="BG27" s="1189"/>
      <c r="BH27" s="40"/>
      <c r="BI27" s="1183" t="s">
        <v>121</v>
      </c>
      <c r="BJ27" s="1184"/>
      <c r="BK27" s="1184"/>
      <c r="BL27" s="1184"/>
      <c r="BM27" s="1184"/>
      <c r="BN27" s="1184"/>
      <c r="BO27" s="1184"/>
      <c r="BP27" s="1184"/>
      <c r="BQ27" s="1184"/>
      <c r="BR27" s="1184"/>
      <c r="BS27" s="1185"/>
      <c r="BT27" s="1235"/>
      <c r="BU27" s="1052">
        <v>287148</v>
      </c>
      <c r="BV27" s="1052">
        <v>427496</v>
      </c>
      <c r="BW27" s="1186">
        <f>BW28+BW29+BW30</f>
        <v>338135.65023118135</v>
      </c>
      <c r="BX27" s="1187"/>
      <c r="BY27" s="1187"/>
      <c r="BZ27" s="1187"/>
      <c r="CA27" s="1187"/>
      <c r="CB27" s="1187"/>
      <c r="CC27" s="1187"/>
      <c r="CD27" s="1187"/>
      <c r="CE27" s="1187"/>
      <c r="CF27" s="1188"/>
      <c r="CG27" s="1186">
        <f>CG28+CG29+CG30</f>
        <v>370218.58777999994</v>
      </c>
      <c r="CH27" s="1187"/>
      <c r="CI27" s="1187"/>
      <c r="CJ27" s="1187"/>
      <c r="CK27" s="1187"/>
      <c r="CL27" s="1187"/>
      <c r="CM27" s="1187"/>
      <c r="CN27" s="1187"/>
      <c r="CO27" s="1187"/>
      <c r="CP27" s="1188"/>
      <c r="CQ27" s="1169" t="s">
        <v>2205</v>
      </c>
      <c r="CR27" s="1160"/>
      <c r="CS27" s="1160"/>
      <c r="CT27" s="1160"/>
      <c r="CU27" s="1160"/>
      <c r="CV27" s="1160"/>
      <c r="CW27" s="1160"/>
      <c r="CX27" s="1160"/>
      <c r="CY27" s="1160"/>
      <c r="CZ27" s="1160"/>
      <c r="DA27" s="1160"/>
      <c r="DB27" s="1160"/>
      <c r="DC27" s="1160"/>
      <c r="DD27" s="1160"/>
      <c r="DE27" s="1160"/>
      <c r="DF27" s="1160"/>
      <c r="DG27" s="1161"/>
      <c r="DH27" s="1249"/>
      <c r="DI27" s="1057">
        <f t="shared" si="0"/>
        <v>9.4881854447715597</v>
      </c>
    </row>
    <row r="28" spans="1:125" s="38" customFormat="1" ht="30" customHeight="1">
      <c r="A28" s="1148" t="s">
        <v>138</v>
      </c>
      <c r="B28" s="1149"/>
      <c r="C28" s="1149"/>
      <c r="D28" s="1149"/>
      <c r="E28" s="1149"/>
      <c r="F28" s="1149"/>
      <c r="G28" s="1149"/>
      <c r="H28" s="1149"/>
      <c r="I28" s="1150"/>
      <c r="J28" s="39"/>
      <c r="K28" s="1189" t="s">
        <v>139</v>
      </c>
      <c r="L28" s="1189"/>
      <c r="M28" s="1189"/>
      <c r="N28" s="1189"/>
      <c r="O28" s="1189"/>
      <c r="P28" s="1189"/>
      <c r="Q28" s="1189"/>
      <c r="R28" s="1189"/>
      <c r="S28" s="1189"/>
      <c r="T28" s="1189"/>
      <c r="U28" s="1189"/>
      <c r="V28" s="1189"/>
      <c r="W28" s="1189"/>
      <c r="X28" s="1189"/>
      <c r="Y28" s="1189"/>
      <c r="Z28" s="1189"/>
      <c r="AA28" s="1189"/>
      <c r="AB28" s="1189"/>
      <c r="AC28" s="1189"/>
      <c r="AD28" s="1189"/>
      <c r="AE28" s="1189"/>
      <c r="AF28" s="1189"/>
      <c r="AG28" s="1189"/>
      <c r="AH28" s="1189"/>
      <c r="AI28" s="1189"/>
      <c r="AJ28" s="1189"/>
      <c r="AK28" s="1189"/>
      <c r="AL28" s="1189"/>
      <c r="AM28" s="1189"/>
      <c r="AN28" s="1189"/>
      <c r="AO28" s="1189"/>
      <c r="AP28" s="1189"/>
      <c r="AQ28" s="1189"/>
      <c r="AR28" s="1189"/>
      <c r="AS28" s="1189"/>
      <c r="AT28" s="1189"/>
      <c r="AU28" s="1189"/>
      <c r="AV28" s="1189"/>
      <c r="AW28" s="1189"/>
      <c r="AX28" s="1189"/>
      <c r="AY28" s="1189"/>
      <c r="AZ28" s="1189"/>
      <c r="BA28" s="1189"/>
      <c r="BB28" s="1189"/>
      <c r="BC28" s="1189"/>
      <c r="BD28" s="1189"/>
      <c r="BE28" s="1189"/>
      <c r="BF28" s="1189"/>
      <c r="BG28" s="1189"/>
      <c r="BH28" s="40"/>
      <c r="BI28" s="1183" t="s">
        <v>121</v>
      </c>
      <c r="BJ28" s="1184"/>
      <c r="BK28" s="1184"/>
      <c r="BL28" s="1184"/>
      <c r="BM28" s="1184"/>
      <c r="BN28" s="1184"/>
      <c r="BO28" s="1184"/>
      <c r="BP28" s="1184"/>
      <c r="BQ28" s="1184"/>
      <c r="BR28" s="1184"/>
      <c r="BS28" s="1185"/>
      <c r="BT28" s="1235"/>
      <c r="BU28" s="1052">
        <v>40740</v>
      </c>
      <c r="BV28" s="1052">
        <v>39725</v>
      </c>
      <c r="BW28" s="1190">
        <f>'5. подк.неподк.план'!Y96</f>
        <v>42980.76</v>
      </c>
      <c r="BX28" s="1191"/>
      <c r="BY28" s="1191"/>
      <c r="BZ28" s="1191"/>
      <c r="CA28" s="1191"/>
      <c r="CB28" s="1191"/>
      <c r="CC28" s="1191"/>
      <c r="CD28" s="1191"/>
      <c r="CE28" s="1191"/>
      <c r="CF28" s="1192"/>
      <c r="CG28" s="1190">
        <f>SUM('8.Бюджет на 2015'!DF283:DF294)</f>
        <v>40251.151279999998</v>
      </c>
      <c r="CH28" s="1191"/>
      <c r="CI28" s="1191"/>
      <c r="CJ28" s="1191"/>
      <c r="CK28" s="1191"/>
      <c r="CL28" s="1191"/>
      <c r="CM28" s="1191"/>
      <c r="CN28" s="1191"/>
      <c r="CO28" s="1191"/>
      <c r="CP28" s="1192"/>
      <c r="CQ28" s="1162"/>
      <c r="CR28" s="1163"/>
      <c r="CS28" s="1163"/>
      <c r="CT28" s="1163"/>
      <c r="CU28" s="1163"/>
      <c r="CV28" s="1163"/>
      <c r="CW28" s="1163"/>
      <c r="CX28" s="1163"/>
      <c r="CY28" s="1163"/>
      <c r="CZ28" s="1163"/>
      <c r="DA28" s="1163"/>
      <c r="DB28" s="1163"/>
      <c r="DC28" s="1163"/>
      <c r="DD28" s="1163"/>
      <c r="DE28" s="1163"/>
      <c r="DF28" s="1163"/>
      <c r="DG28" s="1164"/>
      <c r="DH28" s="1249"/>
      <c r="DI28" s="1057">
        <f t="shared" si="0"/>
        <v>-6.350768855646109</v>
      </c>
      <c r="DJ28" s="418">
        <f>'1.6.'!BT55</f>
        <v>77588</v>
      </c>
      <c r="DT28" s="1061">
        <f>SUM('8.Бюджет на 2015'!DF283:DF294)</f>
        <v>40251.151279999998</v>
      </c>
      <c r="DU28" s="1061">
        <f>DT28-CG28</f>
        <v>0</v>
      </c>
    </row>
    <row r="29" spans="1:125" s="38" customFormat="1" ht="15" customHeight="1">
      <c r="A29" s="1148" t="s">
        <v>140</v>
      </c>
      <c r="B29" s="1149"/>
      <c r="C29" s="1149"/>
      <c r="D29" s="1149"/>
      <c r="E29" s="1149"/>
      <c r="F29" s="1149"/>
      <c r="G29" s="1149"/>
      <c r="H29" s="1149"/>
      <c r="I29" s="1150"/>
      <c r="J29" s="39"/>
      <c r="K29" s="1189" t="s">
        <v>141</v>
      </c>
      <c r="L29" s="1189"/>
      <c r="M29" s="1189"/>
      <c r="N29" s="1189"/>
      <c r="O29" s="1189"/>
      <c r="P29" s="1189"/>
      <c r="Q29" s="1189"/>
      <c r="R29" s="1189"/>
      <c r="S29" s="1189"/>
      <c r="T29" s="1189"/>
      <c r="U29" s="1189"/>
      <c r="V29" s="1189"/>
      <c r="W29" s="1189"/>
      <c r="X29" s="1189"/>
      <c r="Y29" s="1189"/>
      <c r="Z29" s="1189"/>
      <c r="AA29" s="1189"/>
      <c r="AB29" s="1189"/>
      <c r="AC29" s="1189"/>
      <c r="AD29" s="1189"/>
      <c r="AE29" s="1189"/>
      <c r="AF29" s="1189"/>
      <c r="AG29" s="1189"/>
      <c r="AH29" s="1189"/>
      <c r="AI29" s="1189"/>
      <c r="AJ29" s="1189"/>
      <c r="AK29" s="1189"/>
      <c r="AL29" s="1189"/>
      <c r="AM29" s="1189"/>
      <c r="AN29" s="1189"/>
      <c r="AO29" s="1189"/>
      <c r="AP29" s="1189"/>
      <c r="AQ29" s="1189"/>
      <c r="AR29" s="1189"/>
      <c r="AS29" s="1189"/>
      <c r="AT29" s="1189"/>
      <c r="AU29" s="1189"/>
      <c r="AV29" s="1189"/>
      <c r="AW29" s="1189"/>
      <c r="AX29" s="1189"/>
      <c r="AY29" s="1189"/>
      <c r="AZ29" s="1189"/>
      <c r="BA29" s="1189"/>
      <c r="BB29" s="1189"/>
      <c r="BC29" s="1189"/>
      <c r="BD29" s="1189"/>
      <c r="BE29" s="1189"/>
      <c r="BF29" s="1189"/>
      <c r="BG29" s="1189"/>
      <c r="BH29" s="40"/>
      <c r="BI29" s="1183" t="s">
        <v>121</v>
      </c>
      <c r="BJ29" s="1184"/>
      <c r="BK29" s="1184"/>
      <c r="BL29" s="1184"/>
      <c r="BM29" s="1184"/>
      <c r="BN29" s="1184"/>
      <c r="BO29" s="1184"/>
      <c r="BP29" s="1184"/>
      <c r="BQ29" s="1184"/>
      <c r="BR29" s="1184"/>
      <c r="BS29" s="1185"/>
      <c r="BT29" s="1235"/>
      <c r="BU29" s="1052">
        <v>45185</v>
      </c>
      <c r="BV29" s="1052">
        <v>79959</v>
      </c>
      <c r="BW29" s="1190">
        <f>'5. подк.неподк.план'!Y190</f>
        <v>49617.8491096254</v>
      </c>
      <c r="BX29" s="1191"/>
      <c r="BY29" s="1191"/>
      <c r="BZ29" s="1191"/>
      <c r="CA29" s="1191"/>
      <c r="CB29" s="1191"/>
      <c r="CC29" s="1191"/>
      <c r="CD29" s="1191"/>
      <c r="CE29" s="1191"/>
      <c r="CF29" s="1192"/>
      <c r="CG29" s="1190">
        <f>'1. подк.неподк. факт'!Z190</f>
        <v>25883.10183</v>
      </c>
      <c r="CH29" s="1191"/>
      <c r="CI29" s="1191"/>
      <c r="CJ29" s="1191"/>
      <c r="CK29" s="1191"/>
      <c r="CL29" s="1191"/>
      <c r="CM29" s="1191"/>
      <c r="CN29" s="1191"/>
      <c r="CO29" s="1191"/>
      <c r="CP29" s="1192"/>
      <c r="CQ29" s="1162"/>
      <c r="CR29" s="1163"/>
      <c r="CS29" s="1163"/>
      <c r="CT29" s="1163"/>
      <c r="CU29" s="1163"/>
      <c r="CV29" s="1163"/>
      <c r="CW29" s="1163"/>
      <c r="CX29" s="1163"/>
      <c r="CY29" s="1163"/>
      <c r="CZ29" s="1163"/>
      <c r="DA29" s="1163"/>
      <c r="DB29" s="1163"/>
      <c r="DC29" s="1163"/>
      <c r="DD29" s="1163"/>
      <c r="DE29" s="1163"/>
      <c r="DF29" s="1163"/>
      <c r="DG29" s="1164"/>
      <c r="DH29" s="1249"/>
      <c r="DI29" s="1057">
        <f t="shared" si="0"/>
        <v>-47.835099073291104</v>
      </c>
    </row>
    <row r="30" spans="1:125" s="38" customFormat="1" ht="30" customHeight="1">
      <c r="A30" s="1148" t="s">
        <v>142</v>
      </c>
      <c r="B30" s="1149"/>
      <c r="C30" s="1149"/>
      <c r="D30" s="1149"/>
      <c r="E30" s="1149"/>
      <c r="F30" s="1149"/>
      <c r="G30" s="1149"/>
      <c r="H30" s="1149"/>
      <c r="I30" s="1150"/>
      <c r="J30" s="39"/>
      <c r="K30" s="1189" t="s">
        <v>143</v>
      </c>
      <c r="L30" s="1189"/>
      <c r="M30" s="1189"/>
      <c r="N30" s="1189"/>
      <c r="O30" s="1189"/>
      <c r="P30" s="1189"/>
      <c r="Q30" s="1189"/>
      <c r="R30" s="1189"/>
      <c r="S30" s="1189"/>
      <c r="T30" s="1189"/>
      <c r="U30" s="1189"/>
      <c r="V30" s="1189"/>
      <c r="W30" s="1189"/>
      <c r="X30" s="1189"/>
      <c r="Y30" s="1189"/>
      <c r="Z30" s="1189"/>
      <c r="AA30" s="1189"/>
      <c r="AB30" s="1189"/>
      <c r="AC30" s="1189"/>
      <c r="AD30" s="1189"/>
      <c r="AE30" s="1189"/>
      <c r="AF30" s="1189"/>
      <c r="AG30" s="1189"/>
      <c r="AH30" s="1189"/>
      <c r="AI30" s="1189"/>
      <c r="AJ30" s="1189"/>
      <c r="AK30" s="1189"/>
      <c r="AL30" s="1189"/>
      <c r="AM30" s="1189"/>
      <c r="AN30" s="1189"/>
      <c r="AO30" s="1189"/>
      <c r="AP30" s="1189"/>
      <c r="AQ30" s="1189"/>
      <c r="AR30" s="1189"/>
      <c r="AS30" s="1189"/>
      <c r="AT30" s="1189"/>
      <c r="AU30" s="1189"/>
      <c r="AV30" s="1189"/>
      <c r="AW30" s="1189"/>
      <c r="AX30" s="1189"/>
      <c r="AY30" s="1189"/>
      <c r="AZ30" s="1189"/>
      <c r="BA30" s="1189"/>
      <c r="BB30" s="1189"/>
      <c r="BC30" s="1189"/>
      <c r="BD30" s="1189"/>
      <c r="BE30" s="1189"/>
      <c r="BF30" s="1189"/>
      <c r="BG30" s="1189"/>
      <c r="BH30" s="40"/>
      <c r="BI30" s="1183" t="s">
        <v>121</v>
      </c>
      <c r="BJ30" s="1184"/>
      <c r="BK30" s="1184"/>
      <c r="BL30" s="1184"/>
      <c r="BM30" s="1184"/>
      <c r="BN30" s="1184"/>
      <c r="BO30" s="1184"/>
      <c r="BP30" s="1184"/>
      <c r="BQ30" s="1184"/>
      <c r="BR30" s="1184"/>
      <c r="BS30" s="1185"/>
      <c r="BT30" s="1235"/>
      <c r="BU30" s="1052">
        <v>201222</v>
      </c>
      <c r="BV30" s="1052">
        <v>307813</v>
      </c>
      <c r="BW30" s="1186">
        <f>SUM(BW31:CF47)</f>
        <v>245537.04112155596</v>
      </c>
      <c r="BX30" s="1187"/>
      <c r="BY30" s="1187"/>
      <c r="BZ30" s="1187"/>
      <c r="CA30" s="1187"/>
      <c r="CB30" s="1187"/>
      <c r="CC30" s="1187"/>
      <c r="CD30" s="1187"/>
      <c r="CE30" s="1187"/>
      <c r="CF30" s="1188"/>
      <c r="CG30" s="1186">
        <f>SUM(CG31:CP48)</f>
        <v>304084.33466999995</v>
      </c>
      <c r="CH30" s="1187"/>
      <c r="CI30" s="1187"/>
      <c r="CJ30" s="1187"/>
      <c r="CK30" s="1187"/>
      <c r="CL30" s="1187"/>
      <c r="CM30" s="1187"/>
      <c r="CN30" s="1187"/>
      <c r="CO30" s="1187"/>
      <c r="CP30" s="1188"/>
      <c r="CQ30" s="1162"/>
      <c r="CR30" s="1163"/>
      <c r="CS30" s="1163"/>
      <c r="CT30" s="1163"/>
      <c r="CU30" s="1163"/>
      <c r="CV30" s="1163"/>
      <c r="CW30" s="1163"/>
      <c r="CX30" s="1163"/>
      <c r="CY30" s="1163"/>
      <c r="CZ30" s="1163"/>
      <c r="DA30" s="1163"/>
      <c r="DB30" s="1163"/>
      <c r="DC30" s="1163"/>
      <c r="DD30" s="1163"/>
      <c r="DE30" s="1163"/>
      <c r="DF30" s="1163"/>
      <c r="DG30" s="1164"/>
      <c r="DH30" s="1249"/>
      <c r="DI30" s="1057">
        <f t="shared" si="0"/>
        <v>23.844587065566003</v>
      </c>
    </row>
    <row r="31" spans="1:125" s="38" customFormat="1" ht="30" customHeight="1">
      <c r="A31" s="1148" t="s">
        <v>1493</v>
      </c>
      <c r="B31" s="1149"/>
      <c r="C31" s="1149"/>
      <c r="D31" s="1149"/>
      <c r="E31" s="1149"/>
      <c r="F31" s="1149"/>
      <c r="G31" s="1149"/>
      <c r="H31" s="1149"/>
      <c r="I31" s="1150"/>
      <c r="J31" s="49"/>
      <c r="K31" s="1189" t="str">
        <f>'5. подк.неподк.план'!D131</f>
        <v>Услуги связи</v>
      </c>
      <c r="L31" s="1189"/>
      <c r="M31" s="1189"/>
      <c r="N31" s="1189"/>
      <c r="O31" s="1189"/>
      <c r="P31" s="1189"/>
      <c r="Q31" s="1189"/>
      <c r="R31" s="1189"/>
      <c r="S31" s="1189"/>
      <c r="T31" s="1189"/>
      <c r="U31" s="1189"/>
      <c r="V31" s="1189"/>
      <c r="W31" s="1189"/>
      <c r="X31" s="1189"/>
      <c r="Y31" s="1189"/>
      <c r="Z31" s="1189"/>
      <c r="AA31" s="1189"/>
      <c r="AB31" s="1189"/>
      <c r="AC31" s="1189"/>
      <c r="AD31" s="1189"/>
      <c r="AE31" s="1189"/>
      <c r="AF31" s="1189"/>
      <c r="AG31" s="1189"/>
      <c r="AH31" s="1189"/>
      <c r="AI31" s="1189"/>
      <c r="AJ31" s="1189"/>
      <c r="AK31" s="1189"/>
      <c r="AL31" s="1189"/>
      <c r="AM31" s="1189"/>
      <c r="AN31" s="1189"/>
      <c r="AO31" s="1189"/>
      <c r="AP31" s="1189"/>
      <c r="AQ31" s="1189"/>
      <c r="AR31" s="1189"/>
      <c r="AS31" s="1189"/>
      <c r="AT31" s="1189"/>
      <c r="AU31" s="1189"/>
      <c r="AV31" s="1189"/>
      <c r="AW31" s="1189"/>
      <c r="AX31" s="1189"/>
      <c r="AY31" s="1189"/>
      <c r="AZ31" s="1189"/>
      <c r="BA31" s="1189"/>
      <c r="BB31" s="1189"/>
      <c r="BC31" s="1189"/>
      <c r="BD31" s="1189"/>
      <c r="BE31" s="1189"/>
      <c r="BF31" s="1189"/>
      <c r="BG31" s="1189"/>
      <c r="BH31" s="51"/>
      <c r="BI31" s="1183" t="s">
        <v>121</v>
      </c>
      <c r="BJ31" s="1184"/>
      <c r="BK31" s="1184"/>
      <c r="BL31" s="1184"/>
      <c r="BM31" s="1184"/>
      <c r="BN31" s="1184"/>
      <c r="BO31" s="1184"/>
      <c r="BP31" s="1184"/>
      <c r="BQ31" s="1184"/>
      <c r="BR31" s="1184"/>
      <c r="BS31" s="1185"/>
      <c r="BT31" s="1235"/>
      <c r="BU31" s="1052">
        <v>13114</v>
      </c>
      <c r="BV31" s="1052">
        <v>15386</v>
      </c>
      <c r="BW31" s="1190">
        <f>'5. подк.неподк.план'!Y131</f>
        <v>14478.903483332291</v>
      </c>
      <c r="BX31" s="1191"/>
      <c r="BY31" s="1191"/>
      <c r="BZ31" s="1191"/>
      <c r="CA31" s="1191"/>
      <c r="CB31" s="1191"/>
      <c r="CC31" s="1191"/>
      <c r="CD31" s="1191"/>
      <c r="CE31" s="1191"/>
      <c r="CF31" s="1192"/>
      <c r="CG31" s="1190">
        <f>'1. подк.неподк. факт'!Z131</f>
        <v>13897.249630000002</v>
      </c>
      <c r="CH31" s="1191"/>
      <c r="CI31" s="1191"/>
      <c r="CJ31" s="1191"/>
      <c r="CK31" s="1191"/>
      <c r="CL31" s="1191"/>
      <c r="CM31" s="1191"/>
      <c r="CN31" s="1191"/>
      <c r="CO31" s="1191"/>
      <c r="CP31" s="1192"/>
      <c r="CQ31" s="1162"/>
      <c r="CR31" s="1163"/>
      <c r="CS31" s="1163"/>
      <c r="CT31" s="1163"/>
      <c r="CU31" s="1163"/>
      <c r="CV31" s="1163"/>
      <c r="CW31" s="1163"/>
      <c r="CX31" s="1163"/>
      <c r="CY31" s="1163"/>
      <c r="CZ31" s="1163"/>
      <c r="DA31" s="1163"/>
      <c r="DB31" s="1163"/>
      <c r="DC31" s="1163"/>
      <c r="DD31" s="1163"/>
      <c r="DE31" s="1163"/>
      <c r="DF31" s="1163"/>
      <c r="DG31" s="1164"/>
      <c r="DH31" s="1249"/>
      <c r="DI31" s="1057">
        <f t="shared" si="0"/>
        <v>-4.0172507124028556</v>
      </c>
    </row>
    <row r="32" spans="1:125" s="38" customFormat="1" ht="30" customHeight="1">
      <c r="A32" s="1148" t="s">
        <v>1501</v>
      </c>
      <c r="B32" s="1149"/>
      <c r="C32" s="1149"/>
      <c r="D32" s="1149"/>
      <c r="E32" s="1149"/>
      <c r="F32" s="1149"/>
      <c r="G32" s="1149"/>
      <c r="H32" s="1149"/>
      <c r="I32" s="1150"/>
      <c r="J32" s="49"/>
      <c r="K32" s="1189" t="s">
        <v>718</v>
      </c>
      <c r="L32" s="1189"/>
      <c r="M32" s="1189"/>
      <c r="N32" s="1189"/>
      <c r="O32" s="1189"/>
      <c r="P32" s="1189"/>
      <c r="Q32" s="1189"/>
      <c r="R32" s="1189"/>
      <c r="S32" s="1189"/>
      <c r="T32" s="1189"/>
      <c r="U32" s="1189"/>
      <c r="V32" s="1189"/>
      <c r="W32" s="1189"/>
      <c r="X32" s="1189"/>
      <c r="Y32" s="1189"/>
      <c r="Z32" s="1189"/>
      <c r="AA32" s="1189"/>
      <c r="AB32" s="1189"/>
      <c r="AC32" s="1189"/>
      <c r="AD32" s="1189"/>
      <c r="AE32" s="1189"/>
      <c r="AF32" s="1189"/>
      <c r="AG32" s="1189"/>
      <c r="AH32" s="1189"/>
      <c r="AI32" s="1189"/>
      <c r="AJ32" s="1189"/>
      <c r="AK32" s="1189"/>
      <c r="AL32" s="1189"/>
      <c r="AM32" s="1189"/>
      <c r="AN32" s="1189"/>
      <c r="AO32" s="1189"/>
      <c r="AP32" s="1189"/>
      <c r="AQ32" s="1189"/>
      <c r="AR32" s="1189"/>
      <c r="AS32" s="1189"/>
      <c r="AT32" s="1189"/>
      <c r="AU32" s="1189"/>
      <c r="AV32" s="1189"/>
      <c r="AW32" s="1189"/>
      <c r="AX32" s="1189"/>
      <c r="AY32" s="1189"/>
      <c r="AZ32" s="1189"/>
      <c r="BA32" s="1189"/>
      <c r="BB32" s="1189"/>
      <c r="BC32" s="1189"/>
      <c r="BD32" s="1189"/>
      <c r="BE32" s="1189"/>
      <c r="BF32" s="1189"/>
      <c r="BG32" s="1189"/>
      <c r="BH32" s="51"/>
      <c r="BI32" s="1183" t="s">
        <v>121</v>
      </c>
      <c r="BJ32" s="1184"/>
      <c r="BK32" s="1184"/>
      <c r="BL32" s="1184"/>
      <c r="BM32" s="1184"/>
      <c r="BN32" s="1184"/>
      <c r="BO32" s="1184"/>
      <c r="BP32" s="1184"/>
      <c r="BQ32" s="1184"/>
      <c r="BR32" s="1184"/>
      <c r="BS32" s="1185"/>
      <c r="BT32" s="1235"/>
      <c r="BU32" s="1052">
        <v>18494</v>
      </c>
      <c r="BV32" s="1052">
        <v>21240</v>
      </c>
      <c r="BW32" s="1190">
        <f>'5. подк.неподк.план'!Y141</f>
        <v>18308.048922764599</v>
      </c>
      <c r="BX32" s="1191"/>
      <c r="BY32" s="1191"/>
      <c r="BZ32" s="1191"/>
      <c r="CA32" s="1191"/>
      <c r="CB32" s="1191"/>
      <c r="CC32" s="1191"/>
      <c r="CD32" s="1191"/>
      <c r="CE32" s="1191"/>
      <c r="CF32" s="1192"/>
      <c r="CG32" s="1190">
        <f>'1. подк.неподк. факт'!Z141</f>
        <v>20533.07416</v>
      </c>
      <c r="CH32" s="1191"/>
      <c r="CI32" s="1191"/>
      <c r="CJ32" s="1191"/>
      <c r="CK32" s="1191"/>
      <c r="CL32" s="1191"/>
      <c r="CM32" s="1191"/>
      <c r="CN32" s="1191"/>
      <c r="CO32" s="1191"/>
      <c r="CP32" s="1192"/>
      <c r="CQ32" s="1162"/>
      <c r="CR32" s="1163"/>
      <c r="CS32" s="1163"/>
      <c r="CT32" s="1163"/>
      <c r="CU32" s="1163"/>
      <c r="CV32" s="1163"/>
      <c r="CW32" s="1163"/>
      <c r="CX32" s="1163"/>
      <c r="CY32" s="1163"/>
      <c r="CZ32" s="1163"/>
      <c r="DA32" s="1163"/>
      <c r="DB32" s="1163"/>
      <c r="DC32" s="1163"/>
      <c r="DD32" s="1163"/>
      <c r="DE32" s="1163"/>
      <c r="DF32" s="1163"/>
      <c r="DG32" s="1164"/>
      <c r="DH32" s="1249"/>
      <c r="DI32" s="1057">
        <f t="shared" si="0"/>
        <v>12.153262461893249</v>
      </c>
    </row>
    <row r="33" spans="1:114" s="38" customFormat="1" ht="30" customHeight="1">
      <c r="A33" s="1148" t="s">
        <v>1502</v>
      </c>
      <c r="B33" s="1149"/>
      <c r="C33" s="1149"/>
      <c r="D33" s="1149"/>
      <c r="E33" s="1149"/>
      <c r="F33" s="1149"/>
      <c r="G33" s="1149"/>
      <c r="H33" s="1149"/>
      <c r="I33" s="1150"/>
      <c r="J33" s="49"/>
      <c r="K33" s="1189" t="s">
        <v>726</v>
      </c>
      <c r="L33" s="1189"/>
      <c r="M33" s="1189"/>
      <c r="N33" s="1189"/>
      <c r="O33" s="1189"/>
      <c r="P33" s="1189"/>
      <c r="Q33" s="1189"/>
      <c r="R33" s="1189"/>
      <c r="S33" s="1189"/>
      <c r="T33" s="1189"/>
      <c r="U33" s="1189"/>
      <c r="V33" s="1189"/>
      <c r="W33" s="1189"/>
      <c r="X33" s="1189"/>
      <c r="Y33" s="1189"/>
      <c r="Z33" s="1189"/>
      <c r="AA33" s="1189"/>
      <c r="AB33" s="1189"/>
      <c r="AC33" s="1189"/>
      <c r="AD33" s="1189"/>
      <c r="AE33" s="1189"/>
      <c r="AF33" s="1189"/>
      <c r="AG33" s="1189"/>
      <c r="AH33" s="1189"/>
      <c r="AI33" s="1189"/>
      <c r="AJ33" s="1189"/>
      <c r="AK33" s="1189"/>
      <c r="AL33" s="1189"/>
      <c r="AM33" s="1189"/>
      <c r="AN33" s="1189"/>
      <c r="AO33" s="1189"/>
      <c r="AP33" s="1189"/>
      <c r="AQ33" s="1189"/>
      <c r="AR33" s="1189"/>
      <c r="AS33" s="1189"/>
      <c r="AT33" s="1189"/>
      <c r="AU33" s="1189"/>
      <c r="AV33" s="1189"/>
      <c r="AW33" s="1189"/>
      <c r="AX33" s="1189"/>
      <c r="AY33" s="1189"/>
      <c r="AZ33" s="1189"/>
      <c r="BA33" s="1189"/>
      <c r="BB33" s="1189"/>
      <c r="BC33" s="1189"/>
      <c r="BD33" s="1189"/>
      <c r="BE33" s="1189"/>
      <c r="BF33" s="1189"/>
      <c r="BG33" s="1189"/>
      <c r="BH33" s="51"/>
      <c r="BI33" s="1183" t="s">
        <v>121</v>
      </c>
      <c r="BJ33" s="1184"/>
      <c r="BK33" s="1184"/>
      <c r="BL33" s="1184"/>
      <c r="BM33" s="1184"/>
      <c r="BN33" s="1184"/>
      <c r="BO33" s="1184"/>
      <c r="BP33" s="1184"/>
      <c r="BQ33" s="1184"/>
      <c r="BR33" s="1184"/>
      <c r="BS33" s="1185"/>
      <c r="BT33" s="1235"/>
      <c r="BU33" s="1052">
        <v>40839</v>
      </c>
      <c r="BV33" s="1052">
        <v>66631</v>
      </c>
      <c r="BW33" s="1190">
        <f>'5. подк.неподк.план'!Y143</f>
        <v>79533.422149999999</v>
      </c>
      <c r="BX33" s="1191"/>
      <c r="BY33" s="1191"/>
      <c r="BZ33" s="1191"/>
      <c r="CA33" s="1191"/>
      <c r="CB33" s="1191"/>
      <c r="CC33" s="1191"/>
      <c r="CD33" s="1191"/>
      <c r="CE33" s="1191"/>
      <c r="CF33" s="1192"/>
      <c r="CG33" s="1190">
        <f>'1. подк.неподк. факт'!Z143</f>
        <v>76131.868920000008</v>
      </c>
      <c r="CH33" s="1191"/>
      <c r="CI33" s="1191"/>
      <c r="CJ33" s="1191"/>
      <c r="CK33" s="1191"/>
      <c r="CL33" s="1191"/>
      <c r="CM33" s="1191"/>
      <c r="CN33" s="1191"/>
      <c r="CO33" s="1191"/>
      <c r="CP33" s="1192"/>
      <c r="CQ33" s="1162"/>
      <c r="CR33" s="1163"/>
      <c r="CS33" s="1163"/>
      <c r="CT33" s="1163"/>
      <c r="CU33" s="1163"/>
      <c r="CV33" s="1163"/>
      <c r="CW33" s="1163"/>
      <c r="CX33" s="1163"/>
      <c r="CY33" s="1163"/>
      <c r="CZ33" s="1163"/>
      <c r="DA33" s="1163"/>
      <c r="DB33" s="1163"/>
      <c r="DC33" s="1163"/>
      <c r="DD33" s="1163"/>
      <c r="DE33" s="1163"/>
      <c r="DF33" s="1163"/>
      <c r="DG33" s="1164"/>
      <c r="DH33" s="1249"/>
      <c r="DI33" s="1057">
        <f t="shared" si="0"/>
        <v>-4.2768852867724689</v>
      </c>
    </row>
    <row r="34" spans="1:114" s="38" customFormat="1" ht="30" customHeight="1">
      <c r="A34" s="1148" t="s">
        <v>1503</v>
      </c>
      <c r="B34" s="1149"/>
      <c r="C34" s="1149"/>
      <c r="D34" s="1149"/>
      <c r="E34" s="1149"/>
      <c r="F34" s="1149"/>
      <c r="G34" s="1149"/>
      <c r="H34" s="1149"/>
      <c r="I34" s="1150"/>
      <c r="J34" s="49"/>
      <c r="K34" s="1189" t="s">
        <v>745</v>
      </c>
      <c r="L34" s="1189"/>
      <c r="M34" s="1189"/>
      <c r="N34" s="1189"/>
      <c r="O34" s="1189"/>
      <c r="P34" s="1189"/>
      <c r="Q34" s="1189"/>
      <c r="R34" s="1189"/>
      <c r="S34" s="1189"/>
      <c r="T34" s="1189"/>
      <c r="U34" s="1189"/>
      <c r="V34" s="1189"/>
      <c r="W34" s="1189"/>
      <c r="X34" s="1189"/>
      <c r="Y34" s="1189"/>
      <c r="Z34" s="1189"/>
      <c r="AA34" s="1189"/>
      <c r="AB34" s="1189"/>
      <c r="AC34" s="1189"/>
      <c r="AD34" s="1189"/>
      <c r="AE34" s="1189"/>
      <c r="AF34" s="1189"/>
      <c r="AG34" s="1189"/>
      <c r="AH34" s="1189"/>
      <c r="AI34" s="1189"/>
      <c r="AJ34" s="1189"/>
      <c r="AK34" s="1189"/>
      <c r="AL34" s="1189"/>
      <c r="AM34" s="1189"/>
      <c r="AN34" s="1189"/>
      <c r="AO34" s="1189"/>
      <c r="AP34" s="1189"/>
      <c r="AQ34" s="1189"/>
      <c r="AR34" s="1189"/>
      <c r="AS34" s="1189"/>
      <c r="AT34" s="1189"/>
      <c r="AU34" s="1189"/>
      <c r="AV34" s="1189"/>
      <c r="AW34" s="1189"/>
      <c r="AX34" s="1189"/>
      <c r="AY34" s="1189"/>
      <c r="AZ34" s="1189"/>
      <c r="BA34" s="1189"/>
      <c r="BB34" s="1189"/>
      <c r="BC34" s="1189"/>
      <c r="BD34" s="1189"/>
      <c r="BE34" s="1189"/>
      <c r="BF34" s="1189"/>
      <c r="BG34" s="1189"/>
      <c r="BH34" s="51"/>
      <c r="BI34" s="1183" t="s">
        <v>121</v>
      </c>
      <c r="BJ34" s="1184"/>
      <c r="BK34" s="1184"/>
      <c r="BL34" s="1184"/>
      <c r="BM34" s="1184"/>
      <c r="BN34" s="1184"/>
      <c r="BO34" s="1184"/>
      <c r="BP34" s="1184"/>
      <c r="BQ34" s="1184"/>
      <c r="BR34" s="1184"/>
      <c r="BS34" s="1185"/>
      <c r="BT34" s="1235"/>
      <c r="BU34" s="1052">
        <v>2053</v>
      </c>
      <c r="BV34" s="1052">
        <v>17245</v>
      </c>
      <c r="BW34" s="1190">
        <f>'5. подк.неподк.план'!Y148</f>
        <v>2166.2737000000002</v>
      </c>
      <c r="BX34" s="1191"/>
      <c r="BY34" s="1191"/>
      <c r="BZ34" s="1191"/>
      <c r="CA34" s="1191"/>
      <c r="CB34" s="1191"/>
      <c r="CC34" s="1191"/>
      <c r="CD34" s="1191"/>
      <c r="CE34" s="1191"/>
      <c r="CF34" s="1192"/>
      <c r="CG34" s="1190">
        <f>'1. подк.неподк. факт'!Z148</f>
        <v>6284.5428499999998</v>
      </c>
      <c r="CH34" s="1191"/>
      <c r="CI34" s="1191"/>
      <c r="CJ34" s="1191"/>
      <c r="CK34" s="1191"/>
      <c r="CL34" s="1191"/>
      <c r="CM34" s="1191"/>
      <c r="CN34" s="1191"/>
      <c r="CO34" s="1191"/>
      <c r="CP34" s="1192"/>
      <c r="CQ34" s="1162"/>
      <c r="CR34" s="1163"/>
      <c r="CS34" s="1163"/>
      <c r="CT34" s="1163"/>
      <c r="CU34" s="1163"/>
      <c r="CV34" s="1163"/>
      <c r="CW34" s="1163"/>
      <c r="CX34" s="1163"/>
      <c r="CY34" s="1163"/>
      <c r="CZ34" s="1163"/>
      <c r="DA34" s="1163"/>
      <c r="DB34" s="1163"/>
      <c r="DC34" s="1163"/>
      <c r="DD34" s="1163"/>
      <c r="DE34" s="1163"/>
      <c r="DF34" s="1163"/>
      <c r="DG34" s="1164"/>
      <c r="DH34" s="1249"/>
      <c r="DI34" s="1057">
        <f t="shared" si="0"/>
        <v>190.10844059086344</v>
      </c>
    </row>
    <row r="35" spans="1:114" s="38" customFormat="1" ht="30" customHeight="1">
      <c r="A35" s="1148" t="s">
        <v>1504</v>
      </c>
      <c r="B35" s="1149"/>
      <c r="C35" s="1149"/>
      <c r="D35" s="1149"/>
      <c r="E35" s="1149"/>
      <c r="F35" s="1149"/>
      <c r="G35" s="1149"/>
      <c r="H35" s="1149"/>
      <c r="I35" s="1150"/>
      <c r="J35" s="49"/>
      <c r="K35" s="1189" t="s">
        <v>1495</v>
      </c>
      <c r="L35" s="1189"/>
      <c r="M35" s="1189"/>
      <c r="N35" s="1189"/>
      <c r="O35" s="1189"/>
      <c r="P35" s="1189"/>
      <c r="Q35" s="1189"/>
      <c r="R35" s="1189"/>
      <c r="S35" s="1189"/>
      <c r="T35" s="1189"/>
      <c r="U35" s="1189"/>
      <c r="V35" s="1189"/>
      <c r="W35" s="1189"/>
      <c r="X35" s="1189"/>
      <c r="Y35" s="1189"/>
      <c r="Z35" s="1189"/>
      <c r="AA35" s="1189"/>
      <c r="AB35" s="1189"/>
      <c r="AC35" s="1189"/>
      <c r="AD35" s="1189"/>
      <c r="AE35" s="1189"/>
      <c r="AF35" s="1189"/>
      <c r="AG35" s="1189"/>
      <c r="AH35" s="1189"/>
      <c r="AI35" s="1189"/>
      <c r="AJ35" s="1189"/>
      <c r="AK35" s="1189"/>
      <c r="AL35" s="1189"/>
      <c r="AM35" s="1189"/>
      <c r="AN35" s="1189"/>
      <c r="AO35" s="1189"/>
      <c r="AP35" s="1189"/>
      <c r="AQ35" s="1189"/>
      <c r="AR35" s="1189"/>
      <c r="AS35" s="1189"/>
      <c r="AT35" s="1189"/>
      <c r="AU35" s="1189"/>
      <c r="AV35" s="1189"/>
      <c r="AW35" s="1189"/>
      <c r="AX35" s="1189"/>
      <c r="AY35" s="1189"/>
      <c r="AZ35" s="1189"/>
      <c r="BA35" s="1189"/>
      <c r="BB35" s="1189"/>
      <c r="BC35" s="1189"/>
      <c r="BD35" s="1189"/>
      <c r="BE35" s="1189"/>
      <c r="BF35" s="1189"/>
      <c r="BG35" s="1189"/>
      <c r="BH35" s="51"/>
      <c r="BI35" s="1183" t="s">
        <v>121</v>
      </c>
      <c r="BJ35" s="1184"/>
      <c r="BK35" s="1184"/>
      <c r="BL35" s="1184"/>
      <c r="BM35" s="1184"/>
      <c r="BN35" s="1184"/>
      <c r="BO35" s="1184"/>
      <c r="BP35" s="1184"/>
      <c r="BQ35" s="1184"/>
      <c r="BR35" s="1184"/>
      <c r="BS35" s="1185"/>
      <c r="BT35" s="1235"/>
      <c r="BU35" s="1053">
        <v>22.26</v>
      </c>
      <c r="BV35" s="1052">
        <v>12.07</v>
      </c>
      <c r="BW35" s="1190">
        <f>'5. подк.неподк.план'!Y153</f>
        <v>25.903414999999995</v>
      </c>
      <c r="BX35" s="1191"/>
      <c r="BY35" s="1191"/>
      <c r="BZ35" s="1191"/>
      <c r="CA35" s="1191"/>
      <c r="CB35" s="1191"/>
      <c r="CC35" s="1191"/>
      <c r="CD35" s="1191"/>
      <c r="CE35" s="1191"/>
      <c r="CF35" s="1192"/>
      <c r="CG35" s="1190">
        <f>'1. подк.неподк. факт'!Z153</f>
        <v>25.05114</v>
      </c>
      <c r="CH35" s="1191"/>
      <c r="CI35" s="1191"/>
      <c r="CJ35" s="1191"/>
      <c r="CK35" s="1191"/>
      <c r="CL35" s="1191"/>
      <c r="CM35" s="1191"/>
      <c r="CN35" s="1191"/>
      <c r="CO35" s="1191"/>
      <c r="CP35" s="1192"/>
      <c r="CQ35" s="1162"/>
      <c r="CR35" s="1163"/>
      <c r="CS35" s="1163"/>
      <c r="CT35" s="1163"/>
      <c r="CU35" s="1163"/>
      <c r="CV35" s="1163"/>
      <c r="CW35" s="1163"/>
      <c r="CX35" s="1163"/>
      <c r="CY35" s="1163"/>
      <c r="CZ35" s="1163"/>
      <c r="DA35" s="1163"/>
      <c r="DB35" s="1163"/>
      <c r="DC35" s="1163"/>
      <c r="DD35" s="1163"/>
      <c r="DE35" s="1163"/>
      <c r="DF35" s="1163"/>
      <c r="DG35" s="1164"/>
      <c r="DH35" s="1249"/>
      <c r="DI35" s="1057">
        <f t="shared" si="0"/>
        <v>-3.2902032415416897</v>
      </c>
    </row>
    <row r="36" spans="1:114" s="38" customFormat="1" ht="30" customHeight="1">
      <c r="A36" s="1148" t="s">
        <v>1505</v>
      </c>
      <c r="B36" s="1149"/>
      <c r="C36" s="1149"/>
      <c r="D36" s="1149"/>
      <c r="E36" s="1149"/>
      <c r="F36" s="1149"/>
      <c r="G36" s="1149"/>
      <c r="H36" s="1149"/>
      <c r="I36" s="1150"/>
      <c r="J36" s="49"/>
      <c r="K36" s="1189" t="s">
        <v>1496</v>
      </c>
      <c r="L36" s="1189"/>
      <c r="M36" s="1189"/>
      <c r="N36" s="1189"/>
      <c r="O36" s="1189"/>
      <c r="P36" s="1189"/>
      <c r="Q36" s="1189"/>
      <c r="R36" s="1189"/>
      <c r="S36" s="1189"/>
      <c r="T36" s="1189"/>
      <c r="U36" s="1189"/>
      <c r="V36" s="1189"/>
      <c r="W36" s="1189"/>
      <c r="X36" s="1189"/>
      <c r="Y36" s="1189"/>
      <c r="Z36" s="1189"/>
      <c r="AA36" s="1189"/>
      <c r="AB36" s="1189"/>
      <c r="AC36" s="1189"/>
      <c r="AD36" s="1189"/>
      <c r="AE36" s="1189"/>
      <c r="AF36" s="1189"/>
      <c r="AG36" s="1189"/>
      <c r="AH36" s="1189"/>
      <c r="AI36" s="1189"/>
      <c r="AJ36" s="1189"/>
      <c r="AK36" s="1189"/>
      <c r="AL36" s="1189"/>
      <c r="AM36" s="1189"/>
      <c r="AN36" s="1189"/>
      <c r="AO36" s="1189"/>
      <c r="AP36" s="1189"/>
      <c r="AQ36" s="1189"/>
      <c r="AR36" s="1189"/>
      <c r="AS36" s="1189"/>
      <c r="AT36" s="1189"/>
      <c r="AU36" s="1189"/>
      <c r="AV36" s="1189"/>
      <c r="AW36" s="1189"/>
      <c r="AX36" s="1189"/>
      <c r="AY36" s="1189"/>
      <c r="AZ36" s="1189"/>
      <c r="BA36" s="1189"/>
      <c r="BB36" s="1189"/>
      <c r="BC36" s="1189"/>
      <c r="BD36" s="1189"/>
      <c r="BE36" s="1189"/>
      <c r="BF36" s="1189"/>
      <c r="BG36" s="1189"/>
      <c r="BH36" s="51"/>
      <c r="BI36" s="1183" t="s">
        <v>121</v>
      </c>
      <c r="BJ36" s="1184"/>
      <c r="BK36" s="1184"/>
      <c r="BL36" s="1184"/>
      <c r="BM36" s="1184"/>
      <c r="BN36" s="1184"/>
      <c r="BO36" s="1184"/>
      <c r="BP36" s="1184"/>
      <c r="BQ36" s="1184"/>
      <c r="BR36" s="1184"/>
      <c r="BS36" s="1185"/>
      <c r="BT36" s="1235"/>
      <c r="BU36" s="1053">
        <f>53221.34+1163.79+386.41+130.04+596.32+2743.44</f>
        <v>58241.340000000004</v>
      </c>
      <c r="BV36" s="1052">
        <f>59394+1194.34+2041.44+1536.64+743.52+5575.88</f>
        <v>70485.819999999992</v>
      </c>
      <c r="BW36" s="1190">
        <f>'5. подк.неподк.план'!Y160</f>
        <v>71729.477057685697</v>
      </c>
      <c r="BX36" s="1191"/>
      <c r="BY36" s="1191"/>
      <c r="BZ36" s="1191"/>
      <c r="CA36" s="1191"/>
      <c r="CB36" s="1191"/>
      <c r="CC36" s="1191"/>
      <c r="CD36" s="1191"/>
      <c r="CE36" s="1191"/>
      <c r="CF36" s="1192"/>
      <c r="CG36" s="1190">
        <f>'1. подк.неподк. факт'!Z160+'1. подк.неподк. факт'!Z192</f>
        <v>68735.570879999999</v>
      </c>
      <c r="CH36" s="1191"/>
      <c r="CI36" s="1191"/>
      <c r="CJ36" s="1191"/>
      <c r="CK36" s="1191"/>
      <c r="CL36" s="1191"/>
      <c r="CM36" s="1191"/>
      <c r="CN36" s="1191"/>
      <c r="CO36" s="1191"/>
      <c r="CP36" s="1192"/>
      <c r="CQ36" s="1162"/>
      <c r="CR36" s="1163"/>
      <c r="CS36" s="1163"/>
      <c r="CT36" s="1163"/>
      <c r="CU36" s="1163"/>
      <c r="CV36" s="1163"/>
      <c r="CW36" s="1163"/>
      <c r="CX36" s="1163"/>
      <c r="CY36" s="1163"/>
      <c r="CZ36" s="1163"/>
      <c r="DA36" s="1163"/>
      <c r="DB36" s="1163"/>
      <c r="DC36" s="1163"/>
      <c r="DD36" s="1163"/>
      <c r="DE36" s="1163"/>
      <c r="DF36" s="1163"/>
      <c r="DG36" s="1164"/>
      <c r="DH36" s="1249"/>
      <c r="DI36" s="1057">
        <f t="shared" si="0"/>
        <v>-4.1738854101473066</v>
      </c>
    </row>
    <row r="37" spans="1:114" s="38" customFormat="1" ht="30" customHeight="1">
      <c r="A37" s="1148" t="s">
        <v>1506</v>
      </c>
      <c r="B37" s="1149"/>
      <c r="C37" s="1149"/>
      <c r="D37" s="1149"/>
      <c r="E37" s="1149"/>
      <c r="F37" s="1149"/>
      <c r="G37" s="1149"/>
      <c r="H37" s="1149"/>
      <c r="I37" s="1150"/>
      <c r="J37" s="49"/>
      <c r="K37" s="1189" t="s">
        <v>1497</v>
      </c>
      <c r="L37" s="1189"/>
      <c r="M37" s="1189"/>
      <c r="N37" s="1189"/>
      <c r="O37" s="1189"/>
      <c r="P37" s="1189"/>
      <c r="Q37" s="1189"/>
      <c r="R37" s="1189"/>
      <c r="S37" s="1189"/>
      <c r="T37" s="1189"/>
      <c r="U37" s="1189"/>
      <c r="V37" s="1189"/>
      <c r="W37" s="1189"/>
      <c r="X37" s="1189"/>
      <c r="Y37" s="1189"/>
      <c r="Z37" s="1189"/>
      <c r="AA37" s="1189"/>
      <c r="AB37" s="1189"/>
      <c r="AC37" s="1189"/>
      <c r="AD37" s="1189"/>
      <c r="AE37" s="1189"/>
      <c r="AF37" s="1189"/>
      <c r="AG37" s="1189"/>
      <c r="AH37" s="1189"/>
      <c r="AI37" s="1189"/>
      <c r="AJ37" s="1189"/>
      <c r="AK37" s="1189"/>
      <c r="AL37" s="1189"/>
      <c r="AM37" s="1189"/>
      <c r="AN37" s="1189"/>
      <c r="AO37" s="1189"/>
      <c r="AP37" s="1189"/>
      <c r="AQ37" s="1189"/>
      <c r="AR37" s="1189"/>
      <c r="AS37" s="1189"/>
      <c r="AT37" s="1189"/>
      <c r="AU37" s="1189"/>
      <c r="AV37" s="1189"/>
      <c r="AW37" s="1189"/>
      <c r="AX37" s="1189"/>
      <c r="AY37" s="1189"/>
      <c r="AZ37" s="1189"/>
      <c r="BA37" s="1189"/>
      <c r="BB37" s="1189"/>
      <c r="BC37" s="1189"/>
      <c r="BD37" s="1189"/>
      <c r="BE37" s="1189"/>
      <c r="BF37" s="1189"/>
      <c r="BG37" s="1189"/>
      <c r="BH37" s="51"/>
      <c r="BI37" s="1183" t="s">
        <v>121</v>
      </c>
      <c r="BJ37" s="1184"/>
      <c r="BK37" s="1184"/>
      <c r="BL37" s="1184"/>
      <c r="BM37" s="1184"/>
      <c r="BN37" s="1184"/>
      <c r="BO37" s="1184"/>
      <c r="BP37" s="1184"/>
      <c r="BQ37" s="1184"/>
      <c r="BR37" s="1184"/>
      <c r="BS37" s="1185"/>
      <c r="BT37" s="1235"/>
      <c r="BU37" s="1053">
        <f>472.12+284.52+0+187.19+516.72+2359.5</f>
        <v>3820.05</v>
      </c>
      <c r="BV37" s="1052">
        <f>368.58+652.23+1.64+518.49+1047.28+4065.54</f>
        <v>6653.76</v>
      </c>
      <c r="BW37" s="1190">
        <f>'5. подк.неподк.план'!Y168</f>
        <v>7145.9893778019514</v>
      </c>
      <c r="BX37" s="1191"/>
      <c r="BY37" s="1191"/>
      <c r="BZ37" s="1191"/>
      <c r="CA37" s="1191"/>
      <c r="CB37" s="1191"/>
      <c r="CC37" s="1191"/>
      <c r="CD37" s="1191"/>
      <c r="CE37" s="1191"/>
      <c r="CF37" s="1192"/>
      <c r="CG37" s="1190">
        <f>'1. подк.неподк. факт'!Z168</f>
        <v>6799.0794499999993</v>
      </c>
      <c r="CH37" s="1191"/>
      <c r="CI37" s="1191"/>
      <c r="CJ37" s="1191"/>
      <c r="CK37" s="1191"/>
      <c r="CL37" s="1191"/>
      <c r="CM37" s="1191"/>
      <c r="CN37" s="1191"/>
      <c r="CO37" s="1191"/>
      <c r="CP37" s="1192"/>
      <c r="CQ37" s="1162"/>
      <c r="CR37" s="1163"/>
      <c r="CS37" s="1163"/>
      <c r="CT37" s="1163"/>
      <c r="CU37" s="1163"/>
      <c r="CV37" s="1163"/>
      <c r="CW37" s="1163"/>
      <c r="CX37" s="1163"/>
      <c r="CY37" s="1163"/>
      <c r="CZ37" s="1163"/>
      <c r="DA37" s="1163"/>
      <c r="DB37" s="1163"/>
      <c r="DC37" s="1163"/>
      <c r="DD37" s="1163"/>
      <c r="DE37" s="1163"/>
      <c r="DF37" s="1163"/>
      <c r="DG37" s="1164"/>
      <c r="DH37" s="1249"/>
      <c r="DI37" s="1057">
        <f t="shared" si="0"/>
        <v>-4.8546101800764063</v>
      </c>
    </row>
    <row r="38" spans="1:114" s="38" customFormat="1" ht="30" customHeight="1">
      <c r="A38" s="1148" t="s">
        <v>1507</v>
      </c>
      <c r="B38" s="1149"/>
      <c r="C38" s="1149"/>
      <c r="D38" s="1149"/>
      <c r="E38" s="1149"/>
      <c r="F38" s="1149"/>
      <c r="G38" s="1149"/>
      <c r="H38" s="1149"/>
      <c r="I38" s="1150"/>
      <c r="J38" s="49"/>
      <c r="K38" s="1189" t="s">
        <v>1498</v>
      </c>
      <c r="L38" s="1189"/>
      <c r="M38" s="1189"/>
      <c r="N38" s="1189"/>
      <c r="O38" s="1189"/>
      <c r="P38" s="1189"/>
      <c r="Q38" s="1189"/>
      <c r="R38" s="1189"/>
      <c r="S38" s="1189"/>
      <c r="T38" s="1189"/>
      <c r="U38" s="1189"/>
      <c r="V38" s="1189"/>
      <c r="W38" s="1189"/>
      <c r="X38" s="1189"/>
      <c r="Y38" s="1189"/>
      <c r="Z38" s="1189"/>
      <c r="AA38" s="1189"/>
      <c r="AB38" s="1189"/>
      <c r="AC38" s="1189"/>
      <c r="AD38" s="1189"/>
      <c r="AE38" s="1189"/>
      <c r="AF38" s="1189"/>
      <c r="AG38" s="1189"/>
      <c r="AH38" s="1189"/>
      <c r="AI38" s="1189"/>
      <c r="AJ38" s="1189"/>
      <c r="AK38" s="1189"/>
      <c r="AL38" s="1189"/>
      <c r="AM38" s="1189"/>
      <c r="AN38" s="1189"/>
      <c r="AO38" s="1189"/>
      <c r="AP38" s="1189"/>
      <c r="AQ38" s="1189"/>
      <c r="AR38" s="1189"/>
      <c r="AS38" s="1189"/>
      <c r="AT38" s="1189"/>
      <c r="AU38" s="1189"/>
      <c r="AV38" s="1189"/>
      <c r="AW38" s="1189"/>
      <c r="AX38" s="1189"/>
      <c r="AY38" s="1189"/>
      <c r="AZ38" s="1189"/>
      <c r="BA38" s="1189"/>
      <c r="BB38" s="1189"/>
      <c r="BC38" s="1189"/>
      <c r="BD38" s="1189"/>
      <c r="BE38" s="1189"/>
      <c r="BF38" s="1189"/>
      <c r="BG38" s="1189"/>
      <c r="BH38" s="51"/>
      <c r="BI38" s="1183" t="s">
        <v>121</v>
      </c>
      <c r="BJ38" s="1184"/>
      <c r="BK38" s="1184"/>
      <c r="BL38" s="1184"/>
      <c r="BM38" s="1184"/>
      <c r="BN38" s="1184"/>
      <c r="BO38" s="1184"/>
      <c r="BP38" s="1184"/>
      <c r="BQ38" s="1184"/>
      <c r="BR38" s="1184"/>
      <c r="BS38" s="1185"/>
      <c r="BT38" s="1235"/>
      <c r="BU38" s="1053">
        <f>2792.84+66.11</f>
        <v>2858.9500000000003</v>
      </c>
      <c r="BV38" s="1052">
        <f>4518.75+178.67+26.99</f>
        <v>4724.41</v>
      </c>
      <c r="BW38" s="1190">
        <f>'5. подк.неподк.план'!Y172</f>
        <v>2667.600467101403</v>
      </c>
      <c r="BX38" s="1191"/>
      <c r="BY38" s="1191"/>
      <c r="BZ38" s="1191"/>
      <c r="CA38" s="1191"/>
      <c r="CB38" s="1191"/>
      <c r="CC38" s="1191"/>
      <c r="CD38" s="1191"/>
      <c r="CE38" s="1191"/>
      <c r="CF38" s="1192"/>
      <c r="CG38" s="1190">
        <f>'1. подк.неподк. факт'!Z172</f>
        <v>3695.7669599999999</v>
      </c>
      <c r="CH38" s="1191"/>
      <c r="CI38" s="1191"/>
      <c r="CJ38" s="1191"/>
      <c r="CK38" s="1191"/>
      <c r="CL38" s="1191"/>
      <c r="CM38" s="1191"/>
      <c r="CN38" s="1191"/>
      <c r="CO38" s="1191"/>
      <c r="CP38" s="1192"/>
      <c r="CQ38" s="1162"/>
      <c r="CR38" s="1163"/>
      <c r="CS38" s="1163"/>
      <c r="CT38" s="1163"/>
      <c r="CU38" s="1163"/>
      <c r="CV38" s="1163"/>
      <c r="CW38" s="1163"/>
      <c r="CX38" s="1163"/>
      <c r="CY38" s="1163"/>
      <c r="CZ38" s="1163"/>
      <c r="DA38" s="1163"/>
      <c r="DB38" s="1163"/>
      <c r="DC38" s="1163"/>
      <c r="DD38" s="1163"/>
      <c r="DE38" s="1163"/>
      <c r="DF38" s="1163"/>
      <c r="DG38" s="1164"/>
      <c r="DH38" s="1249"/>
      <c r="DI38" s="1057">
        <f t="shared" si="0"/>
        <v>38.542746771063349</v>
      </c>
    </row>
    <row r="39" spans="1:114" s="38" customFormat="1" ht="30" customHeight="1">
      <c r="A39" s="1148" t="s">
        <v>1508</v>
      </c>
      <c r="B39" s="1149"/>
      <c r="C39" s="1149"/>
      <c r="D39" s="1149"/>
      <c r="E39" s="1149"/>
      <c r="F39" s="1149"/>
      <c r="G39" s="1149"/>
      <c r="H39" s="1149"/>
      <c r="I39" s="1150"/>
      <c r="J39" s="49"/>
      <c r="K39" s="1189" t="s">
        <v>1499</v>
      </c>
      <c r="L39" s="1189"/>
      <c r="M39" s="1189"/>
      <c r="N39" s="1189"/>
      <c r="O39" s="1189"/>
      <c r="P39" s="1189"/>
      <c r="Q39" s="1189"/>
      <c r="R39" s="1189"/>
      <c r="S39" s="1189"/>
      <c r="T39" s="1189"/>
      <c r="U39" s="1189"/>
      <c r="V39" s="1189"/>
      <c r="W39" s="1189"/>
      <c r="X39" s="1189"/>
      <c r="Y39" s="1189"/>
      <c r="Z39" s="1189"/>
      <c r="AA39" s="1189"/>
      <c r="AB39" s="1189"/>
      <c r="AC39" s="1189"/>
      <c r="AD39" s="1189"/>
      <c r="AE39" s="1189"/>
      <c r="AF39" s="1189"/>
      <c r="AG39" s="1189"/>
      <c r="AH39" s="1189"/>
      <c r="AI39" s="1189"/>
      <c r="AJ39" s="1189"/>
      <c r="AK39" s="1189"/>
      <c r="AL39" s="1189"/>
      <c r="AM39" s="1189"/>
      <c r="AN39" s="1189"/>
      <c r="AO39" s="1189"/>
      <c r="AP39" s="1189"/>
      <c r="AQ39" s="1189"/>
      <c r="AR39" s="1189"/>
      <c r="AS39" s="1189"/>
      <c r="AT39" s="1189"/>
      <c r="AU39" s="1189"/>
      <c r="AV39" s="1189"/>
      <c r="AW39" s="1189"/>
      <c r="AX39" s="1189"/>
      <c r="AY39" s="1189"/>
      <c r="AZ39" s="1189"/>
      <c r="BA39" s="1189"/>
      <c r="BB39" s="1189"/>
      <c r="BC39" s="1189"/>
      <c r="BD39" s="1189"/>
      <c r="BE39" s="1189"/>
      <c r="BF39" s="1189"/>
      <c r="BG39" s="1189"/>
      <c r="BH39" s="51"/>
      <c r="BI39" s="1183" t="s">
        <v>121</v>
      </c>
      <c r="BJ39" s="1184"/>
      <c r="BK39" s="1184"/>
      <c r="BL39" s="1184"/>
      <c r="BM39" s="1184"/>
      <c r="BN39" s="1184"/>
      <c r="BO39" s="1184"/>
      <c r="BP39" s="1184"/>
      <c r="BQ39" s="1184"/>
      <c r="BR39" s="1184"/>
      <c r="BS39" s="1185"/>
      <c r="BT39" s="1235"/>
      <c r="BU39" s="1053">
        <f>3687.64+1492.7</f>
        <v>5180.34</v>
      </c>
      <c r="BV39" s="1052">
        <f>206.31+706.91+30.38+48.35</f>
        <v>991.95</v>
      </c>
      <c r="BW39" s="1190">
        <f>'5. подк.неподк.план'!Y180</f>
        <v>1574.7984999999999</v>
      </c>
      <c r="BX39" s="1191"/>
      <c r="BY39" s="1191"/>
      <c r="BZ39" s="1191"/>
      <c r="CA39" s="1191"/>
      <c r="CB39" s="1191"/>
      <c r="CC39" s="1191"/>
      <c r="CD39" s="1191"/>
      <c r="CE39" s="1191"/>
      <c r="CF39" s="1192"/>
      <c r="CG39" s="1190">
        <f>'1. подк.неподк. факт'!Z180</f>
        <v>6473.4116299999996</v>
      </c>
      <c r="CH39" s="1191"/>
      <c r="CI39" s="1191"/>
      <c r="CJ39" s="1191"/>
      <c r="CK39" s="1191"/>
      <c r="CL39" s="1191"/>
      <c r="CM39" s="1191"/>
      <c r="CN39" s="1191"/>
      <c r="CO39" s="1191"/>
      <c r="CP39" s="1192"/>
      <c r="CQ39" s="1162"/>
      <c r="CR39" s="1163"/>
      <c r="CS39" s="1163"/>
      <c r="CT39" s="1163"/>
      <c r="CU39" s="1163"/>
      <c r="CV39" s="1163"/>
      <c r="CW39" s="1163"/>
      <c r="CX39" s="1163"/>
      <c r="CY39" s="1163"/>
      <c r="CZ39" s="1163"/>
      <c r="DA39" s="1163"/>
      <c r="DB39" s="1163"/>
      <c r="DC39" s="1163"/>
      <c r="DD39" s="1163"/>
      <c r="DE39" s="1163"/>
      <c r="DF39" s="1163"/>
      <c r="DG39" s="1164"/>
      <c r="DH39" s="1249"/>
      <c r="DI39" s="1057">
        <f t="shared" si="0"/>
        <v>311.062852168071</v>
      </c>
    </row>
    <row r="40" spans="1:114" s="38" customFormat="1" ht="30" customHeight="1">
      <c r="A40" s="1148" t="s">
        <v>1509</v>
      </c>
      <c r="B40" s="1149"/>
      <c r="C40" s="1149"/>
      <c r="D40" s="1149"/>
      <c r="E40" s="1149"/>
      <c r="F40" s="1149"/>
      <c r="G40" s="1149"/>
      <c r="H40" s="1149"/>
      <c r="I40" s="1150"/>
      <c r="J40" s="49"/>
      <c r="K40" s="1189" t="s">
        <v>1500</v>
      </c>
      <c r="L40" s="1189"/>
      <c r="M40" s="1189"/>
      <c r="N40" s="1189"/>
      <c r="O40" s="1189"/>
      <c r="P40" s="1189"/>
      <c r="Q40" s="1189"/>
      <c r="R40" s="1189"/>
      <c r="S40" s="1189"/>
      <c r="T40" s="1189"/>
      <c r="U40" s="1189"/>
      <c r="V40" s="1189"/>
      <c r="W40" s="1189"/>
      <c r="X40" s="1189"/>
      <c r="Y40" s="1189"/>
      <c r="Z40" s="1189"/>
      <c r="AA40" s="1189"/>
      <c r="AB40" s="1189"/>
      <c r="AC40" s="1189"/>
      <c r="AD40" s="1189"/>
      <c r="AE40" s="1189"/>
      <c r="AF40" s="1189"/>
      <c r="AG40" s="1189"/>
      <c r="AH40" s="1189"/>
      <c r="AI40" s="1189"/>
      <c r="AJ40" s="1189"/>
      <c r="AK40" s="1189"/>
      <c r="AL40" s="1189"/>
      <c r="AM40" s="1189"/>
      <c r="AN40" s="1189"/>
      <c r="AO40" s="1189"/>
      <c r="AP40" s="1189"/>
      <c r="AQ40" s="1189"/>
      <c r="AR40" s="1189"/>
      <c r="AS40" s="1189"/>
      <c r="AT40" s="1189"/>
      <c r="AU40" s="1189"/>
      <c r="AV40" s="1189"/>
      <c r="AW40" s="1189"/>
      <c r="AX40" s="1189"/>
      <c r="AY40" s="1189"/>
      <c r="AZ40" s="1189"/>
      <c r="BA40" s="1189"/>
      <c r="BB40" s="1189"/>
      <c r="BC40" s="1189"/>
      <c r="BD40" s="1189"/>
      <c r="BE40" s="1189"/>
      <c r="BF40" s="1189"/>
      <c r="BG40" s="1189"/>
      <c r="BH40" s="51"/>
      <c r="BI40" s="1183" t="s">
        <v>121</v>
      </c>
      <c r="BJ40" s="1184"/>
      <c r="BK40" s="1184"/>
      <c r="BL40" s="1184"/>
      <c r="BM40" s="1184"/>
      <c r="BN40" s="1184"/>
      <c r="BO40" s="1184"/>
      <c r="BP40" s="1184"/>
      <c r="BQ40" s="1184"/>
      <c r="BR40" s="1184"/>
      <c r="BS40" s="1185"/>
      <c r="BT40" s="1235"/>
      <c r="BU40" s="1053">
        <v>27668</v>
      </c>
      <c r="BV40" s="1054">
        <f>73616-26431.13-11</f>
        <v>47173.869999999995</v>
      </c>
      <c r="BW40" s="1190">
        <f>'5. подк.неподк.план'!Y205-'Приложение № 8'!BW29:CF29</f>
        <v>21191.375189864164</v>
      </c>
      <c r="BX40" s="1191"/>
      <c r="BY40" s="1191"/>
      <c r="BZ40" s="1191"/>
      <c r="CA40" s="1191"/>
      <c r="CB40" s="1191"/>
      <c r="CC40" s="1191"/>
      <c r="CD40" s="1191"/>
      <c r="CE40" s="1191"/>
      <c r="CF40" s="1192"/>
      <c r="CG40" s="1190">
        <f>'1. подк.неподк. факт'!Z206-'1. подк.неподк. факт'!Z192-'1. подк.неподк. факт'!Z190</f>
        <v>44492.126799999969</v>
      </c>
      <c r="CH40" s="1191"/>
      <c r="CI40" s="1191"/>
      <c r="CJ40" s="1191"/>
      <c r="CK40" s="1191"/>
      <c r="CL40" s="1191"/>
      <c r="CM40" s="1191"/>
      <c r="CN40" s="1191"/>
      <c r="CO40" s="1191"/>
      <c r="CP40" s="1192"/>
      <c r="CQ40" s="1162"/>
      <c r="CR40" s="1163"/>
      <c r="CS40" s="1163"/>
      <c r="CT40" s="1163"/>
      <c r="CU40" s="1163"/>
      <c r="CV40" s="1163"/>
      <c r="CW40" s="1163"/>
      <c r="CX40" s="1163"/>
      <c r="CY40" s="1163"/>
      <c r="CZ40" s="1163"/>
      <c r="DA40" s="1163"/>
      <c r="DB40" s="1163"/>
      <c r="DC40" s="1163"/>
      <c r="DD40" s="1163"/>
      <c r="DE40" s="1163"/>
      <c r="DF40" s="1163"/>
      <c r="DG40" s="1164"/>
      <c r="DH40" s="1249"/>
      <c r="DI40" s="1057">
        <f t="shared" si="0"/>
        <v>109.95393834223913</v>
      </c>
    </row>
    <row r="41" spans="1:114" s="38" customFormat="1" ht="30" customHeight="1">
      <c r="A41" s="1148" t="s">
        <v>1510</v>
      </c>
      <c r="B41" s="1149"/>
      <c r="C41" s="1149"/>
      <c r="D41" s="1149"/>
      <c r="E41" s="1149"/>
      <c r="F41" s="1149"/>
      <c r="G41" s="1149"/>
      <c r="H41" s="1149"/>
      <c r="I41" s="1150"/>
      <c r="J41" s="49"/>
      <c r="K41" s="1189" t="s">
        <v>977</v>
      </c>
      <c r="L41" s="1189"/>
      <c r="M41" s="1189"/>
      <c r="N41" s="1189"/>
      <c r="O41" s="1189"/>
      <c r="P41" s="1189"/>
      <c r="Q41" s="1189"/>
      <c r="R41" s="1189"/>
      <c r="S41" s="1189"/>
      <c r="T41" s="1189"/>
      <c r="U41" s="1189"/>
      <c r="V41" s="1189"/>
      <c r="W41" s="1189"/>
      <c r="X41" s="1189"/>
      <c r="Y41" s="1189"/>
      <c r="Z41" s="1189"/>
      <c r="AA41" s="1189"/>
      <c r="AB41" s="1189"/>
      <c r="AC41" s="1189"/>
      <c r="AD41" s="1189"/>
      <c r="AE41" s="1189"/>
      <c r="AF41" s="1189"/>
      <c r="AG41" s="1189"/>
      <c r="AH41" s="1189"/>
      <c r="AI41" s="1189"/>
      <c r="AJ41" s="1189"/>
      <c r="AK41" s="1189"/>
      <c r="AL41" s="1189"/>
      <c r="AM41" s="1189"/>
      <c r="AN41" s="1189"/>
      <c r="AO41" s="1189"/>
      <c r="AP41" s="1189"/>
      <c r="AQ41" s="1189"/>
      <c r="AR41" s="1189"/>
      <c r="AS41" s="1189"/>
      <c r="AT41" s="1189"/>
      <c r="AU41" s="1189"/>
      <c r="AV41" s="1189"/>
      <c r="AW41" s="1189"/>
      <c r="AX41" s="1189"/>
      <c r="AY41" s="1189"/>
      <c r="AZ41" s="1189"/>
      <c r="BA41" s="1189"/>
      <c r="BB41" s="1189"/>
      <c r="BC41" s="1189"/>
      <c r="BD41" s="1189"/>
      <c r="BE41" s="1189"/>
      <c r="BF41" s="1189"/>
      <c r="BG41" s="1189"/>
      <c r="BH41" s="51"/>
      <c r="BI41" s="1183" t="s">
        <v>121</v>
      </c>
      <c r="BJ41" s="1184"/>
      <c r="BK41" s="1184"/>
      <c r="BL41" s="1184"/>
      <c r="BM41" s="1184"/>
      <c r="BN41" s="1184"/>
      <c r="BO41" s="1184"/>
      <c r="BP41" s="1184"/>
      <c r="BQ41" s="1184"/>
      <c r="BR41" s="1184"/>
      <c r="BS41" s="1185"/>
      <c r="BT41" s="1235"/>
      <c r="BU41" s="1052">
        <v>6424</v>
      </c>
      <c r="BV41" s="1052">
        <v>8755</v>
      </c>
      <c r="BW41" s="1190">
        <f>'5. подк.неподк.план'!Y206</f>
        <v>8069.47474375</v>
      </c>
      <c r="BX41" s="1191"/>
      <c r="BY41" s="1191"/>
      <c r="BZ41" s="1191"/>
      <c r="CA41" s="1191"/>
      <c r="CB41" s="1191"/>
      <c r="CC41" s="1191"/>
      <c r="CD41" s="1191"/>
      <c r="CE41" s="1191"/>
      <c r="CF41" s="1192"/>
      <c r="CG41" s="1190">
        <f>'1. подк.неподк. факт'!Z207</f>
        <v>3851.2585600000002</v>
      </c>
      <c r="CH41" s="1191"/>
      <c r="CI41" s="1191"/>
      <c r="CJ41" s="1191"/>
      <c r="CK41" s="1191"/>
      <c r="CL41" s="1191"/>
      <c r="CM41" s="1191"/>
      <c r="CN41" s="1191"/>
      <c r="CO41" s="1191"/>
      <c r="CP41" s="1192"/>
      <c r="CQ41" s="1162"/>
      <c r="CR41" s="1163"/>
      <c r="CS41" s="1163"/>
      <c r="CT41" s="1163"/>
      <c r="CU41" s="1163"/>
      <c r="CV41" s="1163"/>
      <c r="CW41" s="1163"/>
      <c r="CX41" s="1163"/>
      <c r="CY41" s="1163"/>
      <c r="CZ41" s="1163"/>
      <c r="DA41" s="1163"/>
      <c r="DB41" s="1163"/>
      <c r="DC41" s="1163"/>
      <c r="DD41" s="1163"/>
      <c r="DE41" s="1163"/>
      <c r="DF41" s="1163"/>
      <c r="DG41" s="1164"/>
      <c r="DH41" s="1249"/>
      <c r="DI41" s="1057">
        <f t="shared" si="0"/>
        <v>-52.273739217253372</v>
      </c>
    </row>
    <row r="42" spans="1:114" s="38" customFormat="1" ht="30" customHeight="1">
      <c r="A42" s="1148" t="s">
        <v>1511</v>
      </c>
      <c r="B42" s="1149"/>
      <c r="C42" s="1149"/>
      <c r="D42" s="1149"/>
      <c r="E42" s="1149"/>
      <c r="F42" s="1149"/>
      <c r="G42" s="1149"/>
      <c r="H42" s="1149"/>
      <c r="I42" s="1150"/>
      <c r="J42" s="49"/>
      <c r="K42" s="1189" t="s">
        <v>996</v>
      </c>
      <c r="L42" s="1189"/>
      <c r="M42" s="1189"/>
      <c r="N42" s="1189"/>
      <c r="O42" s="1189"/>
      <c r="P42" s="1189"/>
      <c r="Q42" s="1189"/>
      <c r="R42" s="1189"/>
      <c r="S42" s="1189"/>
      <c r="T42" s="1189"/>
      <c r="U42" s="1189"/>
      <c r="V42" s="1189"/>
      <c r="W42" s="1189"/>
      <c r="X42" s="1189"/>
      <c r="Y42" s="1189"/>
      <c r="Z42" s="1189"/>
      <c r="AA42" s="1189"/>
      <c r="AB42" s="1189"/>
      <c r="AC42" s="1189"/>
      <c r="AD42" s="1189"/>
      <c r="AE42" s="1189"/>
      <c r="AF42" s="1189"/>
      <c r="AG42" s="1189"/>
      <c r="AH42" s="1189"/>
      <c r="AI42" s="1189"/>
      <c r="AJ42" s="1189"/>
      <c r="AK42" s="1189"/>
      <c r="AL42" s="1189"/>
      <c r="AM42" s="1189"/>
      <c r="AN42" s="1189"/>
      <c r="AO42" s="1189"/>
      <c r="AP42" s="1189"/>
      <c r="AQ42" s="1189"/>
      <c r="AR42" s="1189"/>
      <c r="AS42" s="1189"/>
      <c r="AT42" s="1189"/>
      <c r="AU42" s="1189"/>
      <c r="AV42" s="1189"/>
      <c r="AW42" s="1189"/>
      <c r="AX42" s="1189"/>
      <c r="AY42" s="1189"/>
      <c r="AZ42" s="1189"/>
      <c r="BA42" s="1189"/>
      <c r="BB42" s="1189"/>
      <c r="BC42" s="1189"/>
      <c r="BD42" s="1189"/>
      <c r="BE42" s="1189"/>
      <c r="BF42" s="1189"/>
      <c r="BG42" s="1189"/>
      <c r="BH42" s="51"/>
      <c r="BI42" s="1183" t="s">
        <v>121</v>
      </c>
      <c r="BJ42" s="1184"/>
      <c r="BK42" s="1184"/>
      <c r="BL42" s="1184"/>
      <c r="BM42" s="1184"/>
      <c r="BN42" s="1184"/>
      <c r="BO42" s="1184"/>
      <c r="BP42" s="1184"/>
      <c r="BQ42" s="1184"/>
      <c r="BR42" s="1184"/>
      <c r="BS42" s="1185"/>
      <c r="BT42" s="1235"/>
      <c r="BU42" s="1052">
        <v>7818</v>
      </c>
      <c r="BV42" s="1052">
        <v>1348</v>
      </c>
      <c r="BW42" s="1190">
        <f>'5. подк.неподк.план'!Y211</f>
        <v>8433.1435888077467</v>
      </c>
      <c r="BX42" s="1191"/>
      <c r="BY42" s="1191"/>
      <c r="BZ42" s="1191"/>
      <c r="CA42" s="1191"/>
      <c r="CB42" s="1191"/>
      <c r="CC42" s="1191"/>
      <c r="CD42" s="1191"/>
      <c r="CE42" s="1191"/>
      <c r="CF42" s="1192"/>
      <c r="CG42" s="1190">
        <f>'1. подк.неподк. факт'!Z212</f>
        <v>5725.1453000000001</v>
      </c>
      <c r="CH42" s="1191"/>
      <c r="CI42" s="1191"/>
      <c r="CJ42" s="1191"/>
      <c r="CK42" s="1191"/>
      <c r="CL42" s="1191"/>
      <c r="CM42" s="1191"/>
      <c r="CN42" s="1191"/>
      <c r="CO42" s="1191"/>
      <c r="CP42" s="1192"/>
      <c r="CQ42" s="1162"/>
      <c r="CR42" s="1163"/>
      <c r="CS42" s="1163"/>
      <c r="CT42" s="1163"/>
      <c r="CU42" s="1163"/>
      <c r="CV42" s="1163"/>
      <c r="CW42" s="1163"/>
      <c r="CX42" s="1163"/>
      <c r="CY42" s="1163"/>
      <c r="CZ42" s="1163"/>
      <c r="DA42" s="1163"/>
      <c r="DB42" s="1163"/>
      <c r="DC42" s="1163"/>
      <c r="DD42" s="1163"/>
      <c r="DE42" s="1163"/>
      <c r="DF42" s="1163"/>
      <c r="DG42" s="1164"/>
      <c r="DH42" s="1249"/>
      <c r="DI42" s="1057">
        <f t="shared" si="0"/>
        <v>-32.111374131014827</v>
      </c>
    </row>
    <row r="43" spans="1:114" s="38" customFormat="1" ht="30" customHeight="1">
      <c r="A43" s="1148" t="s">
        <v>1512</v>
      </c>
      <c r="B43" s="1149"/>
      <c r="C43" s="1149"/>
      <c r="D43" s="1149"/>
      <c r="E43" s="1149"/>
      <c r="F43" s="1149"/>
      <c r="G43" s="1149"/>
      <c r="H43" s="1149"/>
      <c r="I43" s="1150"/>
      <c r="J43" s="49"/>
      <c r="K43" s="1189" t="s">
        <v>1008</v>
      </c>
      <c r="L43" s="1189"/>
      <c r="M43" s="1189"/>
      <c r="N43" s="1189"/>
      <c r="O43" s="1189"/>
      <c r="P43" s="1189"/>
      <c r="Q43" s="1189"/>
      <c r="R43" s="1189"/>
      <c r="S43" s="1189"/>
      <c r="T43" s="1189"/>
      <c r="U43" s="1189"/>
      <c r="V43" s="1189"/>
      <c r="W43" s="1189"/>
      <c r="X43" s="1189"/>
      <c r="Y43" s="1189"/>
      <c r="Z43" s="1189"/>
      <c r="AA43" s="1189"/>
      <c r="AB43" s="1189"/>
      <c r="AC43" s="1189"/>
      <c r="AD43" s="1189"/>
      <c r="AE43" s="1189"/>
      <c r="AF43" s="1189"/>
      <c r="AG43" s="1189"/>
      <c r="AH43" s="1189"/>
      <c r="AI43" s="1189"/>
      <c r="AJ43" s="1189"/>
      <c r="AK43" s="1189"/>
      <c r="AL43" s="1189"/>
      <c r="AM43" s="1189"/>
      <c r="AN43" s="1189"/>
      <c r="AO43" s="1189"/>
      <c r="AP43" s="1189"/>
      <c r="AQ43" s="1189"/>
      <c r="AR43" s="1189"/>
      <c r="AS43" s="1189"/>
      <c r="AT43" s="1189"/>
      <c r="AU43" s="1189"/>
      <c r="AV43" s="1189"/>
      <c r="AW43" s="1189"/>
      <c r="AX43" s="1189"/>
      <c r="AY43" s="1189"/>
      <c r="AZ43" s="1189"/>
      <c r="BA43" s="1189"/>
      <c r="BB43" s="1189"/>
      <c r="BC43" s="1189"/>
      <c r="BD43" s="1189"/>
      <c r="BE43" s="1189"/>
      <c r="BF43" s="1189"/>
      <c r="BG43" s="1189"/>
      <c r="BH43" s="51"/>
      <c r="BI43" s="1183" t="s">
        <v>121</v>
      </c>
      <c r="BJ43" s="1184"/>
      <c r="BK43" s="1184"/>
      <c r="BL43" s="1184"/>
      <c r="BM43" s="1184"/>
      <c r="BN43" s="1184"/>
      <c r="BO43" s="1184"/>
      <c r="BP43" s="1184"/>
      <c r="BQ43" s="1184"/>
      <c r="BR43" s="1184"/>
      <c r="BS43" s="1185"/>
      <c r="BT43" s="1235"/>
      <c r="BU43" s="1052">
        <v>4541</v>
      </c>
      <c r="BV43" s="1052">
        <v>6711</v>
      </c>
      <c r="BW43" s="1190">
        <f>'5. подк.неподк.план'!Y214</f>
        <v>4889.7593388005898</v>
      </c>
      <c r="BX43" s="1191"/>
      <c r="BY43" s="1191"/>
      <c r="BZ43" s="1191"/>
      <c r="CA43" s="1191"/>
      <c r="CB43" s="1191"/>
      <c r="CC43" s="1191"/>
      <c r="CD43" s="1191"/>
      <c r="CE43" s="1191"/>
      <c r="CF43" s="1192"/>
      <c r="CG43" s="1190">
        <f>'1. подк.неподк. факт'!Z215</f>
        <v>7469.4703499999996</v>
      </c>
      <c r="CH43" s="1191"/>
      <c r="CI43" s="1191"/>
      <c r="CJ43" s="1191"/>
      <c r="CK43" s="1191"/>
      <c r="CL43" s="1191"/>
      <c r="CM43" s="1191"/>
      <c r="CN43" s="1191"/>
      <c r="CO43" s="1191"/>
      <c r="CP43" s="1192"/>
      <c r="CQ43" s="1162"/>
      <c r="CR43" s="1163"/>
      <c r="CS43" s="1163"/>
      <c r="CT43" s="1163"/>
      <c r="CU43" s="1163"/>
      <c r="CV43" s="1163"/>
      <c r="CW43" s="1163"/>
      <c r="CX43" s="1163"/>
      <c r="CY43" s="1163"/>
      <c r="CZ43" s="1163"/>
      <c r="DA43" s="1163"/>
      <c r="DB43" s="1163"/>
      <c r="DC43" s="1163"/>
      <c r="DD43" s="1163"/>
      <c r="DE43" s="1163"/>
      <c r="DF43" s="1163"/>
      <c r="DG43" s="1164"/>
      <c r="DH43" s="1249"/>
      <c r="DI43" s="1057">
        <f t="shared" si="0"/>
        <v>52.757422859837249</v>
      </c>
    </row>
    <row r="44" spans="1:114" s="38" customFormat="1" ht="30" customHeight="1">
      <c r="A44" s="1148" t="s">
        <v>1513</v>
      </c>
      <c r="B44" s="1149"/>
      <c r="C44" s="1149"/>
      <c r="D44" s="1149"/>
      <c r="E44" s="1149"/>
      <c r="F44" s="1149"/>
      <c r="G44" s="1149"/>
      <c r="H44" s="1149"/>
      <c r="I44" s="1150"/>
      <c r="J44" s="49"/>
      <c r="K44" s="1189" t="s">
        <v>1034</v>
      </c>
      <c r="L44" s="1189"/>
      <c r="M44" s="1189"/>
      <c r="N44" s="1189"/>
      <c r="O44" s="1189"/>
      <c r="P44" s="1189"/>
      <c r="Q44" s="1189"/>
      <c r="R44" s="1189"/>
      <c r="S44" s="1189"/>
      <c r="T44" s="1189"/>
      <c r="U44" s="1189"/>
      <c r="V44" s="1189"/>
      <c r="W44" s="1189"/>
      <c r="X44" s="1189"/>
      <c r="Y44" s="1189"/>
      <c r="Z44" s="1189"/>
      <c r="AA44" s="1189"/>
      <c r="AB44" s="1189"/>
      <c r="AC44" s="1189"/>
      <c r="AD44" s="1189"/>
      <c r="AE44" s="1189"/>
      <c r="AF44" s="1189"/>
      <c r="AG44" s="1189"/>
      <c r="AH44" s="1189"/>
      <c r="AI44" s="1189"/>
      <c r="AJ44" s="1189"/>
      <c r="AK44" s="1189"/>
      <c r="AL44" s="1189"/>
      <c r="AM44" s="1189"/>
      <c r="AN44" s="1189"/>
      <c r="AO44" s="1189"/>
      <c r="AP44" s="1189"/>
      <c r="AQ44" s="1189"/>
      <c r="AR44" s="1189"/>
      <c r="AS44" s="1189"/>
      <c r="AT44" s="1189"/>
      <c r="AU44" s="1189"/>
      <c r="AV44" s="1189"/>
      <c r="AW44" s="1189"/>
      <c r="AX44" s="1189"/>
      <c r="AY44" s="1189"/>
      <c r="AZ44" s="1189"/>
      <c r="BA44" s="1189"/>
      <c r="BB44" s="1189"/>
      <c r="BC44" s="1189"/>
      <c r="BD44" s="1189"/>
      <c r="BE44" s="1189"/>
      <c r="BF44" s="1189"/>
      <c r="BG44" s="1189"/>
      <c r="BH44" s="51"/>
      <c r="BI44" s="1183" t="s">
        <v>121</v>
      </c>
      <c r="BJ44" s="1184"/>
      <c r="BK44" s="1184"/>
      <c r="BL44" s="1184"/>
      <c r="BM44" s="1184"/>
      <c r="BN44" s="1184"/>
      <c r="BO44" s="1184"/>
      <c r="BP44" s="1184"/>
      <c r="BQ44" s="1184"/>
      <c r="BR44" s="1184"/>
      <c r="BS44" s="1185"/>
      <c r="BT44" s="1235"/>
      <c r="BU44" s="1052">
        <v>3807</v>
      </c>
      <c r="BV44" s="1052">
        <v>5325</v>
      </c>
      <c r="BW44" s="1190">
        <f>'5. подк.неподк.план'!Y220</f>
        <v>1544.0178233145814</v>
      </c>
      <c r="BX44" s="1191"/>
      <c r="BY44" s="1191"/>
      <c r="BZ44" s="1191"/>
      <c r="CA44" s="1191"/>
      <c r="CB44" s="1191"/>
      <c r="CC44" s="1191"/>
      <c r="CD44" s="1191"/>
      <c r="CE44" s="1191"/>
      <c r="CF44" s="1192"/>
      <c r="CG44" s="1190">
        <f>'1.6'!BT31</f>
        <v>5009</v>
      </c>
      <c r="CH44" s="1191"/>
      <c r="CI44" s="1191"/>
      <c r="CJ44" s="1191"/>
      <c r="CK44" s="1191"/>
      <c r="CL44" s="1191"/>
      <c r="CM44" s="1191"/>
      <c r="CN44" s="1191"/>
      <c r="CO44" s="1191"/>
      <c r="CP44" s="1192"/>
      <c r="CQ44" s="1162"/>
      <c r="CR44" s="1163"/>
      <c r="CS44" s="1163"/>
      <c r="CT44" s="1163"/>
      <c r="CU44" s="1163"/>
      <c r="CV44" s="1163"/>
      <c r="CW44" s="1163"/>
      <c r="CX44" s="1163"/>
      <c r="CY44" s="1163"/>
      <c r="CZ44" s="1163"/>
      <c r="DA44" s="1163"/>
      <c r="DB44" s="1163"/>
      <c r="DC44" s="1163"/>
      <c r="DD44" s="1163"/>
      <c r="DE44" s="1163"/>
      <c r="DF44" s="1163"/>
      <c r="DG44" s="1164"/>
      <c r="DH44" s="1249"/>
      <c r="DI44" s="1057">
        <f t="shared" si="0"/>
        <v>224.41335354841016</v>
      </c>
      <c r="DJ44" s="418">
        <f>'1.6.'!BT31</f>
        <v>5009</v>
      </c>
    </row>
    <row r="45" spans="1:114" s="38" customFormat="1" ht="30" customHeight="1">
      <c r="A45" s="1148" t="s">
        <v>1514</v>
      </c>
      <c r="B45" s="1149"/>
      <c r="C45" s="1149"/>
      <c r="D45" s="1149"/>
      <c r="E45" s="1149"/>
      <c r="F45" s="1149"/>
      <c r="G45" s="1149"/>
      <c r="H45" s="1149"/>
      <c r="I45" s="1150"/>
      <c r="J45" s="49"/>
      <c r="K45" s="1189" t="s">
        <v>1071</v>
      </c>
      <c r="L45" s="1189"/>
      <c r="M45" s="1189"/>
      <c r="N45" s="1189"/>
      <c r="O45" s="1189"/>
      <c r="P45" s="1189"/>
      <c r="Q45" s="1189"/>
      <c r="R45" s="1189"/>
      <c r="S45" s="1189"/>
      <c r="T45" s="1189"/>
      <c r="U45" s="1189"/>
      <c r="V45" s="1189"/>
      <c r="W45" s="1189"/>
      <c r="X45" s="1189"/>
      <c r="Y45" s="1189"/>
      <c r="Z45" s="1189"/>
      <c r="AA45" s="1189"/>
      <c r="AB45" s="1189"/>
      <c r="AC45" s="1189"/>
      <c r="AD45" s="1189"/>
      <c r="AE45" s="1189"/>
      <c r="AF45" s="1189"/>
      <c r="AG45" s="1189"/>
      <c r="AH45" s="1189"/>
      <c r="AI45" s="1189"/>
      <c r="AJ45" s="1189"/>
      <c r="AK45" s="1189"/>
      <c r="AL45" s="1189"/>
      <c r="AM45" s="1189"/>
      <c r="AN45" s="1189"/>
      <c r="AO45" s="1189"/>
      <c r="AP45" s="1189"/>
      <c r="AQ45" s="1189"/>
      <c r="AR45" s="1189"/>
      <c r="AS45" s="1189"/>
      <c r="AT45" s="1189"/>
      <c r="AU45" s="1189"/>
      <c r="AV45" s="1189"/>
      <c r="AW45" s="1189"/>
      <c r="AX45" s="1189"/>
      <c r="AY45" s="1189"/>
      <c r="AZ45" s="1189"/>
      <c r="BA45" s="1189"/>
      <c r="BB45" s="1189"/>
      <c r="BC45" s="1189"/>
      <c r="BD45" s="1189"/>
      <c r="BE45" s="1189"/>
      <c r="BF45" s="1189"/>
      <c r="BG45" s="1189"/>
      <c r="BH45" s="51"/>
      <c r="BI45" s="1183" t="s">
        <v>121</v>
      </c>
      <c r="BJ45" s="1184"/>
      <c r="BK45" s="1184"/>
      <c r="BL45" s="1184"/>
      <c r="BM45" s="1184"/>
      <c r="BN45" s="1184"/>
      <c r="BO45" s="1184"/>
      <c r="BP45" s="1184"/>
      <c r="BQ45" s="1184"/>
      <c r="BR45" s="1184"/>
      <c r="BS45" s="1185"/>
      <c r="BT45" s="1235"/>
      <c r="BU45" s="1052">
        <v>3800</v>
      </c>
      <c r="BV45" s="1052">
        <v>4035</v>
      </c>
      <c r="BW45" s="1190">
        <f>'5. подк.неподк.план'!Y228</f>
        <v>664.47249624999995</v>
      </c>
      <c r="BX45" s="1191"/>
      <c r="BY45" s="1191"/>
      <c r="BZ45" s="1191"/>
      <c r="CA45" s="1191"/>
      <c r="CB45" s="1191"/>
      <c r="CC45" s="1191"/>
      <c r="CD45" s="1191"/>
      <c r="CE45" s="1191"/>
      <c r="CF45" s="1192"/>
      <c r="CG45" s="1190">
        <f>'1. подк.неподк. факт'!Z229</f>
        <v>4559.2133100000001</v>
      </c>
      <c r="CH45" s="1191"/>
      <c r="CI45" s="1191"/>
      <c r="CJ45" s="1191"/>
      <c r="CK45" s="1191"/>
      <c r="CL45" s="1191"/>
      <c r="CM45" s="1191"/>
      <c r="CN45" s="1191"/>
      <c r="CO45" s="1191"/>
      <c r="CP45" s="1192"/>
      <c r="CQ45" s="1162"/>
      <c r="CR45" s="1163"/>
      <c r="CS45" s="1163"/>
      <c r="CT45" s="1163"/>
      <c r="CU45" s="1163"/>
      <c r="CV45" s="1163"/>
      <c r="CW45" s="1163"/>
      <c r="CX45" s="1163"/>
      <c r="CY45" s="1163"/>
      <c r="CZ45" s="1163"/>
      <c r="DA45" s="1163"/>
      <c r="DB45" s="1163"/>
      <c r="DC45" s="1163"/>
      <c r="DD45" s="1163"/>
      <c r="DE45" s="1163"/>
      <c r="DF45" s="1163"/>
      <c r="DG45" s="1164"/>
      <c r="DH45" s="1249"/>
      <c r="DI45" s="1057">
        <f t="shared" si="0"/>
        <v>586.1402594885808</v>
      </c>
    </row>
    <row r="46" spans="1:114" s="38" customFormat="1" ht="30" customHeight="1">
      <c r="A46" s="1148" t="s">
        <v>1515</v>
      </c>
      <c r="B46" s="1149"/>
      <c r="C46" s="1149"/>
      <c r="D46" s="1149"/>
      <c r="E46" s="1149"/>
      <c r="F46" s="1149"/>
      <c r="G46" s="1149"/>
      <c r="H46" s="1149"/>
      <c r="I46" s="1150"/>
      <c r="J46" s="49"/>
      <c r="K46" s="1189" t="s">
        <v>1095</v>
      </c>
      <c r="L46" s="1189"/>
      <c r="M46" s="1189"/>
      <c r="N46" s="1189"/>
      <c r="O46" s="1189"/>
      <c r="P46" s="1189"/>
      <c r="Q46" s="1189"/>
      <c r="R46" s="1189"/>
      <c r="S46" s="1189"/>
      <c r="T46" s="1189"/>
      <c r="U46" s="1189"/>
      <c r="V46" s="1189"/>
      <c r="W46" s="1189"/>
      <c r="X46" s="1189"/>
      <c r="Y46" s="1189"/>
      <c r="Z46" s="1189"/>
      <c r="AA46" s="1189"/>
      <c r="AB46" s="1189"/>
      <c r="AC46" s="1189"/>
      <c r="AD46" s="1189"/>
      <c r="AE46" s="1189"/>
      <c r="AF46" s="1189"/>
      <c r="AG46" s="1189"/>
      <c r="AH46" s="1189"/>
      <c r="AI46" s="1189"/>
      <c r="AJ46" s="1189"/>
      <c r="AK46" s="1189"/>
      <c r="AL46" s="1189"/>
      <c r="AM46" s="1189"/>
      <c r="AN46" s="1189"/>
      <c r="AO46" s="1189"/>
      <c r="AP46" s="1189"/>
      <c r="AQ46" s="1189"/>
      <c r="AR46" s="1189"/>
      <c r="AS46" s="1189"/>
      <c r="AT46" s="1189"/>
      <c r="AU46" s="1189"/>
      <c r="AV46" s="1189"/>
      <c r="AW46" s="1189"/>
      <c r="AX46" s="1189"/>
      <c r="AY46" s="1189"/>
      <c r="AZ46" s="1189"/>
      <c r="BA46" s="1189"/>
      <c r="BB46" s="1189"/>
      <c r="BC46" s="1189"/>
      <c r="BD46" s="1189"/>
      <c r="BE46" s="1189"/>
      <c r="BF46" s="1189"/>
      <c r="BG46" s="1189"/>
      <c r="BH46" s="51"/>
      <c r="BI46" s="1183" t="s">
        <v>121</v>
      </c>
      <c r="BJ46" s="1184"/>
      <c r="BK46" s="1184"/>
      <c r="BL46" s="1184"/>
      <c r="BM46" s="1184"/>
      <c r="BN46" s="1184"/>
      <c r="BO46" s="1184"/>
      <c r="BP46" s="1184"/>
      <c r="BQ46" s="1184"/>
      <c r="BR46" s="1184"/>
      <c r="BS46" s="1185"/>
      <c r="BT46" s="1235"/>
      <c r="BU46" s="1052">
        <v>2534</v>
      </c>
      <c r="BV46" s="1052">
        <v>4654</v>
      </c>
      <c r="BW46" s="1190">
        <f>'5. подк.неподк.план'!Y234</f>
        <v>3114.3808670829167</v>
      </c>
      <c r="BX46" s="1191"/>
      <c r="BY46" s="1191"/>
      <c r="BZ46" s="1191"/>
      <c r="CA46" s="1191"/>
      <c r="CB46" s="1191"/>
      <c r="CC46" s="1191"/>
      <c r="CD46" s="1191"/>
      <c r="CE46" s="1191"/>
      <c r="CF46" s="1192"/>
      <c r="CG46" s="1190">
        <f>'1. подк.неподк. факт'!Z235</f>
        <v>4038.1878900000006</v>
      </c>
      <c r="CH46" s="1191"/>
      <c r="CI46" s="1191"/>
      <c r="CJ46" s="1191"/>
      <c r="CK46" s="1191"/>
      <c r="CL46" s="1191"/>
      <c r="CM46" s="1191"/>
      <c r="CN46" s="1191"/>
      <c r="CO46" s="1191"/>
      <c r="CP46" s="1192"/>
      <c r="CQ46" s="1162"/>
      <c r="CR46" s="1163"/>
      <c r="CS46" s="1163"/>
      <c r="CT46" s="1163"/>
      <c r="CU46" s="1163"/>
      <c r="CV46" s="1163"/>
      <c r="CW46" s="1163"/>
      <c r="CX46" s="1163"/>
      <c r="CY46" s="1163"/>
      <c r="CZ46" s="1163"/>
      <c r="DA46" s="1163"/>
      <c r="DB46" s="1163"/>
      <c r="DC46" s="1163"/>
      <c r="DD46" s="1163"/>
      <c r="DE46" s="1163"/>
      <c r="DF46" s="1163"/>
      <c r="DG46" s="1164"/>
      <c r="DH46" s="1249"/>
      <c r="DI46" s="1057">
        <f t="shared" si="0"/>
        <v>29.662621957421891</v>
      </c>
    </row>
    <row r="47" spans="1:114" s="38" customFormat="1" ht="30" customHeight="1">
      <c r="A47" s="1148" t="s">
        <v>1516</v>
      </c>
      <c r="B47" s="1149"/>
      <c r="C47" s="1149"/>
      <c r="D47" s="1149"/>
      <c r="E47" s="1149"/>
      <c r="F47" s="1149"/>
      <c r="G47" s="1149"/>
      <c r="H47" s="1149"/>
      <c r="I47" s="1150"/>
      <c r="J47" s="49"/>
      <c r="K47" s="1189" t="s">
        <v>1122</v>
      </c>
      <c r="L47" s="1189"/>
      <c r="M47" s="1189"/>
      <c r="N47" s="1189"/>
      <c r="O47" s="1189"/>
      <c r="P47" s="1189"/>
      <c r="Q47" s="1189"/>
      <c r="R47" s="1189"/>
      <c r="S47" s="1189"/>
      <c r="T47" s="1189"/>
      <c r="U47" s="1189"/>
      <c r="V47" s="1189"/>
      <c r="W47" s="1189"/>
      <c r="X47" s="1189"/>
      <c r="Y47" s="1189"/>
      <c r="Z47" s="1189"/>
      <c r="AA47" s="1189"/>
      <c r="AB47" s="1189"/>
      <c r="AC47" s="1189"/>
      <c r="AD47" s="1189"/>
      <c r="AE47" s="1189"/>
      <c r="AF47" s="1189"/>
      <c r="AG47" s="1189"/>
      <c r="AH47" s="1189"/>
      <c r="AI47" s="1189"/>
      <c r="AJ47" s="1189"/>
      <c r="AK47" s="1189"/>
      <c r="AL47" s="1189"/>
      <c r="AM47" s="1189"/>
      <c r="AN47" s="1189"/>
      <c r="AO47" s="1189"/>
      <c r="AP47" s="1189"/>
      <c r="AQ47" s="1189"/>
      <c r="AR47" s="1189"/>
      <c r="AS47" s="1189"/>
      <c r="AT47" s="1189"/>
      <c r="AU47" s="1189"/>
      <c r="AV47" s="1189"/>
      <c r="AW47" s="1189"/>
      <c r="AX47" s="1189"/>
      <c r="AY47" s="1189"/>
      <c r="AZ47" s="1189"/>
      <c r="BA47" s="1189"/>
      <c r="BB47" s="1189"/>
      <c r="BC47" s="1189"/>
      <c r="BD47" s="1189"/>
      <c r="BE47" s="1189"/>
      <c r="BF47" s="1189"/>
      <c r="BG47" s="1189"/>
      <c r="BH47" s="51"/>
      <c r="BI47" s="1183" t="s">
        <v>121</v>
      </c>
      <c r="BJ47" s="1184"/>
      <c r="BK47" s="1184"/>
      <c r="BL47" s="1184"/>
      <c r="BM47" s="1184"/>
      <c r="BN47" s="1184"/>
      <c r="BO47" s="1184"/>
      <c r="BP47" s="1184"/>
      <c r="BQ47" s="1184"/>
      <c r="BR47" s="1184"/>
      <c r="BS47" s="1185"/>
      <c r="BT47" s="1235"/>
      <c r="BU47" s="1052">
        <v>0</v>
      </c>
      <c r="BV47" s="1052">
        <v>0</v>
      </c>
      <c r="BW47" s="1190">
        <f>'5. подк.неподк.план'!Y240</f>
        <v>0</v>
      </c>
      <c r="BX47" s="1191"/>
      <c r="BY47" s="1191"/>
      <c r="BZ47" s="1191"/>
      <c r="CA47" s="1191"/>
      <c r="CB47" s="1191"/>
      <c r="CC47" s="1191"/>
      <c r="CD47" s="1191"/>
      <c r="CE47" s="1191"/>
      <c r="CF47" s="1192"/>
      <c r="CG47" s="1190">
        <f>'1. подк.неподк. факт'!Z241</f>
        <v>58.487209999999997</v>
      </c>
      <c r="CH47" s="1191"/>
      <c r="CI47" s="1191"/>
      <c r="CJ47" s="1191"/>
      <c r="CK47" s="1191"/>
      <c r="CL47" s="1191"/>
      <c r="CM47" s="1191"/>
      <c r="CN47" s="1191"/>
      <c r="CO47" s="1191"/>
      <c r="CP47" s="1192"/>
      <c r="CQ47" s="1162"/>
      <c r="CR47" s="1163"/>
      <c r="CS47" s="1163"/>
      <c r="CT47" s="1163"/>
      <c r="CU47" s="1163"/>
      <c r="CV47" s="1163"/>
      <c r="CW47" s="1163"/>
      <c r="CX47" s="1163"/>
      <c r="CY47" s="1163"/>
      <c r="CZ47" s="1163"/>
      <c r="DA47" s="1163"/>
      <c r="DB47" s="1163"/>
      <c r="DC47" s="1163"/>
      <c r="DD47" s="1163"/>
      <c r="DE47" s="1163"/>
      <c r="DF47" s="1163"/>
      <c r="DG47" s="1164"/>
      <c r="DH47" s="1249"/>
      <c r="DI47" s="1057" t="e">
        <f t="shared" si="0"/>
        <v>#DIV/0!</v>
      </c>
    </row>
    <row r="48" spans="1:114" s="38" customFormat="1" ht="30" customHeight="1">
      <c r="A48" s="1148" t="s">
        <v>2191</v>
      </c>
      <c r="B48" s="1149"/>
      <c r="C48" s="1149"/>
      <c r="D48" s="1149"/>
      <c r="E48" s="1149"/>
      <c r="F48" s="1149"/>
      <c r="G48" s="1149"/>
      <c r="H48" s="1149"/>
      <c r="I48" s="1150"/>
      <c r="J48" s="419"/>
      <c r="K48" s="1189" t="s">
        <v>2192</v>
      </c>
      <c r="L48" s="1189"/>
      <c r="M48" s="1189"/>
      <c r="N48" s="1189"/>
      <c r="O48" s="1189"/>
      <c r="P48" s="1189"/>
      <c r="Q48" s="1189"/>
      <c r="R48" s="1189"/>
      <c r="S48" s="1189"/>
      <c r="T48" s="1189"/>
      <c r="U48" s="1189"/>
      <c r="V48" s="1189"/>
      <c r="W48" s="1189"/>
      <c r="X48" s="1189"/>
      <c r="Y48" s="1189"/>
      <c r="Z48" s="1189"/>
      <c r="AA48" s="1189"/>
      <c r="AB48" s="1189"/>
      <c r="AC48" s="1189"/>
      <c r="AD48" s="1189"/>
      <c r="AE48" s="1189"/>
      <c r="AF48" s="1189"/>
      <c r="AG48" s="1189"/>
      <c r="AH48" s="1189"/>
      <c r="AI48" s="1189"/>
      <c r="AJ48" s="1189"/>
      <c r="AK48" s="1189"/>
      <c r="AL48" s="1189"/>
      <c r="AM48" s="1189"/>
      <c r="AN48" s="1189"/>
      <c r="AO48" s="1189"/>
      <c r="AP48" s="1189"/>
      <c r="AQ48" s="1189"/>
      <c r="AR48" s="1189"/>
      <c r="AS48" s="1189"/>
      <c r="AT48" s="1189"/>
      <c r="AU48" s="1189"/>
      <c r="AV48" s="1189"/>
      <c r="AW48" s="1189"/>
      <c r="AX48" s="1189"/>
      <c r="AY48" s="1189"/>
      <c r="AZ48" s="1189"/>
      <c r="BA48" s="1189"/>
      <c r="BB48" s="1189"/>
      <c r="BC48" s="1189"/>
      <c r="BD48" s="1189"/>
      <c r="BE48" s="1189"/>
      <c r="BF48" s="1189"/>
      <c r="BG48" s="1189"/>
      <c r="BH48" s="420"/>
      <c r="BI48" s="1183" t="s">
        <v>121</v>
      </c>
      <c r="BJ48" s="1184"/>
      <c r="BK48" s="1184"/>
      <c r="BL48" s="1184"/>
      <c r="BM48" s="1184"/>
      <c r="BN48" s="1184"/>
      <c r="BO48" s="1184"/>
      <c r="BP48" s="1184"/>
      <c r="BQ48" s="1184"/>
      <c r="BR48" s="1184"/>
      <c r="BS48" s="1185"/>
      <c r="BT48" s="1235"/>
      <c r="BU48" s="1053">
        <v>0</v>
      </c>
      <c r="BV48" s="1054">
        <v>26441.16</v>
      </c>
      <c r="BW48" s="1190">
        <v>0</v>
      </c>
      <c r="BX48" s="1191"/>
      <c r="BY48" s="1191"/>
      <c r="BZ48" s="1191"/>
      <c r="CA48" s="1191"/>
      <c r="CB48" s="1191"/>
      <c r="CC48" s="1191"/>
      <c r="CD48" s="1191"/>
      <c r="CE48" s="1191"/>
      <c r="CF48" s="1192"/>
      <c r="CG48" s="1190">
        <f>'1. подк.неподк. факт'!Z175</f>
        <v>26305.82963</v>
      </c>
      <c r="CH48" s="1191"/>
      <c r="CI48" s="1191"/>
      <c r="CJ48" s="1191"/>
      <c r="CK48" s="1191"/>
      <c r="CL48" s="1191"/>
      <c r="CM48" s="1191"/>
      <c r="CN48" s="1191"/>
      <c r="CO48" s="1191"/>
      <c r="CP48" s="1192"/>
      <c r="CQ48" s="1162"/>
      <c r="CR48" s="1163"/>
      <c r="CS48" s="1163"/>
      <c r="CT48" s="1163"/>
      <c r="CU48" s="1163"/>
      <c r="CV48" s="1163"/>
      <c r="CW48" s="1163"/>
      <c r="CX48" s="1163"/>
      <c r="CY48" s="1163"/>
      <c r="CZ48" s="1163"/>
      <c r="DA48" s="1163"/>
      <c r="DB48" s="1163"/>
      <c r="DC48" s="1163"/>
      <c r="DD48" s="1163"/>
      <c r="DE48" s="1163"/>
      <c r="DF48" s="1163"/>
      <c r="DG48" s="1164"/>
      <c r="DH48" s="1249"/>
      <c r="DI48" s="1057" t="e">
        <f t="shared" si="0"/>
        <v>#DIV/0!</v>
      </c>
    </row>
    <row r="49" spans="1:116" s="38" customFormat="1" ht="30" customHeight="1">
      <c r="A49" s="1148" t="s">
        <v>144</v>
      </c>
      <c r="B49" s="1149"/>
      <c r="C49" s="1149"/>
      <c r="D49" s="1149"/>
      <c r="E49" s="1149"/>
      <c r="F49" s="1149"/>
      <c r="G49" s="1149"/>
      <c r="H49" s="1149"/>
      <c r="I49" s="1150"/>
      <c r="J49" s="49"/>
      <c r="K49" s="1189" t="str">
        <f>'5. подк.неподк.план'!D245</f>
        <v>Ком. услуги Расходы на электроэнергию (собственные нужды)</v>
      </c>
      <c r="L49" s="1189"/>
      <c r="M49" s="1189"/>
      <c r="N49" s="1189"/>
      <c r="O49" s="1189"/>
      <c r="P49" s="1189"/>
      <c r="Q49" s="1189"/>
      <c r="R49" s="1189"/>
      <c r="S49" s="1189"/>
      <c r="T49" s="1189"/>
      <c r="U49" s="1189"/>
      <c r="V49" s="1189"/>
      <c r="W49" s="1189"/>
      <c r="X49" s="1189"/>
      <c r="Y49" s="1189"/>
      <c r="Z49" s="1189"/>
      <c r="AA49" s="1189"/>
      <c r="AB49" s="1189"/>
      <c r="AC49" s="1189"/>
      <c r="AD49" s="1189"/>
      <c r="AE49" s="1189"/>
      <c r="AF49" s="1189"/>
      <c r="AG49" s="1189"/>
      <c r="AH49" s="1189"/>
      <c r="AI49" s="1189"/>
      <c r="AJ49" s="1189"/>
      <c r="AK49" s="1189"/>
      <c r="AL49" s="1189"/>
      <c r="AM49" s="1189"/>
      <c r="AN49" s="1189"/>
      <c r="AO49" s="1189"/>
      <c r="AP49" s="1189"/>
      <c r="AQ49" s="1189"/>
      <c r="AR49" s="1189"/>
      <c r="AS49" s="1189"/>
      <c r="AT49" s="1189"/>
      <c r="AU49" s="1189"/>
      <c r="AV49" s="1189"/>
      <c r="AW49" s="1189"/>
      <c r="AX49" s="1189"/>
      <c r="AY49" s="1189"/>
      <c r="AZ49" s="1189"/>
      <c r="BA49" s="1189"/>
      <c r="BB49" s="1189"/>
      <c r="BC49" s="1189"/>
      <c r="BD49" s="1189"/>
      <c r="BE49" s="1189"/>
      <c r="BF49" s="1189"/>
      <c r="BG49" s="1189"/>
      <c r="BH49" s="51"/>
      <c r="BI49" s="1183" t="s">
        <v>121</v>
      </c>
      <c r="BJ49" s="1184"/>
      <c r="BK49" s="1184"/>
      <c r="BL49" s="1184"/>
      <c r="BM49" s="1184"/>
      <c r="BN49" s="1184"/>
      <c r="BO49" s="1184"/>
      <c r="BP49" s="1184"/>
      <c r="BQ49" s="1184"/>
      <c r="BR49" s="1184"/>
      <c r="BS49" s="1185"/>
      <c r="BT49" s="1235"/>
      <c r="BU49" s="1052">
        <v>21299</v>
      </c>
      <c r="BV49" s="1052">
        <v>28495</v>
      </c>
      <c r="BW49" s="1190">
        <f>'5. подк.неподк.план'!Y245</f>
        <v>22470.107157349998</v>
      </c>
      <c r="BX49" s="1191"/>
      <c r="BY49" s="1191"/>
      <c r="BZ49" s="1191"/>
      <c r="CA49" s="1191"/>
      <c r="CB49" s="1191"/>
      <c r="CC49" s="1191"/>
      <c r="CD49" s="1191"/>
      <c r="CE49" s="1191"/>
      <c r="CF49" s="1192"/>
      <c r="CG49" s="1190">
        <f>'1.6'!BT29</f>
        <v>32239</v>
      </c>
      <c r="CH49" s="1191"/>
      <c r="CI49" s="1191"/>
      <c r="CJ49" s="1191"/>
      <c r="CK49" s="1191"/>
      <c r="CL49" s="1191"/>
      <c r="CM49" s="1191"/>
      <c r="CN49" s="1191"/>
      <c r="CO49" s="1191"/>
      <c r="CP49" s="1192"/>
      <c r="CQ49" s="1162"/>
      <c r="CR49" s="1163"/>
      <c r="CS49" s="1163"/>
      <c r="CT49" s="1163"/>
      <c r="CU49" s="1163"/>
      <c r="CV49" s="1163"/>
      <c r="CW49" s="1163"/>
      <c r="CX49" s="1163"/>
      <c r="CY49" s="1163"/>
      <c r="CZ49" s="1163"/>
      <c r="DA49" s="1163"/>
      <c r="DB49" s="1163"/>
      <c r="DC49" s="1163"/>
      <c r="DD49" s="1163"/>
      <c r="DE49" s="1163"/>
      <c r="DF49" s="1163"/>
      <c r="DG49" s="1164"/>
      <c r="DH49" s="1249"/>
      <c r="DI49" s="1057">
        <f t="shared" si="0"/>
        <v>43.475061219076508</v>
      </c>
      <c r="DJ49" s="418">
        <f>'1.6.'!BT29</f>
        <v>32239</v>
      </c>
    </row>
    <row r="50" spans="1:116" s="38" customFormat="1" ht="45" customHeight="1">
      <c r="A50" s="1148" t="s">
        <v>146</v>
      </c>
      <c r="B50" s="1149"/>
      <c r="C50" s="1149"/>
      <c r="D50" s="1149"/>
      <c r="E50" s="1149"/>
      <c r="F50" s="1149"/>
      <c r="G50" s="1149"/>
      <c r="H50" s="1149"/>
      <c r="I50" s="1150"/>
      <c r="J50" s="39"/>
      <c r="K50" s="1189" t="s">
        <v>145</v>
      </c>
      <c r="L50" s="1189"/>
      <c r="M50" s="1189"/>
      <c r="N50" s="1189"/>
      <c r="O50" s="1189"/>
      <c r="P50" s="1189"/>
      <c r="Q50" s="1189"/>
      <c r="R50" s="1189"/>
      <c r="S50" s="1189"/>
      <c r="T50" s="1189"/>
      <c r="U50" s="1189"/>
      <c r="V50" s="1189"/>
      <c r="W50" s="1189"/>
      <c r="X50" s="1189"/>
      <c r="Y50" s="1189"/>
      <c r="Z50" s="1189"/>
      <c r="AA50" s="1189"/>
      <c r="AB50" s="1189"/>
      <c r="AC50" s="1189"/>
      <c r="AD50" s="1189"/>
      <c r="AE50" s="1189"/>
      <c r="AF50" s="1189"/>
      <c r="AG50" s="1189"/>
      <c r="AH50" s="1189"/>
      <c r="AI50" s="1189"/>
      <c r="AJ50" s="1189"/>
      <c r="AK50" s="1189"/>
      <c r="AL50" s="1189"/>
      <c r="AM50" s="1189"/>
      <c r="AN50" s="1189"/>
      <c r="AO50" s="1189"/>
      <c r="AP50" s="1189"/>
      <c r="AQ50" s="1189"/>
      <c r="AR50" s="1189"/>
      <c r="AS50" s="1189"/>
      <c r="AT50" s="1189"/>
      <c r="AU50" s="1189"/>
      <c r="AV50" s="1189"/>
      <c r="AW50" s="1189"/>
      <c r="AX50" s="1189"/>
      <c r="AY50" s="1189"/>
      <c r="AZ50" s="1189"/>
      <c r="BA50" s="1189"/>
      <c r="BB50" s="1189"/>
      <c r="BC50" s="1189"/>
      <c r="BD50" s="1189"/>
      <c r="BE50" s="1189"/>
      <c r="BF50" s="1189"/>
      <c r="BG50" s="1189"/>
      <c r="BH50" s="40"/>
      <c r="BI50" s="1183" t="s">
        <v>121</v>
      </c>
      <c r="BJ50" s="1184"/>
      <c r="BK50" s="1184"/>
      <c r="BL50" s="1184"/>
      <c r="BM50" s="1184"/>
      <c r="BN50" s="1184"/>
      <c r="BO50" s="1184"/>
      <c r="BP50" s="1184"/>
      <c r="BQ50" s="1184"/>
      <c r="BR50" s="1184"/>
      <c r="BS50" s="1185"/>
      <c r="BT50" s="1235"/>
      <c r="BU50" s="1052">
        <v>139673</v>
      </c>
      <c r="BV50" s="1052">
        <v>419796</v>
      </c>
      <c r="BW50" s="1190">
        <f>'5. подк.неподк.план'!Y243</f>
        <v>147355.24709999998</v>
      </c>
      <c r="BX50" s="1191"/>
      <c r="BY50" s="1191"/>
      <c r="BZ50" s="1191"/>
      <c r="CA50" s="1191"/>
      <c r="CB50" s="1191"/>
      <c r="CC50" s="1191"/>
      <c r="CD50" s="1191"/>
      <c r="CE50" s="1191"/>
      <c r="CF50" s="1192"/>
      <c r="CG50" s="1190">
        <f>'1.6'!BT49</f>
        <v>596159</v>
      </c>
      <c r="CH50" s="1191"/>
      <c r="CI50" s="1191"/>
      <c r="CJ50" s="1191"/>
      <c r="CK50" s="1191"/>
      <c r="CL50" s="1191"/>
      <c r="CM50" s="1191"/>
      <c r="CN50" s="1191"/>
      <c r="CO50" s="1191"/>
      <c r="CP50" s="1192"/>
      <c r="CQ50" s="1165"/>
      <c r="CR50" s="1166"/>
      <c r="CS50" s="1166"/>
      <c r="CT50" s="1166"/>
      <c r="CU50" s="1166"/>
      <c r="CV50" s="1166"/>
      <c r="CW50" s="1166"/>
      <c r="CX50" s="1166"/>
      <c r="CY50" s="1166"/>
      <c r="CZ50" s="1166"/>
      <c r="DA50" s="1166"/>
      <c r="DB50" s="1166"/>
      <c r="DC50" s="1166"/>
      <c r="DD50" s="1166"/>
      <c r="DE50" s="1166"/>
      <c r="DF50" s="1166"/>
      <c r="DG50" s="1167"/>
      <c r="DH50" s="1249"/>
      <c r="DI50" s="1057">
        <f t="shared" si="0"/>
        <v>304.57263092601477</v>
      </c>
      <c r="DJ50" s="418">
        <f>'1.6.'!BT49</f>
        <v>596159</v>
      </c>
    </row>
    <row r="51" spans="1:116" s="38" customFormat="1" ht="30" customHeight="1">
      <c r="A51" s="1148" t="s">
        <v>1494</v>
      </c>
      <c r="B51" s="1149"/>
      <c r="C51" s="1149"/>
      <c r="D51" s="1149"/>
      <c r="E51" s="1149"/>
      <c r="F51" s="1149"/>
      <c r="G51" s="1149"/>
      <c r="H51" s="1149"/>
      <c r="I51" s="1150"/>
      <c r="J51" s="39"/>
      <c r="K51" s="1189" t="s">
        <v>147</v>
      </c>
      <c r="L51" s="1189"/>
      <c r="M51" s="1189"/>
      <c r="N51" s="1189"/>
      <c r="O51" s="1189"/>
      <c r="P51" s="1189"/>
      <c r="Q51" s="1189"/>
      <c r="R51" s="1189"/>
      <c r="S51" s="1189"/>
      <c r="T51" s="1189"/>
      <c r="U51" s="1189"/>
      <c r="V51" s="1189"/>
      <c r="W51" s="1189"/>
      <c r="X51" s="1189"/>
      <c r="Y51" s="1189"/>
      <c r="Z51" s="1189"/>
      <c r="AA51" s="1189"/>
      <c r="AB51" s="1189"/>
      <c r="AC51" s="1189"/>
      <c r="AD51" s="1189"/>
      <c r="AE51" s="1189"/>
      <c r="AF51" s="1189"/>
      <c r="AG51" s="1189"/>
      <c r="AH51" s="1189"/>
      <c r="AI51" s="1189"/>
      <c r="AJ51" s="1189"/>
      <c r="AK51" s="1189"/>
      <c r="AL51" s="1189"/>
      <c r="AM51" s="1189"/>
      <c r="AN51" s="1189"/>
      <c r="AO51" s="1189"/>
      <c r="AP51" s="1189"/>
      <c r="AQ51" s="1189"/>
      <c r="AR51" s="1189"/>
      <c r="AS51" s="1189"/>
      <c r="AT51" s="1189"/>
      <c r="AU51" s="1189"/>
      <c r="AV51" s="1189"/>
      <c r="AW51" s="1189"/>
      <c r="AX51" s="1189"/>
      <c r="AY51" s="1189"/>
      <c r="AZ51" s="1189"/>
      <c r="BA51" s="1189"/>
      <c r="BB51" s="1189"/>
      <c r="BC51" s="1189"/>
      <c r="BD51" s="1189"/>
      <c r="BE51" s="1189"/>
      <c r="BF51" s="1189"/>
      <c r="BG51" s="1189"/>
      <c r="BH51" s="40"/>
      <c r="BI51" s="1183" t="s">
        <v>121</v>
      </c>
      <c r="BJ51" s="1184"/>
      <c r="BK51" s="1184"/>
      <c r="BL51" s="1184"/>
      <c r="BM51" s="1184"/>
      <c r="BN51" s="1184"/>
      <c r="BO51" s="1184"/>
      <c r="BP51" s="1184"/>
      <c r="BQ51" s="1184"/>
      <c r="BR51" s="1184"/>
      <c r="BS51" s="1185"/>
      <c r="BT51" s="1235"/>
      <c r="BU51" s="1052"/>
      <c r="BV51" s="1052"/>
      <c r="BW51" s="1186"/>
      <c r="BX51" s="1187"/>
      <c r="BY51" s="1187"/>
      <c r="BZ51" s="1187"/>
      <c r="CA51" s="1187"/>
      <c r="CB51" s="1187"/>
      <c r="CC51" s="1187"/>
      <c r="CD51" s="1187"/>
      <c r="CE51" s="1187"/>
      <c r="CF51" s="1188"/>
      <c r="CG51" s="1241"/>
      <c r="CH51" s="1242"/>
      <c r="CI51" s="1242"/>
      <c r="CJ51" s="1242"/>
      <c r="CK51" s="1242"/>
      <c r="CL51" s="1242"/>
      <c r="CM51" s="1242"/>
      <c r="CN51" s="1242"/>
      <c r="CO51" s="1242"/>
      <c r="CP51" s="1243"/>
      <c r="CQ51" s="1237"/>
      <c r="CR51" s="1238"/>
      <c r="CS51" s="1238"/>
      <c r="CT51" s="1238"/>
      <c r="CU51" s="1238"/>
      <c r="CV51" s="1238"/>
      <c r="CW51" s="1238"/>
      <c r="CX51" s="1238"/>
      <c r="CY51" s="1238"/>
      <c r="CZ51" s="1238"/>
      <c r="DA51" s="1238"/>
      <c r="DB51" s="1238"/>
      <c r="DC51" s="1238"/>
      <c r="DD51" s="1238"/>
      <c r="DE51" s="1238"/>
      <c r="DF51" s="1238"/>
      <c r="DG51" s="1239"/>
      <c r="DH51" s="1249"/>
      <c r="DI51" s="1057" t="e">
        <f t="shared" si="0"/>
        <v>#DIV/0!</v>
      </c>
    </row>
    <row r="52" spans="1:116" s="38" customFormat="1" ht="30" customHeight="1">
      <c r="A52" s="1193" t="s">
        <v>3</v>
      </c>
      <c r="B52" s="1194"/>
      <c r="C52" s="1194"/>
      <c r="D52" s="1194"/>
      <c r="E52" s="1194"/>
      <c r="F52" s="1194"/>
      <c r="G52" s="1194"/>
      <c r="H52" s="1194"/>
      <c r="I52" s="1195"/>
      <c r="J52" s="1055"/>
      <c r="K52" s="1196" t="s">
        <v>148</v>
      </c>
      <c r="L52" s="1196"/>
      <c r="M52" s="1196"/>
      <c r="N52" s="1196"/>
      <c r="O52" s="1196"/>
      <c r="P52" s="1196"/>
      <c r="Q52" s="1196"/>
      <c r="R52" s="1196"/>
      <c r="S52" s="1196"/>
      <c r="T52" s="1196"/>
      <c r="U52" s="1196"/>
      <c r="V52" s="1196"/>
      <c r="W52" s="1196"/>
      <c r="X52" s="1196"/>
      <c r="Y52" s="1196"/>
      <c r="Z52" s="1196"/>
      <c r="AA52" s="1196"/>
      <c r="AB52" s="1196"/>
      <c r="AC52" s="1196"/>
      <c r="AD52" s="1196"/>
      <c r="AE52" s="1196"/>
      <c r="AF52" s="1196"/>
      <c r="AG52" s="1196"/>
      <c r="AH52" s="1196"/>
      <c r="AI52" s="1196"/>
      <c r="AJ52" s="1196"/>
      <c r="AK52" s="1196"/>
      <c r="AL52" s="1196"/>
      <c r="AM52" s="1196"/>
      <c r="AN52" s="1196"/>
      <c r="AO52" s="1196"/>
      <c r="AP52" s="1196"/>
      <c r="AQ52" s="1196"/>
      <c r="AR52" s="1196"/>
      <c r="AS52" s="1196"/>
      <c r="AT52" s="1196"/>
      <c r="AU52" s="1196"/>
      <c r="AV52" s="1196"/>
      <c r="AW52" s="1196"/>
      <c r="AX52" s="1196"/>
      <c r="AY52" s="1196"/>
      <c r="AZ52" s="1196"/>
      <c r="BA52" s="1196"/>
      <c r="BB52" s="1196"/>
      <c r="BC52" s="1196"/>
      <c r="BD52" s="1196"/>
      <c r="BE52" s="1196"/>
      <c r="BF52" s="1196"/>
      <c r="BG52" s="1196"/>
      <c r="BH52" s="40"/>
      <c r="BI52" s="1197" t="s">
        <v>121</v>
      </c>
      <c r="BJ52" s="1198"/>
      <c r="BK52" s="1198"/>
      <c r="BL52" s="1198"/>
      <c r="BM52" s="1198"/>
      <c r="BN52" s="1198"/>
      <c r="BO52" s="1198"/>
      <c r="BP52" s="1198"/>
      <c r="BQ52" s="1198"/>
      <c r="BR52" s="1198"/>
      <c r="BS52" s="1199"/>
      <c r="BT52" s="1235"/>
      <c r="BU52" s="1051">
        <v>2022777</v>
      </c>
      <c r="BV52" s="1051">
        <v>2510537</v>
      </c>
      <c r="BW52" s="1200">
        <f>'5. подк.неподк.план'!Y321-BW84</f>
        <v>2402686.2756451848</v>
      </c>
      <c r="BX52" s="1201"/>
      <c r="BY52" s="1201"/>
      <c r="BZ52" s="1201"/>
      <c r="CA52" s="1201"/>
      <c r="CB52" s="1201"/>
      <c r="CC52" s="1201"/>
      <c r="CD52" s="1201"/>
      <c r="CE52" s="1201"/>
      <c r="CF52" s="1202"/>
      <c r="CG52" s="1200">
        <f>CG53+CG54+CG55+CG56+CG57+CG58+CG59+CG60+CG61+CG64+CG65</f>
        <v>2653292.3376422757</v>
      </c>
      <c r="CH52" s="1201">
        <f t="shared" ref="CH52:CP52" si="1">AQ53+AQ54+AQ55+AQ56+AQ57+AQ58+AQ59+AQ60+AQ61+AQ62+AQ64+AQ65</f>
        <v>0</v>
      </c>
      <c r="CI52" s="1201">
        <f t="shared" si="1"/>
        <v>0</v>
      </c>
      <c r="CJ52" s="1201">
        <f t="shared" si="1"/>
        <v>0</v>
      </c>
      <c r="CK52" s="1201">
        <f t="shared" si="1"/>
        <v>0</v>
      </c>
      <c r="CL52" s="1201">
        <f t="shared" si="1"/>
        <v>0</v>
      </c>
      <c r="CM52" s="1201">
        <f t="shared" si="1"/>
        <v>0</v>
      </c>
      <c r="CN52" s="1201">
        <f t="shared" si="1"/>
        <v>0</v>
      </c>
      <c r="CO52" s="1201">
        <f t="shared" si="1"/>
        <v>0</v>
      </c>
      <c r="CP52" s="1202">
        <f t="shared" si="1"/>
        <v>0</v>
      </c>
      <c r="CQ52" s="1244"/>
      <c r="CR52" s="1245"/>
      <c r="CS52" s="1245"/>
      <c r="CT52" s="1245"/>
      <c r="CU52" s="1245"/>
      <c r="CV52" s="1245"/>
      <c r="CW52" s="1245"/>
      <c r="CX52" s="1245"/>
      <c r="CY52" s="1245"/>
      <c r="CZ52" s="1245"/>
      <c r="DA52" s="1245"/>
      <c r="DB52" s="1245"/>
      <c r="DC52" s="1245"/>
      <c r="DD52" s="1245"/>
      <c r="DE52" s="1245"/>
      <c r="DF52" s="1245"/>
      <c r="DG52" s="1246"/>
      <c r="DH52" s="1249"/>
      <c r="DI52" s="1057">
        <f t="shared" si="0"/>
        <v>10.430244869559445</v>
      </c>
      <c r="DJ52" s="416"/>
      <c r="DL52" s="398"/>
    </row>
    <row r="53" spans="1:116" s="38" customFormat="1" ht="15" customHeight="1">
      <c r="A53" s="1148" t="s">
        <v>149</v>
      </c>
      <c r="B53" s="1149"/>
      <c r="C53" s="1149"/>
      <c r="D53" s="1149"/>
      <c r="E53" s="1149"/>
      <c r="F53" s="1149"/>
      <c r="G53" s="1149"/>
      <c r="H53" s="1149"/>
      <c r="I53" s="1150"/>
      <c r="J53" s="39"/>
      <c r="K53" s="1240" t="s">
        <v>219</v>
      </c>
      <c r="L53" s="1240"/>
      <c r="M53" s="1240"/>
      <c r="N53" s="1240"/>
      <c r="O53" s="1240"/>
      <c r="P53" s="1240"/>
      <c r="Q53" s="1240"/>
      <c r="R53" s="1240"/>
      <c r="S53" s="1240"/>
      <c r="T53" s="1240"/>
      <c r="U53" s="1240"/>
      <c r="V53" s="1240"/>
      <c r="W53" s="1240"/>
      <c r="X53" s="1240"/>
      <c r="Y53" s="1240"/>
      <c r="Z53" s="1240"/>
      <c r="AA53" s="1240"/>
      <c r="AB53" s="1240"/>
      <c r="AC53" s="1240"/>
      <c r="AD53" s="1240"/>
      <c r="AE53" s="1240"/>
      <c r="AF53" s="1240"/>
      <c r="AG53" s="1240"/>
      <c r="AH53" s="1240"/>
      <c r="AI53" s="1240"/>
      <c r="AJ53" s="1240"/>
      <c r="AK53" s="1240"/>
      <c r="AL53" s="1240"/>
      <c r="AM53" s="1240"/>
      <c r="AN53" s="1240"/>
      <c r="AO53" s="1240"/>
      <c r="AP53" s="1240"/>
      <c r="AQ53" s="1240"/>
      <c r="AR53" s="1240"/>
      <c r="AS53" s="1240"/>
      <c r="AT53" s="1240"/>
      <c r="AU53" s="1240"/>
      <c r="AV53" s="1240"/>
      <c r="AW53" s="1240"/>
      <c r="AX53" s="1240"/>
      <c r="AY53" s="1240"/>
      <c r="AZ53" s="1240"/>
      <c r="BA53" s="1240"/>
      <c r="BB53" s="1240"/>
      <c r="BC53" s="1240"/>
      <c r="BD53" s="1240"/>
      <c r="BE53" s="1240"/>
      <c r="BF53" s="1240"/>
      <c r="BG53" s="1240"/>
      <c r="BH53" s="40"/>
      <c r="BI53" s="1183" t="s">
        <v>121</v>
      </c>
      <c r="BJ53" s="1184"/>
      <c r="BK53" s="1184"/>
      <c r="BL53" s="1184"/>
      <c r="BM53" s="1184"/>
      <c r="BN53" s="1184"/>
      <c r="BO53" s="1184"/>
      <c r="BP53" s="1184"/>
      <c r="BQ53" s="1184"/>
      <c r="BR53" s="1184"/>
      <c r="BS53" s="1185"/>
      <c r="BT53" s="1236"/>
      <c r="BU53" s="1052">
        <v>0</v>
      </c>
      <c r="BV53" s="1052">
        <v>0</v>
      </c>
      <c r="BW53" s="1186">
        <v>0</v>
      </c>
      <c r="BX53" s="1187"/>
      <c r="BY53" s="1187"/>
      <c r="BZ53" s="1187"/>
      <c r="CA53" s="1187"/>
      <c r="CB53" s="1187"/>
      <c r="CC53" s="1187"/>
      <c r="CD53" s="1187"/>
      <c r="CE53" s="1187"/>
      <c r="CF53" s="1188"/>
      <c r="CG53" s="1186">
        <v>0</v>
      </c>
      <c r="CH53" s="1187"/>
      <c r="CI53" s="1187"/>
      <c r="CJ53" s="1187"/>
      <c r="CK53" s="1187"/>
      <c r="CL53" s="1187"/>
      <c r="CM53" s="1187"/>
      <c r="CN53" s="1187"/>
      <c r="CO53" s="1187"/>
      <c r="CP53" s="1188"/>
      <c r="CQ53" s="1237"/>
      <c r="CR53" s="1238"/>
      <c r="CS53" s="1238"/>
      <c r="CT53" s="1238"/>
      <c r="CU53" s="1238"/>
      <c r="CV53" s="1238"/>
      <c r="CW53" s="1238"/>
      <c r="CX53" s="1238"/>
      <c r="CY53" s="1238"/>
      <c r="CZ53" s="1238"/>
      <c r="DA53" s="1238"/>
      <c r="DB53" s="1238"/>
      <c r="DC53" s="1238"/>
      <c r="DD53" s="1238"/>
      <c r="DE53" s="1238"/>
      <c r="DF53" s="1238"/>
      <c r="DG53" s="1239"/>
      <c r="DH53" s="1283"/>
      <c r="DI53" s="1057" t="e">
        <f t="shared" si="0"/>
        <v>#DIV/0!</v>
      </c>
    </row>
    <row r="54" spans="1:116" s="38" customFormat="1" ht="45" customHeight="1">
      <c r="A54" s="1148" t="s">
        <v>150</v>
      </c>
      <c r="B54" s="1149"/>
      <c r="C54" s="1149"/>
      <c r="D54" s="1149"/>
      <c r="E54" s="1149"/>
      <c r="F54" s="1149"/>
      <c r="G54" s="1149"/>
      <c r="H54" s="1149"/>
      <c r="I54" s="1150"/>
      <c r="J54" s="39"/>
      <c r="K54" s="1189" t="s">
        <v>151</v>
      </c>
      <c r="L54" s="1189"/>
      <c r="M54" s="1189"/>
      <c r="N54" s="1189"/>
      <c r="O54" s="1189"/>
      <c r="P54" s="1189"/>
      <c r="Q54" s="1189"/>
      <c r="R54" s="1189"/>
      <c r="S54" s="1189"/>
      <c r="T54" s="1189"/>
      <c r="U54" s="1189"/>
      <c r="V54" s="1189"/>
      <c r="W54" s="1189"/>
      <c r="X54" s="1189"/>
      <c r="Y54" s="1189"/>
      <c r="Z54" s="1189"/>
      <c r="AA54" s="1189"/>
      <c r="AB54" s="1189"/>
      <c r="AC54" s="1189"/>
      <c r="AD54" s="1189"/>
      <c r="AE54" s="1189"/>
      <c r="AF54" s="1189"/>
      <c r="AG54" s="1189"/>
      <c r="AH54" s="1189"/>
      <c r="AI54" s="1189"/>
      <c r="AJ54" s="1189"/>
      <c r="AK54" s="1189"/>
      <c r="AL54" s="1189"/>
      <c r="AM54" s="1189"/>
      <c r="AN54" s="1189"/>
      <c r="AO54" s="1189"/>
      <c r="AP54" s="1189"/>
      <c r="AQ54" s="1189"/>
      <c r="AR54" s="1189"/>
      <c r="AS54" s="1189"/>
      <c r="AT54" s="1189"/>
      <c r="AU54" s="1189"/>
      <c r="AV54" s="1189"/>
      <c r="AW54" s="1189"/>
      <c r="AX54" s="1189"/>
      <c r="AY54" s="1189"/>
      <c r="AZ54" s="1189"/>
      <c r="BA54" s="1189"/>
      <c r="BB54" s="1189"/>
      <c r="BC54" s="1189"/>
      <c r="BD54" s="1189"/>
      <c r="BE54" s="1189"/>
      <c r="BF54" s="1189"/>
      <c r="BG54" s="1189"/>
      <c r="BH54" s="40"/>
      <c r="BI54" s="1183" t="s">
        <v>121</v>
      </c>
      <c r="BJ54" s="1184"/>
      <c r="BK54" s="1184"/>
      <c r="BL54" s="1184"/>
      <c r="BM54" s="1184"/>
      <c r="BN54" s="1184"/>
      <c r="BO54" s="1184"/>
      <c r="BP54" s="1184"/>
      <c r="BQ54" s="1184"/>
      <c r="BR54" s="1184"/>
      <c r="BS54" s="1185"/>
      <c r="BT54" s="48">
        <v>42449</v>
      </c>
      <c r="BU54" s="1052">
        <v>0</v>
      </c>
      <c r="BV54" s="1052">
        <v>0</v>
      </c>
      <c r="BW54" s="1183">
        <v>0</v>
      </c>
      <c r="BX54" s="1184"/>
      <c r="BY54" s="1184"/>
      <c r="BZ54" s="1184"/>
      <c r="CA54" s="1184"/>
      <c r="CB54" s="1184"/>
      <c r="CC54" s="1184"/>
      <c r="CD54" s="1184"/>
      <c r="CE54" s="1184"/>
      <c r="CF54" s="1185"/>
      <c r="CG54" s="1183">
        <v>0</v>
      </c>
      <c r="CH54" s="1184"/>
      <c r="CI54" s="1184"/>
      <c r="CJ54" s="1184"/>
      <c r="CK54" s="1184"/>
      <c r="CL54" s="1184"/>
      <c r="CM54" s="1184"/>
      <c r="CN54" s="1184"/>
      <c r="CO54" s="1184"/>
      <c r="CP54" s="1185"/>
      <c r="CQ54" s="1237"/>
      <c r="CR54" s="1238"/>
      <c r="CS54" s="1238"/>
      <c r="CT54" s="1238"/>
      <c r="CU54" s="1238"/>
      <c r="CV54" s="1238"/>
      <c r="CW54" s="1238"/>
      <c r="CX54" s="1238"/>
      <c r="CY54" s="1238"/>
      <c r="CZ54" s="1238"/>
      <c r="DA54" s="1238"/>
      <c r="DB54" s="1238"/>
      <c r="DC54" s="1238"/>
      <c r="DD54" s="1238"/>
      <c r="DE54" s="1238"/>
      <c r="DF54" s="1238"/>
      <c r="DG54" s="1239"/>
      <c r="DH54" s="42" t="s">
        <v>152</v>
      </c>
      <c r="DI54" s="1057" t="e">
        <f t="shared" si="0"/>
        <v>#DIV/0!</v>
      </c>
    </row>
    <row r="55" spans="1:116" s="38" customFormat="1" ht="15" customHeight="1">
      <c r="A55" s="1148" t="s">
        <v>153</v>
      </c>
      <c r="B55" s="1149"/>
      <c r="C55" s="1149"/>
      <c r="D55" s="1149"/>
      <c r="E55" s="1149"/>
      <c r="F55" s="1149"/>
      <c r="G55" s="1149"/>
      <c r="H55" s="1149"/>
      <c r="I55" s="1150"/>
      <c r="J55" s="39"/>
      <c r="K55" s="1189" t="str">
        <f>'5. подк.неподк.план'!D249</f>
        <v>Плата за аренду имущества и лизинг</v>
      </c>
      <c r="L55" s="1189"/>
      <c r="M55" s="1189"/>
      <c r="N55" s="1189"/>
      <c r="O55" s="1189"/>
      <c r="P55" s="1189"/>
      <c r="Q55" s="1189"/>
      <c r="R55" s="1189"/>
      <c r="S55" s="1189"/>
      <c r="T55" s="1189"/>
      <c r="U55" s="1189"/>
      <c r="V55" s="1189"/>
      <c r="W55" s="1189"/>
      <c r="X55" s="1189"/>
      <c r="Y55" s="1189"/>
      <c r="Z55" s="1189"/>
      <c r="AA55" s="1189"/>
      <c r="AB55" s="1189"/>
      <c r="AC55" s="1189"/>
      <c r="AD55" s="1189"/>
      <c r="AE55" s="1189"/>
      <c r="AF55" s="1189"/>
      <c r="AG55" s="1189"/>
      <c r="AH55" s="1189"/>
      <c r="AI55" s="1189"/>
      <c r="AJ55" s="1189"/>
      <c r="AK55" s="1189"/>
      <c r="AL55" s="1189"/>
      <c r="AM55" s="1189"/>
      <c r="AN55" s="1189"/>
      <c r="AO55" s="1189"/>
      <c r="AP55" s="1189"/>
      <c r="AQ55" s="1189"/>
      <c r="AR55" s="1189"/>
      <c r="AS55" s="1189"/>
      <c r="AT55" s="1189"/>
      <c r="AU55" s="1189"/>
      <c r="AV55" s="1189"/>
      <c r="AW55" s="1189"/>
      <c r="AX55" s="1189"/>
      <c r="AY55" s="1189"/>
      <c r="AZ55" s="1189"/>
      <c r="BA55" s="1189"/>
      <c r="BB55" s="1189"/>
      <c r="BC55" s="1189"/>
      <c r="BD55" s="1189"/>
      <c r="BE55" s="1189"/>
      <c r="BF55" s="1189"/>
      <c r="BG55" s="1189"/>
      <c r="BH55" s="40"/>
      <c r="BI55" s="1183" t="s">
        <v>121</v>
      </c>
      <c r="BJ55" s="1184"/>
      <c r="BK55" s="1184"/>
      <c r="BL55" s="1184"/>
      <c r="BM55" s="1184"/>
      <c r="BN55" s="1184"/>
      <c r="BO55" s="1184"/>
      <c r="BP55" s="1184"/>
      <c r="BQ55" s="1184"/>
      <c r="BR55" s="1184"/>
      <c r="BS55" s="1185"/>
      <c r="BT55" s="1234">
        <v>42460</v>
      </c>
      <c r="BU55" s="1052">
        <v>1371851</v>
      </c>
      <c r="BV55" s="1052">
        <v>1362495</v>
      </c>
      <c r="BW55" s="1190">
        <f>'5. подк.неподк.план'!Y249</f>
        <v>1263084.8551806</v>
      </c>
      <c r="BX55" s="1191"/>
      <c r="BY55" s="1191"/>
      <c r="BZ55" s="1191"/>
      <c r="CA55" s="1191"/>
      <c r="CB55" s="1191"/>
      <c r="CC55" s="1191"/>
      <c r="CD55" s="1191"/>
      <c r="CE55" s="1191"/>
      <c r="CF55" s="1192"/>
      <c r="CG55" s="1190">
        <f>'1.6'!BT45</f>
        <v>1267299</v>
      </c>
      <c r="CH55" s="1191"/>
      <c r="CI55" s="1191"/>
      <c r="CJ55" s="1191"/>
      <c r="CK55" s="1191"/>
      <c r="CL55" s="1191"/>
      <c r="CM55" s="1191"/>
      <c r="CN55" s="1191"/>
      <c r="CO55" s="1191"/>
      <c r="CP55" s="1192"/>
      <c r="CQ55" s="1237"/>
      <c r="CR55" s="1238"/>
      <c r="CS55" s="1238"/>
      <c r="CT55" s="1238"/>
      <c r="CU55" s="1238"/>
      <c r="CV55" s="1238"/>
      <c r="CW55" s="1238"/>
      <c r="CX55" s="1238"/>
      <c r="CY55" s="1238"/>
      <c r="CZ55" s="1238"/>
      <c r="DA55" s="1238"/>
      <c r="DB55" s="1238"/>
      <c r="DC55" s="1238"/>
      <c r="DD55" s="1238"/>
      <c r="DE55" s="1238"/>
      <c r="DF55" s="1238"/>
      <c r="DG55" s="1239"/>
      <c r="DH55" s="1247" t="s">
        <v>122</v>
      </c>
      <c r="DI55" s="1057">
        <f t="shared" si="0"/>
        <v>0.33363909020961557</v>
      </c>
      <c r="DJ55" s="418">
        <f>'1.6.'!BT45</f>
        <v>1267299</v>
      </c>
    </row>
    <row r="56" spans="1:116" s="38" customFormat="1" ht="15" customHeight="1">
      <c r="A56" s="1148" t="s">
        <v>154</v>
      </c>
      <c r="B56" s="1149"/>
      <c r="C56" s="1149"/>
      <c r="D56" s="1149"/>
      <c r="E56" s="1149"/>
      <c r="F56" s="1149"/>
      <c r="G56" s="1149"/>
      <c r="H56" s="1149"/>
      <c r="I56" s="1150"/>
      <c r="J56" s="39"/>
      <c r="K56" s="1189" t="s">
        <v>1147</v>
      </c>
      <c r="L56" s="1189"/>
      <c r="M56" s="1189"/>
      <c r="N56" s="1189"/>
      <c r="O56" s="1189"/>
      <c r="P56" s="1189"/>
      <c r="Q56" s="1189"/>
      <c r="R56" s="1189"/>
      <c r="S56" s="1189"/>
      <c r="T56" s="1189"/>
      <c r="U56" s="1189"/>
      <c r="V56" s="1189"/>
      <c r="W56" s="1189"/>
      <c r="X56" s="1189"/>
      <c r="Y56" s="1189"/>
      <c r="Z56" s="1189"/>
      <c r="AA56" s="1189"/>
      <c r="AB56" s="1189"/>
      <c r="AC56" s="1189"/>
      <c r="AD56" s="1189"/>
      <c r="AE56" s="1189"/>
      <c r="AF56" s="1189"/>
      <c r="AG56" s="1189"/>
      <c r="AH56" s="1189"/>
      <c r="AI56" s="1189"/>
      <c r="AJ56" s="1189"/>
      <c r="AK56" s="1189"/>
      <c r="AL56" s="1189"/>
      <c r="AM56" s="1189"/>
      <c r="AN56" s="1189"/>
      <c r="AO56" s="1189"/>
      <c r="AP56" s="1189"/>
      <c r="AQ56" s="1189"/>
      <c r="AR56" s="1189"/>
      <c r="AS56" s="1189"/>
      <c r="AT56" s="1189"/>
      <c r="AU56" s="1189"/>
      <c r="AV56" s="1189"/>
      <c r="AW56" s="1189"/>
      <c r="AX56" s="1189"/>
      <c r="AY56" s="1189"/>
      <c r="AZ56" s="1189"/>
      <c r="BA56" s="1189"/>
      <c r="BB56" s="1189"/>
      <c r="BC56" s="1189"/>
      <c r="BD56" s="1189"/>
      <c r="BE56" s="1189"/>
      <c r="BF56" s="1189"/>
      <c r="BG56" s="1189"/>
      <c r="BH56" s="40"/>
      <c r="BI56" s="1183" t="s">
        <v>121</v>
      </c>
      <c r="BJ56" s="1184"/>
      <c r="BK56" s="1184"/>
      <c r="BL56" s="1184"/>
      <c r="BM56" s="1184"/>
      <c r="BN56" s="1184"/>
      <c r="BO56" s="1184"/>
      <c r="BP56" s="1184"/>
      <c r="BQ56" s="1184"/>
      <c r="BR56" s="1184"/>
      <c r="BS56" s="1185"/>
      <c r="BT56" s="1282"/>
      <c r="BU56" s="1052">
        <v>267108</v>
      </c>
      <c r="BV56" s="1052">
        <v>249163</v>
      </c>
      <c r="BW56" s="1190">
        <f>'5. подк.неподк.план'!Y247</f>
        <v>305659.3041537251</v>
      </c>
      <c r="BX56" s="1191"/>
      <c r="BY56" s="1191"/>
      <c r="BZ56" s="1191"/>
      <c r="CA56" s="1191"/>
      <c r="CB56" s="1191"/>
      <c r="CC56" s="1191"/>
      <c r="CD56" s="1191"/>
      <c r="CE56" s="1191"/>
      <c r="CF56" s="1192"/>
      <c r="CG56" s="1190">
        <f>'1.6'!BT43</f>
        <v>275720</v>
      </c>
      <c r="CH56" s="1191"/>
      <c r="CI56" s="1191"/>
      <c r="CJ56" s="1191"/>
      <c r="CK56" s="1191"/>
      <c r="CL56" s="1191"/>
      <c r="CM56" s="1191"/>
      <c r="CN56" s="1191"/>
      <c r="CO56" s="1191"/>
      <c r="CP56" s="1192"/>
      <c r="CQ56" s="1237"/>
      <c r="CR56" s="1238"/>
      <c r="CS56" s="1238"/>
      <c r="CT56" s="1238"/>
      <c r="CU56" s="1238"/>
      <c r="CV56" s="1238"/>
      <c r="CW56" s="1238"/>
      <c r="CX56" s="1238"/>
      <c r="CY56" s="1238"/>
      <c r="CZ56" s="1238"/>
      <c r="DA56" s="1238"/>
      <c r="DB56" s="1238"/>
      <c r="DC56" s="1238"/>
      <c r="DD56" s="1238"/>
      <c r="DE56" s="1238"/>
      <c r="DF56" s="1238"/>
      <c r="DG56" s="1239"/>
      <c r="DH56" s="1248"/>
      <c r="DI56" s="1057">
        <f t="shared" si="0"/>
        <v>-9.7949919229900928</v>
      </c>
      <c r="DJ56" s="418">
        <f>'1.6.'!BT43</f>
        <v>275720</v>
      </c>
    </row>
    <row r="57" spans="1:116" s="38" customFormat="1" ht="45" customHeight="1">
      <c r="A57" s="1148" t="s">
        <v>155</v>
      </c>
      <c r="B57" s="1149"/>
      <c r="C57" s="1149"/>
      <c r="D57" s="1149"/>
      <c r="E57" s="1149"/>
      <c r="F57" s="1149"/>
      <c r="G57" s="1149"/>
      <c r="H57" s="1149"/>
      <c r="I57" s="1150"/>
      <c r="J57" s="39"/>
      <c r="K57" s="1189" t="s">
        <v>1517</v>
      </c>
      <c r="L57" s="1189"/>
      <c r="M57" s="1189"/>
      <c r="N57" s="1189"/>
      <c r="O57" s="1189"/>
      <c r="P57" s="1189"/>
      <c r="Q57" s="1189"/>
      <c r="R57" s="1189"/>
      <c r="S57" s="1189"/>
      <c r="T57" s="1189"/>
      <c r="U57" s="1189"/>
      <c r="V57" s="1189"/>
      <c r="W57" s="1189"/>
      <c r="X57" s="1189"/>
      <c r="Y57" s="1189"/>
      <c r="Z57" s="1189"/>
      <c r="AA57" s="1189"/>
      <c r="AB57" s="1189"/>
      <c r="AC57" s="1189"/>
      <c r="AD57" s="1189"/>
      <c r="AE57" s="1189"/>
      <c r="AF57" s="1189"/>
      <c r="AG57" s="1189"/>
      <c r="AH57" s="1189"/>
      <c r="AI57" s="1189"/>
      <c r="AJ57" s="1189"/>
      <c r="AK57" s="1189"/>
      <c r="AL57" s="1189"/>
      <c r="AM57" s="1189"/>
      <c r="AN57" s="1189"/>
      <c r="AO57" s="1189"/>
      <c r="AP57" s="1189"/>
      <c r="AQ57" s="1189"/>
      <c r="AR57" s="1189"/>
      <c r="AS57" s="1189"/>
      <c r="AT57" s="1189"/>
      <c r="AU57" s="1189"/>
      <c r="AV57" s="1189"/>
      <c r="AW57" s="1189"/>
      <c r="AX57" s="1189"/>
      <c r="AY57" s="1189"/>
      <c r="AZ57" s="1189"/>
      <c r="BA57" s="1189"/>
      <c r="BB57" s="1189"/>
      <c r="BC57" s="1189"/>
      <c r="BD57" s="1189"/>
      <c r="BE57" s="1189"/>
      <c r="BF57" s="1189"/>
      <c r="BG57" s="1189"/>
      <c r="BH57" s="40"/>
      <c r="BI57" s="1183" t="s">
        <v>121</v>
      </c>
      <c r="BJ57" s="1184"/>
      <c r="BK57" s="1184"/>
      <c r="BL57" s="1184"/>
      <c r="BM57" s="1184"/>
      <c r="BN57" s="1184"/>
      <c r="BO57" s="1184"/>
      <c r="BP57" s="1184"/>
      <c r="BQ57" s="1184"/>
      <c r="BR57" s="1184"/>
      <c r="BS57" s="1185"/>
      <c r="BT57" s="48">
        <v>42449</v>
      </c>
      <c r="BU57" s="1052">
        <v>0</v>
      </c>
      <c r="BV57" s="1052">
        <v>0</v>
      </c>
      <c r="BW57" s="1186">
        <v>0</v>
      </c>
      <c r="BX57" s="1187"/>
      <c r="BY57" s="1187"/>
      <c r="BZ57" s="1187"/>
      <c r="CA57" s="1187"/>
      <c r="CB57" s="1187"/>
      <c r="CC57" s="1187"/>
      <c r="CD57" s="1187"/>
      <c r="CE57" s="1187"/>
      <c r="CF57" s="1188"/>
      <c r="CG57" s="1183">
        <v>0</v>
      </c>
      <c r="CH57" s="1184"/>
      <c r="CI57" s="1184"/>
      <c r="CJ57" s="1184"/>
      <c r="CK57" s="1184"/>
      <c r="CL57" s="1184"/>
      <c r="CM57" s="1184"/>
      <c r="CN57" s="1184"/>
      <c r="CO57" s="1184"/>
      <c r="CP57" s="1185"/>
      <c r="CQ57" s="1237"/>
      <c r="CR57" s="1238"/>
      <c r="CS57" s="1238"/>
      <c r="CT57" s="1238"/>
      <c r="CU57" s="1238"/>
      <c r="CV57" s="1238"/>
      <c r="CW57" s="1238"/>
      <c r="CX57" s="1238"/>
      <c r="CY57" s="1238"/>
      <c r="CZ57" s="1238"/>
      <c r="DA57" s="1238"/>
      <c r="DB57" s="1238"/>
      <c r="DC57" s="1238"/>
      <c r="DD57" s="1238"/>
      <c r="DE57" s="1238"/>
      <c r="DF57" s="1238"/>
      <c r="DG57" s="1239"/>
      <c r="DH57" s="42" t="s">
        <v>156</v>
      </c>
      <c r="DI57" s="1057" t="e">
        <f t="shared" si="0"/>
        <v>#DIV/0!</v>
      </c>
    </row>
    <row r="58" spans="1:116" s="38" customFormat="1" ht="88.95" customHeight="1">
      <c r="A58" s="1148" t="s">
        <v>157</v>
      </c>
      <c r="B58" s="1149"/>
      <c r="C58" s="1149"/>
      <c r="D58" s="1149"/>
      <c r="E58" s="1149"/>
      <c r="F58" s="1149"/>
      <c r="G58" s="1149"/>
      <c r="H58" s="1149"/>
      <c r="I58" s="1150"/>
      <c r="J58" s="39"/>
      <c r="K58" s="1189" t="s">
        <v>67</v>
      </c>
      <c r="L58" s="1189"/>
      <c r="M58" s="1189"/>
      <c r="N58" s="1189"/>
      <c r="O58" s="1189"/>
      <c r="P58" s="1189"/>
      <c r="Q58" s="1189"/>
      <c r="R58" s="1189"/>
      <c r="S58" s="1189"/>
      <c r="T58" s="1189"/>
      <c r="U58" s="1189"/>
      <c r="V58" s="1189"/>
      <c r="W58" s="1189"/>
      <c r="X58" s="1189"/>
      <c r="Y58" s="1189"/>
      <c r="Z58" s="1189"/>
      <c r="AA58" s="1189"/>
      <c r="AB58" s="1189"/>
      <c r="AC58" s="1189"/>
      <c r="AD58" s="1189"/>
      <c r="AE58" s="1189"/>
      <c r="AF58" s="1189"/>
      <c r="AG58" s="1189"/>
      <c r="AH58" s="1189"/>
      <c r="AI58" s="1189"/>
      <c r="AJ58" s="1189"/>
      <c r="AK58" s="1189"/>
      <c r="AL58" s="1189"/>
      <c r="AM58" s="1189"/>
      <c r="AN58" s="1189"/>
      <c r="AO58" s="1189"/>
      <c r="AP58" s="1189"/>
      <c r="AQ58" s="1189"/>
      <c r="AR58" s="1189"/>
      <c r="AS58" s="1189"/>
      <c r="AT58" s="1189"/>
      <c r="AU58" s="1189"/>
      <c r="AV58" s="1189"/>
      <c r="AW58" s="1189"/>
      <c r="AX58" s="1189"/>
      <c r="AY58" s="1189"/>
      <c r="AZ58" s="1189"/>
      <c r="BA58" s="1189"/>
      <c r="BB58" s="1189"/>
      <c r="BC58" s="1189"/>
      <c r="BD58" s="1189"/>
      <c r="BE58" s="1189"/>
      <c r="BF58" s="1189"/>
      <c r="BG58" s="1189"/>
      <c r="BH58" s="40"/>
      <c r="BI58" s="1183" t="s">
        <v>121</v>
      </c>
      <c r="BJ58" s="1184"/>
      <c r="BK58" s="1184"/>
      <c r="BL58" s="1184"/>
      <c r="BM58" s="1184"/>
      <c r="BN58" s="1184"/>
      <c r="BO58" s="1184"/>
      <c r="BP58" s="1184"/>
      <c r="BQ58" s="1184"/>
      <c r="BR58" s="1184"/>
      <c r="BS58" s="1185"/>
      <c r="BT58" s="1234">
        <v>42460</v>
      </c>
      <c r="BU58" s="1052">
        <v>206057</v>
      </c>
      <c r="BV58" s="1052">
        <v>320542</v>
      </c>
      <c r="BW58" s="1190">
        <f>'5. подк.неподк.план'!Y248</f>
        <v>297196.02</v>
      </c>
      <c r="BX58" s="1191"/>
      <c r="BY58" s="1191"/>
      <c r="BZ58" s="1191"/>
      <c r="CA58" s="1191"/>
      <c r="CB58" s="1191"/>
      <c r="CC58" s="1191"/>
      <c r="CD58" s="1191"/>
      <c r="CE58" s="1191"/>
      <c r="CF58" s="1192"/>
      <c r="CG58" s="1190">
        <f>'1.6'!BT44</f>
        <v>360095</v>
      </c>
      <c r="CH58" s="1191"/>
      <c r="CI58" s="1191"/>
      <c r="CJ58" s="1191"/>
      <c r="CK58" s="1191"/>
      <c r="CL58" s="1191"/>
      <c r="CM58" s="1191"/>
      <c r="CN58" s="1191"/>
      <c r="CO58" s="1191"/>
      <c r="CP58" s="1192"/>
      <c r="CQ58" s="1250" t="s">
        <v>2197</v>
      </c>
      <c r="CR58" s="1251"/>
      <c r="CS58" s="1251"/>
      <c r="CT58" s="1251"/>
      <c r="CU58" s="1251"/>
      <c r="CV58" s="1251"/>
      <c r="CW58" s="1251"/>
      <c r="CX58" s="1251"/>
      <c r="CY58" s="1251"/>
      <c r="CZ58" s="1251"/>
      <c r="DA58" s="1251"/>
      <c r="DB58" s="1251"/>
      <c r="DC58" s="1251"/>
      <c r="DD58" s="1251"/>
      <c r="DE58" s="1251"/>
      <c r="DF58" s="1251"/>
      <c r="DG58" s="1252"/>
      <c r="DH58" s="1247" t="s">
        <v>122</v>
      </c>
      <c r="DI58" s="1057">
        <f t="shared" si="0"/>
        <v>21.16413941209575</v>
      </c>
      <c r="DJ58" s="418">
        <f>'1.6.'!BT44</f>
        <v>360095</v>
      </c>
    </row>
    <row r="59" spans="1:116" s="38" customFormat="1" ht="15" customHeight="1">
      <c r="A59" s="1148" t="s">
        <v>158</v>
      </c>
      <c r="B59" s="1149"/>
      <c r="C59" s="1149"/>
      <c r="D59" s="1149"/>
      <c r="E59" s="1149"/>
      <c r="F59" s="1149"/>
      <c r="G59" s="1149"/>
      <c r="H59" s="1149"/>
      <c r="I59" s="1150"/>
      <c r="J59" s="39"/>
      <c r="K59" s="1189" t="s">
        <v>159</v>
      </c>
      <c r="L59" s="1189"/>
      <c r="M59" s="1189"/>
      <c r="N59" s="1189"/>
      <c r="O59" s="1189"/>
      <c r="P59" s="1189"/>
      <c r="Q59" s="1189"/>
      <c r="R59" s="1189"/>
      <c r="S59" s="1189"/>
      <c r="T59" s="1189"/>
      <c r="U59" s="1189"/>
      <c r="V59" s="1189"/>
      <c r="W59" s="1189"/>
      <c r="X59" s="1189"/>
      <c r="Y59" s="1189"/>
      <c r="Z59" s="1189"/>
      <c r="AA59" s="1189"/>
      <c r="AB59" s="1189"/>
      <c r="AC59" s="1189"/>
      <c r="AD59" s="1189"/>
      <c r="AE59" s="1189"/>
      <c r="AF59" s="1189"/>
      <c r="AG59" s="1189"/>
      <c r="AH59" s="1189"/>
      <c r="AI59" s="1189"/>
      <c r="AJ59" s="1189"/>
      <c r="AK59" s="1189"/>
      <c r="AL59" s="1189"/>
      <c r="AM59" s="1189"/>
      <c r="AN59" s="1189"/>
      <c r="AO59" s="1189"/>
      <c r="AP59" s="1189"/>
      <c r="AQ59" s="1189"/>
      <c r="AR59" s="1189"/>
      <c r="AS59" s="1189"/>
      <c r="AT59" s="1189"/>
      <c r="AU59" s="1189"/>
      <c r="AV59" s="1189"/>
      <c r="AW59" s="1189"/>
      <c r="AX59" s="1189"/>
      <c r="AY59" s="1189"/>
      <c r="AZ59" s="1189"/>
      <c r="BA59" s="1189"/>
      <c r="BB59" s="1189"/>
      <c r="BC59" s="1189"/>
      <c r="BD59" s="1189"/>
      <c r="BE59" s="1189"/>
      <c r="BF59" s="1189"/>
      <c r="BG59" s="1189"/>
      <c r="BH59" s="40"/>
      <c r="BI59" s="1183" t="s">
        <v>121</v>
      </c>
      <c r="BJ59" s="1184"/>
      <c r="BK59" s="1184"/>
      <c r="BL59" s="1184"/>
      <c r="BM59" s="1184"/>
      <c r="BN59" s="1184"/>
      <c r="BO59" s="1184"/>
      <c r="BP59" s="1184"/>
      <c r="BQ59" s="1184"/>
      <c r="BR59" s="1184"/>
      <c r="BS59" s="1185"/>
      <c r="BT59" s="1281"/>
      <c r="BU59" s="1052">
        <v>64197</v>
      </c>
      <c r="BV59" s="1052">
        <v>101737</v>
      </c>
      <c r="BW59" s="1190">
        <f>'5. подк.неподк.план'!Y276</f>
        <v>336598.63571940805</v>
      </c>
      <c r="BX59" s="1191"/>
      <c r="BY59" s="1191"/>
      <c r="BZ59" s="1191"/>
      <c r="CA59" s="1191"/>
      <c r="CB59" s="1191"/>
      <c r="CC59" s="1191"/>
      <c r="CD59" s="1191"/>
      <c r="CE59" s="1191"/>
      <c r="CF59" s="1192"/>
      <c r="CG59" s="1190">
        <f>'1.3'!CF38</f>
        <v>-135768</v>
      </c>
      <c r="CH59" s="1191"/>
      <c r="CI59" s="1191"/>
      <c r="CJ59" s="1191"/>
      <c r="CK59" s="1191"/>
      <c r="CL59" s="1191"/>
      <c r="CM59" s="1191"/>
      <c r="CN59" s="1191"/>
      <c r="CO59" s="1191"/>
      <c r="CP59" s="1192"/>
      <c r="CQ59" s="1237"/>
      <c r="CR59" s="1238"/>
      <c r="CS59" s="1238"/>
      <c r="CT59" s="1238"/>
      <c r="CU59" s="1238"/>
      <c r="CV59" s="1238"/>
      <c r="CW59" s="1238"/>
      <c r="CX59" s="1238"/>
      <c r="CY59" s="1238"/>
      <c r="CZ59" s="1238"/>
      <c r="DA59" s="1238"/>
      <c r="DB59" s="1238"/>
      <c r="DC59" s="1238"/>
      <c r="DD59" s="1238"/>
      <c r="DE59" s="1238"/>
      <c r="DF59" s="1238"/>
      <c r="DG59" s="1239"/>
      <c r="DH59" s="1249"/>
      <c r="DI59" s="1057">
        <f t="shared" si="0"/>
        <v>-140.335279348303</v>
      </c>
      <c r="DJ59" s="418">
        <f>'1.3'!CF38</f>
        <v>-135768</v>
      </c>
    </row>
    <row r="60" spans="1:116" s="38" customFormat="1" ht="61.95" customHeight="1">
      <c r="A60" s="1148" t="s">
        <v>160</v>
      </c>
      <c r="B60" s="1149"/>
      <c r="C60" s="1149"/>
      <c r="D60" s="1149"/>
      <c r="E60" s="1149"/>
      <c r="F60" s="1149"/>
      <c r="G60" s="1149"/>
      <c r="H60" s="1149"/>
      <c r="I60" s="1150"/>
      <c r="J60" s="39"/>
      <c r="K60" s="1189" t="s">
        <v>66</v>
      </c>
      <c r="L60" s="1189"/>
      <c r="M60" s="1189"/>
      <c r="N60" s="1189"/>
      <c r="O60" s="1189"/>
      <c r="P60" s="1189"/>
      <c r="Q60" s="1189"/>
      <c r="R60" s="1189"/>
      <c r="S60" s="1189"/>
      <c r="T60" s="1189"/>
      <c r="U60" s="1189"/>
      <c r="V60" s="1189"/>
      <c r="W60" s="1189"/>
      <c r="X60" s="1189"/>
      <c r="Y60" s="1189"/>
      <c r="Z60" s="1189"/>
      <c r="AA60" s="1189"/>
      <c r="AB60" s="1189"/>
      <c r="AC60" s="1189"/>
      <c r="AD60" s="1189"/>
      <c r="AE60" s="1189"/>
      <c r="AF60" s="1189"/>
      <c r="AG60" s="1189"/>
      <c r="AH60" s="1189"/>
      <c r="AI60" s="1189"/>
      <c r="AJ60" s="1189"/>
      <c r="AK60" s="1189"/>
      <c r="AL60" s="1189"/>
      <c r="AM60" s="1189"/>
      <c r="AN60" s="1189"/>
      <c r="AO60" s="1189"/>
      <c r="AP60" s="1189"/>
      <c r="AQ60" s="1189"/>
      <c r="AR60" s="1189"/>
      <c r="AS60" s="1189"/>
      <c r="AT60" s="1189"/>
      <c r="AU60" s="1189"/>
      <c r="AV60" s="1189"/>
      <c r="AW60" s="1189"/>
      <c r="AX60" s="1189"/>
      <c r="AY60" s="1189"/>
      <c r="AZ60" s="1189"/>
      <c r="BA60" s="1189"/>
      <c r="BB60" s="1189"/>
      <c r="BC60" s="1189"/>
      <c r="BD60" s="1189"/>
      <c r="BE60" s="1189"/>
      <c r="BF60" s="1189"/>
      <c r="BG60" s="1189"/>
      <c r="BH60" s="40"/>
      <c r="BI60" s="1183" t="s">
        <v>121</v>
      </c>
      <c r="BJ60" s="1184"/>
      <c r="BK60" s="1184"/>
      <c r="BL60" s="1184"/>
      <c r="BM60" s="1184"/>
      <c r="BN60" s="1184"/>
      <c r="BO60" s="1184"/>
      <c r="BP60" s="1184"/>
      <c r="BQ60" s="1184"/>
      <c r="BR60" s="1184"/>
      <c r="BS60" s="1185"/>
      <c r="BT60" s="1281"/>
      <c r="BU60" s="1052">
        <v>33181</v>
      </c>
      <c r="BV60" s="1052">
        <v>-33146</v>
      </c>
      <c r="BW60" s="1190">
        <f>'5. подк.неподк.план'!Y267</f>
        <v>94894.848929852014</v>
      </c>
      <c r="BX60" s="1191"/>
      <c r="BY60" s="1191"/>
      <c r="BZ60" s="1191"/>
      <c r="CA60" s="1191"/>
      <c r="CB60" s="1191"/>
      <c r="CC60" s="1191"/>
      <c r="CD60" s="1191"/>
      <c r="CE60" s="1191"/>
      <c r="CF60" s="1192"/>
      <c r="CG60" s="1190">
        <f>'1.3'!CF37</f>
        <v>74496</v>
      </c>
      <c r="CH60" s="1191"/>
      <c r="CI60" s="1191"/>
      <c r="CJ60" s="1191"/>
      <c r="CK60" s="1191"/>
      <c r="CL60" s="1191"/>
      <c r="CM60" s="1191"/>
      <c r="CN60" s="1191"/>
      <c r="CO60" s="1191"/>
      <c r="CP60" s="1192"/>
      <c r="CQ60" s="1253" t="s">
        <v>2206</v>
      </c>
      <c r="CR60" s="1254"/>
      <c r="CS60" s="1254"/>
      <c r="CT60" s="1254"/>
      <c r="CU60" s="1254"/>
      <c r="CV60" s="1254"/>
      <c r="CW60" s="1254"/>
      <c r="CX60" s="1254"/>
      <c r="CY60" s="1254"/>
      <c r="CZ60" s="1254"/>
      <c r="DA60" s="1254"/>
      <c r="DB60" s="1254"/>
      <c r="DC60" s="1254"/>
      <c r="DD60" s="1254"/>
      <c r="DE60" s="1254"/>
      <c r="DF60" s="1254"/>
      <c r="DG60" s="1255"/>
      <c r="DH60" s="1249"/>
      <c r="DI60" s="1057">
        <f t="shared" si="0"/>
        <v>-21.496265771950604</v>
      </c>
      <c r="DJ60" s="418">
        <f>'1.6.'!BT57</f>
        <v>74496</v>
      </c>
    </row>
    <row r="61" spans="1:116" s="38" customFormat="1" ht="15" customHeight="1">
      <c r="A61" s="1148" t="s">
        <v>161</v>
      </c>
      <c r="B61" s="1149"/>
      <c r="C61" s="1149"/>
      <c r="D61" s="1149"/>
      <c r="E61" s="1149"/>
      <c r="F61" s="1149"/>
      <c r="G61" s="1149"/>
      <c r="H61" s="1149"/>
      <c r="I61" s="1150"/>
      <c r="J61" s="39"/>
      <c r="K61" s="1189" t="s">
        <v>162</v>
      </c>
      <c r="L61" s="1189"/>
      <c r="M61" s="1189"/>
      <c r="N61" s="1189"/>
      <c r="O61" s="1189"/>
      <c r="P61" s="1189"/>
      <c r="Q61" s="1189"/>
      <c r="R61" s="1189"/>
      <c r="S61" s="1189"/>
      <c r="T61" s="1189"/>
      <c r="U61" s="1189"/>
      <c r="V61" s="1189"/>
      <c r="W61" s="1189"/>
      <c r="X61" s="1189"/>
      <c r="Y61" s="1189"/>
      <c r="Z61" s="1189"/>
      <c r="AA61" s="1189"/>
      <c r="AB61" s="1189"/>
      <c r="AC61" s="1189"/>
      <c r="AD61" s="1189"/>
      <c r="AE61" s="1189"/>
      <c r="AF61" s="1189"/>
      <c r="AG61" s="1189"/>
      <c r="AH61" s="1189"/>
      <c r="AI61" s="1189"/>
      <c r="AJ61" s="1189"/>
      <c r="AK61" s="1189"/>
      <c r="AL61" s="1189"/>
      <c r="AM61" s="1189"/>
      <c r="AN61" s="1189"/>
      <c r="AO61" s="1189"/>
      <c r="AP61" s="1189"/>
      <c r="AQ61" s="1189"/>
      <c r="AR61" s="1189"/>
      <c r="AS61" s="1189"/>
      <c r="AT61" s="1189"/>
      <c r="AU61" s="1189"/>
      <c r="AV61" s="1189"/>
      <c r="AW61" s="1189"/>
      <c r="AX61" s="1189"/>
      <c r="AY61" s="1189"/>
      <c r="AZ61" s="1189"/>
      <c r="BA61" s="1189"/>
      <c r="BB61" s="1189"/>
      <c r="BC61" s="1189"/>
      <c r="BD61" s="1189"/>
      <c r="BE61" s="1189"/>
      <c r="BF61" s="1189"/>
      <c r="BG61" s="1189"/>
      <c r="BH61" s="40"/>
      <c r="BI61" s="1183" t="s">
        <v>121</v>
      </c>
      <c r="BJ61" s="1184"/>
      <c r="BK61" s="1184"/>
      <c r="BL61" s="1184"/>
      <c r="BM61" s="1184"/>
      <c r="BN61" s="1184"/>
      <c r="BO61" s="1184"/>
      <c r="BP61" s="1184"/>
      <c r="BQ61" s="1184"/>
      <c r="BR61" s="1184"/>
      <c r="BS61" s="1185"/>
      <c r="BT61" s="1282"/>
      <c r="BU61" s="1052">
        <v>23000</v>
      </c>
      <c r="BV61" s="1052">
        <v>38018</v>
      </c>
      <c r="BW61" s="1190">
        <f>'5. подк.неподк.план'!Y262</f>
        <v>49202.400000000001</v>
      </c>
      <c r="BX61" s="1191"/>
      <c r="BY61" s="1191"/>
      <c r="BZ61" s="1191"/>
      <c r="CA61" s="1191"/>
      <c r="CB61" s="1191"/>
      <c r="CC61" s="1191"/>
      <c r="CD61" s="1191"/>
      <c r="CE61" s="1191"/>
      <c r="CF61" s="1192"/>
      <c r="CG61" s="1190">
        <f>'1.6'!BT48</f>
        <v>45207</v>
      </c>
      <c r="CH61" s="1191"/>
      <c r="CI61" s="1191"/>
      <c r="CJ61" s="1191"/>
      <c r="CK61" s="1191"/>
      <c r="CL61" s="1191"/>
      <c r="CM61" s="1191"/>
      <c r="CN61" s="1191"/>
      <c r="CO61" s="1191"/>
      <c r="CP61" s="1192"/>
      <c r="CQ61" s="1237"/>
      <c r="CR61" s="1238"/>
      <c r="CS61" s="1238"/>
      <c r="CT61" s="1238"/>
      <c r="CU61" s="1238"/>
      <c r="CV61" s="1238"/>
      <c r="CW61" s="1238"/>
      <c r="CX61" s="1238"/>
      <c r="CY61" s="1238"/>
      <c r="CZ61" s="1238"/>
      <c r="DA61" s="1238"/>
      <c r="DB61" s="1238"/>
      <c r="DC61" s="1238"/>
      <c r="DD61" s="1238"/>
      <c r="DE61" s="1238"/>
      <c r="DF61" s="1238"/>
      <c r="DG61" s="1239"/>
      <c r="DH61" s="1248"/>
      <c r="DI61" s="1057">
        <f t="shared" si="0"/>
        <v>-8.1203355933856898</v>
      </c>
    </row>
    <row r="62" spans="1:116" s="38" customFormat="1" ht="72.75" customHeight="1">
      <c r="A62" s="1148" t="s">
        <v>163</v>
      </c>
      <c r="B62" s="1149"/>
      <c r="C62" s="1149"/>
      <c r="D62" s="1149"/>
      <c r="E62" s="1149"/>
      <c r="F62" s="1149"/>
      <c r="G62" s="1149"/>
      <c r="H62" s="1149"/>
      <c r="I62" s="1150"/>
      <c r="J62" s="39"/>
      <c r="K62" s="1240" t="s">
        <v>164</v>
      </c>
      <c r="L62" s="1240"/>
      <c r="M62" s="1240"/>
      <c r="N62" s="1240"/>
      <c r="O62" s="1240"/>
      <c r="P62" s="1240"/>
      <c r="Q62" s="1240"/>
      <c r="R62" s="1240"/>
      <c r="S62" s="1240"/>
      <c r="T62" s="1240"/>
      <c r="U62" s="1240"/>
      <c r="V62" s="1240"/>
      <c r="W62" s="1240"/>
      <c r="X62" s="1240"/>
      <c r="Y62" s="1240"/>
      <c r="Z62" s="1240"/>
      <c r="AA62" s="1240"/>
      <c r="AB62" s="1240"/>
      <c r="AC62" s="1240"/>
      <c r="AD62" s="1240"/>
      <c r="AE62" s="1240"/>
      <c r="AF62" s="1240"/>
      <c r="AG62" s="1240"/>
      <c r="AH62" s="1240"/>
      <c r="AI62" s="1240"/>
      <c r="AJ62" s="1240"/>
      <c r="AK62" s="1240"/>
      <c r="AL62" s="1240"/>
      <c r="AM62" s="1240"/>
      <c r="AN62" s="1240"/>
      <c r="AO62" s="1240"/>
      <c r="AP62" s="1240"/>
      <c r="AQ62" s="1240"/>
      <c r="AR62" s="1240"/>
      <c r="AS62" s="1240"/>
      <c r="AT62" s="1240"/>
      <c r="AU62" s="1240"/>
      <c r="AV62" s="1240"/>
      <c r="AW62" s="1240"/>
      <c r="AX62" s="1240"/>
      <c r="AY62" s="1240"/>
      <c r="AZ62" s="1240"/>
      <c r="BA62" s="1240"/>
      <c r="BB62" s="1240"/>
      <c r="BC62" s="1240"/>
      <c r="BD62" s="1240"/>
      <c r="BE62" s="1240"/>
      <c r="BF62" s="1240"/>
      <c r="BG62" s="1240"/>
      <c r="BH62" s="40"/>
      <c r="BI62" s="1183" t="s">
        <v>121</v>
      </c>
      <c r="BJ62" s="1184"/>
      <c r="BK62" s="1184"/>
      <c r="BL62" s="1184"/>
      <c r="BM62" s="1184"/>
      <c r="BN62" s="1184"/>
      <c r="BO62" s="1184"/>
      <c r="BP62" s="1184"/>
      <c r="BQ62" s="1184"/>
      <c r="BR62" s="1184"/>
      <c r="BS62" s="1185"/>
      <c r="BT62" s="48">
        <v>42449</v>
      </c>
      <c r="BU62" s="1059">
        <v>24407.49</v>
      </c>
      <c r="BV62" s="1059">
        <v>24240.62</v>
      </c>
      <c r="BW62" s="1259">
        <v>27481.044000000002</v>
      </c>
      <c r="BX62" s="1260"/>
      <c r="BY62" s="1260"/>
      <c r="BZ62" s="1260"/>
      <c r="CA62" s="1260"/>
      <c r="CB62" s="1260"/>
      <c r="CC62" s="1260"/>
      <c r="CD62" s="1260"/>
      <c r="CE62" s="1260"/>
      <c r="CF62" s="1261"/>
      <c r="CG62" s="1262">
        <v>11797.27</v>
      </c>
      <c r="CH62" s="1263"/>
      <c r="CI62" s="1263"/>
      <c r="CJ62" s="1263"/>
      <c r="CK62" s="1263"/>
      <c r="CL62" s="1263"/>
      <c r="CM62" s="1263"/>
      <c r="CN62" s="1263"/>
      <c r="CO62" s="1263"/>
      <c r="CP62" s="1264"/>
      <c r="CQ62" s="1170" t="s">
        <v>2204</v>
      </c>
      <c r="CR62" s="1171"/>
      <c r="CS62" s="1171"/>
      <c r="CT62" s="1171"/>
      <c r="CU62" s="1171"/>
      <c r="CV62" s="1171"/>
      <c r="CW62" s="1171"/>
      <c r="CX62" s="1171"/>
      <c r="CY62" s="1171"/>
      <c r="CZ62" s="1171"/>
      <c r="DA62" s="1171"/>
      <c r="DB62" s="1171"/>
      <c r="DC62" s="1171"/>
      <c r="DD62" s="1171"/>
      <c r="DE62" s="1171"/>
      <c r="DF62" s="1171"/>
      <c r="DG62" s="1172"/>
      <c r="DH62" s="42" t="s">
        <v>165</v>
      </c>
      <c r="DI62" s="1057">
        <f t="shared" si="0"/>
        <v>-57.071245182679377</v>
      </c>
    </row>
    <row r="63" spans="1:116" s="38" customFormat="1" ht="48" customHeight="1">
      <c r="A63" s="1148" t="s">
        <v>166</v>
      </c>
      <c r="B63" s="1149"/>
      <c r="C63" s="1149"/>
      <c r="D63" s="1149"/>
      <c r="E63" s="1149"/>
      <c r="F63" s="1149"/>
      <c r="G63" s="1149"/>
      <c r="H63" s="1149"/>
      <c r="I63" s="1150"/>
      <c r="J63" s="39"/>
      <c r="K63" s="1240" t="s">
        <v>167</v>
      </c>
      <c r="L63" s="1240"/>
      <c r="M63" s="1240"/>
      <c r="N63" s="1240"/>
      <c r="O63" s="1240"/>
      <c r="P63" s="1240"/>
      <c r="Q63" s="1240"/>
      <c r="R63" s="1240"/>
      <c r="S63" s="1240"/>
      <c r="T63" s="1240"/>
      <c r="U63" s="1240"/>
      <c r="V63" s="1240"/>
      <c r="W63" s="1240"/>
      <c r="X63" s="1240"/>
      <c r="Y63" s="1240"/>
      <c r="Z63" s="1240"/>
      <c r="AA63" s="1240"/>
      <c r="AB63" s="1240"/>
      <c r="AC63" s="1240"/>
      <c r="AD63" s="1240"/>
      <c r="AE63" s="1240"/>
      <c r="AF63" s="1240"/>
      <c r="AG63" s="1240"/>
      <c r="AH63" s="1240"/>
      <c r="AI63" s="1240"/>
      <c r="AJ63" s="1240"/>
      <c r="AK63" s="1240"/>
      <c r="AL63" s="1240"/>
      <c r="AM63" s="1240"/>
      <c r="AN63" s="1240"/>
      <c r="AO63" s="1240"/>
      <c r="AP63" s="1240"/>
      <c r="AQ63" s="1240"/>
      <c r="AR63" s="1240"/>
      <c r="AS63" s="1240"/>
      <c r="AT63" s="1240"/>
      <c r="AU63" s="1240"/>
      <c r="AV63" s="1240"/>
      <c r="AW63" s="1240"/>
      <c r="AX63" s="1240"/>
      <c r="AY63" s="1240"/>
      <c r="AZ63" s="1240"/>
      <c r="BA63" s="1240"/>
      <c r="BB63" s="1240"/>
      <c r="BC63" s="1240"/>
      <c r="BD63" s="1240"/>
      <c r="BE63" s="1240"/>
      <c r="BF63" s="1240"/>
      <c r="BG63" s="1240"/>
      <c r="BH63" s="40"/>
      <c r="BI63" s="1183" t="s">
        <v>168</v>
      </c>
      <c r="BJ63" s="1184"/>
      <c r="BK63" s="1184"/>
      <c r="BL63" s="1184"/>
      <c r="BM63" s="1184"/>
      <c r="BN63" s="1184"/>
      <c r="BO63" s="1184"/>
      <c r="BP63" s="1184"/>
      <c r="BQ63" s="1184"/>
      <c r="BR63" s="1184"/>
      <c r="BS63" s="1185"/>
      <c r="BT63" s="48">
        <v>42449</v>
      </c>
      <c r="BU63" s="1059">
        <v>15381</v>
      </c>
      <c r="BV63" s="1059">
        <v>12385</v>
      </c>
      <c r="BW63" s="1259">
        <v>17760</v>
      </c>
      <c r="BX63" s="1260"/>
      <c r="BY63" s="1260"/>
      <c r="BZ63" s="1260"/>
      <c r="CA63" s="1260"/>
      <c r="CB63" s="1260"/>
      <c r="CC63" s="1260"/>
      <c r="CD63" s="1260"/>
      <c r="CE63" s="1260"/>
      <c r="CF63" s="1261"/>
      <c r="CG63" s="1262">
        <v>6436</v>
      </c>
      <c r="CH63" s="1263"/>
      <c r="CI63" s="1263"/>
      <c r="CJ63" s="1263"/>
      <c r="CK63" s="1263"/>
      <c r="CL63" s="1263"/>
      <c r="CM63" s="1263"/>
      <c r="CN63" s="1263"/>
      <c r="CO63" s="1263"/>
      <c r="CP63" s="1264"/>
      <c r="CQ63" s="1173"/>
      <c r="CR63" s="1174"/>
      <c r="CS63" s="1174"/>
      <c r="CT63" s="1174"/>
      <c r="CU63" s="1174"/>
      <c r="CV63" s="1174"/>
      <c r="CW63" s="1174"/>
      <c r="CX63" s="1174"/>
      <c r="CY63" s="1174"/>
      <c r="CZ63" s="1174"/>
      <c r="DA63" s="1174"/>
      <c r="DB63" s="1174"/>
      <c r="DC63" s="1174"/>
      <c r="DD63" s="1174"/>
      <c r="DE63" s="1174"/>
      <c r="DF63" s="1174"/>
      <c r="DG63" s="1175"/>
      <c r="DH63" s="42" t="s">
        <v>152</v>
      </c>
      <c r="DI63" s="1057">
        <f t="shared" si="0"/>
        <v>-63.761261261261261</v>
      </c>
    </row>
    <row r="64" spans="1:116" s="38" customFormat="1" ht="111.75" customHeight="1">
      <c r="A64" s="1148" t="s">
        <v>169</v>
      </c>
      <c r="B64" s="1149"/>
      <c r="C64" s="1149"/>
      <c r="D64" s="1149"/>
      <c r="E64" s="1149"/>
      <c r="F64" s="1149"/>
      <c r="G64" s="1149"/>
      <c r="H64" s="1149"/>
      <c r="I64" s="1150"/>
      <c r="J64" s="39"/>
      <c r="K64" s="1189" t="s">
        <v>170</v>
      </c>
      <c r="L64" s="1189"/>
      <c r="M64" s="1189"/>
      <c r="N64" s="1189"/>
      <c r="O64" s="1189"/>
      <c r="P64" s="1189"/>
      <c r="Q64" s="1189"/>
      <c r="R64" s="1189"/>
      <c r="S64" s="1189"/>
      <c r="T64" s="1189"/>
      <c r="U64" s="1189"/>
      <c r="V64" s="1189"/>
      <c r="W64" s="1189"/>
      <c r="X64" s="1189"/>
      <c r="Y64" s="1189"/>
      <c r="Z64" s="1189"/>
      <c r="AA64" s="1189"/>
      <c r="AB64" s="1189"/>
      <c r="AC64" s="1189"/>
      <c r="AD64" s="1189"/>
      <c r="AE64" s="1189"/>
      <c r="AF64" s="1189"/>
      <c r="AG64" s="1189"/>
      <c r="AH64" s="1189"/>
      <c r="AI64" s="1189"/>
      <c r="AJ64" s="1189"/>
      <c r="AK64" s="1189"/>
      <c r="AL64" s="1189"/>
      <c r="AM64" s="1189"/>
      <c r="AN64" s="1189"/>
      <c r="AO64" s="1189"/>
      <c r="AP64" s="1189"/>
      <c r="AQ64" s="1189"/>
      <c r="AR64" s="1189"/>
      <c r="AS64" s="1189"/>
      <c r="AT64" s="1189"/>
      <c r="AU64" s="1189"/>
      <c r="AV64" s="1189"/>
      <c r="AW64" s="1189"/>
      <c r="AX64" s="1189"/>
      <c r="AY64" s="1189"/>
      <c r="AZ64" s="1189"/>
      <c r="BA64" s="1189"/>
      <c r="BB64" s="1189"/>
      <c r="BC64" s="1189"/>
      <c r="BD64" s="1189"/>
      <c r="BE64" s="1189"/>
      <c r="BF64" s="1189"/>
      <c r="BG64" s="1189"/>
      <c r="BH64" s="40"/>
      <c r="BI64" s="1183" t="s">
        <v>121</v>
      </c>
      <c r="BJ64" s="1184"/>
      <c r="BK64" s="1184"/>
      <c r="BL64" s="1184"/>
      <c r="BM64" s="1184"/>
      <c r="BN64" s="1184"/>
      <c r="BO64" s="1184"/>
      <c r="BP64" s="1184"/>
      <c r="BQ64" s="1184"/>
      <c r="BR64" s="1184"/>
      <c r="BS64" s="1185"/>
      <c r="BT64" s="47"/>
      <c r="BU64" s="1052">
        <v>0</v>
      </c>
      <c r="BV64" s="1052">
        <v>0</v>
      </c>
      <c r="BW64" s="1183">
        <v>0</v>
      </c>
      <c r="BX64" s="1184"/>
      <c r="BY64" s="1184"/>
      <c r="BZ64" s="1184"/>
      <c r="CA64" s="1184"/>
      <c r="CB64" s="1184"/>
      <c r="CC64" s="1184"/>
      <c r="CD64" s="1184"/>
      <c r="CE64" s="1184"/>
      <c r="CF64" s="1185"/>
      <c r="CG64" s="1183">
        <v>0</v>
      </c>
      <c r="CH64" s="1184"/>
      <c r="CI64" s="1184"/>
      <c r="CJ64" s="1184"/>
      <c r="CK64" s="1184"/>
      <c r="CL64" s="1184"/>
      <c r="CM64" s="1184"/>
      <c r="CN64" s="1184"/>
      <c r="CO64" s="1184"/>
      <c r="CP64" s="1185"/>
      <c r="CQ64" s="1237"/>
      <c r="CR64" s="1238"/>
      <c r="CS64" s="1238"/>
      <c r="CT64" s="1238"/>
      <c r="CU64" s="1238"/>
      <c r="CV64" s="1238"/>
      <c r="CW64" s="1238"/>
      <c r="CX64" s="1238"/>
      <c r="CY64" s="1238"/>
      <c r="CZ64" s="1238"/>
      <c r="DA64" s="1238"/>
      <c r="DB64" s="1238"/>
      <c r="DC64" s="1238"/>
      <c r="DD64" s="1238"/>
      <c r="DE64" s="1238"/>
      <c r="DF64" s="1238"/>
      <c r="DG64" s="1239"/>
      <c r="DH64" s="41" t="s">
        <v>63</v>
      </c>
      <c r="DI64" s="1057" t="e">
        <f t="shared" si="0"/>
        <v>#DIV/0!</v>
      </c>
    </row>
    <row r="65" spans="1:113" s="38" customFormat="1" ht="30" customHeight="1">
      <c r="A65" s="1256" t="s">
        <v>171</v>
      </c>
      <c r="B65" s="1257"/>
      <c r="C65" s="1257"/>
      <c r="D65" s="1257"/>
      <c r="E65" s="1257"/>
      <c r="F65" s="1257"/>
      <c r="G65" s="1257"/>
      <c r="H65" s="1257"/>
      <c r="I65" s="1258"/>
      <c r="J65" s="1047"/>
      <c r="K65" s="1151" t="s">
        <v>172</v>
      </c>
      <c r="L65" s="1151"/>
      <c r="M65" s="1151"/>
      <c r="N65" s="1151"/>
      <c r="O65" s="1151"/>
      <c r="P65" s="1151"/>
      <c r="Q65" s="1151"/>
      <c r="R65" s="1151"/>
      <c r="S65" s="1151"/>
      <c r="T65" s="1151"/>
      <c r="U65" s="1151"/>
      <c r="V65" s="1151"/>
      <c r="W65" s="1151"/>
      <c r="X65" s="1151"/>
      <c r="Y65" s="1151"/>
      <c r="Z65" s="1151"/>
      <c r="AA65" s="1151"/>
      <c r="AB65" s="1151"/>
      <c r="AC65" s="1151"/>
      <c r="AD65" s="1151"/>
      <c r="AE65" s="1151"/>
      <c r="AF65" s="1151"/>
      <c r="AG65" s="1151"/>
      <c r="AH65" s="1151"/>
      <c r="AI65" s="1151"/>
      <c r="AJ65" s="1151"/>
      <c r="AK65" s="1151"/>
      <c r="AL65" s="1151"/>
      <c r="AM65" s="1151"/>
      <c r="AN65" s="1151"/>
      <c r="AO65" s="1151"/>
      <c r="AP65" s="1151"/>
      <c r="AQ65" s="1151"/>
      <c r="AR65" s="1151"/>
      <c r="AS65" s="1151"/>
      <c r="AT65" s="1151"/>
      <c r="AU65" s="1151"/>
      <c r="AV65" s="1151"/>
      <c r="AW65" s="1151"/>
      <c r="AX65" s="1151"/>
      <c r="AY65" s="1151"/>
      <c r="AZ65" s="1151"/>
      <c r="BA65" s="1151"/>
      <c r="BB65" s="1151"/>
      <c r="BC65" s="1151"/>
      <c r="BD65" s="1151"/>
      <c r="BE65" s="1151"/>
      <c r="BF65" s="1151"/>
      <c r="BG65" s="1151"/>
      <c r="BH65" s="1048"/>
      <c r="BI65" s="1153" t="s">
        <v>121</v>
      </c>
      <c r="BJ65" s="1268"/>
      <c r="BK65" s="1268"/>
      <c r="BL65" s="1268"/>
      <c r="BM65" s="1268"/>
      <c r="BN65" s="1268"/>
      <c r="BO65" s="1268"/>
      <c r="BP65" s="1268"/>
      <c r="BQ65" s="1268"/>
      <c r="BR65" s="1268"/>
      <c r="BS65" s="1269"/>
      <c r="BT65" s="1273">
        <v>42460</v>
      </c>
      <c r="BU65" s="1052">
        <v>32975.410000000003</v>
      </c>
      <c r="BV65" s="1052">
        <v>471728.67</v>
      </c>
      <c r="BW65" s="1186">
        <f>SUM(BW66:CF68)+BW72</f>
        <v>28569.169889999997</v>
      </c>
      <c r="BX65" s="1184"/>
      <c r="BY65" s="1184"/>
      <c r="BZ65" s="1184"/>
      <c r="CA65" s="1184"/>
      <c r="CB65" s="1184"/>
      <c r="CC65" s="1184"/>
      <c r="CD65" s="1184"/>
      <c r="CE65" s="1184"/>
      <c r="CF65" s="1185"/>
      <c r="CG65" s="1186">
        <f>SUM(CG66:CP68)+CG72</f>
        <v>766243.33764227561</v>
      </c>
      <c r="CH65" s="1184"/>
      <c r="CI65" s="1184"/>
      <c r="CJ65" s="1184"/>
      <c r="CK65" s="1184"/>
      <c r="CL65" s="1184"/>
      <c r="CM65" s="1184"/>
      <c r="CN65" s="1184"/>
      <c r="CO65" s="1184"/>
      <c r="CP65" s="1185"/>
      <c r="CQ65" s="1170" t="s">
        <v>2198</v>
      </c>
      <c r="CR65" s="1171"/>
      <c r="CS65" s="1171"/>
      <c r="CT65" s="1171"/>
      <c r="CU65" s="1171"/>
      <c r="CV65" s="1171"/>
      <c r="CW65" s="1171"/>
      <c r="CX65" s="1171"/>
      <c r="CY65" s="1171"/>
      <c r="CZ65" s="1171"/>
      <c r="DA65" s="1171"/>
      <c r="DB65" s="1171"/>
      <c r="DC65" s="1171"/>
      <c r="DD65" s="1171"/>
      <c r="DE65" s="1171"/>
      <c r="DF65" s="1171"/>
      <c r="DG65" s="1172"/>
      <c r="DH65" s="1247" t="s">
        <v>122</v>
      </c>
      <c r="DI65" s="1057">
        <f t="shared" si="0"/>
        <v>2582.0637092101229</v>
      </c>
    </row>
    <row r="66" spans="1:113" s="38" customFormat="1" ht="30" customHeight="1">
      <c r="A66" s="1256" t="s">
        <v>1518</v>
      </c>
      <c r="B66" s="1257"/>
      <c r="C66" s="1257"/>
      <c r="D66" s="1257"/>
      <c r="E66" s="1257"/>
      <c r="F66" s="1257"/>
      <c r="G66" s="1257"/>
      <c r="H66" s="1257"/>
      <c r="I66" s="1258"/>
      <c r="J66" s="1047"/>
      <c r="K66" s="1151" t="str">
        <f>'5. подк.неподк.план'!D277</f>
        <v>Теплоэнергия на хозяйственные нужды</v>
      </c>
      <c r="L66" s="1151"/>
      <c r="M66" s="1151"/>
      <c r="N66" s="1151"/>
      <c r="O66" s="1151"/>
      <c r="P66" s="1151"/>
      <c r="Q66" s="1151"/>
      <c r="R66" s="1151"/>
      <c r="S66" s="1151"/>
      <c r="T66" s="1151"/>
      <c r="U66" s="1151"/>
      <c r="V66" s="1151"/>
      <c r="W66" s="1151"/>
      <c r="X66" s="1151"/>
      <c r="Y66" s="1151"/>
      <c r="Z66" s="1151"/>
      <c r="AA66" s="1151"/>
      <c r="AB66" s="1151"/>
      <c r="AC66" s="1151"/>
      <c r="AD66" s="1151"/>
      <c r="AE66" s="1151"/>
      <c r="AF66" s="1151"/>
      <c r="AG66" s="1151"/>
      <c r="AH66" s="1151"/>
      <c r="AI66" s="1151"/>
      <c r="AJ66" s="1151"/>
      <c r="AK66" s="1151"/>
      <c r="AL66" s="1151"/>
      <c r="AM66" s="1151"/>
      <c r="AN66" s="1151"/>
      <c r="AO66" s="1151"/>
      <c r="AP66" s="1151"/>
      <c r="AQ66" s="1151"/>
      <c r="AR66" s="1151"/>
      <c r="AS66" s="1151"/>
      <c r="AT66" s="1151"/>
      <c r="AU66" s="1151"/>
      <c r="AV66" s="1151"/>
      <c r="AW66" s="1151"/>
      <c r="AX66" s="1151"/>
      <c r="AY66" s="1151"/>
      <c r="AZ66" s="1151"/>
      <c r="BA66" s="1151"/>
      <c r="BB66" s="1151"/>
      <c r="BC66" s="1151"/>
      <c r="BD66" s="1151"/>
      <c r="BE66" s="1151"/>
      <c r="BF66" s="1151"/>
      <c r="BG66" s="1151"/>
      <c r="BH66" s="1048"/>
      <c r="BI66" s="1153" t="s">
        <v>121</v>
      </c>
      <c r="BJ66" s="1268"/>
      <c r="BK66" s="1268"/>
      <c r="BL66" s="1268"/>
      <c r="BM66" s="1268"/>
      <c r="BN66" s="1268"/>
      <c r="BO66" s="1268"/>
      <c r="BP66" s="1268"/>
      <c r="BQ66" s="1268"/>
      <c r="BR66" s="1268"/>
      <c r="BS66" s="1269"/>
      <c r="BT66" s="1235"/>
      <c r="BU66" s="1052">
        <v>2462.23</v>
      </c>
      <c r="BV66" s="1052">
        <v>4628.45</v>
      </c>
      <c r="BW66" s="1190">
        <f>'5. подк.неподк.план'!Y277</f>
        <v>4671.9598899999992</v>
      </c>
      <c r="BX66" s="1191"/>
      <c r="BY66" s="1191"/>
      <c r="BZ66" s="1191"/>
      <c r="CA66" s="1191"/>
      <c r="CB66" s="1191"/>
      <c r="CC66" s="1191"/>
      <c r="CD66" s="1191"/>
      <c r="CE66" s="1191"/>
      <c r="CF66" s="1192"/>
      <c r="CG66" s="1190">
        <f>'1. подк.неподк. факт'!Z278</f>
        <v>5073.2844999999998</v>
      </c>
      <c r="CH66" s="1191"/>
      <c r="CI66" s="1191"/>
      <c r="CJ66" s="1191"/>
      <c r="CK66" s="1191"/>
      <c r="CL66" s="1191"/>
      <c r="CM66" s="1191"/>
      <c r="CN66" s="1191"/>
      <c r="CO66" s="1191"/>
      <c r="CP66" s="1192"/>
      <c r="CQ66" s="1176"/>
      <c r="CR66" s="1177"/>
      <c r="CS66" s="1177"/>
      <c r="CT66" s="1177"/>
      <c r="CU66" s="1177"/>
      <c r="CV66" s="1177"/>
      <c r="CW66" s="1177"/>
      <c r="CX66" s="1177"/>
      <c r="CY66" s="1177"/>
      <c r="CZ66" s="1177"/>
      <c r="DA66" s="1177"/>
      <c r="DB66" s="1177"/>
      <c r="DC66" s="1177"/>
      <c r="DD66" s="1177"/>
      <c r="DE66" s="1177"/>
      <c r="DF66" s="1177"/>
      <c r="DG66" s="1178"/>
      <c r="DH66" s="1265"/>
      <c r="DI66" s="1057">
        <f t="shared" si="0"/>
        <v>8.5900696805853869</v>
      </c>
    </row>
    <row r="67" spans="1:113" s="38" customFormat="1" ht="30" customHeight="1">
      <c r="A67" s="1256" t="s">
        <v>1519</v>
      </c>
      <c r="B67" s="1257"/>
      <c r="C67" s="1257"/>
      <c r="D67" s="1257"/>
      <c r="E67" s="1257"/>
      <c r="F67" s="1257"/>
      <c r="G67" s="1257"/>
      <c r="H67" s="1257"/>
      <c r="I67" s="1258"/>
      <c r="J67" s="1047"/>
      <c r="K67" s="1151" t="s">
        <v>1285</v>
      </c>
      <c r="L67" s="1151"/>
      <c r="M67" s="1151"/>
      <c r="N67" s="1151"/>
      <c r="O67" s="1151"/>
      <c r="P67" s="1151"/>
      <c r="Q67" s="1151"/>
      <c r="R67" s="1151"/>
      <c r="S67" s="1151"/>
      <c r="T67" s="1151"/>
      <c r="U67" s="1151"/>
      <c r="V67" s="1151"/>
      <c r="W67" s="1151"/>
      <c r="X67" s="1151"/>
      <c r="Y67" s="1151"/>
      <c r="Z67" s="1151"/>
      <c r="AA67" s="1151"/>
      <c r="AB67" s="1151"/>
      <c r="AC67" s="1151"/>
      <c r="AD67" s="1151"/>
      <c r="AE67" s="1151"/>
      <c r="AF67" s="1151"/>
      <c r="AG67" s="1151"/>
      <c r="AH67" s="1151"/>
      <c r="AI67" s="1151"/>
      <c r="AJ67" s="1151"/>
      <c r="AK67" s="1151"/>
      <c r="AL67" s="1151"/>
      <c r="AM67" s="1151"/>
      <c r="AN67" s="1151"/>
      <c r="AO67" s="1151"/>
      <c r="AP67" s="1151"/>
      <c r="AQ67" s="1151"/>
      <c r="AR67" s="1151"/>
      <c r="AS67" s="1151"/>
      <c r="AT67" s="1151"/>
      <c r="AU67" s="1151"/>
      <c r="AV67" s="1151"/>
      <c r="AW67" s="1151"/>
      <c r="AX67" s="1151"/>
      <c r="AY67" s="1151"/>
      <c r="AZ67" s="1151"/>
      <c r="BA67" s="1151"/>
      <c r="BB67" s="1151"/>
      <c r="BC67" s="1151"/>
      <c r="BD67" s="1151"/>
      <c r="BE67" s="1151"/>
      <c r="BF67" s="1151"/>
      <c r="BG67" s="1151"/>
      <c r="BH67" s="1048"/>
      <c r="BI67" s="1153" t="s">
        <v>121</v>
      </c>
      <c r="BJ67" s="1268"/>
      <c r="BK67" s="1268"/>
      <c r="BL67" s="1268"/>
      <c r="BM67" s="1268"/>
      <c r="BN67" s="1268"/>
      <c r="BO67" s="1268"/>
      <c r="BP67" s="1268"/>
      <c r="BQ67" s="1268"/>
      <c r="BR67" s="1268"/>
      <c r="BS67" s="1269"/>
      <c r="BT67" s="1235"/>
      <c r="BU67" s="1052">
        <v>20800</v>
      </c>
      <c r="BV67" s="1052">
        <v>7088.42</v>
      </c>
      <c r="BW67" s="1190">
        <f>'5. подк.неподк.план'!Y279</f>
        <v>20800</v>
      </c>
      <c r="BX67" s="1191"/>
      <c r="BY67" s="1191"/>
      <c r="BZ67" s="1191"/>
      <c r="CA67" s="1191"/>
      <c r="CB67" s="1191"/>
      <c r="CC67" s="1191"/>
      <c r="CD67" s="1191"/>
      <c r="CE67" s="1191"/>
      <c r="CF67" s="1192"/>
      <c r="CG67" s="1190">
        <f>'1. подк.неподк. факт'!Z280</f>
        <v>8964.0206199999993</v>
      </c>
      <c r="CH67" s="1191"/>
      <c r="CI67" s="1191"/>
      <c r="CJ67" s="1191"/>
      <c r="CK67" s="1191"/>
      <c r="CL67" s="1191"/>
      <c r="CM67" s="1191"/>
      <c r="CN67" s="1191"/>
      <c r="CO67" s="1191"/>
      <c r="CP67" s="1192"/>
      <c r="CQ67" s="1176"/>
      <c r="CR67" s="1177"/>
      <c r="CS67" s="1177"/>
      <c r="CT67" s="1177"/>
      <c r="CU67" s="1177"/>
      <c r="CV67" s="1177"/>
      <c r="CW67" s="1177"/>
      <c r="CX67" s="1177"/>
      <c r="CY67" s="1177"/>
      <c r="CZ67" s="1177"/>
      <c r="DA67" s="1177"/>
      <c r="DB67" s="1177"/>
      <c r="DC67" s="1177"/>
      <c r="DD67" s="1177"/>
      <c r="DE67" s="1177"/>
      <c r="DF67" s="1177"/>
      <c r="DG67" s="1178"/>
      <c r="DH67" s="1265"/>
      <c r="DI67" s="1057">
        <f t="shared" si="0"/>
        <v>-56.903747019230771</v>
      </c>
    </row>
    <row r="68" spans="1:113" s="38" customFormat="1" ht="30" customHeight="1">
      <c r="A68" s="1256" t="s">
        <v>1520</v>
      </c>
      <c r="B68" s="1257"/>
      <c r="C68" s="1257"/>
      <c r="D68" s="1257"/>
      <c r="E68" s="1257"/>
      <c r="F68" s="1257"/>
      <c r="G68" s="1257"/>
      <c r="H68" s="1257"/>
      <c r="I68" s="1258"/>
      <c r="J68" s="1047"/>
      <c r="K68" s="1151" t="str">
        <f>'5. подк.неподк.план'!D280</f>
        <v>Внереализационные расходы</v>
      </c>
      <c r="L68" s="1151"/>
      <c r="M68" s="1151"/>
      <c r="N68" s="1151"/>
      <c r="O68" s="1151"/>
      <c r="P68" s="1151"/>
      <c r="Q68" s="1151"/>
      <c r="R68" s="1151"/>
      <c r="S68" s="1151"/>
      <c r="T68" s="1151"/>
      <c r="U68" s="1151"/>
      <c r="V68" s="1151"/>
      <c r="W68" s="1151"/>
      <c r="X68" s="1151"/>
      <c r="Y68" s="1151"/>
      <c r="Z68" s="1151"/>
      <c r="AA68" s="1151"/>
      <c r="AB68" s="1151"/>
      <c r="AC68" s="1151"/>
      <c r="AD68" s="1151"/>
      <c r="AE68" s="1151"/>
      <c r="AF68" s="1151"/>
      <c r="AG68" s="1151"/>
      <c r="AH68" s="1151"/>
      <c r="AI68" s="1151"/>
      <c r="AJ68" s="1151"/>
      <c r="AK68" s="1151"/>
      <c r="AL68" s="1151"/>
      <c r="AM68" s="1151"/>
      <c r="AN68" s="1151"/>
      <c r="AO68" s="1151"/>
      <c r="AP68" s="1151"/>
      <c r="AQ68" s="1151"/>
      <c r="AR68" s="1151"/>
      <c r="AS68" s="1151"/>
      <c r="AT68" s="1151"/>
      <c r="AU68" s="1151"/>
      <c r="AV68" s="1151"/>
      <c r="AW68" s="1151"/>
      <c r="AX68" s="1151"/>
      <c r="AY68" s="1151"/>
      <c r="AZ68" s="1151"/>
      <c r="BA68" s="1151"/>
      <c r="BB68" s="1151"/>
      <c r="BC68" s="1151"/>
      <c r="BD68" s="1151"/>
      <c r="BE68" s="1151"/>
      <c r="BF68" s="1151"/>
      <c r="BG68" s="1151"/>
      <c r="BH68" s="1048"/>
      <c r="BI68" s="1153" t="s">
        <v>121</v>
      </c>
      <c r="BJ68" s="1268"/>
      <c r="BK68" s="1268"/>
      <c r="BL68" s="1268"/>
      <c r="BM68" s="1268"/>
      <c r="BN68" s="1268"/>
      <c r="BO68" s="1268"/>
      <c r="BP68" s="1268"/>
      <c r="BQ68" s="1268"/>
      <c r="BR68" s="1268"/>
      <c r="BS68" s="1269"/>
      <c r="BT68" s="1235"/>
      <c r="BU68" s="1052">
        <v>4748.74</v>
      </c>
      <c r="BV68" s="1052">
        <v>332686.40999999997</v>
      </c>
      <c r="BW68" s="1186">
        <f>BW69+BW71</f>
        <v>3097.21</v>
      </c>
      <c r="BX68" s="1187"/>
      <c r="BY68" s="1187"/>
      <c r="BZ68" s="1187"/>
      <c r="CA68" s="1187"/>
      <c r="CB68" s="1187"/>
      <c r="CC68" s="1187"/>
      <c r="CD68" s="1187"/>
      <c r="CE68" s="1187"/>
      <c r="CF68" s="1188"/>
      <c r="CG68" s="1186">
        <f>CG69+CG71+CG70</f>
        <v>560204.12034999998</v>
      </c>
      <c r="CH68" s="1187"/>
      <c r="CI68" s="1187"/>
      <c r="CJ68" s="1187"/>
      <c r="CK68" s="1187"/>
      <c r="CL68" s="1187"/>
      <c r="CM68" s="1187"/>
      <c r="CN68" s="1187"/>
      <c r="CO68" s="1187"/>
      <c r="CP68" s="1188"/>
      <c r="CQ68" s="1176"/>
      <c r="CR68" s="1177"/>
      <c r="CS68" s="1177"/>
      <c r="CT68" s="1177"/>
      <c r="CU68" s="1177"/>
      <c r="CV68" s="1177"/>
      <c r="CW68" s="1177"/>
      <c r="CX68" s="1177"/>
      <c r="CY68" s="1177"/>
      <c r="CZ68" s="1177"/>
      <c r="DA68" s="1177"/>
      <c r="DB68" s="1177"/>
      <c r="DC68" s="1177"/>
      <c r="DD68" s="1177"/>
      <c r="DE68" s="1177"/>
      <c r="DF68" s="1177"/>
      <c r="DG68" s="1178"/>
      <c r="DH68" s="1265"/>
      <c r="DI68" s="1057">
        <f t="shared" si="0"/>
        <v>17987.379297819651</v>
      </c>
    </row>
    <row r="69" spans="1:113" s="38" customFormat="1" ht="30" customHeight="1">
      <c r="A69" s="1256"/>
      <c r="B69" s="1257"/>
      <c r="C69" s="1257"/>
      <c r="D69" s="1257"/>
      <c r="E69" s="1257"/>
      <c r="F69" s="1257"/>
      <c r="G69" s="1257"/>
      <c r="H69" s="1257"/>
      <c r="I69" s="1258"/>
      <c r="J69" s="1047"/>
      <c r="K69" s="1277" t="s">
        <v>1292</v>
      </c>
      <c r="L69" s="1277"/>
      <c r="M69" s="1277"/>
      <c r="N69" s="1277"/>
      <c r="O69" s="1277"/>
      <c r="P69" s="1277"/>
      <c r="Q69" s="1277"/>
      <c r="R69" s="1277"/>
      <c r="S69" s="1277"/>
      <c r="T69" s="1277"/>
      <c r="U69" s="1277"/>
      <c r="V69" s="1277"/>
      <c r="W69" s="1277"/>
      <c r="X69" s="1277"/>
      <c r="Y69" s="1277"/>
      <c r="Z69" s="1277"/>
      <c r="AA69" s="1277"/>
      <c r="AB69" s="1277"/>
      <c r="AC69" s="1277"/>
      <c r="AD69" s="1277"/>
      <c r="AE69" s="1277"/>
      <c r="AF69" s="1277"/>
      <c r="AG69" s="1277"/>
      <c r="AH69" s="1277"/>
      <c r="AI69" s="1277"/>
      <c r="AJ69" s="1277"/>
      <c r="AK69" s="1277"/>
      <c r="AL69" s="1277"/>
      <c r="AM69" s="1277"/>
      <c r="AN69" s="1277"/>
      <c r="AO69" s="1277"/>
      <c r="AP69" s="1277"/>
      <c r="AQ69" s="1277"/>
      <c r="AR69" s="1277"/>
      <c r="AS69" s="1277"/>
      <c r="AT69" s="1277"/>
      <c r="AU69" s="1277"/>
      <c r="AV69" s="1277"/>
      <c r="AW69" s="1277"/>
      <c r="AX69" s="1277"/>
      <c r="AY69" s="1277"/>
      <c r="AZ69" s="1277"/>
      <c r="BA69" s="1277"/>
      <c r="BB69" s="1277"/>
      <c r="BC69" s="1277"/>
      <c r="BD69" s="1277"/>
      <c r="BE69" s="1277"/>
      <c r="BF69" s="1277"/>
      <c r="BG69" s="1277"/>
      <c r="BH69" s="1046"/>
      <c r="BI69" s="1278" t="s">
        <v>121</v>
      </c>
      <c r="BJ69" s="1279"/>
      <c r="BK69" s="1279"/>
      <c r="BL69" s="1279"/>
      <c r="BM69" s="1279"/>
      <c r="BN69" s="1279"/>
      <c r="BO69" s="1279"/>
      <c r="BP69" s="1279"/>
      <c r="BQ69" s="1279"/>
      <c r="BR69" s="1279"/>
      <c r="BS69" s="1280"/>
      <c r="BT69" s="1235"/>
      <c r="BU69" s="1052">
        <v>3739.09</v>
      </c>
      <c r="BV69" s="1052">
        <v>1876.5</v>
      </c>
      <c r="BW69" s="1288">
        <f>'5. подк.неподк.план'!Y281</f>
        <v>2949.29</v>
      </c>
      <c r="BX69" s="1289"/>
      <c r="BY69" s="1289"/>
      <c r="BZ69" s="1289"/>
      <c r="CA69" s="1289"/>
      <c r="CB69" s="1289"/>
      <c r="CC69" s="1289"/>
      <c r="CD69" s="1289"/>
      <c r="CE69" s="1289"/>
      <c r="CF69" s="1290"/>
      <c r="CG69" s="1288">
        <f>'1. подк.неподк. факт'!Z282</f>
        <v>3947.60833</v>
      </c>
      <c r="CH69" s="1289"/>
      <c r="CI69" s="1289"/>
      <c r="CJ69" s="1289"/>
      <c r="CK69" s="1289"/>
      <c r="CL69" s="1289"/>
      <c r="CM69" s="1289"/>
      <c r="CN69" s="1289"/>
      <c r="CO69" s="1289"/>
      <c r="CP69" s="1290"/>
      <c r="CQ69" s="1176"/>
      <c r="CR69" s="1177"/>
      <c r="CS69" s="1177"/>
      <c r="CT69" s="1177"/>
      <c r="CU69" s="1177"/>
      <c r="CV69" s="1177"/>
      <c r="CW69" s="1177"/>
      <c r="CX69" s="1177"/>
      <c r="CY69" s="1177"/>
      <c r="CZ69" s="1177"/>
      <c r="DA69" s="1177"/>
      <c r="DB69" s="1177"/>
      <c r="DC69" s="1177"/>
      <c r="DD69" s="1177"/>
      <c r="DE69" s="1177"/>
      <c r="DF69" s="1177"/>
      <c r="DG69" s="1178"/>
      <c r="DH69" s="1265"/>
      <c r="DI69" s="1057">
        <f t="shared" si="0"/>
        <v>33.84944613788403</v>
      </c>
    </row>
    <row r="70" spans="1:113" s="38" customFormat="1" ht="30" customHeight="1">
      <c r="A70" s="1256"/>
      <c r="B70" s="1257"/>
      <c r="C70" s="1257"/>
      <c r="D70" s="1257"/>
      <c r="E70" s="1257"/>
      <c r="F70" s="1257"/>
      <c r="G70" s="1257"/>
      <c r="H70" s="1257"/>
      <c r="I70" s="1258"/>
      <c r="J70" s="1047"/>
      <c r="K70" s="1277" t="str">
        <f>'1. подк.неподк. факт'!E283</f>
        <v>ПР по созданию резерва по сомнительным долгам</v>
      </c>
      <c r="L70" s="1277"/>
      <c r="M70" s="1277"/>
      <c r="N70" s="1277"/>
      <c r="O70" s="1277"/>
      <c r="P70" s="1277"/>
      <c r="Q70" s="1277"/>
      <c r="R70" s="1277"/>
      <c r="S70" s="1277"/>
      <c r="T70" s="1277"/>
      <c r="U70" s="1277"/>
      <c r="V70" s="1277"/>
      <c r="W70" s="1277"/>
      <c r="X70" s="1277"/>
      <c r="Y70" s="1277"/>
      <c r="Z70" s="1277"/>
      <c r="AA70" s="1277"/>
      <c r="AB70" s="1277"/>
      <c r="AC70" s="1277"/>
      <c r="AD70" s="1277"/>
      <c r="AE70" s="1277"/>
      <c r="AF70" s="1277"/>
      <c r="AG70" s="1277"/>
      <c r="AH70" s="1277"/>
      <c r="AI70" s="1277"/>
      <c r="AJ70" s="1277"/>
      <c r="AK70" s="1277"/>
      <c r="AL70" s="1277"/>
      <c r="AM70" s="1277"/>
      <c r="AN70" s="1277"/>
      <c r="AO70" s="1277"/>
      <c r="AP70" s="1277"/>
      <c r="AQ70" s="1277"/>
      <c r="AR70" s="1277"/>
      <c r="AS70" s="1277"/>
      <c r="AT70" s="1277"/>
      <c r="AU70" s="1277"/>
      <c r="AV70" s="1277"/>
      <c r="AW70" s="1277"/>
      <c r="AX70" s="1277"/>
      <c r="AY70" s="1277"/>
      <c r="AZ70" s="1277"/>
      <c r="BA70" s="1277"/>
      <c r="BB70" s="1277"/>
      <c r="BC70" s="1277"/>
      <c r="BD70" s="1277"/>
      <c r="BE70" s="1277"/>
      <c r="BF70" s="1277"/>
      <c r="BG70" s="1277"/>
      <c r="BH70" s="1046"/>
      <c r="BI70" s="1278" t="s">
        <v>121</v>
      </c>
      <c r="BJ70" s="1279"/>
      <c r="BK70" s="1279"/>
      <c r="BL70" s="1279"/>
      <c r="BM70" s="1279"/>
      <c r="BN70" s="1279"/>
      <c r="BO70" s="1279"/>
      <c r="BP70" s="1279"/>
      <c r="BQ70" s="1279"/>
      <c r="BR70" s="1279"/>
      <c r="BS70" s="1280"/>
      <c r="BT70" s="1235"/>
      <c r="BU70" s="1052">
        <v>0</v>
      </c>
      <c r="BV70" s="1052">
        <v>330701.90000000002</v>
      </c>
      <c r="BW70" s="1288">
        <v>0</v>
      </c>
      <c r="BX70" s="1289"/>
      <c r="BY70" s="1289"/>
      <c r="BZ70" s="1289"/>
      <c r="CA70" s="1289"/>
      <c r="CB70" s="1289"/>
      <c r="CC70" s="1289"/>
      <c r="CD70" s="1289"/>
      <c r="CE70" s="1289"/>
      <c r="CF70" s="1290"/>
      <c r="CG70" s="1288">
        <f>'1. подк.неподк. факт'!Z283</f>
        <v>556178.09529999993</v>
      </c>
      <c r="CH70" s="1289"/>
      <c r="CI70" s="1289"/>
      <c r="CJ70" s="1289"/>
      <c r="CK70" s="1289"/>
      <c r="CL70" s="1289"/>
      <c r="CM70" s="1289"/>
      <c r="CN70" s="1289"/>
      <c r="CO70" s="1289"/>
      <c r="CP70" s="1290"/>
      <c r="CQ70" s="1176"/>
      <c r="CR70" s="1177"/>
      <c r="CS70" s="1177"/>
      <c r="CT70" s="1177"/>
      <c r="CU70" s="1177"/>
      <c r="CV70" s="1177"/>
      <c r="CW70" s="1177"/>
      <c r="CX70" s="1177"/>
      <c r="CY70" s="1177"/>
      <c r="CZ70" s="1177"/>
      <c r="DA70" s="1177"/>
      <c r="DB70" s="1177"/>
      <c r="DC70" s="1177"/>
      <c r="DD70" s="1177"/>
      <c r="DE70" s="1177"/>
      <c r="DF70" s="1177"/>
      <c r="DG70" s="1178"/>
      <c r="DH70" s="1265"/>
      <c r="DI70" s="1057" t="e">
        <f t="shared" si="0"/>
        <v>#DIV/0!</v>
      </c>
    </row>
    <row r="71" spans="1:113" s="38" customFormat="1" ht="30" customHeight="1">
      <c r="A71" s="1256"/>
      <c r="B71" s="1257"/>
      <c r="C71" s="1257"/>
      <c r="D71" s="1257"/>
      <c r="E71" s="1257"/>
      <c r="F71" s="1257"/>
      <c r="G71" s="1257"/>
      <c r="H71" s="1257"/>
      <c r="I71" s="1258"/>
      <c r="J71" s="1047"/>
      <c r="K71" s="1277" t="s">
        <v>1303</v>
      </c>
      <c r="L71" s="1277"/>
      <c r="M71" s="1277"/>
      <c r="N71" s="1277"/>
      <c r="O71" s="1277"/>
      <c r="P71" s="1277"/>
      <c r="Q71" s="1277"/>
      <c r="R71" s="1277"/>
      <c r="S71" s="1277"/>
      <c r="T71" s="1277"/>
      <c r="U71" s="1277"/>
      <c r="V71" s="1277"/>
      <c r="W71" s="1277"/>
      <c r="X71" s="1277"/>
      <c r="Y71" s="1277"/>
      <c r="Z71" s="1277"/>
      <c r="AA71" s="1277"/>
      <c r="AB71" s="1277"/>
      <c r="AC71" s="1277"/>
      <c r="AD71" s="1277"/>
      <c r="AE71" s="1277"/>
      <c r="AF71" s="1277"/>
      <c r="AG71" s="1277"/>
      <c r="AH71" s="1277"/>
      <c r="AI71" s="1277"/>
      <c r="AJ71" s="1277"/>
      <c r="AK71" s="1277"/>
      <c r="AL71" s="1277"/>
      <c r="AM71" s="1277"/>
      <c r="AN71" s="1277"/>
      <c r="AO71" s="1277"/>
      <c r="AP71" s="1277"/>
      <c r="AQ71" s="1277"/>
      <c r="AR71" s="1277"/>
      <c r="AS71" s="1277"/>
      <c r="AT71" s="1277"/>
      <c r="AU71" s="1277"/>
      <c r="AV71" s="1277"/>
      <c r="AW71" s="1277"/>
      <c r="AX71" s="1277"/>
      <c r="AY71" s="1277"/>
      <c r="AZ71" s="1277"/>
      <c r="BA71" s="1277"/>
      <c r="BB71" s="1277"/>
      <c r="BC71" s="1277"/>
      <c r="BD71" s="1277"/>
      <c r="BE71" s="1277"/>
      <c r="BF71" s="1277"/>
      <c r="BG71" s="1277"/>
      <c r="BH71" s="1046"/>
      <c r="BI71" s="1278" t="s">
        <v>121</v>
      </c>
      <c r="BJ71" s="1279"/>
      <c r="BK71" s="1279"/>
      <c r="BL71" s="1279"/>
      <c r="BM71" s="1279"/>
      <c r="BN71" s="1279"/>
      <c r="BO71" s="1279"/>
      <c r="BP71" s="1279"/>
      <c r="BQ71" s="1279"/>
      <c r="BR71" s="1279"/>
      <c r="BS71" s="1280"/>
      <c r="BT71" s="1235"/>
      <c r="BU71" s="1052">
        <v>1009.65</v>
      </c>
      <c r="BV71" s="1052">
        <v>108.01</v>
      </c>
      <c r="BW71" s="1291">
        <f>'5. подк.неподк.план'!Y284</f>
        <v>147.91999999999999</v>
      </c>
      <c r="BX71" s="1292"/>
      <c r="BY71" s="1292"/>
      <c r="BZ71" s="1292"/>
      <c r="CA71" s="1292"/>
      <c r="CB71" s="1292"/>
      <c r="CC71" s="1292"/>
      <c r="CD71" s="1292"/>
      <c r="CE71" s="1292"/>
      <c r="CF71" s="1293"/>
      <c r="CG71" s="1291">
        <f>'1. подк.неподк. факт'!Z285</f>
        <v>78.416719999999998</v>
      </c>
      <c r="CH71" s="1292"/>
      <c r="CI71" s="1292"/>
      <c r="CJ71" s="1292"/>
      <c r="CK71" s="1292"/>
      <c r="CL71" s="1292"/>
      <c r="CM71" s="1292"/>
      <c r="CN71" s="1292"/>
      <c r="CO71" s="1292"/>
      <c r="CP71" s="1293"/>
      <c r="CQ71" s="1176"/>
      <c r="CR71" s="1177"/>
      <c r="CS71" s="1177"/>
      <c r="CT71" s="1177"/>
      <c r="CU71" s="1177"/>
      <c r="CV71" s="1177"/>
      <c r="CW71" s="1177"/>
      <c r="CX71" s="1177"/>
      <c r="CY71" s="1177"/>
      <c r="CZ71" s="1177"/>
      <c r="DA71" s="1177"/>
      <c r="DB71" s="1177"/>
      <c r="DC71" s="1177"/>
      <c r="DD71" s="1177"/>
      <c r="DE71" s="1177"/>
      <c r="DF71" s="1177"/>
      <c r="DG71" s="1178"/>
      <c r="DH71" s="1265"/>
      <c r="DI71" s="1057">
        <f t="shared" si="0"/>
        <v>-46.987074094104919</v>
      </c>
    </row>
    <row r="72" spans="1:113" s="38" customFormat="1" ht="30" customHeight="1">
      <c r="A72" s="1256" t="s">
        <v>1521</v>
      </c>
      <c r="B72" s="1257"/>
      <c r="C72" s="1257"/>
      <c r="D72" s="1257"/>
      <c r="E72" s="1257"/>
      <c r="F72" s="1257"/>
      <c r="G72" s="1257"/>
      <c r="H72" s="1257"/>
      <c r="I72" s="1258"/>
      <c r="J72" s="1047"/>
      <c r="K72" s="1151" t="s">
        <v>1306</v>
      </c>
      <c r="L72" s="1151"/>
      <c r="M72" s="1151"/>
      <c r="N72" s="1151"/>
      <c r="O72" s="1151"/>
      <c r="P72" s="1151"/>
      <c r="Q72" s="1151"/>
      <c r="R72" s="1151"/>
      <c r="S72" s="1151"/>
      <c r="T72" s="1151"/>
      <c r="U72" s="1151"/>
      <c r="V72" s="1151"/>
      <c r="W72" s="1151"/>
      <c r="X72" s="1151"/>
      <c r="Y72" s="1151"/>
      <c r="Z72" s="1151"/>
      <c r="AA72" s="1151"/>
      <c r="AB72" s="1151"/>
      <c r="AC72" s="1151"/>
      <c r="AD72" s="1151"/>
      <c r="AE72" s="1151"/>
      <c r="AF72" s="1151"/>
      <c r="AG72" s="1151"/>
      <c r="AH72" s="1151"/>
      <c r="AI72" s="1151"/>
      <c r="AJ72" s="1151"/>
      <c r="AK72" s="1151"/>
      <c r="AL72" s="1151"/>
      <c r="AM72" s="1151"/>
      <c r="AN72" s="1151"/>
      <c r="AO72" s="1151"/>
      <c r="AP72" s="1151"/>
      <c r="AQ72" s="1151"/>
      <c r="AR72" s="1151"/>
      <c r="AS72" s="1151"/>
      <c r="AT72" s="1151"/>
      <c r="AU72" s="1151"/>
      <c r="AV72" s="1151"/>
      <c r="AW72" s="1151"/>
      <c r="AX72" s="1151"/>
      <c r="AY72" s="1151"/>
      <c r="AZ72" s="1151"/>
      <c r="BA72" s="1151"/>
      <c r="BB72" s="1151"/>
      <c r="BC72" s="1151"/>
      <c r="BD72" s="1151"/>
      <c r="BE72" s="1151"/>
      <c r="BF72" s="1151"/>
      <c r="BG72" s="1151"/>
      <c r="BH72" s="1048"/>
      <c r="BI72" s="1153" t="s">
        <v>121</v>
      </c>
      <c r="BJ72" s="1268"/>
      <c r="BK72" s="1268"/>
      <c r="BL72" s="1268"/>
      <c r="BM72" s="1268"/>
      <c r="BN72" s="1268"/>
      <c r="BO72" s="1268"/>
      <c r="BP72" s="1268"/>
      <c r="BQ72" s="1268"/>
      <c r="BR72" s="1268"/>
      <c r="BS72" s="1269"/>
      <c r="BT72" s="1235"/>
      <c r="BU72" s="1052">
        <v>4964.4399999999996</v>
      </c>
      <c r="BV72" s="1052">
        <v>127325.39</v>
      </c>
      <c r="BW72" s="1186">
        <f>'5. подк.неподк.план'!Y285</f>
        <v>0</v>
      </c>
      <c r="BX72" s="1187"/>
      <c r="BY72" s="1187"/>
      <c r="BZ72" s="1187"/>
      <c r="CA72" s="1187"/>
      <c r="CB72" s="1187"/>
      <c r="CC72" s="1187"/>
      <c r="CD72" s="1187"/>
      <c r="CE72" s="1187"/>
      <c r="CF72" s="1188"/>
      <c r="CG72" s="1186">
        <f>SUM(CG73:CP83)</f>
        <v>192001.9121722756</v>
      </c>
      <c r="CH72" s="1187"/>
      <c r="CI72" s="1187"/>
      <c r="CJ72" s="1187"/>
      <c r="CK72" s="1187"/>
      <c r="CL72" s="1187"/>
      <c r="CM72" s="1187"/>
      <c r="CN72" s="1187"/>
      <c r="CO72" s="1187"/>
      <c r="CP72" s="1188"/>
      <c r="CQ72" s="1176"/>
      <c r="CR72" s="1177"/>
      <c r="CS72" s="1177"/>
      <c r="CT72" s="1177"/>
      <c r="CU72" s="1177"/>
      <c r="CV72" s="1177"/>
      <c r="CW72" s="1177"/>
      <c r="CX72" s="1177"/>
      <c r="CY72" s="1177"/>
      <c r="CZ72" s="1177"/>
      <c r="DA72" s="1177"/>
      <c r="DB72" s="1177"/>
      <c r="DC72" s="1177"/>
      <c r="DD72" s="1177"/>
      <c r="DE72" s="1177"/>
      <c r="DF72" s="1177"/>
      <c r="DG72" s="1178"/>
      <c r="DH72" s="1265"/>
      <c r="DI72" s="1057"/>
    </row>
    <row r="73" spans="1:113" s="38" customFormat="1" ht="30" customHeight="1" outlineLevel="1">
      <c r="A73" s="1256"/>
      <c r="B73" s="1257"/>
      <c r="C73" s="1257"/>
      <c r="D73" s="1257"/>
      <c r="E73" s="1257"/>
      <c r="F73" s="1257"/>
      <c r="G73" s="1257"/>
      <c r="H73" s="1257"/>
      <c r="I73" s="1258"/>
      <c r="J73" s="1047"/>
      <c r="K73" s="1277" t="s">
        <v>1310</v>
      </c>
      <c r="L73" s="1277"/>
      <c r="M73" s="1277"/>
      <c r="N73" s="1277"/>
      <c r="O73" s="1277"/>
      <c r="P73" s="1277"/>
      <c r="Q73" s="1277"/>
      <c r="R73" s="1277"/>
      <c r="S73" s="1277"/>
      <c r="T73" s="1277"/>
      <c r="U73" s="1277"/>
      <c r="V73" s="1277"/>
      <c r="W73" s="1277"/>
      <c r="X73" s="1277"/>
      <c r="Y73" s="1277"/>
      <c r="Z73" s="1277"/>
      <c r="AA73" s="1277"/>
      <c r="AB73" s="1277"/>
      <c r="AC73" s="1277"/>
      <c r="AD73" s="1277"/>
      <c r="AE73" s="1277"/>
      <c r="AF73" s="1277"/>
      <c r="AG73" s="1277"/>
      <c r="AH73" s="1277"/>
      <c r="AI73" s="1277"/>
      <c r="AJ73" s="1277"/>
      <c r="AK73" s="1277"/>
      <c r="AL73" s="1277"/>
      <c r="AM73" s="1277"/>
      <c r="AN73" s="1277"/>
      <c r="AO73" s="1277"/>
      <c r="AP73" s="1277"/>
      <c r="AQ73" s="1277"/>
      <c r="AR73" s="1277"/>
      <c r="AS73" s="1277"/>
      <c r="AT73" s="1277"/>
      <c r="AU73" s="1277"/>
      <c r="AV73" s="1277"/>
      <c r="AW73" s="1277"/>
      <c r="AX73" s="1277"/>
      <c r="AY73" s="1277"/>
      <c r="AZ73" s="1277"/>
      <c r="BA73" s="1277"/>
      <c r="BB73" s="1277"/>
      <c r="BC73" s="1277"/>
      <c r="BD73" s="1277"/>
      <c r="BE73" s="1277"/>
      <c r="BF73" s="1277"/>
      <c r="BG73" s="1277"/>
      <c r="BH73" s="1048"/>
      <c r="BI73" s="1153" t="s">
        <v>121</v>
      </c>
      <c r="BJ73" s="1268"/>
      <c r="BK73" s="1268"/>
      <c r="BL73" s="1268"/>
      <c r="BM73" s="1268"/>
      <c r="BN73" s="1268"/>
      <c r="BO73" s="1268"/>
      <c r="BP73" s="1268"/>
      <c r="BQ73" s="1268"/>
      <c r="BR73" s="1268"/>
      <c r="BS73" s="1269"/>
      <c r="BT73" s="1235"/>
      <c r="BU73" s="1052">
        <v>4964.4399999999996</v>
      </c>
      <c r="BV73" s="1052">
        <v>4017.18</v>
      </c>
      <c r="BW73" s="1186">
        <v>0</v>
      </c>
      <c r="BX73" s="1187"/>
      <c r="BY73" s="1187"/>
      <c r="BZ73" s="1187"/>
      <c r="CA73" s="1187"/>
      <c r="CB73" s="1187"/>
      <c r="CC73" s="1187"/>
      <c r="CD73" s="1187"/>
      <c r="CE73" s="1187"/>
      <c r="CF73" s="1188"/>
      <c r="CG73" s="1190">
        <f>'1. подк.неподк. факт'!Z287</f>
        <v>5853.1444322757498</v>
      </c>
      <c r="CH73" s="1191"/>
      <c r="CI73" s="1191"/>
      <c r="CJ73" s="1191"/>
      <c r="CK73" s="1191"/>
      <c r="CL73" s="1191"/>
      <c r="CM73" s="1191"/>
      <c r="CN73" s="1191"/>
      <c r="CO73" s="1191"/>
      <c r="CP73" s="1192"/>
      <c r="CQ73" s="1176"/>
      <c r="CR73" s="1177"/>
      <c r="CS73" s="1177"/>
      <c r="CT73" s="1177"/>
      <c r="CU73" s="1177"/>
      <c r="CV73" s="1177"/>
      <c r="CW73" s="1177"/>
      <c r="CX73" s="1177"/>
      <c r="CY73" s="1177"/>
      <c r="CZ73" s="1177"/>
      <c r="DA73" s="1177"/>
      <c r="DB73" s="1177"/>
      <c r="DC73" s="1177"/>
      <c r="DD73" s="1177"/>
      <c r="DE73" s="1177"/>
      <c r="DF73" s="1177"/>
      <c r="DG73" s="1178"/>
      <c r="DH73" s="1265"/>
      <c r="DI73" s="1057"/>
    </row>
    <row r="74" spans="1:113" s="38" customFormat="1" ht="30" customHeight="1" outlineLevel="1">
      <c r="A74" s="1256"/>
      <c r="B74" s="1257"/>
      <c r="C74" s="1257"/>
      <c r="D74" s="1257"/>
      <c r="E74" s="1257"/>
      <c r="F74" s="1257"/>
      <c r="G74" s="1257"/>
      <c r="H74" s="1257"/>
      <c r="I74" s="1258"/>
      <c r="J74" s="1047"/>
      <c r="K74" s="1277" t="s">
        <v>1357</v>
      </c>
      <c r="L74" s="1277"/>
      <c r="M74" s="1277"/>
      <c r="N74" s="1277"/>
      <c r="O74" s="1277"/>
      <c r="P74" s="1277"/>
      <c r="Q74" s="1277"/>
      <c r="R74" s="1277"/>
      <c r="S74" s="1277"/>
      <c r="T74" s="1277"/>
      <c r="U74" s="1277"/>
      <c r="V74" s="1277"/>
      <c r="W74" s="1277"/>
      <c r="X74" s="1277"/>
      <c r="Y74" s="1277"/>
      <c r="Z74" s="1277"/>
      <c r="AA74" s="1277"/>
      <c r="AB74" s="1277"/>
      <c r="AC74" s="1277"/>
      <c r="AD74" s="1277"/>
      <c r="AE74" s="1277"/>
      <c r="AF74" s="1277"/>
      <c r="AG74" s="1277"/>
      <c r="AH74" s="1277"/>
      <c r="AI74" s="1277"/>
      <c r="AJ74" s="1277"/>
      <c r="AK74" s="1277"/>
      <c r="AL74" s="1277"/>
      <c r="AM74" s="1277"/>
      <c r="AN74" s="1277"/>
      <c r="AO74" s="1277"/>
      <c r="AP74" s="1277"/>
      <c r="AQ74" s="1277"/>
      <c r="AR74" s="1277"/>
      <c r="AS74" s="1277"/>
      <c r="AT74" s="1277"/>
      <c r="AU74" s="1277"/>
      <c r="AV74" s="1277"/>
      <c r="AW74" s="1277"/>
      <c r="AX74" s="1277"/>
      <c r="AY74" s="1277"/>
      <c r="AZ74" s="1277"/>
      <c r="BA74" s="1277"/>
      <c r="BB74" s="1277"/>
      <c r="BC74" s="1277"/>
      <c r="BD74" s="1277"/>
      <c r="BE74" s="1277"/>
      <c r="BF74" s="1277"/>
      <c r="BG74" s="1277"/>
      <c r="BH74" s="1048"/>
      <c r="BI74" s="1153" t="s">
        <v>121</v>
      </c>
      <c r="BJ74" s="1268"/>
      <c r="BK74" s="1268"/>
      <c r="BL74" s="1268"/>
      <c r="BM74" s="1268"/>
      <c r="BN74" s="1268"/>
      <c r="BO74" s="1268"/>
      <c r="BP74" s="1268"/>
      <c r="BQ74" s="1268"/>
      <c r="BR74" s="1268"/>
      <c r="BS74" s="1269"/>
      <c r="BT74" s="1235"/>
      <c r="BU74" s="1052">
        <v>0</v>
      </c>
      <c r="BV74" s="1052">
        <v>82760.429999999993</v>
      </c>
      <c r="BW74" s="1186">
        <v>0</v>
      </c>
      <c r="BX74" s="1187"/>
      <c r="BY74" s="1187"/>
      <c r="BZ74" s="1187"/>
      <c r="CA74" s="1187"/>
      <c r="CB74" s="1187"/>
      <c r="CC74" s="1187"/>
      <c r="CD74" s="1187"/>
      <c r="CE74" s="1187"/>
      <c r="CF74" s="1188"/>
      <c r="CG74" s="1190">
        <f>'1. подк.неподк. факт'!Z298</f>
        <v>147919.48778999998</v>
      </c>
      <c r="CH74" s="1191"/>
      <c r="CI74" s="1191"/>
      <c r="CJ74" s="1191"/>
      <c r="CK74" s="1191"/>
      <c r="CL74" s="1191"/>
      <c r="CM74" s="1191"/>
      <c r="CN74" s="1191"/>
      <c r="CO74" s="1191"/>
      <c r="CP74" s="1192"/>
      <c r="CQ74" s="1176"/>
      <c r="CR74" s="1177"/>
      <c r="CS74" s="1177"/>
      <c r="CT74" s="1177"/>
      <c r="CU74" s="1177"/>
      <c r="CV74" s="1177"/>
      <c r="CW74" s="1177"/>
      <c r="CX74" s="1177"/>
      <c r="CY74" s="1177"/>
      <c r="CZ74" s="1177"/>
      <c r="DA74" s="1177"/>
      <c r="DB74" s="1177"/>
      <c r="DC74" s="1177"/>
      <c r="DD74" s="1177"/>
      <c r="DE74" s="1177"/>
      <c r="DF74" s="1177"/>
      <c r="DG74" s="1178"/>
      <c r="DH74" s="1265"/>
      <c r="DI74" s="1057"/>
    </row>
    <row r="75" spans="1:113" s="38" customFormat="1" ht="30" customHeight="1" outlineLevel="1">
      <c r="A75" s="1256"/>
      <c r="B75" s="1257"/>
      <c r="C75" s="1257"/>
      <c r="D75" s="1257"/>
      <c r="E75" s="1257"/>
      <c r="F75" s="1257"/>
      <c r="G75" s="1257"/>
      <c r="H75" s="1257"/>
      <c r="I75" s="1258"/>
      <c r="J75" s="1047"/>
      <c r="K75" s="1277" t="s">
        <v>1375</v>
      </c>
      <c r="L75" s="1277"/>
      <c r="M75" s="1277"/>
      <c r="N75" s="1277"/>
      <c r="O75" s="1277"/>
      <c r="P75" s="1277"/>
      <c r="Q75" s="1277"/>
      <c r="R75" s="1277"/>
      <c r="S75" s="1277"/>
      <c r="T75" s="1277"/>
      <c r="U75" s="1277"/>
      <c r="V75" s="1277"/>
      <c r="W75" s="1277"/>
      <c r="X75" s="1277"/>
      <c r="Y75" s="1277"/>
      <c r="Z75" s="1277"/>
      <c r="AA75" s="1277"/>
      <c r="AB75" s="1277"/>
      <c r="AC75" s="1277"/>
      <c r="AD75" s="1277"/>
      <c r="AE75" s="1277"/>
      <c r="AF75" s="1277"/>
      <c r="AG75" s="1277"/>
      <c r="AH75" s="1277"/>
      <c r="AI75" s="1277"/>
      <c r="AJ75" s="1277"/>
      <c r="AK75" s="1277"/>
      <c r="AL75" s="1277"/>
      <c r="AM75" s="1277"/>
      <c r="AN75" s="1277"/>
      <c r="AO75" s="1277"/>
      <c r="AP75" s="1277"/>
      <c r="AQ75" s="1277"/>
      <c r="AR75" s="1277"/>
      <c r="AS75" s="1277"/>
      <c r="AT75" s="1277"/>
      <c r="AU75" s="1277"/>
      <c r="AV75" s="1277"/>
      <c r="AW75" s="1277"/>
      <c r="AX75" s="1277"/>
      <c r="AY75" s="1277"/>
      <c r="AZ75" s="1277"/>
      <c r="BA75" s="1277"/>
      <c r="BB75" s="1277"/>
      <c r="BC75" s="1277"/>
      <c r="BD75" s="1277"/>
      <c r="BE75" s="1277"/>
      <c r="BF75" s="1277"/>
      <c r="BG75" s="1277"/>
      <c r="BH75" s="1048"/>
      <c r="BI75" s="1153" t="s">
        <v>121</v>
      </c>
      <c r="BJ75" s="1268"/>
      <c r="BK75" s="1268"/>
      <c r="BL75" s="1268"/>
      <c r="BM75" s="1268"/>
      <c r="BN75" s="1268"/>
      <c r="BO75" s="1268"/>
      <c r="BP75" s="1268"/>
      <c r="BQ75" s="1268"/>
      <c r="BR75" s="1268"/>
      <c r="BS75" s="1269"/>
      <c r="BT75" s="1235"/>
      <c r="BU75" s="1052">
        <v>0</v>
      </c>
      <c r="BV75" s="1052">
        <v>2890.52</v>
      </c>
      <c r="BW75" s="1186">
        <v>0</v>
      </c>
      <c r="BX75" s="1187"/>
      <c r="BY75" s="1187"/>
      <c r="BZ75" s="1187"/>
      <c r="CA75" s="1187"/>
      <c r="CB75" s="1187"/>
      <c r="CC75" s="1187"/>
      <c r="CD75" s="1187"/>
      <c r="CE75" s="1187"/>
      <c r="CF75" s="1188"/>
      <c r="CG75" s="1190">
        <f>'1. подк.неподк. факт'!Z302</f>
        <v>2016.91408</v>
      </c>
      <c r="CH75" s="1191"/>
      <c r="CI75" s="1191"/>
      <c r="CJ75" s="1191"/>
      <c r="CK75" s="1191"/>
      <c r="CL75" s="1191"/>
      <c r="CM75" s="1191"/>
      <c r="CN75" s="1191"/>
      <c r="CO75" s="1191"/>
      <c r="CP75" s="1192"/>
      <c r="CQ75" s="1176"/>
      <c r="CR75" s="1177"/>
      <c r="CS75" s="1177"/>
      <c r="CT75" s="1177"/>
      <c r="CU75" s="1177"/>
      <c r="CV75" s="1177"/>
      <c r="CW75" s="1177"/>
      <c r="CX75" s="1177"/>
      <c r="CY75" s="1177"/>
      <c r="CZ75" s="1177"/>
      <c r="DA75" s="1177"/>
      <c r="DB75" s="1177"/>
      <c r="DC75" s="1177"/>
      <c r="DD75" s="1177"/>
      <c r="DE75" s="1177"/>
      <c r="DF75" s="1177"/>
      <c r="DG75" s="1178"/>
      <c r="DH75" s="1265"/>
      <c r="DI75" s="1057"/>
    </row>
    <row r="76" spans="1:113" s="38" customFormat="1" ht="30" customHeight="1" outlineLevel="1">
      <c r="A76" s="1256"/>
      <c r="B76" s="1257"/>
      <c r="C76" s="1257"/>
      <c r="D76" s="1257"/>
      <c r="E76" s="1257"/>
      <c r="F76" s="1257"/>
      <c r="G76" s="1257"/>
      <c r="H76" s="1257"/>
      <c r="I76" s="1258"/>
      <c r="J76" s="1047"/>
      <c r="K76" s="1277" t="s">
        <v>1380</v>
      </c>
      <c r="L76" s="1277"/>
      <c r="M76" s="1277"/>
      <c r="N76" s="1277"/>
      <c r="O76" s="1277"/>
      <c r="P76" s="1277"/>
      <c r="Q76" s="1277"/>
      <c r="R76" s="1277"/>
      <c r="S76" s="1277"/>
      <c r="T76" s="1277"/>
      <c r="U76" s="1277"/>
      <c r="V76" s="1277"/>
      <c r="W76" s="1277"/>
      <c r="X76" s="1277"/>
      <c r="Y76" s="1277"/>
      <c r="Z76" s="1277"/>
      <c r="AA76" s="1277"/>
      <c r="AB76" s="1277"/>
      <c r="AC76" s="1277"/>
      <c r="AD76" s="1277"/>
      <c r="AE76" s="1277"/>
      <c r="AF76" s="1277"/>
      <c r="AG76" s="1277"/>
      <c r="AH76" s="1277"/>
      <c r="AI76" s="1277"/>
      <c r="AJ76" s="1277"/>
      <c r="AK76" s="1277"/>
      <c r="AL76" s="1277"/>
      <c r="AM76" s="1277"/>
      <c r="AN76" s="1277"/>
      <c r="AO76" s="1277"/>
      <c r="AP76" s="1277"/>
      <c r="AQ76" s="1277"/>
      <c r="AR76" s="1277"/>
      <c r="AS76" s="1277"/>
      <c r="AT76" s="1277"/>
      <c r="AU76" s="1277"/>
      <c r="AV76" s="1277"/>
      <c r="AW76" s="1277"/>
      <c r="AX76" s="1277"/>
      <c r="AY76" s="1277"/>
      <c r="AZ76" s="1277"/>
      <c r="BA76" s="1277"/>
      <c r="BB76" s="1277"/>
      <c r="BC76" s="1277"/>
      <c r="BD76" s="1277"/>
      <c r="BE76" s="1277"/>
      <c r="BF76" s="1277"/>
      <c r="BG76" s="1277"/>
      <c r="BH76" s="1048"/>
      <c r="BI76" s="1153" t="s">
        <v>121</v>
      </c>
      <c r="BJ76" s="1268"/>
      <c r="BK76" s="1268"/>
      <c r="BL76" s="1268"/>
      <c r="BM76" s="1268"/>
      <c r="BN76" s="1268"/>
      <c r="BO76" s="1268"/>
      <c r="BP76" s="1268"/>
      <c r="BQ76" s="1268"/>
      <c r="BR76" s="1268"/>
      <c r="BS76" s="1269"/>
      <c r="BT76" s="1235"/>
      <c r="BU76" s="1052">
        <v>0</v>
      </c>
      <c r="BV76" s="1052">
        <v>1260.03</v>
      </c>
      <c r="BW76" s="1186">
        <v>0</v>
      </c>
      <c r="BX76" s="1187"/>
      <c r="BY76" s="1187"/>
      <c r="BZ76" s="1187"/>
      <c r="CA76" s="1187"/>
      <c r="CB76" s="1187"/>
      <c r="CC76" s="1187"/>
      <c r="CD76" s="1187"/>
      <c r="CE76" s="1187"/>
      <c r="CF76" s="1188"/>
      <c r="CG76" s="1190">
        <f>'1. подк.неподк. факт'!Z303</f>
        <v>1215.16057</v>
      </c>
      <c r="CH76" s="1191"/>
      <c r="CI76" s="1191"/>
      <c r="CJ76" s="1191"/>
      <c r="CK76" s="1191"/>
      <c r="CL76" s="1191"/>
      <c r="CM76" s="1191"/>
      <c r="CN76" s="1191"/>
      <c r="CO76" s="1191"/>
      <c r="CP76" s="1192"/>
      <c r="CQ76" s="1176"/>
      <c r="CR76" s="1177"/>
      <c r="CS76" s="1177"/>
      <c r="CT76" s="1177"/>
      <c r="CU76" s="1177"/>
      <c r="CV76" s="1177"/>
      <c r="CW76" s="1177"/>
      <c r="CX76" s="1177"/>
      <c r="CY76" s="1177"/>
      <c r="CZ76" s="1177"/>
      <c r="DA76" s="1177"/>
      <c r="DB76" s="1177"/>
      <c r="DC76" s="1177"/>
      <c r="DD76" s="1177"/>
      <c r="DE76" s="1177"/>
      <c r="DF76" s="1177"/>
      <c r="DG76" s="1178"/>
      <c r="DH76" s="1265"/>
      <c r="DI76" s="1057"/>
    </row>
    <row r="77" spans="1:113" s="38" customFormat="1" ht="30" customHeight="1" outlineLevel="1">
      <c r="A77" s="1256"/>
      <c r="B77" s="1257"/>
      <c r="C77" s="1257"/>
      <c r="D77" s="1257"/>
      <c r="E77" s="1257"/>
      <c r="F77" s="1257"/>
      <c r="G77" s="1257"/>
      <c r="H77" s="1257"/>
      <c r="I77" s="1258"/>
      <c r="J77" s="1047"/>
      <c r="K77" s="1277" t="s">
        <v>1384</v>
      </c>
      <c r="L77" s="1277"/>
      <c r="M77" s="1277"/>
      <c r="N77" s="1277"/>
      <c r="O77" s="1277"/>
      <c r="P77" s="1277"/>
      <c r="Q77" s="1277"/>
      <c r="R77" s="1277"/>
      <c r="S77" s="1277"/>
      <c r="T77" s="1277"/>
      <c r="U77" s="1277"/>
      <c r="V77" s="1277"/>
      <c r="W77" s="1277"/>
      <c r="X77" s="1277"/>
      <c r="Y77" s="1277"/>
      <c r="Z77" s="1277"/>
      <c r="AA77" s="1277"/>
      <c r="AB77" s="1277"/>
      <c r="AC77" s="1277"/>
      <c r="AD77" s="1277"/>
      <c r="AE77" s="1277"/>
      <c r="AF77" s="1277"/>
      <c r="AG77" s="1277"/>
      <c r="AH77" s="1277"/>
      <c r="AI77" s="1277"/>
      <c r="AJ77" s="1277"/>
      <c r="AK77" s="1277"/>
      <c r="AL77" s="1277"/>
      <c r="AM77" s="1277"/>
      <c r="AN77" s="1277"/>
      <c r="AO77" s="1277"/>
      <c r="AP77" s="1277"/>
      <c r="AQ77" s="1277"/>
      <c r="AR77" s="1277"/>
      <c r="AS77" s="1277"/>
      <c r="AT77" s="1277"/>
      <c r="AU77" s="1277"/>
      <c r="AV77" s="1277"/>
      <c r="AW77" s="1277"/>
      <c r="AX77" s="1277"/>
      <c r="AY77" s="1277"/>
      <c r="AZ77" s="1277"/>
      <c r="BA77" s="1277"/>
      <c r="BB77" s="1277"/>
      <c r="BC77" s="1277"/>
      <c r="BD77" s="1277"/>
      <c r="BE77" s="1277"/>
      <c r="BF77" s="1277"/>
      <c r="BG77" s="1277"/>
      <c r="BH77" s="1048"/>
      <c r="BI77" s="1153" t="s">
        <v>121</v>
      </c>
      <c r="BJ77" s="1268"/>
      <c r="BK77" s="1268"/>
      <c r="BL77" s="1268"/>
      <c r="BM77" s="1268"/>
      <c r="BN77" s="1268"/>
      <c r="BO77" s="1268"/>
      <c r="BP77" s="1268"/>
      <c r="BQ77" s="1268"/>
      <c r="BR77" s="1268"/>
      <c r="BS77" s="1269"/>
      <c r="BT77" s="1235"/>
      <c r="BU77" s="1052">
        <v>0</v>
      </c>
      <c r="BV77" s="1052">
        <v>555.34</v>
      </c>
      <c r="BW77" s="1186">
        <v>0</v>
      </c>
      <c r="BX77" s="1187"/>
      <c r="BY77" s="1187"/>
      <c r="BZ77" s="1187"/>
      <c r="CA77" s="1187"/>
      <c r="CB77" s="1187"/>
      <c r="CC77" s="1187"/>
      <c r="CD77" s="1187"/>
      <c r="CE77" s="1187"/>
      <c r="CF77" s="1188"/>
      <c r="CG77" s="1190">
        <f>'1. подк.неподк. факт'!Z304</f>
        <v>802.29806999999994</v>
      </c>
      <c r="CH77" s="1191"/>
      <c r="CI77" s="1191"/>
      <c r="CJ77" s="1191"/>
      <c r="CK77" s="1191"/>
      <c r="CL77" s="1191"/>
      <c r="CM77" s="1191"/>
      <c r="CN77" s="1191"/>
      <c r="CO77" s="1191"/>
      <c r="CP77" s="1192"/>
      <c r="CQ77" s="1176"/>
      <c r="CR77" s="1177"/>
      <c r="CS77" s="1177"/>
      <c r="CT77" s="1177"/>
      <c r="CU77" s="1177"/>
      <c r="CV77" s="1177"/>
      <c r="CW77" s="1177"/>
      <c r="CX77" s="1177"/>
      <c r="CY77" s="1177"/>
      <c r="CZ77" s="1177"/>
      <c r="DA77" s="1177"/>
      <c r="DB77" s="1177"/>
      <c r="DC77" s="1177"/>
      <c r="DD77" s="1177"/>
      <c r="DE77" s="1177"/>
      <c r="DF77" s="1177"/>
      <c r="DG77" s="1178"/>
      <c r="DH77" s="1265"/>
      <c r="DI77" s="1057"/>
    </row>
    <row r="78" spans="1:113" s="38" customFormat="1" ht="30" customHeight="1" outlineLevel="1">
      <c r="A78" s="1256"/>
      <c r="B78" s="1257"/>
      <c r="C78" s="1257"/>
      <c r="D78" s="1257"/>
      <c r="E78" s="1257"/>
      <c r="F78" s="1257"/>
      <c r="G78" s="1257"/>
      <c r="H78" s="1257"/>
      <c r="I78" s="1258"/>
      <c r="J78" s="1047"/>
      <c r="K78" s="1277" t="s">
        <v>1388</v>
      </c>
      <c r="L78" s="1277"/>
      <c r="M78" s="1277"/>
      <c r="N78" s="1277"/>
      <c r="O78" s="1277"/>
      <c r="P78" s="1277"/>
      <c r="Q78" s="1277"/>
      <c r="R78" s="1277"/>
      <c r="S78" s="1277"/>
      <c r="T78" s="1277"/>
      <c r="U78" s="1277"/>
      <c r="V78" s="1277"/>
      <c r="W78" s="1277"/>
      <c r="X78" s="1277"/>
      <c r="Y78" s="1277"/>
      <c r="Z78" s="1277"/>
      <c r="AA78" s="1277"/>
      <c r="AB78" s="1277"/>
      <c r="AC78" s="1277"/>
      <c r="AD78" s="1277"/>
      <c r="AE78" s="1277"/>
      <c r="AF78" s="1277"/>
      <c r="AG78" s="1277"/>
      <c r="AH78" s="1277"/>
      <c r="AI78" s="1277"/>
      <c r="AJ78" s="1277"/>
      <c r="AK78" s="1277"/>
      <c r="AL78" s="1277"/>
      <c r="AM78" s="1277"/>
      <c r="AN78" s="1277"/>
      <c r="AO78" s="1277"/>
      <c r="AP78" s="1277"/>
      <c r="AQ78" s="1277"/>
      <c r="AR78" s="1277"/>
      <c r="AS78" s="1277"/>
      <c r="AT78" s="1277"/>
      <c r="AU78" s="1277"/>
      <c r="AV78" s="1277"/>
      <c r="AW78" s="1277"/>
      <c r="AX78" s="1277"/>
      <c r="AY78" s="1277"/>
      <c r="AZ78" s="1277"/>
      <c r="BA78" s="1277"/>
      <c r="BB78" s="1277"/>
      <c r="BC78" s="1277"/>
      <c r="BD78" s="1277"/>
      <c r="BE78" s="1277"/>
      <c r="BF78" s="1277"/>
      <c r="BG78" s="1277"/>
      <c r="BH78" s="1048"/>
      <c r="BI78" s="1153" t="s">
        <v>121</v>
      </c>
      <c r="BJ78" s="1268"/>
      <c r="BK78" s="1268"/>
      <c r="BL78" s="1268"/>
      <c r="BM78" s="1268"/>
      <c r="BN78" s="1268"/>
      <c r="BO78" s="1268"/>
      <c r="BP78" s="1268"/>
      <c r="BQ78" s="1268"/>
      <c r="BR78" s="1268"/>
      <c r="BS78" s="1269"/>
      <c r="BT78" s="1235"/>
      <c r="BU78" s="1052">
        <v>0</v>
      </c>
      <c r="BV78" s="1052">
        <v>1848.67</v>
      </c>
      <c r="BW78" s="1186">
        <v>0</v>
      </c>
      <c r="BX78" s="1187"/>
      <c r="BY78" s="1187"/>
      <c r="BZ78" s="1187"/>
      <c r="CA78" s="1187"/>
      <c r="CB78" s="1187"/>
      <c r="CC78" s="1187"/>
      <c r="CD78" s="1187"/>
      <c r="CE78" s="1187"/>
      <c r="CF78" s="1188"/>
      <c r="CG78" s="1190">
        <f>'1. подк.неподк. факт'!Z305</f>
        <v>2887.38906</v>
      </c>
      <c r="CH78" s="1191"/>
      <c r="CI78" s="1191"/>
      <c r="CJ78" s="1191"/>
      <c r="CK78" s="1191"/>
      <c r="CL78" s="1191"/>
      <c r="CM78" s="1191"/>
      <c r="CN78" s="1191"/>
      <c r="CO78" s="1191"/>
      <c r="CP78" s="1192"/>
      <c r="CQ78" s="1176"/>
      <c r="CR78" s="1177"/>
      <c r="CS78" s="1177"/>
      <c r="CT78" s="1177"/>
      <c r="CU78" s="1177"/>
      <c r="CV78" s="1177"/>
      <c r="CW78" s="1177"/>
      <c r="CX78" s="1177"/>
      <c r="CY78" s="1177"/>
      <c r="CZ78" s="1177"/>
      <c r="DA78" s="1177"/>
      <c r="DB78" s="1177"/>
      <c r="DC78" s="1177"/>
      <c r="DD78" s="1177"/>
      <c r="DE78" s="1177"/>
      <c r="DF78" s="1177"/>
      <c r="DG78" s="1178"/>
      <c r="DH78" s="1265"/>
      <c r="DI78" s="1057"/>
    </row>
    <row r="79" spans="1:113" s="38" customFormat="1" ht="30" customHeight="1" outlineLevel="1">
      <c r="A79" s="1256"/>
      <c r="B79" s="1257"/>
      <c r="C79" s="1257"/>
      <c r="D79" s="1257"/>
      <c r="E79" s="1257"/>
      <c r="F79" s="1257"/>
      <c r="G79" s="1257"/>
      <c r="H79" s="1257"/>
      <c r="I79" s="1258"/>
      <c r="J79" s="1047"/>
      <c r="K79" s="1277" t="s">
        <v>1393</v>
      </c>
      <c r="L79" s="1277"/>
      <c r="M79" s="1277"/>
      <c r="N79" s="1277"/>
      <c r="O79" s="1277"/>
      <c r="P79" s="1277"/>
      <c r="Q79" s="1277"/>
      <c r="R79" s="1277"/>
      <c r="S79" s="1277"/>
      <c r="T79" s="1277"/>
      <c r="U79" s="1277"/>
      <c r="V79" s="1277"/>
      <c r="W79" s="1277"/>
      <c r="X79" s="1277"/>
      <c r="Y79" s="1277"/>
      <c r="Z79" s="1277"/>
      <c r="AA79" s="1277"/>
      <c r="AB79" s="1277"/>
      <c r="AC79" s="1277"/>
      <c r="AD79" s="1277"/>
      <c r="AE79" s="1277"/>
      <c r="AF79" s="1277"/>
      <c r="AG79" s="1277"/>
      <c r="AH79" s="1277"/>
      <c r="AI79" s="1277"/>
      <c r="AJ79" s="1277"/>
      <c r="AK79" s="1277"/>
      <c r="AL79" s="1277"/>
      <c r="AM79" s="1277"/>
      <c r="AN79" s="1277"/>
      <c r="AO79" s="1277"/>
      <c r="AP79" s="1277"/>
      <c r="AQ79" s="1277"/>
      <c r="AR79" s="1277"/>
      <c r="AS79" s="1277"/>
      <c r="AT79" s="1277"/>
      <c r="AU79" s="1277"/>
      <c r="AV79" s="1277"/>
      <c r="AW79" s="1277"/>
      <c r="AX79" s="1277"/>
      <c r="AY79" s="1277"/>
      <c r="AZ79" s="1277"/>
      <c r="BA79" s="1277"/>
      <c r="BB79" s="1277"/>
      <c r="BC79" s="1277"/>
      <c r="BD79" s="1277"/>
      <c r="BE79" s="1277"/>
      <c r="BF79" s="1277"/>
      <c r="BG79" s="1277"/>
      <c r="BH79" s="1048"/>
      <c r="BI79" s="1153" t="s">
        <v>121</v>
      </c>
      <c r="BJ79" s="1268"/>
      <c r="BK79" s="1268"/>
      <c r="BL79" s="1268"/>
      <c r="BM79" s="1268"/>
      <c r="BN79" s="1268"/>
      <c r="BO79" s="1268"/>
      <c r="BP79" s="1268"/>
      <c r="BQ79" s="1268"/>
      <c r="BR79" s="1268"/>
      <c r="BS79" s="1269"/>
      <c r="BT79" s="1235"/>
      <c r="BU79" s="1052">
        <v>0</v>
      </c>
      <c r="BV79" s="1052">
        <v>5662.71</v>
      </c>
      <c r="BW79" s="1186">
        <v>0</v>
      </c>
      <c r="BX79" s="1187"/>
      <c r="BY79" s="1187"/>
      <c r="BZ79" s="1187"/>
      <c r="CA79" s="1187"/>
      <c r="CB79" s="1187"/>
      <c r="CC79" s="1187"/>
      <c r="CD79" s="1187"/>
      <c r="CE79" s="1187"/>
      <c r="CF79" s="1188"/>
      <c r="CG79" s="1190">
        <f>'1. подк.неподк. факт'!Z306</f>
        <v>2429.2743</v>
      </c>
      <c r="CH79" s="1191"/>
      <c r="CI79" s="1191"/>
      <c r="CJ79" s="1191"/>
      <c r="CK79" s="1191"/>
      <c r="CL79" s="1191"/>
      <c r="CM79" s="1191"/>
      <c r="CN79" s="1191"/>
      <c r="CO79" s="1191"/>
      <c r="CP79" s="1192"/>
      <c r="CQ79" s="1176"/>
      <c r="CR79" s="1177"/>
      <c r="CS79" s="1177"/>
      <c r="CT79" s="1177"/>
      <c r="CU79" s="1177"/>
      <c r="CV79" s="1177"/>
      <c r="CW79" s="1177"/>
      <c r="CX79" s="1177"/>
      <c r="CY79" s="1177"/>
      <c r="CZ79" s="1177"/>
      <c r="DA79" s="1177"/>
      <c r="DB79" s="1177"/>
      <c r="DC79" s="1177"/>
      <c r="DD79" s="1177"/>
      <c r="DE79" s="1177"/>
      <c r="DF79" s="1177"/>
      <c r="DG79" s="1178"/>
      <c r="DH79" s="1265"/>
      <c r="DI79" s="1057"/>
    </row>
    <row r="80" spans="1:113" s="38" customFormat="1" ht="30" customHeight="1" outlineLevel="1">
      <c r="A80" s="1256"/>
      <c r="B80" s="1257"/>
      <c r="C80" s="1257"/>
      <c r="D80" s="1257"/>
      <c r="E80" s="1257"/>
      <c r="F80" s="1257"/>
      <c r="G80" s="1257"/>
      <c r="H80" s="1257"/>
      <c r="I80" s="1258"/>
      <c r="J80" s="1047"/>
      <c r="K80" s="1277" t="s">
        <v>1438</v>
      </c>
      <c r="L80" s="1277"/>
      <c r="M80" s="1277"/>
      <c r="N80" s="1277"/>
      <c r="O80" s="1277"/>
      <c r="P80" s="1277"/>
      <c r="Q80" s="1277"/>
      <c r="R80" s="1277"/>
      <c r="S80" s="1277"/>
      <c r="T80" s="1277"/>
      <c r="U80" s="1277"/>
      <c r="V80" s="1277"/>
      <c r="W80" s="1277"/>
      <c r="X80" s="1277"/>
      <c r="Y80" s="1277"/>
      <c r="Z80" s="1277"/>
      <c r="AA80" s="1277"/>
      <c r="AB80" s="1277"/>
      <c r="AC80" s="1277"/>
      <c r="AD80" s="1277"/>
      <c r="AE80" s="1277"/>
      <c r="AF80" s="1277"/>
      <c r="AG80" s="1277"/>
      <c r="AH80" s="1277"/>
      <c r="AI80" s="1277"/>
      <c r="AJ80" s="1277"/>
      <c r="AK80" s="1277"/>
      <c r="AL80" s="1277"/>
      <c r="AM80" s="1277"/>
      <c r="AN80" s="1277"/>
      <c r="AO80" s="1277"/>
      <c r="AP80" s="1277"/>
      <c r="AQ80" s="1277"/>
      <c r="AR80" s="1277"/>
      <c r="AS80" s="1277"/>
      <c r="AT80" s="1277"/>
      <c r="AU80" s="1277"/>
      <c r="AV80" s="1277"/>
      <c r="AW80" s="1277"/>
      <c r="AX80" s="1277"/>
      <c r="AY80" s="1277"/>
      <c r="AZ80" s="1277"/>
      <c r="BA80" s="1277"/>
      <c r="BB80" s="1277"/>
      <c r="BC80" s="1277"/>
      <c r="BD80" s="1277"/>
      <c r="BE80" s="1277"/>
      <c r="BF80" s="1277"/>
      <c r="BG80" s="1277"/>
      <c r="BH80" s="1048"/>
      <c r="BI80" s="1153" t="s">
        <v>121</v>
      </c>
      <c r="BJ80" s="1268"/>
      <c r="BK80" s="1268"/>
      <c r="BL80" s="1268"/>
      <c r="BM80" s="1268"/>
      <c r="BN80" s="1268"/>
      <c r="BO80" s="1268"/>
      <c r="BP80" s="1268"/>
      <c r="BQ80" s="1268"/>
      <c r="BR80" s="1268"/>
      <c r="BS80" s="1269"/>
      <c r="BT80" s="1235"/>
      <c r="BU80" s="1052">
        <v>0</v>
      </c>
      <c r="BV80" s="1052">
        <v>263.07</v>
      </c>
      <c r="BW80" s="1186">
        <v>0</v>
      </c>
      <c r="BX80" s="1187"/>
      <c r="BY80" s="1187"/>
      <c r="BZ80" s="1187"/>
      <c r="CA80" s="1187"/>
      <c r="CB80" s="1187"/>
      <c r="CC80" s="1187"/>
      <c r="CD80" s="1187"/>
      <c r="CE80" s="1187"/>
      <c r="CF80" s="1188"/>
      <c r="CG80" s="1190">
        <f>'1. подк.неподк. факт'!Z318</f>
        <v>374.73270000000002</v>
      </c>
      <c r="CH80" s="1191"/>
      <c r="CI80" s="1191"/>
      <c r="CJ80" s="1191"/>
      <c r="CK80" s="1191"/>
      <c r="CL80" s="1191"/>
      <c r="CM80" s="1191"/>
      <c r="CN80" s="1191"/>
      <c r="CO80" s="1191"/>
      <c r="CP80" s="1192"/>
      <c r="CQ80" s="1176"/>
      <c r="CR80" s="1177"/>
      <c r="CS80" s="1177"/>
      <c r="CT80" s="1177"/>
      <c r="CU80" s="1177"/>
      <c r="CV80" s="1177"/>
      <c r="CW80" s="1177"/>
      <c r="CX80" s="1177"/>
      <c r="CY80" s="1177"/>
      <c r="CZ80" s="1177"/>
      <c r="DA80" s="1177"/>
      <c r="DB80" s="1177"/>
      <c r="DC80" s="1177"/>
      <c r="DD80" s="1177"/>
      <c r="DE80" s="1177"/>
      <c r="DF80" s="1177"/>
      <c r="DG80" s="1178"/>
      <c r="DH80" s="1265"/>
      <c r="DI80" s="1057"/>
    </row>
    <row r="81" spans="1:116" s="38" customFormat="1" ht="30" customHeight="1" outlineLevel="1">
      <c r="A81" s="1256"/>
      <c r="B81" s="1257"/>
      <c r="C81" s="1257"/>
      <c r="D81" s="1257"/>
      <c r="E81" s="1257"/>
      <c r="F81" s="1257"/>
      <c r="G81" s="1257"/>
      <c r="H81" s="1257"/>
      <c r="I81" s="1258"/>
      <c r="J81" s="1047"/>
      <c r="K81" s="1277" t="s">
        <v>1415</v>
      </c>
      <c r="L81" s="1277"/>
      <c r="M81" s="1277"/>
      <c r="N81" s="1277"/>
      <c r="O81" s="1277"/>
      <c r="P81" s="1277"/>
      <c r="Q81" s="1277"/>
      <c r="R81" s="1277"/>
      <c r="S81" s="1277"/>
      <c r="T81" s="1277"/>
      <c r="U81" s="1277"/>
      <c r="V81" s="1277"/>
      <c r="W81" s="1277"/>
      <c r="X81" s="1277"/>
      <c r="Y81" s="1277"/>
      <c r="Z81" s="1277"/>
      <c r="AA81" s="1277"/>
      <c r="AB81" s="1277"/>
      <c r="AC81" s="1277"/>
      <c r="AD81" s="1277"/>
      <c r="AE81" s="1277"/>
      <c r="AF81" s="1277"/>
      <c r="AG81" s="1277"/>
      <c r="AH81" s="1277"/>
      <c r="AI81" s="1277"/>
      <c r="AJ81" s="1277"/>
      <c r="AK81" s="1277"/>
      <c r="AL81" s="1277"/>
      <c r="AM81" s="1277"/>
      <c r="AN81" s="1277"/>
      <c r="AO81" s="1277"/>
      <c r="AP81" s="1277"/>
      <c r="AQ81" s="1277"/>
      <c r="AR81" s="1277"/>
      <c r="AS81" s="1277"/>
      <c r="AT81" s="1277"/>
      <c r="AU81" s="1277"/>
      <c r="AV81" s="1277"/>
      <c r="AW81" s="1277"/>
      <c r="AX81" s="1277"/>
      <c r="AY81" s="1277"/>
      <c r="AZ81" s="1277"/>
      <c r="BA81" s="1277"/>
      <c r="BB81" s="1277"/>
      <c r="BC81" s="1277"/>
      <c r="BD81" s="1277"/>
      <c r="BE81" s="1277"/>
      <c r="BF81" s="1277"/>
      <c r="BG81" s="1277"/>
      <c r="BH81" s="1048"/>
      <c r="BI81" s="1153" t="s">
        <v>121</v>
      </c>
      <c r="BJ81" s="1268"/>
      <c r="BK81" s="1268"/>
      <c r="BL81" s="1268"/>
      <c r="BM81" s="1268"/>
      <c r="BN81" s="1268"/>
      <c r="BO81" s="1268"/>
      <c r="BP81" s="1268"/>
      <c r="BQ81" s="1268"/>
      <c r="BR81" s="1268"/>
      <c r="BS81" s="1269"/>
      <c r="BT81" s="1235"/>
      <c r="BU81" s="1052">
        <v>0</v>
      </c>
      <c r="BV81" s="1052">
        <v>6038.9</v>
      </c>
      <c r="BW81" s="1186">
        <v>0</v>
      </c>
      <c r="BX81" s="1187"/>
      <c r="BY81" s="1187"/>
      <c r="BZ81" s="1187"/>
      <c r="CA81" s="1187"/>
      <c r="CB81" s="1187"/>
      <c r="CC81" s="1187"/>
      <c r="CD81" s="1187"/>
      <c r="CE81" s="1187"/>
      <c r="CF81" s="1188"/>
      <c r="CG81" s="1190">
        <f>'1. подк.неподк. факт'!Z312</f>
        <v>4307.4105799999998</v>
      </c>
      <c r="CH81" s="1191"/>
      <c r="CI81" s="1191"/>
      <c r="CJ81" s="1191"/>
      <c r="CK81" s="1191"/>
      <c r="CL81" s="1191"/>
      <c r="CM81" s="1191"/>
      <c r="CN81" s="1191"/>
      <c r="CO81" s="1191"/>
      <c r="CP81" s="1192"/>
      <c r="CQ81" s="1176"/>
      <c r="CR81" s="1177"/>
      <c r="CS81" s="1177"/>
      <c r="CT81" s="1177"/>
      <c r="CU81" s="1177"/>
      <c r="CV81" s="1177"/>
      <c r="CW81" s="1177"/>
      <c r="CX81" s="1177"/>
      <c r="CY81" s="1177"/>
      <c r="CZ81" s="1177"/>
      <c r="DA81" s="1177"/>
      <c r="DB81" s="1177"/>
      <c r="DC81" s="1177"/>
      <c r="DD81" s="1177"/>
      <c r="DE81" s="1177"/>
      <c r="DF81" s="1177"/>
      <c r="DG81" s="1178"/>
      <c r="DH81" s="1265"/>
      <c r="DI81" s="1057"/>
    </row>
    <row r="82" spans="1:116" s="38" customFormat="1" ht="30" customHeight="1" outlineLevel="1">
      <c r="A82" s="1256"/>
      <c r="B82" s="1257"/>
      <c r="C82" s="1257"/>
      <c r="D82" s="1257"/>
      <c r="E82" s="1257"/>
      <c r="F82" s="1257"/>
      <c r="G82" s="1257"/>
      <c r="H82" s="1257"/>
      <c r="I82" s="1258"/>
      <c r="J82" s="1047"/>
      <c r="K82" s="1277" t="s">
        <v>1431</v>
      </c>
      <c r="L82" s="1277"/>
      <c r="M82" s="1277"/>
      <c r="N82" s="1277"/>
      <c r="O82" s="1277"/>
      <c r="P82" s="1277"/>
      <c r="Q82" s="1277"/>
      <c r="R82" s="1277"/>
      <c r="S82" s="1277"/>
      <c r="T82" s="1277"/>
      <c r="U82" s="1277"/>
      <c r="V82" s="1277"/>
      <c r="W82" s="1277"/>
      <c r="X82" s="1277"/>
      <c r="Y82" s="1277"/>
      <c r="Z82" s="1277"/>
      <c r="AA82" s="1277"/>
      <c r="AB82" s="1277"/>
      <c r="AC82" s="1277"/>
      <c r="AD82" s="1277"/>
      <c r="AE82" s="1277"/>
      <c r="AF82" s="1277"/>
      <c r="AG82" s="1277"/>
      <c r="AH82" s="1277"/>
      <c r="AI82" s="1277"/>
      <c r="AJ82" s="1277"/>
      <c r="AK82" s="1277"/>
      <c r="AL82" s="1277"/>
      <c r="AM82" s="1277"/>
      <c r="AN82" s="1277"/>
      <c r="AO82" s="1277"/>
      <c r="AP82" s="1277"/>
      <c r="AQ82" s="1277"/>
      <c r="AR82" s="1277"/>
      <c r="AS82" s="1277"/>
      <c r="AT82" s="1277"/>
      <c r="AU82" s="1277"/>
      <c r="AV82" s="1277"/>
      <c r="AW82" s="1277"/>
      <c r="AX82" s="1277"/>
      <c r="AY82" s="1277"/>
      <c r="AZ82" s="1277"/>
      <c r="BA82" s="1277"/>
      <c r="BB82" s="1277"/>
      <c r="BC82" s="1277"/>
      <c r="BD82" s="1277"/>
      <c r="BE82" s="1277"/>
      <c r="BF82" s="1277"/>
      <c r="BG82" s="1277"/>
      <c r="BH82" s="1048"/>
      <c r="BI82" s="1153" t="s">
        <v>121</v>
      </c>
      <c r="BJ82" s="1268"/>
      <c r="BK82" s="1268"/>
      <c r="BL82" s="1268"/>
      <c r="BM82" s="1268"/>
      <c r="BN82" s="1268"/>
      <c r="BO82" s="1268"/>
      <c r="BP82" s="1268"/>
      <c r="BQ82" s="1268"/>
      <c r="BR82" s="1268"/>
      <c r="BS82" s="1269"/>
      <c r="BT82" s="1235"/>
      <c r="BU82" s="1052">
        <v>0</v>
      </c>
      <c r="BV82" s="1052">
        <v>8989.5300000000007</v>
      </c>
      <c r="BW82" s="1186">
        <v>0</v>
      </c>
      <c r="BX82" s="1187"/>
      <c r="BY82" s="1187"/>
      <c r="BZ82" s="1187"/>
      <c r="CA82" s="1187"/>
      <c r="CB82" s="1187"/>
      <c r="CC82" s="1187"/>
      <c r="CD82" s="1187"/>
      <c r="CE82" s="1187"/>
      <c r="CF82" s="1188"/>
      <c r="CG82" s="1190">
        <v>0</v>
      </c>
      <c r="CH82" s="1191"/>
      <c r="CI82" s="1191"/>
      <c r="CJ82" s="1191"/>
      <c r="CK82" s="1191"/>
      <c r="CL82" s="1191"/>
      <c r="CM82" s="1191"/>
      <c r="CN82" s="1191"/>
      <c r="CO82" s="1191"/>
      <c r="CP82" s="1192"/>
      <c r="CQ82" s="1176"/>
      <c r="CR82" s="1177"/>
      <c r="CS82" s="1177"/>
      <c r="CT82" s="1177"/>
      <c r="CU82" s="1177"/>
      <c r="CV82" s="1177"/>
      <c r="CW82" s="1177"/>
      <c r="CX82" s="1177"/>
      <c r="CY82" s="1177"/>
      <c r="CZ82" s="1177"/>
      <c r="DA82" s="1177"/>
      <c r="DB82" s="1177"/>
      <c r="DC82" s="1177"/>
      <c r="DD82" s="1177"/>
      <c r="DE82" s="1177"/>
      <c r="DF82" s="1177"/>
      <c r="DG82" s="1178"/>
      <c r="DH82" s="1265"/>
      <c r="DI82" s="1057"/>
      <c r="DJ82" s="416">
        <f>CG18-BW18</f>
        <v>541261.65540009923</v>
      </c>
    </row>
    <row r="83" spans="1:116" s="38" customFormat="1" ht="30" customHeight="1" outlineLevel="1">
      <c r="A83" s="1256"/>
      <c r="B83" s="1257"/>
      <c r="C83" s="1257"/>
      <c r="D83" s="1257"/>
      <c r="E83" s="1257"/>
      <c r="F83" s="1257"/>
      <c r="G83" s="1257"/>
      <c r="H83" s="1257"/>
      <c r="I83" s="1258"/>
      <c r="J83" s="1047"/>
      <c r="K83" s="1277" t="s">
        <v>2194</v>
      </c>
      <c r="L83" s="1277"/>
      <c r="M83" s="1277"/>
      <c r="N83" s="1277"/>
      <c r="O83" s="1277"/>
      <c r="P83" s="1277"/>
      <c r="Q83" s="1277"/>
      <c r="R83" s="1277"/>
      <c r="S83" s="1277"/>
      <c r="T83" s="1277"/>
      <c r="U83" s="1277"/>
      <c r="V83" s="1277"/>
      <c r="W83" s="1277"/>
      <c r="X83" s="1277"/>
      <c r="Y83" s="1277"/>
      <c r="Z83" s="1277"/>
      <c r="AA83" s="1277"/>
      <c r="AB83" s="1277"/>
      <c r="AC83" s="1277"/>
      <c r="AD83" s="1277"/>
      <c r="AE83" s="1277"/>
      <c r="AF83" s="1277"/>
      <c r="AG83" s="1277"/>
      <c r="AH83" s="1277"/>
      <c r="AI83" s="1277"/>
      <c r="AJ83" s="1277"/>
      <c r="AK83" s="1277"/>
      <c r="AL83" s="1277"/>
      <c r="AM83" s="1277"/>
      <c r="AN83" s="1277"/>
      <c r="AO83" s="1277"/>
      <c r="AP83" s="1277"/>
      <c r="AQ83" s="1277"/>
      <c r="AR83" s="1277"/>
      <c r="AS83" s="1277"/>
      <c r="AT83" s="1277"/>
      <c r="AU83" s="1277"/>
      <c r="AV83" s="1277"/>
      <c r="AW83" s="1277"/>
      <c r="AX83" s="1277"/>
      <c r="AY83" s="1277"/>
      <c r="AZ83" s="1277"/>
      <c r="BA83" s="1277"/>
      <c r="BB83" s="1277"/>
      <c r="BC83" s="1277"/>
      <c r="BD83" s="1277"/>
      <c r="BE83" s="1277"/>
      <c r="BF83" s="1277"/>
      <c r="BG83" s="1277"/>
      <c r="BH83" s="1048"/>
      <c r="BI83" s="1153" t="s">
        <v>121</v>
      </c>
      <c r="BJ83" s="1268"/>
      <c r="BK83" s="1268"/>
      <c r="BL83" s="1268"/>
      <c r="BM83" s="1268"/>
      <c r="BN83" s="1268"/>
      <c r="BO83" s="1268"/>
      <c r="BP83" s="1268"/>
      <c r="BQ83" s="1268"/>
      <c r="BR83" s="1268"/>
      <c r="BS83" s="1269"/>
      <c r="BT83" s="1235"/>
      <c r="BU83" s="1052">
        <v>0</v>
      </c>
      <c r="BV83" s="1052">
        <v>13039.01</v>
      </c>
      <c r="BW83" s="1186">
        <v>0</v>
      </c>
      <c r="BX83" s="1187"/>
      <c r="BY83" s="1187"/>
      <c r="BZ83" s="1187"/>
      <c r="CA83" s="1187"/>
      <c r="CB83" s="1187"/>
      <c r="CC83" s="1187"/>
      <c r="CD83" s="1187"/>
      <c r="CE83" s="1187"/>
      <c r="CF83" s="1188"/>
      <c r="CG83" s="1190">
        <f>'1. подк.неподк. факт'!Z286-CG73-CG74-CG75-CG76-CG77-CG78-CG79-CG80-CG81-CG82-2.6</f>
        <v>24196.100589999915</v>
      </c>
      <c r="CH83" s="1191"/>
      <c r="CI83" s="1191"/>
      <c r="CJ83" s="1191"/>
      <c r="CK83" s="1191"/>
      <c r="CL83" s="1191"/>
      <c r="CM83" s="1191"/>
      <c r="CN83" s="1191"/>
      <c r="CO83" s="1191"/>
      <c r="CP83" s="1192"/>
      <c r="CQ83" s="1173"/>
      <c r="CR83" s="1174"/>
      <c r="CS83" s="1174"/>
      <c r="CT83" s="1174"/>
      <c r="CU83" s="1174"/>
      <c r="CV83" s="1174"/>
      <c r="CW83" s="1174"/>
      <c r="CX83" s="1174"/>
      <c r="CY83" s="1174"/>
      <c r="CZ83" s="1174"/>
      <c r="DA83" s="1174"/>
      <c r="DB83" s="1174"/>
      <c r="DC83" s="1174"/>
      <c r="DD83" s="1174"/>
      <c r="DE83" s="1174"/>
      <c r="DF83" s="1174"/>
      <c r="DG83" s="1175"/>
      <c r="DH83" s="1265"/>
      <c r="DI83" s="1057"/>
    </row>
    <row r="84" spans="1:116" s="38" customFormat="1" ht="45" customHeight="1">
      <c r="A84" s="1256" t="s">
        <v>4</v>
      </c>
      <c r="B84" s="1257"/>
      <c r="C84" s="1257"/>
      <c r="D84" s="1257"/>
      <c r="E84" s="1257"/>
      <c r="F84" s="1257"/>
      <c r="G84" s="1257"/>
      <c r="H84" s="1257"/>
      <c r="I84" s="1258"/>
      <c r="J84" s="1047"/>
      <c r="K84" s="1151" t="s">
        <v>173</v>
      </c>
      <c r="L84" s="1151"/>
      <c r="M84" s="1151"/>
      <c r="N84" s="1151"/>
      <c r="O84" s="1151"/>
      <c r="P84" s="1151"/>
      <c r="Q84" s="1151"/>
      <c r="R84" s="1151"/>
      <c r="S84" s="1151"/>
      <c r="T84" s="1151"/>
      <c r="U84" s="1151"/>
      <c r="V84" s="1151"/>
      <c r="W84" s="1151"/>
      <c r="X84" s="1151"/>
      <c r="Y84" s="1151"/>
      <c r="Z84" s="1151"/>
      <c r="AA84" s="1151"/>
      <c r="AB84" s="1151"/>
      <c r="AC84" s="1151"/>
      <c r="AD84" s="1151"/>
      <c r="AE84" s="1151"/>
      <c r="AF84" s="1151"/>
      <c r="AG84" s="1151"/>
      <c r="AH84" s="1151"/>
      <c r="AI84" s="1151"/>
      <c r="AJ84" s="1151"/>
      <c r="AK84" s="1151"/>
      <c r="AL84" s="1151"/>
      <c r="AM84" s="1151"/>
      <c r="AN84" s="1151"/>
      <c r="AO84" s="1151"/>
      <c r="AP84" s="1151"/>
      <c r="AQ84" s="1151"/>
      <c r="AR84" s="1151"/>
      <c r="AS84" s="1151"/>
      <c r="AT84" s="1151"/>
      <c r="AU84" s="1151"/>
      <c r="AV84" s="1151"/>
      <c r="AW84" s="1151"/>
      <c r="AX84" s="1151"/>
      <c r="AY84" s="1151"/>
      <c r="AZ84" s="1151"/>
      <c r="BA84" s="1151"/>
      <c r="BB84" s="1151"/>
      <c r="BC84" s="1151"/>
      <c r="BD84" s="1151"/>
      <c r="BE84" s="1151"/>
      <c r="BF84" s="1151"/>
      <c r="BG84" s="1151"/>
      <c r="BH84" s="1048"/>
      <c r="BI84" s="1153" t="s">
        <v>121</v>
      </c>
      <c r="BJ84" s="1268"/>
      <c r="BK84" s="1268"/>
      <c r="BL84" s="1268"/>
      <c r="BM84" s="1268"/>
      <c r="BN84" s="1268"/>
      <c r="BO84" s="1268"/>
      <c r="BP84" s="1268"/>
      <c r="BQ84" s="1268"/>
      <c r="BR84" s="1268"/>
      <c r="BS84" s="1269"/>
      <c r="BT84" s="1235"/>
      <c r="BU84" s="1059">
        <v>317532.76</v>
      </c>
      <c r="BV84" s="1059">
        <v>763710.26</v>
      </c>
      <c r="BW84" s="1259">
        <f>345140.3-BW62</f>
        <v>317659.25599999999</v>
      </c>
      <c r="BX84" s="1260"/>
      <c r="BY84" s="1260"/>
      <c r="BZ84" s="1260"/>
      <c r="CA84" s="1260"/>
      <c r="CB84" s="1260"/>
      <c r="CC84" s="1260"/>
      <c r="CD84" s="1260"/>
      <c r="CE84" s="1260"/>
      <c r="CF84" s="1261"/>
      <c r="CG84" s="1270">
        <v>771007</v>
      </c>
      <c r="CH84" s="1271"/>
      <c r="CI84" s="1271"/>
      <c r="CJ84" s="1271"/>
      <c r="CK84" s="1271"/>
      <c r="CL84" s="1271"/>
      <c r="CM84" s="1271"/>
      <c r="CN84" s="1271"/>
      <c r="CO84" s="1271"/>
      <c r="CP84" s="1272"/>
      <c r="CQ84" s="1237"/>
      <c r="CR84" s="1238"/>
      <c r="CS84" s="1238"/>
      <c r="CT84" s="1238"/>
      <c r="CU84" s="1238"/>
      <c r="CV84" s="1238"/>
      <c r="CW84" s="1238"/>
      <c r="CX84" s="1238"/>
      <c r="CY84" s="1238"/>
      <c r="CZ84" s="1238"/>
      <c r="DA84" s="1238"/>
      <c r="DB84" s="1238"/>
      <c r="DC84" s="1238"/>
      <c r="DD84" s="1238"/>
      <c r="DE84" s="1238"/>
      <c r="DF84" s="1238"/>
      <c r="DG84" s="1239"/>
      <c r="DH84" s="1249"/>
      <c r="DI84" s="1057">
        <f t="shared" ref="DI84:DI113" si="2">CG84*100/BW84-100</f>
        <v>142.71510602543248</v>
      </c>
    </row>
    <row r="85" spans="1:116" s="38" customFormat="1" ht="30" customHeight="1">
      <c r="A85" s="1256" t="s">
        <v>174</v>
      </c>
      <c r="B85" s="1257"/>
      <c r="C85" s="1257"/>
      <c r="D85" s="1257"/>
      <c r="E85" s="1257"/>
      <c r="F85" s="1257"/>
      <c r="G85" s="1257"/>
      <c r="H85" s="1257"/>
      <c r="I85" s="1258"/>
      <c r="J85" s="1047"/>
      <c r="K85" s="1151" t="s">
        <v>175</v>
      </c>
      <c r="L85" s="1151"/>
      <c r="M85" s="1151"/>
      <c r="N85" s="1151"/>
      <c r="O85" s="1151"/>
      <c r="P85" s="1151"/>
      <c r="Q85" s="1151"/>
      <c r="R85" s="1151"/>
      <c r="S85" s="1151"/>
      <c r="T85" s="1151"/>
      <c r="U85" s="1151"/>
      <c r="V85" s="1151"/>
      <c r="W85" s="1151"/>
      <c r="X85" s="1151"/>
      <c r="Y85" s="1151"/>
      <c r="Z85" s="1151"/>
      <c r="AA85" s="1151"/>
      <c r="AB85" s="1151"/>
      <c r="AC85" s="1151"/>
      <c r="AD85" s="1151"/>
      <c r="AE85" s="1151"/>
      <c r="AF85" s="1151"/>
      <c r="AG85" s="1151"/>
      <c r="AH85" s="1151"/>
      <c r="AI85" s="1151"/>
      <c r="AJ85" s="1151"/>
      <c r="AK85" s="1151"/>
      <c r="AL85" s="1151"/>
      <c r="AM85" s="1151"/>
      <c r="AN85" s="1151"/>
      <c r="AO85" s="1151"/>
      <c r="AP85" s="1151"/>
      <c r="AQ85" s="1151"/>
      <c r="AR85" s="1151"/>
      <c r="AS85" s="1151"/>
      <c r="AT85" s="1151"/>
      <c r="AU85" s="1151"/>
      <c r="AV85" s="1151"/>
      <c r="AW85" s="1151"/>
      <c r="AX85" s="1151"/>
      <c r="AY85" s="1151"/>
      <c r="AZ85" s="1151"/>
      <c r="BA85" s="1151"/>
      <c r="BB85" s="1151"/>
      <c r="BC85" s="1151"/>
      <c r="BD85" s="1151"/>
      <c r="BE85" s="1151"/>
      <c r="BF85" s="1151"/>
      <c r="BG85" s="1151"/>
      <c r="BH85" s="1048"/>
      <c r="BI85" s="1153" t="s">
        <v>121</v>
      </c>
      <c r="BJ85" s="1268"/>
      <c r="BK85" s="1268"/>
      <c r="BL85" s="1268"/>
      <c r="BM85" s="1268"/>
      <c r="BN85" s="1268"/>
      <c r="BO85" s="1268"/>
      <c r="BP85" s="1268"/>
      <c r="BQ85" s="1268"/>
      <c r="BR85" s="1268"/>
      <c r="BS85" s="1269"/>
      <c r="BT85" s="1235"/>
      <c r="BU85" s="1052">
        <v>269296.2</v>
      </c>
      <c r="BV85" s="1052">
        <v>292233.26</v>
      </c>
      <c r="BW85" s="1186">
        <f>BW22+BW26+BW24</f>
        <v>215754.38823125989</v>
      </c>
      <c r="BX85" s="1187"/>
      <c r="BY85" s="1187"/>
      <c r="BZ85" s="1187"/>
      <c r="CA85" s="1187"/>
      <c r="CB85" s="1187"/>
      <c r="CC85" s="1187"/>
      <c r="CD85" s="1187"/>
      <c r="CE85" s="1187"/>
      <c r="CF85" s="1188"/>
      <c r="CG85" s="1186">
        <f>CG22+CG26+CG24</f>
        <v>300910</v>
      </c>
      <c r="CH85" s="1187"/>
      <c r="CI85" s="1187"/>
      <c r="CJ85" s="1187"/>
      <c r="CK85" s="1187"/>
      <c r="CL85" s="1187"/>
      <c r="CM85" s="1187"/>
      <c r="CN85" s="1187"/>
      <c r="CO85" s="1187"/>
      <c r="CP85" s="1188"/>
      <c r="CQ85" s="1237"/>
      <c r="CR85" s="1238"/>
      <c r="CS85" s="1238"/>
      <c r="CT85" s="1238"/>
      <c r="CU85" s="1238"/>
      <c r="CV85" s="1238"/>
      <c r="CW85" s="1238"/>
      <c r="CX85" s="1238"/>
      <c r="CY85" s="1238"/>
      <c r="CZ85" s="1238"/>
      <c r="DA85" s="1238"/>
      <c r="DB85" s="1238"/>
      <c r="DC85" s="1238"/>
      <c r="DD85" s="1238"/>
      <c r="DE85" s="1238"/>
      <c r="DF85" s="1238"/>
      <c r="DG85" s="1239"/>
      <c r="DH85" s="1266"/>
      <c r="DI85" s="1057">
        <f t="shared" si="2"/>
        <v>39.468773945614799</v>
      </c>
    </row>
    <row r="86" spans="1:116" s="38" customFormat="1" ht="45" customHeight="1">
      <c r="A86" s="1256" t="s">
        <v>176</v>
      </c>
      <c r="B86" s="1257"/>
      <c r="C86" s="1257"/>
      <c r="D86" s="1257"/>
      <c r="E86" s="1257"/>
      <c r="F86" s="1257"/>
      <c r="G86" s="1257"/>
      <c r="H86" s="1257"/>
      <c r="I86" s="1258"/>
      <c r="J86" s="1047"/>
      <c r="K86" s="1151" t="s">
        <v>177</v>
      </c>
      <c r="L86" s="1151"/>
      <c r="M86" s="1151"/>
      <c r="N86" s="1151"/>
      <c r="O86" s="1151"/>
      <c r="P86" s="1151"/>
      <c r="Q86" s="1151"/>
      <c r="R86" s="1151"/>
      <c r="S86" s="1151"/>
      <c r="T86" s="1151"/>
      <c r="U86" s="1151"/>
      <c r="V86" s="1151"/>
      <c r="W86" s="1151"/>
      <c r="X86" s="1151"/>
      <c r="Y86" s="1151"/>
      <c r="Z86" s="1151"/>
      <c r="AA86" s="1151"/>
      <c r="AB86" s="1151"/>
      <c r="AC86" s="1151"/>
      <c r="AD86" s="1151"/>
      <c r="AE86" s="1151"/>
      <c r="AF86" s="1151"/>
      <c r="AG86" s="1151"/>
      <c r="AH86" s="1151"/>
      <c r="AI86" s="1151"/>
      <c r="AJ86" s="1151"/>
      <c r="AK86" s="1151"/>
      <c r="AL86" s="1151"/>
      <c r="AM86" s="1151"/>
      <c r="AN86" s="1151"/>
      <c r="AO86" s="1151"/>
      <c r="AP86" s="1151"/>
      <c r="AQ86" s="1151"/>
      <c r="AR86" s="1151"/>
      <c r="AS86" s="1151"/>
      <c r="AT86" s="1151"/>
      <c r="AU86" s="1151"/>
      <c r="AV86" s="1151"/>
      <c r="AW86" s="1151"/>
      <c r="AX86" s="1151"/>
      <c r="AY86" s="1151"/>
      <c r="AZ86" s="1151"/>
      <c r="BA86" s="1151"/>
      <c r="BB86" s="1151"/>
      <c r="BC86" s="1151"/>
      <c r="BD86" s="1151"/>
      <c r="BE86" s="1151"/>
      <c r="BF86" s="1151"/>
      <c r="BG86" s="1151"/>
      <c r="BH86" s="1048"/>
      <c r="BI86" s="1153" t="s">
        <v>121</v>
      </c>
      <c r="BJ86" s="1268"/>
      <c r="BK86" s="1268"/>
      <c r="BL86" s="1268"/>
      <c r="BM86" s="1268"/>
      <c r="BN86" s="1268"/>
      <c r="BO86" s="1268"/>
      <c r="BP86" s="1268"/>
      <c r="BQ86" s="1268"/>
      <c r="BR86" s="1268"/>
      <c r="BS86" s="1269"/>
      <c r="BT86" s="1236"/>
      <c r="BU86" s="1052">
        <v>2470880.5099999998</v>
      </c>
      <c r="BV86" s="1052">
        <v>2544802.7799999998</v>
      </c>
      <c r="BW86" s="1186">
        <f>[63]Лист1!$D$10</f>
        <v>2963716.16</v>
      </c>
      <c r="BX86" s="1187"/>
      <c r="BY86" s="1187"/>
      <c r="BZ86" s="1187"/>
      <c r="CA86" s="1187"/>
      <c r="CB86" s="1187"/>
      <c r="CC86" s="1187"/>
      <c r="CD86" s="1187"/>
      <c r="CE86" s="1187"/>
      <c r="CF86" s="1188"/>
      <c r="CG86" s="1186">
        <f>'1.6'!BT24</f>
        <v>3193462</v>
      </c>
      <c r="CH86" s="1187"/>
      <c r="CI86" s="1187"/>
      <c r="CJ86" s="1187"/>
      <c r="CK86" s="1187"/>
      <c r="CL86" s="1187"/>
      <c r="CM86" s="1187"/>
      <c r="CN86" s="1187"/>
      <c r="CO86" s="1187"/>
      <c r="CP86" s="1188"/>
      <c r="CQ86" s="1237"/>
      <c r="CR86" s="1238"/>
      <c r="CS86" s="1238"/>
      <c r="CT86" s="1238"/>
      <c r="CU86" s="1238"/>
      <c r="CV86" s="1238"/>
      <c r="CW86" s="1238"/>
      <c r="CX86" s="1238"/>
      <c r="CY86" s="1238"/>
      <c r="CZ86" s="1238"/>
      <c r="DA86" s="1238"/>
      <c r="DB86" s="1238"/>
      <c r="DC86" s="1238"/>
      <c r="DD86" s="1238"/>
      <c r="DE86" s="1238"/>
      <c r="DF86" s="1238"/>
      <c r="DG86" s="1239"/>
      <c r="DH86" s="1267"/>
      <c r="DI86" s="1057">
        <f t="shared" si="2"/>
        <v>7.7519515229150642</v>
      </c>
      <c r="DJ86" s="418">
        <f>'1.6.'!BT24</f>
        <v>3193462</v>
      </c>
    </row>
    <row r="87" spans="1:116" s="38" customFormat="1" ht="40.200000000000003" customHeight="1">
      <c r="A87" s="1148" t="s">
        <v>2</v>
      </c>
      <c r="B87" s="1149"/>
      <c r="C87" s="1149"/>
      <c r="D87" s="1149"/>
      <c r="E87" s="1149"/>
      <c r="F87" s="1149"/>
      <c r="G87" s="1149"/>
      <c r="H87" s="1149"/>
      <c r="I87" s="1150"/>
      <c r="J87" s="39"/>
      <c r="K87" s="1189" t="s">
        <v>178</v>
      </c>
      <c r="L87" s="1189"/>
      <c r="M87" s="1189"/>
      <c r="N87" s="1189"/>
      <c r="O87" s="1189"/>
      <c r="P87" s="1189"/>
      <c r="Q87" s="1189"/>
      <c r="R87" s="1189"/>
      <c r="S87" s="1189"/>
      <c r="T87" s="1189"/>
      <c r="U87" s="1189"/>
      <c r="V87" s="1189"/>
      <c r="W87" s="1189"/>
      <c r="X87" s="1189"/>
      <c r="Y87" s="1189"/>
      <c r="Z87" s="1189"/>
      <c r="AA87" s="1189"/>
      <c r="AB87" s="1189"/>
      <c r="AC87" s="1189"/>
      <c r="AD87" s="1189"/>
      <c r="AE87" s="1189"/>
      <c r="AF87" s="1189"/>
      <c r="AG87" s="1189"/>
      <c r="AH87" s="1189"/>
      <c r="AI87" s="1189"/>
      <c r="AJ87" s="1189"/>
      <c r="AK87" s="1189"/>
      <c r="AL87" s="1189"/>
      <c r="AM87" s="1189"/>
      <c r="AN87" s="1189"/>
      <c r="AO87" s="1189"/>
      <c r="AP87" s="1189"/>
      <c r="AQ87" s="1189"/>
      <c r="AR87" s="1189"/>
      <c r="AS87" s="1189"/>
      <c r="AT87" s="1189"/>
      <c r="AU87" s="1189"/>
      <c r="AV87" s="1189"/>
      <c r="AW87" s="1189"/>
      <c r="AX87" s="1189"/>
      <c r="AY87" s="1189"/>
      <c r="AZ87" s="1189"/>
      <c r="BA87" s="1189"/>
      <c r="BB87" s="1189"/>
      <c r="BC87" s="1189"/>
      <c r="BD87" s="1189"/>
      <c r="BE87" s="1189"/>
      <c r="BF87" s="1189"/>
      <c r="BG87" s="1189"/>
      <c r="BH87" s="40"/>
      <c r="BI87" s="1183" t="s">
        <v>179</v>
      </c>
      <c r="BJ87" s="1184"/>
      <c r="BK87" s="1184"/>
      <c r="BL87" s="1184"/>
      <c r="BM87" s="1184"/>
      <c r="BN87" s="1184"/>
      <c r="BO87" s="1184"/>
      <c r="BP87" s="1184"/>
      <c r="BQ87" s="1184"/>
      <c r="BR87" s="1184"/>
      <c r="BS87" s="1185"/>
      <c r="BT87" s="48">
        <v>42449</v>
      </c>
      <c r="BU87" s="1052">
        <v>1217</v>
      </c>
      <c r="BV87" s="1052">
        <v>1278</v>
      </c>
      <c r="BW87" s="1186">
        <v>1218.28</v>
      </c>
      <c r="BX87" s="1187"/>
      <c r="BY87" s="1187"/>
      <c r="BZ87" s="1187"/>
      <c r="CA87" s="1187"/>
      <c r="CB87" s="1187"/>
      <c r="CC87" s="1187"/>
      <c r="CD87" s="1187"/>
      <c r="CE87" s="1187"/>
      <c r="CF87" s="1188"/>
      <c r="CG87" s="1186">
        <v>1273.7157337399999</v>
      </c>
      <c r="CH87" s="1187"/>
      <c r="CI87" s="1187"/>
      <c r="CJ87" s="1187"/>
      <c r="CK87" s="1187"/>
      <c r="CL87" s="1187"/>
      <c r="CM87" s="1187"/>
      <c r="CN87" s="1187"/>
      <c r="CO87" s="1187"/>
      <c r="CP87" s="1188"/>
      <c r="CQ87" s="1237"/>
      <c r="CR87" s="1238"/>
      <c r="CS87" s="1238"/>
      <c r="CT87" s="1238"/>
      <c r="CU87" s="1238"/>
      <c r="CV87" s="1238"/>
      <c r="CW87" s="1238"/>
      <c r="CX87" s="1238"/>
      <c r="CY87" s="1238"/>
      <c r="CZ87" s="1238"/>
      <c r="DA87" s="1238"/>
      <c r="DB87" s="1238"/>
      <c r="DC87" s="1238"/>
      <c r="DD87" s="1238"/>
      <c r="DE87" s="1238"/>
      <c r="DF87" s="1238"/>
      <c r="DG87" s="1239"/>
      <c r="DH87" s="42" t="s">
        <v>180</v>
      </c>
      <c r="DI87" s="1057">
        <f t="shared" si="2"/>
        <v>4.5503278179072026</v>
      </c>
    </row>
    <row r="88" spans="1:116" s="38" customFormat="1" ht="70.95" customHeight="1">
      <c r="A88" s="1148" t="s">
        <v>3</v>
      </c>
      <c r="B88" s="1149"/>
      <c r="C88" s="1149"/>
      <c r="D88" s="1149"/>
      <c r="E88" s="1149"/>
      <c r="F88" s="1149"/>
      <c r="G88" s="1149"/>
      <c r="H88" s="1149"/>
      <c r="I88" s="1150"/>
      <c r="J88" s="39"/>
      <c r="K88" s="1189" t="s">
        <v>181</v>
      </c>
      <c r="L88" s="1189"/>
      <c r="M88" s="1189"/>
      <c r="N88" s="1189"/>
      <c r="O88" s="1189"/>
      <c r="P88" s="1189"/>
      <c r="Q88" s="1189"/>
      <c r="R88" s="1189"/>
      <c r="S88" s="1189"/>
      <c r="T88" s="1189"/>
      <c r="U88" s="1189"/>
      <c r="V88" s="1189"/>
      <c r="W88" s="1189"/>
      <c r="X88" s="1189"/>
      <c r="Y88" s="1189"/>
      <c r="Z88" s="1189"/>
      <c r="AA88" s="1189"/>
      <c r="AB88" s="1189"/>
      <c r="AC88" s="1189"/>
      <c r="AD88" s="1189"/>
      <c r="AE88" s="1189"/>
      <c r="AF88" s="1189"/>
      <c r="AG88" s="1189"/>
      <c r="AH88" s="1189"/>
      <c r="AI88" s="1189"/>
      <c r="AJ88" s="1189"/>
      <c r="AK88" s="1189"/>
      <c r="AL88" s="1189"/>
      <c r="AM88" s="1189"/>
      <c r="AN88" s="1189"/>
      <c r="AO88" s="1189"/>
      <c r="AP88" s="1189"/>
      <c r="AQ88" s="1189"/>
      <c r="AR88" s="1189"/>
      <c r="AS88" s="1189"/>
      <c r="AT88" s="1189"/>
      <c r="AU88" s="1189"/>
      <c r="AV88" s="1189"/>
      <c r="AW88" s="1189"/>
      <c r="AX88" s="1189"/>
      <c r="AY88" s="1189"/>
      <c r="AZ88" s="1189"/>
      <c r="BA88" s="1189"/>
      <c r="BB88" s="1189"/>
      <c r="BC88" s="1189"/>
      <c r="BD88" s="1189"/>
      <c r="BE88" s="1189"/>
      <c r="BF88" s="1189"/>
      <c r="BG88" s="1189"/>
      <c r="BH88" s="40"/>
      <c r="BI88" s="1183" t="s">
        <v>182</v>
      </c>
      <c r="BJ88" s="1184"/>
      <c r="BK88" s="1184"/>
      <c r="BL88" s="1184"/>
      <c r="BM88" s="1184"/>
      <c r="BN88" s="1184"/>
      <c r="BO88" s="1184"/>
      <c r="BP88" s="1184"/>
      <c r="BQ88" s="1184"/>
      <c r="BR88" s="1184"/>
      <c r="BS88" s="1185"/>
      <c r="BT88" s="48">
        <v>42449</v>
      </c>
      <c r="BU88" s="1052">
        <v>2030.7</v>
      </c>
      <c r="BV88" s="1052">
        <v>1990.74</v>
      </c>
      <c r="BW88" s="1241">
        <v>2432.6999999999998</v>
      </c>
      <c r="BX88" s="1242"/>
      <c r="BY88" s="1242"/>
      <c r="BZ88" s="1242"/>
      <c r="CA88" s="1242"/>
      <c r="CB88" s="1242"/>
      <c r="CC88" s="1242"/>
      <c r="CD88" s="1242"/>
      <c r="CE88" s="1242"/>
      <c r="CF88" s="1243"/>
      <c r="CG88" s="1241">
        <f>CG86/CG87</f>
        <v>2507.2015014080625</v>
      </c>
      <c r="CH88" s="1242"/>
      <c r="CI88" s="1242"/>
      <c r="CJ88" s="1242"/>
      <c r="CK88" s="1242"/>
      <c r="CL88" s="1242"/>
      <c r="CM88" s="1242"/>
      <c r="CN88" s="1242"/>
      <c r="CO88" s="1242"/>
      <c r="CP88" s="1243"/>
      <c r="CQ88" s="1237"/>
      <c r="CR88" s="1238"/>
      <c r="CS88" s="1238"/>
      <c r="CT88" s="1238"/>
      <c r="CU88" s="1238"/>
      <c r="CV88" s="1238"/>
      <c r="CW88" s="1238"/>
      <c r="CX88" s="1238"/>
      <c r="CY88" s="1238"/>
      <c r="CZ88" s="1238"/>
      <c r="DA88" s="1238"/>
      <c r="DB88" s="1238"/>
      <c r="DC88" s="1238"/>
      <c r="DD88" s="1238"/>
      <c r="DE88" s="1238"/>
      <c r="DF88" s="1238"/>
      <c r="DG88" s="1239"/>
      <c r="DH88" s="42" t="s">
        <v>183</v>
      </c>
      <c r="DI88" s="1057">
        <f t="shared" si="2"/>
        <v>3.0625026270424911</v>
      </c>
      <c r="DL88" s="399"/>
    </row>
    <row r="89" spans="1:116" s="38" customFormat="1" ht="57" customHeight="1">
      <c r="A89" s="1148" t="s">
        <v>184</v>
      </c>
      <c r="B89" s="1149"/>
      <c r="C89" s="1149"/>
      <c r="D89" s="1149"/>
      <c r="E89" s="1149"/>
      <c r="F89" s="1149"/>
      <c r="G89" s="1149"/>
      <c r="H89" s="1149"/>
      <c r="I89" s="1150"/>
      <c r="J89" s="39"/>
      <c r="K89" s="1189" t="s">
        <v>185</v>
      </c>
      <c r="L89" s="1189"/>
      <c r="M89" s="1189"/>
      <c r="N89" s="1189"/>
      <c r="O89" s="1189"/>
      <c r="P89" s="1189"/>
      <c r="Q89" s="1189"/>
      <c r="R89" s="1189"/>
      <c r="S89" s="1189"/>
      <c r="T89" s="1189"/>
      <c r="U89" s="1189"/>
      <c r="V89" s="1189"/>
      <c r="W89" s="1189"/>
      <c r="X89" s="1189"/>
      <c r="Y89" s="1189"/>
      <c r="Z89" s="1189"/>
      <c r="AA89" s="1189"/>
      <c r="AB89" s="1189"/>
      <c r="AC89" s="1189"/>
      <c r="AD89" s="1189"/>
      <c r="AE89" s="1189"/>
      <c r="AF89" s="1189"/>
      <c r="AG89" s="1189"/>
      <c r="AH89" s="1189"/>
      <c r="AI89" s="1189"/>
      <c r="AJ89" s="1189"/>
      <c r="AK89" s="1189"/>
      <c r="AL89" s="1189"/>
      <c r="AM89" s="1189"/>
      <c r="AN89" s="1189"/>
      <c r="AO89" s="1189"/>
      <c r="AP89" s="1189"/>
      <c r="AQ89" s="1189"/>
      <c r="AR89" s="1189"/>
      <c r="AS89" s="1189"/>
      <c r="AT89" s="1189"/>
      <c r="AU89" s="1189"/>
      <c r="AV89" s="1189"/>
      <c r="AW89" s="1189"/>
      <c r="AX89" s="1189"/>
      <c r="AY89" s="1189"/>
      <c r="AZ89" s="1189"/>
      <c r="BA89" s="1189"/>
      <c r="BB89" s="1189"/>
      <c r="BC89" s="1189"/>
      <c r="BD89" s="1189"/>
      <c r="BE89" s="1189"/>
      <c r="BF89" s="1189"/>
      <c r="BG89" s="1189"/>
      <c r="BH89" s="40"/>
      <c r="BI89" s="1183" t="s">
        <v>118</v>
      </c>
      <c r="BJ89" s="1184"/>
      <c r="BK89" s="1184"/>
      <c r="BL89" s="1184"/>
      <c r="BM89" s="1184"/>
      <c r="BN89" s="1184"/>
      <c r="BO89" s="1184"/>
      <c r="BP89" s="1184"/>
      <c r="BQ89" s="1184"/>
      <c r="BR89" s="1184"/>
      <c r="BS89" s="1185"/>
      <c r="BT89" s="50"/>
      <c r="BU89" s="1052"/>
      <c r="BV89" s="1052"/>
      <c r="BW89" s="1183" t="s">
        <v>118</v>
      </c>
      <c r="BX89" s="1184"/>
      <c r="BY89" s="1184"/>
      <c r="BZ89" s="1184"/>
      <c r="CA89" s="1184"/>
      <c r="CB89" s="1184"/>
      <c r="CC89" s="1184"/>
      <c r="CD89" s="1184"/>
      <c r="CE89" s="1184"/>
      <c r="CF89" s="1185"/>
      <c r="CG89" s="1183" t="s">
        <v>118</v>
      </c>
      <c r="CH89" s="1184"/>
      <c r="CI89" s="1184"/>
      <c r="CJ89" s="1184"/>
      <c r="CK89" s="1184"/>
      <c r="CL89" s="1184"/>
      <c r="CM89" s="1184"/>
      <c r="CN89" s="1184"/>
      <c r="CO89" s="1184"/>
      <c r="CP89" s="1185"/>
      <c r="CQ89" s="1208" t="s">
        <v>118</v>
      </c>
      <c r="CR89" s="1229"/>
      <c r="CS89" s="1229"/>
      <c r="CT89" s="1229"/>
      <c r="CU89" s="1229"/>
      <c r="CV89" s="1229"/>
      <c r="CW89" s="1229"/>
      <c r="CX89" s="1229"/>
      <c r="CY89" s="1229"/>
      <c r="CZ89" s="1229"/>
      <c r="DA89" s="1229"/>
      <c r="DB89" s="1229"/>
      <c r="DC89" s="1229"/>
      <c r="DD89" s="1229"/>
      <c r="DE89" s="1229"/>
      <c r="DF89" s="1229"/>
      <c r="DG89" s="1230"/>
      <c r="DH89" s="41" t="s">
        <v>118</v>
      </c>
      <c r="DI89" s="1057" t="e">
        <f t="shared" si="2"/>
        <v>#VALUE!</v>
      </c>
    </row>
    <row r="90" spans="1:116" s="38" customFormat="1" ht="60" customHeight="1">
      <c r="A90" s="1148" t="s">
        <v>119</v>
      </c>
      <c r="B90" s="1149"/>
      <c r="C90" s="1149"/>
      <c r="D90" s="1149"/>
      <c r="E90" s="1149"/>
      <c r="F90" s="1149"/>
      <c r="G90" s="1149"/>
      <c r="H90" s="1149"/>
      <c r="I90" s="1150"/>
      <c r="J90" s="39"/>
      <c r="K90" s="1189" t="s">
        <v>186</v>
      </c>
      <c r="L90" s="1189"/>
      <c r="M90" s="1189"/>
      <c r="N90" s="1189"/>
      <c r="O90" s="1189"/>
      <c r="P90" s="1189"/>
      <c r="Q90" s="1189"/>
      <c r="R90" s="1189"/>
      <c r="S90" s="1189"/>
      <c r="T90" s="1189"/>
      <c r="U90" s="1189"/>
      <c r="V90" s="1189"/>
      <c r="W90" s="1189"/>
      <c r="X90" s="1189"/>
      <c r="Y90" s="1189"/>
      <c r="Z90" s="1189"/>
      <c r="AA90" s="1189"/>
      <c r="AB90" s="1189"/>
      <c r="AC90" s="1189"/>
      <c r="AD90" s="1189"/>
      <c r="AE90" s="1189"/>
      <c r="AF90" s="1189"/>
      <c r="AG90" s="1189"/>
      <c r="AH90" s="1189"/>
      <c r="AI90" s="1189"/>
      <c r="AJ90" s="1189"/>
      <c r="AK90" s="1189"/>
      <c r="AL90" s="1189"/>
      <c r="AM90" s="1189"/>
      <c r="AN90" s="1189"/>
      <c r="AO90" s="1189"/>
      <c r="AP90" s="1189"/>
      <c r="AQ90" s="1189"/>
      <c r="AR90" s="1189"/>
      <c r="AS90" s="1189"/>
      <c r="AT90" s="1189"/>
      <c r="AU90" s="1189"/>
      <c r="AV90" s="1189"/>
      <c r="AW90" s="1189"/>
      <c r="AX90" s="1189"/>
      <c r="AY90" s="1189"/>
      <c r="AZ90" s="1189"/>
      <c r="BA90" s="1189"/>
      <c r="BB90" s="1189"/>
      <c r="BC90" s="1189"/>
      <c r="BD90" s="1189"/>
      <c r="BE90" s="1189"/>
      <c r="BF90" s="1189"/>
      <c r="BG90" s="1189"/>
      <c r="BH90" s="40"/>
      <c r="BI90" s="1183" t="s">
        <v>187</v>
      </c>
      <c r="BJ90" s="1184"/>
      <c r="BK90" s="1184"/>
      <c r="BL90" s="1184"/>
      <c r="BM90" s="1184"/>
      <c r="BN90" s="1184"/>
      <c r="BO90" s="1184"/>
      <c r="BP90" s="1184"/>
      <c r="BQ90" s="1184"/>
      <c r="BR90" s="1184"/>
      <c r="BS90" s="1185"/>
      <c r="BT90" s="48">
        <v>42449</v>
      </c>
      <c r="BU90" s="1052">
        <v>924275</v>
      </c>
      <c r="BV90" s="1052">
        <v>965771</v>
      </c>
      <c r="BW90" s="1274">
        <v>965771</v>
      </c>
      <c r="BX90" s="1275"/>
      <c r="BY90" s="1275"/>
      <c r="BZ90" s="1275"/>
      <c r="CA90" s="1275"/>
      <c r="CB90" s="1275"/>
      <c r="CC90" s="1275"/>
      <c r="CD90" s="1275"/>
      <c r="CE90" s="1275"/>
      <c r="CF90" s="1276"/>
      <c r="CG90" s="1274">
        <v>822237</v>
      </c>
      <c r="CH90" s="1275"/>
      <c r="CI90" s="1275"/>
      <c r="CJ90" s="1275"/>
      <c r="CK90" s="1275"/>
      <c r="CL90" s="1275"/>
      <c r="CM90" s="1275"/>
      <c r="CN90" s="1275"/>
      <c r="CO90" s="1275"/>
      <c r="CP90" s="1276"/>
      <c r="CQ90" s="1237"/>
      <c r="CR90" s="1238"/>
      <c r="CS90" s="1238"/>
      <c r="CT90" s="1238"/>
      <c r="CU90" s="1238"/>
      <c r="CV90" s="1238"/>
      <c r="CW90" s="1238"/>
      <c r="CX90" s="1238"/>
      <c r="CY90" s="1238"/>
      <c r="CZ90" s="1238"/>
      <c r="DA90" s="1238"/>
      <c r="DB90" s="1238"/>
      <c r="DC90" s="1238"/>
      <c r="DD90" s="1238"/>
      <c r="DE90" s="1238"/>
      <c r="DF90" s="1238"/>
      <c r="DG90" s="1239"/>
      <c r="DH90" s="42" t="s">
        <v>188</v>
      </c>
      <c r="DI90" s="1057">
        <f t="shared" si="2"/>
        <v>-14.862115346184552</v>
      </c>
    </row>
    <row r="91" spans="1:116" s="38" customFormat="1" ht="36" customHeight="1">
      <c r="A91" s="1148" t="s">
        <v>189</v>
      </c>
      <c r="B91" s="1149"/>
      <c r="C91" s="1149"/>
      <c r="D91" s="1149"/>
      <c r="E91" s="1149"/>
      <c r="F91" s="1149"/>
      <c r="G91" s="1149"/>
      <c r="H91" s="1149"/>
      <c r="I91" s="1150"/>
      <c r="J91" s="39"/>
      <c r="K91" s="1189" t="s">
        <v>190</v>
      </c>
      <c r="L91" s="1189"/>
      <c r="M91" s="1189"/>
      <c r="N91" s="1189"/>
      <c r="O91" s="1189"/>
      <c r="P91" s="1189"/>
      <c r="Q91" s="1189"/>
      <c r="R91" s="1189"/>
      <c r="S91" s="1189"/>
      <c r="T91" s="1189"/>
      <c r="U91" s="1189"/>
      <c r="V91" s="1189"/>
      <c r="W91" s="1189"/>
      <c r="X91" s="1189"/>
      <c r="Y91" s="1189"/>
      <c r="Z91" s="1189"/>
      <c r="AA91" s="1189"/>
      <c r="AB91" s="1189"/>
      <c r="AC91" s="1189"/>
      <c r="AD91" s="1189"/>
      <c r="AE91" s="1189"/>
      <c r="AF91" s="1189"/>
      <c r="AG91" s="1189"/>
      <c r="AH91" s="1189"/>
      <c r="AI91" s="1189"/>
      <c r="AJ91" s="1189"/>
      <c r="AK91" s="1189"/>
      <c r="AL91" s="1189"/>
      <c r="AM91" s="1189"/>
      <c r="AN91" s="1189"/>
      <c r="AO91" s="1189"/>
      <c r="AP91" s="1189"/>
      <c r="AQ91" s="1189"/>
      <c r="AR91" s="1189"/>
      <c r="AS91" s="1189"/>
      <c r="AT91" s="1189"/>
      <c r="AU91" s="1189"/>
      <c r="AV91" s="1189"/>
      <c r="AW91" s="1189"/>
      <c r="AX91" s="1189"/>
      <c r="AY91" s="1189"/>
      <c r="AZ91" s="1189"/>
      <c r="BA91" s="1189"/>
      <c r="BB91" s="1189"/>
      <c r="BC91" s="1189"/>
      <c r="BD91" s="1189"/>
      <c r="BE91" s="1189"/>
      <c r="BF91" s="1189"/>
      <c r="BG91" s="1189"/>
      <c r="BH91" s="40"/>
      <c r="BI91" s="1183" t="s">
        <v>191</v>
      </c>
      <c r="BJ91" s="1184"/>
      <c r="BK91" s="1184"/>
      <c r="BL91" s="1184"/>
      <c r="BM91" s="1184"/>
      <c r="BN91" s="1184"/>
      <c r="BO91" s="1184"/>
      <c r="BP91" s="1184"/>
      <c r="BQ91" s="1184"/>
      <c r="BR91" s="1184"/>
      <c r="BS91" s="1185"/>
      <c r="BT91" s="1234">
        <v>42449</v>
      </c>
      <c r="BU91" s="1052">
        <v>2289</v>
      </c>
      <c r="BV91" s="1052">
        <v>2365</v>
      </c>
      <c r="BW91" s="1274">
        <v>2194.6999999999998</v>
      </c>
      <c r="BX91" s="1275"/>
      <c r="BY91" s="1275"/>
      <c r="BZ91" s="1275"/>
      <c r="CA91" s="1275"/>
      <c r="CB91" s="1275"/>
      <c r="CC91" s="1275"/>
      <c r="CD91" s="1275"/>
      <c r="CE91" s="1275"/>
      <c r="CF91" s="1276"/>
      <c r="CG91" s="1274">
        <v>2261.4</v>
      </c>
      <c r="CH91" s="1275"/>
      <c r="CI91" s="1275"/>
      <c r="CJ91" s="1275"/>
      <c r="CK91" s="1275"/>
      <c r="CL91" s="1275"/>
      <c r="CM91" s="1275"/>
      <c r="CN91" s="1275"/>
      <c r="CO91" s="1275"/>
      <c r="CP91" s="1276"/>
      <c r="CQ91" s="1179" t="s">
        <v>2199</v>
      </c>
      <c r="CR91" s="1180"/>
      <c r="CS91" s="1180"/>
      <c r="CT91" s="1180"/>
      <c r="CU91" s="1180"/>
      <c r="CV91" s="1180"/>
      <c r="CW91" s="1180"/>
      <c r="CX91" s="1180"/>
      <c r="CY91" s="1180"/>
      <c r="CZ91" s="1180"/>
      <c r="DA91" s="1180"/>
      <c r="DB91" s="1180"/>
      <c r="DC91" s="1180"/>
      <c r="DD91" s="1180"/>
      <c r="DE91" s="1180"/>
      <c r="DF91" s="1180"/>
      <c r="DG91" s="1181"/>
      <c r="DH91" s="1247" t="s">
        <v>192</v>
      </c>
      <c r="DI91" s="1057">
        <f t="shared" si="2"/>
        <v>3.0391397457511431</v>
      </c>
    </row>
    <row r="92" spans="1:116" s="38" customFormat="1" ht="16.95" customHeight="1">
      <c r="A92" s="1148" t="s">
        <v>7</v>
      </c>
      <c r="B92" s="1149"/>
      <c r="C92" s="1149"/>
      <c r="D92" s="1149"/>
      <c r="E92" s="1149"/>
      <c r="F92" s="1149"/>
      <c r="G92" s="1149"/>
      <c r="H92" s="1149"/>
      <c r="I92" s="1150"/>
      <c r="J92" s="1047"/>
      <c r="K92" s="1151" t="s">
        <v>1572</v>
      </c>
      <c r="L92" s="1151"/>
      <c r="M92" s="1151"/>
      <c r="N92" s="1151"/>
      <c r="O92" s="1151"/>
      <c r="P92" s="1151"/>
      <c r="Q92" s="1151"/>
      <c r="R92" s="1151"/>
      <c r="S92" s="1151"/>
      <c r="T92" s="1151"/>
      <c r="U92" s="1151"/>
      <c r="V92" s="1151"/>
      <c r="W92" s="1151"/>
      <c r="X92" s="1151"/>
      <c r="Y92" s="1151"/>
      <c r="Z92" s="1151"/>
      <c r="AA92" s="1151"/>
      <c r="AB92" s="1151"/>
      <c r="AC92" s="1151"/>
      <c r="AD92" s="1151"/>
      <c r="AE92" s="1151"/>
      <c r="AF92" s="1151"/>
      <c r="AG92" s="1151"/>
      <c r="AH92" s="1151"/>
      <c r="AI92" s="1151"/>
      <c r="AJ92" s="1151"/>
      <c r="AK92" s="1151"/>
      <c r="AL92" s="1151"/>
      <c r="AM92" s="1151"/>
      <c r="AN92" s="1151"/>
      <c r="AO92" s="1151"/>
      <c r="AP92" s="1151"/>
      <c r="AQ92" s="1151"/>
      <c r="AR92" s="1151"/>
      <c r="AS92" s="1151"/>
      <c r="AT92" s="1151"/>
      <c r="AU92" s="1151"/>
      <c r="AV92" s="1151"/>
      <c r="AW92" s="1151"/>
      <c r="AX92" s="1151"/>
      <c r="AY92" s="1151"/>
      <c r="AZ92" s="1151"/>
      <c r="BA92" s="1151"/>
      <c r="BB92" s="1151"/>
      <c r="BC92" s="1151"/>
      <c r="BD92" s="1151"/>
      <c r="BE92" s="1151"/>
      <c r="BF92" s="1151"/>
      <c r="BG92" s="1151"/>
      <c r="BH92" s="1152"/>
      <c r="BI92" s="1153" t="s">
        <v>191</v>
      </c>
      <c r="BJ92" s="1154"/>
      <c r="BK92" s="1154"/>
      <c r="BL92" s="1154"/>
      <c r="BM92" s="1154"/>
      <c r="BN92" s="1154"/>
      <c r="BO92" s="1154"/>
      <c r="BP92" s="1154"/>
      <c r="BQ92" s="1154"/>
      <c r="BR92" s="1154"/>
      <c r="BS92" s="1155"/>
      <c r="BT92" s="1235"/>
      <c r="BU92" s="1052" t="s">
        <v>63</v>
      </c>
      <c r="BV92" s="1052" t="s">
        <v>63</v>
      </c>
      <c r="BW92" s="1182" t="s">
        <v>63</v>
      </c>
      <c r="BX92" s="1154"/>
      <c r="BY92" s="1154"/>
      <c r="BZ92" s="1154"/>
      <c r="CA92" s="1154"/>
      <c r="CB92" s="1154"/>
      <c r="CC92" s="1154"/>
      <c r="CD92" s="1154"/>
      <c r="CE92" s="1154"/>
      <c r="CF92" s="1155"/>
      <c r="CG92" s="1182" t="s">
        <v>63</v>
      </c>
      <c r="CH92" s="1154"/>
      <c r="CI92" s="1154"/>
      <c r="CJ92" s="1154"/>
      <c r="CK92" s="1154"/>
      <c r="CL92" s="1154"/>
      <c r="CM92" s="1154"/>
      <c r="CN92" s="1154"/>
      <c r="CO92" s="1154"/>
      <c r="CP92" s="1155"/>
      <c r="CQ92" s="1176"/>
      <c r="CR92" s="1177"/>
      <c r="CS92" s="1177"/>
      <c r="CT92" s="1177"/>
      <c r="CU92" s="1177"/>
      <c r="CV92" s="1177"/>
      <c r="CW92" s="1177"/>
      <c r="CX92" s="1177"/>
      <c r="CY92" s="1177"/>
      <c r="CZ92" s="1177"/>
      <c r="DA92" s="1177"/>
      <c r="DB92" s="1177"/>
      <c r="DC92" s="1177"/>
      <c r="DD92" s="1177"/>
      <c r="DE92" s="1177"/>
      <c r="DF92" s="1177"/>
      <c r="DG92" s="1178"/>
      <c r="DH92" s="1265"/>
      <c r="DI92" s="1057"/>
    </row>
    <row r="93" spans="1:116" s="38" customFormat="1" ht="16.95" customHeight="1">
      <c r="A93" s="1148" t="s">
        <v>2073</v>
      </c>
      <c r="B93" s="1149"/>
      <c r="C93" s="1149"/>
      <c r="D93" s="1149"/>
      <c r="E93" s="1149"/>
      <c r="F93" s="1149"/>
      <c r="G93" s="1149"/>
      <c r="H93" s="1149"/>
      <c r="I93" s="1150"/>
      <c r="J93" s="1047"/>
      <c r="K93" s="1151" t="s">
        <v>1573</v>
      </c>
      <c r="L93" s="1151"/>
      <c r="M93" s="1151"/>
      <c r="N93" s="1151"/>
      <c r="O93" s="1151"/>
      <c r="P93" s="1151"/>
      <c r="Q93" s="1151"/>
      <c r="R93" s="1151"/>
      <c r="S93" s="1151"/>
      <c r="T93" s="1151"/>
      <c r="U93" s="1151"/>
      <c r="V93" s="1151"/>
      <c r="W93" s="1151"/>
      <c r="X93" s="1151"/>
      <c r="Y93" s="1151"/>
      <c r="Z93" s="1151"/>
      <c r="AA93" s="1151"/>
      <c r="AB93" s="1151"/>
      <c r="AC93" s="1151"/>
      <c r="AD93" s="1151"/>
      <c r="AE93" s="1151"/>
      <c r="AF93" s="1151"/>
      <c r="AG93" s="1151"/>
      <c r="AH93" s="1151"/>
      <c r="AI93" s="1151"/>
      <c r="AJ93" s="1151"/>
      <c r="AK93" s="1151"/>
      <c r="AL93" s="1151"/>
      <c r="AM93" s="1151"/>
      <c r="AN93" s="1151"/>
      <c r="AO93" s="1151"/>
      <c r="AP93" s="1151"/>
      <c r="AQ93" s="1151"/>
      <c r="AR93" s="1151"/>
      <c r="AS93" s="1151"/>
      <c r="AT93" s="1151"/>
      <c r="AU93" s="1151"/>
      <c r="AV93" s="1151"/>
      <c r="AW93" s="1151"/>
      <c r="AX93" s="1151"/>
      <c r="AY93" s="1151"/>
      <c r="AZ93" s="1151"/>
      <c r="BA93" s="1151"/>
      <c r="BB93" s="1151"/>
      <c r="BC93" s="1151"/>
      <c r="BD93" s="1151"/>
      <c r="BE93" s="1151"/>
      <c r="BF93" s="1151"/>
      <c r="BG93" s="1151"/>
      <c r="BH93" s="1152"/>
      <c r="BI93" s="1153" t="s">
        <v>191</v>
      </c>
      <c r="BJ93" s="1154"/>
      <c r="BK93" s="1154"/>
      <c r="BL93" s="1154"/>
      <c r="BM93" s="1154"/>
      <c r="BN93" s="1154"/>
      <c r="BO93" s="1154"/>
      <c r="BP93" s="1154"/>
      <c r="BQ93" s="1154"/>
      <c r="BR93" s="1154"/>
      <c r="BS93" s="1155"/>
      <c r="BT93" s="1235"/>
      <c r="BU93" s="1052">
        <v>76</v>
      </c>
      <c r="BV93" s="1052">
        <v>96</v>
      </c>
      <c r="BW93" s="1156">
        <v>76.400000000000006</v>
      </c>
      <c r="BX93" s="1157"/>
      <c r="BY93" s="1157"/>
      <c r="BZ93" s="1157"/>
      <c r="CA93" s="1157"/>
      <c r="CB93" s="1157"/>
      <c r="CC93" s="1157"/>
      <c r="CD93" s="1157"/>
      <c r="CE93" s="1157"/>
      <c r="CF93" s="1158"/>
      <c r="CG93" s="1156">
        <v>76.400000000000006</v>
      </c>
      <c r="CH93" s="1157"/>
      <c r="CI93" s="1157"/>
      <c r="CJ93" s="1157"/>
      <c r="CK93" s="1157"/>
      <c r="CL93" s="1157"/>
      <c r="CM93" s="1157"/>
      <c r="CN93" s="1157"/>
      <c r="CO93" s="1157"/>
      <c r="CP93" s="1158"/>
      <c r="CQ93" s="1176"/>
      <c r="CR93" s="1177"/>
      <c r="CS93" s="1177"/>
      <c r="CT93" s="1177"/>
      <c r="CU93" s="1177"/>
      <c r="CV93" s="1177"/>
      <c r="CW93" s="1177"/>
      <c r="CX93" s="1177"/>
      <c r="CY93" s="1177"/>
      <c r="CZ93" s="1177"/>
      <c r="DA93" s="1177"/>
      <c r="DB93" s="1177"/>
      <c r="DC93" s="1177"/>
      <c r="DD93" s="1177"/>
      <c r="DE93" s="1177"/>
      <c r="DF93" s="1177"/>
      <c r="DG93" s="1178"/>
      <c r="DH93" s="1265"/>
      <c r="DI93" s="1057">
        <f t="shared" si="2"/>
        <v>0</v>
      </c>
    </row>
    <row r="94" spans="1:116" s="38" customFormat="1" ht="16.95" customHeight="1">
      <c r="A94" s="1148" t="s">
        <v>2195</v>
      </c>
      <c r="B94" s="1149"/>
      <c r="C94" s="1149"/>
      <c r="D94" s="1149"/>
      <c r="E94" s="1149"/>
      <c r="F94" s="1149"/>
      <c r="G94" s="1149"/>
      <c r="H94" s="1149"/>
      <c r="I94" s="1150"/>
      <c r="J94" s="1047"/>
      <c r="K94" s="1151" t="s">
        <v>1574</v>
      </c>
      <c r="L94" s="1151"/>
      <c r="M94" s="1151"/>
      <c r="N94" s="1151"/>
      <c r="O94" s="1151"/>
      <c r="P94" s="1151"/>
      <c r="Q94" s="1151"/>
      <c r="R94" s="1151"/>
      <c r="S94" s="1151"/>
      <c r="T94" s="1151"/>
      <c r="U94" s="1151"/>
      <c r="V94" s="1151"/>
      <c r="W94" s="1151"/>
      <c r="X94" s="1151"/>
      <c r="Y94" s="1151"/>
      <c r="Z94" s="1151"/>
      <c r="AA94" s="1151"/>
      <c r="AB94" s="1151"/>
      <c r="AC94" s="1151"/>
      <c r="AD94" s="1151"/>
      <c r="AE94" s="1151"/>
      <c r="AF94" s="1151"/>
      <c r="AG94" s="1151"/>
      <c r="AH94" s="1151"/>
      <c r="AI94" s="1151"/>
      <c r="AJ94" s="1151"/>
      <c r="AK94" s="1151"/>
      <c r="AL94" s="1151"/>
      <c r="AM94" s="1151"/>
      <c r="AN94" s="1151"/>
      <c r="AO94" s="1151"/>
      <c r="AP94" s="1151"/>
      <c r="AQ94" s="1151"/>
      <c r="AR94" s="1151"/>
      <c r="AS94" s="1151"/>
      <c r="AT94" s="1151"/>
      <c r="AU94" s="1151"/>
      <c r="AV94" s="1151"/>
      <c r="AW94" s="1151"/>
      <c r="AX94" s="1151"/>
      <c r="AY94" s="1151"/>
      <c r="AZ94" s="1151"/>
      <c r="BA94" s="1151"/>
      <c r="BB94" s="1151"/>
      <c r="BC94" s="1151"/>
      <c r="BD94" s="1151"/>
      <c r="BE94" s="1151"/>
      <c r="BF94" s="1151"/>
      <c r="BG94" s="1151"/>
      <c r="BH94" s="1152"/>
      <c r="BI94" s="1153" t="s">
        <v>191</v>
      </c>
      <c r="BJ94" s="1154"/>
      <c r="BK94" s="1154"/>
      <c r="BL94" s="1154"/>
      <c r="BM94" s="1154"/>
      <c r="BN94" s="1154"/>
      <c r="BO94" s="1154"/>
      <c r="BP94" s="1154"/>
      <c r="BQ94" s="1154"/>
      <c r="BR94" s="1154"/>
      <c r="BS94" s="1155"/>
      <c r="BT94" s="1235"/>
      <c r="BU94" s="1052">
        <v>2213</v>
      </c>
      <c r="BV94" s="1052">
        <v>2269</v>
      </c>
      <c r="BW94" s="1156">
        <v>2118.3000000000002</v>
      </c>
      <c r="BX94" s="1157"/>
      <c r="BY94" s="1157"/>
      <c r="BZ94" s="1157"/>
      <c r="CA94" s="1157"/>
      <c r="CB94" s="1157"/>
      <c r="CC94" s="1157"/>
      <c r="CD94" s="1157"/>
      <c r="CE94" s="1157"/>
      <c r="CF94" s="1158"/>
      <c r="CG94" s="1156">
        <v>2185</v>
      </c>
      <c r="CH94" s="1157"/>
      <c r="CI94" s="1157"/>
      <c r="CJ94" s="1157"/>
      <c r="CK94" s="1157"/>
      <c r="CL94" s="1157"/>
      <c r="CM94" s="1157"/>
      <c r="CN94" s="1157"/>
      <c r="CO94" s="1157"/>
      <c r="CP94" s="1158"/>
      <c r="CQ94" s="1176"/>
      <c r="CR94" s="1177"/>
      <c r="CS94" s="1177"/>
      <c r="CT94" s="1177"/>
      <c r="CU94" s="1177"/>
      <c r="CV94" s="1177"/>
      <c r="CW94" s="1177"/>
      <c r="CX94" s="1177"/>
      <c r="CY94" s="1177"/>
      <c r="CZ94" s="1177"/>
      <c r="DA94" s="1177"/>
      <c r="DB94" s="1177"/>
      <c r="DC94" s="1177"/>
      <c r="DD94" s="1177"/>
      <c r="DE94" s="1177"/>
      <c r="DF94" s="1177"/>
      <c r="DG94" s="1178"/>
      <c r="DH94" s="1265"/>
      <c r="DI94" s="1057">
        <f t="shared" si="2"/>
        <v>3.1487513572204051</v>
      </c>
    </row>
    <row r="95" spans="1:116" s="38" customFormat="1" ht="16.95" customHeight="1">
      <c r="A95" s="1148" t="s">
        <v>2196</v>
      </c>
      <c r="B95" s="1149"/>
      <c r="C95" s="1149"/>
      <c r="D95" s="1149"/>
      <c r="E95" s="1149"/>
      <c r="F95" s="1149"/>
      <c r="G95" s="1149"/>
      <c r="H95" s="1149"/>
      <c r="I95" s="1150"/>
      <c r="J95" s="1047"/>
      <c r="K95" s="1151" t="s">
        <v>1575</v>
      </c>
      <c r="L95" s="1151"/>
      <c r="M95" s="1151"/>
      <c r="N95" s="1151"/>
      <c r="O95" s="1151"/>
      <c r="P95" s="1151"/>
      <c r="Q95" s="1151"/>
      <c r="R95" s="1151"/>
      <c r="S95" s="1151"/>
      <c r="T95" s="1151"/>
      <c r="U95" s="1151"/>
      <c r="V95" s="1151"/>
      <c r="W95" s="1151"/>
      <c r="X95" s="1151"/>
      <c r="Y95" s="1151"/>
      <c r="Z95" s="1151"/>
      <c r="AA95" s="1151"/>
      <c r="AB95" s="1151"/>
      <c r="AC95" s="1151"/>
      <c r="AD95" s="1151"/>
      <c r="AE95" s="1151"/>
      <c r="AF95" s="1151"/>
      <c r="AG95" s="1151"/>
      <c r="AH95" s="1151"/>
      <c r="AI95" s="1151"/>
      <c r="AJ95" s="1151"/>
      <c r="AK95" s="1151"/>
      <c r="AL95" s="1151"/>
      <c r="AM95" s="1151"/>
      <c r="AN95" s="1151"/>
      <c r="AO95" s="1151"/>
      <c r="AP95" s="1151"/>
      <c r="AQ95" s="1151"/>
      <c r="AR95" s="1151"/>
      <c r="AS95" s="1151"/>
      <c r="AT95" s="1151"/>
      <c r="AU95" s="1151"/>
      <c r="AV95" s="1151"/>
      <c r="AW95" s="1151"/>
      <c r="AX95" s="1151"/>
      <c r="AY95" s="1151"/>
      <c r="AZ95" s="1151"/>
      <c r="BA95" s="1151"/>
      <c r="BB95" s="1151"/>
      <c r="BC95" s="1151"/>
      <c r="BD95" s="1151"/>
      <c r="BE95" s="1151"/>
      <c r="BF95" s="1151"/>
      <c r="BG95" s="1151"/>
      <c r="BH95" s="1152"/>
      <c r="BI95" s="1153" t="s">
        <v>191</v>
      </c>
      <c r="BJ95" s="1154"/>
      <c r="BK95" s="1154"/>
      <c r="BL95" s="1154"/>
      <c r="BM95" s="1154"/>
      <c r="BN95" s="1154"/>
      <c r="BO95" s="1154"/>
      <c r="BP95" s="1154"/>
      <c r="BQ95" s="1154"/>
      <c r="BR95" s="1154"/>
      <c r="BS95" s="1155"/>
      <c r="BT95" s="1235"/>
      <c r="BU95" s="1052" t="s">
        <v>63</v>
      </c>
      <c r="BV95" s="1052" t="s">
        <v>63</v>
      </c>
      <c r="BW95" s="1182" t="s">
        <v>63</v>
      </c>
      <c r="BX95" s="1154"/>
      <c r="BY95" s="1154"/>
      <c r="BZ95" s="1154"/>
      <c r="CA95" s="1154"/>
      <c r="CB95" s="1154"/>
      <c r="CC95" s="1154"/>
      <c r="CD95" s="1154"/>
      <c r="CE95" s="1154"/>
      <c r="CF95" s="1155"/>
      <c r="CG95" s="1182" t="s">
        <v>63</v>
      </c>
      <c r="CH95" s="1154"/>
      <c r="CI95" s="1154"/>
      <c r="CJ95" s="1154"/>
      <c r="CK95" s="1154"/>
      <c r="CL95" s="1154"/>
      <c r="CM95" s="1154"/>
      <c r="CN95" s="1154"/>
      <c r="CO95" s="1154"/>
      <c r="CP95" s="1155"/>
      <c r="CQ95" s="1176"/>
      <c r="CR95" s="1177"/>
      <c r="CS95" s="1177"/>
      <c r="CT95" s="1177"/>
      <c r="CU95" s="1177"/>
      <c r="CV95" s="1177"/>
      <c r="CW95" s="1177"/>
      <c r="CX95" s="1177"/>
      <c r="CY95" s="1177"/>
      <c r="CZ95" s="1177"/>
      <c r="DA95" s="1177"/>
      <c r="DB95" s="1177"/>
      <c r="DC95" s="1177"/>
      <c r="DD95" s="1177"/>
      <c r="DE95" s="1177"/>
      <c r="DF95" s="1177"/>
      <c r="DG95" s="1178"/>
      <c r="DH95" s="1265"/>
      <c r="DI95" s="1057"/>
    </row>
    <row r="96" spans="1:116" s="38" customFormat="1" ht="30" customHeight="1">
      <c r="A96" s="1148" t="s">
        <v>193</v>
      </c>
      <c r="B96" s="1149"/>
      <c r="C96" s="1149"/>
      <c r="D96" s="1149"/>
      <c r="E96" s="1149"/>
      <c r="F96" s="1149"/>
      <c r="G96" s="1149"/>
      <c r="H96" s="1149"/>
      <c r="I96" s="1150"/>
      <c r="J96" s="39"/>
      <c r="K96" s="1189" t="s">
        <v>194</v>
      </c>
      <c r="L96" s="1189"/>
      <c r="M96" s="1189"/>
      <c r="N96" s="1189"/>
      <c r="O96" s="1189"/>
      <c r="P96" s="1189"/>
      <c r="Q96" s="1189"/>
      <c r="R96" s="1189"/>
      <c r="S96" s="1189"/>
      <c r="T96" s="1189"/>
      <c r="U96" s="1189"/>
      <c r="V96" s="1189"/>
      <c r="W96" s="1189"/>
      <c r="X96" s="1189"/>
      <c r="Y96" s="1189"/>
      <c r="Z96" s="1189"/>
      <c r="AA96" s="1189"/>
      <c r="AB96" s="1189"/>
      <c r="AC96" s="1189"/>
      <c r="AD96" s="1189"/>
      <c r="AE96" s="1189"/>
      <c r="AF96" s="1189"/>
      <c r="AG96" s="1189"/>
      <c r="AH96" s="1189"/>
      <c r="AI96" s="1189"/>
      <c r="AJ96" s="1189"/>
      <c r="AK96" s="1189"/>
      <c r="AL96" s="1189"/>
      <c r="AM96" s="1189"/>
      <c r="AN96" s="1189"/>
      <c r="AO96" s="1189"/>
      <c r="AP96" s="1189"/>
      <c r="AQ96" s="1189"/>
      <c r="AR96" s="1189"/>
      <c r="AS96" s="1189"/>
      <c r="AT96" s="1189"/>
      <c r="AU96" s="1189"/>
      <c r="AV96" s="1189"/>
      <c r="AW96" s="1189"/>
      <c r="AX96" s="1189"/>
      <c r="AY96" s="1189"/>
      <c r="AZ96" s="1189"/>
      <c r="BA96" s="1189"/>
      <c r="BB96" s="1189"/>
      <c r="BC96" s="1189"/>
      <c r="BD96" s="1189"/>
      <c r="BE96" s="1189"/>
      <c r="BF96" s="1189"/>
      <c r="BG96" s="1189"/>
      <c r="BH96" s="40"/>
      <c r="BI96" s="1183" t="s">
        <v>43</v>
      </c>
      <c r="BJ96" s="1184"/>
      <c r="BK96" s="1184"/>
      <c r="BL96" s="1184"/>
      <c r="BM96" s="1184"/>
      <c r="BN96" s="1184"/>
      <c r="BO96" s="1184"/>
      <c r="BP96" s="1184"/>
      <c r="BQ96" s="1184"/>
      <c r="BR96" s="1184"/>
      <c r="BS96" s="1185"/>
      <c r="BT96" s="1281"/>
      <c r="BU96" s="1052">
        <v>36156</v>
      </c>
      <c r="BV96" s="1052">
        <v>37275</v>
      </c>
      <c r="BW96" s="1186">
        <v>37274.800000000003</v>
      </c>
      <c r="BX96" s="1187"/>
      <c r="BY96" s="1187"/>
      <c r="BZ96" s="1187"/>
      <c r="CA96" s="1187"/>
      <c r="CB96" s="1187"/>
      <c r="CC96" s="1187"/>
      <c r="CD96" s="1187"/>
      <c r="CE96" s="1187"/>
      <c r="CF96" s="1188"/>
      <c r="CG96" s="1186">
        <v>37423</v>
      </c>
      <c r="CH96" s="1187"/>
      <c r="CI96" s="1187"/>
      <c r="CJ96" s="1187"/>
      <c r="CK96" s="1187"/>
      <c r="CL96" s="1187"/>
      <c r="CM96" s="1187"/>
      <c r="CN96" s="1187"/>
      <c r="CO96" s="1187"/>
      <c r="CP96" s="1188"/>
      <c r="CQ96" s="1176"/>
      <c r="CR96" s="1177"/>
      <c r="CS96" s="1177"/>
      <c r="CT96" s="1177"/>
      <c r="CU96" s="1177"/>
      <c r="CV96" s="1177"/>
      <c r="CW96" s="1177"/>
      <c r="CX96" s="1177"/>
      <c r="CY96" s="1177"/>
      <c r="CZ96" s="1177"/>
      <c r="DA96" s="1177"/>
      <c r="DB96" s="1177"/>
      <c r="DC96" s="1177"/>
      <c r="DD96" s="1177"/>
      <c r="DE96" s="1177"/>
      <c r="DF96" s="1177"/>
      <c r="DG96" s="1178"/>
      <c r="DH96" s="1249"/>
      <c r="DI96" s="1057">
        <f t="shared" si="2"/>
        <v>0.39758764634551369</v>
      </c>
    </row>
    <row r="97" spans="1:113" s="38" customFormat="1" ht="16.95" customHeight="1">
      <c r="A97" s="1148" t="s">
        <v>7</v>
      </c>
      <c r="B97" s="1149"/>
      <c r="C97" s="1149"/>
      <c r="D97" s="1149"/>
      <c r="E97" s="1149"/>
      <c r="F97" s="1149"/>
      <c r="G97" s="1149"/>
      <c r="H97" s="1149"/>
      <c r="I97" s="1150"/>
      <c r="J97" s="1047"/>
      <c r="K97" s="1151" t="s">
        <v>1572</v>
      </c>
      <c r="L97" s="1151"/>
      <c r="M97" s="1151"/>
      <c r="N97" s="1151"/>
      <c r="O97" s="1151"/>
      <c r="P97" s="1151"/>
      <c r="Q97" s="1151"/>
      <c r="R97" s="1151"/>
      <c r="S97" s="1151"/>
      <c r="T97" s="1151"/>
      <c r="U97" s="1151"/>
      <c r="V97" s="1151"/>
      <c r="W97" s="1151"/>
      <c r="X97" s="1151"/>
      <c r="Y97" s="1151"/>
      <c r="Z97" s="1151"/>
      <c r="AA97" s="1151"/>
      <c r="AB97" s="1151"/>
      <c r="AC97" s="1151"/>
      <c r="AD97" s="1151"/>
      <c r="AE97" s="1151"/>
      <c r="AF97" s="1151"/>
      <c r="AG97" s="1151"/>
      <c r="AH97" s="1151"/>
      <c r="AI97" s="1151"/>
      <c r="AJ97" s="1151"/>
      <c r="AK97" s="1151"/>
      <c r="AL97" s="1151"/>
      <c r="AM97" s="1151"/>
      <c r="AN97" s="1151"/>
      <c r="AO97" s="1151"/>
      <c r="AP97" s="1151"/>
      <c r="AQ97" s="1151"/>
      <c r="AR97" s="1151"/>
      <c r="AS97" s="1151"/>
      <c r="AT97" s="1151"/>
      <c r="AU97" s="1151"/>
      <c r="AV97" s="1151"/>
      <c r="AW97" s="1151"/>
      <c r="AX97" s="1151"/>
      <c r="AY97" s="1151"/>
      <c r="AZ97" s="1151"/>
      <c r="BA97" s="1151"/>
      <c r="BB97" s="1151"/>
      <c r="BC97" s="1151"/>
      <c r="BD97" s="1151"/>
      <c r="BE97" s="1151"/>
      <c r="BF97" s="1151"/>
      <c r="BG97" s="1151"/>
      <c r="BH97" s="1152"/>
      <c r="BI97" s="1153" t="s">
        <v>43</v>
      </c>
      <c r="BJ97" s="1154"/>
      <c r="BK97" s="1154"/>
      <c r="BL97" s="1154"/>
      <c r="BM97" s="1154"/>
      <c r="BN97" s="1154"/>
      <c r="BO97" s="1154"/>
      <c r="BP97" s="1154"/>
      <c r="BQ97" s="1154"/>
      <c r="BR97" s="1154"/>
      <c r="BS97" s="1155"/>
      <c r="BT97" s="1281"/>
      <c r="BU97" s="1052">
        <v>24</v>
      </c>
      <c r="BV97" s="1052">
        <v>24</v>
      </c>
      <c r="BW97" s="1156">
        <f>BV97</f>
        <v>24</v>
      </c>
      <c r="BX97" s="1157"/>
      <c r="BY97" s="1157"/>
      <c r="BZ97" s="1157"/>
      <c r="CA97" s="1157"/>
      <c r="CB97" s="1157"/>
      <c r="CC97" s="1157"/>
      <c r="CD97" s="1157"/>
      <c r="CE97" s="1157"/>
      <c r="CF97" s="1158"/>
      <c r="CG97" s="1156">
        <v>24.13</v>
      </c>
      <c r="CH97" s="1157"/>
      <c r="CI97" s="1157"/>
      <c r="CJ97" s="1157"/>
      <c r="CK97" s="1157"/>
      <c r="CL97" s="1157"/>
      <c r="CM97" s="1157"/>
      <c r="CN97" s="1157"/>
      <c r="CO97" s="1157"/>
      <c r="CP97" s="1158"/>
      <c r="CQ97" s="1176"/>
      <c r="CR97" s="1177"/>
      <c r="CS97" s="1177"/>
      <c r="CT97" s="1177"/>
      <c r="CU97" s="1177"/>
      <c r="CV97" s="1177"/>
      <c r="CW97" s="1177"/>
      <c r="CX97" s="1177"/>
      <c r="CY97" s="1177"/>
      <c r="CZ97" s="1177"/>
      <c r="DA97" s="1177"/>
      <c r="DB97" s="1177"/>
      <c r="DC97" s="1177"/>
      <c r="DD97" s="1177"/>
      <c r="DE97" s="1177"/>
      <c r="DF97" s="1177"/>
      <c r="DG97" s="1178"/>
      <c r="DH97" s="1249"/>
      <c r="DI97" s="1057">
        <f t="shared" si="2"/>
        <v>0.5416666666666714</v>
      </c>
    </row>
    <row r="98" spans="1:113" s="38" customFormat="1" ht="16.95" customHeight="1">
      <c r="A98" s="1148" t="s">
        <v>2073</v>
      </c>
      <c r="B98" s="1149"/>
      <c r="C98" s="1149"/>
      <c r="D98" s="1149"/>
      <c r="E98" s="1149"/>
      <c r="F98" s="1149"/>
      <c r="G98" s="1149"/>
      <c r="H98" s="1149"/>
      <c r="I98" s="1150"/>
      <c r="J98" s="1047"/>
      <c r="K98" s="1151" t="s">
        <v>1573</v>
      </c>
      <c r="L98" s="1151"/>
      <c r="M98" s="1151"/>
      <c r="N98" s="1151"/>
      <c r="O98" s="1151"/>
      <c r="P98" s="1151"/>
      <c r="Q98" s="1151"/>
      <c r="R98" s="1151"/>
      <c r="S98" s="1151"/>
      <c r="T98" s="1151"/>
      <c r="U98" s="1151"/>
      <c r="V98" s="1151"/>
      <c r="W98" s="1151"/>
      <c r="X98" s="1151"/>
      <c r="Y98" s="1151"/>
      <c r="Z98" s="1151"/>
      <c r="AA98" s="1151"/>
      <c r="AB98" s="1151"/>
      <c r="AC98" s="1151"/>
      <c r="AD98" s="1151"/>
      <c r="AE98" s="1151"/>
      <c r="AF98" s="1151"/>
      <c r="AG98" s="1151"/>
      <c r="AH98" s="1151"/>
      <c r="AI98" s="1151"/>
      <c r="AJ98" s="1151"/>
      <c r="AK98" s="1151"/>
      <c r="AL98" s="1151"/>
      <c r="AM98" s="1151"/>
      <c r="AN98" s="1151"/>
      <c r="AO98" s="1151"/>
      <c r="AP98" s="1151"/>
      <c r="AQ98" s="1151"/>
      <c r="AR98" s="1151"/>
      <c r="AS98" s="1151"/>
      <c r="AT98" s="1151"/>
      <c r="AU98" s="1151"/>
      <c r="AV98" s="1151"/>
      <c r="AW98" s="1151"/>
      <c r="AX98" s="1151"/>
      <c r="AY98" s="1151"/>
      <c r="AZ98" s="1151"/>
      <c r="BA98" s="1151"/>
      <c r="BB98" s="1151"/>
      <c r="BC98" s="1151"/>
      <c r="BD98" s="1151"/>
      <c r="BE98" s="1151"/>
      <c r="BF98" s="1151"/>
      <c r="BG98" s="1151"/>
      <c r="BH98" s="1152"/>
      <c r="BI98" s="1153" t="s">
        <v>43</v>
      </c>
      <c r="BJ98" s="1154"/>
      <c r="BK98" s="1154"/>
      <c r="BL98" s="1154"/>
      <c r="BM98" s="1154"/>
      <c r="BN98" s="1154"/>
      <c r="BO98" s="1154"/>
      <c r="BP98" s="1154"/>
      <c r="BQ98" s="1154"/>
      <c r="BR98" s="1154"/>
      <c r="BS98" s="1155"/>
      <c r="BT98" s="1281"/>
      <c r="BU98" s="1052">
        <v>27</v>
      </c>
      <c r="BV98" s="1052">
        <v>46</v>
      </c>
      <c r="BW98" s="1156">
        <f t="shared" ref="BW98:BW100" si="3">BV98</f>
        <v>46</v>
      </c>
      <c r="BX98" s="1157"/>
      <c r="BY98" s="1157"/>
      <c r="BZ98" s="1157"/>
      <c r="CA98" s="1157"/>
      <c r="CB98" s="1157"/>
      <c r="CC98" s="1157"/>
      <c r="CD98" s="1157"/>
      <c r="CE98" s="1157"/>
      <c r="CF98" s="1158"/>
      <c r="CG98" s="1156">
        <f>703.86-657.8</f>
        <v>46.060000000000059</v>
      </c>
      <c r="CH98" s="1157"/>
      <c r="CI98" s="1157"/>
      <c r="CJ98" s="1157"/>
      <c r="CK98" s="1157"/>
      <c r="CL98" s="1157"/>
      <c r="CM98" s="1157"/>
      <c r="CN98" s="1157"/>
      <c r="CO98" s="1157"/>
      <c r="CP98" s="1158"/>
      <c r="CQ98" s="1176"/>
      <c r="CR98" s="1177"/>
      <c r="CS98" s="1177"/>
      <c r="CT98" s="1177"/>
      <c r="CU98" s="1177"/>
      <c r="CV98" s="1177"/>
      <c r="CW98" s="1177"/>
      <c r="CX98" s="1177"/>
      <c r="CY98" s="1177"/>
      <c r="CZ98" s="1177"/>
      <c r="DA98" s="1177"/>
      <c r="DB98" s="1177"/>
      <c r="DC98" s="1177"/>
      <c r="DD98" s="1177"/>
      <c r="DE98" s="1177"/>
      <c r="DF98" s="1177"/>
      <c r="DG98" s="1178"/>
      <c r="DH98" s="1249"/>
      <c r="DI98" s="1057">
        <f t="shared" si="2"/>
        <v>0.13043478260881614</v>
      </c>
    </row>
    <row r="99" spans="1:113" s="38" customFormat="1" ht="16.95" customHeight="1">
      <c r="A99" s="1148" t="s">
        <v>2195</v>
      </c>
      <c r="B99" s="1149"/>
      <c r="C99" s="1149"/>
      <c r="D99" s="1149"/>
      <c r="E99" s="1149"/>
      <c r="F99" s="1149"/>
      <c r="G99" s="1149"/>
      <c r="H99" s="1149"/>
      <c r="I99" s="1150"/>
      <c r="J99" s="1047"/>
      <c r="K99" s="1151" t="s">
        <v>1574</v>
      </c>
      <c r="L99" s="1151"/>
      <c r="M99" s="1151"/>
      <c r="N99" s="1151"/>
      <c r="O99" s="1151"/>
      <c r="P99" s="1151"/>
      <c r="Q99" s="1151"/>
      <c r="R99" s="1151"/>
      <c r="S99" s="1151"/>
      <c r="T99" s="1151"/>
      <c r="U99" s="1151"/>
      <c r="V99" s="1151"/>
      <c r="W99" s="1151"/>
      <c r="X99" s="1151"/>
      <c r="Y99" s="1151"/>
      <c r="Z99" s="1151"/>
      <c r="AA99" s="1151"/>
      <c r="AB99" s="1151"/>
      <c r="AC99" s="1151"/>
      <c r="AD99" s="1151"/>
      <c r="AE99" s="1151"/>
      <c r="AF99" s="1151"/>
      <c r="AG99" s="1151"/>
      <c r="AH99" s="1151"/>
      <c r="AI99" s="1151"/>
      <c r="AJ99" s="1151"/>
      <c r="AK99" s="1151"/>
      <c r="AL99" s="1151"/>
      <c r="AM99" s="1151"/>
      <c r="AN99" s="1151"/>
      <c r="AO99" s="1151"/>
      <c r="AP99" s="1151"/>
      <c r="AQ99" s="1151"/>
      <c r="AR99" s="1151"/>
      <c r="AS99" s="1151"/>
      <c r="AT99" s="1151"/>
      <c r="AU99" s="1151"/>
      <c r="AV99" s="1151"/>
      <c r="AW99" s="1151"/>
      <c r="AX99" s="1151"/>
      <c r="AY99" s="1151"/>
      <c r="AZ99" s="1151"/>
      <c r="BA99" s="1151"/>
      <c r="BB99" s="1151"/>
      <c r="BC99" s="1151"/>
      <c r="BD99" s="1151"/>
      <c r="BE99" s="1151"/>
      <c r="BF99" s="1151"/>
      <c r="BG99" s="1151"/>
      <c r="BH99" s="1152"/>
      <c r="BI99" s="1153" t="s">
        <v>43</v>
      </c>
      <c r="BJ99" s="1154"/>
      <c r="BK99" s="1154"/>
      <c r="BL99" s="1154"/>
      <c r="BM99" s="1154"/>
      <c r="BN99" s="1154"/>
      <c r="BO99" s="1154"/>
      <c r="BP99" s="1154"/>
      <c r="BQ99" s="1154"/>
      <c r="BR99" s="1154"/>
      <c r="BS99" s="1155"/>
      <c r="BT99" s="1281"/>
      <c r="BU99" s="1052">
        <v>12650</v>
      </c>
      <c r="BV99" s="1052">
        <v>12093</v>
      </c>
      <c r="BW99" s="1156">
        <f t="shared" si="3"/>
        <v>12093</v>
      </c>
      <c r="BX99" s="1157"/>
      <c r="BY99" s="1157"/>
      <c r="BZ99" s="1157"/>
      <c r="CA99" s="1157"/>
      <c r="CB99" s="1157"/>
      <c r="CC99" s="1157"/>
      <c r="CD99" s="1157"/>
      <c r="CE99" s="1157"/>
      <c r="CF99" s="1158"/>
      <c r="CG99" s="1156">
        <f>73336.57-60164.6</f>
        <v>13171.970000000008</v>
      </c>
      <c r="CH99" s="1157"/>
      <c r="CI99" s="1157"/>
      <c r="CJ99" s="1157"/>
      <c r="CK99" s="1157"/>
      <c r="CL99" s="1157"/>
      <c r="CM99" s="1157"/>
      <c r="CN99" s="1157"/>
      <c r="CO99" s="1157"/>
      <c r="CP99" s="1158"/>
      <c r="CQ99" s="1176"/>
      <c r="CR99" s="1177"/>
      <c r="CS99" s="1177"/>
      <c r="CT99" s="1177"/>
      <c r="CU99" s="1177"/>
      <c r="CV99" s="1177"/>
      <c r="CW99" s="1177"/>
      <c r="CX99" s="1177"/>
      <c r="CY99" s="1177"/>
      <c r="CZ99" s="1177"/>
      <c r="DA99" s="1177"/>
      <c r="DB99" s="1177"/>
      <c r="DC99" s="1177"/>
      <c r="DD99" s="1177"/>
      <c r="DE99" s="1177"/>
      <c r="DF99" s="1177"/>
      <c r="DG99" s="1178"/>
      <c r="DH99" s="1249"/>
      <c r="DI99" s="1057">
        <f t="shared" si="2"/>
        <v>8.9222690812867711</v>
      </c>
    </row>
    <row r="100" spans="1:113" s="38" customFormat="1" ht="16.95" customHeight="1">
      <c r="A100" s="1148" t="s">
        <v>2196</v>
      </c>
      <c r="B100" s="1149"/>
      <c r="C100" s="1149"/>
      <c r="D100" s="1149"/>
      <c r="E100" s="1149"/>
      <c r="F100" s="1149"/>
      <c r="G100" s="1149"/>
      <c r="H100" s="1149"/>
      <c r="I100" s="1150"/>
      <c r="J100" s="1047"/>
      <c r="K100" s="1151" t="s">
        <v>1575</v>
      </c>
      <c r="L100" s="1151"/>
      <c r="M100" s="1151"/>
      <c r="N100" s="1151"/>
      <c r="O100" s="1151"/>
      <c r="P100" s="1151"/>
      <c r="Q100" s="1151"/>
      <c r="R100" s="1151"/>
      <c r="S100" s="1151"/>
      <c r="T100" s="1151"/>
      <c r="U100" s="1151"/>
      <c r="V100" s="1151"/>
      <c r="W100" s="1151"/>
      <c r="X100" s="1151"/>
      <c r="Y100" s="1151"/>
      <c r="Z100" s="1151"/>
      <c r="AA100" s="1151"/>
      <c r="AB100" s="1151"/>
      <c r="AC100" s="1151"/>
      <c r="AD100" s="1151"/>
      <c r="AE100" s="1151"/>
      <c r="AF100" s="1151"/>
      <c r="AG100" s="1151"/>
      <c r="AH100" s="1151"/>
      <c r="AI100" s="1151"/>
      <c r="AJ100" s="1151"/>
      <c r="AK100" s="1151"/>
      <c r="AL100" s="1151"/>
      <c r="AM100" s="1151"/>
      <c r="AN100" s="1151"/>
      <c r="AO100" s="1151"/>
      <c r="AP100" s="1151"/>
      <c r="AQ100" s="1151"/>
      <c r="AR100" s="1151"/>
      <c r="AS100" s="1151"/>
      <c r="AT100" s="1151"/>
      <c r="AU100" s="1151"/>
      <c r="AV100" s="1151"/>
      <c r="AW100" s="1151"/>
      <c r="AX100" s="1151"/>
      <c r="AY100" s="1151"/>
      <c r="AZ100" s="1151"/>
      <c r="BA100" s="1151"/>
      <c r="BB100" s="1151"/>
      <c r="BC100" s="1151"/>
      <c r="BD100" s="1151"/>
      <c r="BE100" s="1151"/>
      <c r="BF100" s="1151"/>
      <c r="BG100" s="1151"/>
      <c r="BH100" s="1152"/>
      <c r="BI100" s="1153" t="s">
        <v>43</v>
      </c>
      <c r="BJ100" s="1154"/>
      <c r="BK100" s="1154"/>
      <c r="BL100" s="1154"/>
      <c r="BM100" s="1154"/>
      <c r="BN100" s="1154"/>
      <c r="BO100" s="1154"/>
      <c r="BP100" s="1154"/>
      <c r="BQ100" s="1154"/>
      <c r="BR100" s="1154"/>
      <c r="BS100" s="1155"/>
      <c r="BT100" s="1281"/>
      <c r="BU100" s="1052">
        <v>23455</v>
      </c>
      <c r="BV100" s="1052">
        <v>24112</v>
      </c>
      <c r="BW100" s="1156">
        <f t="shared" si="3"/>
        <v>24112</v>
      </c>
      <c r="BX100" s="1157"/>
      <c r="BY100" s="1157"/>
      <c r="BZ100" s="1157"/>
      <c r="CA100" s="1157"/>
      <c r="CB100" s="1157"/>
      <c r="CC100" s="1157"/>
      <c r="CD100" s="1157"/>
      <c r="CE100" s="1157"/>
      <c r="CF100" s="1158"/>
      <c r="CG100" s="1156">
        <v>24180.83</v>
      </c>
      <c r="CH100" s="1157"/>
      <c r="CI100" s="1157"/>
      <c r="CJ100" s="1157"/>
      <c r="CK100" s="1157"/>
      <c r="CL100" s="1157"/>
      <c r="CM100" s="1157"/>
      <c r="CN100" s="1157"/>
      <c r="CO100" s="1157"/>
      <c r="CP100" s="1158"/>
      <c r="CQ100" s="1176"/>
      <c r="CR100" s="1177"/>
      <c r="CS100" s="1177"/>
      <c r="CT100" s="1177"/>
      <c r="CU100" s="1177"/>
      <c r="CV100" s="1177"/>
      <c r="CW100" s="1177"/>
      <c r="CX100" s="1177"/>
      <c r="CY100" s="1177"/>
      <c r="CZ100" s="1177"/>
      <c r="DA100" s="1177"/>
      <c r="DB100" s="1177"/>
      <c r="DC100" s="1177"/>
      <c r="DD100" s="1177"/>
      <c r="DE100" s="1177"/>
      <c r="DF100" s="1177"/>
      <c r="DG100" s="1178"/>
      <c r="DH100" s="1249"/>
      <c r="DI100" s="1057">
        <f t="shared" si="2"/>
        <v>0.28545952222960125</v>
      </c>
    </row>
    <row r="101" spans="1:113" s="38" customFormat="1" ht="30" customHeight="1">
      <c r="A101" s="1148" t="s">
        <v>195</v>
      </c>
      <c r="B101" s="1149"/>
      <c r="C101" s="1149"/>
      <c r="D101" s="1149"/>
      <c r="E101" s="1149"/>
      <c r="F101" s="1149"/>
      <c r="G101" s="1149"/>
      <c r="H101" s="1149"/>
      <c r="I101" s="1150"/>
      <c r="J101" s="39"/>
      <c r="K101" s="1189" t="s">
        <v>196</v>
      </c>
      <c r="L101" s="1189"/>
      <c r="M101" s="1189"/>
      <c r="N101" s="1189"/>
      <c r="O101" s="1189"/>
      <c r="P101" s="1189"/>
      <c r="Q101" s="1189"/>
      <c r="R101" s="1189"/>
      <c r="S101" s="1189"/>
      <c r="T101" s="1189"/>
      <c r="U101" s="1189"/>
      <c r="V101" s="1189"/>
      <c r="W101" s="1189"/>
      <c r="X101" s="1189"/>
      <c r="Y101" s="1189"/>
      <c r="Z101" s="1189"/>
      <c r="AA101" s="1189"/>
      <c r="AB101" s="1189"/>
      <c r="AC101" s="1189"/>
      <c r="AD101" s="1189"/>
      <c r="AE101" s="1189"/>
      <c r="AF101" s="1189"/>
      <c r="AG101" s="1189"/>
      <c r="AH101" s="1189"/>
      <c r="AI101" s="1189"/>
      <c r="AJ101" s="1189"/>
      <c r="AK101" s="1189"/>
      <c r="AL101" s="1189"/>
      <c r="AM101" s="1189"/>
      <c r="AN101" s="1189"/>
      <c r="AO101" s="1189"/>
      <c r="AP101" s="1189"/>
      <c r="AQ101" s="1189"/>
      <c r="AR101" s="1189"/>
      <c r="AS101" s="1189"/>
      <c r="AT101" s="1189"/>
      <c r="AU101" s="1189"/>
      <c r="AV101" s="1189"/>
      <c r="AW101" s="1189"/>
      <c r="AX101" s="1189"/>
      <c r="AY101" s="1189"/>
      <c r="AZ101" s="1189"/>
      <c r="BA101" s="1189"/>
      <c r="BB101" s="1189"/>
      <c r="BC101" s="1189"/>
      <c r="BD101" s="1189"/>
      <c r="BE101" s="1189"/>
      <c r="BF101" s="1189"/>
      <c r="BG101" s="1189"/>
      <c r="BH101" s="40"/>
      <c r="BI101" s="1183" t="s">
        <v>43</v>
      </c>
      <c r="BJ101" s="1184"/>
      <c r="BK101" s="1184"/>
      <c r="BL101" s="1184"/>
      <c r="BM101" s="1184"/>
      <c r="BN101" s="1184"/>
      <c r="BO101" s="1184"/>
      <c r="BP101" s="1184"/>
      <c r="BQ101" s="1184"/>
      <c r="BR101" s="1184"/>
      <c r="BS101" s="1185"/>
      <c r="BT101" s="1281"/>
      <c r="BU101" s="1052">
        <v>55052</v>
      </c>
      <c r="BV101" s="1052">
        <v>60488</v>
      </c>
      <c r="BW101" s="1186">
        <v>60488.4</v>
      </c>
      <c r="BX101" s="1187"/>
      <c r="BY101" s="1187"/>
      <c r="BZ101" s="1187"/>
      <c r="CA101" s="1187"/>
      <c r="CB101" s="1187"/>
      <c r="CC101" s="1187"/>
      <c r="CD101" s="1187"/>
      <c r="CE101" s="1187"/>
      <c r="CF101" s="1188"/>
      <c r="CG101" s="1186">
        <v>60822.42</v>
      </c>
      <c r="CH101" s="1187"/>
      <c r="CI101" s="1187"/>
      <c r="CJ101" s="1187"/>
      <c r="CK101" s="1187"/>
      <c r="CL101" s="1187"/>
      <c r="CM101" s="1187"/>
      <c r="CN101" s="1187"/>
      <c r="CO101" s="1187"/>
      <c r="CP101" s="1188"/>
      <c r="CQ101" s="1176"/>
      <c r="CR101" s="1177"/>
      <c r="CS101" s="1177"/>
      <c r="CT101" s="1177"/>
      <c r="CU101" s="1177"/>
      <c r="CV101" s="1177"/>
      <c r="CW101" s="1177"/>
      <c r="CX101" s="1177"/>
      <c r="CY101" s="1177"/>
      <c r="CZ101" s="1177"/>
      <c r="DA101" s="1177"/>
      <c r="DB101" s="1177"/>
      <c r="DC101" s="1177"/>
      <c r="DD101" s="1177"/>
      <c r="DE101" s="1177"/>
      <c r="DF101" s="1177"/>
      <c r="DG101" s="1178"/>
      <c r="DH101" s="1249"/>
      <c r="DI101" s="1057">
        <f t="shared" si="2"/>
        <v>0.55220505088578875</v>
      </c>
    </row>
    <row r="102" spans="1:113" s="38" customFormat="1" ht="16.95" customHeight="1">
      <c r="A102" s="1148" t="s">
        <v>7</v>
      </c>
      <c r="B102" s="1149"/>
      <c r="C102" s="1149"/>
      <c r="D102" s="1149"/>
      <c r="E102" s="1149"/>
      <c r="F102" s="1149"/>
      <c r="G102" s="1149"/>
      <c r="H102" s="1149"/>
      <c r="I102" s="1150"/>
      <c r="J102" s="1047"/>
      <c r="K102" s="1151" t="s">
        <v>1572</v>
      </c>
      <c r="L102" s="1151"/>
      <c r="M102" s="1151"/>
      <c r="N102" s="1151"/>
      <c r="O102" s="1151"/>
      <c r="P102" s="1151"/>
      <c r="Q102" s="1151"/>
      <c r="R102" s="1151"/>
      <c r="S102" s="1151"/>
      <c r="T102" s="1151"/>
      <c r="U102" s="1151"/>
      <c r="V102" s="1151"/>
      <c r="W102" s="1151"/>
      <c r="X102" s="1151"/>
      <c r="Y102" s="1151"/>
      <c r="Z102" s="1151"/>
      <c r="AA102" s="1151"/>
      <c r="AB102" s="1151"/>
      <c r="AC102" s="1151"/>
      <c r="AD102" s="1151"/>
      <c r="AE102" s="1151"/>
      <c r="AF102" s="1151"/>
      <c r="AG102" s="1151"/>
      <c r="AH102" s="1151"/>
      <c r="AI102" s="1151"/>
      <c r="AJ102" s="1151"/>
      <c r="AK102" s="1151"/>
      <c r="AL102" s="1151"/>
      <c r="AM102" s="1151"/>
      <c r="AN102" s="1151"/>
      <c r="AO102" s="1151"/>
      <c r="AP102" s="1151"/>
      <c r="AQ102" s="1151"/>
      <c r="AR102" s="1151"/>
      <c r="AS102" s="1151"/>
      <c r="AT102" s="1151"/>
      <c r="AU102" s="1151"/>
      <c r="AV102" s="1151"/>
      <c r="AW102" s="1151"/>
      <c r="AX102" s="1151"/>
      <c r="AY102" s="1151"/>
      <c r="AZ102" s="1151"/>
      <c r="BA102" s="1151"/>
      <c r="BB102" s="1151"/>
      <c r="BC102" s="1151"/>
      <c r="BD102" s="1151"/>
      <c r="BE102" s="1151"/>
      <c r="BF102" s="1151"/>
      <c r="BG102" s="1151"/>
      <c r="BH102" s="1152"/>
      <c r="BI102" s="1153" t="s">
        <v>43</v>
      </c>
      <c r="BJ102" s="1154"/>
      <c r="BK102" s="1154"/>
      <c r="BL102" s="1154"/>
      <c r="BM102" s="1154"/>
      <c r="BN102" s="1154"/>
      <c r="BO102" s="1154"/>
      <c r="BP102" s="1154"/>
      <c r="BQ102" s="1154"/>
      <c r="BR102" s="1154"/>
      <c r="BS102" s="1155"/>
      <c r="BT102" s="1281"/>
      <c r="BU102" s="1052" t="s">
        <v>63</v>
      </c>
      <c r="BV102" s="1052" t="s">
        <v>63</v>
      </c>
      <c r="BW102" s="1182" t="s">
        <v>63</v>
      </c>
      <c r="BX102" s="1154"/>
      <c r="BY102" s="1154"/>
      <c r="BZ102" s="1154"/>
      <c r="CA102" s="1154"/>
      <c r="CB102" s="1154"/>
      <c r="CC102" s="1154"/>
      <c r="CD102" s="1154"/>
      <c r="CE102" s="1154"/>
      <c r="CF102" s="1155"/>
      <c r="CG102" s="1182" t="s">
        <v>63</v>
      </c>
      <c r="CH102" s="1154"/>
      <c r="CI102" s="1154"/>
      <c r="CJ102" s="1154"/>
      <c r="CK102" s="1154"/>
      <c r="CL102" s="1154"/>
      <c r="CM102" s="1154"/>
      <c r="CN102" s="1154"/>
      <c r="CO102" s="1154"/>
      <c r="CP102" s="1155"/>
      <c r="CQ102" s="1176"/>
      <c r="CR102" s="1177"/>
      <c r="CS102" s="1177"/>
      <c r="CT102" s="1177"/>
      <c r="CU102" s="1177"/>
      <c r="CV102" s="1177"/>
      <c r="CW102" s="1177"/>
      <c r="CX102" s="1177"/>
      <c r="CY102" s="1177"/>
      <c r="CZ102" s="1177"/>
      <c r="DA102" s="1177"/>
      <c r="DB102" s="1177"/>
      <c r="DC102" s="1177"/>
      <c r="DD102" s="1177"/>
      <c r="DE102" s="1177"/>
      <c r="DF102" s="1177"/>
      <c r="DG102" s="1178"/>
      <c r="DH102" s="1249"/>
      <c r="DI102" s="1057"/>
    </row>
    <row r="103" spans="1:113" s="38" customFormat="1" ht="16.95" customHeight="1">
      <c r="A103" s="1148" t="s">
        <v>2073</v>
      </c>
      <c r="B103" s="1149"/>
      <c r="C103" s="1149"/>
      <c r="D103" s="1149"/>
      <c r="E103" s="1149"/>
      <c r="F103" s="1149"/>
      <c r="G103" s="1149"/>
      <c r="H103" s="1149"/>
      <c r="I103" s="1150"/>
      <c r="J103" s="1047"/>
      <c r="K103" s="1151" t="s">
        <v>1573</v>
      </c>
      <c r="L103" s="1151"/>
      <c r="M103" s="1151"/>
      <c r="N103" s="1151"/>
      <c r="O103" s="1151"/>
      <c r="P103" s="1151"/>
      <c r="Q103" s="1151"/>
      <c r="R103" s="1151"/>
      <c r="S103" s="1151"/>
      <c r="T103" s="1151"/>
      <c r="U103" s="1151"/>
      <c r="V103" s="1151"/>
      <c r="W103" s="1151"/>
      <c r="X103" s="1151"/>
      <c r="Y103" s="1151"/>
      <c r="Z103" s="1151"/>
      <c r="AA103" s="1151"/>
      <c r="AB103" s="1151"/>
      <c r="AC103" s="1151"/>
      <c r="AD103" s="1151"/>
      <c r="AE103" s="1151"/>
      <c r="AF103" s="1151"/>
      <c r="AG103" s="1151"/>
      <c r="AH103" s="1151"/>
      <c r="AI103" s="1151"/>
      <c r="AJ103" s="1151"/>
      <c r="AK103" s="1151"/>
      <c r="AL103" s="1151"/>
      <c r="AM103" s="1151"/>
      <c r="AN103" s="1151"/>
      <c r="AO103" s="1151"/>
      <c r="AP103" s="1151"/>
      <c r="AQ103" s="1151"/>
      <c r="AR103" s="1151"/>
      <c r="AS103" s="1151"/>
      <c r="AT103" s="1151"/>
      <c r="AU103" s="1151"/>
      <c r="AV103" s="1151"/>
      <c r="AW103" s="1151"/>
      <c r="AX103" s="1151"/>
      <c r="AY103" s="1151"/>
      <c r="AZ103" s="1151"/>
      <c r="BA103" s="1151"/>
      <c r="BB103" s="1151"/>
      <c r="BC103" s="1151"/>
      <c r="BD103" s="1151"/>
      <c r="BE103" s="1151"/>
      <c r="BF103" s="1151"/>
      <c r="BG103" s="1151"/>
      <c r="BH103" s="1152"/>
      <c r="BI103" s="1153" t="s">
        <v>43</v>
      </c>
      <c r="BJ103" s="1154"/>
      <c r="BK103" s="1154"/>
      <c r="BL103" s="1154"/>
      <c r="BM103" s="1154"/>
      <c r="BN103" s="1154"/>
      <c r="BO103" s="1154"/>
      <c r="BP103" s="1154"/>
      <c r="BQ103" s="1154"/>
      <c r="BR103" s="1154"/>
      <c r="BS103" s="1155"/>
      <c r="BT103" s="1281"/>
      <c r="BU103" s="1052">
        <v>463</v>
      </c>
      <c r="BV103" s="1052">
        <v>658</v>
      </c>
      <c r="BW103" s="1156">
        <f>BV103</f>
        <v>658</v>
      </c>
      <c r="BX103" s="1157"/>
      <c r="BY103" s="1157"/>
      <c r="BZ103" s="1157"/>
      <c r="CA103" s="1157"/>
      <c r="CB103" s="1157"/>
      <c r="CC103" s="1157"/>
      <c r="CD103" s="1157"/>
      <c r="CE103" s="1157"/>
      <c r="CF103" s="1158"/>
      <c r="CG103" s="1156">
        <v>657.8</v>
      </c>
      <c r="CH103" s="1157"/>
      <c r="CI103" s="1157"/>
      <c r="CJ103" s="1157"/>
      <c r="CK103" s="1157"/>
      <c r="CL103" s="1157"/>
      <c r="CM103" s="1157"/>
      <c r="CN103" s="1157"/>
      <c r="CO103" s="1157"/>
      <c r="CP103" s="1158"/>
      <c r="CQ103" s="1176"/>
      <c r="CR103" s="1177"/>
      <c r="CS103" s="1177"/>
      <c r="CT103" s="1177"/>
      <c r="CU103" s="1177"/>
      <c r="CV103" s="1177"/>
      <c r="CW103" s="1177"/>
      <c r="CX103" s="1177"/>
      <c r="CY103" s="1177"/>
      <c r="CZ103" s="1177"/>
      <c r="DA103" s="1177"/>
      <c r="DB103" s="1177"/>
      <c r="DC103" s="1177"/>
      <c r="DD103" s="1177"/>
      <c r="DE103" s="1177"/>
      <c r="DF103" s="1177"/>
      <c r="DG103" s="1178"/>
      <c r="DH103" s="1249"/>
      <c r="DI103" s="1057">
        <f t="shared" si="2"/>
        <v>-3.0395136778111009E-2</v>
      </c>
    </row>
    <row r="104" spans="1:113" s="38" customFormat="1" ht="16.95" customHeight="1">
      <c r="A104" s="1148" t="s">
        <v>2195</v>
      </c>
      <c r="B104" s="1149"/>
      <c r="C104" s="1149"/>
      <c r="D104" s="1149"/>
      <c r="E104" s="1149"/>
      <c r="F104" s="1149"/>
      <c r="G104" s="1149"/>
      <c r="H104" s="1149"/>
      <c r="I104" s="1150"/>
      <c r="J104" s="1047"/>
      <c r="K104" s="1151" t="s">
        <v>1574</v>
      </c>
      <c r="L104" s="1151"/>
      <c r="M104" s="1151"/>
      <c r="N104" s="1151"/>
      <c r="O104" s="1151"/>
      <c r="P104" s="1151"/>
      <c r="Q104" s="1151"/>
      <c r="R104" s="1151"/>
      <c r="S104" s="1151"/>
      <c r="T104" s="1151"/>
      <c r="U104" s="1151"/>
      <c r="V104" s="1151"/>
      <c r="W104" s="1151"/>
      <c r="X104" s="1151"/>
      <c r="Y104" s="1151"/>
      <c r="Z104" s="1151"/>
      <c r="AA104" s="1151"/>
      <c r="AB104" s="1151"/>
      <c r="AC104" s="1151"/>
      <c r="AD104" s="1151"/>
      <c r="AE104" s="1151"/>
      <c r="AF104" s="1151"/>
      <c r="AG104" s="1151"/>
      <c r="AH104" s="1151"/>
      <c r="AI104" s="1151"/>
      <c r="AJ104" s="1151"/>
      <c r="AK104" s="1151"/>
      <c r="AL104" s="1151"/>
      <c r="AM104" s="1151"/>
      <c r="AN104" s="1151"/>
      <c r="AO104" s="1151"/>
      <c r="AP104" s="1151"/>
      <c r="AQ104" s="1151"/>
      <c r="AR104" s="1151"/>
      <c r="AS104" s="1151"/>
      <c r="AT104" s="1151"/>
      <c r="AU104" s="1151"/>
      <c r="AV104" s="1151"/>
      <c r="AW104" s="1151"/>
      <c r="AX104" s="1151"/>
      <c r="AY104" s="1151"/>
      <c r="AZ104" s="1151"/>
      <c r="BA104" s="1151"/>
      <c r="BB104" s="1151"/>
      <c r="BC104" s="1151"/>
      <c r="BD104" s="1151"/>
      <c r="BE104" s="1151"/>
      <c r="BF104" s="1151"/>
      <c r="BG104" s="1151"/>
      <c r="BH104" s="1152"/>
      <c r="BI104" s="1153" t="s">
        <v>43</v>
      </c>
      <c r="BJ104" s="1154"/>
      <c r="BK104" s="1154"/>
      <c r="BL104" s="1154"/>
      <c r="BM104" s="1154"/>
      <c r="BN104" s="1154"/>
      <c r="BO104" s="1154"/>
      <c r="BP104" s="1154"/>
      <c r="BQ104" s="1154"/>
      <c r="BR104" s="1154"/>
      <c r="BS104" s="1155"/>
      <c r="BT104" s="1281"/>
      <c r="BU104" s="1052">
        <v>54589</v>
      </c>
      <c r="BV104" s="1052">
        <v>59831</v>
      </c>
      <c r="BW104" s="1156">
        <f>BV104</f>
        <v>59831</v>
      </c>
      <c r="BX104" s="1157"/>
      <c r="BY104" s="1157"/>
      <c r="BZ104" s="1157"/>
      <c r="CA104" s="1157"/>
      <c r="CB104" s="1157"/>
      <c r="CC104" s="1157"/>
      <c r="CD104" s="1157"/>
      <c r="CE104" s="1157"/>
      <c r="CF104" s="1158"/>
      <c r="CG104" s="1156">
        <v>60164.6</v>
      </c>
      <c r="CH104" s="1157"/>
      <c r="CI104" s="1157"/>
      <c r="CJ104" s="1157"/>
      <c r="CK104" s="1157"/>
      <c r="CL104" s="1157"/>
      <c r="CM104" s="1157"/>
      <c r="CN104" s="1157"/>
      <c r="CO104" s="1157"/>
      <c r="CP104" s="1158"/>
      <c r="CQ104" s="1176"/>
      <c r="CR104" s="1177"/>
      <c r="CS104" s="1177"/>
      <c r="CT104" s="1177"/>
      <c r="CU104" s="1177"/>
      <c r="CV104" s="1177"/>
      <c r="CW104" s="1177"/>
      <c r="CX104" s="1177"/>
      <c r="CY104" s="1177"/>
      <c r="CZ104" s="1177"/>
      <c r="DA104" s="1177"/>
      <c r="DB104" s="1177"/>
      <c r="DC104" s="1177"/>
      <c r="DD104" s="1177"/>
      <c r="DE104" s="1177"/>
      <c r="DF104" s="1177"/>
      <c r="DG104" s="1178"/>
      <c r="DH104" s="1249"/>
      <c r="DI104" s="1057">
        <f t="shared" si="2"/>
        <v>0.5575704902141041</v>
      </c>
    </row>
    <row r="105" spans="1:113" s="38" customFormat="1" ht="16.95" customHeight="1">
      <c r="A105" s="1148" t="s">
        <v>2196</v>
      </c>
      <c r="B105" s="1149"/>
      <c r="C105" s="1149"/>
      <c r="D105" s="1149"/>
      <c r="E105" s="1149"/>
      <c r="F105" s="1149"/>
      <c r="G105" s="1149"/>
      <c r="H105" s="1149"/>
      <c r="I105" s="1150"/>
      <c r="J105" s="1047"/>
      <c r="K105" s="1151" t="s">
        <v>1575</v>
      </c>
      <c r="L105" s="1151"/>
      <c r="M105" s="1151"/>
      <c r="N105" s="1151"/>
      <c r="O105" s="1151"/>
      <c r="P105" s="1151"/>
      <c r="Q105" s="1151"/>
      <c r="R105" s="1151"/>
      <c r="S105" s="1151"/>
      <c r="T105" s="1151"/>
      <c r="U105" s="1151"/>
      <c r="V105" s="1151"/>
      <c r="W105" s="1151"/>
      <c r="X105" s="1151"/>
      <c r="Y105" s="1151"/>
      <c r="Z105" s="1151"/>
      <c r="AA105" s="1151"/>
      <c r="AB105" s="1151"/>
      <c r="AC105" s="1151"/>
      <c r="AD105" s="1151"/>
      <c r="AE105" s="1151"/>
      <c r="AF105" s="1151"/>
      <c r="AG105" s="1151"/>
      <c r="AH105" s="1151"/>
      <c r="AI105" s="1151"/>
      <c r="AJ105" s="1151"/>
      <c r="AK105" s="1151"/>
      <c r="AL105" s="1151"/>
      <c r="AM105" s="1151"/>
      <c r="AN105" s="1151"/>
      <c r="AO105" s="1151"/>
      <c r="AP105" s="1151"/>
      <c r="AQ105" s="1151"/>
      <c r="AR105" s="1151"/>
      <c r="AS105" s="1151"/>
      <c r="AT105" s="1151"/>
      <c r="AU105" s="1151"/>
      <c r="AV105" s="1151"/>
      <c r="AW105" s="1151"/>
      <c r="AX105" s="1151"/>
      <c r="AY105" s="1151"/>
      <c r="AZ105" s="1151"/>
      <c r="BA105" s="1151"/>
      <c r="BB105" s="1151"/>
      <c r="BC105" s="1151"/>
      <c r="BD105" s="1151"/>
      <c r="BE105" s="1151"/>
      <c r="BF105" s="1151"/>
      <c r="BG105" s="1151"/>
      <c r="BH105" s="1152"/>
      <c r="BI105" s="1153" t="s">
        <v>43</v>
      </c>
      <c r="BJ105" s="1154"/>
      <c r="BK105" s="1154"/>
      <c r="BL105" s="1154"/>
      <c r="BM105" s="1154"/>
      <c r="BN105" s="1154"/>
      <c r="BO105" s="1154"/>
      <c r="BP105" s="1154"/>
      <c r="BQ105" s="1154"/>
      <c r="BR105" s="1154"/>
      <c r="BS105" s="1155"/>
      <c r="BT105" s="1281"/>
      <c r="BU105" s="1052" t="s">
        <v>63</v>
      </c>
      <c r="BV105" s="1052" t="s">
        <v>63</v>
      </c>
      <c r="BW105" s="1182" t="s">
        <v>63</v>
      </c>
      <c r="BX105" s="1154"/>
      <c r="BY105" s="1154"/>
      <c r="BZ105" s="1154"/>
      <c r="CA105" s="1154"/>
      <c r="CB105" s="1154"/>
      <c r="CC105" s="1154"/>
      <c r="CD105" s="1154"/>
      <c r="CE105" s="1154"/>
      <c r="CF105" s="1155"/>
      <c r="CG105" s="1182" t="s">
        <v>63</v>
      </c>
      <c r="CH105" s="1154"/>
      <c r="CI105" s="1154"/>
      <c r="CJ105" s="1154"/>
      <c r="CK105" s="1154"/>
      <c r="CL105" s="1154"/>
      <c r="CM105" s="1154"/>
      <c r="CN105" s="1154"/>
      <c r="CO105" s="1154"/>
      <c r="CP105" s="1155"/>
      <c r="CQ105" s="1176"/>
      <c r="CR105" s="1177"/>
      <c r="CS105" s="1177"/>
      <c r="CT105" s="1177"/>
      <c r="CU105" s="1177"/>
      <c r="CV105" s="1177"/>
      <c r="CW105" s="1177"/>
      <c r="CX105" s="1177"/>
      <c r="CY105" s="1177"/>
      <c r="CZ105" s="1177"/>
      <c r="DA105" s="1177"/>
      <c r="DB105" s="1177"/>
      <c r="DC105" s="1177"/>
      <c r="DD105" s="1177"/>
      <c r="DE105" s="1177"/>
      <c r="DF105" s="1177"/>
      <c r="DG105" s="1178"/>
      <c r="DH105" s="1249"/>
      <c r="DI105" s="1057"/>
    </row>
    <row r="106" spans="1:113" s="38" customFormat="1" ht="15" customHeight="1">
      <c r="A106" s="1148" t="s">
        <v>197</v>
      </c>
      <c r="B106" s="1149"/>
      <c r="C106" s="1149"/>
      <c r="D106" s="1149"/>
      <c r="E106" s="1149"/>
      <c r="F106" s="1149"/>
      <c r="G106" s="1149"/>
      <c r="H106" s="1149"/>
      <c r="I106" s="1150"/>
      <c r="J106" s="39"/>
      <c r="K106" s="1189" t="s">
        <v>198</v>
      </c>
      <c r="L106" s="1189"/>
      <c r="M106" s="1189"/>
      <c r="N106" s="1189"/>
      <c r="O106" s="1189"/>
      <c r="P106" s="1189"/>
      <c r="Q106" s="1189"/>
      <c r="R106" s="1189"/>
      <c r="S106" s="1189"/>
      <c r="T106" s="1189"/>
      <c r="U106" s="1189"/>
      <c r="V106" s="1189"/>
      <c r="W106" s="1189"/>
      <c r="X106" s="1189"/>
      <c r="Y106" s="1189"/>
      <c r="Z106" s="1189"/>
      <c r="AA106" s="1189"/>
      <c r="AB106" s="1189"/>
      <c r="AC106" s="1189"/>
      <c r="AD106" s="1189"/>
      <c r="AE106" s="1189"/>
      <c r="AF106" s="1189"/>
      <c r="AG106" s="1189"/>
      <c r="AH106" s="1189"/>
      <c r="AI106" s="1189"/>
      <c r="AJ106" s="1189"/>
      <c r="AK106" s="1189"/>
      <c r="AL106" s="1189"/>
      <c r="AM106" s="1189"/>
      <c r="AN106" s="1189"/>
      <c r="AO106" s="1189"/>
      <c r="AP106" s="1189"/>
      <c r="AQ106" s="1189"/>
      <c r="AR106" s="1189"/>
      <c r="AS106" s="1189"/>
      <c r="AT106" s="1189"/>
      <c r="AU106" s="1189"/>
      <c r="AV106" s="1189"/>
      <c r="AW106" s="1189"/>
      <c r="AX106" s="1189"/>
      <c r="AY106" s="1189"/>
      <c r="AZ106" s="1189"/>
      <c r="BA106" s="1189"/>
      <c r="BB106" s="1189"/>
      <c r="BC106" s="1189"/>
      <c r="BD106" s="1189"/>
      <c r="BE106" s="1189"/>
      <c r="BF106" s="1189"/>
      <c r="BG106" s="1189"/>
      <c r="BH106" s="40"/>
      <c r="BI106" s="1183" t="s">
        <v>199</v>
      </c>
      <c r="BJ106" s="1184"/>
      <c r="BK106" s="1184"/>
      <c r="BL106" s="1184"/>
      <c r="BM106" s="1184"/>
      <c r="BN106" s="1184"/>
      <c r="BO106" s="1184"/>
      <c r="BP106" s="1184"/>
      <c r="BQ106" s="1184"/>
      <c r="BR106" s="1184"/>
      <c r="BS106" s="1185"/>
      <c r="BT106" s="1281"/>
      <c r="BU106" s="1052">
        <v>18635</v>
      </c>
      <c r="BV106" s="1052">
        <v>19545</v>
      </c>
      <c r="BW106" s="1186">
        <v>19544.7</v>
      </c>
      <c r="BX106" s="1187"/>
      <c r="BY106" s="1187"/>
      <c r="BZ106" s="1187"/>
      <c r="CA106" s="1187"/>
      <c r="CB106" s="1187"/>
      <c r="CC106" s="1187"/>
      <c r="CD106" s="1187"/>
      <c r="CE106" s="1187"/>
      <c r="CF106" s="1188"/>
      <c r="CG106" s="1186">
        <v>19622.900000000001</v>
      </c>
      <c r="CH106" s="1187"/>
      <c r="CI106" s="1187"/>
      <c r="CJ106" s="1187"/>
      <c r="CK106" s="1187"/>
      <c r="CL106" s="1187"/>
      <c r="CM106" s="1187"/>
      <c r="CN106" s="1187"/>
      <c r="CO106" s="1187"/>
      <c r="CP106" s="1188"/>
      <c r="CQ106" s="1176"/>
      <c r="CR106" s="1177"/>
      <c r="CS106" s="1177"/>
      <c r="CT106" s="1177"/>
      <c r="CU106" s="1177"/>
      <c r="CV106" s="1177"/>
      <c r="CW106" s="1177"/>
      <c r="CX106" s="1177"/>
      <c r="CY106" s="1177"/>
      <c r="CZ106" s="1177"/>
      <c r="DA106" s="1177"/>
      <c r="DB106" s="1177"/>
      <c r="DC106" s="1177"/>
      <c r="DD106" s="1177"/>
      <c r="DE106" s="1177"/>
      <c r="DF106" s="1177"/>
      <c r="DG106" s="1178"/>
      <c r="DH106" s="1249"/>
      <c r="DI106" s="1057">
        <f t="shared" si="2"/>
        <v>0.40010846930370292</v>
      </c>
    </row>
    <row r="107" spans="1:113" s="38" customFormat="1" ht="16.95" customHeight="1">
      <c r="A107" s="1148" t="s">
        <v>7</v>
      </c>
      <c r="B107" s="1149"/>
      <c r="C107" s="1149"/>
      <c r="D107" s="1149"/>
      <c r="E107" s="1149"/>
      <c r="F107" s="1149"/>
      <c r="G107" s="1149"/>
      <c r="H107" s="1149"/>
      <c r="I107" s="1150"/>
      <c r="J107" s="1047"/>
      <c r="K107" s="1151" t="s">
        <v>1572</v>
      </c>
      <c r="L107" s="1151"/>
      <c r="M107" s="1151"/>
      <c r="N107" s="1151"/>
      <c r="O107" s="1151"/>
      <c r="P107" s="1151"/>
      <c r="Q107" s="1151"/>
      <c r="R107" s="1151"/>
      <c r="S107" s="1151"/>
      <c r="T107" s="1151"/>
      <c r="U107" s="1151"/>
      <c r="V107" s="1151"/>
      <c r="W107" s="1151"/>
      <c r="X107" s="1151"/>
      <c r="Y107" s="1151"/>
      <c r="Z107" s="1151"/>
      <c r="AA107" s="1151"/>
      <c r="AB107" s="1151"/>
      <c r="AC107" s="1151"/>
      <c r="AD107" s="1151"/>
      <c r="AE107" s="1151"/>
      <c r="AF107" s="1151"/>
      <c r="AG107" s="1151"/>
      <c r="AH107" s="1151"/>
      <c r="AI107" s="1151"/>
      <c r="AJ107" s="1151"/>
      <c r="AK107" s="1151"/>
      <c r="AL107" s="1151"/>
      <c r="AM107" s="1151"/>
      <c r="AN107" s="1151"/>
      <c r="AO107" s="1151"/>
      <c r="AP107" s="1151"/>
      <c r="AQ107" s="1151"/>
      <c r="AR107" s="1151"/>
      <c r="AS107" s="1151"/>
      <c r="AT107" s="1151"/>
      <c r="AU107" s="1151"/>
      <c r="AV107" s="1151"/>
      <c r="AW107" s="1151"/>
      <c r="AX107" s="1151"/>
      <c r="AY107" s="1151"/>
      <c r="AZ107" s="1151"/>
      <c r="BA107" s="1151"/>
      <c r="BB107" s="1151"/>
      <c r="BC107" s="1151"/>
      <c r="BD107" s="1151"/>
      <c r="BE107" s="1151"/>
      <c r="BF107" s="1151"/>
      <c r="BG107" s="1151"/>
      <c r="BH107" s="1152"/>
      <c r="BI107" s="1153" t="s">
        <v>199</v>
      </c>
      <c r="BJ107" s="1154"/>
      <c r="BK107" s="1154"/>
      <c r="BL107" s="1154"/>
      <c r="BM107" s="1154"/>
      <c r="BN107" s="1154"/>
      <c r="BO107" s="1154"/>
      <c r="BP107" s="1154"/>
      <c r="BQ107" s="1154"/>
      <c r="BR107" s="1154"/>
      <c r="BS107" s="1155"/>
      <c r="BT107" s="1281"/>
      <c r="BU107" s="1052">
        <v>13</v>
      </c>
      <c r="BV107" s="1052">
        <v>13</v>
      </c>
      <c r="BW107" s="1156">
        <f>BV107</f>
        <v>13</v>
      </c>
      <c r="BX107" s="1157"/>
      <c r="BY107" s="1157"/>
      <c r="BZ107" s="1157"/>
      <c r="CA107" s="1157"/>
      <c r="CB107" s="1157"/>
      <c r="CC107" s="1157"/>
      <c r="CD107" s="1157"/>
      <c r="CE107" s="1157"/>
      <c r="CF107" s="1158"/>
      <c r="CG107" s="1156">
        <v>12.7</v>
      </c>
      <c r="CH107" s="1157"/>
      <c r="CI107" s="1157"/>
      <c r="CJ107" s="1157"/>
      <c r="CK107" s="1157"/>
      <c r="CL107" s="1157"/>
      <c r="CM107" s="1157"/>
      <c r="CN107" s="1157"/>
      <c r="CO107" s="1157"/>
      <c r="CP107" s="1158"/>
      <c r="CQ107" s="1176"/>
      <c r="CR107" s="1177"/>
      <c r="CS107" s="1177"/>
      <c r="CT107" s="1177"/>
      <c r="CU107" s="1177"/>
      <c r="CV107" s="1177"/>
      <c r="CW107" s="1177"/>
      <c r="CX107" s="1177"/>
      <c r="CY107" s="1177"/>
      <c r="CZ107" s="1177"/>
      <c r="DA107" s="1177"/>
      <c r="DB107" s="1177"/>
      <c r="DC107" s="1177"/>
      <c r="DD107" s="1177"/>
      <c r="DE107" s="1177"/>
      <c r="DF107" s="1177"/>
      <c r="DG107" s="1178"/>
      <c r="DH107" s="1249"/>
      <c r="DI107" s="1057">
        <f t="shared" si="2"/>
        <v>-2.3076923076923066</v>
      </c>
    </row>
    <row r="108" spans="1:113" s="38" customFormat="1" ht="16.95" customHeight="1">
      <c r="A108" s="1148" t="s">
        <v>2073</v>
      </c>
      <c r="B108" s="1149"/>
      <c r="C108" s="1149"/>
      <c r="D108" s="1149"/>
      <c r="E108" s="1149"/>
      <c r="F108" s="1149"/>
      <c r="G108" s="1149"/>
      <c r="H108" s="1149"/>
      <c r="I108" s="1150"/>
      <c r="J108" s="1047"/>
      <c r="K108" s="1151" t="s">
        <v>1573</v>
      </c>
      <c r="L108" s="1151"/>
      <c r="M108" s="1151"/>
      <c r="N108" s="1151"/>
      <c r="O108" s="1151"/>
      <c r="P108" s="1151"/>
      <c r="Q108" s="1151"/>
      <c r="R108" s="1151"/>
      <c r="S108" s="1151"/>
      <c r="T108" s="1151"/>
      <c r="U108" s="1151"/>
      <c r="V108" s="1151"/>
      <c r="W108" s="1151"/>
      <c r="X108" s="1151"/>
      <c r="Y108" s="1151"/>
      <c r="Z108" s="1151"/>
      <c r="AA108" s="1151"/>
      <c r="AB108" s="1151"/>
      <c r="AC108" s="1151"/>
      <c r="AD108" s="1151"/>
      <c r="AE108" s="1151"/>
      <c r="AF108" s="1151"/>
      <c r="AG108" s="1151"/>
      <c r="AH108" s="1151"/>
      <c r="AI108" s="1151"/>
      <c r="AJ108" s="1151"/>
      <c r="AK108" s="1151"/>
      <c r="AL108" s="1151"/>
      <c r="AM108" s="1151"/>
      <c r="AN108" s="1151"/>
      <c r="AO108" s="1151"/>
      <c r="AP108" s="1151"/>
      <c r="AQ108" s="1151"/>
      <c r="AR108" s="1151"/>
      <c r="AS108" s="1151"/>
      <c r="AT108" s="1151"/>
      <c r="AU108" s="1151"/>
      <c r="AV108" s="1151"/>
      <c r="AW108" s="1151"/>
      <c r="AX108" s="1151"/>
      <c r="AY108" s="1151"/>
      <c r="AZ108" s="1151"/>
      <c r="BA108" s="1151"/>
      <c r="BB108" s="1151"/>
      <c r="BC108" s="1151"/>
      <c r="BD108" s="1151"/>
      <c r="BE108" s="1151"/>
      <c r="BF108" s="1151"/>
      <c r="BG108" s="1151"/>
      <c r="BH108" s="1152"/>
      <c r="BI108" s="1153" t="s">
        <v>199</v>
      </c>
      <c r="BJ108" s="1154"/>
      <c r="BK108" s="1154"/>
      <c r="BL108" s="1154"/>
      <c r="BM108" s="1154"/>
      <c r="BN108" s="1154"/>
      <c r="BO108" s="1154"/>
      <c r="BP108" s="1154"/>
      <c r="BQ108" s="1154"/>
      <c r="BR108" s="1154"/>
      <c r="BS108" s="1155"/>
      <c r="BT108" s="1281"/>
      <c r="BU108" s="1052">
        <v>19</v>
      </c>
      <c r="BV108" s="1052">
        <v>23</v>
      </c>
      <c r="BW108" s="1156">
        <f t="shared" ref="BW108:BW110" si="4">BV108</f>
        <v>23</v>
      </c>
      <c r="BX108" s="1157"/>
      <c r="BY108" s="1157"/>
      <c r="BZ108" s="1157"/>
      <c r="CA108" s="1157"/>
      <c r="CB108" s="1157"/>
      <c r="CC108" s="1157"/>
      <c r="CD108" s="1157"/>
      <c r="CE108" s="1157"/>
      <c r="CF108" s="1158"/>
      <c r="CG108" s="1156">
        <v>22.71</v>
      </c>
      <c r="CH108" s="1157"/>
      <c r="CI108" s="1157"/>
      <c r="CJ108" s="1157"/>
      <c r="CK108" s="1157"/>
      <c r="CL108" s="1157"/>
      <c r="CM108" s="1157"/>
      <c r="CN108" s="1157"/>
      <c r="CO108" s="1157"/>
      <c r="CP108" s="1158"/>
      <c r="CQ108" s="1176"/>
      <c r="CR108" s="1177"/>
      <c r="CS108" s="1177"/>
      <c r="CT108" s="1177"/>
      <c r="CU108" s="1177"/>
      <c r="CV108" s="1177"/>
      <c r="CW108" s="1177"/>
      <c r="CX108" s="1177"/>
      <c r="CY108" s="1177"/>
      <c r="CZ108" s="1177"/>
      <c r="DA108" s="1177"/>
      <c r="DB108" s="1177"/>
      <c r="DC108" s="1177"/>
      <c r="DD108" s="1177"/>
      <c r="DE108" s="1177"/>
      <c r="DF108" s="1177"/>
      <c r="DG108" s="1178"/>
      <c r="DH108" s="1249"/>
      <c r="DI108" s="1057">
        <f t="shared" si="2"/>
        <v>-1.2608695652173907</v>
      </c>
    </row>
    <row r="109" spans="1:113" s="38" customFormat="1" ht="16.95" customHeight="1">
      <c r="A109" s="1148" t="s">
        <v>2195</v>
      </c>
      <c r="B109" s="1149"/>
      <c r="C109" s="1149"/>
      <c r="D109" s="1149"/>
      <c r="E109" s="1149"/>
      <c r="F109" s="1149"/>
      <c r="G109" s="1149"/>
      <c r="H109" s="1149"/>
      <c r="I109" s="1150"/>
      <c r="J109" s="1047"/>
      <c r="K109" s="1151" t="s">
        <v>1574</v>
      </c>
      <c r="L109" s="1151"/>
      <c r="M109" s="1151"/>
      <c r="N109" s="1151"/>
      <c r="O109" s="1151"/>
      <c r="P109" s="1151"/>
      <c r="Q109" s="1151"/>
      <c r="R109" s="1151"/>
      <c r="S109" s="1151"/>
      <c r="T109" s="1151"/>
      <c r="U109" s="1151"/>
      <c r="V109" s="1151"/>
      <c r="W109" s="1151"/>
      <c r="X109" s="1151"/>
      <c r="Y109" s="1151"/>
      <c r="Z109" s="1151"/>
      <c r="AA109" s="1151"/>
      <c r="AB109" s="1151"/>
      <c r="AC109" s="1151"/>
      <c r="AD109" s="1151"/>
      <c r="AE109" s="1151"/>
      <c r="AF109" s="1151"/>
      <c r="AG109" s="1151"/>
      <c r="AH109" s="1151"/>
      <c r="AI109" s="1151"/>
      <c r="AJ109" s="1151"/>
      <c r="AK109" s="1151"/>
      <c r="AL109" s="1151"/>
      <c r="AM109" s="1151"/>
      <c r="AN109" s="1151"/>
      <c r="AO109" s="1151"/>
      <c r="AP109" s="1151"/>
      <c r="AQ109" s="1151"/>
      <c r="AR109" s="1151"/>
      <c r="AS109" s="1151"/>
      <c r="AT109" s="1151"/>
      <c r="AU109" s="1151"/>
      <c r="AV109" s="1151"/>
      <c r="AW109" s="1151"/>
      <c r="AX109" s="1151"/>
      <c r="AY109" s="1151"/>
      <c r="AZ109" s="1151"/>
      <c r="BA109" s="1151"/>
      <c r="BB109" s="1151"/>
      <c r="BC109" s="1151"/>
      <c r="BD109" s="1151"/>
      <c r="BE109" s="1151"/>
      <c r="BF109" s="1151"/>
      <c r="BG109" s="1151"/>
      <c r="BH109" s="1152"/>
      <c r="BI109" s="1153" t="s">
        <v>199</v>
      </c>
      <c r="BJ109" s="1154"/>
      <c r="BK109" s="1154"/>
      <c r="BL109" s="1154"/>
      <c r="BM109" s="1154"/>
      <c r="BN109" s="1154"/>
      <c r="BO109" s="1154"/>
      <c r="BP109" s="1154"/>
      <c r="BQ109" s="1154"/>
      <c r="BR109" s="1154"/>
      <c r="BS109" s="1155"/>
      <c r="BT109" s="1281"/>
      <c r="BU109" s="1052">
        <v>5224</v>
      </c>
      <c r="BV109" s="1052">
        <v>5463</v>
      </c>
      <c r="BW109" s="1156">
        <f t="shared" si="4"/>
        <v>5463</v>
      </c>
      <c r="BX109" s="1157"/>
      <c r="BY109" s="1157"/>
      <c r="BZ109" s="1157"/>
      <c r="CA109" s="1157"/>
      <c r="CB109" s="1157"/>
      <c r="CC109" s="1157"/>
      <c r="CD109" s="1157"/>
      <c r="CE109" s="1157"/>
      <c r="CF109" s="1158"/>
      <c r="CG109" s="1156">
        <v>5496.79</v>
      </c>
      <c r="CH109" s="1157"/>
      <c r="CI109" s="1157"/>
      <c r="CJ109" s="1157"/>
      <c r="CK109" s="1157"/>
      <c r="CL109" s="1157"/>
      <c r="CM109" s="1157"/>
      <c r="CN109" s="1157"/>
      <c r="CO109" s="1157"/>
      <c r="CP109" s="1158"/>
      <c r="CQ109" s="1176"/>
      <c r="CR109" s="1177"/>
      <c r="CS109" s="1177"/>
      <c r="CT109" s="1177"/>
      <c r="CU109" s="1177"/>
      <c r="CV109" s="1177"/>
      <c r="CW109" s="1177"/>
      <c r="CX109" s="1177"/>
      <c r="CY109" s="1177"/>
      <c r="CZ109" s="1177"/>
      <c r="DA109" s="1177"/>
      <c r="DB109" s="1177"/>
      <c r="DC109" s="1177"/>
      <c r="DD109" s="1177"/>
      <c r="DE109" s="1177"/>
      <c r="DF109" s="1177"/>
      <c r="DG109" s="1178"/>
      <c r="DH109" s="1249"/>
      <c r="DI109" s="1057">
        <f t="shared" si="2"/>
        <v>0.61852462017206733</v>
      </c>
    </row>
    <row r="110" spans="1:113" s="38" customFormat="1" ht="16.95" customHeight="1">
      <c r="A110" s="1148" t="s">
        <v>2196</v>
      </c>
      <c r="B110" s="1149"/>
      <c r="C110" s="1149"/>
      <c r="D110" s="1149"/>
      <c r="E110" s="1149"/>
      <c r="F110" s="1149"/>
      <c r="G110" s="1149"/>
      <c r="H110" s="1149"/>
      <c r="I110" s="1150"/>
      <c r="J110" s="1047"/>
      <c r="K110" s="1151" t="s">
        <v>1575</v>
      </c>
      <c r="L110" s="1151"/>
      <c r="M110" s="1151"/>
      <c r="N110" s="1151"/>
      <c r="O110" s="1151"/>
      <c r="P110" s="1151"/>
      <c r="Q110" s="1151"/>
      <c r="R110" s="1151"/>
      <c r="S110" s="1151"/>
      <c r="T110" s="1151"/>
      <c r="U110" s="1151"/>
      <c r="V110" s="1151"/>
      <c r="W110" s="1151"/>
      <c r="X110" s="1151"/>
      <c r="Y110" s="1151"/>
      <c r="Z110" s="1151"/>
      <c r="AA110" s="1151"/>
      <c r="AB110" s="1151"/>
      <c r="AC110" s="1151"/>
      <c r="AD110" s="1151"/>
      <c r="AE110" s="1151"/>
      <c r="AF110" s="1151"/>
      <c r="AG110" s="1151"/>
      <c r="AH110" s="1151"/>
      <c r="AI110" s="1151"/>
      <c r="AJ110" s="1151"/>
      <c r="AK110" s="1151"/>
      <c r="AL110" s="1151"/>
      <c r="AM110" s="1151"/>
      <c r="AN110" s="1151"/>
      <c r="AO110" s="1151"/>
      <c r="AP110" s="1151"/>
      <c r="AQ110" s="1151"/>
      <c r="AR110" s="1151"/>
      <c r="AS110" s="1151"/>
      <c r="AT110" s="1151"/>
      <c r="AU110" s="1151"/>
      <c r="AV110" s="1151"/>
      <c r="AW110" s="1151"/>
      <c r="AX110" s="1151"/>
      <c r="AY110" s="1151"/>
      <c r="AZ110" s="1151"/>
      <c r="BA110" s="1151"/>
      <c r="BB110" s="1151"/>
      <c r="BC110" s="1151"/>
      <c r="BD110" s="1151"/>
      <c r="BE110" s="1151"/>
      <c r="BF110" s="1151"/>
      <c r="BG110" s="1151"/>
      <c r="BH110" s="1152"/>
      <c r="BI110" s="1153" t="s">
        <v>199</v>
      </c>
      <c r="BJ110" s="1154"/>
      <c r="BK110" s="1154"/>
      <c r="BL110" s="1154"/>
      <c r="BM110" s="1154"/>
      <c r="BN110" s="1154"/>
      <c r="BO110" s="1154"/>
      <c r="BP110" s="1154"/>
      <c r="BQ110" s="1154"/>
      <c r="BR110" s="1154"/>
      <c r="BS110" s="1155"/>
      <c r="BT110" s="1281"/>
      <c r="BU110" s="1052">
        <v>13380</v>
      </c>
      <c r="BV110" s="1052">
        <v>14046</v>
      </c>
      <c r="BW110" s="1156">
        <f t="shared" si="4"/>
        <v>14046</v>
      </c>
      <c r="BX110" s="1157"/>
      <c r="BY110" s="1157"/>
      <c r="BZ110" s="1157"/>
      <c r="CA110" s="1157"/>
      <c r="CB110" s="1157"/>
      <c r="CC110" s="1157"/>
      <c r="CD110" s="1157"/>
      <c r="CE110" s="1157"/>
      <c r="CF110" s="1158"/>
      <c r="CG110" s="1156">
        <v>14090.7</v>
      </c>
      <c r="CH110" s="1157"/>
      <c r="CI110" s="1157"/>
      <c r="CJ110" s="1157"/>
      <c r="CK110" s="1157"/>
      <c r="CL110" s="1157"/>
      <c r="CM110" s="1157"/>
      <c r="CN110" s="1157"/>
      <c r="CO110" s="1157"/>
      <c r="CP110" s="1158"/>
      <c r="CQ110" s="1176"/>
      <c r="CR110" s="1177"/>
      <c r="CS110" s="1177"/>
      <c r="CT110" s="1177"/>
      <c r="CU110" s="1177"/>
      <c r="CV110" s="1177"/>
      <c r="CW110" s="1177"/>
      <c r="CX110" s="1177"/>
      <c r="CY110" s="1177"/>
      <c r="CZ110" s="1177"/>
      <c r="DA110" s="1177"/>
      <c r="DB110" s="1177"/>
      <c r="DC110" s="1177"/>
      <c r="DD110" s="1177"/>
      <c r="DE110" s="1177"/>
      <c r="DF110" s="1177"/>
      <c r="DG110" s="1178"/>
      <c r="DH110" s="1249"/>
      <c r="DI110" s="1057">
        <f t="shared" si="2"/>
        <v>0.31824006834686713</v>
      </c>
    </row>
    <row r="111" spans="1:113" s="38" customFormat="1" ht="15" customHeight="1">
      <c r="A111" s="1148" t="s">
        <v>200</v>
      </c>
      <c r="B111" s="1149"/>
      <c r="C111" s="1149"/>
      <c r="D111" s="1149"/>
      <c r="E111" s="1149"/>
      <c r="F111" s="1149"/>
      <c r="G111" s="1149"/>
      <c r="H111" s="1149"/>
      <c r="I111" s="1150"/>
      <c r="J111" s="39"/>
      <c r="K111" s="1189" t="s">
        <v>201</v>
      </c>
      <c r="L111" s="1189"/>
      <c r="M111" s="1189"/>
      <c r="N111" s="1189"/>
      <c r="O111" s="1189"/>
      <c r="P111" s="1189"/>
      <c r="Q111" s="1189"/>
      <c r="R111" s="1189"/>
      <c r="S111" s="1189"/>
      <c r="T111" s="1189"/>
      <c r="U111" s="1189"/>
      <c r="V111" s="1189"/>
      <c r="W111" s="1189"/>
      <c r="X111" s="1189"/>
      <c r="Y111" s="1189"/>
      <c r="Z111" s="1189"/>
      <c r="AA111" s="1189"/>
      <c r="AB111" s="1189"/>
      <c r="AC111" s="1189"/>
      <c r="AD111" s="1189"/>
      <c r="AE111" s="1189"/>
      <c r="AF111" s="1189"/>
      <c r="AG111" s="1189"/>
      <c r="AH111" s="1189"/>
      <c r="AI111" s="1189"/>
      <c r="AJ111" s="1189"/>
      <c r="AK111" s="1189"/>
      <c r="AL111" s="1189"/>
      <c r="AM111" s="1189"/>
      <c r="AN111" s="1189"/>
      <c r="AO111" s="1189"/>
      <c r="AP111" s="1189"/>
      <c r="AQ111" s="1189"/>
      <c r="AR111" s="1189"/>
      <c r="AS111" s="1189"/>
      <c r="AT111" s="1189"/>
      <c r="AU111" s="1189"/>
      <c r="AV111" s="1189"/>
      <c r="AW111" s="1189"/>
      <c r="AX111" s="1189"/>
      <c r="AY111" s="1189"/>
      <c r="AZ111" s="1189"/>
      <c r="BA111" s="1189"/>
      <c r="BB111" s="1189"/>
      <c r="BC111" s="1189"/>
      <c r="BD111" s="1189"/>
      <c r="BE111" s="1189"/>
      <c r="BF111" s="1189"/>
      <c r="BG111" s="1189"/>
      <c r="BH111" s="40"/>
      <c r="BI111" s="1183" t="s">
        <v>202</v>
      </c>
      <c r="BJ111" s="1184"/>
      <c r="BK111" s="1184"/>
      <c r="BL111" s="1184"/>
      <c r="BM111" s="1184"/>
      <c r="BN111" s="1184"/>
      <c r="BO111" s="1184"/>
      <c r="BP111" s="1184"/>
      <c r="BQ111" s="1184"/>
      <c r="BR111" s="1184"/>
      <c r="BS111" s="1185"/>
      <c r="BT111" s="1282"/>
      <c r="BU111" s="1052">
        <v>24</v>
      </c>
      <c r="BV111" s="1052">
        <v>24</v>
      </c>
      <c r="BW111" s="1186">
        <v>23.9</v>
      </c>
      <c r="BX111" s="1187"/>
      <c r="BY111" s="1187"/>
      <c r="BZ111" s="1187"/>
      <c r="CA111" s="1187"/>
      <c r="CB111" s="1187"/>
      <c r="CC111" s="1187"/>
      <c r="CD111" s="1187"/>
      <c r="CE111" s="1187"/>
      <c r="CF111" s="1188"/>
      <c r="CG111" s="1186">
        <v>23.9</v>
      </c>
      <c r="CH111" s="1187"/>
      <c r="CI111" s="1187"/>
      <c r="CJ111" s="1187"/>
      <c r="CK111" s="1187"/>
      <c r="CL111" s="1187"/>
      <c r="CM111" s="1187"/>
      <c r="CN111" s="1187"/>
      <c r="CO111" s="1187"/>
      <c r="CP111" s="1188"/>
      <c r="CQ111" s="1173"/>
      <c r="CR111" s="1174"/>
      <c r="CS111" s="1174"/>
      <c r="CT111" s="1174"/>
      <c r="CU111" s="1174"/>
      <c r="CV111" s="1174"/>
      <c r="CW111" s="1174"/>
      <c r="CX111" s="1174"/>
      <c r="CY111" s="1174"/>
      <c r="CZ111" s="1174"/>
      <c r="DA111" s="1174"/>
      <c r="DB111" s="1174"/>
      <c r="DC111" s="1174"/>
      <c r="DD111" s="1174"/>
      <c r="DE111" s="1174"/>
      <c r="DF111" s="1174"/>
      <c r="DG111" s="1175"/>
      <c r="DH111" s="1248"/>
      <c r="DI111" s="1057">
        <f t="shared" si="2"/>
        <v>0</v>
      </c>
    </row>
    <row r="112" spans="1:113" s="38" customFormat="1" ht="43.95" customHeight="1">
      <c r="A112" s="1148" t="s">
        <v>203</v>
      </c>
      <c r="B112" s="1149"/>
      <c r="C112" s="1149"/>
      <c r="D112" s="1149"/>
      <c r="E112" s="1149"/>
      <c r="F112" s="1149"/>
      <c r="G112" s="1149"/>
      <c r="H112" s="1149"/>
      <c r="I112" s="1150"/>
      <c r="J112" s="39"/>
      <c r="K112" s="1240" t="s">
        <v>204</v>
      </c>
      <c r="L112" s="1240"/>
      <c r="M112" s="1240"/>
      <c r="N112" s="1240"/>
      <c r="O112" s="1240"/>
      <c r="P112" s="1240"/>
      <c r="Q112" s="1240"/>
      <c r="R112" s="1240"/>
      <c r="S112" s="1240"/>
      <c r="T112" s="1240"/>
      <c r="U112" s="1240"/>
      <c r="V112" s="1240"/>
      <c r="W112" s="1240"/>
      <c r="X112" s="1240"/>
      <c r="Y112" s="1240"/>
      <c r="Z112" s="1240"/>
      <c r="AA112" s="1240"/>
      <c r="AB112" s="1240"/>
      <c r="AC112" s="1240"/>
      <c r="AD112" s="1240"/>
      <c r="AE112" s="1240"/>
      <c r="AF112" s="1240"/>
      <c r="AG112" s="1240"/>
      <c r="AH112" s="1240"/>
      <c r="AI112" s="1240"/>
      <c r="AJ112" s="1240"/>
      <c r="AK112" s="1240"/>
      <c r="AL112" s="1240"/>
      <c r="AM112" s="1240"/>
      <c r="AN112" s="1240"/>
      <c r="AO112" s="1240"/>
      <c r="AP112" s="1240"/>
      <c r="AQ112" s="1240"/>
      <c r="AR112" s="1240"/>
      <c r="AS112" s="1240"/>
      <c r="AT112" s="1240"/>
      <c r="AU112" s="1240"/>
      <c r="AV112" s="1240"/>
      <c r="AW112" s="1240"/>
      <c r="AX112" s="1240"/>
      <c r="AY112" s="1240"/>
      <c r="AZ112" s="1240"/>
      <c r="BA112" s="1240"/>
      <c r="BB112" s="1240"/>
      <c r="BC112" s="1240"/>
      <c r="BD112" s="1240"/>
      <c r="BE112" s="1240"/>
      <c r="BF112" s="1240"/>
      <c r="BG112" s="1240"/>
      <c r="BH112" s="40"/>
      <c r="BI112" s="1183" t="s">
        <v>121</v>
      </c>
      <c r="BJ112" s="1184"/>
      <c r="BK112" s="1184"/>
      <c r="BL112" s="1184"/>
      <c r="BM112" s="1184"/>
      <c r="BN112" s="1184"/>
      <c r="BO112" s="1184"/>
      <c r="BP112" s="1184"/>
      <c r="BQ112" s="1184"/>
      <c r="BR112" s="1184"/>
      <c r="BS112" s="1185"/>
      <c r="BT112" s="1234">
        <v>42449</v>
      </c>
      <c r="BU112" s="1052">
        <v>630755.09</v>
      </c>
      <c r="BV112" s="1052">
        <v>266827</v>
      </c>
      <c r="BW112" s="1186">
        <v>866626</v>
      </c>
      <c r="BX112" s="1187"/>
      <c r="BY112" s="1187"/>
      <c r="BZ112" s="1187"/>
      <c r="CA112" s="1187"/>
      <c r="CB112" s="1187"/>
      <c r="CC112" s="1187"/>
      <c r="CD112" s="1187"/>
      <c r="CE112" s="1187"/>
      <c r="CF112" s="1188"/>
      <c r="CG112" s="1186">
        <v>674503</v>
      </c>
      <c r="CH112" s="1187"/>
      <c r="CI112" s="1187"/>
      <c r="CJ112" s="1187"/>
      <c r="CK112" s="1187"/>
      <c r="CL112" s="1187"/>
      <c r="CM112" s="1187"/>
      <c r="CN112" s="1187"/>
      <c r="CO112" s="1187"/>
      <c r="CP112" s="1188"/>
      <c r="CQ112" s="1294" t="s">
        <v>2200</v>
      </c>
      <c r="CR112" s="1295"/>
      <c r="CS112" s="1295"/>
      <c r="CT112" s="1295"/>
      <c r="CU112" s="1295"/>
      <c r="CV112" s="1295"/>
      <c r="CW112" s="1295"/>
      <c r="CX112" s="1295"/>
      <c r="CY112" s="1295"/>
      <c r="CZ112" s="1295"/>
      <c r="DA112" s="1295"/>
      <c r="DB112" s="1295"/>
      <c r="DC112" s="1295"/>
      <c r="DD112" s="1295"/>
      <c r="DE112" s="1295"/>
      <c r="DF112" s="1295"/>
      <c r="DG112" s="1296"/>
      <c r="DH112" s="1247" t="s">
        <v>205</v>
      </c>
      <c r="DI112" s="1057">
        <f t="shared" si="2"/>
        <v>-22.169078702923755</v>
      </c>
    </row>
    <row r="113" spans="1:113" s="38" customFormat="1" ht="52.95" customHeight="1">
      <c r="A113" s="1148" t="s">
        <v>206</v>
      </c>
      <c r="B113" s="1149"/>
      <c r="C113" s="1149"/>
      <c r="D113" s="1149"/>
      <c r="E113" s="1149"/>
      <c r="F113" s="1149"/>
      <c r="G113" s="1149"/>
      <c r="H113" s="1149"/>
      <c r="I113" s="1150"/>
      <c r="J113" s="39"/>
      <c r="K113" s="1240" t="s">
        <v>207</v>
      </c>
      <c r="L113" s="1240"/>
      <c r="M113" s="1240"/>
      <c r="N113" s="1240"/>
      <c r="O113" s="1240"/>
      <c r="P113" s="1240"/>
      <c r="Q113" s="1240"/>
      <c r="R113" s="1240"/>
      <c r="S113" s="1240"/>
      <c r="T113" s="1240"/>
      <c r="U113" s="1240"/>
      <c r="V113" s="1240"/>
      <c r="W113" s="1240"/>
      <c r="X113" s="1240"/>
      <c r="Y113" s="1240"/>
      <c r="Z113" s="1240"/>
      <c r="AA113" s="1240"/>
      <c r="AB113" s="1240"/>
      <c r="AC113" s="1240"/>
      <c r="AD113" s="1240"/>
      <c r="AE113" s="1240"/>
      <c r="AF113" s="1240"/>
      <c r="AG113" s="1240"/>
      <c r="AH113" s="1240"/>
      <c r="AI113" s="1240"/>
      <c r="AJ113" s="1240"/>
      <c r="AK113" s="1240"/>
      <c r="AL113" s="1240"/>
      <c r="AM113" s="1240"/>
      <c r="AN113" s="1240"/>
      <c r="AO113" s="1240"/>
      <c r="AP113" s="1240"/>
      <c r="AQ113" s="1240"/>
      <c r="AR113" s="1240"/>
      <c r="AS113" s="1240"/>
      <c r="AT113" s="1240"/>
      <c r="AU113" s="1240"/>
      <c r="AV113" s="1240"/>
      <c r="AW113" s="1240"/>
      <c r="AX113" s="1240"/>
      <c r="AY113" s="1240"/>
      <c r="AZ113" s="1240"/>
      <c r="BA113" s="1240"/>
      <c r="BB113" s="1240"/>
      <c r="BC113" s="1240"/>
      <c r="BD113" s="1240"/>
      <c r="BE113" s="1240"/>
      <c r="BF113" s="1240"/>
      <c r="BG113" s="1240"/>
      <c r="BH113" s="40"/>
      <c r="BI113" s="1183" t="s">
        <v>121</v>
      </c>
      <c r="BJ113" s="1184"/>
      <c r="BK113" s="1184"/>
      <c r="BL113" s="1184"/>
      <c r="BM113" s="1184"/>
      <c r="BN113" s="1184"/>
      <c r="BO113" s="1184"/>
      <c r="BP113" s="1184"/>
      <c r="BQ113" s="1184"/>
      <c r="BR113" s="1184"/>
      <c r="BS113" s="1185"/>
      <c r="BT113" s="1282"/>
      <c r="BU113" s="1052">
        <v>240314</v>
      </c>
      <c r="BV113" s="1052">
        <v>38403</v>
      </c>
      <c r="BW113" s="1186">
        <v>399152</v>
      </c>
      <c r="BX113" s="1187"/>
      <c r="BY113" s="1187"/>
      <c r="BZ113" s="1187"/>
      <c r="CA113" s="1187"/>
      <c r="CB113" s="1187"/>
      <c r="CC113" s="1187"/>
      <c r="CD113" s="1187"/>
      <c r="CE113" s="1187"/>
      <c r="CF113" s="1188"/>
      <c r="CG113" s="1186">
        <v>254266</v>
      </c>
      <c r="CH113" s="1187"/>
      <c r="CI113" s="1187"/>
      <c r="CJ113" s="1187"/>
      <c r="CK113" s="1187"/>
      <c r="CL113" s="1187"/>
      <c r="CM113" s="1187"/>
      <c r="CN113" s="1187"/>
      <c r="CO113" s="1187"/>
      <c r="CP113" s="1188"/>
      <c r="CQ113" s="1173"/>
      <c r="CR113" s="1174"/>
      <c r="CS113" s="1174"/>
      <c r="CT113" s="1174"/>
      <c r="CU113" s="1174"/>
      <c r="CV113" s="1174"/>
      <c r="CW113" s="1174"/>
      <c r="CX113" s="1174"/>
      <c r="CY113" s="1174"/>
      <c r="CZ113" s="1174"/>
      <c r="DA113" s="1174"/>
      <c r="DB113" s="1174"/>
      <c r="DC113" s="1174"/>
      <c r="DD113" s="1174"/>
      <c r="DE113" s="1174"/>
      <c r="DF113" s="1174"/>
      <c r="DG113" s="1175"/>
      <c r="DH113" s="1248"/>
      <c r="DI113" s="1057">
        <f t="shared" si="2"/>
        <v>-36.298452719765905</v>
      </c>
    </row>
    <row r="114" spans="1:113" s="38" customFormat="1" ht="45" customHeight="1">
      <c r="A114" s="1148" t="s">
        <v>208</v>
      </c>
      <c r="B114" s="1149"/>
      <c r="C114" s="1149"/>
      <c r="D114" s="1149"/>
      <c r="E114" s="1149"/>
      <c r="F114" s="1149"/>
      <c r="G114" s="1149"/>
      <c r="H114" s="1149"/>
      <c r="I114" s="1150"/>
      <c r="J114" s="39"/>
      <c r="K114" s="1189" t="s">
        <v>209</v>
      </c>
      <c r="L114" s="1189"/>
      <c r="M114" s="1189"/>
      <c r="N114" s="1189"/>
      <c r="O114" s="1189"/>
      <c r="P114" s="1189"/>
      <c r="Q114" s="1189"/>
      <c r="R114" s="1189"/>
      <c r="S114" s="1189"/>
      <c r="T114" s="1189"/>
      <c r="U114" s="1189"/>
      <c r="V114" s="1189"/>
      <c r="W114" s="1189"/>
      <c r="X114" s="1189"/>
      <c r="Y114" s="1189"/>
      <c r="Z114" s="1189"/>
      <c r="AA114" s="1189"/>
      <c r="AB114" s="1189"/>
      <c r="AC114" s="1189"/>
      <c r="AD114" s="1189"/>
      <c r="AE114" s="1189"/>
      <c r="AF114" s="1189"/>
      <c r="AG114" s="1189"/>
      <c r="AH114" s="1189"/>
      <c r="AI114" s="1189"/>
      <c r="AJ114" s="1189"/>
      <c r="AK114" s="1189"/>
      <c r="AL114" s="1189"/>
      <c r="AM114" s="1189"/>
      <c r="AN114" s="1189"/>
      <c r="AO114" s="1189"/>
      <c r="AP114" s="1189"/>
      <c r="AQ114" s="1189"/>
      <c r="AR114" s="1189"/>
      <c r="AS114" s="1189"/>
      <c r="AT114" s="1189"/>
      <c r="AU114" s="1189"/>
      <c r="AV114" s="1189"/>
      <c r="AW114" s="1189"/>
      <c r="AX114" s="1189"/>
      <c r="AY114" s="1189"/>
      <c r="AZ114" s="1189"/>
      <c r="BA114" s="1189"/>
      <c r="BB114" s="1189"/>
      <c r="BC114" s="1189"/>
      <c r="BD114" s="1189"/>
      <c r="BE114" s="1189"/>
      <c r="BF114" s="1189"/>
      <c r="BG114" s="1189"/>
      <c r="BH114" s="40"/>
      <c r="BI114" s="1183" t="s">
        <v>202</v>
      </c>
      <c r="BJ114" s="1184"/>
      <c r="BK114" s="1184"/>
      <c r="BL114" s="1184"/>
      <c r="BM114" s="1184"/>
      <c r="BN114" s="1184"/>
      <c r="BO114" s="1184"/>
      <c r="BP114" s="1184"/>
      <c r="BQ114" s="1184"/>
      <c r="BR114" s="1184"/>
      <c r="BS114" s="1185"/>
      <c r="BT114" s="48">
        <v>42449</v>
      </c>
      <c r="BU114" s="1060">
        <v>17.940000000000001</v>
      </c>
      <c r="BV114" s="1056"/>
      <c r="BW114" s="1183">
        <v>17.91</v>
      </c>
      <c r="BX114" s="1184"/>
      <c r="BY114" s="1184"/>
      <c r="BZ114" s="1184"/>
      <c r="CA114" s="1184"/>
      <c r="CB114" s="1184"/>
      <c r="CC114" s="1184"/>
      <c r="CD114" s="1184"/>
      <c r="CE114" s="1184"/>
      <c r="CF114" s="1185"/>
      <c r="CG114" s="1183" t="s">
        <v>118</v>
      </c>
      <c r="CH114" s="1184"/>
      <c r="CI114" s="1184"/>
      <c r="CJ114" s="1184"/>
      <c r="CK114" s="1184"/>
      <c r="CL114" s="1184"/>
      <c r="CM114" s="1184"/>
      <c r="CN114" s="1184"/>
      <c r="CO114" s="1184"/>
      <c r="CP114" s="1185"/>
      <c r="CQ114" s="1208"/>
      <c r="CR114" s="1229"/>
      <c r="CS114" s="1229"/>
      <c r="CT114" s="1229"/>
      <c r="CU114" s="1229"/>
      <c r="CV114" s="1229"/>
      <c r="CW114" s="1229"/>
      <c r="CX114" s="1229"/>
      <c r="CY114" s="1229"/>
      <c r="CZ114" s="1229"/>
      <c r="DA114" s="1229"/>
      <c r="DB114" s="1229"/>
      <c r="DC114" s="1229"/>
      <c r="DD114" s="1229"/>
      <c r="DE114" s="1229"/>
      <c r="DF114" s="1229"/>
      <c r="DG114" s="1230"/>
      <c r="DH114" s="42" t="s">
        <v>210</v>
      </c>
    </row>
    <row r="116" spans="1:113" s="34" customFormat="1" ht="13.2">
      <c r="G116" s="34" t="s">
        <v>211</v>
      </c>
    </row>
    <row r="117" spans="1:113" s="34" customFormat="1" ht="44.4" customHeight="1">
      <c r="A117" s="1284" t="s">
        <v>212</v>
      </c>
      <c r="B117" s="1285"/>
      <c r="C117" s="1285"/>
      <c r="D117" s="1285"/>
      <c r="E117" s="1285"/>
      <c r="F117" s="1285"/>
      <c r="G117" s="1285"/>
      <c r="H117" s="1285"/>
      <c r="I117" s="1285"/>
      <c r="J117" s="1285"/>
      <c r="K117" s="1285"/>
      <c r="L117" s="1285"/>
      <c r="M117" s="1285"/>
      <c r="N117" s="1285"/>
      <c r="O117" s="1285"/>
      <c r="P117" s="1285"/>
      <c r="Q117" s="1285"/>
      <c r="R117" s="1285"/>
      <c r="S117" s="1285"/>
      <c r="T117" s="1285"/>
      <c r="U117" s="1285"/>
      <c r="V117" s="1285"/>
      <c r="W117" s="1285"/>
      <c r="X117" s="1285"/>
      <c r="Y117" s="1285"/>
      <c r="Z117" s="1285"/>
      <c r="AA117" s="1285"/>
      <c r="AB117" s="1285"/>
      <c r="AC117" s="1285"/>
      <c r="AD117" s="1285"/>
      <c r="AE117" s="1285"/>
      <c r="AF117" s="1285"/>
      <c r="AG117" s="1285"/>
      <c r="AH117" s="1285"/>
      <c r="AI117" s="1285"/>
      <c r="AJ117" s="1285"/>
      <c r="AK117" s="1285"/>
      <c r="AL117" s="1285"/>
      <c r="AM117" s="1285"/>
      <c r="AN117" s="1285"/>
      <c r="AO117" s="1285"/>
      <c r="AP117" s="1285"/>
      <c r="AQ117" s="1285"/>
      <c r="AR117" s="1285"/>
      <c r="AS117" s="1285"/>
      <c r="AT117" s="1285"/>
      <c r="AU117" s="1285"/>
      <c r="AV117" s="1285"/>
      <c r="AW117" s="1285"/>
      <c r="AX117" s="1285"/>
      <c r="AY117" s="1285"/>
      <c r="AZ117" s="1285"/>
      <c r="BA117" s="1285"/>
      <c r="BB117" s="1285"/>
      <c r="BC117" s="1285"/>
      <c r="BD117" s="1285"/>
      <c r="BE117" s="1285"/>
      <c r="BF117" s="1285"/>
      <c r="BG117" s="1285"/>
      <c r="BH117" s="1285"/>
      <c r="BI117" s="1285"/>
      <c r="BJ117" s="1285"/>
      <c r="BK117" s="1285"/>
      <c r="BL117" s="1285"/>
      <c r="BM117" s="1285"/>
      <c r="BN117" s="1285"/>
      <c r="BO117" s="1285"/>
      <c r="BP117" s="1285"/>
      <c r="BQ117" s="1285"/>
      <c r="BR117" s="1285"/>
      <c r="BS117" s="1285"/>
      <c r="BT117" s="1285"/>
      <c r="BU117" s="1285"/>
      <c r="BV117" s="1285"/>
      <c r="BW117" s="1285"/>
      <c r="BX117" s="1285"/>
      <c r="BY117" s="1285"/>
      <c r="BZ117" s="1285"/>
      <c r="CA117" s="1285"/>
      <c r="CB117" s="1285"/>
      <c r="CC117" s="1285"/>
      <c r="CD117" s="1285"/>
      <c r="CE117" s="1285"/>
      <c r="CF117" s="1285"/>
      <c r="CG117" s="1285"/>
      <c r="CH117" s="1285"/>
      <c r="CI117" s="1285"/>
      <c r="CJ117" s="1285"/>
      <c r="CK117" s="1285"/>
      <c r="CL117" s="1285"/>
      <c r="CM117" s="1285"/>
      <c r="CN117" s="1285"/>
      <c r="CO117" s="1285"/>
      <c r="CP117" s="1285"/>
      <c r="CQ117" s="1285"/>
      <c r="CR117" s="1285"/>
      <c r="CS117" s="1285"/>
      <c r="CT117" s="1285"/>
      <c r="CU117" s="1285"/>
      <c r="CV117" s="1285"/>
      <c r="CW117" s="1285"/>
      <c r="CX117" s="1285"/>
      <c r="CY117" s="1285"/>
      <c r="CZ117" s="1285"/>
      <c r="DA117" s="1285"/>
      <c r="DB117" s="1285"/>
      <c r="DC117" s="1285"/>
      <c r="DD117" s="1285"/>
      <c r="DE117" s="1285"/>
      <c r="DF117" s="1285"/>
      <c r="DG117" s="1285"/>
      <c r="DH117" s="1286"/>
    </row>
    <row r="118" spans="1:113" s="34" customFormat="1" ht="25.5" customHeight="1">
      <c r="A118" s="1284" t="s">
        <v>213</v>
      </c>
      <c r="B118" s="1285"/>
      <c r="C118" s="1285"/>
      <c r="D118" s="1285"/>
      <c r="E118" s="1285"/>
      <c r="F118" s="1285"/>
      <c r="G118" s="1285"/>
      <c r="H118" s="1285"/>
      <c r="I118" s="1285"/>
      <c r="J118" s="1285"/>
      <c r="K118" s="1285"/>
      <c r="L118" s="1285"/>
      <c r="M118" s="1285"/>
      <c r="N118" s="1285"/>
      <c r="O118" s="1285"/>
      <c r="P118" s="1285"/>
      <c r="Q118" s="1285"/>
      <c r="R118" s="1285"/>
      <c r="S118" s="1285"/>
      <c r="T118" s="1285"/>
      <c r="U118" s="1285"/>
      <c r="V118" s="1285"/>
      <c r="W118" s="1285"/>
      <c r="X118" s="1285"/>
      <c r="Y118" s="1285"/>
      <c r="Z118" s="1285"/>
      <c r="AA118" s="1285"/>
      <c r="AB118" s="1285"/>
      <c r="AC118" s="1285"/>
      <c r="AD118" s="1285"/>
      <c r="AE118" s="1285"/>
      <c r="AF118" s="1285"/>
      <c r="AG118" s="1285"/>
      <c r="AH118" s="1285"/>
      <c r="AI118" s="1285"/>
      <c r="AJ118" s="1285"/>
      <c r="AK118" s="1285"/>
      <c r="AL118" s="1285"/>
      <c r="AM118" s="1285"/>
      <c r="AN118" s="1285"/>
      <c r="AO118" s="1285"/>
      <c r="AP118" s="1285"/>
      <c r="AQ118" s="1285"/>
      <c r="AR118" s="1285"/>
      <c r="AS118" s="1285"/>
      <c r="AT118" s="1285"/>
      <c r="AU118" s="1285"/>
      <c r="AV118" s="1285"/>
      <c r="AW118" s="1285"/>
      <c r="AX118" s="1285"/>
      <c r="AY118" s="1285"/>
      <c r="AZ118" s="1285"/>
      <c r="BA118" s="1285"/>
      <c r="BB118" s="1285"/>
      <c r="BC118" s="1285"/>
      <c r="BD118" s="1285"/>
      <c r="BE118" s="1285"/>
      <c r="BF118" s="1285"/>
      <c r="BG118" s="1285"/>
      <c r="BH118" s="1285"/>
      <c r="BI118" s="1285"/>
      <c r="BJ118" s="1285"/>
      <c r="BK118" s="1285"/>
      <c r="BL118" s="1285"/>
      <c r="BM118" s="1285"/>
      <c r="BN118" s="1285"/>
      <c r="BO118" s="1285"/>
      <c r="BP118" s="1285"/>
      <c r="BQ118" s="1285"/>
      <c r="BR118" s="1285"/>
      <c r="BS118" s="1285"/>
      <c r="BT118" s="1285"/>
      <c r="BU118" s="1285"/>
      <c r="BV118" s="1285"/>
      <c r="BW118" s="1285"/>
      <c r="BX118" s="1285"/>
      <c r="BY118" s="1285"/>
      <c r="BZ118" s="1285"/>
      <c r="CA118" s="1285"/>
      <c r="CB118" s="1285"/>
      <c r="CC118" s="1285"/>
      <c r="CD118" s="1285"/>
      <c r="CE118" s="1285"/>
      <c r="CF118" s="1285"/>
      <c r="CG118" s="1285"/>
      <c r="CH118" s="1285"/>
      <c r="CI118" s="1285"/>
      <c r="CJ118" s="1285"/>
      <c r="CK118" s="1285"/>
      <c r="CL118" s="1285"/>
      <c r="CM118" s="1285"/>
      <c r="CN118" s="1285"/>
      <c r="CO118" s="1285"/>
      <c r="CP118" s="1285"/>
      <c r="CQ118" s="1285"/>
      <c r="CR118" s="1285"/>
      <c r="CS118" s="1285"/>
      <c r="CT118" s="1285"/>
      <c r="CU118" s="1285"/>
      <c r="CV118" s="1285"/>
      <c r="CW118" s="1285"/>
      <c r="CX118" s="1285"/>
      <c r="CY118" s="1285"/>
      <c r="CZ118" s="1285"/>
      <c r="DA118" s="1285"/>
      <c r="DB118" s="1285"/>
      <c r="DC118" s="1285"/>
      <c r="DD118" s="1285"/>
      <c r="DE118" s="1285"/>
      <c r="DF118" s="1285"/>
      <c r="DG118" s="1285"/>
      <c r="DH118" s="1286"/>
    </row>
    <row r="119" spans="1:113" s="34" customFormat="1" ht="25.5" customHeight="1">
      <c r="A119" s="1284" t="s">
        <v>214</v>
      </c>
      <c r="B119" s="1285"/>
      <c r="C119" s="1285"/>
      <c r="D119" s="1285"/>
      <c r="E119" s="1285"/>
      <c r="F119" s="1285"/>
      <c r="G119" s="1285"/>
      <c r="H119" s="1285"/>
      <c r="I119" s="1285"/>
      <c r="J119" s="1285"/>
      <c r="K119" s="1285"/>
      <c r="L119" s="1285"/>
      <c r="M119" s="1285"/>
      <c r="N119" s="1285"/>
      <c r="O119" s="1285"/>
      <c r="P119" s="1285"/>
      <c r="Q119" s="1285"/>
      <c r="R119" s="1285"/>
      <c r="S119" s="1285"/>
      <c r="T119" s="1285"/>
      <c r="U119" s="1285"/>
      <c r="V119" s="1285"/>
      <c r="W119" s="1285"/>
      <c r="X119" s="1285"/>
      <c r="Y119" s="1285"/>
      <c r="Z119" s="1285"/>
      <c r="AA119" s="1285"/>
      <c r="AB119" s="1285"/>
      <c r="AC119" s="1285"/>
      <c r="AD119" s="1285"/>
      <c r="AE119" s="1285"/>
      <c r="AF119" s="1285"/>
      <c r="AG119" s="1285"/>
      <c r="AH119" s="1285"/>
      <c r="AI119" s="1285"/>
      <c r="AJ119" s="1285"/>
      <c r="AK119" s="1285"/>
      <c r="AL119" s="1285"/>
      <c r="AM119" s="1285"/>
      <c r="AN119" s="1285"/>
      <c r="AO119" s="1285"/>
      <c r="AP119" s="1285"/>
      <c r="AQ119" s="1285"/>
      <c r="AR119" s="1285"/>
      <c r="AS119" s="1285"/>
      <c r="AT119" s="1285"/>
      <c r="AU119" s="1285"/>
      <c r="AV119" s="1285"/>
      <c r="AW119" s="1285"/>
      <c r="AX119" s="1285"/>
      <c r="AY119" s="1285"/>
      <c r="AZ119" s="1285"/>
      <c r="BA119" s="1285"/>
      <c r="BB119" s="1285"/>
      <c r="BC119" s="1285"/>
      <c r="BD119" s="1285"/>
      <c r="BE119" s="1285"/>
      <c r="BF119" s="1285"/>
      <c r="BG119" s="1285"/>
      <c r="BH119" s="1285"/>
      <c r="BI119" s="1285"/>
      <c r="BJ119" s="1285"/>
      <c r="BK119" s="1285"/>
      <c r="BL119" s="1285"/>
      <c r="BM119" s="1285"/>
      <c r="BN119" s="1285"/>
      <c r="BO119" s="1285"/>
      <c r="BP119" s="1285"/>
      <c r="BQ119" s="1285"/>
      <c r="BR119" s="1285"/>
      <c r="BS119" s="1285"/>
      <c r="BT119" s="1285"/>
      <c r="BU119" s="1285"/>
      <c r="BV119" s="1285"/>
      <c r="BW119" s="1285"/>
      <c r="BX119" s="1285"/>
      <c r="BY119" s="1285"/>
      <c r="BZ119" s="1285"/>
      <c r="CA119" s="1285"/>
      <c r="CB119" s="1285"/>
      <c r="CC119" s="1285"/>
      <c r="CD119" s="1285"/>
      <c r="CE119" s="1285"/>
      <c r="CF119" s="1285"/>
      <c r="CG119" s="1285"/>
      <c r="CH119" s="1285"/>
      <c r="CI119" s="1285"/>
      <c r="CJ119" s="1285"/>
      <c r="CK119" s="1285"/>
      <c r="CL119" s="1285"/>
      <c r="CM119" s="1285"/>
      <c r="CN119" s="1285"/>
      <c r="CO119" s="1285"/>
      <c r="CP119" s="1285"/>
      <c r="CQ119" s="1285"/>
      <c r="CR119" s="1285"/>
      <c r="CS119" s="1285"/>
      <c r="CT119" s="1285"/>
      <c r="CU119" s="1285"/>
      <c r="CV119" s="1285"/>
      <c r="CW119" s="1285"/>
      <c r="CX119" s="1285"/>
      <c r="CY119" s="1285"/>
      <c r="CZ119" s="1285"/>
      <c r="DA119" s="1285"/>
      <c r="DB119" s="1285"/>
      <c r="DC119" s="1285"/>
      <c r="DD119" s="1285"/>
      <c r="DE119" s="1285"/>
      <c r="DF119" s="1285"/>
      <c r="DG119" s="1285"/>
      <c r="DH119" s="1286"/>
    </row>
    <row r="120" spans="1:113" s="34" customFormat="1" ht="25.5" customHeight="1">
      <c r="A120" s="1284" t="s">
        <v>215</v>
      </c>
      <c r="B120" s="1285"/>
      <c r="C120" s="1285"/>
      <c r="D120" s="1285"/>
      <c r="E120" s="1285"/>
      <c r="F120" s="1285"/>
      <c r="G120" s="1285"/>
      <c r="H120" s="1285"/>
      <c r="I120" s="1285"/>
      <c r="J120" s="1285"/>
      <c r="K120" s="1285"/>
      <c r="L120" s="1285"/>
      <c r="M120" s="1285"/>
      <c r="N120" s="1285"/>
      <c r="O120" s="1285"/>
      <c r="P120" s="1285"/>
      <c r="Q120" s="1285"/>
      <c r="R120" s="1285"/>
      <c r="S120" s="1285"/>
      <c r="T120" s="1285"/>
      <c r="U120" s="1285"/>
      <c r="V120" s="1285"/>
      <c r="W120" s="1285"/>
      <c r="X120" s="1285"/>
      <c r="Y120" s="1285"/>
      <c r="Z120" s="1285"/>
      <c r="AA120" s="1285"/>
      <c r="AB120" s="1285"/>
      <c r="AC120" s="1285"/>
      <c r="AD120" s="1285"/>
      <c r="AE120" s="1285"/>
      <c r="AF120" s="1285"/>
      <c r="AG120" s="1285"/>
      <c r="AH120" s="1285"/>
      <c r="AI120" s="1285"/>
      <c r="AJ120" s="1285"/>
      <c r="AK120" s="1285"/>
      <c r="AL120" s="1285"/>
      <c r="AM120" s="1285"/>
      <c r="AN120" s="1285"/>
      <c r="AO120" s="1285"/>
      <c r="AP120" s="1285"/>
      <c r="AQ120" s="1285"/>
      <c r="AR120" s="1285"/>
      <c r="AS120" s="1285"/>
      <c r="AT120" s="1285"/>
      <c r="AU120" s="1285"/>
      <c r="AV120" s="1285"/>
      <c r="AW120" s="1285"/>
      <c r="AX120" s="1285"/>
      <c r="AY120" s="1285"/>
      <c r="AZ120" s="1285"/>
      <c r="BA120" s="1285"/>
      <c r="BB120" s="1285"/>
      <c r="BC120" s="1285"/>
      <c r="BD120" s="1285"/>
      <c r="BE120" s="1285"/>
      <c r="BF120" s="1285"/>
      <c r="BG120" s="1285"/>
      <c r="BH120" s="1285"/>
      <c r="BI120" s="1285"/>
      <c r="BJ120" s="1285"/>
      <c r="BK120" s="1285"/>
      <c r="BL120" s="1285"/>
      <c r="BM120" s="1285"/>
      <c r="BN120" s="1285"/>
      <c r="BO120" s="1285"/>
      <c r="BP120" s="1285"/>
      <c r="BQ120" s="1285"/>
      <c r="BR120" s="1285"/>
      <c r="BS120" s="1285"/>
      <c r="BT120" s="1285"/>
      <c r="BU120" s="1285"/>
      <c r="BV120" s="1285"/>
      <c r="BW120" s="1285"/>
      <c r="BX120" s="1285"/>
      <c r="BY120" s="1285"/>
      <c r="BZ120" s="1285"/>
      <c r="CA120" s="1285"/>
      <c r="CB120" s="1285"/>
      <c r="CC120" s="1285"/>
      <c r="CD120" s="1285"/>
      <c r="CE120" s="1285"/>
      <c r="CF120" s="1285"/>
      <c r="CG120" s="1285"/>
      <c r="CH120" s="1285"/>
      <c r="CI120" s="1285"/>
      <c r="CJ120" s="1285"/>
      <c r="CK120" s="1285"/>
      <c r="CL120" s="1285"/>
      <c r="CM120" s="1285"/>
      <c r="CN120" s="1285"/>
      <c r="CO120" s="1285"/>
      <c r="CP120" s="1285"/>
      <c r="CQ120" s="1285"/>
      <c r="CR120" s="1285"/>
      <c r="CS120" s="1285"/>
      <c r="CT120" s="1285"/>
      <c r="CU120" s="1285"/>
      <c r="CV120" s="1285"/>
      <c r="CW120" s="1285"/>
      <c r="CX120" s="1285"/>
      <c r="CY120" s="1285"/>
      <c r="CZ120" s="1285"/>
      <c r="DA120" s="1285"/>
      <c r="DB120" s="1285"/>
      <c r="DC120" s="1285"/>
      <c r="DD120" s="1285"/>
      <c r="DE120" s="1285"/>
      <c r="DF120" s="1285"/>
      <c r="DG120" s="1285"/>
      <c r="DH120" s="1286"/>
    </row>
    <row r="121" spans="1:113" s="34" customFormat="1" ht="25.5" customHeight="1">
      <c r="A121" s="1284" t="s">
        <v>216</v>
      </c>
      <c r="B121" s="1285"/>
      <c r="C121" s="1285"/>
      <c r="D121" s="1285"/>
      <c r="E121" s="1285"/>
      <c r="F121" s="1285"/>
      <c r="G121" s="1285"/>
      <c r="H121" s="1285"/>
      <c r="I121" s="1285"/>
      <c r="J121" s="1285"/>
      <c r="K121" s="1285"/>
      <c r="L121" s="1285"/>
      <c r="M121" s="1285"/>
      <c r="N121" s="1285"/>
      <c r="O121" s="1285"/>
      <c r="P121" s="1285"/>
      <c r="Q121" s="1285"/>
      <c r="R121" s="1285"/>
      <c r="S121" s="1285"/>
      <c r="T121" s="1285"/>
      <c r="U121" s="1285"/>
      <c r="V121" s="1285"/>
      <c r="W121" s="1285"/>
      <c r="X121" s="1285"/>
      <c r="Y121" s="1285"/>
      <c r="Z121" s="1285"/>
      <c r="AA121" s="1285"/>
      <c r="AB121" s="1285"/>
      <c r="AC121" s="1285"/>
      <c r="AD121" s="1285"/>
      <c r="AE121" s="1285"/>
      <c r="AF121" s="1285"/>
      <c r="AG121" s="1285"/>
      <c r="AH121" s="1285"/>
      <c r="AI121" s="1285"/>
      <c r="AJ121" s="1285"/>
      <c r="AK121" s="1285"/>
      <c r="AL121" s="1285"/>
      <c r="AM121" s="1285"/>
      <c r="AN121" s="1285"/>
      <c r="AO121" s="1285"/>
      <c r="AP121" s="1285"/>
      <c r="AQ121" s="1285"/>
      <c r="AR121" s="1285"/>
      <c r="AS121" s="1285"/>
      <c r="AT121" s="1285"/>
      <c r="AU121" s="1285"/>
      <c r="AV121" s="1285"/>
      <c r="AW121" s="1285"/>
      <c r="AX121" s="1285"/>
      <c r="AY121" s="1285"/>
      <c r="AZ121" s="1285"/>
      <c r="BA121" s="1285"/>
      <c r="BB121" s="1285"/>
      <c r="BC121" s="1285"/>
      <c r="BD121" s="1285"/>
      <c r="BE121" s="1285"/>
      <c r="BF121" s="1285"/>
      <c r="BG121" s="1285"/>
      <c r="BH121" s="1285"/>
      <c r="BI121" s="1285"/>
      <c r="BJ121" s="1285"/>
      <c r="BK121" s="1285"/>
      <c r="BL121" s="1285"/>
      <c r="BM121" s="1285"/>
      <c r="BN121" s="1285"/>
      <c r="BO121" s="1285"/>
      <c r="BP121" s="1285"/>
      <c r="BQ121" s="1285"/>
      <c r="BR121" s="1285"/>
      <c r="BS121" s="1285"/>
      <c r="BT121" s="1285"/>
      <c r="BU121" s="1285"/>
      <c r="BV121" s="1285"/>
      <c r="BW121" s="1285"/>
      <c r="BX121" s="1285"/>
      <c r="BY121" s="1285"/>
      <c r="BZ121" s="1285"/>
      <c r="CA121" s="1285"/>
      <c r="CB121" s="1285"/>
      <c r="CC121" s="1285"/>
      <c r="CD121" s="1285"/>
      <c r="CE121" s="1285"/>
      <c r="CF121" s="1285"/>
      <c r="CG121" s="1285"/>
      <c r="CH121" s="1285"/>
      <c r="CI121" s="1285"/>
      <c r="CJ121" s="1285"/>
      <c r="CK121" s="1285"/>
      <c r="CL121" s="1285"/>
      <c r="CM121" s="1285"/>
      <c r="CN121" s="1285"/>
      <c r="CO121" s="1285"/>
      <c r="CP121" s="1285"/>
      <c r="CQ121" s="1285"/>
      <c r="CR121" s="1285"/>
      <c r="CS121" s="1285"/>
      <c r="CT121" s="1285"/>
      <c r="CU121" s="1285"/>
      <c r="CV121" s="1285"/>
      <c r="CW121" s="1285"/>
      <c r="CX121" s="1285"/>
      <c r="CY121" s="1285"/>
      <c r="CZ121" s="1285"/>
      <c r="DA121" s="1285"/>
      <c r="DB121" s="1285"/>
      <c r="DC121" s="1285"/>
      <c r="DD121" s="1285"/>
      <c r="DE121" s="1285"/>
      <c r="DF121" s="1285"/>
      <c r="DG121" s="1285"/>
      <c r="DH121" s="1286"/>
    </row>
    <row r="122" spans="1:113" ht="3" customHeight="1"/>
  </sheetData>
  <mergeCells count="560">
    <mergeCell ref="CG87:CP87"/>
    <mergeCell ref="CQ87:DG87"/>
    <mergeCell ref="BW78:CF78"/>
    <mergeCell ref="CG78:CP78"/>
    <mergeCell ref="CQ112:DG113"/>
    <mergeCell ref="BW82:CF82"/>
    <mergeCell ref="CG82:CP82"/>
    <mergeCell ref="BW83:CF83"/>
    <mergeCell ref="CG83:CP83"/>
    <mergeCell ref="BW79:CF79"/>
    <mergeCell ref="CG79:CP79"/>
    <mergeCell ref="BW80:CF80"/>
    <mergeCell ref="CG80:CP80"/>
    <mergeCell ref="BW81:CF81"/>
    <mergeCell ref="CG81:CP81"/>
    <mergeCell ref="CQ86:DG86"/>
    <mergeCell ref="BW92:CF92"/>
    <mergeCell ref="CG92:CP92"/>
    <mergeCell ref="BW93:CF93"/>
    <mergeCell ref="CG93:CP93"/>
    <mergeCell ref="BW94:CF94"/>
    <mergeCell ref="CG90:CP90"/>
    <mergeCell ref="CQ90:DG90"/>
    <mergeCell ref="CG88:CP88"/>
    <mergeCell ref="CQ88:DG88"/>
    <mergeCell ref="BW87:CF87"/>
    <mergeCell ref="A82:I82"/>
    <mergeCell ref="K82:BG82"/>
    <mergeCell ref="BI82:BS82"/>
    <mergeCell ref="A83:I83"/>
    <mergeCell ref="K83:BG83"/>
    <mergeCell ref="BI83:BS83"/>
    <mergeCell ref="CG68:CP68"/>
    <mergeCell ref="BW69:CF69"/>
    <mergeCell ref="CG69:CP69"/>
    <mergeCell ref="BW71:CF71"/>
    <mergeCell ref="CG71:CP71"/>
    <mergeCell ref="BW72:CF72"/>
    <mergeCell ref="CG72:CP72"/>
    <mergeCell ref="BW73:CF73"/>
    <mergeCell ref="CG73:CP73"/>
    <mergeCell ref="BW70:CF70"/>
    <mergeCell ref="CG70:CP70"/>
    <mergeCell ref="CG74:CP74"/>
    <mergeCell ref="BW75:CF75"/>
    <mergeCell ref="CG75:CP75"/>
    <mergeCell ref="BW76:CF76"/>
    <mergeCell ref="CG76:CP76"/>
    <mergeCell ref="BW77:CF77"/>
    <mergeCell ref="CG77:CP77"/>
    <mergeCell ref="A79:I79"/>
    <mergeCell ref="K79:BG79"/>
    <mergeCell ref="BI79:BS79"/>
    <mergeCell ref="A80:I80"/>
    <mergeCell ref="K80:BG80"/>
    <mergeCell ref="BI80:BS80"/>
    <mergeCell ref="A81:I81"/>
    <mergeCell ref="K81:BG81"/>
    <mergeCell ref="BI81:BS81"/>
    <mergeCell ref="K66:BG66"/>
    <mergeCell ref="BI66:BS66"/>
    <mergeCell ref="A67:I67"/>
    <mergeCell ref="K67:BG67"/>
    <mergeCell ref="BI67:BS67"/>
    <mergeCell ref="A70:I70"/>
    <mergeCell ref="K70:BG70"/>
    <mergeCell ref="BI70:BS70"/>
    <mergeCell ref="A78:I78"/>
    <mergeCell ref="K78:BG78"/>
    <mergeCell ref="BI78:BS78"/>
    <mergeCell ref="K75:BG75"/>
    <mergeCell ref="BI75:BS75"/>
    <mergeCell ref="A76:I76"/>
    <mergeCell ref="K76:BG76"/>
    <mergeCell ref="BI76:BS76"/>
    <mergeCell ref="A77:I77"/>
    <mergeCell ref="K77:BG77"/>
    <mergeCell ref="BI77:BS77"/>
    <mergeCell ref="BW68:CF68"/>
    <mergeCell ref="BW74:CF74"/>
    <mergeCell ref="BI68:BS68"/>
    <mergeCell ref="A69:I69"/>
    <mergeCell ref="K69:BG69"/>
    <mergeCell ref="BI69:BS69"/>
    <mergeCell ref="BW42:CF42"/>
    <mergeCell ref="CG42:CP42"/>
    <mergeCell ref="BW43:CF43"/>
    <mergeCell ref="CG43:CP43"/>
    <mergeCell ref="BW44:CF44"/>
    <mergeCell ref="CG44:CP44"/>
    <mergeCell ref="A44:I44"/>
    <mergeCell ref="K44:BG44"/>
    <mergeCell ref="BI44:BS44"/>
    <mergeCell ref="A43:I43"/>
    <mergeCell ref="K43:BG43"/>
    <mergeCell ref="BI43:BS43"/>
    <mergeCell ref="A45:I45"/>
    <mergeCell ref="K45:BG45"/>
    <mergeCell ref="BI45:BS45"/>
    <mergeCell ref="A46:I46"/>
    <mergeCell ref="K46:BG46"/>
    <mergeCell ref="BI46:BS46"/>
    <mergeCell ref="BW49:CF49"/>
    <mergeCell ref="CG49:CP49"/>
    <mergeCell ref="A49:I49"/>
    <mergeCell ref="K49:BG49"/>
    <mergeCell ref="BI49:BS49"/>
    <mergeCell ref="A47:I47"/>
    <mergeCell ref="K47:BG47"/>
    <mergeCell ref="BI47:BS47"/>
    <mergeCell ref="BW45:CF45"/>
    <mergeCell ref="CG45:CP45"/>
    <mergeCell ref="BW46:CF46"/>
    <mergeCell ref="CG46:CP46"/>
    <mergeCell ref="BW47:CF47"/>
    <mergeCell ref="CG47:CP47"/>
    <mergeCell ref="A48:I48"/>
    <mergeCell ref="K48:BG48"/>
    <mergeCell ref="BI48:BS48"/>
    <mergeCell ref="BW48:CF48"/>
    <mergeCell ref="CG48:CP48"/>
    <mergeCell ref="A34:I34"/>
    <mergeCell ref="K34:BG34"/>
    <mergeCell ref="BI34:BS34"/>
    <mergeCell ref="A35:I35"/>
    <mergeCell ref="K35:BG35"/>
    <mergeCell ref="BI35:BS35"/>
    <mergeCell ref="A36:I36"/>
    <mergeCell ref="K36:BG36"/>
    <mergeCell ref="BI36:BS36"/>
    <mergeCell ref="A31:I31"/>
    <mergeCell ref="K31:BG31"/>
    <mergeCell ref="BI31:BS31"/>
    <mergeCell ref="A32:I32"/>
    <mergeCell ref="K32:BG32"/>
    <mergeCell ref="BI32:BS32"/>
    <mergeCell ref="A33:I33"/>
    <mergeCell ref="K33:BG33"/>
    <mergeCell ref="BI33:BS33"/>
    <mergeCell ref="CG38:CP38"/>
    <mergeCell ref="BW39:CF39"/>
    <mergeCell ref="CG39:CP39"/>
    <mergeCell ref="A37:I37"/>
    <mergeCell ref="K37:BG37"/>
    <mergeCell ref="BI37:BS37"/>
    <mergeCell ref="A38:I38"/>
    <mergeCell ref="K38:BG38"/>
    <mergeCell ref="BI38:BS38"/>
    <mergeCell ref="A39:I39"/>
    <mergeCell ref="K39:BG39"/>
    <mergeCell ref="BI39:BS39"/>
    <mergeCell ref="DH18:DH53"/>
    <mergeCell ref="A117:DH117"/>
    <mergeCell ref="A118:DH118"/>
    <mergeCell ref="A119:DH119"/>
    <mergeCell ref="A120:DH120"/>
    <mergeCell ref="A121:DH121"/>
    <mergeCell ref="BT15:BT16"/>
    <mergeCell ref="BT55:BT56"/>
    <mergeCell ref="BT58:BT61"/>
    <mergeCell ref="A114:I114"/>
    <mergeCell ref="K114:BG114"/>
    <mergeCell ref="BI114:BS114"/>
    <mergeCell ref="BW114:CF114"/>
    <mergeCell ref="CG114:CP114"/>
    <mergeCell ref="CQ114:DG114"/>
    <mergeCell ref="DH112:DH113"/>
    <mergeCell ref="A113:I113"/>
    <mergeCell ref="K113:BG113"/>
    <mergeCell ref="BI113:BS113"/>
    <mergeCell ref="BW113:CF113"/>
    <mergeCell ref="CG113:CP113"/>
    <mergeCell ref="BT112:BT113"/>
    <mergeCell ref="A112:I112"/>
    <mergeCell ref="K112:BG112"/>
    <mergeCell ref="BI112:BS112"/>
    <mergeCell ref="BW112:CF112"/>
    <mergeCell ref="CG112:CP112"/>
    <mergeCell ref="A111:I111"/>
    <mergeCell ref="K111:BG111"/>
    <mergeCell ref="BI111:BS111"/>
    <mergeCell ref="BW111:CF111"/>
    <mergeCell ref="CG111:CP111"/>
    <mergeCell ref="BT91:BT111"/>
    <mergeCell ref="A107:I107"/>
    <mergeCell ref="BI107:BS107"/>
    <mergeCell ref="BW107:CF107"/>
    <mergeCell ref="CG107:CP107"/>
    <mergeCell ref="A106:I106"/>
    <mergeCell ref="K106:BG106"/>
    <mergeCell ref="BI106:BS106"/>
    <mergeCell ref="BW106:CF106"/>
    <mergeCell ref="CG106:CP106"/>
    <mergeCell ref="A102:I102"/>
    <mergeCell ref="CG95:CP95"/>
    <mergeCell ref="A97:I97"/>
    <mergeCell ref="K97:BH97"/>
    <mergeCell ref="BI97:BS97"/>
    <mergeCell ref="BW97:CF97"/>
    <mergeCell ref="K89:BG89"/>
    <mergeCell ref="BI89:BS89"/>
    <mergeCell ref="BW89:CF89"/>
    <mergeCell ref="CG89:CP89"/>
    <mergeCell ref="CQ89:DG89"/>
    <mergeCell ref="DH91:DH111"/>
    <mergeCell ref="A96:I96"/>
    <mergeCell ref="K96:BG96"/>
    <mergeCell ref="BI96:BS96"/>
    <mergeCell ref="A91:I91"/>
    <mergeCell ref="K91:BG91"/>
    <mergeCell ref="BI91:BS91"/>
    <mergeCell ref="BW91:CF91"/>
    <mergeCell ref="CG91:CP91"/>
    <mergeCell ref="BW96:CF96"/>
    <mergeCell ref="CG96:CP96"/>
    <mergeCell ref="BI102:BS102"/>
    <mergeCell ref="BW102:CF102"/>
    <mergeCell ref="CG102:CP102"/>
    <mergeCell ref="A101:I101"/>
    <mergeCell ref="K101:BG101"/>
    <mergeCell ref="CG94:CP94"/>
    <mergeCell ref="BW95:CF95"/>
    <mergeCell ref="A90:I90"/>
    <mergeCell ref="K90:BG90"/>
    <mergeCell ref="BI90:BS90"/>
    <mergeCell ref="BW90:CF90"/>
    <mergeCell ref="A71:I71"/>
    <mergeCell ref="K71:BG71"/>
    <mergeCell ref="BI71:BS71"/>
    <mergeCell ref="A72:I72"/>
    <mergeCell ref="K72:BG72"/>
    <mergeCell ref="BI72:BS72"/>
    <mergeCell ref="A73:I73"/>
    <mergeCell ref="BI73:BS73"/>
    <mergeCell ref="A74:I74"/>
    <mergeCell ref="K74:BG74"/>
    <mergeCell ref="BI74:BS74"/>
    <mergeCell ref="A75:I75"/>
    <mergeCell ref="A88:I88"/>
    <mergeCell ref="K88:BG88"/>
    <mergeCell ref="BI88:BS88"/>
    <mergeCell ref="BW88:CF88"/>
    <mergeCell ref="A87:I87"/>
    <mergeCell ref="K87:BG87"/>
    <mergeCell ref="BI87:BS87"/>
    <mergeCell ref="A89:I89"/>
    <mergeCell ref="K73:BG73"/>
    <mergeCell ref="DH65:DH86"/>
    <mergeCell ref="A84:I84"/>
    <mergeCell ref="K84:BG84"/>
    <mergeCell ref="BI84:BS84"/>
    <mergeCell ref="BW84:CF84"/>
    <mergeCell ref="CG84:CP84"/>
    <mergeCell ref="CQ84:DG84"/>
    <mergeCell ref="A85:I85"/>
    <mergeCell ref="K85:BG85"/>
    <mergeCell ref="BI85:BS85"/>
    <mergeCell ref="A65:I65"/>
    <mergeCell ref="K65:BG65"/>
    <mergeCell ref="BI65:BS65"/>
    <mergeCell ref="BW65:CF65"/>
    <mergeCell ref="CG65:CP65"/>
    <mergeCell ref="BW85:CF85"/>
    <mergeCell ref="CG85:CP85"/>
    <mergeCell ref="CQ85:DG85"/>
    <mergeCell ref="A86:I86"/>
    <mergeCell ref="K86:BG86"/>
    <mergeCell ref="BI86:BS86"/>
    <mergeCell ref="BW86:CF86"/>
    <mergeCell ref="CG86:CP86"/>
    <mergeCell ref="BT65:BT86"/>
    <mergeCell ref="CQ61:DG61"/>
    <mergeCell ref="CG66:CP66"/>
    <mergeCell ref="BW67:CF67"/>
    <mergeCell ref="CG67:CP67"/>
    <mergeCell ref="A68:I68"/>
    <mergeCell ref="K68:BG68"/>
    <mergeCell ref="A62:I62"/>
    <mergeCell ref="K62:BG62"/>
    <mergeCell ref="BI62:BS62"/>
    <mergeCell ref="BW62:CF62"/>
    <mergeCell ref="CG62:CP62"/>
    <mergeCell ref="A64:I64"/>
    <mergeCell ref="K64:BG64"/>
    <mergeCell ref="BI64:BS64"/>
    <mergeCell ref="BW64:CF64"/>
    <mergeCell ref="CG64:CP64"/>
    <mergeCell ref="CQ64:DG64"/>
    <mergeCell ref="A63:I63"/>
    <mergeCell ref="K63:BG63"/>
    <mergeCell ref="BI63:BS63"/>
    <mergeCell ref="BW63:CF63"/>
    <mergeCell ref="CG63:CP63"/>
    <mergeCell ref="BW66:CF66"/>
    <mergeCell ref="A66:I66"/>
    <mergeCell ref="DH58:DH61"/>
    <mergeCell ref="A59:I59"/>
    <mergeCell ref="K59:BG59"/>
    <mergeCell ref="BI59:BS59"/>
    <mergeCell ref="BW59:CF59"/>
    <mergeCell ref="CG59:CP59"/>
    <mergeCell ref="CQ59:DG59"/>
    <mergeCell ref="A60:I60"/>
    <mergeCell ref="K60:BG60"/>
    <mergeCell ref="BI60:BS60"/>
    <mergeCell ref="A58:I58"/>
    <mergeCell ref="K58:BG58"/>
    <mergeCell ref="BI58:BS58"/>
    <mergeCell ref="BW58:CF58"/>
    <mergeCell ref="CG58:CP58"/>
    <mergeCell ref="CQ58:DG58"/>
    <mergeCell ref="BW60:CF60"/>
    <mergeCell ref="CG60:CP60"/>
    <mergeCell ref="CQ60:DG60"/>
    <mergeCell ref="A61:I61"/>
    <mergeCell ref="K61:BG61"/>
    <mergeCell ref="BI61:BS61"/>
    <mergeCell ref="BW61:CF61"/>
    <mergeCell ref="CG61:CP61"/>
    <mergeCell ref="A57:I57"/>
    <mergeCell ref="K57:BG57"/>
    <mergeCell ref="BI57:BS57"/>
    <mergeCell ref="BW57:CF57"/>
    <mergeCell ref="CG57:CP57"/>
    <mergeCell ref="CQ57:DG57"/>
    <mergeCell ref="DH55:DH56"/>
    <mergeCell ref="A56:I56"/>
    <mergeCell ref="K56:BG56"/>
    <mergeCell ref="BI56:BS56"/>
    <mergeCell ref="BW56:CF56"/>
    <mergeCell ref="CG56:CP56"/>
    <mergeCell ref="CQ56:DG56"/>
    <mergeCell ref="A55:I55"/>
    <mergeCell ref="K55:BG55"/>
    <mergeCell ref="BI55:BS55"/>
    <mergeCell ref="BW55:CF55"/>
    <mergeCell ref="CG55:CP55"/>
    <mergeCell ref="CQ55:DG55"/>
    <mergeCell ref="A40:I40"/>
    <mergeCell ref="K40:BG40"/>
    <mergeCell ref="BI40:BS40"/>
    <mergeCell ref="A30:I30"/>
    <mergeCell ref="K30:BG30"/>
    <mergeCell ref="BI30:BS30"/>
    <mergeCell ref="CG51:CP51"/>
    <mergeCell ref="CQ51:DG51"/>
    <mergeCell ref="A54:I54"/>
    <mergeCell ref="K54:BG54"/>
    <mergeCell ref="BI54:BS54"/>
    <mergeCell ref="BW54:CF54"/>
    <mergeCell ref="CG54:CP54"/>
    <mergeCell ref="CQ54:DG54"/>
    <mergeCell ref="A53:I53"/>
    <mergeCell ref="K53:BG53"/>
    <mergeCell ref="BI53:BS53"/>
    <mergeCell ref="BW53:CF53"/>
    <mergeCell ref="CG53:CP53"/>
    <mergeCell ref="CQ53:DG53"/>
    <mergeCell ref="CQ52:DG52"/>
    <mergeCell ref="BW37:CF37"/>
    <mergeCell ref="CG37:CP37"/>
    <mergeCell ref="BW38:CF38"/>
    <mergeCell ref="BW30:CF30"/>
    <mergeCell ref="CG30:CP30"/>
    <mergeCell ref="A42:I42"/>
    <mergeCell ref="K42:BG42"/>
    <mergeCell ref="BI42:BS42"/>
    <mergeCell ref="BW34:CF34"/>
    <mergeCell ref="CG34:CP34"/>
    <mergeCell ref="BW35:CF35"/>
    <mergeCell ref="CG35:CP35"/>
    <mergeCell ref="BW36:CF36"/>
    <mergeCell ref="CG36:CP36"/>
    <mergeCell ref="BW31:CF31"/>
    <mergeCell ref="CG31:CP31"/>
    <mergeCell ref="BW32:CF32"/>
    <mergeCell ref="CG32:CP32"/>
    <mergeCell ref="BW33:CF33"/>
    <mergeCell ref="CG33:CP33"/>
    <mergeCell ref="BW40:CF40"/>
    <mergeCell ref="CG40:CP40"/>
    <mergeCell ref="BW41:CF41"/>
    <mergeCell ref="CG41:CP41"/>
    <mergeCell ref="A41:I41"/>
    <mergeCell ref="K41:BG41"/>
    <mergeCell ref="BI41:BS41"/>
    <mergeCell ref="A29:I29"/>
    <mergeCell ref="K29:BG29"/>
    <mergeCell ref="BI29:BS29"/>
    <mergeCell ref="BW29:CF29"/>
    <mergeCell ref="CG29:CP29"/>
    <mergeCell ref="A28:I28"/>
    <mergeCell ref="K28:BG28"/>
    <mergeCell ref="BI28:BS28"/>
    <mergeCell ref="BW28:CF28"/>
    <mergeCell ref="CG28:CP28"/>
    <mergeCell ref="A27:I27"/>
    <mergeCell ref="K27:BG27"/>
    <mergeCell ref="BI27:BS27"/>
    <mergeCell ref="BW27:CF27"/>
    <mergeCell ref="CG27:CP27"/>
    <mergeCell ref="A26:I26"/>
    <mergeCell ref="K26:BG26"/>
    <mergeCell ref="BI26:BS26"/>
    <mergeCell ref="BW26:CF26"/>
    <mergeCell ref="CG26:CP26"/>
    <mergeCell ref="BI21:BS21"/>
    <mergeCell ref="BW21:CF21"/>
    <mergeCell ref="CG21:CP21"/>
    <mergeCell ref="A25:I25"/>
    <mergeCell ref="K25:BG25"/>
    <mergeCell ref="BI25:BS25"/>
    <mergeCell ref="BW25:CF25"/>
    <mergeCell ref="CG25:CP25"/>
    <mergeCell ref="A24:I24"/>
    <mergeCell ref="K24:BG24"/>
    <mergeCell ref="BI24:BS24"/>
    <mergeCell ref="BW24:CF24"/>
    <mergeCell ref="CG24:CP24"/>
    <mergeCell ref="BW20:CF20"/>
    <mergeCell ref="CG20:CP20"/>
    <mergeCell ref="BT18:BT53"/>
    <mergeCell ref="A19:I19"/>
    <mergeCell ref="K19:BG19"/>
    <mergeCell ref="BI19:BS19"/>
    <mergeCell ref="BW19:CF19"/>
    <mergeCell ref="CG19:CP19"/>
    <mergeCell ref="CQ19:DG19"/>
    <mergeCell ref="A20:I20"/>
    <mergeCell ref="K20:BG20"/>
    <mergeCell ref="BI20:BS20"/>
    <mergeCell ref="A23:I23"/>
    <mergeCell ref="K23:BG23"/>
    <mergeCell ref="BI23:BS23"/>
    <mergeCell ref="BW23:CF23"/>
    <mergeCell ref="CG23:CP23"/>
    <mergeCell ref="A22:I22"/>
    <mergeCell ref="K22:BG22"/>
    <mergeCell ref="BI22:BS22"/>
    <mergeCell ref="BW22:CF22"/>
    <mergeCell ref="CG22:CP22"/>
    <mergeCell ref="A21:I21"/>
    <mergeCell ref="K21:BG21"/>
    <mergeCell ref="A18:I18"/>
    <mergeCell ref="K18:BG18"/>
    <mergeCell ref="BI18:BS18"/>
    <mergeCell ref="BW18:CF18"/>
    <mergeCell ref="CG18:CP18"/>
    <mergeCell ref="CQ18:DG18"/>
    <mergeCell ref="A17:I17"/>
    <mergeCell ref="K17:BG17"/>
    <mergeCell ref="BI17:BS17"/>
    <mergeCell ref="BW17:CF17"/>
    <mergeCell ref="CG17:CP17"/>
    <mergeCell ref="CQ17:DG17"/>
    <mergeCell ref="BO1:DH1"/>
    <mergeCell ref="BO2:DH2"/>
    <mergeCell ref="BO3:DH3"/>
    <mergeCell ref="A5:DH5"/>
    <mergeCell ref="A6:DH6"/>
    <mergeCell ref="A7:DH7"/>
    <mergeCell ref="DH15:DH16"/>
    <mergeCell ref="BW16:CF16"/>
    <mergeCell ref="CG16:CP16"/>
    <mergeCell ref="A8:DH8"/>
    <mergeCell ref="AG10:CL10"/>
    <mergeCell ref="J11:BN11"/>
    <mergeCell ref="J12:BN12"/>
    <mergeCell ref="AQ13:AX13"/>
    <mergeCell ref="AY13:AZ13"/>
    <mergeCell ref="BA13:BH13"/>
    <mergeCell ref="BU15:BV15"/>
    <mergeCell ref="A15:I16"/>
    <mergeCell ref="J15:BH16"/>
    <mergeCell ref="BI15:BS16"/>
    <mergeCell ref="BW15:CP15"/>
    <mergeCell ref="CQ15:DG16"/>
    <mergeCell ref="A50:I50"/>
    <mergeCell ref="K50:BG50"/>
    <mergeCell ref="BI50:BS50"/>
    <mergeCell ref="BW50:CF50"/>
    <mergeCell ref="CG50:CP50"/>
    <mergeCell ref="A52:I52"/>
    <mergeCell ref="K52:BG52"/>
    <mergeCell ref="BI52:BS52"/>
    <mergeCell ref="BW52:CF52"/>
    <mergeCell ref="CG52:CP52"/>
    <mergeCell ref="A51:I51"/>
    <mergeCell ref="K51:BG51"/>
    <mergeCell ref="BI51:BS51"/>
    <mergeCell ref="BW51:CF51"/>
    <mergeCell ref="CG97:CP97"/>
    <mergeCell ref="A92:I92"/>
    <mergeCell ref="A93:I93"/>
    <mergeCell ref="A94:I94"/>
    <mergeCell ref="A95:I95"/>
    <mergeCell ref="K92:BH92"/>
    <mergeCell ref="K93:BH93"/>
    <mergeCell ref="K94:BH94"/>
    <mergeCell ref="K95:BH95"/>
    <mergeCell ref="BI92:BS92"/>
    <mergeCell ref="BI93:BS93"/>
    <mergeCell ref="BI94:BS94"/>
    <mergeCell ref="BI95:BS95"/>
    <mergeCell ref="A98:I98"/>
    <mergeCell ref="K98:BH98"/>
    <mergeCell ref="BI98:BS98"/>
    <mergeCell ref="BW98:CF98"/>
    <mergeCell ref="CG98:CP98"/>
    <mergeCell ref="A99:I99"/>
    <mergeCell ref="K99:BH99"/>
    <mergeCell ref="BI99:BS99"/>
    <mergeCell ref="BW99:CF99"/>
    <mergeCell ref="CG99:CP99"/>
    <mergeCell ref="BI104:BS104"/>
    <mergeCell ref="BW104:CF104"/>
    <mergeCell ref="CG104:CP104"/>
    <mergeCell ref="A105:I105"/>
    <mergeCell ref="K105:BH105"/>
    <mergeCell ref="BI105:BS105"/>
    <mergeCell ref="BW105:CF105"/>
    <mergeCell ref="CG105:CP105"/>
    <mergeCell ref="A100:I100"/>
    <mergeCell ref="K100:BH100"/>
    <mergeCell ref="BI100:BS100"/>
    <mergeCell ref="BW100:CF100"/>
    <mergeCell ref="CG100:CP100"/>
    <mergeCell ref="K102:BH102"/>
    <mergeCell ref="A103:I103"/>
    <mergeCell ref="K103:BH103"/>
    <mergeCell ref="BI103:BS103"/>
    <mergeCell ref="BW103:CF103"/>
    <mergeCell ref="CG103:CP103"/>
    <mergeCell ref="BI101:BS101"/>
    <mergeCell ref="BW101:CF101"/>
    <mergeCell ref="CG101:CP101"/>
    <mergeCell ref="A110:I110"/>
    <mergeCell ref="K110:BH110"/>
    <mergeCell ref="BI110:BS110"/>
    <mergeCell ref="BW110:CF110"/>
    <mergeCell ref="CG110:CP110"/>
    <mergeCell ref="CQ20:DG24"/>
    <mergeCell ref="CQ25:DG26"/>
    <mergeCell ref="CQ27:DG50"/>
    <mergeCell ref="CQ62:DG63"/>
    <mergeCell ref="CQ65:DG83"/>
    <mergeCell ref="CQ91:DG111"/>
    <mergeCell ref="K107:BH107"/>
    <mergeCell ref="A108:I108"/>
    <mergeCell ref="K108:BH108"/>
    <mergeCell ref="BI108:BS108"/>
    <mergeCell ref="BW108:CF108"/>
    <mergeCell ref="CG108:CP108"/>
    <mergeCell ref="A109:I109"/>
    <mergeCell ref="K109:BH109"/>
    <mergeCell ref="BI109:BS109"/>
    <mergeCell ref="BW109:CF109"/>
    <mergeCell ref="CG109:CP109"/>
    <mergeCell ref="A104:I104"/>
    <mergeCell ref="K104:BH104"/>
  </mergeCells>
  <pageMargins left="0.78740157480314965" right="0.31496062992125984" top="0.59055118110236227" bottom="0.19685039370078741" header="0.19685039370078741" footer="0.19685039370078741"/>
  <pageSetup paperSize="9" scale="81" fitToHeight="0" orientation="landscape" r:id="rId1"/>
  <headerFooter differentFirst="1" alignWithMargins="0">
    <oddHeader>&amp;C2</oddHeader>
  </headerFooter>
  <colBreaks count="1" manualBreakCount="1">
    <brk id="111" max="122" man="1"/>
  </col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AJ384"/>
  <sheetViews>
    <sheetView view="pageBreakPreview" topLeftCell="B1" zoomScale="60" workbookViewId="0">
      <pane xSplit="5" ySplit="28" topLeftCell="M131" activePane="bottomRight" state="frozen"/>
      <selection activeCell="G25" sqref="G25"/>
      <selection pane="topRight" activeCell="G25" sqref="G25"/>
      <selection pane="bottomLeft" activeCell="G25" sqref="G25"/>
      <selection pane="bottomRight" activeCell="G25" sqref="G25:I25"/>
    </sheetView>
  </sheetViews>
  <sheetFormatPr defaultColWidth="9.109375" defaultRowHeight="16.8" outlineLevelRow="3" outlineLevelCol="2"/>
  <cols>
    <col min="1" max="1" width="12.109375" style="105" hidden="1" customWidth="1"/>
    <col min="2" max="2" width="14.6640625" style="106" customWidth="1"/>
    <col min="3" max="3" width="13.5546875" style="107" hidden="1" customWidth="1"/>
    <col min="4" max="4" width="48.5546875" style="214" customWidth="1"/>
    <col min="5" max="5" width="52.5546875" style="52" hidden="1" customWidth="1" outlineLevel="1"/>
    <col min="6" max="6" width="14" style="52" customWidth="1" collapsed="1"/>
    <col min="7" max="7" width="22.5546875" style="52" hidden="1" customWidth="1"/>
    <col min="8" max="9" width="22.109375" style="52" hidden="1" customWidth="1"/>
    <col min="10" max="10" width="21.6640625" style="52" hidden="1" customWidth="1"/>
    <col min="11" max="11" width="21.44140625" style="52" hidden="1" customWidth="1"/>
    <col min="12" max="12" width="23.44140625" style="52" hidden="1" customWidth="1"/>
    <col min="13" max="13" width="22.6640625" style="52" customWidth="1"/>
    <col min="14" max="14" width="20.33203125" style="52" hidden="1" customWidth="1" outlineLevel="2"/>
    <col min="15" max="15" width="24.5546875" style="52" hidden="1" customWidth="1" outlineLevel="2"/>
    <col min="16" max="17" width="20.33203125" style="52" hidden="1" customWidth="1" outlineLevel="2"/>
    <col min="18" max="18" width="24.109375" style="52" hidden="1" customWidth="1" outlineLevel="2"/>
    <col min="19" max="19" width="25.5546875" style="52" hidden="1" customWidth="1" outlineLevel="2"/>
    <col min="20" max="20" width="25.6640625" style="52" hidden="1" customWidth="1" outlineLevel="2"/>
    <col min="21" max="21" width="23.88671875" style="52" hidden="1" customWidth="1" outlineLevel="1" collapsed="1"/>
    <col min="22" max="24" width="24.44140625" style="52" hidden="1" customWidth="1" outlineLevel="1"/>
    <col min="25" max="25" width="26.109375" style="52" customWidth="1" collapsed="1"/>
    <col min="26" max="27" width="26.109375" style="52" hidden="1" customWidth="1" outlineLevel="2"/>
    <col min="28" max="29" width="22.109375" style="52" hidden="1" customWidth="1" outlineLevel="2"/>
    <col min="30" max="30" width="19.33203125" style="52" hidden="1" customWidth="1" outlineLevel="1" collapsed="1"/>
    <col min="31" max="35" width="19.33203125" style="52" hidden="1" customWidth="1" outlineLevel="1"/>
    <col min="36" max="36" width="12.6640625" style="52" bestFit="1" customWidth="1" collapsed="1"/>
    <col min="37" max="16384" width="9.109375" style="52"/>
  </cols>
  <sheetData>
    <row r="1" spans="4:33">
      <c r="D1" s="52"/>
    </row>
    <row r="2" spans="4:33" ht="21" thickBot="1">
      <c r="D2" s="52"/>
      <c r="G2" s="53" t="s">
        <v>228</v>
      </c>
      <c r="H2" s="53"/>
      <c r="I2" s="53"/>
      <c r="J2" s="53"/>
      <c r="K2" s="53"/>
      <c r="L2" s="53"/>
      <c r="M2" s="53"/>
      <c r="N2" s="53"/>
      <c r="O2" s="1297" t="s">
        <v>228</v>
      </c>
      <c r="P2" s="1297"/>
      <c r="Q2" s="1297"/>
      <c r="R2" s="1297"/>
      <c r="S2" s="1297"/>
      <c r="T2" s="1297"/>
      <c r="U2" s="1297"/>
      <c r="V2" s="1297"/>
      <c r="W2" s="1297"/>
      <c r="X2" s="1297"/>
      <c r="Y2" s="1297"/>
      <c r="Z2" s="1297"/>
      <c r="AA2" s="1297"/>
      <c r="AB2" s="54"/>
      <c r="AC2" s="54"/>
      <c r="AD2" s="54"/>
    </row>
    <row r="3" spans="4:33" ht="33" customHeight="1">
      <c r="D3" s="52"/>
      <c r="G3" s="1298" t="s">
        <v>229</v>
      </c>
      <c r="H3" s="1300" t="s">
        <v>230</v>
      </c>
      <c r="I3" s="1301" t="s">
        <v>231</v>
      </c>
      <c r="J3" s="1301" t="s">
        <v>232</v>
      </c>
      <c r="K3" s="1301" t="s">
        <v>233</v>
      </c>
      <c r="L3" s="1301" t="s">
        <v>234</v>
      </c>
      <c r="M3" s="1301"/>
      <c r="N3" s="1301" t="s">
        <v>235</v>
      </c>
      <c r="O3" s="1302" t="s">
        <v>229</v>
      </c>
      <c r="P3" s="1304" t="s">
        <v>230</v>
      </c>
      <c r="Q3" s="1317" t="s">
        <v>231</v>
      </c>
      <c r="R3" s="1317" t="s">
        <v>232</v>
      </c>
      <c r="S3" s="1317" t="s">
        <v>233</v>
      </c>
      <c r="T3" s="1319" t="s">
        <v>236</v>
      </c>
      <c r="U3" s="1320"/>
      <c r="V3" s="1320"/>
      <c r="W3" s="1320"/>
      <c r="X3" s="1320"/>
      <c r="Y3" s="1321"/>
      <c r="Z3" s="1317" t="s">
        <v>235</v>
      </c>
      <c r="AA3" s="1322" t="s">
        <v>237</v>
      </c>
      <c r="AB3" s="55"/>
      <c r="AC3" s="55"/>
      <c r="AD3" s="56"/>
      <c r="AE3" s="1306" t="s">
        <v>238</v>
      </c>
      <c r="AF3" s="1306" t="s">
        <v>239</v>
      </c>
      <c r="AG3" s="57"/>
    </row>
    <row r="4" spans="4:33" ht="49.5" customHeight="1" thickBot="1">
      <c r="D4" s="52"/>
      <c r="G4" s="1299"/>
      <c r="H4" s="1300"/>
      <c r="I4" s="1301"/>
      <c r="J4" s="1301"/>
      <c r="K4" s="1301"/>
      <c r="L4" s="56" t="s">
        <v>240</v>
      </c>
      <c r="M4" s="56" t="s">
        <v>241</v>
      </c>
      <c r="N4" s="1301"/>
      <c r="O4" s="1303"/>
      <c r="P4" s="1305"/>
      <c r="Q4" s="1318"/>
      <c r="R4" s="1318"/>
      <c r="S4" s="1318"/>
      <c r="T4" s="58" t="s">
        <v>240</v>
      </c>
      <c r="U4" s="59"/>
      <c r="V4" s="59"/>
      <c r="W4" s="59"/>
      <c r="X4" s="59"/>
      <c r="Y4" s="58" t="s">
        <v>241</v>
      </c>
      <c r="Z4" s="1318"/>
      <c r="AA4" s="1323"/>
      <c r="AB4" s="55"/>
      <c r="AC4" s="55"/>
      <c r="AD4" s="56"/>
      <c r="AE4" s="1307"/>
      <c r="AF4" s="1307"/>
      <c r="AG4" s="57"/>
    </row>
    <row r="5" spans="4:33" ht="15.75" hidden="1" customHeight="1" outlineLevel="1">
      <c r="D5" s="52"/>
      <c r="G5" s="60" t="s">
        <v>242</v>
      </c>
      <c r="H5" s="61" t="s">
        <v>243</v>
      </c>
      <c r="I5" s="62">
        <v>1</v>
      </c>
      <c r="J5" s="62">
        <v>2</v>
      </c>
      <c r="K5" s="62">
        <v>3</v>
      </c>
      <c r="L5" s="62">
        <v>5</v>
      </c>
      <c r="M5" s="62">
        <v>6</v>
      </c>
      <c r="N5" s="62">
        <v>7</v>
      </c>
      <c r="O5" s="63" t="s">
        <v>242</v>
      </c>
      <c r="P5" s="64" t="s">
        <v>243</v>
      </c>
      <c r="Q5" s="65">
        <v>1</v>
      </c>
      <c r="R5" s="65">
        <v>2</v>
      </c>
      <c r="S5" s="65">
        <v>3</v>
      </c>
      <c r="T5" s="65">
        <v>4</v>
      </c>
      <c r="U5" s="65"/>
      <c r="V5" s="65"/>
      <c r="W5" s="65"/>
      <c r="X5" s="65"/>
      <c r="Y5" s="65">
        <v>5</v>
      </c>
      <c r="Z5" s="65">
        <v>6</v>
      </c>
      <c r="AA5" s="66">
        <v>7</v>
      </c>
      <c r="AB5" s="67"/>
      <c r="AC5" s="67"/>
      <c r="AD5" s="57"/>
      <c r="AE5" s="68"/>
      <c r="AF5" s="68"/>
      <c r="AG5" s="57"/>
    </row>
    <row r="6" spans="4:33" hidden="1" outlineLevel="1">
      <c r="D6" s="52"/>
      <c r="G6" s="69" t="s">
        <v>244</v>
      </c>
      <c r="H6" s="60" t="s">
        <v>202</v>
      </c>
      <c r="I6" s="70">
        <v>5.7000000000000002E-2</v>
      </c>
      <c r="J6" s="70">
        <v>5.8999999999999997E-2</v>
      </c>
      <c r="K6" s="70">
        <v>5.1999999999999998E-2</v>
      </c>
      <c r="L6" s="70">
        <v>4.7E-2</v>
      </c>
      <c r="M6" s="70">
        <v>4.8000000000000001E-2</v>
      </c>
      <c r="N6" s="70">
        <v>5.0999999999999997E-2</v>
      </c>
      <c r="O6" s="71" t="s">
        <v>244</v>
      </c>
      <c r="P6" s="72" t="s">
        <v>202</v>
      </c>
      <c r="Q6" s="73">
        <v>5.7000000000000002E-2</v>
      </c>
      <c r="R6" s="73">
        <v>5.8999999999999997E-2</v>
      </c>
      <c r="S6" s="73">
        <v>5.1999999999999998E-2</v>
      </c>
      <c r="T6" s="73">
        <v>1.0549999999999999</v>
      </c>
      <c r="U6" s="74"/>
      <c r="V6" s="74"/>
      <c r="W6" s="74"/>
      <c r="X6" s="74"/>
      <c r="Y6" s="73">
        <v>1.0449999999999999</v>
      </c>
      <c r="Z6" s="73">
        <v>1.0780000000000001</v>
      </c>
      <c r="AA6" s="73">
        <v>1.0740000000000001</v>
      </c>
      <c r="AB6" s="75"/>
      <c r="AC6" s="75"/>
      <c r="AD6" s="70"/>
      <c r="AE6" s="70">
        <v>1.0469999999999999</v>
      </c>
      <c r="AF6" s="70">
        <v>1.048</v>
      </c>
      <c r="AG6" s="57"/>
    </row>
    <row r="7" spans="4:33" ht="53.25" hidden="1" customHeight="1" outlineLevel="1">
      <c r="D7" s="52"/>
      <c r="G7" s="69" t="s">
        <v>245</v>
      </c>
      <c r="H7" s="60" t="s">
        <v>202</v>
      </c>
      <c r="I7" s="70">
        <v>0.01</v>
      </c>
      <c r="J7" s="76">
        <v>1.2500000000000001E-2</v>
      </c>
      <c r="K7" s="70">
        <v>1.4999999999999999E-2</v>
      </c>
      <c r="L7" s="76">
        <v>7.4999999999999997E-3</v>
      </c>
      <c r="M7" s="76">
        <v>7.4999999999999997E-3</v>
      </c>
      <c r="N7" s="70">
        <v>1.4999999999999999E-2</v>
      </c>
      <c r="O7" s="71" t="s">
        <v>245</v>
      </c>
      <c r="P7" s="72" t="s">
        <v>202</v>
      </c>
      <c r="Q7" s="73">
        <v>0.01</v>
      </c>
      <c r="R7" s="77">
        <v>1.2500000000000001E-2</v>
      </c>
      <c r="S7" s="73">
        <v>1.4999999999999999E-2</v>
      </c>
      <c r="T7" s="78">
        <v>1.4999999999999999E-2</v>
      </c>
      <c r="U7" s="79"/>
      <c r="V7" s="79"/>
      <c r="W7" s="79"/>
      <c r="X7" s="79"/>
      <c r="Y7" s="78">
        <v>1.4999999999999999E-2</v>
      </c>
      <c r="Z7" s="78">
        <v>1.4999999999999999E-2</v>
      </c>
      <c r="AA7" s="78">
        <v>1.4999999999999999E-2</v>
      </c>
      <c r="AB7" s="75"/>
      <c r="AC7" s="75"/>
      <c r="AD7" s="70"/>
      <c r="AE7" s="76">
        <v>1.4999999999999999E-2</v>
      </c>
      <c r="AF7" s="76">
        <v>1.4999999999999999E-2</v>
      </c>
      <c r="AG7" s="57"/>
    </row>
    <row r="8" spans="4:33" ht="20.25" hidden="1" customHeight="1" outlineLevel="1">
      <c r="D8" s="52"/>
      <c r="G8" s="69" t="s">
        <v>246</v>
      </c>
      <c r="H8" s="60" t="s">
        <v>43</v>
      </c>
      <c r="I8" s="80">
        <v>88178.861000000004</v>
      </c>
      <c r="J8" s="80">
        <v>91207.98</v>
      </c>
      <c r="K8" s="80">
        <v>91207.98</v>
      </c>
      <c r="L8" s="80">
        <v>98255.76</v>
      </c>
      <c r="M8" s="80">
        <v>98394.84</v>
      </c>
      <c r="N8" s="80">
        <v>98255.76</v>
      </c>
      <c r="O8" s="71" t="s">
        <v>246</v>
      </c>
      <c r="P8" s="72" t="s">
        <v>43</v>
      </c>
      <c r="Q8" s="81">
        <v>88178.861000000004</v>
      </c>
      <c r="R8" s="81">
        <v>91207.98</v>
      </c>
      <c r="S8" s="81">
        <v>91207.98</v>
      </c>
      <c r="T8" s="81">
        <v>97763.19</v>
      </c>
      <c r="U8" s="74"/>
      <c r="V8" s="74"/>
      <c r="W8" s="74"/>
      <c r="X8" s="74"/>
      <c r="Y8" s="81">
        <v>97763.19</v>
      </c>
      <c r="Z8" s="81">
        <f>'[64]6. расчет УЕ'!H107</f>
        <v>98245.424199999994</v>
      </c>
      <c r="AA8" s="82">
        <f>Z8</f>
        <v>98245.424199999994</v>
      </c>
      <c r="AB8" s="83"/>
      <c r="AC8" s="83"/>
      <c r="AD8" s="80"/>
      <c r="AE8" s="80">
        <v>98255.76</v>
      </c>
      <c r="AF8" s="80">
        <v>98394.84</v>
      </c>
      <c r="AG8" s="57"/>
    </row>
    <row r="9" spans="4:33" ht="40.5" hidden="1" customHeight="1" outlineLevel="1">
      <c r="D9" s="52"/>
      <c r="G9" s="69" t="s">
        <v>247</v>
      </c>
      <c r="H9" s="60" t="s">
        <v>202</v>
      </c>
      <c r="I9" s="76">
        <v>0</v>
      </c>
      <c r="J9" s="76">
        <v>6.5699999999999995E-2</v>
      </c>
      <c r="K9" s="76">
        <v>0</v>
      </c>
      <c r="L9" s="76">
        <v>7.7299999999999994E-2</v>
      </c>
      <c r="M9" s="76">
        <f>IF(L8=0,0,(M8-L8)/L8)</f>
        <v>1.41548953465936E-3</v>
      </c>
      <c r="N9" s="76">
        <v>7.7299999999999994E-2</v>
      </c>
      <c r="O9" s="71" t="s">
        <v>247</v>
      </c>
      <c r="P9" s="72" t="s">
        <v>202</v>
      </c>
      <c r="Q9" s="77">
        <v>0</v>
      </c>
      <c r="R9" s="77">
        <v>6.5699999999999995E-2</v>
      </c>
      <c r="S9" s="77">
        <v>0</v>
      </c>
      <c r="T9" s="84">
        <f>IF(T8=0,0,(T8-S8)/S8)+100%</f>
        <v>1.0718710139178611</v>
      </c>
      <c r="U9" s="74"/>
      <c r="V9" s="74"/>
      <c r="W9" s="74"/>
      <c r="X9" s="74"/>
      <c r="Y9" s="84">
        <f>IF(T8=0,0,(Y8-T8)/T8)+100%</f>
        <v>1</v>
      </c>
      <c r="Z9" s="84">
        <f>IF(S8=0,0,(T8-S8)/S8)+100%</f>
        <v>1.0718710139178611</v>
      </c>
      <c r="AA9" s="85">
        <f>IF(S8=0,0,(T8-S8)/S8)+100%</f>
        <v>1.0718710139178611</v>
      </c>
      <c r="AB9" s="86"/>
      <c r="AC9" s="86"/>
      <c r="AD9" s="76"/>
      <c r="AE9" s="76">
        <f>IF(AE8=0,0,(AE8-S8)/S8)+100%</f>
        <v>1.0772715282149654</v>
      </c>
      <c r="AF9" s="76">
        <f>IF(AF8=0,0,(AF8-AE8)/AE8)+100%</f>
        <v>1.0014154895346594</v>
      </c>
      <c r="AG9" s="57"/>
    </row>
    <row r="10" spans="4:33" ht="53.25" hidden="1" customHeight="1" outlineLevel="1">
      <c r="D10" s="52"/>
      <c r="G10" s="87" t="s">
        <v>248</v>
      </c>
      <c r="H10" s="61"/>
      <c r="I10" s="70"/>
      <c r="J10" s="60">
        <v>0.75</v>
      </c>
      <c r="K10" s="60">
        <v>0.75</v>
      </c>
      <c r="L10" s="60">
        <v>1.5</v>
      </c>
      <c r="M10" s="60">
        <v>1.5</v>
      </c>
      <c r="N10" s="60">
        <v>0.75</v>
      </c>
      <c r="O10" s="88" t="s">
        <v>248</v>
      </c>
      <c r="P10" s="89"/>
      <c r="Q10" s="73"/>
      <c r="R10" s="72">
        <v>0.75</v>
      </c>
      <c r="S10" s="72">
        <v>0.75</v>
      </c>
      <c r="T10" s="90">
        <v>0.75</v>
      </c>
      <c r="U10" s="79"/>
      <c r="V10" s="79"/>
      <c r="W10" s="79"/>
      <c r="X10" s="79"/>
      <c r="Y10" s="90">
        <v>0.75</v>
      </c>
      <c r="Z10" s="90">
        <v>0.75</v>
      </c>
      <c r="AA10" s="90">
        <v>0.75</v>
      </c>
      <c r="AB10" s="91"/>
      <c r="AC10" s="91"/>
      <c r="AD10" s="60"/>
      <c r="AE10" s="92">
        <v>0.75</v>
      </c>
      <c r="AF10" s="92">
        <v>0.75</v>
      </c>
      <c r="AG10" s="57"/>
    </row>
    <row r="11" spans="4:33" ht="32.4" customHeight="1" collapsed="1" thickBot="1">
      <c r="D11" s="52"/>
      <c r="G11" s="93" t="s">
        <v>249</v>
      </c>
      <c r="H11" s="61"/>
      <c r="I11" s="70">
        <v>1.04643</v>
      </c>
      <c r="J11" s="94">
        <f>(1+J6)*(1-J7)*(1+J9*J10)</f>
        <v>1.0972924471874999</v>
      </c>
      <c r="K11" s="94">
        <v>1.036</v>
      </c>
      <c r="L11" s="95">
        <v>1.0367999999999999</v>
      </c>
      <c r="M11" s="94">
        <v>1.0353000000000001</v>
      </c>
      <c r="N11" s="95">
        <v>1.0365</v>
      </c>
      <c r="O11" s="96" t="s">
        <v>249</v>
      </c>
      <c r="P11" s="97"/>
      <c r="Q11" s="98">
        <v>1.04643</v>
      </c>
      <c r="R11" s="99">
        <f>(1+R6)*(1-R7)*(1+R9*R10)</f>
        <v>1.0972924471874999</v>
      </c>
      <c r="S11" s="99">
        <v>1.036</v>
      </c>
      <c r="T11" s="100">
        <f>(1+T6)*(1-T7)*(1+T9*T10)/100+1</f>
        <v>1.0365141588219788</v>
      </c>
      <c r="U11" s="101">
        <f t="shared" ref="U11:X11" si="0">(1+U6)*(1-U7)*(1+U9*U10)</f>
        <v>1</v>
      </c>
      <c r="V11" s="101">
        <f t="shared" si="0"/>
        <v>1</v>
      </c>
      <c r="W11" s="101">
        <f t="shared" si="0"/>
        <v>1</v>
      </c>
      <c r="X11" s="101">
        <f t="shared" si="0"/>
        <v>1</v>
      </c>
      <c r="Y11" s="100">
        <f>(1+Y6)*(1-Y7)*(1+Y9*Y10)/100+1</f>
        <v>1.0352506875</v>
      </c>
      <c r="Z11" s="100">
        <f>(1+Z6)*(1-Z7)*(1+Z9*Z10)/100+1</f>
        <v>1.0369228331056313</v>
      </c>
      <c r="AA11" s="100">
        <f>(1+AA6)*(1-AA7)*(1+AA9*AA10)/100+1</f>
        <v>1.03685175931717</v>
      </c>
      <c r="AB11" s="102"/>
      <c r="AC11" s="102"/>
      <c r="AD11" s="94"/>
      <c r="AE11" s="95">
        <f>AE6*(1-AE7)*(1+AE9*AE10)/100+1</f>
        <v>1.0186453355551783</v>
      </c>
      <c r="AF11" s="95">
        <f>AF6*(1-AF7)*(1+AF9*AF10)/100+1</f>
        <v>1.0180758588615262</v>
      </c>
      <c r="AG11" s="57"/>
    </row>
    <row r="12" spans="4:33" ht="17.399999999999999" hidden="1" thickBot="1">
      <c r="D12" s="52"/>
      <c r="T12" s="103"/>
      <c r="U12" s="103"/>
      <c r="V12" s="103"/>
      <c r="W12" s="103"/>
      <c r="X12" s="103"/>
      <c r="Y12" s="103"/>
      <c r="Z12" s="103"/>
      <c r="AB12" s="67"/>
      <c r="AC12" s="67"/>
      <c r="AD12" s="67"/>
      <c r="AE12" s="103">
        <f>T11-AE11</f>
        <v>1.7868823266800504E-2</v>
      </c>
      <c r="AF12" s="103">
        <f>U11-AF11</f>
        <v>-1.8075858861526184E-2</v>
      </c>
    </row>
    <row r="13" spans="4:33" ht="17.399999999999999" hidden="1" thickBot="1">
      <c r="D13" s="52"/>
      <c r="T13" s="104"/>
    </row>
    <row r="14" spans="4:33" ht="17.399999999999999" hidden="1" thickBot="1">
      <c r="D14" s="52"/>
    </row>
    <row r="15" spans="4:33" ht="17.399999999999999" hidden="1" thickBot="1">
      <c r="D15" s="52"/>
    </row>
    <row r="16" spans="4:33" ht="17.399999999999999" hidden="1" thickBot="1">
      <c r="D16" s="52"/>
    </row>
    <row r="17" spans="1:36" ht="17.399999999999999" hidden="1" thickBot="1">
      <c r="D17" s="52"/>
    </row>
    <row r="18" spans="1:36" ht="17.399999999999999" hidden="1" thickBot="1">
      <c r="D18" s="52"/>
    </row>
    <row r="19" spans="1:36" ht="17.399999999999999" hidden="1" thickBot="1">
      <c r="D19" s="52"/>
    </row>
    <row r="20" spans="1:36" ht="17.399999999999999" hidden="1" thickBot="1">
      <c r="D20" s="52"/>
    </row>
    <row r="21" spans="1:36" ht="17.399999999999999" hidden="1" thickBot="1">
      <c r="D21" s="52"/>
    </row>
    <row r="22" spans="1:36" ht="17.399999999999999" hidden="1" thickBot="1">
      <c r="D22" s="52"/>
    </row>
    <row r="23" spans="1:36" ht="28.5" customHeight="1">
      <c r="A23" s="108"/>
      <c r="B23" s="109"/>
      <c r="C23" s="110"/>
      <c r="D23" s="111"/>
      <c r="E23" s="1308"/>
      <c r="F23" s="1308"/>
      <c r="G23" s="112"/>
      <c r="H23" s="112"/>
      <c r="I23" s="112"/>
      <c r="J23" s="111"/>
      <c r="K23" s="111"/>
      <c r="L23" s="111"/>
      <c r="M23" s="111"/>
      <c r="N23" s="111"/>
      <c r="O23" s="111"/>
      <c r="P23" s="111"/>
      <c r="Q23" s="111"/>
      <c r="R23" s="111"/>
      <c r="S23" s="113" t="s">
        <v>250</v>
      </c>
      <c r="T23" s="114">
        <v>1.0364536789698664</v>
      </c>
      <c r="U23" s="114">
        <v>1</v>
      </c>
      <c r="V23" s="114">
        <v>1</v>
      </c>
      <c r="W23" s="114">
        <v>1</v>
      </c>
      <c r="X23" s="114">
        <v>1</v>
      </c>
      <c r="Y23" s="114">
        <v>1.0353238157904636</v>
      </c>
      <c r="Z23" s="114">
        <v>1.0370057376157218</v>
      </c>
      <c r="AA23" s="114">
        <v>1.0370057376157218</v>
      </c>
    </row>
    <row r="24" spans="1:36" s="116" customFormat="1" ht="25.5" customHeight="1">
      <c r="A24" s="115"/>
      <c r="B24" s="1309" t="s">
        <v>251</v>
      </c>
      <c r="C24" s="1310"/>
      <c r="D24" s="1310"/>
      <c r="E24" s="1310"/>
      <c r="F24" s="1310"/>
      <c r="G24" s="1310"/>
      <c r="H24" s="1310"/>
      <c r="I24" s="1310"/>
      <c r="J24" s="1310"/>
      <c r="K24" s="1310"/>
      <c r="L24" s="1310"/>
      <c r="M24" s="1310"/>
      <c r="N24" s="1310"/>
      <c r="O24" s="1310"/>
      <c r="P24" s="1310"/>
      <c r="Q24" s="1310"/>
      <c r="R24" s="1310"/>
      <c r="S24" s="1310"/>
      <c r="T24" s="1310"/>
      <c r="U24" s="1310"/>
      <c r="V24" s="1310"/>
      <c r="W24" s="1310"/>
      <c r="X24" s="1310"/>
      <c r="Y24" s="1310"/>
      <c r="Z24" s="1311"/>
      <c r="AA24" s="1312"/>
    </row>
    <row r="25" spans="1:36" ht="25.5" customHeight="1">
      <c r="A25" s="1313" t="s">
        <v>110</v>
      </c>
      <c r="B25" s="1314" t="s">
        <v>110</v>
      </c>
      <c r="C25" s="1315" t="s">
        <v>252</v>
      </c>
      <c r="D25" s="1316" t="s">
        <v>253</v>
      </c>
      <c r="E25" s="1316" t="s">
        <v>254</v>
      </c>
      <c r="F25" s="1314" t="s">
        <v>255</v>
      </c>
      <c r="G25" s="1324" t="s">
        <v>256</v>
      </c>
      <c r="H25" s="1325"/>
      <c r="I25" s="1326"/>
      <c r="J25" s="1327" t="s">
        <v>257</v>
      </c>
      <c r="K25" s="1327"/>
      <c r="L25" s="1327"/>
      <c r="M25" s="1328" t="s">
        <v>258</v>
      </c>
      <c r="N25" s="1328"/>
      <c r="O25" s="1328"/>
      <c r="P25" s="1328"/>
      <c r="Q25" s="1328"/>
      <c r="R25" s="1328"/>
      <c r="S25" s="1328"/>
      <c r="T25" s="1328"/>
      <c r="U25" s="1328"/>
      <c r="V25" s="1328"/>
      <c r="W25" s="1329"/>
      <c r="X25" s="117"/>
      <c r="Y25" s="118" t="s">
        <v>259</v>
      </c>
      <c r="Z25" s="1330" t="s">
        <v>260</v>
      </c>
      <c r="AA25" s="1331"/>
      <c r="AB25" s="1331"/>
      <c r="AC25" s="1331"/>
      <c r="AD25" s="1331"/>
      <c r="AE25" s="1331"/>
      <c r="AF25" s="1331"/>
      <c r="AG25" s="1331"/>
      <c r="AH25" s="1331"/>
      <c r="AI25" s="1332"/>
    </row>
    <row r="26" spans="1:36" ht="120.75" customHeight="1">
      <c r="A26" s="1313"/>
      <c r="B26" s="1314"/>
      <c r="C26" s="1315"/>
      <c r="D26" s="1316"/>
      <c r="E26" s="1316"/>
      <c r="F26" s="1314"/>
      <c r="G26" s="119"/>
      <c r="H26" s="120"/>
      <c r="I26" s="121"/>
      <c r="J26" s="122"/>
      <c r="K26" s="122"/>
      <c r="L26" s="122"/>
      <c r="M26" s="1333" t="s">
        <v>261</v>
      </c>
      <c r="N26" s="1314" t="s">
        <v>262</v>
      </c>
      <c r="O26" s="1314" t="s">
        <v>263</v>
      </c>
      <c r="P26" s="122"/>
      <c r="Q26" s="122"/>
      <c r="R26" s="1334" t="s">
        <v>264</v>
      </c>
      <c r="S26" s="1335" t="s">
        <v>265</v>
      </c>
      <c r="T26" s="1335" t="s">
        <v>266</v>
      </c>
      <c r="U26" s="122"/>
      <c r="V26" s="122"/>
      <c r="W26" s="123"/>
      <c r="X26" s="123"/>
      <c r="Y26" s="1333" t="s">
        <v>261</v>
      </c>
      <c r="Z26" s="1333" t="s">
        <v>261</v>
      </c>
      <c r="AA26" s="1333" t="s">
        <v>267</v>
      </c>
      <c r="AB26" s="1334" t="s">
        <v>268</v>
      </c>
      <c r="AC26" s="1334" t="s">
        <v>269</v>
      </c>
      <c r="AD26" s="1336" t="s">
        <v>270</v>
      </c>
      <c r="AE26" s="1337"/>
      <c r="AF26" s="1336" t="s">
        <v>271</v>
      </c>
      <c r="AG26" s="1337"/>
      <c r="AH26" s="1336" t="s">
        <v>272</v>
      </c>
      <c r="AI26" s="1337"/>
    </row>
    <row r="27" spans="1:36" ht="21.75" customHeight="1">
      <c r="A27" s="1313"/>
      <c r="B27" s="1314"/>
      <c r="C27" s="1315"/>
      <c r="D27" s="1316"/>
      <c r="E27" s="1316"/>
      <c r="F27" s="1314"/>
      <c r="G27" s="124" t="s">
        <v>261</v>
      </c>
      <c r="H27" s="124" t="s">
        <v>273</v>
      </c>
      <c r="I27" s="124" t="s">
        <v>264</v>
      </c>
      <c r="J27" s="124" t="s">
        <v>261</v>
      </c>
      <c r="K27" s="124" t="s">
        <v>273</v>
      </c>
      <c r="L27" s="124" t="s">
        <v>264</v>
      </c>
      <c r="M27" s="1333"/>
      <c r="N27" s="1314"/>
      <c r="O27" s="1314"/>
      <c r="P27" s="125" t="s">
        <v>274</v>
      </c>
      <c r="Q27" s="126" t="s">
        <v>275</v>
      </c>
      <c r="R27" s="1334"/>
      <c r="S27" s="1335"/>
      <c r="T27" s="1335"/>
      <c r="U27" s="127" t="s">
        <v>276</v>
      </c>
      <c r="V27" s="127" t="s">
        <v>277</v>
      </c>
      <c r="W27" s="127" t="s">
        <v>278</v>
      </c>
      <c r="X27" s="127" t="s">
        <v>279</v>
      </c>
      <c r="Y27" s="1333"/>
      <c r="Z27" s="1333"/>
      <c r="AA27" s="1333"/>
      <c r="AB27" s="1334"/>
      <c r="AC27" s="1334"/>
      <c r="AD27" s="128" t="s">
        <v>280</v>
      </c>
      <c r="AE27" s="128" t="s">
        <v>281</v>
      </c>
      <c r="AF27" s="128" t="s">
        <v>280</v>
      </c>
      <c r="AG27" s="128" t="s">
        <v>281</v>
      </c>
      <c r="AH27" s="128" t="s">
        <v>280</v>
      </c>
      <c r="AI27" s="128" t="s">
        <v>281</v>
      </c>
      <c r="AJ27" s="52">
        <f>Y29-AJ33</f>
        <v>102151.74413942013</v>
      </c>
    </row>
    <row r="28" spans="1:36" ht="15.6" customHeight="1">
      <c r="A28" s="129"/>
      <c r="B28" s="130">
        <v>1</v>
      </c>
      <c r="C28" s="131"/>
      <c r="D28" s="132">
        <v>2</v>
      </c>
      <c r="E28" s="133"/>
      <c r="F28" s="130">
        <v>3</v>
      </c>
      <c r="G28" s="130">
        <v>4</v>
      </c>
      <c r="H28" s="130">
        <v>5</v>
      </c>
      <c r="I28" s="130">
        <v>6</v>
      </c>
      <c r="J28" s="130">
        <v>7</v>
      </c>
      <c r="K28" s="130">
        <v>8</v>
      </c>
      <c r="L28" s="130">
        <v>9</v>
      </c>
      <c r="M28" s="134">
        <v>10</v>
      </c>
      <c r="N28" s="134">
        <v>11</v>
      </c>
      <c r="O28" s="134">
        <v>12</v>
      </c>
      <c r="P28" s="135">
        <v>13</v>
      </c>
      <c r="Q28" s="134">
        <v>14</v>
      </c>
      <c r="R28" s="136">
        <v>15</v>
      </c>
      <c r="S28" s="136" t="s">
        <v>282</v>
      </c>
      <c r="T28" s="136" t="s">
        <v>283</v>
      </c>
      <c r="U28" s="137" t="s">
        <v>284</v>
      </c>
      <c r="V28" s="137" t="s">
        <v>285</v>
      </c>
      <c r="W28" s="137" t="s">
        <v>286</v>
      </c>
      <c r="X28" s="137" t="s">
        <v>287</v>
      </c>
      <c r="Y28" s="138">
        <v>19</v>
      </c>
      <c r="Z28" s="138">
        <v>20</v>
      </c>
      <c r="AA28" s="138">
        <v>21</v>
      </c>
      <c r="AB28" s="138">
        <v>22</v>
      </c>
      <c r="AC28" s="138"/>
      <c r="AD28" s="138" t="s">
        <v>288</v>
      </c>
      <c r="AE28" s="138" t="s">
        <v>289</v>
      </c>
      <c r="AF28" s="138" t="s">
        <v>290</v>
      </c>
      <c r="AG28" s="138" t="s">
        <v>291</v>
      </c>
      <c r="AH28" s="138" t="s">
        <v>292</v>
      </c>
      <c r="AI28" s="138" t="s">
        <v>293</v>
      </c>
    </row>
    <row r="29" spans="1:36" ht="33" customHeight="1">
      <c r="A29" s="139"/>
      <c r="B29" s="140" t="s">
        <v>294</v>
      </c>
      <c r="C29" s="141"/>
      <c r="D29" s="142" t="s">
        <v>295</v>
      </c>
      <c r="E29" s="142" t="s">
        <v>295</v>
      </c>
      <c r="F29" s="143" t="s">
        <v>121</v>
      </c>
      <c r="G29" s="144">
        <f t="shared" ref="G29:AA29" si="1">G30+G91</f>
        <v>309350.688156844</v>
      </c>
      <c r="H29" s="144">
        <f t="shared" si="1"/>
        <v>281134.99747999996</v>
      </c>
      <c r="I29" s="144">
        <f t="shared" si="1"/>
        <v>268183.54100000003</v>
      </c>
      <c r="J29" s="144">
        <f t="shared" si="1"/>
        <v>339442.26575850789</v>
      </c>
      <c r="K29" s="144">
        <f t="shared" si="1"/>
        <v>240103.97205999997</v>
      </c>
      <c r="L29" s="144">
        <f t="shared" si="1"/>
        <v>228441.34996999998</v>
      </c>
      <c r="M29" s="144">
        <f t="shared" si="1"/>
        <v>283152.32154194725</v>
      </c>
      <c r="N29" s="144">
        <f t="shared" si="1"/>
        <v>305115.74258999998</v>
      </c>
      <c r="O29" s="144">
        <f t="shared" si="1"/>
        <v>297781.96194000001</v>
      </c>
      <c r="P29" s="145">
        <f t="shared" si="1"/>
        <v>296780.96320253209</v>
      </c>
      <c r="Q29" s="144">
        <f t="shared" si="1"/>
        <v>296780.96320253209</v>
      </c>
      <c r="R29" s="144">
        <f t="shared" si="1"/>
        <v>280661.4856325321</v>
      </c>
      <c r="S29" s="144">
        <f>R29-M29</f>
        <v>-2490.8359094151529</v>
      </c>
      <c r="T29" s="144">
        <f>R29-O29</f>
        <v>-17120.476307467907</v>
      </c>
      <c r="U29" s="146" t="e">
        <f>R29-#REF!</f>
        <v>#REF!</v>
      </c>
      <c r="V29" s="146">
        <f>R29-M29</f>
        <v>-2490.8359094151529</v>
      </c>
      <c r="W29" s="146">
        <f>Q29-P29</f>
        <v>0</v>
      </c>
      <c r="X29" s="146" t="e">
        <f>O29-#REF!</f>
        <v>#REF!</v>
      </c>
      <c r="Y29" s="144">
        <f t="shared" si="1"/>
        <v>243877.70857893719</v>
      </c>
      <c r="Z29" s="144">
        <f t="shared" si="1"/>
        <v>255576.48924877457</v>
      </c>
      <c r="AA29" s="144">
        <f t="shared" si="1"/>
        <v>423519.77948830312</v>
      </c>
      <c r="AB29" s="144">
        <f>AB30+AB91</f>
        <v>252865.03119831113</v>
      </c>
      <c r="AC29" s="144">
        <f>AB29</f>
        <v>252865.03119831113</v>
      </c>
      <c r="AD29" s="144">
        <f>AB29-Y29</f>
        <v>8987.3226193739392</v>
      </c>
      <c r="AE29" s="144">
        <f>AB29/Y29*100-100</f>
        <v>3.6851759317169979</v>
      </c>
      <c r="AF29" s="144">
        <f>AB29-Z29</f>
        <v>-2711.4580504634359</v>
      </c>
      <c r="AG29" s="144">
        <f>AB29/Z29*100-100</f>
        <v>-1.0609184195437251</v>
      </c>
      <c r="AH29" s="144">
        <f>AB29-AA29</f>
        <v>-170654.74828999199</v>
      </c>
      <c r="AI29" s="144">
        <f>AB29/AA29*100-100</f>
        <v>-40.294398645602136</v>
      </c>
      <c r="AJ29" s="52">
        <f>Y29+Y113</f>
        <v>317906.13237067999</v>
      </c>
    </row>
    <row r="30" spans="1:36" ht="33" customHeight="1" outlineLevel="1">
      <c r="A30" s="139"/>
      <c r="B30" s="140" t="s">
        <v>296</v>
      </c>
      <c r="C30" s="141"/>
      <c r="D30" s="142" t="s">
        <v>297</v>
      </c>
      <c r="E30" s="142" t="s">
        <v>297</v>
      </c>
      <c r="F30" s="143" t="s">
        <v>121</v>
      </c>
      <c r="G30" s="144">
        <f t="shared" ref="G30:AA30" si="2">G34+G42+G46+G52+G56+G61+G65+G70+G79+G87+G90</f>
        <v>242340.01013794073</v>
      </c>
      <c r="H30" s="144">
        <f t="shared" si="2"/>
        <v>230759.85590999995</v>
      </c>
      <c r="I30" s="144">
        <f t="shared" si="2"/>
        <v>217808.40100000001</v>
      </c>
      <c r="J30" s="144">
        <f t="shared" si="2"/>
        <v>265913.2358133911</v>
      </c>
      <c r="K30" s="144">
        <f t="shared" si="2"/>
        <v>185754.21470999997</v>
      </c>
      <c r="L30" s="144">
        <f t="shared" si="2"/>
        <v>174091.58879999997</v>
      </c>
      <c r="M30" s="144">
        <f t="shared" si="2"/>
        <v>232420.03955532395</v>
      </c>
      <c r="N30" s="144">
        <f t="shared" si="2"/>
        <v>241865.25547999996</v>
      </c>
      <c r="O30" s="144">
        <f t="shared" si="2"/>
        <v>236239.99015</v>
      </c>
      <c r="P30" s="145">
        <f t="shared" si="2"/>
        <v>235238.99141253211</v>
      </c>
      <c r="Q30" s="144">
        <f t="shared" si="2"/>
        <v>235238.99141253211</v>
      </c>
      <c r="R30" s="144">
        <f t="shared" si="2"/>
        <v>219119.51384253212</v>
      </c>
      <c r="S30" s="144">
        <f t="shared" ref="S30:S93" si="3">R30-M30</f>
        <v>-13300.52571279183</v>
      </c>
      <c r="T30" s="144">
        <f t="shared" ref="T30:T93" si="4">R30-O30</f>
        <v>-17120.476307467878</v>
      </c>
      <c r="U30" s="146" t="e">
        <f>R30-#REF!</f>
        <v>#REF!</v>
      </c>
      <c r="V30" s="146">
        <f t="shared" ref="V30:V93" si="5">R30-M30</f>
        <v>-13300.52571279183</v>
      </c>
      <c r="W30" s="146">
        <f t="shared" ref="W30:W93" si="6">Q30-P30</f>
        <v>0</v>
      </c>
      <c r="X30" s="146" t="e">
        <f>O30-#REF!</f>
        <v>#REF!</v>
      </c>
      <c r="Y30" s="144">
        <f t="shared" si="2"/>
        <v>182238.28569201095</v>
      </c>
      <c r="Z30" s="144">
        <f t="shared" si="2"/>
        <v>191163.29233193659</v>
      </c>
      <c r="AA30" s="144">
        <f t="shared" si="2"/>
        <v>332276.39552201366</v>
      </c>
      <c r="AB30" s="144">
        <f>AB34+AB42+AB46+AB52+AB56+AB61+AB65+AB70+AB79+AB87+AB90</f>
        <v>188954.08713470661</v>
      </c>
      <c r="AC30" s="144">
        <f t="shared" ref="AC30:AC93" si="7">AB30</f>
        <v>188954.08713470661</v>
      </c>
      <c r="AD30" s="144">
        <f t="shared" ref="AD30:AD93" si="8">AB30-Y30</f>
        <v>6715.8014426956652</v>
      </c>
      <c r="AE30" s="144">
        <f t="shared" ref="AE30:AE93" si="9">AB30/Y30*100-100</f>
        <v>3.6851759317169979</v>
      </c>
      <c r="AF30" s="144">
        <f t="shared" ref="AF30:AF93" si="10">AB30-Z30</f>
        <v>-2209.2051972299814</v>
      </c>
      <c r="AG30" s="144">
        <f t="shared" ref="AG30:AG93" si="11">AB30/Z30*100-100</f>
        <v>-1.1556639197204817</v>
      </c>
      <c r="AH30" s="144">
        <f t="shared" ref="AH30:AH93" si="12">AB30-AA30</f>
        <v>-143322.30838730704</v>
      </c>
      <c r="AI30" s="144">
        <f t="shared" ref="AI30:AI93" si="13">AB30/AA30*100-100</f>
        <v>-43.133460672746402</v>
      </c>
    </row>
    <row r="31" spans="1:36" ht="33" customHeight="1" outlineLevel="3">
      <c r="A31" s="139">
        <v>1</v>
      </c>
      <c r="B31" s="143" t="s">
        <v>126</v>
      </c>
      <c r="C31" s="147" t="s">
        <v>298</v>
      </c>
      <c r="D31" s="148" t="s">
        <v>299</v>
      </c>
      <c r="E31" s="149" t="s">
        <v>300</v>
      </c>
      <c r="F31" s="143" t="s">
        <v>121</v>
      </c>
      <c r="G31" s="143">
        <v>324.51180348142424</v>
      </c>
      <c r="H31" s="143">
        <v>183.71635000000001</v>
      </c>
      <c r="I31" s="143">
        <v>183.72</v>
      </c>
      <c r="J31" s="143">
        <v>356.07814785874052</v>
      </c>
      <c r="K31" s="143">
        <v>401.94812999999999</v>
      </c>
      <c r="L31" s="143">
        <v>401.95</v>
      </c>
      <c r="M31" s="143">
        <v>330.63396039921264</v>
      </c>
      <c r="N31" s="143">
        <v>502.42376999999993</v>
      </c>
      <c r="O31" s="143">
        <v>502.42376999999993</v>
      </c>
      <c r="P31" s="150">
        <v>502.42376999999993</v>
      </c>
      <c r="Q31" s="143">
        <v>502.42376999999993</v>
      </c>
      <c r="R31" s="143">
        <v>502.42376999999993</v>
      </c>
      <c r="S31" s="143">
        <f t="shared" si="3"/>
        <v>171.78980960078729</v>
      </c>
      <c r="T31" s="143">
        <f t="shared" si="4"/>
        <v>0</v>
      </c>
      <c r="U31" s="151" t="e">
        <f>R31-#REF!</f>
        <v>#REF!</v>
      </c>
      <c r="V31" s="151">
        <f t="shared" si="5"/>
        <v>171.78980960078729</v>
      </c>
      <c r="W31" s="151">
        <f t="shared" si="6"/>
        <v>0</v>
      </c>
      <c r="X31" s="151" t="e">
        <f>O31-#REF!</f>
        <v>#REF!</v>
      </c>
      <c r="Y31" s="143">
        <f>'[65]2. подк.неподк.'!V19</f>
        <v>348.81882822116933</v>
      </c>
      <c r="Z31" s="143">
        <f>'[65]2. подк.неподк.'!W19</f>
        <v>364.5156754911219</v>
      </c>
      <c r="AA31" s="143">
        <f>'[65]2. подк.неподк.'!X19</f>
        <v>969.85746178841623</v>
      </c>
      <c r="AB31" s="143">
        <f>Y31*$AA$11</f>
        <v>361.6734157240731</v>
      </c>
      <c r="AC31" s="144">
        <f t="shared" si="7"/>
        <v>361.6734157240731</v>
      </c>
      <c r="AD31" s="143">
        <f t="shared" si="8"/>
        <v>12.854587502903769</v>
      </c>
      <c r="AE31" s="143">
        <f t="shared" si="9"/>
        <v>3.6851759317169979</v>
      </c>
      <c r="AF31" s="143">
        <f t="shared" si="10"/>
        <v>-2.8422597670488017</v>
      </c>
      <c r="AG31" s="143">
        <f t="shared" si="11"/>
        <v>-0.77973595051004452</v>
      </c>
      <c r="AH31" s="143">
        <f t="shared" si="12"/>
        <v>-608.18404606434319</v>
      </c>
      <c r="AI31" s="143">
        <f t="shared" si="13"/>
        <v>-62.708601008528852</v>
      </c>
    </row>
    <row r="32" spans="1:36" ht="33" customHeight="1" outlineLevel="3">
      <c r="A32" s="152">
        <v>2</v>
      </c>
      <c r="B32" s="143" t="s">
        <v>128</v>
      </c>
      <c r="C32" s="147" t="s">
        <v>301</v>
      </c>
      <c r="D32" s="148" t="s">
        <v>302</v>
      </c>
      <c r="E32" s="149" t="s">
        <v>303</v>
      </c>
      <c r="F32" s="143" t="s">
        <v>121</v>
      </c>
      <c r="G32" s="143">
        <v>957.54981027277597</v>
      </c>
      <c r="H32" s="143">
        <v>430.84805999999998</v>
      </c>
      <c r="I32" s="143">
        <v>83.198059999999998</v>
      </c>
      <c r="J32" s="143">
        <v>1050.693870813041</v>
      </c>
      <c r="K32" s="143">
        <v>342.46424000000002</v>
      </c>
      <c r="L32" s="143">
        <v>342.46</v>
      </c>
      <c r="M32" s="143">
        <v>87.069880378300709</v>
      </c>
      <c r="N32" s="143">
        <v>156.28928000000002</v>
      </c>
      <c r="O32" s="143">
        <v>151.01801</v>
      </c>
      <c r="P32" s="150">
        <v>151.01801</v>
      </c>
      <c r="Q32" s="143">
        <v>151.01801</v>
      </c>
      <c r="R32" s="143">
        <v>151.01801</v>
      </c>
      <c r="S32" s="143">
        <f t="shared" si="3"/>
        <v>63.948129621699294</v>
      </c>
      <c r="T32" s="143">
        <f t="shared" si="4"/>
        <v>0</v>
      </c>
      <c r="U32" s="151" t="e">
        <f>R32-#REF!</f>
        <v>#REF!</v>
      </c>
      <c r="V32" s="151">
        <f t="shared" si="5"/>
        <v>63.948129621699294</v>
      </c>
      <c r="W32" s="151">
        <f t="shared" si="6"/>
        <v>0</v>
      </c>
      <c r="X32" s="151" t="e">
        <f>O32-#REF!</f>
        <v>#REF!</v>
      </c>
      <c r="Y32" s="143">
        <f>'[65]2. подк.неподк.'!V20</f>
        <v>388.39244749999989</v>
      </c>
      <c r="Z32" s="143">
        <f>'[65]2. подк.неподк.'!W20</f>
        <v>405.87010763749987</v>
      </c>
      <c r="AA32" s="143">
        <f>'[65]2. подк.неподк.'!X20</f>
        <v>1945.5006796043717</v>
      </c>
      <c r="AB32" s="143">
        <f>Y32*$AA$11</f>
        <v>402.70539249587648</v>
      </c>
      <c r="AC32" s="144">
        <f t="shared" si="7"/>
        <v>402.70539249587648</v>
      </c>
      <c r="AD32" s="143">
        <f t="shared" si="8"/>
        <v>14.312944995876592</v>
      </c>
      <c r="AE32" s="143">
        <f t="shared" si="9"/>
        <v>3.6851759317169979</v>
      </c>
      <c r="AF32" s="143">
        <f t="shared" si="10"/>
        <v>-3.1647151416233896</v>
      </c>
      <c r="AG32" s="143">
        <f t="shared" si="11"/>
        <v>-0.77973595051004452</v>
      </c>
      <c r="AH32" s="143">
        <f t="shared" si="12"/>
        <v>-1542.7952871084954</v>
      </c>
      <c r="AI32" s="143">
        <f t="shared" si="13"/>
        <v>-79.300680965181215</v>
      </c>
    </row>
    <row r="33" spans="1:36" ht="33" customHeight="1" outlineLevel="3">
      <c r="A33" s="139">
        <v>3</v>
      </c>
      <c r="B33" s="143" t="s">
        <v>130</v>
      </c>
      <c r="C33" s="147" t="s">
        <v>304</v>
      </c>
      <c r="D33" s="148" t="s">
        <v>305</v>
      </c>
      <c r="E33" s="149" t="s">
        <v>306</v>
      </c>
      <c r="F33" s="143" t="s">
        <v>121</v>
      </c>
      <c r="G33" s="143">
        <v>8597.0598922308891</v>
      </c>
      <c r="H33" s="143">
        <v>13706.690549999999</v>
      </c>
      <c r="I33" s="143">
        <v>13706.69</v>
      </c>
      <c r="J33" s="143">
        <v>9433.3245528046555</v>
      </c>
      <c r="K33" s="143">
        <v>12209.585720000001</v>
      </c>
      <c r="L33" s="143">
        <v>12209.59</v>
      </c>
      <c r="M33" s="143">
        <v>11508.547144853132</v>
      </c>
      <c r="N33" s="143">
        <v>14368.167649999999</v>
      </c>
      <c r="O33" s="143">
        <v>14251.2431</v>
      </c>
      <c r="P33" s="150">
        <v>14251.2431</v>
      </c>
      <c r="Q33" s="143">
        <v>14251.2431</v>
      </c>
      <c r="R33" s="143">
        <v>14251.2431</v>
      </c>
      <c r="S33" s="143">
        <f t="shared" si="3"/>
        <v>2742.6959551468681</v>
      </c>
      <c r="T33" s="143">
        <f t="shared" si="4"/>
        <v>0</v>
      </c>
      <c r="U33" s="151" t="e">
        <f>R33-#REF!</f>
        <v>#REF!</v>
      </c>
      <c r="V33" s="151">
        <f t="shared" si="5"/>
        <v>2742.6959551468681</v>
      </c>
      <c r="W33" s="151">
        <f t="shared" si="6"/>
        <v>0</v>
      </c>
      <c r="X33" s="151" t="e">
        <f>O33-#REF!</f>
        <v>#REF!</v>
      </c>
      <c r="Y33" s="151">
        <f>'[65]2. подк.неподк.'!V21</f>
        <v>12141.517237820053</v>
      </c>
      <c r="Z33" s="143">
        <f>'[65]2. подк.неподк.'!W21</f>
        <v>12687.885513521955</v>
      </c>
      <c r="AA33" s="143">
        <f>'[65]2. подк.неподк.'!X21</f>
        <v>19441.68</v>
      </c>
      <c r="AB33" s="143">
        <f>Y33*$AA$11</f>
        <v>12588.953508813469</v>
      </c>
      <c r="AC33" s="144">
        <f t="shared" si="7"/>
        <v>12588.953508813469</v>
      </c>
      <c r="AD33" s="143">
        <f t="shared" si="8"/>
        <v>447.43627099341575</v>
      </c>
      <c r="AE33" s="143">
        <f t="shared" si="9"/>
        <v>3.6851759317169979</v>
      </c>
      <c r="AF33" s="143">
        <f t="shared" si="10"/>
        <v>-98.932004708485692</v>
      </c>
      <c r="AG33" s="143">
        <f t="shared" si="11"/>
        <v>-0.77973595051004452</v>
      </c>
      <c r="AH33" s="143">
        <f t="shared" si="12"/>
        <v>-6852.7264911865313</v>
      </c>
      <c r="AI33" s="143">
        <f t="shared" si="13"/>
        <v>-35.247604585542675</v>
      </c>
      <c r="AJ33" s="52">
        <f>Y33+Y51+Y55+Y57+Y58++Y66</f>
        <v>141725.96443951706</v>
      </c>
    </row>
    <row r="34" spans="1:36" s="161" customFormat="1" ht="33" customHeight="1" outlineLevel="2">
      <c r="A34" s="153"/>
      <c r="B34" s="154"/>
      <c r="C34" s="155"/>
      <c r="D34" s="156" t="s">
        <v>307</v>
      </c>
      <c r="E34" s="157"/>
      <c r="F34" s="158"/>
      <c r="G34" s="154">
        <f t="shared" ref="G34:I34" si="14">G31+G32+G33</f>
        <v>9879.1215059850892</v>
      </c>
      <c r="H34" s="154">
        <f t="shared" si="14"/>
        <v>14321.254959999998</v>
      </c>
      <c r="I34" s="154">
        <f t="shared" si="14"/>
        <v>13973.60806</v>
      </c>
      <c r="J34" s="154">
        <f>J31+J32+J33</f>
        <v>10840.096571476437</v>
      </c>
      <c r="K34" s="154">
        <f t="shared" ref="K34:AB34" si="15">K31+K32+K33</f>
        <v>12953.998090000001</v>
      </c>
      <c r="L34" s="154">
        <f t="shared" si="15"/>
        <v>12954</v>
      </c>
      <c r="M34" s="154">
        <f t="shared" si="15"/>
        <v>11926.250985630644</v>
      </c>
      <c r="N34" s="154">
        <f t="shared" si="15"/>
        <v>15026.8807</v>
      </c>
      <c r="O34" s="154">
        <f t="shared" si="15"/>
        <v>14904.684879999999</v>
      </c>
      <c r="P34" s="159">
        <f t="shared" si="15"/>
        <v>14904.684879999999</v>
      </c>
      <c r="Q34" s="154">
        <f t="shared" si="15"/>
        <v>14904.684879999999</v>
      </c>
      <c r="R34" s="154">
        <f t="shared" si="15"/>
        <v>14904.684879999999</v>
      </c>
      <c r="S34" s="144">
        <f t="shared" si="3"/>
        <v>2978.4338943693547</v>
      </c>
      <c r="T34" s="144">
        <f t="shared" si="4"/>
        <v>0</v>
      </c>
      <c r="U34" s="160" t="e">
        <f>R34-#REF!</f>
        <v>#REF!</v>
      </c>
      <c r="V34" s="160">
        <f t="shared" si="5"/>
        <v>2978.4338943693547</v>
      </c>
      <c r="W34" s="160">
        <f t="shared" si="6"/>
        <v>0</v>
      </c>
      <c r="X34" s="160" t="e">
        <f>O34-#REF!</f>
        <v>#REF!</v>
      </c>
      <c r="Y34" s="154">
        <f t="shared" si="15"/>
        <v>12878.728513541222</v>
      </c>
      <c r="Z34" s="154">
        <f t="shared" si="15"/>
        <v>13458.271296650577</v>
      </c>
      <c r="AA34" s="154">
        <f t="shared" si="15"/>
        <v>22357.03814139279</v>
      </c>
      <c r="AB34" s="154">
        <f t="shared" si="15"/>
        <v>13353.332317033419</v>
      </c>
      <c r="AC34" s="144">
        <f t="shared" si="7"/>
        <v>13353.332317033419</v>
      </c>
      <c r="AD34" s="154">
        <f t="shared" si="8"/>
        <v>474.60380349219668</v>
      </c>
      <c r="AE34" s="154">
        <f t="shared" si="9"/>
        <v>3.6851759317169979</v>
      </c>
      <c r="AF34" s="154">
        <f t="shared" si="10"/>
        <v>-104.93897961715811</v>
      </c>
      <c r="AG34" s="154">
        <f t="shared" si="11"/>
        <v>-0.77973595051004452</v>
      </c>
      <c r="AH34" s="154">
        <f t="shared" si="12"/>
        <v>-9003.705824359371</v>
      </c>
      <c r="AI34" s="154">
        <f t="shared" si="13"/>
        <v>-40.272355253040068</v>
      </c>
    </row>
    <row r="35" spans="1:36" ht="33" customHeight="1" outlineLevel="3">
      <c r="A35" s="139" t="s">
        <v>195</v>
      </c>
      <c r="B35" s="143" t="s">
        <v>308</v>
      </c>
      <c r="C35" s="147" t="s">
        <v>309</v>
      </c>
      <c r="D35" s="148" t="s">
        <v>310</v>
      </c>
      <c r="E35" s="149" t="s">
        <v>311</v>
      </c>
      <c r="F35" s="143" t="s">
        <v>121</v>
      </c>
      <c r="G35" s="143">
        <v>964.01821034217039</v>
      </c>
      <c r="H35" s="143">
        <v>1613.7833900000001</v>
      </c>
      <c r="I35" s="143">
        <v>1613.78</v>
      </c>
      <c r="J35" s="143">
        <v>1057.7914737094827</v>
      </c>
      <c r="K35" s="143">
        <v>1971.7940000000001</v>
      </c>
      <c r="L35" s="143">
        <v>1971.79</v>
      </c>
      <c r="M35" s="143">
        <v>1939.03</v>
      </c>
      <c r="N35" s="143">
        <v>2393.2037599999999</v>
      </c>
      <c r="O35" s="143">
        <v>1981.9687799999997</v>
      </c>
      <c r="P35" s="150">
        <v>1981.9687799999997</v>
      </c>
      <c r="Q35" s="143">
        <v>1981.9687799999997</v>
      </c>
      <c r="R35" s="143">
        <v>1981.9687799999997</v>
      </c>
      <c r="S35" s="143">
        <f>R35-M35</f>
        <v>42.938779999999724</v>
      </c>
      <c r="T35" s="143">
        <f>R35-O35</f>
        <v>0</v>
      </c>
      <c r="U35" s="151" t="e">
        <f>R35-#REF!</f>
        <v>#REF!</v>
      </c>
      <c r="V35" s="151">
        <f t="shared" si="5"/>
        <v>42.938779999999724</v>
      </c>
      <c r="W35" s="151">
        <f t="shared" si="6"/>
        <v>0</v>
      </c>
      <c r="X35" s="151" t="e">
        <f>O35-#REF!</f>
        <v>#REF!</v>
      </c>
      <c r="Y35" s="143">
        <f>'[65]2. подк.неподк.'!V23</f>
        <v>2045.6766499999999</v>
      </c>
      <c r="Z35" s="143">
        <f>'[65]2. подк.неподк.'!W23</f>
        <v>2137.7320992499999</v>
      </c>
      <c r="AA35" s="143">
        <f>'[65]2. подк.неподк.'!X23</f>
        <v>2858.98</v>
      </c>
      <c r="AB35" s="143">
        <f t="shared" ref="AB35:AB41" si="16">Y35*$AA$11</f>
        <v>2121.0634335465543</v>
      </c>
      <c r="AC35" s="144">
        <f t="shared" si="7"/>
        <v>2121.0634335465543</v>
      </c>
      <c r="AD35" s="143">
        <f t="shared" si="8"/>
        <v>75.386783546554398</v>
      </c>
      <c r="AE35" s="143">
        <f t="shared" si="9"/>
        <v>3.6851759317169979</v>
      </c>
      <c r="AF35" s="143">
        <f t="shared" si="10"/>
        <v>-16.66866570344564</v>
      </c>
      <c r="AG35" s="143">
        <f t="shared" si="11"/>
        <v>-0.77973595051005873</v>
      </c>
      <c r="AH35" s="143">
        <f t="shared" si="12"/>
        <v>-737.91656645344574</v>
      </c>
      <c r="AI35" s="143">
        <f t="shared" si="13"/>
        <v>-25.810483684861225</v>
      </c>
    </row>
    <row r="36" spans="1:36" ht="33" customHeight="1" outlineLevel="3">
      <c r="A36" s="139" t="s">
        <v>197</v>
      </c>
      <c r="B36" s="143" t="s">
        <v>312</v>
      </c>
      <c r="C36" s="147" t="s">
        <v>313</v>
      </c>
      <c r="D36" s="148" t="s">
        <v>314</v>
      </c>
      <c r="E36" s="149" t="s">
        <v>315</v>
      </c>
      <c r="F36" s="143" t="s">
        <v>121</v>
      </c>
      <c r="G36" s="143">
        <v>1106.1170118666332</v>
      </c>
      <c r="H36" s="143">
        <v>239.94213999999999</v>
      </c>
      <c r="I36" s="143">
        <v>239.94</v>
      </c>
      <c r="J36" s="143">
        <v>1213.712699122394</v>
      </c>
      <c r="K36" s="143">
        <v>228.50139999999999</v>
      </c>
      <c r="L36" s="143">
        <v>228.5</v>
      </c>
      <c r="M36" s="143">
        <v>216.28047451465258</v>
      </c>
      <c r="N36" s="143">
        <v>333.86768999999993</v>
      </c>
      <c r="O36" s="143">
        <v>259.60739000000001</v>
      </c>
      <c r="P36" s="150">
        <v>259.60739000000001</v>
      </c>
      <c r="Q36" s="143">
        <v>259.60739000000001</v>
      </c>
      <c r="R36" s="143">
        <v>259.60739000000001</v>
      </c>
      <c r="S36" s="143">
        <f t="shared" si="3"/>
        <v>43.326915485347428</v>
      </c>
      <c r="T36" s="143">
        <f t="shared" si="4"/>
        <v>0</v>
      </c>
      <c r="U36" s="151" t="e">
        <f>R36-#REF!</f>
        <v>#REF!</v>
      </c>
      <c r="V36" s="151">
        <f t="shared" si="5"/>
        <v>43.326915485347428</v>
      </c>
      <c r="W36" s="151">
        <f t="shared" si="6"/>
        <v>0</v>
      </c>
      <c r="X36" s="151" t="e">
        <f>O36-#REF!</f>
        <v>#REF!</v>
      </c>
      <c r="Y36" s="143">
        <f>'[65]2. подк.неподк.'!V24</f>
        <v>259.14756249999999</v>
      </c>
      <c r="Z36" s="143">
        <f>'[65]2. подк.неподк.'!W24</f>
        <v>270.80920281249996</v>
      </c>
      <c r="AA36" s="143">
        <f>'[65]2. подк.неподк.'!X24</f>
        <v>357.37099999999998</v>
      </c>
      <c r="AB36" s="143">
        <f t="shared" si="16"/>
        <v>268.69760610088127</v>
      </c>
      <c r="AC36" s="144">
        <f t="shared" si="7"/>
        <v>268.69760610088127</v>
      </c>
      <c r="AD36" s="143">
        <f t="shared" si="8"/>
        <v>9.5500436008812812</v>
      </c>
      <c r="AE36" s="143">
        <f t="shared" si="9"/>
        <v>3.6851759317169979</v>
      </c>
      <c r="AF36" s="143">
        <f t="shared" si="10"/>
        <v>-2.111596711618688</v>
      </c>
      <c r="AG36" s="143">
        <f t="shared" si="11"/>
        <v>-0.77973595051003031</v>
      </c>
      <c r="AH36" s="143">
        <f t="shared" si="12"/>
        <v>-88.673393899118707</v>
      </c>
      <c r="AI36" s="143">
        <f t="shared" si="13"/>
        <v>-24.812699939032186</v>
      </c>
    </row>
    <row r="37" spans="1:36" ht="33" customHeight="1" outlineLevel="3">
      <c r="A37" s="139" t="s">
        <v>200</v>
      </c>
      <c r="B37" s="143" t="s">
        <v>316</v>
      </c>
      <c r="C37" s="147" t="s">
        <v>317</v>
      </c>
      <c r="D37" s="148" t="s">
        <v>318</v>
      </c>
      <c r="E37" s="149" t="s">
        <v>319</v>
      </c>
      <c r="F37" s="143" t="s">
        <v>121</v>
      </c>
      <c r="G37" s="143">
        <v>1912.977820522789</v>
      </c>
      <c r="H37" s="143">
        <v>1363.45228</v>
      </c>
      <c r="I37" s="143">
        <v>1363.45</v>
      </c>
      <c r="J37" s="143">
        <v>2099.0595470454023</v>
      </c>
      <c r="K37" s="143">
        <v>1606.0888</v>
      </c>
      <c r="L37" s="143">
        <v>1606.0888</v>
      </c>
      <c r="M37" s="143">
        <v>1315.1554948213659</v>
      </c>
      <c r="N37" s="143">
        <v>1611.47596</v>
      </c>
      <c r="O37" s="143">
        <v>1429.86446</v>
      </c>
      <c r="P37" s="150">
        <v>1429.86446</v>
      </c>
      <c r="Q37" s="143">
        <v>1429.86446</v>
      </c>
      <c r="R37" s="143">
        <v>1429.86446</v>
      </c>
      <c r="S37" s="143">
        <f t="shared" si="3"/>
        <v>114.70896517863412</v>
      </c>
      <c r="T37" s="143">
        <f t="shared" si="4"/>
        <v>0</v>
      </c>
      <c r="U37" s="151" t="e">
        <f>R37-#REF!</f>
        <v>#REF!</v>
      </c>
      <c r="V37" s="151">
        <f t="shared" si="5"/>
        <v>114.70896517863412</v>
      </c>
      <c r="W37" s="151">
        <f t="shared" si="6"/>
        <v>0</v>
      </c>
      <c r="X37" s="151" t="e">
        <f>O37-#REF!</f>
        <v>#REF!</v>
      </c>
      <c r="Y37" s="143">
        <f>'[65]2. подк.неподк.'!V25</f>
        <v>1821.5054602999996</v>
      </c>
      <c r="Z37" s="143">
        <f>'[65]2. подк.неподк.'!W25</f>
        <v>1903.4732060134995</v>
      </c>
      <c r="AA37" s="143">
        <f>'[65]2. подк.неподк.'!X25</f>
        <v>1903.4732060134995</v>
      </c>
      <c r="AB37" s="143">
        <f t="shared" si="16"/>
        <v>1888.6311411178863</v>
      </c>
      <c r="AC37" s="144">
        <f t="shared" si="7"/>
        <v>1888.6311411178863</v>
      </c>
      <c r="AD37" s="143">
        <f t="shared" si="8"/>
        <v>67.125680817886632</v>
      </c>
      <c r="AE37" s="143">
        <f t="shared" si="9"/>
        <v>3.6851759317169979</v>
      </c>
      <c r="AF37" s="143">
        <f t="shared" si="10"/>
        <v>-14.842064895613248</v>
      </c>
      <c r="AG37" s="143">
        <f t="shared" si="11"/>
        <v>-0.77973595051004452</v>
      </c>
      <c r="AH37" s="143">
        <f t="shared" si="12"/>
        <v>-14.842064895613248</v>
      </c>
      <c r="AI37" s="143">
        <f t="shared" si="13"/>
        <v>-0.77973595051004452</v>
      </c>
    </row>
    <row r="38" spans="1:36" ht="33" customHeight="1" outlineLevel="3">
      <c r="A38" s="139" t="s">
        <v>203</v>
      </c>
      <c r="B38" s="143" t="s">
        <v>320</v>
      </c>
      <c r="C38" s="147" t="s">
        <v>321</v>
      </c>
      <c r="D38" s="148" t="s">
        <v>322</v>
      </c>
      <c r="E38" s="149" t="s">
        <v>323</v>
      </c>
      <c r="F38" s="143" t="s">
        <v>121</v>
      </c>
      <c r="G38" s="143">
        <v>325.64480349357927</v>
      </c>
      <c r="H38" s="143">
        <v>604.36022000000003</v>
      </c>
      <c r="I38" s="143">
        <v>604.36</v>
      </c>
      <c r="J38" s="143">
        <v>357.32135855716183</v>
      </c>
      <c r="K38" s="143">
        <v>741.08637999999996</v>
      </c>
      <c r="L38" s="143">
        <v>741.09</v>
      </c>
      <c r="M38" s="143">
        <v>664.82934533809566</v>
      </c>
      <c r="N38" s="143">
        <v>720.21055999999999</v>
      </c>
      <c r="O38" s="143">
        <v>637.74403999999993</v>
      </c>
      <c r="P38" s="150">
        <v>637.74403999999993</v>
      </c>
      <c r="Q38" s="143">
        <v>637.74403999999993</v>
      </c>
      <c r="R38" s="143">
        <v>637.74403999999993</v>
      </c>
      <c r="S38" s="143">
        <f t="shared" si="3"/>
        <v>-27.085305338095736</v>
      </c>
      <c r="T38" s="143">
        <f t="shared" si="4"/>
        <v>0</v>
      </c>
      <c r="U38" s="151" t="e">
        <f>R38-#REF!</f>
        <v>#REF!</v>
      </c>
      <c r="V38" s="151">
        <f t="shared" si="5"/>
        <v>-27.085305338095736</v>
      </c>
      <c r="W38" s="151">
        <f t="shared" si="6"/>
        <v>0</v>
      </c>
      <c r="X38" s="151" t="e">
        <f>O38-#REF!</f>
        <v>#REF!</v>
      </c>
      <c r="Y38" s="143">
        <f>'[65]2. подк.неподк.'!V26</f>
        <v>701.39495933169087</v>
      </c>
      <c r="Z38" s="143">
        <f>'[65]2. подк.неподк.'!W26</f>
        <v>732.95773250161687</v>
      </c>
      <c r="AA38" s="143">
        <f>'[65]2. подк.неподк.'!X26</f>
        <v>796.94</v>
      </c>
      <c r="AB38" s="143">
        <f t="shared" si="16"/>
        <v>727.24259755925857</v>
      </c>
      <c r="AC38" s="144">
        <f t="shared" si="7"/>
        <v>727.24259755925857</v>
      </c>
      <c r="AD38" s="143">
        <f t="shared" si="8"/>
        <v>25.8476382275677</v>
      </c>
      <c r="AE38" s="143">
        <f t="shared" si="9"/>
        <v>3.6851759317169979</v>
      </c>
      <c r="AF38" s="143">
        <f t="shared" si="10"/>
        <v>-5.7151349423583042</v>
      </c>
      <c r="AG38" s="143">
        <f t="shared" si="11"/>
        <v>-0.77973595051004452</v>
      </c>
      <c r="AH38" s="143">
        <f t="shared" si="12"/>
        <v>-69.697402440741484</v>
      </c>
      <c r="AI38" s="143">
        <f t="shared" si="13"/>
        <v>-8.745627329628519</v>
      </c>
    </row>
    <row r="39" spans="1:36" ht="33" customHeight="1" outlineLevel="3">
      <c r="A39" s="139" t="s">
        <v>208</v>
      </c>
      <c r="B39" s="143" t="s">
        <v>324</v>
      </c>
      <c r="C39" s="147" t="s">
        <v>325</v>
      </c>
      <c r="D39" s="148" t="s">
        <v>326</v>
      </c>
      <c r="E39" s="149" t="s">
        <v>327</v>
      </c>
      <c r="F39" s="143" t="s">
        <v>121</v>
      </c>
      <c r="G39" s="143">
        <v>77.97100083648769</v>
      </c>
      <c r="H39" s="143">
        <v>597.54999999999995</v>
      </c>
      <c r="I39" s="143">
        <v>0</v>
      </c>
      <c r="J39" s="143">
        <v>85.56</v>
      </c>
      <c r="K39" s="143">
        <v>624.18822</v>
      </c>
      <c r="L39" s="143">
        <v>624.19000000000005</v>
      </c>
      <c r="M39" s="143">
        <v>0</v>
      </c>
      <c r="N39" s="143">
        <v>764.88661000000002</v>
      </c>
      <c r="O39" s="143">
        <v>727.73423000000003</v>
      </c>
      <c r="P39" s="150">
        <v>727.73423000000003</v>
      </c>
      <c r="Q39" s="143">
        <v>727.73423000000003</v>
      </c>
      <c r="R39" s="143">
        <v>727.73423000000003</v>
      </c>
      <c r="S39" s="143">
        <f t="shared" si="3"/>
        <v>727.73423000000003</v>
      </c>
      <c r="T39" s="143">
        <f t="shared" si="4"/>
        <v>0</v>
      </c>
      <c r="U39" s="151" t="e">
        <f>R39-#REF!</f>
        <v>#REF!</v>
      </c>
      <c r="V39" s="151">
        <f t="shared" si="5"/>
        <v>727.73423000000003</v>
      </c>
      <c r="W39" s="151">
        <f t="shared" si="6"/>
        <v>0</v>
      </c>
      <c r="X39" s="151" t="e">
        <f>O39-#REF!</f>
        <v>#REF!</v>
      </c>
      <c r="Y39" s="143">
        <f>'[65]2. подк.неподк.'!V27</f>
        <v>0</v>
      </c>
      <c r="Z39" s="143">
        <f>'[65]2. подк.неподк.'!W27</f>
        <v>0</v>
      </c>
      <c r="AA39" s="143">
        <f>'[65]2. подк.неподк.'!X27</f>
        <v>1169.28</v>
      </c>
      <c r="AB39" s="143">
        <f t="shared" si="16"/>
        <v>0</v>
      </c>
      <c r="AC39" s="144">
        <f t="shared" si="7"/>
        <v>0</v>
      </c>
      <c r="AD39" s="143">
        <f t="shared" si="8"/>
        <v>0</v>
      </c>
      <c r="AE39" s="143"/>
      <c r="AF39" s="143">
        <f t="shared" si="10"/>
        <v>0</v>
      </c>
      <c r="AG39" s="143"/>
      <c r="AH39" s="143">
        <f t="shared" si="12"/>
        <v>-1169.28</v>
      </c>
      <c r="AI39" s="143">
        <f t="shared" si="13"/>
        <v>-100</v>
      </c>
    </row>
    <row r="40" spans="1:36" ht="33" customHeight="1" outlineLevel="3">
      <c r="A40" s="139" t="s">
        <v>328</v>
      </c>
      <c r="B40" s="143" t="s">
        <v>329</v>
      </c>
      <c r="C40" s="147" t="s">
        <v>330</v>
      </c>
      <c r="D40" s="148" t="s">
        <v>331</v>
      </c>
      <c r="E40" s="149" t="s">
        <v>332</v>
      </c>
      <c r="F40" s="143" t="s">
        <v>121</v>
      </c>
      <c r="G40" s="143">
        <v>54.796000587861897</v>
      </c>
      <c r="H40" s="143">
        <v>40.915550000000003</v>
      </c>
      <c r="I40" s="143">
        <v>40.92</v>
      </c>
      <c r="J40" s="143">
        <v>60.126190141830115</v>
      </c>
      <c r="K40" s="143">
        <v>40.9666</v>
      </c>
      <c r="L40" s="143">
        <v>40.97</v>
      </c>
      <c r="M40" s="143">
        <v>43.174625614235943</v>
      </c>
      <c r="N40" s="143">
        <v>70.158109999999994</v>
      </c>
      <c r="O40" s="143">
        <v>61.447839999999999</v>
      </c>
      <c r="P40" s="150">
        <v>61.447839999999999</v>
      </c>
      <c r="Q40" s="143">
        <v>61.447839999999999</v>
      </c>
      <c r="R40" s="143">
        <v>61.447839999999999</v>
      </c>
      <c r="S40" s="143">
        <f t="shared" si="3"/>
        <v>18.273214385764057</v>
      </c>
      <c r="T40" s="143">
        <f t="shared" si="4"/>
        <v>0</v>
      </c>
      <c r="U40" s="151" t="e">
        <f>R40-#REF!</f>
        <v>#REF!</v>
      </c>
      <c r="V40" s="151">
        <f t="shared" si="5"/>
        <v>18.273214385764057</v>
      </c>
      <c r="W40" s="151">
        <f t="shared" si="6"/>
        <v>0</v>
      </c>
      <c r="X40" s="151" t="e">
        <f>O40-#REF!</f>
        <v>#REF!</v>
      </c>
      <c r="Y40" s="143">
        <f>'[65]2. подк.неподк.'!V28</f>
        <v>46.465101249999996</v>
      </c>
      <c r="Z40" s="143">
        <f>'[65]2. подк.неподк.'!W28</f>
        <v>48.556030806249993</v>
      </c>
      <c r="AA40" s="143">
        <f>'[65]2. подк.неподк.'!X28</f>
        <v>95.44</v>
      </c>
      <c r="AB40" s="143">
        <f t="shared" si="16"/>
        <v>48.177421977912928</v>
      </c>
      <c r="AC40" s="144">
        <f t="shared" si="7"/>
        <v>48.177421977912928</v>
      </c>
      <c r="AD40" s="143">
        <f t="shared" si="8"/>
        <v>1.7123207279129318</v>
      </c>
      <c r="AE40" s="143">
        <f t="shared" si="9"/>
        <v>3.6851759317169979</v>
      </c>
      <c r="AF40" s="143">
        <f t="shared" si="10"/>
        <v>-0.37860882833706455</v>
      </c>
      <c r="AG40" s="143">
        <f t="shared" si="11"/>
        <v>-0.77973595051005873</v>
      </c>
      <c r="AH40" s="143">
        <f t="shared" si="12"/>
        <v>-47.262578022087069</v>
      </c>
      <c r="AI40" s="143">
        <f t="shared" si="13"/>
        <v>-49.520722990451674</v>
      </c>
    </row>
    <row r="41" spans="1:36" ht="33" customHeight="1" outlineLevel="3">
      <c r="A41" s="139" t="s">
        <v>333</v>
      </c>
      <c r="B41" s="143" t="s">
        <v>334</v>
      </c>
      <c r="C41" s="147" t="s">
        <v>335</v>
      </c>
      <c r="D41" s="162" t="s">
        <v>336</v>
      </c>
      <c r="E41" s="163" t="s">
        <v>337</v>
      </c>
      <c r="F41" s="143" t="s">
        <v>121</v>
      </c>
      <c r="G41" s="143">
        <v>778.59814999999992</v>
      </c>
      <c r="H41" s="143">
        <v>913.96294</v>
      </c>
      <c r="I41" s="143">
        <v>913.96294</v>
      </c>
      <c r="J41" s="143">
        <v>854.33498478233935</v>
      </c>
      <c r="K41" s="143">
        <v>611.12572</v>
      </c>
      <c r="L41" s="143">
        <v>611.13</v>
      </c>
      <c r="M41" s="143">
        <v>799.36314205110443</v>
      </c>
      <c r="N41" s="143">
        <v>375.67715000000004</v>
      </c>
      <c r="O41" s="143">
        <v>362.58231999999998</v>
      </c>
      <c r="P41" s="150">
        <v>362.58231999999998</v>
      </c>
      <c r="Q41" s="143">
        <v>362.58231999999998</v>
      </c>
      <c r="R41" s="143">
        <v>362.58231999999998</v>
      </c>
      <c r="S41" s="143">
        <f t="shared" si="3"/>
        <v>-436.78082205110445</v>
      </c>
      <c r="T41" s="143">
        <f t="shared" si="4"/>
        <v>0</v>
      </c>
      <c r="U41" s="151" t="e">
        <f>R41-#REF!</f>
        <v>#REF!</v>
      </c>
      <c r="V41" s="151">
        <f t="shared" si="5"/>
        <v>-436.78082205110445</v>
      </c>
      <c r="W41" s="151">
        <f t="shared" si="6"/>
        <v>0</v>
      </c>
      <c r="X41" s="151" t="e">
        <f>O41-#REF!</f>
        <v>#REF!</v>
      </c>
      <c r="Y41" s="143">
        <f>'[65]2. подк.неподк.'!V29</f>
        <v>0</v>
      </c>
      <c r="Z41" s="143">
        <f>'[65]2. подк.неподк.'!W29</f>
        <v>724.28721275624991</v>
      </c>
      <c r="AA41" s="143">
        <v>0</v>
      </c>
      <c r="AB41" s="143">
        <f t="shared" si="16"/>
        <v>0</v>
      </c>
      <c r="AC41" s="144">
        <f t="shared" si="7"/>
        <v>0</v>
      </c>
      <c r="AD41" s="143">
        <f t="shared" si="8"/>
        <v>0</v>
      </c>
      <c r="AE41" s="143"/>
      <c r="AF41" s="143">
        <f t="shared" si="10"/>
        <v>-724.28721275624991</v>
      </c>
      <c r="AG41" s="143">
        <f t="shared" si="11"/>
        <v>-100</v>
      </c>
      <c r="AH41" s="143">
        <f t="shared" si="12"/>
        <v>0</v>
      </c>
      <c r="AI41" s="143"/>
    </row>
    <row r="42" spans="1:36" s="161" customFormat="1" ht="33" customHeight="1" outlineLevel="2">
      <c r="A42" s="153"/>
      <c r="B42" s="154"/>
      <c r="C42" s="155"/>
      <c r="D42" s="156" t="s">
        <v>338</v>
      </c>
      <c r="E42" s="157"/>
      <c r="F42" s="158"/>
      <c r="G42" s="154">
        <f t="shared" ref="G42:I42" si="17">G35+G36+G37+G38+G39+G40+G41</f>
        <v>5220.1229976495206</v>
      </c>
      <c r="H42" s="154">
        <f t="shared" si="17"/>
        <v>5373.9665199999999</v>
      </c>
      <c r="I42" s="154">
        <f t="shared" si="17"/>
        <v>4776.4129400000002</v>
      </c>
      <c r="J42" s="154">
        <f>J35+J36+J37+J38+J39+J40+J41</f>
        <v>5727.9062533586102</v>
      </c>
      <c r="K42" s="154">
        <f t="shared" ref="K42:AB42" si="18">K35+K36+K37+K38+K39+K40+K41</f>
        <v>5823.7511199999999</v>
      </c>
      <c r="L42" s="154">
        <f t="shared" si="18"/>
        <v>5823.7587999999996</v>
      </c>
      <c r="M42" s="154">
        <f t="shared" si="18"/>
        <v>4977.8330823394544</v>
      </c>
      <c r="N42" s="154">
        <f t="shared" si="18"/>
        <v>6269.4798400000009</v>
      </c>
      <c r="O42" s="154">
        <f t="shared" si="18"/>
        <v>5460.949059999999</v>
      </c>
      <c r="P42" s="159">
        <f t="shared" si="18"/>
        <v>5460.949059999999</v>
      </c>
      <c r="Q42" s="154">
        <f t="shared" si="18"/>
        <v>5460.949059999999</v>
      </c>
      <c r="R42" s="154">
        <f t="shared" si="18"/>
        <v>5460.949059999999</v>
      </c>
      <c r="S42" s="144">
        <f t="shared" si="3"/>
        <v>483.11597766054456</v>
      </c>
      <c r="T42" s="144">
        <f t="shared" si="4"/>
        <v>0</v>
      </c>
      <c r="U42" s="160" t="e">
        <f>R42-#REF!</f>
        <v>#REF!</v>
      </c>
      <c r="V42" s="160">
        <f t="shared" si="5"/>
        <v>483.11597766054456</v>
      </c>
      <c r="W42" s="160">
        <f t="shared" si="6"/>
        <v>0</v>
      </c>
      <c r="X42" s="160" t="e">
        <f>O42-#REF!</f>
        <v>#REF!</v>
      </c>
      <c r="Y42" s="154">
        <f t="shared" si="18"/>
        <v>4874.1897333816905</v>
      </c>
      <c r="Z42" s="154">
        <f t="shared" si="18"/>
        <v>5817.8154841401165</v>
      </c>
      <c r="AA42" s="154">
        <f t="shared" si="18"/>
        <v>7181.4842060134997</v>
      </c>
      <c r="AB42" s="154">
        <f t="shared" si="18"/>
        <v>5053.8122003024937</v>
      </c>
      <c r="AC42" s="144">
        <f t="shared" si="7"/>
        <v>5053.8122003024937</v>
      </c>
      <c r="AD42" s="154">
        <f t="shared" si="8"/>
        <v>179.62246692080316</v>
      </c>
      <c r="AE42" s="154">
        <f t="shared" si="9"/>
        <v>3.6851759317169979</v>
      </c>
      <c r="AF42" s="154">
        <f t="shared" si="10"/>
        <v>-764.0032838376228</v>
      </c>
      <c r="AG42" s="154">
        <f t="shared" si="11"/>
        <v>-13.132133288179446</v>
      </c>
      <c r="AH42" s="154">
        <f t="shared" si="12"/>
        <v>-2127.672005711006</v>
      </c>
      <c r="AI42" s="154">
        <f t="shared" si="13"/>
        <v>-29.62719048980675</v>
      </c>
    </row>
    <row r="43" spans="1:36" ht="33" customHeight="1" outlineLevel="3">
      <c r="A43" s="139" t="s">
        <v>339</v>
      </c>
      <c r="B43" s="143" t="s">
        <v>340</v>
      </c>
      <c r="C43" s="147" t="s">
        <v>341</v>
      </c>
      <c r="D43" s="148" t="s">
        <v>342</v>
      </c>
      <c r="E43" s="149" t="s">
        <v>343</v>
      </c>
      <c r="F43" s="143" t="s">
        <v>121</v>
      </c>
      <c r="G43" s="143">
        <v>344.02000369071186</v>
      </c>
      <c r="H43" s="143">
        <v>578.1635</v>
      </c>
      <c r="I43" s="143">
        <v>578.16</v>
      </c>
      <c r="J43" s="143">
        <v>377.48397570246721</v>
      </c>
      <c r="K43" s="143">
        <v>677.82369999999992</v>
      </c>
      <c r="L43" s="143">
        <v>677.82</v>
      </c>
      <c r="M43" s="143">
        <v>591.7069573662651</v>
      </c>
      <c r="N43" s="143">
        <v>673.96092999999996</v>
      </c>
      <c r="O43" s="143">
        <v>619.20961</v>
      </c>
      <c r="P43" s="150">
        <v>619.20961</v>
      </c>
      <c r="Q43" s="143">
        <v>619.20961</v>
      </c>
      <c r="R43" s="143">
        <v>619.20961</v>
      </c>
      <c r="S43" s="143">
        <f t="shared" si="3"/>
        <v>27.502652633734897</v>
      </c>
      <c r="T43" s="143">
        <f t="shared" si="4"/>
        <v>0</v>
      </c>
      <c r="U43" s="151" t="e">
        <f>R43-#REF!</f>
        <v>#REF!</v>
      </c>
      <c r="V43" s="151">
        <f t="shared" si="5"/>
        <v>27.502652633734897</v>
      </c>
      <c r="W43" s="151">
        <f t="shared" si="6"/>
        <v>0</v>
      </c>
      <c r="X43" s="151" t="e">
        <f>O43-#REF!</f>
        <v>#REF!</v>
      </c>
      <c r="Y43" s="143">
        <f>'[65]2. подк.неподк.'!V31</f>
        <v>624.25084002140966</v>
      </c>
      <c r="Z43" s="143">
        <f>'[65]2. подк.неподк.'!W31</f>
        <v>652.34212782237307</v>
      </c>
      <c r="AA43" s="143">
        <f>'[65]2. подк.неподк.'!X31</f>
        <v>752.11</v>
      </c>
      <c r="AB43" s="143">
        <f>Y43*$AA$11</f>
        <v>647.25558173141985</v>
      </c>
      <c r="AC43" s="144">
        <f t="shared" si="7"/>
        <v>647.25558173141985</v>
      </c>
      <c r="AD43" s="143">
        <f t="shared" si="8"/>
        <v>23.004741710010194</v>
      </c>
      <c r="AE43" s="143">
        <f t="shared" si="9"/>
        <v>3.6851759317169979</v>
      </c>
      <c r="AF43" s="143">
        <f t="shared" si="10"/>
        <v>-5.0865460909532203</v>
      </c>
      <c r="AG43" s="143">
        <f t="shared" si="11"/>
        <v>-0.77973595051004452</v>
      </c>
      <c r="AH43" s="143">
        <f t="shared" si="12"/>
        <v>-104.85441826858016</v>
      </c>
      <c r="AI43" s="143">
        <f t="shared" si="13"/>
        <v>-13.941367388889944</v>
      </c>
    </row>
    <row r="44" spans="1:36" ht="33" customHeight="1" outlineLevel="3">
      <c r="A44" s="139" t="s">
        <v>344</v>
      </c>
      <c r="B44" s="143" t="s">
        <v>345</v>
      </c>
      <c r="C44" s="147" t="s">
        <v>346</v>
      </c>
      <c r="D44" s="148" t="s">
        <v>347</v>
      </c>
      <c r="E44" s="149" t="s">
        <v>348</v>
      </c>
      <c r="F44" s="143" t="s">
        <v>121</v>
      </c>
      <c r="G44" s="143">
        <v>768.26670824211101</v>
      </c>
      <c r="H44" s="143">
        <v>1638.60491</v>
      </c>
      <c r="I44" s="143">
        <v>1638.6</v>
      </c>
      <c r="J44" s="143">
        <v>842.99857076860269</v>
      </c>
      <c r="K44" s="143">
        <v>2054.4054900000001</v>
      </c>
      <c r="L44" s="143">
        <v>2054.41</v>
      </c>
      <c r="M44" s="143">
        <v>1697.8101135423638</v>
      </c>
      <c r="N44" s="143">
        <v>2230.4424000000004</v>
      </c>
      <c r="O44" s="143">
        <v>2103.3283600000004</v>
      </c>
      <c r="P44" s="150">
        <v>2103.3283600000004</v>
      </c>
      <c r="Q44" s="143">
        <v>2103.3283600000004</v>
      </c>
      <c r="R44" s="143">
        <v>2103.3283600000004</v>
      </c>
      <c r="S44" s="143">
        <f t="shared" si="3"/>
        <v>405.51824645763668</v>
      </c>
      <c r="T44" s="143">
        <f t="shared" si="4"/>
        <v>0</v>
      </c>
      <c r="U44" s="151" t="e">
        <f>R44-#REF!</f>
        <v>#REF!</v>
      </c>
      <c r="V44" s="151">
        <f t="shared" si="5"/>
        <v>405.51824645763668</v>
      </c>
      <c r="W44" s="151">
        <f t="shared" si="6"/>
        <v>0</v>
      </c>
      <c r="X44" s="151" t="e">
        <f>O44-#REF!</f>
        <v>#REF!</v>
      </c>
      <c r="Y44" s="143">
        <f>'[65]2. подк.неподк.'!V32</f>
        <v>1791.1896697871937</v>
      </c>
      <c r="Z44" s="143">
        <f>'[65]2. подк.неподк.'!W32</f>
        <v>1871.7932049276174</v>
      </c>
      <c r="AA44" s="143">
        <f>'[65]2. подк.неподк.'!X32</f>
        <v>2102.98</v>
      </c>
      <c r="AB44" s="143">
        <f>Y44*$AA$11</f>
        <v>1857.1981603895924</v>
      </c>
      <c r="AC44" s="144">
        <f t="shared" si="7"/>
        <v>1857.1981603895924</v>
      </c>
      <c r="AD44" s="143">
        <f t="shared" si="8"/>
        <v>66.008490602398751</v>
      </c>
      <c r="AE44" s="143">
        <f t="shared" si="9"/>
        <v>3.6851759317169979</v>
      </c>
      <c r="AF44" s="143">
        <f t="shared" si="10"/>
        <v>-14.595044538024922</v>
      </c>
      <c r="AG44" s="143">
        <f t="shared" si="11"/>
        <v>-0.77973595051005873</v>
      </c>
      <c r="AH44" s="143">
        <f t="shared" si="12"/>
        <v>-245.78183961040759</v>
      </c>
      <c r="AI44" s="143">
        <f t="shared" si="13"/>
        <v>-11.687312271652971</v>
      </c>
    </row>
    <row r="45" spans="1:36" ht="33" customHeight="1" outlineLevel="3">
      <c r="A45" s="139" t="s">
        <v>349</v>
      </c>
      <c r="B45" s="143" t="s">
        <v>350</v>
      </c>
      <c r="C45" s="147" t="s">
        <v>351</v>
      </c>
      <c r="D45" s="148" t="s">
        <v>352</v>
      </c>
      <c r="E45" s="149" t="s">
        <v>353</v>
      </c>
      <c r="F45" s="143" t="s">
        <v>121</v>
      </c>
      <c r="G45" s="143">
        <v>2843.2635305030703</v>
      </c>
      <c r="H45" s="143">
        <v>5106.8639400000002</v>
      </c>
      <c r="I45" s="143">
        <v>5106.8599999999997</v>
      </c>
      <c r="J45" s="143">
        <v>3119.83724768825</v>
      </c>
      <c r="K45" s="143">
        <v>4459.9827400000004</v>
      </c>
      <c r="L45" s="143">
        <v>4459.9799999999996</v>
      </c>
      <c r="M45" s="143">
        <v>3294.2456328120661</v>
      </c>
      <c r="N45" s="143">
        <v>5264.9426800000001</v>
      </c>
      <c r="O45" s="143">
        <v>4959.6820800000005</v>
      </c>
      <c r="P45" s="150">
        <v>4959.6820800000005</v>
      </c>
      <c r="Q45" s="143">
        <v>4959.6820800000005</v>
      </c>
      <c r="R45" s="143">
        <v>4959.6820800000005</v>
      </c>
      <c r="S45" s="143">
        <f t="shared" si="3"/>
        <v>1665.4364471879344</v>
      </c>
      <c r="T45" s="143">
        <f t="shared" si="4"/>
        <v>0</v>
      </c>
      <c r="U45" s="151" t="e">
        <f>R45-#REF!</f>
        <v>#REF!</v>
      </c>
      <c r="V45" s="151">
        <f t="shared" si="5"/>
        <v>1665.4364471879344</v>
      </c>
      <c r="W45" s="151">
        <f t="shared" si="6"/>
        <v>0</v>
      </c>
      <c r="X45" s="151" t="e">
        <f>O45-#REF!</f>
        <v>#REF!</v>
      </c>
      <c r="Y45" s="143">
        <f>'[65]2. подк.неподк.'!V33</f>
        <v>3475.4291426167297</v>
      </c>
      <c r="Z45" s="143">
        <f>'[65]2. подк.неподк.'!W33</f>
        <v>3631.8234540344824</v>
      </c>
      <c r="AA45" s="143">
        <f>'[65]2. подк.неподк.'!X33</f>
        <v>7141.74</v>
      </c>
      <c r="AB45" s="143">
        <f>Y45*$AA$11</f>
        <v>3603.5048209043198</v>
      </c>
      <c r="AC45" s="144">
        <f t="shared" si="7"/>
        <v>3603.5048209043198</v>
      </c>
      <c r="AD45" s="143">
        <f t="shared" si="8"/>
        <v>128.07567828759011</v>
      </c>
      <c r="AE45" s="143">
        <f t="shared" si="9"/>
        <v>3.6851759317169979</v>
      </c>
      <c r="AF45" s="143">
        <f t="shared" si="10"/>
        <v>-28.318633130162652</v>
      </c>
      <c r="AG45" s="143">
        <f t="shared" si="11"/>
        <v>-0.77973595051005873</v>
      </c>
      <c r="AH45" s="143">
        <f t="shared" si="12"/>
        <v>-3538.23517909568</v>
      </c>
      <c r="AI45" s="143">
        <f t="shared" si="13"/>
        <v>-49.543041038958016</v>
      </c>
    </row>
    <row r="46" spans="1:36" s="161" customFormat="1" ht="33" customHeight="1" outlineLevel="2">
      <c r="A46" s="153"/>
      <c r="B46" s="154"/>
      <c r="C46" s="155"/>
      <c r="D46" s="156" t="s">
        <v>354</v>
      </c>
      <c r="E46" s="157"/>
      <c r="F46" s="158"/>
      <c r="G46" s="154">
        <f t="shared" ref="G46:I46" si="19">G43+G44+G45</f>
        <v>3955.5502424358933</v>
      </c>
      <c r="H46" s="154">
        <f t="shared" si="19"/>
        <v>7323.6323499999999</v>
      </c>
      <c r="I46" s="154">
        <f t="shared" si="19"/>
        <v>7323.619999999999</v>
      </c>
      <c r="J46" s="154">
        <f>J43+J44+J45</f>
        <v>4340.3197941593198</v>
      </c>
      <c r="K46" s="154">
        <f t="shared" ref="K46:AB46" si="20">K43+K44+K45</f>
        <v>7192.2119300000004</v>
      </c>
      <c r="L46" s="154">
        <f t="shared" si="20"/>
        <v>7192.2099999999991</v>
      </c>
      <c r="M46" s="154">
        <f t="shared" si="20"/>
        <v>5583.7627037206948</v>
      </c>
      <c r="N46" s="154">
        <f t="shared" si="20"/>
        <v>8169.3460100000002</v>
      </c>
      <c r="O46" s="154">
        <f t="shared" si="20"/>
        <v>7682.2200500000008</v>
      </c>
      <c r="P46" s="159">
        <f t="shared" si="20"/>
        <v>7682.2200500000008</v>
      </c>
      <c r="Q46" s="154">
        <f t="shared" si="20"/>
        <v>7682.2200500000008</v>
      </c>
      <c r="R46" s="154">
        <f t="shared" si="20"/>
        <v>7682.2200500000008</v>
      </c>
      <c r="S46" s="144">
        <f t="shared" si="3"/>
        <v>2098.457346279306</v>
      </c>
      <c r="T46" s="144">
        <f t="shared" si="4"/>
        <v>0</v>
      </c>
      <c r="U46" s="160" t="e">
        <f>R46-#REF!</f>
        <v>#REF!</v>
      </c>
      <c r="V46" s="160">
        <f t="shared" si="5"/>
        <v>2098.457346279306</v>
      </c>
      <c r="W46" s="160">
        <f t="shared" si="6"/>
        <v>0</v>
      </c>
      <c r="X46" s="160" t="e">
        <f>O46-#REF!</f>
        <v>#REF!</v>
      </c>
      <c r="Y46" s="154">
        <f t="shared" si="20"/>
        <v>5890.8696524253337</v>
      </c>
      <c r="Z46" s="154">
        <f t="shared" si="20"/>
        <v>6155.958786784473</v>
      </c>
      <c r="AA46" s="154">
        <f t="shared" si="20"/>
        <v>9996.83</v>
      </c>
      <c r="AB46" s="154">
        <f t="shared" si="20"/>
        <v>6107.9585630253323</v>
      </c>
      <c r="AC46" s="144">
        <f t="shared" si="7"/>
        <v>6107.9585630253323</v>
      </c>
      <c r="AD46" s="154">
        <f t="shared" si="8"/>
        <v>217.0889105999986</v>
      </c>
      <c r="AE46" s="154">
        <f t="shared" si="9"/>
        <v>3.6851759317169837</v>
      </c>
      <c r="AF46" s="154">
        <f t="shared" si="10"/>
        <v>-48.000223759140681</v>
      </c>
      <c r="AG46" s="154">
        <f t="shared" si="11"/>
        <v>-0.77973595051005873</v>
      </c>
      <c r="AH46" s="154">
        <f t="shared" si="12"/>
        <v>-3888.8714369746676</v>
      </c>
      <c r="AI46" s="154">
        <f t="shared" si="13"/>
        <v>-38.9010460013291</v>
      </c>
    </row>
    <row r="47" spans="1:36" ht="33" customHeight="1" outlineLevel="3">
      <c r="A47" s="139" t="s">
        <v>355</v>
      </c>
      <c r="B47" s="143" t="s">
        <v>356</v>
      </c>
      <c r="C47" s="147" t="s">
        <v>357</v>
      </c>
      <c r="D47" s="148" t="s">
        <v>358</v>
      </c>
      <c r="E47" s="149" t="s">
        <v>359</v>
      </c>
      <c r="F47" s="143" t="s">
        <v>121</v>
      </c>
      <c r="G47" s="143">
        <v>216.49570232260697</v>
      </c>
      <c r="H47" s="143">
        <v>4.6591899999999997</v>
      </c>
      <c r="I47" s="143">
        <v>4.66</v>
      </c>
      <c r="J47" s="143">
        <v>237.5549606374299</v>
      </c>
      <c r="K47" s="143">
        <v>22.356490000000001</v>
      </c>
      <c r="L47" s="143">
        <v>22.36</v>
      </c>
      <c r="M47" s="143">
        <v>25.630903210188759</v>
      </c>
      <c r="N47" s="143">
        <v>7.2084700000000002</v>
      </c>
      <c r="O47" s="143">
        <v>6.0077499999999997</v>
      </c>
      <c r="P47" s="150">
        <v>6.0077499999999997</v>
      </c>
      <c r="Q47" s="143">
        <v>6.0077499999999997</v>
      </c>
      <c r="R47" s="143">
        <v>6.0077499999999997</v>
      </c>
      <c r="S47" s="143">
        <f t="shared" si="3"/>
        <v>-19.623153210188761</v>
      </c>
      <c r="T47" s="143">
        <f t="shared" si="4"/>
        <v>0</v>
      </c>
      <c r="U47" s="151" t="e">
        <f>R47-#REF!</f>
        <v>#REF!</v>
      </c>
      <c r="V47" s="151">
        <f t="shared" si="5"/>
        <v>-19.623153210188761</v>
      </c>
      <c r="W47" s="151">
        <f t="shared" si="6"/>
        <v>0</v>
      </c>
      <c r="X47" s="151" t="e">
        <f>O47-#REF!</f>
        <v>#REF!</v>
      </c>
      <c r="Y47" s="143">
        <f>'[65]2. подк.неподк.'!V35</f>
        <v>25.359034999999999</v>
      </c>
      <c r="Z47" s="143">
        <f>'[65]2. подк.неподк.'!W35</f>
        <v>26.500191574999995</v>
      </c>
      <c r="AA47" s="143">
        <f>'[65]2. подк.неподк.'!X35</f>
        <v>26.500191574999995</v>
      </c>
      <c r="AB47" s="143">
        <f>Y47*$AA$11</f>
        <v>26.293560054335689</v>
      </c>
      <c r="AC47" s="144">
        <f t="shared" si="7"/>
        <v>26.293560054335689</v>
      </c>
      <c r="AD47" s="143">
        <f t="shared" si="8"/>
        <v>0.93452505433569044</v>
      </c>
      <c r="AE47" s="143">
        <f t="shared" si="9"/>
        <v>3.6851759317169979</v>
      </c>
      <c r="AF47" s="143">
        <f t="shared" si="10"/>
        <v>-0.20663152066430612</v>
      </c>
      <c r="AG47" s="143">
        <f t="shared" si="11"/>
        <v>-0.77973595051003031</v>
      </c>
      <c r="AH47" s="143">
        <f t="shared" si="12"/>
        <v>-0.20663152066430612</v>
      </c>
      <c r="AI47" s="143">
        <f t="shared" si="13"/>
        <v>-0.77973595051003031</v>
      </c>
    </row>
    <row r="48" spans="1:36" ht="33" customHeight="1" outlineLevel="3">
      <c r="A48" s="139" t="s">
        <v>360</v>
      </c>
      <c r="B48" s="143" t="s">
        <v>361</v>
      </c>
      <c r="C48" s="147" t="s">
        <v>362</v>
      </c>
      <c r="D48" s="148" t="s">
        <v>363</v>
      </c>
      <c r="E48" s="149" t="s">
        <v>364</v>
      </c>
      <c r="F48" s="143" t="s">
        <v>121</v>
      </c>
      <c r="G48" s="143">
        <v>406.30410435890758</v>
      </c>
      <c r="H48" s="143">
        <v>339.25193000000002</v>
      </c>
      <c r="I48" s="143">
        <v>339.25</v>
      </c>
      <c r="J48" s="143">
        <v>445.82665836931818</v>
      </c>
      <c r="K48" s="143">
        <v>391.63926000000004</v>
      </c>
      <c r="L48" s="143">
        <v>391.64</v>
      </c>
      <c r="M48" s="143">
        <v>334.16433542537249</v>
      </c>
      <c r="N48" s="143">
        <v>299.43599000000006</v>
      </c>
      <c r="O48" s="143">
        <v>273.61684000000002</v>
      </c>
      <c r="P48" s="150">
        <v>273.61684000000002</v>
      </c>
      <c r="Q48" s="143">
        <v>273.61684000000002</v>
      </c>
      <c r="R48" s="143">
        <v>273.61684000000002</v>
      </c>
      <c r="S48" s="143">
        <f t="shared" si="3"/>
        <v>-60.54749542537246</v>
      </c>
      <c r="T48" s="143">
        <f t="shared" si="4"/>
        <v>0</v>
      </c>
      <c r="U48" s="151" t="e">
        <f>R48-#REF!</f>
        <v>#REF!</v>
      </c>
      <c r="V48" s="151">
        <f t="shared" si="5"/>
        <v>-60.54749542537246</v>
      </c>
      <c r="W48" s="151">
        <f t="shared" si="6"/>
        <v>0</v>
      </c>
      <c r="X48" s="151" t="e">
        <f>O48-#REF!</f>
        <v>#REF!</v>
      </c>
      <c r="Y48" s="143">
        <f>'[65]2. подк.неподк.'!V36</f>
        <v>374.26</v>
      </c>
      <c r="Z48" s="143">
        <f>'[65]2. подк.неподк.'!W36</f>
        <v>391.10169999999994</v>
      </c>
      <c r="AA48" s="143">
        <f>'[65]2. подк.неподк.'!X36</f>
        <v>391.10169999999994</v>
      </c>
      <c r="AB48" s="143">
        <f>Y48*$AA$11</f>
        <v>388.05213944204405</v>
      </c>
      <c r="AC48" s="144">
        <f t="shared" si="7"/>
        <v>388.05213944204405</v>
      </c>
      <c r="AD48" s="143">
        <f t="shared" si="8"/>
        <v>13.792139442044061</v>
      </c>
      <c r="AE48" s="143">
        <f t="shared" si="9"/>
        <v>3.6851759317169979</v>
      </c>
      <c r="AF48" s="143">
        <f t="shared" si="10"/>
        <v>-3.0495605579558855</v>
      </c>
      <c r="AG48" s="143">
        <f t="shared" si="11"/>
        <v>-0.77973595051003031</v>
      </c>
      <c r="AH48" s="143">
        <f t="shared" si="12"/>
        <v>-3.0495605579558855</v>
      </c>
      <c r="AI48" s="143">
        <f t="shared" si="13"/>
        <v>-0.77973595051003031</v>
      </c>
    </row>
    <row r="49" spans="1:35" ht="33" customHeight="1" outlineLevel="3">
      <c r="A49" s="139" t="s">
        <v>365</v>
      </c>
      <c r="B49" s="143" t="s">
        <v>366</v>
      </c>
      <c r="C49" s="147" t="s">
        <v>367</v>
      </c>
      <c r="D49" s="148" t="s">
        <v>368</v>
      </c>
      <c r="E49" s="149" t="s">
        <v>369</v>
      </c>
      <c r="F49" s="143" t="s">
        <v>121</v>
      </c>
      <c r="G49" s="143">
        <v>1886.1566202350461</v>
      </c>
      <c r="H49" s="143">
        <v>817.12908000000004</v>
      </c>
      <c r="I49" s="143">
        <v>817.13</v>
      </c>
      <c r="J49" s="143">
        <v>2069.629359239138</v>
      </c>
      <c r="K49" s="143">
        <v>612.67552999999998</v>
      </c>
      <c r="L49" s="143">
        <v>612.67999999999995</v>
      </c>
      <c r="M49" s="143">
        <v>686.08600349633389</v>
      </c>
      <c r="N49" s="143">
        <v>2398.65778</v>
      </c>
      <c r="O49" s="143">
        <v>2270.2747599999998</v>
      </c>
      <c r="P49" s="150">
        <v>2270.2747599999998</v>
      </c>
      <c r="Q49" s="143">
        <v>2270.2747599999998</v>
      </c>
      <c r="R49" s="143">
        <v>2270.2747599999998</v>
      </c>
      <c r="S49" s="143">
        <f t="shared" si="3"/>
        <v>1584.1887565036659</v>
      </c>
      <c r="T49" s="143">
        <f t="shared" si="4"/>
        <v>0</v>
      </c>
      <c r="U49" s="151" t="e">
        <f>R49-#REF!</f>
        <v>#REF!</v>
      </c>
      <c r="V49" s="151">
        <f t="shared" si="5"/>
        <v>1584.1887565036659</v>
      </c>
      <c r="W49" s="151">
        <f t="shared" si="6"/>
        <v>0</v>
      </c>
      <c r="X49" s="151" t="e">
        <f>O49-#REF!</f>
        <v>#REF!</v>
      </c>
      <c r="Y49" s="143">
        <f>'[65]2. подк.неподк.'!V37</f>
        <v>694.85570499999994</v>
      </c>
      <c r="Z49" s="143">
        <f>'[65]2. подк.неподк.'!W37</f>
        <v>726.1242117249999</v>
      </c>
      <c r="AA49" s="143">
        <f>'[65]2. подк.неподк.'!X37</f>
        <v>2648.1181891200004</v>
      </c>
      <c r="AB49" s="143">
        <f>Y49*$AA$11</f>
        <v>720.46236020082245</v>
      </c>
      <c r="AC49" s="144">
        <f t="shared" si="7"/>
        <v>720.46236020082245</v>
      </c>
      <c r="AD49" s="143">
        <f t="shared" si="8"/>
        <v>25.606655200822502</v>
      </c>
      <c r="AE49" s="143">
        <f t="shared" si="9"/>
        <v>3.6851759317169979</v>
      </c>
      <c r="AF49" s="143">
        <f t="shared" si="10"/>
        <v>-5.6618515241774503</v>
      </c>
      <c r="AG49" s="143">
        <f t="shared" si="11"/>
        <v>-0.77973595051004452</v>
      </c>
      <c r="AH49" s="143">
        <f t="shared" si="12"/>
        <v>-1927.655828919178</v>
      </c>
      <c r="AI49" s="143">
        <f t="shared" si="13"/>
        <v>-72.793421261902211</v>
      </c>
    </row>
    <row r="50" spans="1:35" ht="33" customHeight="1" outlineLevel="3">
      <c r="A50" s="139" t="s">
        <v>370</v>
      </c>
      <c r="B50" s="143" t="s">
        <v>371</v>
      </c>
      <c r="C50" s="147" t="s">
        <v>372</v>
      </c>
      <c r="D50" s="148" t="s">
        <v>373</v>
      </c>
      <c r="E50" s="149" t="s">
        <v>374</v>
      </c>
      <c r="F50" s="143" t="s">
        <v>121</v>
      </c>
      <c r="G50" s="143">
        <v>1860.1491199560328</v>
      </c>
      <c r="H50" s="143">
        <v>3184.78422</v>
      </c>
      <c r="I50" s="143">
        <v>3184.78</v>
      </c>
      <c r="J50" s="143">
        <v>2041.092022752649</v>
      </c>
      <c r="K50" s="143">
        <v>3903.74224</v>
      </c>
      <c r="L50" s="143">
        <v>3903.74</v>
      </c>
      <c r="M50" s="143">
        <v>3768.6395106192499</v>
      </c>
      <c r="N50" s="143">
        <v>3774.9549699999998</v>
      </c>
      <c r="O50" s="143">
        <v>3321.1256899999998</v>
      </c>
      <c r="P50" s="150">
        <v>3321.1256899999998</v>
      </c>
      <c r="Q50" s="143">
        <v>3321.1256899999998</v>
      </c>
      <c r="R50" s="143">
        <v>3321.1256899999998</v>
      </c>
      <c r="S50" s="143">
        <f t="shared" si="3"/>
        <v>-447.51382061925005</v>
      </c>
      <c r="T50" s="143">
        <f t="shared" si="4"/>
        <v>0</v>
      </c>
      <c r="U50" s="151" t="e">
        <f>R50-#REF!</f>
        <v>#REF!</v>
      </c>
      <c r="V50" s="151">
        <f t="shared" si="5"/>
        <v>-447.51382061925005</v>
      </c>
      <c r="W50" s="151">
        <f t="shared" si="6"/>
        <v>0</v>
      </c>
      <c r="X50" s="151" t="e">
        <f>O50-#REF!</f>
        <v>#REF!</v>
      </c>
      <c r="Y50" s="143">
        <f>'[65]2. подк.неподк.'!V38</f>
        <v>3975.9146837033086</v>
      </c>
      <c r="Z50" s="143">
        <f>'[65]2. подк.неподк.'!W38</f>
        <v>4154.8308444699569</v>
      </c>
      <c r="AA50" s="143">
        <f>'[65]2. подк.неподк.'!X38</f>
        <v>4167.5502868800004</v>
      </c>
      <c r="AB50" s="143">
        <f>Y50*$AA$11</f>
        <v>4122.4341346927449</v>
      </c>
      <c r="AC50" s="144">
        <f t="shared" si="7"/>
        <v>4122.4341346927449</v>
      </c>
      <c r="AD50" s="143">
        <f t="shared" si="8"/>
        <v>146.51945098943634</v>
      </c>
      <c r="AE50" s="143">
        <f t="shared" si="9"/>
        <v>3.6851759317169979</v>
      </c>
      <c r="AF50" s="143">
        <f t="shared" si="10"/>
        <v>-32.396709777211981</v>
      </c>
      <c r="AG50" s="143">
        <f t="shared" si="11"/>
        <v>-0.77973595051004452</v>
      </c>
      <c r="AH50" s="143">
        <f t="shared" si="12"/>
        <v>-45.116152187255466</v>
      </c>
      <c r="AI50" s="143">
        <f t="shared" si="13"/>
        <v>-1.0825580756466735</v>
      </c>
    </row>
    <row r="51" spans="1:35" ht="33" customHeight="1" outlineLevel="3">
      <c r="A51" s="139" t="s">
        <v>375</v>
      </c>
      <c r="B51" s="143" t="s">
        <v>376</v>
      </c>
      <c r="C51" s="147" t="s">
        <v>377</v>
      </c>
      <c r="D51" s="148" t="s">
        <v>378</v>
      </c>
      <c r="E51" s="149" t="s">
        <v>379</v>
      </c>
      <c r="F51" s="143" t="s">
        <v>121</v>
      </c>
      <c r="G51" s="143">
        <v>1003.4672107653867</v>
      </c>
      <c r="H51" s="143">
        <v>763.01793999999995</v>
      </c>
      <c r="I51" s="143">
        <v>763.02</v>
      </c>
      <c r="J51" s="143">
        <v>1101.0778098454243</v>
      </c>
      <c r="K51" s="143">
        <v>667.05373999999995</v>
      </c>
      <c r="L51" s="143">
        <v>667.05</v>
      </c>
      <c r="M51" s="143">
        <v>646.59543876420594</v>
      </c>
      <c r="N51" s="143">
        <v>773.37952000000007</v>
      </c>
      <c r="O51" s="143">
        <v>671.92167000000006</v>
      </c>
      <c r="P51" s="150">
        <v>671.92167000000006</v>
      </c>
      <c r="Q51" s="143">
        <v>671.92167000000006</v>
      </c>
      <c r="R51" s="143">
        <v>671.92167000000006</v>
      </c>
      <c r="S51" s="143">
        <f t="shared" si="3"/>
        <v>25.326231235794125</v>
      </c>
      <c r="T51" s="143">
        <f t="shared" si="4"/>
        <v>0</v>
      </c>
      <c r="U51" s="151" t="e">
        <f>R51-#REF!</f>
        <v>#REF!</v>
      </c>
      <c r="V51" s="151">
        <f t="shared" si="5"/>
        <v>25.326231235794125</v>
      </c>
      <c r="W51" s="151">
        <f t="shared" si="6"/>
        <v>0</v>
      </c>
      <c r="X51" s="151" t="e">
        <f>O51-#REF!</f>
        <v>#REF!</v>
      </c>
      <c r="Y51" s="151">
        <f>'[65]2. подк.неподк.'!V39</f>
        <v>724.19</v>
      </c>
      <c r="Z51" s="143">
        <f>'[65]2. подк.неподк.'!W39</f>
        <v>756.77855</v>
      </c>
      <c r="AA51" s="143">
        <f>'[65]2. подк.неподк.'!X39</f>
        <v>853.81099008000001</v>
      </c>
      <c r="AB51" s="143">
        <f>Y51*$AA$11</f>
        <v>750.87767557990139</v>
      </c>
      <c r="AC51" s="144">
        <f t="shared" si="7"/>
        <v>750.87767557990139</v>
      </c>
      <c r="AD51" s="143">
        <f t="shared" si="8"/>
        <v>26.687675579901338</v>
      </c>
      <c r="AE51" s="143">
        <f t="shared" si="9"/>
        <v>3.6851759317169979</v>
      </c>
      <c r="AF51" s="143">
        <f t="shared" si="10"/>
        <v>-5.900874420098603</v>
      </c>
      <c r="AG51" s="143">
        <f t="shared" si="11"/>
        <v>-0.77973595051004452</v>
      </c>
      <c r="AH51" s="143">
        <f t="shared" si="12"/>
        <v>-102.93331450009862</v>
      </c>
      <c r="AI51" s="143">
        <f t="shared" si="13"/>
        <v>-12.055749538952881</v>
      </c>
    </row>
    <row r="52" spans="1:35" s="161" customFormat="1" ht="33" customHeight="1" outlineLevel="2">
      <c r="A52" s="153"/>
      <c r="B52" s="154"/>
      <c r="C52" s="155"/>
      <c r="D52" s="156" t="s">
        <v>380</v>
      </c>
      <c r="E52" s="157"/>
      <c r="F52" s="158"/>
      <c r="G52" s="154">
        <f t="shared" ref="G52:I52" si="21">G47+G48+G49+G50+G51</f>
        <v>5372.5727576379804</v>
      </c>
      <c r="H52" s="154">
        <f t="shared" si="21"/>
        <v>5108.8423599999996</v>
      </c>
      <c r="I52" s="154">
        <f t="shared" si="21"/>
        <v>5108.84</v>
      </c>
      <c r="J52" s="154">
        <f>J47+J48+J49+J50+J51</f>
        <v>5895.18081084396</v>
      </c>
      <c r="K52" s="154">
        <f t="shared" ref="K52:AB52" si="22">K47+K48+K49+K50+K51</f>
        <v>5597.4672600000004</v>
      </c>
      <c r="L52" s="154">
        <f t="shared" si="22"/>
        <v>5597.47</v>
      </c>
      <c r="M52" s="154">
        <f t="shared" si="22"/>
        <v>5461.1161915153507</v>
      </c>
      <c r="N52" s="154">
        <f t="shared" si="22"/>
        <v>7253.6367300000002</v>
      </c>
      <c r="O52" s="154">
        <f t="shared" si="22"/>
        <v>6542.9467099999993</v>
      </c>
      <c r="P52" s="159">
        <f t="shared" si="22"/>
        <v>6542.9467099999993</v>
      </c>
      <c r="Q52" s="154">
        <f t="shared" si="22"/>
        <v>6542.9467099999993</v>
      </c>
      <c r="R52" s="154">
        <f t="shared" si="22"/>
        <v>6542.9467099999993</v>
      </c>
      <c r="S52" s="144">
        <f t="shared" si="3"/>
        <v>1081.8305184846486</v>
      </c>
      <c r="T52" s="144">
        <f t="shared" si="4"/>
        <v>0</v>
      </c>
      <c r="U52" s="160" t="e">
        <f>R52-#REF!</f>
        <v>#REF!</v>
      </c>
      <c r="V52" s="160">
        <f t="shared" si="5"/>
        <v>1081.8305184846486</v>
      </c>
      <c r="W52" s="160">
        <f t="shared" si="6"/>
        <v>0</v>
      </c>
      <c r="X52" s="160" t="e">
        <f>O52-#REF!</f>
        <v>#REF!</v>
      </c>
      <c r="Y52" s="154">
        <f t="shared" si="22"/>
        <v>5794.5794237033078</v>
      </c>
      <c r="Z52" s="154">
        <f t="shared" si="22"/>
        <v>6055.3354977699564</v>
      </c>
      <c r="AA52" s="154">
        <f t="shared" si="22"/>
        <v>8087.0813576550008</v>
      </c>
      <c r="AB52" s="154">
        <f t="shared" si="22"/>
        <v>6008.1198699698489</v>
      </c>
      <c r="AC52" s="144">
        <f t="shared" si="7"/>
        <v>6008.1198699698489</v>
      </c>
      <c r="AD52" s="154">
        <f t="shared" si="8"/>
        <v>213.54044626654104</v>
      </c>
      <c r="AE52" s="154">
        <f t="shared" si="9"/>
        <v>3.6851759317170263</v>
      </c>
      <c r="AF52" s="154">
        <f t="shared" si="10"/>
        <v>-47.215627800107541</v>
      </c>
      <c r="AG52" s="154">
        <f t="shared" si="11"/>
        <v>-0.77973595051003031</v>
      </c>
      <c r="AH52" s="154">
        <f t="shared" si="12"/>
        <v>-2078.961487685152</v>
      </c>
      <c r="AI52" s="154">
        <f t="shared" si="13"/>
        <v>-25.707191454396167</v>
      </c>
    </row>
    <row r="53" spans="1:35" ht="33" customHeight="1" outlineLevel="3">
      <c r="A53" s="139" t="s">
        <v>381</v>
      </c>
      <c r="B53" s="143" t="s">
        <v>382</v>
      </c>
      <c r="C53" s="147" t="s">
        <v>383</v>
      </c>
      <c r="D53" s="148" t="s">
        <v>384</v>
      </c>
      <c r="E53" s="149" t="s">
        <v>385</v>
      </c>
      <c r="F53" s="143" t="s">
        <v>121</v>
      </c>
      <c r="G53" s="143">
        <v>57.968400621896002</v>
      </c>
      <c r="H53" s="143">
        <v>14.937290000000001</v>
      </c>
      <c r="I53" s="143">
        <v>14.94</v>
      </c>
      <c r="J53" s="143">
        <v>63.607180097409753</v>
      </c>
      <c r="K53" s="143">
        <v>26.650449999999999</v>
      </c>
      <c r="L53" s="143">
        <v>26.65</v>
      </c>
      <c r="M53" s="143">
        <v>66.672978043463331</v>
      </c>
      <c r="N53" s="143">
        <v>37.232039999999998</v>
      </c>
      <c r="O53" s="143">
        <v>33.242350000000002</v>
      </c>
      <c r="P53" s="150">
        <v>33.242350000000002</v>
      </c>
      <c r="Q53" s="143">
        <v>33.242350000000002</v>
      </c>
      <c r="R53" s="143">
        <v>33.242350000000002</v>
      </c>
      <c r="S53" s="143">
        <f t="shared" si="3"/>
        <v>-33.430628043463329</v>
      </c>
      <c r="T53" s="143">
        <f t="shared" si="4"/>
        <v>0</v>
      </c>
      <c r="U53" s="151" t="e">
        <f>R53-#REF!</f>
        <v>#REF!</v>
      </c>
      <c r="V53" s="151">
        <f t="shared" si="5"/>
        <v>-33.430628043463329</v>
      </c>
      <c r="W53" s="151">
        <f t="shared" si="6"/>
        <v>0</v>
      </c>
      <c r="X53" s="151" t="e">
        <f>O53-#REF!</f>
        <v>#REF!</v>
      </c>
      <c r="Y53" s="143">
        <f>'[65]2. подк.неподк.'!V41</f>
        <v>30.224431249999995</v>
      </c>
      <c r="Z53" s="143">
        <f>'[65]2. подк.неподк.'!W41</f>
        <v>31.584530656249992</v>
      </c>
      <c r="AA53" s="143">
        <f>'[65]2. подк.неподк.'!X41</f>
        <v>58.22</v>
      </c>
      <c r="AB53" s="143">
        <f>Y53*$AA$11</f>
        <v>31.338254715923345</v>
      </c>
      <c r="AC53" s="144">
        <f t="shared" si="7"/>
        <v>31.338254715923345</v>
      </c>
      <c r="AD53" s="143">
        <f t="shared" si="8"/>
        <v>1.1138234659233497</v>
      </c>
      <c r="AE53" s="143">
        <f t="shared" si="9"/>
        <v>3.6851759317169979</v>
      </c>
      <c r="AF53" s="143">
        <f t="shared" si="10"/>
        <v>-0.24627594032664746</v>
      </c>
      <c r="AG53" s="143">
        <f t="shared" si="11"/>
        <v>-0.77973595051004452</v>
      </c>
      <c r="AH53" s="143">
        <f t="shared" si="12"/>
        <v>-26.881745284076654</v>
      </c>
      <c r="AI53" s="143">
        <f t="shared" si="13"/>
        <v>-46.172698873371097</v>
      </c>
    </row>
    <row r="54" spans="1:35" ht="33" customHeight="1" outlineLevel="3">
      <c r="A54" s="139" t="s">
        <v>386</v>
      </c>
      <c r="B54" s="143" t="s">
        <v>387</v>
      </c>
      <c r="C54" s="147" t="s">
        <v>388</v>
      </c>
      <c r="D54" s="148" t="s">
        <v>389</v>
      </c>
      <c r="E54" s="149" t="s">
        <v>390</v>
      </c>
      <c r="F54" s="143" t="s">
        <v>121</v>
      </c>
      <c r="G54" s="143">
        <v>769.32760825349249</v>
      </c>
      <c r="H54" s="143">
        <v>1327.9440300000001</v>
      </c>
      <c r="I54" s="143">
        <v>1327.94</v>
      </c>
      <c r="J54" s="143">
        <v>844.16266805894259</v>
      </c>
      <c r="K54" s="143">
        <v>963.25</v>
      </c>
      <c r="L54" s="143">
        <v>963.25</v>
      </c>
      <c r="M54" s="143">
        <v>891.35150623829929</v>
      </c>
      <c r="N54" s="143">
        <v>1393.3944799999999</v>
      </c>
      <c r="O54" s="143">
        <v>1295.5137099999999</v>
      </c>
      <c r="P54" s="150">
        <v>1295.5137099999999</v>
      </c>
      <c r="Q54" s="143">
        <v>1295.5137099999999</v>
      </c>
      <c r="R54" s="143">
        <v>1295.5137099999999</v>
      </c>
      <c r="S54" s="143">
        <f t="shared" si="3"/>
        <v>404.16220376170065</v>
      </c>
      <c r="T54" s="143">
        <f t="shared" si="4"/>
        <v>0</v>
      </c>
      <c r="U54" s="151" t="e">
        <f>R54-#REF!</f>
        <v>#REF!</v>
      </c>
      <c r="V54" s="151">
        <f t="shared" si="5"/>
        <v>404.16220376170065</v>
      </c>
      <c r="W54" s="151">
        <f t="shared" si="6"/>
        <v>0</v>
      </c>
      <c r="X54" s="151" t="e">
        <f>O54-#REF!</f>
        <v>#REF!</v>
      </c>
      <c r="Y54" s="143">
        <f>'[65]2. подк.неподк.'!V42</f>
        <v>940.37583908140573</v>
      </c>
      <c r="Z54" s="143">
        <f>'[65]2. подк.неподк.'!W42</f>
        <v>982.69275184006892</v>
      </c>
      <c r="AA54" s="143">
        <f>'[65]2. подк.неподк.'!X42</f>
        <v>2359.31</v>
      </c>
      <c r="AB54" s="143">
        <f>Y54*$AA$11</f>
        <v>975.03034317091544</v>
      </c>
      <c r="AC54" s="144">
        <f t="shared" si="7"/>
        <v>975.03034317091544</v>
      </c>
      <c r="AD54" s="143">
        <f t="shared" si="8"/>
        <v>34.654504089509715</v>
      </c>
      <c r="AE54" s="143">
        <f t="shared" si="9"/>
        <v>3.6851759317169979</v>
      </c>
      <c r="AF54" s="143">
        <f t="shared" si="10"/>
        <v>-7.6624086691534785</v>
      </c>
      <c r="AG54" s="143">
        <f t="shared" si="11"/>
        <v>-0.77973595051004452</v>
      </c>
      <c r="AH54" s="143">
        <f t="shared" si="12"/>
        <v>-1384.2796568290846</v>
      </c>
      <c r="AI54" s="143">
        <f t="shared" si="13"/>
        <v>-58.673072077390614</v>
      </c>
    </row>
    <row r="55" spans="1:35" ht="33" customHeight="1" outlineLevel="3">
      <c r="A55" s="139" t="s">
        <v>391</v>
      </c>
      <c r="B55" s="143" t="s">
        <v>392</v>
      </c>
      <c r="C55" s="147" t="s">
        <v>393</v>
      </c>
      <c r="D55" s="148" t="s">
        <v>394</v>
      </c>
      <c r="E55" s="149" t="s">
        <v>395</v>
      </c>
      <c r="F55" s="143" t="s">
        <v>121</v>
      </c>
      <c r="G55" s="143">
        <v>320.40210343733457</v>
      </c>
      <c r="H55" s="143">
        <v>0</v>
      </c>
      <c r="I55" s="143">
        <v>0</v>
      </c>
      <c r="J55" s="143">
        <v>351.56868359810329</v>
      </c>
      <c r="K55" s="143">
        <v>142.41</v>
      </c>
      <c r="L55" s="143">
        <v>142.41</v>
      </c>
      <c r="M55" s="143">
        <v>212.86056119745552</v>
      </c>
      <c r="N55" s="143">
        <v>233.98337000000004</v>
      </c>
      <c r="O55" s="143">
        <v>221.73196999999999</v>
      </c>
      <c r="P55" s="150">
        <v>221.73196999999999</v>
      </c>
      <c r="Q55" s="143">
        <v>221.73196999999999</v>
      </c>
      <c r="R55" s="143">
        <v>221.73196999999999</v>
      </c>
      <c r="S55" s="143">
        <f t="shared" si="3"/>
        <v>8.8714088025444653</v>
      </c>
      <c r="T55" s="143">
        <f t="shared" si="4"/>
        <v>0</v>
      </c>
      <c r="U55" s="151" t="e">
        <f>R55-#REF!</f>
        <v>#REF!</v>
      </c>
      <c r="V55" s="151">
        <f t="shared" si="5"/>
        <v>8.8714088025444653</v>
      </c>
      <c r="W55" s="151">
        <f t="shared" si="6"/>
        <v>0</v>
      </c>
      <c r="X55" s="151" t="e">
        <f>O55-#REF!</f>
        <v>#REF!</v>
      </c>
      <c r="Y55" s="151">
        <f>'[65]2. подк.неподк.'!V43</f>
        <v>161.51074124999997</v>
      </c>
      <c r="Z55" s="143">
        <f>'[65]2. подк.неподк.'!W43</f>
        <v>168.77872460624997</v>
      </c>
      <c r="AA55" s="143">
        <f>'[65]2. подк.неподк.'!X43</f>
        <v>249.38</v>
      </c>
      <c r="AB55" s="143">
        <f>Y55*$AA$11</f>
        <v>167.46269621368268</v>
      </c>
      <c r="AC55" s="144">
        <f t="shared" si="7"/>
        <v>167.46269621368268</v>
      </c>
      <c r="AD55" s="143">
        <f t="shared" si="8"/>
        <v>5.9519549636827094</v>
      </c>
      <c r="AE55" s="143">
        <f t="shared" si="9"/>
        <v>3.6851759317169979</v>
      </c>
      <c r="AF55" s="143">
        <f t="shared" si="10"/>
        <v>-1.31602839256729</v>
      </c>
      <c r="AG55" s="143">
        <f t="shared" si="11"/>
        <v>-0.77973595051005873</v>
      </c>
      <c r="AH55" s="143">
        <f t="shared" si="12"/>
        <v>-81.917303786317319</v>
      </c>
      <c r="AI55" s="143">
        <f t="shared" si="13"/>
        <v>-32.848385510593204</v>
      </c>
    </row>
    <row r="56" spans="1:35" s="161" customFormat="1" ht="33" customHeight="1" outlineLevel="2">
      <c r="A56" s="153"/>
      <c r="B56" s="154"/>
      <c r="C56" s="155"/>
      <c r="D56" s="156" t="s">
        <v>396</v>
      </c>
      <c r="E56" s="157"/>
      <c r="F56" s="158"/>
      <c r="G56" s="154">
        <f t="shared" ref="G56:I56" si="23">G53+G54+G55</f>
        <v>1147.698112312723</v>
      </c>
      <c r="H56" s="154">
        <f t="shared" si="23"/>
        <v>1342.8813200000002</v>
      </c>
      <c r="I56" s="154">
        <f t="shared" si="23"/>
        <v>1342.88</v>
      </c>
      <c r="J56" s="154">
        <f>J53+J54+J55</f>
        <v>1259.3385317544555</v>
      </c>
      <c r="K56" s="154">
        <f t="shared" ref="K56:AB56" si="24">K53+K54+K55</f>
        <v>1132.3104499999999</v>
      </c>
      <c r="L56" s="154">
        <f t="shared" si="24"/>
        <v>1132.31</v>
      </c>
      <c r="M56" s="154">
        <f t="shared" si="24"/>
        <v>1170.8850454792182</v>
      </c>
      <c r="N56" s="154">
        <f t="shared" si="24"/>
        <v>1664.6098900000002</v>
      </c>
      <c r="O56" s="154">
        <f t="shared" si="24"/>
        <v>1550.48803</v>
      </c>
      <c r="P56" s="159">
        <f>P53+P54+P55</f>
        <v>1550.48803</v>
      </c>
      <c r="Q56" s="154">
        <f>Q53+Q54+Q55</f>
        <v>1550.48803</v>
      </c>
      <c r="R56" s="154">
        <f>R53+R54+R55</f>
        <v>1550.48803</v>
      </c>
      <c r="S56" s="144">
        <f t="shared" si="3"/>
        <v>379.60298452078177</v>
      </c>
      <c r="T56" s="144">
        <f t="shared" si="4"/>
        <v>0</v>
      </c>
      <c r="U56" s="160" t="e">
        <f>R56-#REF!</f>
        <v>#REF!</v>
      </c>
      <c r="V56" s="160">
        <f t="shared" si="5"/>
        <v>379.60298452078177</v>
      </c>
      <c r="W56" s="160">
        <f t="shared" si="6"/>
        <v>0</v>
      </c>
      <c r="X56" s="160" t="e">
        <f>O56-#REF!</f>
        <v>#REF!</v>
      </c>
      <c r="Y56" s="154">
        <f t="shared" si="24"/>
        <v>1132.1110115814056</v>
      </c>
      <c r="Z56" s="154">
        <f t="shared" si="24"/>
        <v>1183.0560071025689</v>
      </c>
      <c r="AA56" s="154">
        <f t="shared" si="24"/>
        <v>2666.91</v>
      </c>
      <c r="AB56" s="154">
        <f t="shared" si="24"/>
        <v>1173.8312941005215</v>
      </c>
      <c r="AC56" s="144">
        <f t="shared" si="7"/>
        <v>1173.8312941005215</v>
      </c>
      <c r="AD56" s="154">
        <f t="shared" si="8"/>
        <v>41.720282519115926</v>
      </c>
      <c r="AE56" s="154">
        <f t="shared" si="9"/>
        <v>3.6851759317169979</v>
      </c>
      <c r="AF56" s="154">
        <f t="shared" si="10"/>
        <v>-9.2247130020473378</v>
      </c>
      <c r="AG56" s="154">
        <f t="shared" si="11"/>
        <v>-0.77973595051004452</v>
      </c>
      <c r="AH56" s="154">
        <f t="shared" si="12"/>
        <v>-1493.0787058994783</v>
      </c>
      <c r="AI56" s="154">
        <f t="shared" si="13"/>
        <v>-55.985342808699144</v>
      </c>
    </row>
    <row r="57" spans="1:35" ht="33" customHeight="1" outlineLevel="3">
      <c r="A57" s="152" t="s">
        <v>397</v>
      </c>
      <c r="B57" s="143" t="s">
        <v>398</v>
      </c>
      <c r="C57" s="147" t="s">
        <v>399</v>
      </c>
      <c r="D57" s="164" t="s">
        <v>400</v>
      </c>
      <c r="E57" s="149" t="s">
        <v>401</v>
      </c>
      <c r="F57" s="143" t="s">
        <v>121</v>
      </c>
      <c r="G57" s="143">
        <v>131744.08918119152</v>
      </c>
      <c r="H57" s="143">
        <v>47587.672529999996</v>
      </c>
      <c r="I57" s="143">
        <v>47587.670000000006</v>
      </c>
      <c r="J57" s="143">
        <v>144559.27569876733</v>
      </c>
      <c r="K57" s="143">
        <v>67117.61</v>
      </c>
      <c r="L57" s="143">
        <v>67117.61</v>
      </c>
      <c r="M57" s="143">
        <v>128449.59655761342</v>
      </c>
      <c r="N57" s="143">
        <v>99735.868009999991</v>
      </c>
      <c r="O57" s="143">
        <v>99719.943629999994</v>
      </c>
      <c r="P57" s="150">
        <v>99719.943629999994</v>
      </c>
      <c r="Q57" s="143">
        <v>99719.943629999994</v>
      </c>
      <c r="R57" s="143">
        <v>99719.943629999994</v>
      </c>
      <c r="S57" s="143">
        <f t="shared" si="3"/>
        <v>-28729.652927613424</v>
      </c>
      <c r="T57" s="143">
        <f t="shared" si="4"/>
        <v>0</v>
      </c>
      <c r="U57" s="151" t="e">
        <f>R57-#REF!</f>
        <v>#REF!</v>
      </c>
      <c r="V57" s="151">
        <f t="shared" si="5"/>
        <v>-28729.652927613424</v>
      </c>
      <c r="W57" s="151">
        <f t="shared" si="6"/>
        <v>0</v>
      </c>
      <c r="X57" s="151" t="e">
        <f>O57-#REF!</f>
        <v>#REF!</v>
      </c>
      <c r="Y57" s="151">
        <f>'[65]2. подк.неподк.'!V45</f>
        <v>76119.759441249989</v>
      </c>
      <c r="Z57" s="143">
        <f>'[65]2. подк.неподк.'!W45</f>
        <v>79545.148616106235</v>
      </c>
      <c r="AA57" s="143">
        <f>'[65]2. подк.неподк.'!X45</f>
        <v>110116.09748383379</v>
      </c>
      <c r="AB57" s="143">
        <f>Y57*$AA$11</f>
        <v>78924.906495459814</v>
      </c>
      <c r="AC57" s="144">
        <f t="shared" si="7"/>
        <v>78924.906495459814</v>
      </c>
      <c r="AD57" s="143">
        <f t="shared" si="8"/>
        <v>2805.147054209825</v>
      </c>
      <c r="AE57" s="143">
        <f t="shared" si="9"/>
        <v>3.6851759317169979</v>
      </c>
      <c r="AF57" s="143">
        <f t="shared" si="10"/>
        <v>-620.24212064642052</v>
      </c>
      <c r="AG57" s="143">
        <f t="shared" si="11"/>
        <v>-0.77973595051004452</v>
      </c>
      <c r="AH57" s="143">
        <f t="shared" si="12"/>
        <v>-31191.190988373972</v>
      </c>
      <c r="AI57" s="143">
        <f t="shared" si="13"/>
        <v>-28.325732296273188</v>
      </c>
    </row>
    <row r="58" spans="1:35" ht="33" customHeight="1" outlineLevel="3">
      <c r="A58" s="139" t="s">
        <v>402</v>
      </c>
      <c r="B58" s="143" t="s">
        <v>403</v>
      </c>
      <c r="C58" s="147" t="s">
        <v>404</v>
      </c>
      <c r="D58" s="148" t="s">
        <v>405</v>
      </c>
      <c r="E58" s="149" t="s">
        <v>406</v>
      </c>
      <c r="F58" s="143" t="s">
        <v>121</v>
      </c>
      <c r="G58" s="143">
        <v>44297.292875229767</v>
      </c>
      <c r="H58" s="143">
        <v>40122.397279999997</v>
      </c>
      <c r="I58" s="143">
        <v>40122.400000000001</v>
      </c>
      <c r="J58" s="143">
        <v>48606.238148964272</v>
      </c>
      <c r="K58" s="143">
        <v>45955.583989999999</v>
      </c>
      <c r="L58" s="143">
        <v>45955.58</v>
      </c>
      <c r="M58" s="143">
        <v>36908.663801943112</v>
      </c>
      <c r="N58" s="143">
        <v>44506.512329999998</v>
      </c>
      <c r="O58" s="143">
        <v>44506.613969999999</v>
      </c>
      <c r="P58" s="150">
        <v>44506.613969999999</v>
      </c>
      <c r="Q58" s="143">
        <v>44506.613969999999</v>
      </c>
      <c r="R58" s="143">
        <v>44506.613969999999</v>
      </c>
      <c r="S58" s="143">
        <f t="shared" si="3"/>
        <v>7597.9501680568865</v>
      </c>
      <c r="T58" s="143">
        <f t="shared" si="4"/>
        <v>0</v>
      </c>
      <c r="U58" s="151" t="e">
        <f>R58-#REF!</f>
        <v>#REF!</v>
      </c>
      <c r="V58" s="151">
        <f t="shared" si="5"/>
        <v>7597.9501680568865</v>
      </c>
      <c r="W58" s="151">
        <f t="shared" si="6"/>
        <v>0</v>
      </c>
      <c r="X58" s="151" t="e">
        <f>O58-#REF!</f>
        <v>#REF!</v>
      </c>
      <c r="Y58" s="151">
        <f>'[65]2. подк.неподк.'!V46</f>
        <v>51759.94</v>
      </c>
      <c r="Z58" s="143">
        <f>'[65]2. подк.неподк.'!W46</f>
        <v>54089.137300000002</v>
      </c>
      <c r="AA58" s="143">
        <f>'[65]2. подк.неподк.'!X46</f>
        <v>54089.137300000002</v>
      </c>
      <c r="AB58" s="143">
        <f>Y58*$AA$11</f>
        <v>53667.384851151161</v>
      </c>
      <c r="AC58" s="144">
        <f t="shared" si="7"/>
        <v>53667.384851151161</v>
      </c>
      <c r="AD58" s="143">
        <f t="shared" si="8"/>
        <v>1907.4448511511582</v>
      </c>
      <c r="AE58" s="143">
        <f t="shared" si="9"/>
        <v>3.6851759317169979</v>
      </c>
      <c r="AF58" s="143">
        <f t="shared" si="10"/>
        <v>-421.7524488488416</v>
      </c>
      <c r="AG58" s="143">
        <f t="shared" si="11"/>
        <v>-0.77973595051005873</v>
      </c>
      <c r="AH58" s="143">
        <f t="shared" si="12"/>
        <v>-421.7524488488416</v>
      </c>
      <c r="AI58" s="143">
        <f t="shared" si="13"/>
        <v>-0.77973595051005873</v>
      </c>
    </row>
    <row r="59" spans="1:35" ht="33" customHeight="1" outlineLevel="3">
      <c r="A59" s="139" t="s">
        <v>407</v>
      </c>
      <c r="B59" s="143" t="s">
        <v>408</v>
      </c>
      <c r="C59" s="147" t="s">
        <v>409</v>
      </c>
      <c r="D59" s="148" t="s">
        <v>410</v>
      </c>
      <c r="E59" s="165" t="s">
        <v>410</v>
      </c>
      <c r="F59" s="1338" t="s">
        <v>121</v>
      </c>
      <c r="G59" s="143">
        <v>0</v>
      </c>
      <c r="H59" s="143">
        <v>0</v>
      </c>
      <c r="I59" s="143">
        <v>0</v>
      </c>
      <c r="J59" s="143">
        <v>218.01</v>
      </c>
      <c r="K59" s="143">
        <v>0</v>
      </c>
      <c r="L59" s="143">
        <v>0</v>
      </c>
      <c r="M59" s="143">
        <v>230.2</v>
      </c>
      <c r="N59" s="143">
        <v>42.935679999999998</v>
      </c>
      <c r="O59" s="143">
        <v>41.414439999999999</v>
      </c>
      <c r="P59" s="150">
        <v>41.414439999999999</v>
      </c>
      <c r="Q59" s="143">
        <v>41.414439999999999</v>
      </c>
      <c r="R59" s="143">
        <v>41.414439999999999</v>
      </c>
      <c r="S59" s="143">
        <f t="shared" si="3"/>
        <v>-188.78555999999998</v>
      </c>
      <c r="T59" s="143">
        <f t="shared" si="4"/>
        <v>0</v>
      </c>
      <c r="U59" s="151" t="e">
        <f>R59-#REF!</f>
        <v>#REF!</v>
      </c>
      <c r="V59" s="151">
        <f t="shared" si="5"/>
        <v>-188.78555999999998</v>
      </c>
      <c r="W59" s="151">
        <f t="shared" si="6"/>
        <v>0</v>
      </c>
      <c r="X59" s="151" t="e">
        <f>O59-#REF!</f>
        <v>#REF!</v>
      </c>
      <c r="Y59" s="151">
        <f>'[65]2. подк.неподк.'!V47</f>
        <v>0</v>
      </c>
      <c r="Z59" s="143">
        <f>'[65]2. подк.неподк.'!W47</f>
        <v>0</v>
      </c>
      <c r="AA59" s="143">
        <f>'[65]2. подк.неподк.'!X47</f>
        <v>47.856180960000003</v>
      </c>
      <c r="AB59" s="143">
        <f>Y59*$AA$11</f>
        <v>0</v>
      </c>
      <c r="AC59" s="144">
        <f t="shared" si="7"/>
        <v>0</v>
      </c>
      <c r="AD59" s="143">
        <f t="shared" si="8"/>
        <v>0</v>
      </c>
      <c r="AE59" s="143"/>
      <c r="AF59" s="143">
        <f t="shared" si="10"/>
        <v>0</v>
      </c>
      <c r="AG59" s="143"/>
      <c r="AH59" s="143">
        <f t="shared" si="12"/>
        <v>-47.856180960000003</v>
      </c>
      <c r="AI59" s="143">
        <f t="shared" si="13"/>
        <v>-100</v>
      </c>
    </row>
    <row r="60" spans="1:35" ht="33" customHeight="1" outlineLevel="3">
      <c r="A60" s="139" t="s">
        <v>411</v>
      </c>
      <c r="B60" s="143" t="s">
        <v>412</v>
      </c>
      <c r="C60" s="147" t="s">
        <v>413</v>
      </c>
      <c r="D60" s="148" t="s">
        <v>414</v>
      </c>
      <c r="E60" s="165" t="s">
        <v>414</v>
      </c>
      <c r="F60" s="1339"/>
      <c r="G60" s="143">
        <v>3981.7019427164541</v>
      </c>
      <c r="H60" s="143">
        <v>2652.4466600000001</v>
      </c>
      <c r="I60" s="143">
        <v>2652.45</v>
      </c>
      <c r="J60" s="143">
        <v>4151.01</v>
      </c>
      <c r="K60" s="143">
        <v>0</v>
      </c>
      <c r="L60" s="143">
        <v>0</v>
      </c>
      <c r="M60" s="143">
        <v>4383.07</v>
      </c>
      <c r="N60" s="143">
        <v>3553.7575400000001</v>
      </c>
      <c r="O60" s="143">
        <v>3229.8822099999998</v>
      </c>
      <c r="P60" s="150">
        <v>3229.8822099999998</v>
      </c>
      <c r="Q60" s="143">
        <v>3229.8822099999998</v>
      </c>
      <c r="R60" s="143">
        <v>3229.8822099999998</v>
      </c>
      <c r="S60" s="143">
        <f t="shared" si="3"/>
        <v>-1153.1877899999999</v>
      </c>
      <c r="T60" s="143">
        <f t="shared" si="4"/>
        <v>0</v>
      </c>
      <c r="U60" s="151" t="e">
        <f>R60-#REF!</f>
        <v>#REF!</v>
      </c>
      <c r="V60" s="151">
        <f t="shared" si="5"/>
        <v>-1153.1877899999999</v>
      </c>
      <c r="W60" s="151">
        <f t="shared" si="6"/>
        <v>0</v>
      </c>
      <c r="X60" s="151" t="e">
        <f>O60-#REF!</f>
        <v>#REF!</v>
      </c>
      <c r="Y60" s="151">
        <f>'[65]2. подк.неподк.'!V48</f>
        <v>0</v>
      </c>
      <c r="Z60" s="143">
        <f>'[65]2. подк.неподк.'!W48</f>
        <v>0</v>
      </c>
      <c r="AA60" s="143">
        <f>'[65]2. подк.неподк.'!X48</f>
        <v>3923.2491927474757</v>
      </c>
      <c r="AB60" s="143">
        <f>Y60*$AA$11</f>
        <v>0</v>
      </c>
      <c r="AC60" s="144">
        <f t="shared" si="7"/>
        <v>0</v>
      </c>
      <c r="AD60" s="143">
        <f t="shared" si="8"/>
        <v>0</v>
      </c>
      <c r="AE60" s="143"/>
      <c r="AF60" s="143">
        <f t="shared" si="10"/>
        <v>0</v>
      </c>
      <c r="AG60" s="143"/>
      <c r="AH60" s="143">
        <f t="shared" si="12"/>
        <v>-3923.2491927474757</v>
      </c>
      <c r="AI60" s="143">
        <f t="shared" si="13"/>
        <v>-100</v>
      </c>
    </row>
    <row r="61" spans="1:35" s="161" customFormat="1" ht="33" customHeight="1" outlineLevel="2">
      <c r="A61" s="153"/>
      <c r="B61" s="154"/>
      <c r="C61" s="155"/>
      <c r="D61" s="156" t="s">
        <v>415</v>
      </c>
      <c r="E61" s="157"/>
      <c r="F61" s="158"/>
      <c r="G61" s="154">
        <f t="shared" ref="G61:I61" si="25">G57+G58+G59+G60</f>
        <v>180023.08399913774</v>
      </c>
      <c r="H61" s="154">
        <f t="shared" si="25"/>
        <v>90362.516469999988</v>
      </c>
      <c r="I61" s="154">
        <f t="shared" si="25"/>
        <v>90362.52</v>
      </c>
      <c r="J61" s="154">
        <f>J57+J58+J59+J60</f>
        <v>197534.53384773163</v>
      </c>
      <c r="K61" s="154">
        <f t="shared" ref="K61:AB61" si="26">K57+K58+K59+K60</f>
        <v>113073.19399</v>
      </c>
      <c r="L61" s="154">
        <f t="shared" si="26"/>
        <v>113073.19</v>
      </c>
      <c r="M61" s="154">
        <f t="shared" si="26"/>
        <v>169971.53035955655</v>
      </c>
      <c r="N61" s="154">
        <f t="shared" si="26"/>
        <v>147839.07355999996</v>
      </c>
      <c r="O61" s="154">
        <f t="shared" si="26"/>
        <v>147497.85425</v>
      </c>
      <c r="P61" s="159">
        <f t="shared" si="26"/>
        <v>147497.85425</v>
      </c>
      <c r="Q61" s="154">
        <f t="shared" si="26"/>
        <v>147497.85425</v>
      </c>
      <c r="R61" s="154">
        <f t="shared" si="26"/>
        <v>147497.85425</v>
      </c>
      <c r="S61" s="144">
        <f t="shared" si="3"/>
        <v>-22473.676109556545</v>
      </c>
      <c r="T61" s="144">
        <f t="shared" si="4"/>
        <v>0</v>
      </c>
      <c r="U61" s="160" t="e">
        <f>R61-#REF!</f>
        <v>#REF!</v>
      </c>
      <c r="V61" s="160">
        <f t="shared" si="5"/>
        <v>-22473.676109556545</v>
      </c>
      <c r="W61" s="160">
        <f t="shared" si="6"/>
        <v>0</v>
      </c>
      <c r="X61" s="160" t="e">
        <f>O61-#REF!</f>
        <v>#REF!</v>
      </c>
      <c r="Y61" s="154">
        <f t="shared" si="26"/>
        <v>127879.69944124999</v>
      </c>
      <c r="Z61" s="154">
        <f t="shared" si="26"/>
        <v>133634.28591610625</v>
      </c>
      <c r="AA61" s="154">
        <f t="shared" si="26"/>
        <v>168176.34015754124</v>
      </c>
      <c r="AB61" s="154">
        <f t="shared" si="26"/>
        <v>132592.29134661099</v>
      </c>
      <c r="AC61" s="144">
        <f t="shared" si="7"/>
        <v>132592.29134661099</v>
      </c>
      <c r="AD61" s="154">
        <f t="shared" si="8"/>
        <v>4712.5919053609978</v>
      </c>
      <c r="AE61" s="154">
        <f t="shared" si="9"/>
        <v>3.6851759317170263</v>
      </c>
      <c r="AF61" s="154">
        <f t="shared" si="10"/>
        <v>-1041.9945694952621</v>
      </c>
      <c r="AG61" s="154">
        <f t="shared" si="11"/>
        <v>-0.77973595051004452</v>
      </c>
      <c r="AH61" s="154">
        <f t="shared" si="12"/>
        <v>-35584.048810930253</v>
      </c>
      <c r="AI61" s="154">
        <f t="shared" si="13"/>
        <v>-21.158772261066247</v>
      </c>
    </row>
    <row r="62" spans="1:35" ht="33" customHeight="1" outlineLevel="3">
      <c r="A62" s="152" t="s">
        <v>397</v>
      </c>
      <c r="B62" s="143" t="s">
        <v>416</v>
      </c>
      <c r="C62" s="147" t="s">
        <v>417</v>
      </c>
      <c r="D62" s="164" t="s">
        <v>418</v>
      </c>
      <c r="E62" s="149" t="s">
        <v>419</v>
      </c>
      <c r="F62" s="143" t="s">
        <v>121</v>
      </c>
      <c r="G62" s="143">
        <v>3185.9754341797488</v>
      </c>
      <c r="H62" s="143">
        <v>2472.1181499999998</v>
      </c>
      <c r="I62" s="143">
        <v>1805.58</v>
      </c>
      <c r="J62" s="143">
        <v>3495.8858801298129</v>
      </c>
      <c r="K62" s="143">
        <v>5059.33</v>
      </c>
      <c r="L62" s="143">
        <v>5059.33</v>
      </c>
      <c r="M62" s="143">
        <v>2261.6327195872987</v>
      </c>
      <c r="N62" s="143">
        <v>4878.2737500000003</v>
      </c>
      <c r="O62" s="143">
        <v>4878.2987400000002</v>
      </c>
      <c r="P62" s="150">
        <v>4878.2987400000002</v>
      </c>
      <c r="Q62" s="143">
        <v>4878.2987400000002</v>
      </c>
      <c r="R62" s="143">
        <v>4878.2987400000002</v>
      </c>
      <c r="S62" s="143">
        <f t="shared" si="3"/>
        <v>2616.6660204127015</v>
      </c>
      <c r="T62" s="143">
        <f t="shared" si="4"/>
        <v>0</v>
      </c>
      <c r="U62" s="151" t="e">
        <f>R62-#REF!</f>
        <v>#REF!</v>
      </c>
      <c r="V62" s="151">
        <f t="shared" si="5"/>
        <v>2616.6660204127015</v>
      </c>
      <c r="W62" s="151">
        <f t="shared" si="6"/>
        <v>0</v>
      </c>
      <c r="X62" s="151" t="e">
        <f>O62-#REF!</f>
        <v>#REF!</v>
      </c>
      <c r="Y62" s="143">
        <f>'[65]2. подк.неподк.'!V50</f>
        <v>3488.2100781781592</v>
      </c>
      <c r="Z62" s="143">
        <f>'[65]2. подк.неподк.'!W50</f>
        <v>3645.1795316961761</v>
      </c>
      <c r="AA62" s="143">
        <f>'[65]2. подк.неподк.'!X50</f>
        <v>5604.3094556515098</v>
      </c>
      <c r="AB62" s="143">
        <f>Y62*$AA$11</f>
        <v>3616.7567564269075</v>
      </c>
      <c r="AC62" s="144">
        <f t="shared" si="7"/>
        <v>3616.7567564269075</v>
      </c>
      <c r="AD62" s="143">
        <f t="shared" si="8"/>
        <v>128.54667824874832</v>
      </c>
      <c r="AE62" s="143">
        <f t="shared" si="9"/>
        <v>3.6851759317169979</v>
      </c>
      <c r="AF62" s="143">
        <f t="shared" si="10"/>
        <v>-28.422775269268641</v>
      </c>
      <c r="AG62" s="143">
        <f t="shared" si="11"/>
        <v>-0.77973595051004452</v>
      </c>
      <c r="AH62" s="143">
        <f t="shared" si="12"/>
        <v>-1987.5526992246023</v>
      </c>
      <c r="AI62" s="143">
        <f t="shared" si="13"/>
        <v>-35.46472076448795</v>
      </c>
    </row>
    <row r="63" spans="1:35" ht="33" customHeight="1" outlineLevel="3">
      <c r="A63" s="139" t="s">
        <v>420</v>
      </c>
      <c r="B63" s="143" t="s">
        <v>421</v>
      </c>
      <c r="C63" s="147" t="s">
        <v>422</v>
      </c>
      <c r="D63" s="148" t="s">
        <v>423</v>
      </c>
      <c r="E63" s="149" t="s">
        <v>424</v>
      </c>
      <c r="F63" s="143" t="s">
        <v>121</v>
      </c>
      <c r="G63" s="143">
        <v>10645.2444463888</v>
      </c>
      <c r="H63" s="143">
        <v>50529.511449999998</v>
      </c>
      <c r="I63" s="143">
        <v>50150</v>
      </c>
      <c r="J63" s="143">
        <v>11680.742842966101</v>
      </c>
      <c r="K63" s="143">
        <v>300.25</v>
      </c>
      <c r="L63" s="143">
        <v>300.25</v>
      </c>
      <c r="M63" s="143">
        <v>12333.7483841666</v>
      </c>
      <c r="N63" s="143">
        <v>394.71163000000001</v>
      </c>
      <c r="O63" s="143">
        <v>394.71163000000001</v>
      </c>
      <c r="P63" s="150">
        <v>394.71163000000001</v>
      </c>
      <c r="Q63" s="143">
        <v>394.71163000000001</v>
      </c>
      <c r="R63" s="143">
        <v>394.71163000000001</v>
      </c>
      <c r="S63" s="143">
        <f t="shared" si="3"/>
        <v>-11939.0367541666</v>
      </c>
      <c r="T63" s="143">
        <f t="shared" si="4"/>
        <v>0</v>
      </c>
      <c r="U63" s="151" t="e">
        <f>R63-#REF!</f>
        <v>#REF!</v>
      </c>
      <c r="V63" s="151">
        <f t="shared" si="5"/>
        <v>-11939.0367541666</v>
      </c>
      <c r="W63" s="151">
        <f t="shared" si="6"/>
        <v>0</v>
      </c>
      <c r="X63" s="151" t="e">
        <f>O63-#REF!</f>
        <v>#REF!</v>
      </c>
      <c r="Y63" s="143">
        <f>'[65]2. подк.неподк.'!V51</f>
        <v>334.28</v>
      </c>
      <c r="Z63" s="143">
        <f>'[65]2. подк.неподк.'!W51</f>
        <v>349.32259999999997</v>
      </c>
      <c r="AA63" s="143">
        <f>'[65]2. подк.неподк.'!X51</f>
        <v>435.48975999999999</v>
      </c>
      <c r="AB63" s="143">
        <f>Y63*$AA$11</f>
        <v>346.59880610454354</v>
      </c>
      <c r="AC63" s="144">
        <f t="shared" si="7"/>
        <v>346.59880610454354</v>
      </c>
      <c r="AD63" s="143">
        <f t="shared" si="8"/>
        <v>12.318806104543569</v>
      </c>
      <c r="AE63" s="143">
        <f t="shared" si="9"/>
        <v>3.6851759317169979</v>
      </c>
      <c r="AF63" s="143">
        <f t="shared" si="10"/>
        <v>-2.7237938954564243</v>
      </c>
      <c r="AG63" s="143">
        <f t="shared" si="11"/>
        <v>-0.77973595051005873</v>
      </c>
      <c r="AH63" s="143">
        <f t="shared" si="12"/>
        <v>-88.890953895456448</v>
      </c>
      <c r="AI63" s="143">
        <f t="shared" si="13"/>
        <v>-20.411720793493842</v>
      </c>
    </row>
    <row r="64" spans="1:35" ht="33" customHeight="1" outlineLevel="3">
      <c r="A64" s="139" t="s">
        <v>425</v>
      </c>
      <c r="B64" s="143" t="s">
        <v>426</v>
      </c>
      <c r="C64" s="147" t="s">
        <v>427</v>
      </c>
      <c r="D64" s="148" t="s">
        <v>428</v>
      </c>
      <c r="E64" s="149" t="s">
        <v>429</v>
      </c>
      <c r="F64" s="143" t="s">
        <v>121</v>
      </c>
      <c r="G64" s="143">
        <v>612.33500656924616</v>
      </c>
      <c r="H64" s="143">
        <v>728.63499999999999</v>
      </c>
      <c r="I64" s="143">
        <v>728.64</v>
      </c>
      <c r="J64" s="143">
        <v>671.89887291951129</v>
      </c>
      <c r="K64" s="143">
        <v>715.44</v>
      </c>
      <c r="L64" s="143">
        <v>715.44</v>
      </c>
      <c r="M64" s="143">
        <v>709.46475791660816</v>
      </c>
      <c r="N64" s="143">
        <v>1521.69469</v>
      </c>
      <c r="O64" s="143">
        <v>1496.8344099999999</v>
      </c>
      <c r="P64" s="150">
        <v>1496.8344099999999</v>
      </c>
      <c r="Q64" s="143">
        <v>1496.8344099999999</v>
      </c>
      <c r="R64" s="143">
        <v>1496.8344099999999</v>
      </c>
      <c r="S64" s="143">
        <f t="shared" si="3"/>
        <v>787.36965208339177</v>
      </c>
      <c r="T64" s="143">
        <f t="shared" si="4"/>
        <v>0</v>
      </c>
      <c r="U64" s="151" t="e">
        <f>R64-#REF!</f>
        <v>#REF!</v>
      </c>
      <c r="V64" s="151">
        <f t="shared" si="5"/>
        <v>787.36965208339177</v>
      </c>
      <c r="W64" s="151">
        <f t="shared" si="6"/>
        <v>0</v>
      </c>
      <c r="X64" s="151" t="e">
        <f>O64-#REF!</f>
        <v>#REF!</v>
      </c>
      <c r="Y64" s="143">
        <f>'[65]2. подк.неподк.'!V52</f>
        <v>748.4853196020216</v>
      </c>
      <c r="Z64" s="143">
        <f>'[65]2. подк.неподк.'!W52</f>
        <v>782.16715898411258</v>
      </c>
      <c r="AA64" s="143">
        <f>'[65]2. подк.неподк.'!X52</f>
        <v>1987.3</v>
      </c>
      <c r="AB64" s="143">
        <f>Y64*$AA$11</f>
        <v>776.06832045243038</v>
      </c>
      <c r="AC64" s="144">
        <f t="shared" si="7"/>
        <v>776.06832045243038</v>
      </c>
      <c r="AD64" s="143">
        <f t="shared" si="8"/>
        <v>27.58300085040878</v>
      </c>
      <c r="AE64" s="143">
        <f t="shared" si="9"/>
        <v>3.6851759317169979</v>
      </c>
      <c r="AF64" s="143">
        <f t="shared" si="10"/>
        <v>-6.0988385316821905</v>
      </c>
      <c r="AG64" s="143">
        <f t="shared" si="11"/>
        <v>-0.77973595051004452</v>
      </c>
      <c r="AH64" s="143">
        <f t="shared" si="12"/>
        <v>-1211.2316795475695</v>
      </c>
      <c r="AI64" s="143">
        <f t="shared" si="13"/>
        <v>-60.948607635866232</v>
      </c>
    </row>
    <row r="65" spans="1:35" s="161" customFormat="1" ht="33" customHeight="1" outlineLevel="2">
      <c r="A65" s="153"/>
      <c r="B65" s="154"/>
      <c r="C65" s="155"/>
      <c r="D65" s="156" t="s">
        <v>430</v>
      </c>
      <c r="E65" s="157"/>
      <c r="F65" s="158"/>
      <c r="G65" s="154">
        <f t="shared" ref="G65:I65" si="27">G62+G63+G64</f>
        <v>14443.554887137796</v>
      </c>
      <c r="H65" s="154">
        <f t="shared" si="27"/>
        <v>53730.264600000002</v>
      </c>
      <c r="I65" s="154">
        <f t="shared" si="27"/>
        <v>52684.22</v>
      </c>
      <c r="J65" s="154">
        <f>J62+J63+J64</f>
        <v>15848.527596015425</v>
      </c>
      <c r="K65" s="154">
        <f t="shared" ref="K65:AB65" si="28">K62+K63+K64</f>
        <v>6075.02</v>
      </c>
      <c r="L65" s="154">
        <f t="shared" si="28"/>
        <v>6075.02</v>
      </c>
      <c r="M65" s="154">
        <f t="shared" si="28"/>
        <v>15304.845861670507</v>
      </c>
      <c r="N65" s="154">
        <f t="shared" si="28"/>
        <v>6794.6800700000003</v>
      </c>
      <c r="O65" s="154">
        <f t="shared" si="28"/>
        <v>6769.8447799999994</v>
      </c>
      <c r="P65" s="159">
        <f t="shared" si="28"/>
        <v>6769.8447799999994</v>
      </c>
      <c r="Q65" s="154">
        <f t="shared" si="28"/>
        <v>6769.8447799999994</v>
      </c>
      <c r="R65" s="154">
        <f t="shared" si="28"/>
        <v>6769.8447799999994</v>
      </c>
      <c r="S65" s="144">
        <f t="shared" si="3"/>
        <v>-8535.0010816705071</v>
      </c>
      <c r="T65" s="144">
        <f t="shared" si="4"/>
        <v>0</v>
      </c>
      <c r="U65" s="160" t="e">
        <f>R65-#REF!</f>
        <v>#REF!</v>
      </c>
      <c r="V65" s="160">
        <f t="shared" si="5"/>
        <v>-8535.0010816705071</v>
      </c>
      <c r="W65" s="160">
        <f t="shared" si="6"/>
        <v>0</v>
      </c>
      <c r="X65" s="160" t="e">
        <f>O65-#REF!</f>
        <v>#REF!</v>
      </c>
      <c r="Y65" s="154">
        <f t="shared" si="28"/>
        <v>4570.9753977801802</v>
      </c>
      <c r="Z65" s="154">
        <f t="shared" si="28"/>
        <v>4776.6692906802891</v>
      </c>
      <c r="AA65" s="154">
        <f t="shared" si="28"/>
        <v>8027.0992156515103</v>
      </c>
      <c r="AB65" s="154">
        <f t="shared" si="28"/>
        <v>4739.4238829838814</v>
      </c>
      <c r="AC65" s="144">
        <f t="shared" si="7"/>
        <v>4739.4238829838814</v>
      </c>
      <c r="AD65" s="154">
        <f t="shared" si="8"/>
        <v>168.44848520370124</v>
      </c>
      <c r="AE65" s="154">
        <f t="shared" si="9"/>
        <v>3.6851759317170263</v>
      </c>
      <c r="AF65" s="154">
        <f t="shared" si="10"/>
        <v>-37.24540769640771</v>
      </c>
      <c r="AG65" s="154">
        <f t="shared" si="11"/>
        <v>-0.77973595051005873</v>
      </c>
      <c r="AH65" s="154">
        <f t="shared" si="12"/>
        <v>-3287.6753326676289</v>
      </c>
      <c r="AI65" s="154">
        <f t="shared" si="13"/>
        <v>-40.957203148270651</v>
      </c>
    </row>
    <row r="66" spans="1:35" ht="49.95" customHeight="1" outlineLevel="3">
      <c r="A66" s="139" t="s">
        <v>431</v>
      </c>
      <c r="B66" s="143" t="s">
        <v>432</v>
      </c>
      <c r="C66" s="147" t="s">
        <v>433</v>
      </c>
      <c r="D66" s="148" t="s">
        <v>434</v>
      </c>
      <c r="E66" s="149" t="s">
        <v>435</v>
      </c>
      <c r="F66" s="143" t="s">
        <v>121</v>
      </c>
      <c r="G66" s="143">
        <v>670.06650718860055</v>
      </c>
      <c r="H66" s="143">
        <v>545.61377000000005</v>
      </c>
      <c r="I66" s="143">
        <v>545.61</v>
      </c>
      <c r="J66" s="143">
        <v>735.24610896179649</v>
      </c>
      <c r="K66" s="143">
        <v>842.7</v>
      </c>
      <c r="L66" s="143">
        <v>842.7</v>
      </c>
      <c r="M66" s="143">
        <v>776.34788549480345</v>
      </c>
      <c r="N66" s="143">
        <v>1399.41193</v>
      </c>
      <c r="O66" s="143">
        <v>1377.5456799999999</v>
      </c>
      <c r="P66" s="150">
        <v>1377.5456799999999</v>
      </c>
      <c r="Q66" s="143">
        <v>1377.5456799999999</v>
      </c>
      <c r="R66" s="166">
        <v>1377.5456799999999</v>
      </c>
      <c r="S66" s="143">
        <f t="shared" si="3"/>
        <v>601.1977945051965</v>
      </c>
      <c r="T66" s="143">
        <f t="shared" si="4"/>
        <v>0</v>
      </c>
      <c r="U66" s="151" t="e">
        <f>R66-#REF!</f>
        <v>#REF!</v>
      </c>
      <c r="V66" s="151">
        <f t="shared" si="5"/>
        <v>601.1977945051965</v>
      </c>
      <c r="W66" s="151">
        <f t="shared" si="6"/>
        <v>0</v>
      </c>
      <c r="X66" s="151" t="e">
        <f>O66-#REF!</f>
        <v>#REF!</v>
      </c>
      <c r="Y66" s="151">
        <f>'[65]2. подк.неподк.'!V54</f>
        <v>819.04701919701756</v>
      </c>
      <c r="Z66" s="143">
        <f>'[65]2. подк.неподк.'!W54</f>
        <v>855.90413506088328</v>
      </c>
      <c r="AA66" s="143">
        <f>'[65]2. подк.неподк.'!X54</f>
        <v>1620.9</v>
      </c>
      <c r="AB66" s="143">
        <f>Y66*$AA$11</f>
        <v>849.23034281791161</v>
      </c>
      <c r="AC66" s="144">
        <f t="shared" si="7"/>
        <v>849.23034281791161</v>
      </c>
      <c r="AD66" s="143">
        <f t="shared" si="8"/>
        <v>30.183323620894043</v>
      </c>
      <c r="AE66" s="143">
        <f t="shared" si="9"/>
        <v>3.6851759317169979</v>
      </c>
      <c r="AF66" s="143">
        <f t="shared" si="10"/>
        <v>-6.6737922429716718</v>
      </c>
      <c r="AG66" s="143">
        <f t="shared" si="11"/>
        <v>-0.77973595051003031</v>
      </c>
      <c r="AH66" s="143">
        <f t="shared" si="12"/>
        <v>-771.66965718208849</v>
      </c>
      <c r="AI66" s="143">
        <f t="shared" si="13"/>
        <v>-47.60748085520936</v>
      </c>
    </row>
    <row r="67" spans="1:35" ht="33" customHeight="1" outlineLevel="3">
      <c r="A67" s="139" t="s">
        <v>436</v>
      </c>
      <c r="B67" s="143" t="s">
        <v>437</v>
      </c>
      <c r="C67" s="147" t="s">
        <v>438</v>
      </c>
      <c r="D67" s="148" t="s">
        <v>439</v>
      </c>
      <c r="E67" s="149" t="s">
        <v>440</v>
      </c>
      <c r="F67" s="143" t="s">
        <v>121</v>
      </c>
      <c r="G67" s="143">
        <v>0</v>
      </c>
      <c r="H67" s="143">
        <v>9046.3977099999993</v>
      </c>
      <c r="I67" s="143">
        <v>0</v>
      </c>
      <c r="J67" s="143">
        <v>0</v>
      </c>
      <c r="K67" s="143">
        <v>9989.85</v>
      </c>
      <c r="L67" s="143">
        <v>0</v>
      </c>
      <c r="M67" s="143">
        <v>0</v>
      </c>
      <c r="N67" s="143">
        <v>16119.477570000001</v>
      </c>
      <c r="O67" s="143">
        <v>16025.3755</v>
      </c>
      <c r="P67" s="150">
        <v>16119.477570000001</v>
      </c>
      <c r="Q67" s="167">
        <v>16119.477570000001</v>
      </c>
      <c r="R67" s="167">
        <v>0</v>
      </c>
      <c r="S67" s="143">
        <f t="shared" si="3"/>
        <v>0</v>
      </c>
      <c r="T67" s="143">
        <f t="shared" si="4"/>
        <v>-16025.3755</v>
      </c>
      <c r="U67" s="151" t="e">
        <f>R67-#REF!</f>
        <v>#REF!</v>
      </c>
      <c r="V67" s="151">
        <f t="shared" si="5"/>
        <v>0</v>
      </c>
      <c r="W67" s="151">
        <f t="shared" si="6"/>
        <v>0</v>
      </c>
      <c r="X67" s="151" t="e">
        <f>O67-#REF!</f>
        <v>#REF!</v>
      </c>
      <c r="Y67" s="143">
        <f>'[65]2. подк.неподк.'!V55</f>
        <v>0</v>
      </c>
      <c r="Z67" s="143">
        <f>'[65]2. подк.неподк.'!W55</f>
        <v>0</v>
      </c>
      <c r="AA67" s="143">
        <f>'[65]2. подк.неподк.'!X55</f>
        <v>27574</v>
      </c>
      <c r="AB67" s="143">
        <f>Y67*$AA$11</f>
        <v>0</v>
      </c>
      <c r="AC67" s="144">
        <f t="shared" si="7"/>
        <v>0</v>
      </c>
      <c r="AD67" s="143">
        <f t="shared" si="8"/>
        <v>0</v>
      </c>
      <c r="AE67" s="143"/>
      <c r="AF67" s="143">
        <f t="shared" si="10"/>
        <v>0</v>
      </c>
      <c r="AG67" s="143"/>
      <c r="AH67" s="143">
        <f t="shared" si="12"/>
        <v>-27574</v>
      </c>
      <c r="AI67" s="143">
        <f t="shared" si="13"/>
        <v>-100</v>
      </c>
    </row>
    <row r="68" spans="1:35" ht="61.95" customHeight="1" outlineLevel="3">
      <c r="A68" s="139" t="s">
        <v>441</v>
      </c>
      <c r="B68" s="143" t="s">
        <v>442</v>
      </c>
      <c r="C68" s="147" t="s">
        <v>443</v>
      </c>
      <c r="D68" s="148" t="s">
        <v>444</v>
      </c>
      <c r="E68" s="149" t="s">
        <v>445</v>
      </c>
      <c r="F68" s="143" t="s">
        <v>121</v>
      </c>
      <c r="G68" s="143">
        <v>3131.4884335952024</v>
      </c>
      <c r="H68" s="143">
        <v>1246.28593</v>
      </c>
      <c r="I68" s="143">
        <v>1246.29</v>
      </c>
      <c r="J68" s="143">
        <v>3436.0987474511894</v>
      </c>
      <c r="K68" s="143">
        <v>1363.22</v>
      </c>
      <c r="L68" s="143">
        <v>1363.22</v>
      </c>
      <c r="M68" s="143">
        <v>1236.6572868874159</v>
      </c>
      <c r="N68" s="143">
        <v>3145.5927600000005</v>
      </c>
      <c r="O68" s="143">
        <v>3089.74424</v>
      </c>
      <c r="P68" s="150">
        <v>3089.74424</v>
      </c>
      <c r="Q68" s="143">
        <v>3089.74424</v>
      </c>
      <c r="R68" s="166">
        <v>3089.74424</v>
      </c>
      <c r="S68" s="143">
        <f t="shared" si="3"/>
        <v>1853.0869531125841</v>
      </c>
      <c r="T68" s="143">
        <f t="shared" si="4"/>
        <v>0</v>
      </c>
      <c r="U68" s="151" t="e">
        <f>R68-#REF!</f>
        <v>#REF!</v>
      </c>
      <c r="V68" s="151">
        <f t="shared" si="5"/>
        <v>1853.0869531125841</v>
      </c>
      <c r="W68" s="151">
        <f t="shared" si="6"/>
        <v>0</v>
      </c>
      <c r="X68" s="151" t="e">
        <f>O68-#REF!</f>
        <v>#REF!</v>
      </c>
      <c r="Y68" s="143">
        <f>'[65]2. подк.неподк.'!V56</f>
        <v>1546.0618824999997</v>
      </c>
      <c r="Z68" s="143">
        <f>'[65]2. подк.неподк.'!W56</f>
        <v>1615.6346672124996</v>
      </c>
      <c r="AA68" s="143">
        <f>'[65]2. подк.неподк.'!X56</f>
        <v>5028.3</v>
      </c>
      <c r="AB68" s="143">
        <f>Y68*$AA$11</f>
        <v>1603.0369828833404</v>
      </c>
      <c r="AC68" s="144">
        <f t="shared" si="7"/>
        <v>1603.0369828833404</v>
      </c>
      <c r="AD68" s="143">
        <f t="shared" si="8"/>
        <v>56.975100383340759</v>
      </c>
      <c r="AE68" s="143">
        <f t="shared" si="9"/>
        <v>3.6851759317169979</v>
      </c>
      <c r="AF68" s="143">
        <f t="shared" si="10"/>
        <v>-12.597684329159165</v>
      </c>
      <c r="AG68" s="143">
        <f t="shared" si="11"/>
        <v>-0.77973595051004452</v>
      </c>
      <c r="AH68" s="143">
        <f t="shared" si="12"/>
        <v>-3425.2630171166597</v>
      </c>
      <c r="AI68" s="143">
        <f t="shared" si="13"/>
        <v>-68.119702824347385</v>
      </c>
    </row>
    <row r="69" spans="1:35" ht="60" customHeight="1" outlineLevel="3">
      <c r="A69" s="139" t="s">
        <v>446</v>
      </c>
      <c r="B69" s="143" t="s">
        <v>447</v>
      </c>
      <c r="C69" s="147" t="s">
        <v>448</v>
      </c>
      <c r="D69" s="148" t="s">
        <v>449</v>
      </c>
      <c r="E69" s="149" t="s">
        <v>450</v>
      </c>
      <c r="F69" s="143" t="s">
        <v>121</v>
      </c>
      <c r="G69" s="143">
        <v>3167.404533980517</v>
      </c>
      <c r="H69" s="143">
        <v>2873.0864000000001</v>
      </c>
      <c r="I69" s="143">
        <v>2873.09</v>
      </c>
      <c r="J69" s="143">
        <v>3475.5085265911443</v>
      </c>
      <c r="K69" s="143">
        <v>6002.97</v>
      </c>
      <c r="L69" s="143">
        <v>6002.97</v>
      </c>
      <c r="M69" s="143">
        <v>3669.8070547562265</v>
      </c>
      <c r="N69" s="143">
        <v>7848.81988</v>
      </c>
      <c r="O69" s="143">
        <v>7737.6023299999997</v>
      </c>
      <c r="P69" s="150">
        <v>7737.6023299999997</v>
      </c>
      <c r="Q69" s="143">
        <v>7737.6023299999997</v>
      </c>
      <c r="R69" s="166">
        <v>7737.6023299999997</v>
      </c>
      <c r="S69" s="143">
        <f t="shared" si="3"/>
        <v>4067.7952752437732</v>
      </c>
      <c r="T69" s="143">
        <f t="shared" si="4"/>
        <v>0</v>
      </c>
      <c r="U69" s="151" t="e">
        <f>R69-#REF!</f>
        <v>#REF!</v>
      </c>
      <c r="V69" s="151">
        <f t="shared" si="5"/>
        <v>4067.7952752437732</v>
      </c>
      <c r="W69" s="151">
        <f t="shared" si="6"/>
        <v>0</v>
      </c>
      <c r="X69" s="151" t="e">
        <f>O69-#REF!</f>
        <v>#REF!</v>
      </c>
      <c r="Y69" s="143">
        <f>'[65]2. подк.неподк.'!V57</f>
        <v>3871.6464427678188</v>
      </c>
      <c r="Z69" s="143">
        <f>'[65]2. подк.неподк.'!W57</f>
        <v>4045.8705326923705</v>
      </c>
      <c r="AA69" s="143">
        <f>'[65]2. подк.неподк.'!X57</f>
        <v>21477.1</v>
      </c>
      <c r="AB69" s="143">
        <f>Y69*$AA$11</f>
        <v>4014.323425637876</v>
      </c>
      <c r="AC69" s="144">
        <f t="shared" si="7"/>
        <v>4014.323425637876</v>
      </c>
      <c r="AD69" s="143">
        <f t="shared" si="8"/>
        <v>142.67698287005715</v>
      </c>
      <c r="AE69" s="143">
        <f t="shared" si="9"/>
        <v>3.6851759317169979</v>
      </c>
      <c r="AF69" s="143">
        <f t="shared" si="10"/>
        <v>-31.547107054494518</v>
      </c>
      <c r="AG69" s="143">
        <f t="shared" si="11"/>
        <v>-0.77973595051004452</v>
      </c>
      <c r="AH69" s="143">
        <f t="shared" si="12"/>
        <v>-17462.776574362124</v>
      </c>
      <c r="AI69" s="143">
        <f t="shared" si="13"/>
        <v>-81.308819972725018</v>
      </c>
    </row>
    <row r="70" spans="1:35" s="161" customFormat="1" ht="33" customHeight="1" outlineLevel="2">
      <c r="A70" s="153"/>
      <c r="B70" s="154"/>
      <c r="C70" s="155"/>
      <c r="D70" s="156" t="s">
        <v>451</v>
      </c>
      <c r="E70" s="157"/>
      <c r="F70" s="158"/>
      <c r="G70" s="154">
        <f t="shared" ref="G70:I70" si="29">G66+G67+G68+G69</f>
        <v>6968.9594747643205</v>
      </c>
      <c r="H70" s="154">
        <f t="shared" si="29"/>
        <v>13711.383809999999</v>
      </c>
      <c r="I70" s="154">
        <f t="shared" si="29"/>
        <v>4664.99</v>
      </c>
      <c r="J70" s="154">
        <f>J66+J67+J68+J69</f>
        <v>7646.8533830041306</v>
      </c>
      <c r="K70" s="154">
        <f t="shared" ref="K70:AB70" si="30">K66+K67+K68+K69</f>
        <v>18198.740000000002</v>
      </c>
      <c r="L70" s="154">
        <f t="shared" si="30"/>
        <v>8208.89</v>
      </c>
      <c r="M70" s="154">
        <f t="shared" si="30"/>
        <v>5682.8122271384455</v>
      </c>
      <c r="N70" s="154">
        <f t="shared" si="30"/>
        <v>28513.30214</v>
      </c>
      <c r="O70" s="154">
        <f t="shared" si="30"/>
        <v>28230.267749999999</v>
      </c>
      <c r="P70" s="159">
        <f t="shared" si="30"/>
        <v>28324.36982</v>
      </c>
      <c r="Q70" s="154">
        <f t="shared" si="30"/>
        <v>28324.36982</v>
      </c>
      <c r="R70" s="154">
        <f t="shared" si="30"/>
        <v>12204.892250000001</v>
      </c>
      <c r="S70" s="144">
        <f t="shared" si="3"/>
        <v>6522.0800228615553</v>
      </c>
      <c r="T70" s="144">
        <f t="shared" si="4"/>
        <v>-16025.375499999998</v>
      </c>
      <c r="U70" s="160" t="e">
        <f>R70-#REF!</f>
        <v>#REF!</v>
      </c>
      <c r="V70" s="160">
        <f t="shared" si="5"/>
        <v>6522.0800228615553</v>
      </c>
      <c r="W70" s="160">
        <f t="shared" si="6"/>
        <v>0</v>
      </c>
      <c r="X70" s="160" t="e">
        <f>O70-#REF!</f>
        <v>#REF!</v>
      </c>
      <c r="Y70" s="154">
        <f t="shared" si="30"/>
        <v>6236.7553444648365</v>
      </c>
      <c r="Z70" s="154">
        <f t="shared" si="30"/>
        <v>6517.4093349657533</v>
      </c>
      <c r="AA70" s="154">
        <f t="shared" si="30"/>
        <v>55700.3</v>
      </c>
      <c r="AB70" s="154">
        <f t="shared" si="30"/>
        <v>6466.5907513391285</v>
      </c>
      <c r="AC70" s="144">
        <f t="shared" si="7"/>
        <v>6466.5907513391285</v>
      </c>
      <c r="AD70" s="154">
        <f t="shared" si="8"/>
        <v>229.83540687429195</v>
      </c>
      <c r="AE70" s="154">
        <f t="shared" si="9"/>
        <v>3.6851759317169979</v>
      </c>
      <c r="AF70" s="154">
        <f t="shared" si="10"/>
        <v>-50.818583626624786</v>
      </c>
      <c r="AG70" s="154">
        <f t="shared" si="11"/>
        <v>-0.77973595051003031</v>
      </c>
      <c r="AH70" s="154">
        <f t="shared" si="12"/>
        <v>-49233.709248660874</v>
      </c>
      <c r="AI70" s="154">
        <f t="shared" si="13"/>
        <v>-88.390384340229531</v>
      </c>
    </row>
    <row r="71" spans="1:35" ht="33" customHeight="1" outlineLevel="3">
      <c r="A71" s="139" t="s">
        <v>452</v>
      </c>
      <c r="B71" s="143" t="s">
        <v>453</v>
      </c>
      <c r="C71" s="147" t="s">
        <v>454</v>
      </c>
      <c r="D71" s="148" t="s">
        <v>455</v>
      </c>
      <c r="E71" s="149" t="s">
        <v>456</v>
      </c>
      <c r="F71" s="143" t="s">
        <v>121</v>
      </c>
      <c r="G71" s="143">
        <v>1601.062917176507</v>
      </c>
      <c r="H71" s="143">
        <v>5.8973100000000001</v>
      </c>
      <c r="I71" s="143">
        <v>5.9</v>
      </c>
      <c r="J71" s="143">
        <v>1756.8036417700187</v>
      </c>
      <c r="K71" s="143">
        <v>391.31400000000002</v>
      </c>
      <c r="L71" s="143">
        <v>391.31</v>
      </c>
      <c r="M71" s="143">
        <v>424.86400021061365</v>
      </c>
      <c r="N71" s="143">
        <v>449.61603000000002</v>
      </c>
      <c r="O71" s="143">
        <v>398.68016</v>
      </c>
      <c r="P71" s="150">
        <v>398.68016</v>
      </c>
      <c r="Q71" s="143">
        <v>398.68016</v>
      </c>
      <c r="R71" s="143">
        <v>398.68016</v>
      </c>
      <c r="S71" s="143">
        <f t="shared" si="3"/>
        <v>-26.183840210613653</v>
      </c>
      <c r="T71" s="143">
        <f t="shared" si="4"/>
        <v>0</v>
      </c>
      <c r="U71" s="151" t="e">
        <f>R71-#REF!</f>
        <v>#REF!</v>
      </c>
      <c r="V71" s="151">
        <f t="shared" si="5"/>
        <v>-26.183840210613653</v>
      </c>
      <c r="W71" s="151">
        <f t="shared" si="6"/>
        <v>0</v>
      </c>
      <c r="X71" s="151" t="e">
        <f>O71-#REF!</f>
        <v>#REF!</v>
      </c>
      <c r="Y71" s="143">
        <f>'[65]2. подк.неподк.'!V59</f>
        <v>443.79445375</v>
      </c>
      <c r="Z71" s="143">
        <f>'[65]2. подк.неподк.'!W59</f>
        <v>463.76520416874996</v>
      </c>
      <c r="AA71" s="143">
        <f>'[65]2. подк.неподк.'!X59</f>
        <v>3443.1847370314235</v>
      </c>
      <c r="AB71" s="143">
        <f t="shared" ref="AB71:AB78" si="31">Y71*$AA$11</f>
        <v>460.14906014588996</v>
      </c>
      <c r="AC71" s="144">
        <f t="shared" si="7"/>
        <v>460.14906014588996</v>
      </c>
      <c r="AD71" s="143">
        <f t="shared" si="8"/>
        <v>16.354606395889959</v>
      </c>
      <c r="AE71" s="143">
        <f t="shared" si="9"/>
        <v>3.6851759317169979</v>
      </c>
      <c r="AF71" s="143">
        <f t="shared" si="10"/>
        <v>-3.6161440228599986</v>
      </c>
      <c r="AG71" s="143">
        <f t="shared" si="11"/>
        <v>-0.77973595051003031</v>
      </c>
      <c r="AH71" s="143">
        <f t="shared" si="12"/>
        <v>-2983.0356768855336</v>
      </c>
      <c r="AI71" s="143">
        <f t="shared" si="13"/>
        <v>-86.635946215810307</v>
      </c>
    </row>
    <row r="72" spans="1:35" ht="33" customHeight="1" outlineLevel="3">
      <c r="A72" s="139" t="s">
        <v>457</v>
      </c>
      <c r="B72" s="143" t="s">
        <v>458</v>
      </c>
      <c r="C72" s="147" t="s">
        <v>459</v>
      </c>
      <c r="D72" s="148" t="s">
        <v>460</v>
      </c>
      <c r="E72" s="149" t="s">
        <v>461</v>
      </c>
      <c r="F72" s="143" t="s">
        <v>121</v>
      </c>
      <c r="G72" s="143">
        <v>166.70550178844826</v>
      </c>
      <c r="H72" s="143">
        <v>374.87126000000001</v>
      </c>
      <c r="I72" s="143">
        <v>374.87</v>
      </c>
      <c r="J72" s="143">
        <v>182.92150139953389</v>
      </c>
      <c r="K72" s="143">
        <v>783.02</v>
      </c>
      <c r="L72" s="143">
        <v>783.02</v>
      </c>
      <c r="M72" s="143">
        <v>618.83819145849088</v>
      </c>
      <c r="N72" s="143">
        <v>491.43229000000002</v>
      </c>
      <c r="O72" s="143">
        <v>459.30734000000001</v>
      </c>
      <c r="P72" s="150">
        <v>459.30734000000001</v>
      </c>
      <c r="Q72" s="143">
        <v>459.30734000000001</v>
      </c>
      <c r="R72" s="143">
        <v>459.30734000000001</v>
      </c>
      <c r="S72" s="143">
        <f t="shared" si="3"/>
        <v>-159.53085145849087</v>
      </c>
      <c r="T72" s="143">
        <f t="shared" si="4"/>
        <v>0</v>
      </c>
      <c r="U72" s="151" t="e">
        <f>R72-#REF!</f>
        <v>#REF!</v>
      </c>
      <c r="V72" s="151">
        <f t="shared" si="5"/>
        <v>-159.53085145849087</v>
      </c>
      <c r="W72" s="151">
        <f t="shared" si="6"/>
        <v>0</v>
      </c>
      <c r="X72" s="151" t="e">
        <f>O72-#REF!</f>
        <v>#REF!</v>
      </c>
      <c r="Y72" s="143">
        <f>'[65]2. подк.неподк.'!V60</f>
        <v>652.8742919887078</v>
      </c>
      <c r="Z72" s="143">
        <f>'[65]2. подк.неподк.'!W60</f>
        <v>682.25363512819956</v>
      </c>
      <c r="AA72" s="143">
        <f>'[65]2. подк.неподк.'!X60</f>
        <v>682.25363512819956</v>
      </c>
      <c r="AB72" s="143">
        <f t="shared" si="31"/>
        <v>676.93385826144345</v>
      </c>
      <c r="AC72" s="144">
        <f t="shared" si="7"/>
        <v>676.93385826144345</v>
      </c>
      <c r="AD72" s="143">
        <f t="shared" si="8"/>
        <v>24.059566272735651</v>
      </c>
      <c r="AE72" s="143">
        <f t="shared" si="9"/>
        <v>3.6851759317169979</v>
      </c>
      <c r="AF72" s="143">
        <f t="shared" si="10"/>
        <v>-5.3197768667561149</v>
      </c>
      <c r="AG72" s="143">
        <f t="shared" si="11"/>
        <v>-0.77973595051003031</v>
      </c>
      <c r="AH72" s="143">
        <f t="shared" si="12"/>
        <v>-5.3197768667561149</v>
      </c>
      <c r="AI72" s="143">
        <f t="shared" si="13"/>
        <v>-0.77973595051003031</v>
      </c>
    </row>
    <row r="73" spans="1:35" ht="33" customHeight="1" outlineLevel="3">
      <c r="A73" s="139" t="s">
        <v>462</v>
      </c>
      <c r="B73" s="143" t="s">
        <v>463</v>
      </c>
      <c r="C73" s="147" t="s">
        <v>464</v>
      </c>
      <c r="D73" s="148" t="s">
        <v>465</v>
      </c>
      <c r="E73" s="149" t="s">
        <v>466</v>
      </c>
      <c r="F73" s="143" t="s">
        <v>121</v>
      </c>
      <c r="G73" s="143">
        <v>346.39930371623745</v>
      </c>
      <c r="H73" s="143">
        <v>133.18384</v>
      </c>
      <c r="I73" s="143">
        <v>133.18</v>
      </c>
      <c r="J73" s="143">
        <v>380.09471816915197</v>
      </c>
      <c r="K73" s="143">
        <v>502.16780999999997</v>
      </c>
      <c r="L73" s="143">
        <v>502.17</v>
      </c>
      <c r="M73" s="143">
        <v>314.96235797288369</v>
      </c>
      <c r="N73" s="143">
        <v>723.36785999999995</v>
      </c>
      <c r="O73" s="143">
        <v>651.99960999999996</v>
      </c>
      <c r="P73" s="150">
        <v>651.99960999999996</v>
      </c>
      <c r="Q73" s="143">
        <v>651.99960999999996</v>
      </c>
      <c r="R73" s="143">
        <v>651.99960999999996</v>
      </c>
      <c r="S73" s="143">
        <f t="shared" si="3"/>
        <v>337.03725202711627</v>
      </c>
      <c r="T73" s="143">
        <f t="shared" si="4"/>
        <v>0</v>
      </c>
      <c r="U73" s="151" t="e">
        <f>R73-#REF!</f>
        <v>#REF!</v>
      </c>
      <c r="V73" s="151">
        <f t="shared" si="5"/>
        <v>337.03725202711627</v>
      </c>
      <c r="W73" s="151">
        <f t="shared" si="6"/>
        <v>0</v>
      </c>
      <c r="X73" s="151" t="e">
        <f>O73-#REF!</f>
        <v>#REF!</v>
      </c>
      <c r="Y73" s="143">
        <f>'[65]2. подк.неподк.'!V61</f>
        <v>332.28528766139226</v>
      </c>
      <c r="Z73" s="143">
        <f>'[65]2. подк.неподк.'!W61</f>
        <v>347.23812560615488</v>
      </c>
      <c r="AA73" s="143">
        <f>'[65]2. подк.неподк.'!X61</f>
        <v>1158.55</v>
      </c>
      <c r="AB73" s="143">
        <f t="shared" si="31"/>
        <v>344.53058510692648</v>
      </c>
      <c r="AC73" s="144">
        <f t="shared" si="7"/>
        <v>344.53058510692648</v>
      </c>
      <c r="AD73" s="143">
        <f t="shared" si="8"/>
        <v>12.24529744553422</v>
      </c>
      <c r="AE73" s="143">
        <f t="shared" si="9"/>
        <v>3.6851759317169979</v>
      </c>
      <c r="AF73" s="143">
        <f t="shared" si="10"/>
        <v>-2.7075404992284007</v>
      </c>
      <c r="AG73" s="143">
        <f t="shared" si="11"/>
        <v>-0.77973595051004452</v>
      </c>
      <c r="AH73" s="143">
        <f t="shared" si="12"/>
        <v>-814.01941489307342</v>
      </c>
      <c r="AI73" s="143">
        <f t="shared" si="13"/>
        <v>-70.261914884387679</v>
      </c>
    </row>
    <row r="74" spans="1:35" ht="33" customHeight="1" outlineLevel="3">
      <c r="A74" s="139" t="s">
        <v>467</v>
      </c>
      <c r="B74" s="143" t="s">
        <v>468</v>
      </c>
      <c r="C74" s="147" t="s">
        <v>469</v>
      </c>
      <c r="D74" s="148" t="s">
        <v>470</v>
      </c>
      <c r="E74" s="149" t="s">
        <v>471</v>
      </c>
      <c r="F74" s="143" t="s">
        <v>121</v>
      </c>
      <c r="G74" s="143">
        <v>3844.5368412449207</v>
      </c>
      <c r="H74" s="143">
        <v>3450.0393399999998</v>
      </c>
      <c r="I74" s="143">
        <v>3450.04</v>
      </c>
      <c r="J74" s="143">
        <v>4218.5077495449132</v>
      </c>
      <c r="K74" s="143">
        <v>4554.4943500000008</v>
      </c>
      <c r="L74" s="143">
        <v>4554.49</v>
      </c>
      <c r="M74" s="143">
        <v>3682.5754984586474</v>
      </c>
      <c r="N74" s="143">
        <v>4226.3413700000001</v>
      </c>
      <c r="O74" s="143">
        <v>4003.7498000000005</v>
      </c>
      <c r="P74" s="150">
        <v>4003.7498000000005</v>
      </c>
      <c r="Q74" s="143">
        <v>4003.7498000000005</v>
      </c>
      <c r="R74" s="143">
        <v>4003.7498000000005</v>
      </c>
      <c r="S74" s="143">
        <f t="shared" si="3"/>
        <v>321.17430154135309</v>
      </c>
      <c r="T74" s="143">
        <f t="shared" si="4"/>
        <v>0</v>
      </c>
      <c r="U74" s="151" t="e">
        <f>R74-#REF!</f>
        <v>#REF!</v>
      </c>
      <c r="V74" s="151">
        <f t="shared" si="5"/>
        <v>321.17430154135309</v>
      </c>
      <c r="W74" s="151">
        <f t="shared" si="6"/>
        <v>0</v>
      </c>
      <c r="X74" s="151" t="e">
        <f>O74-#REF!</f>
        <v>#REF!</v>
      </c>
      <c r="Y74" s="143">
        <f>'[65]2. подк.неподк.'!V62</f>
        <v>3885.117150873873</v>
      </c>
      <c r="Z74" s="143">
        <f>'[65]2. подк.неподк.'!W62</f>
        <v>4059.9474226631969</v>
      </c>
      <c r="AA74" s="143">
        <f>'[65]2. подк.неподк.'!X62</f>
        <v>5042.1680000000006</v>
      </c>
      <c r="AB74" s="143">
        <f t="shared" si="31"/>
        <v>4028.2905530368862</v>
      </c>
      <c r="AC74" s="144">
        <f t="shared" si="7"/>
        <v>4028.2905530368862</v>
      </c>
      <c r="AD74" s="143">
        <f t="shared" si="8"/>
        <v>143.17340216301318</v>
      </c>
      <c r="AE74" s="143">
        <f t="shared" si="9"/>
        <v>3.6851759317169979</v>
      </c>
      <c r="AF74" s="143">
        <f t="shared" si="10"/>
        <v>-31.656869626310709</v>
      </c>
      <c r="AG74" s="143">
        <f t="shared" si="11"/>
        <v>-0.77973595051004452</v>
      </c>
      <c r="AH74" s="143">
        <f t="shared" si="12"/>
        <v>-1013.8774469631144</v>
      </c>
      <c r="AI74" s="143">
        <f t="shared" si="13"/>
        <v>-20.107966393882833</v>
      </c>
    </row>
    <row r="75" spans="1:35" ht="33" customHeight="1" outlineLevel="3">
      <c r="A75" s="139" t="s">
        <v>472</v>
      </c>
      <c r="B75" s="143" t="s">
        <v>473</v>
      </c>
      <c r="C75" s="147" t="s">
        <v>474</v>
      </c>
      <c r="D75" s="148" t="s">
        <v>475</v>
      </c>
      <c r="E75" s="149" t="s">
        <v>476</v>
      </c>
      <c r="F75" s="143" t="s">
        <v>121</v>
      </c>
      <c r="G75" s="143">
        <v>2088.7164224081462</v>
      </c>
      <c r="H75" s="143">
        <v>3753.8494900000001</v>
      </c>
      <c r="I75" s="143">
        <v>3753.85</v>
      </c>
      <c r="J75" s="143">
        <v>2291.8928282859861</v>
      </c>
      <c r="K75" s="143">
        <v>5219.4122700000007</v>
      </c>
      <c r="L75" s="143">
        <v>5219.41</v>
      </c>
      <c r="M75" s="143">
        <v>4218.9866027946018</v>
      </c>
      <c r="N75" s="143">
        <v>4148.9754400000002</v>
      </c>
      <c r="O75" s="143">
        <v>3880.2299600000001</v>
      </c>
      <c r="P75" s="150">
        <v>3880.2299600000001</v>
      </c>
      <c r="Q75" s="143">
        <v>3880.2299600000001</v>
      </c>
      <c r="R75" s="143">
        <v>3880.2299600000001</v>
      </c>
      <c r="S75" s="143">
        <f t="shared" si="3"/>
        <v>-338.7566427946017</v>
      </c>
      <c r="T75" s="143">
        <f t="shared" si="4"/>
        <v>0</v>
      </c>
      <c r="U75" s="151" t="e">
        <f>R75-#REF!</f>
        <v>#REF!</v>
      </c>
      <c r="V75" s="151">
        <f t="shared" si="5"/>
        <v>-338.7566427946017</v>
      </c>
      <c r="W75" s="151">
        <f t="shared" si="6"/>
        <v>0</v>
      </c>
      <c r="X75" s="151" t="e">
        <f>O75-#REF!</f>
        <v>#REF!</v>
      </c>
      <c r="Y75" s="143">
        <f>'[65]2. подк.неподк.'!V63</f>
        <v>4451.0308659483044</v>
      </c>
      <c r="Z75" s="143">
        <f>'[65]2. подк.неподк.'!W63</f>
        <v>4651.3272549159774</v>
      </c>
      <c r="AA75" s="143">
        <f>'[65]2. подк.неподк.'!X63</f>
        <v>5439.2998439999992</v>
      </c>
      <c r="AB75" s="143">
        <f t="shared" si="31"/>
        <v>4615.0591841335263</v>
      </c>
      <c r="AC75" s="144">
        <f t="shared" si="7"/>
        <v>4615.0591841335263</v>
      </c>
      <c r="AD75" s="143">
        <f t="shared" si="8"/>
        <v>164.02831818522191</v>
      </c>
      <c r="AE75" s="143">
        <f t="shared" si="9"/>
        <v>3.6851759317169979</v>
      </c>
      <c r="AF75" s="143">
        <f t="shared" si="10"/>
        <v>-36.268070782451105</v>
      </c>
      <c r="AG75" s="143">
        <f t="shared" si="11"/>
        <v>-0.77973595051003031</v>
      </c>
      <c r="AH75" s="143">
        <f t="shared" si="12"/>
        <v>-824.24065986647292</v>
      </c>
      <c r="AI75" s="143">
        <f t="shared" si="13"/>
        <v>-15.153433042961936</v>
      </c>
    </row>
    <row r="76" spans="1:35" ht="33" customHeight="1" outlineLevel="3">
      <c r="A76" s="139" t="s">
        <v>477</v>
      </c>
      <c r="B76" s="143" t="s">
        <v>478</v>
      </c>
      <c r="C76" s="147" t="s">
        <v>479</v>
      </c>
      <c r="D76" s="148" t="s">
        <v>480</v>
      </c>
      <c r="E76" s="149" t="s">
        <v>481</v>
      </c>
      <c r="F76" s="143" t="s">
        <v>121</v>
      </c>
      <c r="G76" s="143">
        <v>120.14950128898666</v>
      </c>
      <c r="H76" s="143">
        <v>301.75083999999998</v>
      </c>
      <c r="I76" s="143">
        <v>301.75</v>
      </c>
      <c r="J76" s="143">
        <v>131.8368436098587</v>
      </c>
      <c r="K76" s="143">
        <v>396.08582000000001</v>
      </c>
      <c r="L76" s="143">
        <v>131.84</v>
      </c>
      <c r="M76" s="143">
        <v>429.89</v>
      </c>
      <c r="N76" s="143">
        <v>94.819499999999991</v>
      </c>
      <c r="O76" s="143">
        <v>88.546869999999998</v>
      </c>
      <c r="P76" s="150">
        <v>88.546869999999998</v>
      </c>
      <c r="Q76" s="143">
        <v>88.546869999999998</v>
      </c>
      <c r="R76" s="143">
        <v>88.546869999999998</v>
      </c>
      <c r="S76" s="143">
        <f t="shared" si="3"/>
        <v>-341.34312999999997</v>
      </c>
      <c r="T76" s="143">
        <f t="shared" si="4"/>
        <v>0</v>
      </c>
      <c r="U76" s="151" t="e">
        <f>R76-#REF!</f>
        <v>#REF!</v>
      </c>
      <c r="V76" s="151">
        <f t="shared" si="5"/>
        <v>-341.34312999999997</v>
      </c>
      <c r="W76" s="151">
        <f t="shared" si="6"/>
        <v>0</v>
      </c>
      <c r="X76" s="151" t="e">
        <f>O76-#REF!</f>
        <v>#REF!</v>
      </c>
      <c r="Y76" s="143">
        <f>'[65]2. подк.неподк.'!V64</f>
        <v>62.34</v>
      </c>
      <c r="Z76" s="143">
        <f>'[65]2. подк.неподк.'!W64</f>
        <v>65.145300000000006</v>
      </c>
      <c r="AA76" s="143">
        <f>'[65]2. подк.неподк.'!X64</f>
        <v>101.803</v>
      </c>
      <c r="AB76" s="143">
        <f t="shared" si="31"/>
        <v>64.637338675832382</v>
      </c>
      <c r="AC76" s="144">
        <f t="shared" si="7"/>
        <v>64.637338675832382</v>
      </c>
      <c r="AD76" s="143">
        <f t="shared" si="8"/>
        <v>2.2973386758323784</v>
      </c>
      <c r="AE76" s="143">
        <f t="shared" si="9"/>
        <v>3.6851759317169979</v>
      </c>
      <c r="AF76" s="143">
        <f t="shared" si="10"/>
        <v>-0.50796132416762418</v>
      </c>
      <c r="AG76" s="143">
        <f t="shared" si="11"/>
        <v>-0.77973595051005873</v>
      </c>
      <c r="AH76" s="143">
        <f t="shared" si="12"/>
        <v>-37.165661324167615</v>
      </c>
      <c r="AI76" s="143">
        <f t="shared" si="13"/>
        <v>-36.507432319447972</v>
      </c>
    </row>
    <row r="77" spans="1:35" ht="55.5" customHeight="1" outlineLevel="3">
      <c r="A77" s="139" t="s">
        <v>482</v>
      </c>
      <c r="B77" s="143" t="s">
        <v>483</v>
      </c>
      <c r="C77" s="147" t="s">
        <v>484</v>
      </c>
      <c r="D77" s="164" t="s">
        <v>485</v>
      </c>
      <c r="E77" s="149" t="s">
        <v>486</v>
      </c>
      <c r="F77" s="143" t="s">
        <v>121</v>
      </c>
      <c r="G77" s="143">
        <v>6777.5957727113328</v>
      </c>
      <c r="H77" s="143">
        <v>2118.4034299999998</v>
      </c>
      <c r="I77" s="143">
        <v>2118.4</v>
      </c>
      <c r="J77" s="143">
        <v>7436.8750960407715</v>
      </c>
      <c r="K77" s="143">
        <v>1960.84422</v>
      </c>
      <c r="L77" s="143">
        <v>1960.84</v>
      </c>
      <c r="M77" s="143">
        <v>1778.6748491212984</v>
      </c>
      <c r="N77" s="143">
        <v>4979.6228500000007</v>
      </c>
      <c r="O77" s="143">
        <v>4979.6229499999999</v>
      </c>
      <c r="P77" s="150">
        <v>4979.6229499999999</v>
      </c>
      <c r="Q77" s="143">
        <v>4979.6229499999999</v>
      </c>
      <c r="R77" s="143">
        <v>4979.6229499999999</v>
      </c>
      <c r="S77" s="143">
        <f t="shared" si="3"/>
        <v>3200.9481008787016</v>
      </c>
      <c r="T77" s="143">
        <f t="shared" si="4"/>
        <v>0</v>
      </c>
      <c r="U77" s="151" t="e">
        <f>R77-#REF!</f>
        <v>#REF!</v>
      </c>
      <c r="V77" s="151">
        <f t="shared" si="5"/>
        <v>3200.9481008787016</v>
      </c>
      <c r="W77" s="151">
        <f t="shared" si="6"/>
        <v>0</v>
      </c>
      <c r="X77" s="151" t="e">
        <f>O77-#REF!</f>
        <v>#REF!</v>
      </c>
      <c r="Y77" s="143">
        <f>'[65]2. подк.неподк.'!V65</f>
        <v>2223.8376649999996</v>
      </c>
      <c r="Z77" s="143">
        <f>'[65]2. подк.неподк.'!W65</f>
        <v>2323.9103599249993</v>
      </c>
      <c r="AA77" s="143">
        <f>'[65]2. подк.неподк.'!X65</f>
        <v>10791.408170000001</v>
      </c>
      <c r="AB77" s="143">
        <f t="shared" si="31"/>
        <v>2305.7899953910369</v>
      </c>
      <c r="AC77" s="144">
        <f t="shared" si="7"/>
        <v>2305.7899953910369</v>
      </c>
      <c r="AD77" s="143">
        <f t="shared" si="8"/>
        <v>81.952330391037322</v>
      </c>
      <c r="AE77" s="143">
        <f t="shared" si="9"/>
        <v>3.6851759317169979</v>
      </c>
      <c r="AF77" s="143">
        <f t="shared" si="10"/>
        <v>-18.120364533962402</v>
      </c>
      <c r="AG77" s="143">
        <f t="shared" si="11"/>
        <v>-0.77973595051004452</v>
      </c>
      <c r="AH77" s="143">
        <f t="shared" si="12"/>
        <v>-8485.6181746089642</v>
      </c>
      <c r="AI77" s="143">
        <f t="shared" si="13"/>
        <v>-78.633094411152854</v>
      </c>
    </row>
    <row r="78" spans="1:35" ht="33" customHeight="1" outlineLevel="3">
      <c r="A78" s="139" t="s">
        <v>487</v>
      </c>
      <c r="B78" s="143" t="s">
        <v>488</v>
      </c>
      <c r="C78" s="147" t="s">
        <v>489</v>
      </c>
      <c r="D78" s="148" t="s">
        <v>490</v>
      </c>
      <c r="E78" s="149" t="s">
        <v>491</v>
      </c>
      <c r="F78" s="143" t="s">
        <v>121</v>
      </c>
      <c r="G78" s="143">
        <v>19.477300208956173</v>
      </c>
      <c r="H78" s="143">
        <v>99.324190000000002</v>
      </c>
      <c r="I78" s="143">
        <v>99.32</v>
      </c>
      <c r="J78" s="143">
        <v>21.371922097406156</v>
      </c>
      <c r="K78" s="143">
        <v>116.21565</v>
      </c>
      <c r="L78" s="143">
        <v>116.22</v>
      </c>
      <c r="M78" s="143">
        <v>105.69677572446184</v>
      </c>
      <c r="N78" s="143">
        <v>226.14131000000003</v>
      </c>
      <c r="O78" s="143">
        <v>212.09079</v>
      </c>
      <c r="P78" s="150">
        <v>212.09079</v>
      </c>
      <c r="Q78" s="143">
        <v>212.09079</v>
      </c>
      <c r="R78" s="143">
        <v>212.09079</v>
      </c>
      <c r="S78" s="143">
        <f t="shared" si="3"/>
        <v>106.39401427553815</v>
      </c>
      <c r="T78" s="143">
        <f t="shared" si="4"/>
        <v>0</v>
      </c>
      <c r="U78" s="151" t="e">
        <f>R78-#REF!</f>
        <v>#REF!</v>
      </c>
      <c r="V78" s="151">
        <f t="shared" si="5"/>
        <v>106.39401427553815</v>
      </c>
      <c r="W78" s="151">
        <f t="shared" si="6"/>
        <v>0</v>
      </c>
      <c r="X78" s="151" t="e">
        <f>O78-#REF!</f>
        <v>#REF!</v>
      </c>
      <c r="Y78" s="143">
        <f>'[65]2. подк.неподк.'!V66</f>
        <v>111.51009838930725</v>
      </c>
      <c r="Z78" s="143">
        <f>'[65]2. подк.неподк.'!W66</f>
        <v>116.52805281682606</v>
      </c>
      <c r="AA78" s="143">
        <f>'[65]2. подк.неподк.'!X66</f>
        <v>176.96</v>
      </c>
      <c r="AB78" s="143">
        <f t="shared" si="31"/>
        <v>115.61944169658395</v>
      </c>
      <c r="AC78" s="144">
        <f t="shared" si="7"/>
        <v>115.61944169658395</v>
      </c>
      <c r="AD78" s="143">
        <f t="shared" si="8"/>
        <v>4.1093433072767027</v>
      </c>
      <c r="AE78" s="143">
        <f t="shared" si="9"/>
        <v>3.6851759317169979</v>
      </c>
      <c r="AF78" s="143">
        <f t="shared" si="10"/>
        <v>-0.90861112024211366</v>
      </c>
      <c r="AG78" s="143">
        <f t="shared" si="11"/>
        <v>-0.77973595051003031</v>
      </c>
      <c r="AH78" s="143">
        <f t="shared" si="12"/>
        <v>-61.34055830341606</v>
      </c>
      <c r="AI78" s="143">
        <f t="shared" si="13"/>
        <v>-34.663516220284833</v>
      </c>
    </row>
    <row r="79" spans="1:35" s="161" customFormat="1" ht="33" customHeight="1" outlineLevel="2">
      <c r="A79" s="153"/>
      <c r="B79" s="154"/>
      <c r="C79" s="155"/>
      <c r="D79" s="156" t="s">
        <v>492</v>
      </c>
      <c r="E79" s="157"/>
      <c r="F79" s="158"/>
      <c r="G79" s="154">
        <f t="shared" ref="G79:I79" si="32">G71+G72+G73+G74+G78+G75+G76+G77</f>
        <v>14964.643560543534</v>
      </c>
      <c r="H79" s="154">
        <f t="shared" si="32"/>
        <v>10237.319699999998</v>
      </c>
      <c r="I79" s="154">
        <f t="shared" si="32"/>
        <v>10237.31</v>
      </c>
      <c r="J79" s="154">
        <f>J71+J72+J73+J74+J78+J75+J76+J77</f>
        <v>16420.30430091764</v>
      </c>
      <c r="K79" s="154">
        <f t="shared" ref="K79:AB79" si="33">K71+K72+K73+K74+K78+K75+K76+K77</f>
        <v>13923.554120000001</v>
      </c>
      <c r="L79" s="154">
        <f t="shared" si="33"/>
        <v>13659.3</v>
      </c>
      <c r="M79" s="154">
        <f t="shared" si="33"/>
        <v>11574.488275740996</v>
      </c>
      <c r="N79" s="154">
        <f t="shared" si="33"/>
        <v>15340.316650000001</v>
      </c>
      <c r="O79" s="154">
        <f t="shared" si="33"/>
        <v>14674.227480000001</v>
      </c>
      <c r="P79" s="159">
        <f t="shared" si="33"/>
        <v>14674.227480000001</v>
      </c>
      <c r="Q79" s="154">
        <f t="shared" si="33"/>
        <v>14674.227480000001</v>
      </c>
      <c r="R79" s="154">
        <f t="shared" si="33"/>
        <v>14674.227480000001</v>
      </c>
      <c r="S79" s="144">
        <f t="shared" si="3"/>
        <v>3099.7392042590054</v>
      </c>
      <c r="T79" s="144">
        <f t="shared" si="4"/>
        <v>0</v>
      </c>
      <c r="U79" s="160" t="e">
        <f>R79-#REF!</f>
        <v>#REF!</v>
      </c>
      <c r="V79" s="160">
        <f t="shared" si="5"/>
        <v>3099.7392042590054</v>
      </c>
      <c r="W79" s="160">
        <f t="shared" si="6"/>
        <v>0</v>
      </c>
      <c r="X79" s="160" t="e">
        <f>O79-#REF!</f>
        <v>#REF!</v>
      </c>
      <c r="Y79" s="154">
        <f t="shared" si="33"/>
        <v>12162.789813611584</v>
      </c>
      <c r="Z79" s="154">
        <f t="shared" si="33"/>
        <v>12710.115355224103</v>
      </c>
      <c r="AA79" s="154">
        <f t="shared" si="33"/>
        <v>26835.627386159624</v>
      </c>
      <c r="AB79" s="154">
        <f t="shared" si="33"/>
        <v>12611.010016448126</v>
      </c>
      <c r="AC79" s="144">
        <f t="shared" si="7"/>
        <v>12611.010016448126</v>
      </c>
      <c r="AD79" s="154">
        <f t="shared" si="8"/>
        <v>448.22020283654274</v>
      </c>
      <c r="AE79" s="154">
        <f t="shared" si="9"/>
        <v>3.6851759317170263</v>
      </c>
      <c r="AF79" s="154">
        <f t="shared" si="10"/>
        <v>-99.105338775976634</v>
      </c>
      <c r="AG79" s="154">
        <f t="shared" si="11"/>
        <v>-0.7797359505100161</v>
      </c>
      <c r="AH79" s="154">
        <f t="shared" si="12"/>
        <v>-14224.617369711497</v>
      </c>
      <c r="AI79" s="154">
        <f t="shared" si="13"/>
        <v>-53.00646474562317</v>
      </c>
    </row>
    <row r="80" spans="1:35" ht="33" customHeight="1" outlineLevel="3">
      <c r="A80" s="152" t="s">
        <v>493</v>
      </c>
      <c r="B80" s="143" t="s">
        <v>494</v>
      </c>
      <c r="C80" s="147" t="s">
        <v>495</v>
      </c>
      <c r="D80" s="164" t="s">
        <v>496</v>
      </c>
      <c r="E80" s="149" t="s">
        <v>497</v>
      </c>
      <c r="F80" s="143" t="s">
        <v>121</v>
      </c>
      <c r="G80" s="143">
        <v>334.99260033614212</v>
      </c>
      <c r="H80" s="143">
        <v>28481.502539999998</v>
      </c>
      <c r="I80" s="143">
        <v>27334</v>
      </c>
      <c r="J80" s="143">
        <v>367.58</v>
      </c>
      <c r="K80" s="143">
        <v>826.79</v>
      </c>
      <c r="L80" s="143">
        <v>367.58</v>
      </c>
      <c r="M80" s="143">
        <v>766.51482253211725</v>
      </c>
      <c r="N80" s="143">
        <v>965.08214999999996</v>
      </c>
      <c r="O80" s="143">
        <v>911.82749999999987</v>
      </c>
      <c r="P80" s="150">
        <v>766.51482253211725</v>
      </c>
      <c r="Q80" s="143">
        <v>766.51482253211725</v>
      </c>
      <c r="R80" s="143">
        <v>766.51482253211725</v>
      </c>
      <c r="S80" s="143">
        <f t="shared" si="3"/>
        <v>0</v>
      </c>
      <c r="T80" s="143">
        <f t="shared" si="4"/>
        <v>-145.31267746788262</v>
      </c>
      <c r="U80" s="151" t="e">
        <f>R80-#REF!</f>
        <v>#REF!</v>
      </c>
      <c r="V80" s="151">
        <f t="shared" si="5"/>
        <v>0</v>
      </c>
      <c r="W80" s="151">
        <f t="shared" si="6"/>
        <v>0</v>
      </c>
      <c r="X80" s="151" t="e">
        <f>O80-#REF!</f>
        <v>#REF!</v>
      </c>
      <c r="Y80" s="143">
        <f>'[65]2. подк.неподк.'!V68</f>
        <v>808.67313777138361</v>
      </c>
      <c r="Z80" s="143">
        <f>'[65]2. подк.неподк.'!W68</f>
        <v>845.06</v>
      </c>
      <c r="AA80" s="143">
        <f>'[65]2. подк.неподк.'!X68</f>
        <v>1127.56</v>
      </c>
      <c r="AB80" s="143">
        <f t="shared" ref="AB80:AB86" si="34">Y80*$AA$11</f>
        <v>838.47416561079524</v>
      </c>
      <c r="AC80" s="144">
        <f t="shared" si="7"/>
        <v>838.47416561079524</v>
      </c>
      <c r="AD80" s="143">
        <f t="shared" si="8"/>
        <v>29.801027839411631</v>
      </c>
      <c r="AE80" s="143">
        <f t="shared" si="9"/>
        <v>3.6851759317169979</v>
      </c>
      <c r="AF80" s="143">
        <f t="shared" si="10"/>
        <v>-6.585834389204706</v>
      </c>
      <c r="AG80" s="143">
        <f t="shared" si="11"/>
        <v>-0.77933334783384112</v>
      </c>
      <c r="AH80" s="143">
        <f t="shared" si="12"/>
        <v>-289.08583438920471</v>
      </c>
      <c r="AI80" s="143">
        <f t="shared" si="13"/>
        <v>-25.638177515094966</v>
      </c>
    </row>
    <row r="81" spans="1:35" ht="33" customHeight="1" outlineLevel="3">
      <c r="A81" s="139" t="s">
        <v>498</v>
      </c>
      <c r="B81" s="143" t="s">
        <v>499</v>
      </c>
      <c r="C81" s="147" t="s">
        <v>500</v>
      </c>
      <c r="D81" s="148" t="s">
        <v>501</v>
      </c>
      <c r="E81" s="149" t="s">
        <v>502</v>
      </c>
      <c r="F81" s="143" t="s">
        <v>121</v>
      </c>
      <c r="G81" s="143">
        <v>0</v>
      </c>
      <c r="H81" s="143">
        <v>766.29128000000003</v>
      </c>
      <c r="I81" s="143">
        <v>0</v>
      </c>
      <c r="J81" s="143">
        <v>0</v>
      </c>
      <c r="K81" s="143">
        <v>949.31412999999998</v>
      </c>
      <c r="L81" s="143">
        <v>0</v>
      </c>
      <c r="M81" s="143">
        <v>0</v>
      </c>
      <c r="N81" s="143">
        <v>997.32306000000005</v>
      </c>
      <c r="O81" s="143">
        <v>949.78813000000002</v>
      </c>
      <c r="P81" s="150">
        <v>0</v>
      </c>
      <c r="Q81" s="143">
        <v>0</v>
      </c>
      <c r="R81" s="143">
        <v>0</v>
      </c>
      <c r="S81" s="143">
        <f t="shared" si="3"/>
        <v>0</v>
      </c>
      <c r="T81" s="143">
        <f t="shared" si="4"/>
        <v>-949.78813000000002</v>
      </c>
      <c r="U81" s="151" t="e">
        <f>R81-#REF!</f>
        <v>#REF!</v>
      </c>
      <c r="V81" s="151">
        <f t="shared" si="5"/>
        <v>0</v>
      </c>
      <c r="W81" s="151">
        <f t="shared" si="6"/>
        <v>0</v>
      </c>
      <c r="X81" s="151" t="e">
        <f>O81-#REF!</f>
        <v>#REF!</v>
      </c>
      <c r="Y81" s="143">
        <f>'[65]2. подк.неподк.'!V69</f>
        <v>0</v>
      </c>
      <c r="Z81" s="143">
        <f>'[65]2. подк.неподк.'!W69</f>
        <v>0</v>
      </c>
      <c r="AA81" s="143">
        <f>'[65]2. подк.неподк.'!X69</f>
        <v>1129.92</v>
      </c>
      <c r="AB81" s="143">
        <f t="shared" si="34"/>
        <v>0</v>
      </c>
      <c r="AC81" s="144">
        <f t="shared" si="7"/>
        <v>0</v>
      </c>
      <c r="AD81" s="143">
        <f t="shared" si="8"/>
        <v>0</v>
      </c>
      <c r="AE81" s="143"/>
      <c r="AF81" s="143">
        <f t="shared" si="10"/>
        <v>0</v>
      </c>
      <c r="AG81" s="143"/>
      <c r="AH81" s="143">
        <f t="shared" si="12"/>
        <v>-1129.92</v>
      </c>
      <c r="AI81" s="143">
        <f t="shared" si="13"/>
        <v>-100</v>
      </c>
    </row>
    <row r="82" spans="1:35" ht="33" customHeight="1" outlineLevel="3">
      <c r="A82" s="139" t="s">
        <v>503</v>
      </c>
      <c r="B82" s="143" t="s">
        <v>504</v>
      </c>
      <c r="C82" s="147" t="s">
        <v>505</v>
      </c>
      <c r="D82" s="164" t="s">
        <v>506</v>
      </c>
      <c r="E82" s="149" t="s">
        <v>507</v>
      </c>
      <c r="F82" s="143" t="s">
        <v>121</v>
      </c>
      <c r="G82" s="143">
        <v>29.71</v>
      </c>
      <c r="H82" s="143">
        <v>0</v>
      </c>
      <c r="I82" s="143">
        <v>0</v>
      </c>
      <c r="J82" s="143">
        <v>32.594724129518433</v>
      </c>
      <c r="K82" s="143">
        <v>7.8636200000000001</v>
      </c>
      <c r="L82" s="143">
        <v>7.86</v>
      </c>
      <c r="M82" s="143">
        <v>0</v>
      </c>
      <c r="N82" s="143">
        <v>21.191680000000002</v>
      </c>
      <c r="O82" s="143">
        <v>1.51722</v>
      </c>
      <c r="P82" s="150">
        <v>1.51722</v>
      </c>
      <c r="Q82" s="143">
        <v>1.51722</v>
      </c>
      <c r="R82" s="143">
        <v>1.51722</v>
      </c>
      <c r="S82" s="143">
        <f t="shared" si="3"/>
        <v>1.51722</v>
      </c>
      <c r="T82" s="143">
        <f t="shared" si="4"/>
        <v>0</v>
      </c>
      <c r="U82" s="151" t="e">
        <f>R82-#REF!</f>
        <v>#REF!</v>
      </c>
      <c r="V82" s="151">
        <f t="shared" si="5"/>
        <v>1.51722</v>
      </c>
      <c r="W82" s="151">
        <f t="shared" si="6"/>
        <v>0</v>
      </c>
      <c r="X82" s="151" t="e">
        <f>O82-#REF!</f>
        <v>#REF!</v>
      </c>
      <c r="Y82" s="143">
        <f>'[65]2. подк.неподк.'!V70</f>
        <v>8.9142224999999993</v>
      </c>
      <c r="Z82" s="143">
        <f>'[65]2. подк.неподк.'!W70</f>
        <v>9.3153625124999984</v>
      </c>
      <c r="AA82" s="143">
        <f>'[65]2. подк.неподк.'!X70</f>
        <v>23.656956319999999</v>
      </c>
      <c r="AB82" s="143">
        <f t="shared" si="34"/>
        <v>9.2427272820697013</v>
      </c>
      <c r="AC82" s="144">
        <f t="shared" si="7"/>
        <v>9.2427272820697013</v>
      </c>
      <c r="AD82" s="143">
        <f t="shared" si="8"/>
        <v>0.32850478206970202</v>
      </c>
      <c r="AE82" s="143">
        <f t="shared" si="9"/>
        <v>3.6851759317169979</v>
      </c>
      <c r="AF82" s="143">
        <f t="shared" si="10"/>
        <v>-7.2635230430297071E-2</v>
      </c>
      <c r="AG82" s="143">
        <f t="shared" si="11"/>
        <v>-0.77973595051003031</v>
      </c>
      <c r="AH82" s="143">
        <f t="shared" si="12"/>
        <v>-14.414229037930298</v>
      </c>
      <c r="AI82" s="143">
        <f t="shared" si="13"/>
        <v>-60.93019255289515</v>
      </c>
    </row>
    <row r="83" spans="1:35" ht="33" customHeight="1" outlineLevel="3">
      <c r="A83" s="139" t="s">
        <v>508</v>
      </c>
      <c r="B83" s="143" t="s">
        <v>509</v>
      </c>
      <c r="C83" s="147" t="s">
        <v>510</v>
      </c>
      <c r="D83" s="148" t="s">
        <v>511</v>
      </c>
      <c r="E83" s="149" t="s">
        <v>512</v>
      </c>
      <c r="F83" s="143" t="s">
        <v>121</v>
      </c>
      <c r="G83" s="143">
        <v>0</v>
      </c>
      <c r="H83" s="143">
        <v>0</v>
      </c>
      <c r="I83" s="143">
        <v>0</v>
      </c>
      <c r="J83" s="143">
        <v>0</v>
      </c>
      <c r="K83" s="143">
        <v>0</v>
      </c>
      <c r="L83" s="143">
        <v>0</v>
      </c>
      <c r="M83" s="143">
        <v>0</v>
      </c>
      <c r="N83" s="143">
        <v>7.45831</v>
      </c>
      <c r="O83" s="143">
        <v>7.45831</v>
      </c>
      <c r="P83" s="150">
        <v>7.45831</v>
      </c>
      <c r="Q83" s="143">
        <v>7.45831</v>
      </c>
      <c r="R83" s="143">
        <v>7.45831</v>
      </c>
      <c r="S83" s="143">
        <f t="shared" si="3"/>
        <v>7.45831</v>
      </c>
      <c r="T83" s="143">
        <f t="shared" si="4"/>
        <v>0</v>
      </c>
      <c r="U83" s="151" t="e">
        <f>R83-#REF!</f>
        <v>#REF!</v>
      </c>
      <c r="V83" s="151">
        <f t="shared" si="5"/>
        <v>7.45831</v>
      </c>
      <c r="W83" s="151">
        <f t="shared" si="6"/>
        <v>0</v>
      </c>
      <c r="X83" s="151" t="e">
        <f>O83-#REF!</f>
        <v>#REF!</v>
      </c>
      <c r="Y83" s="151">
        <f>'[65]2. подк.неподк.'!V71</f>
        <v>0</v>
      </c>
      <c r="Z83" s="143">
        <f>'[65]2. подк.неподк.'!W71</f>
        <v>0</v>
      </c>
      <c r="AA83" s="143">
        <f>'[65]2. подк.неподк.'!X71</f>
        <v>19407.099999999999</v>
      </c>
      <c r="AB83" s="143">
        <f t="shared" si="34"/>
        <v>0</v>
      </c>
      <c r="AC83" s="144">
        <f t="shared" si="7"/>
        <v>0</v>
      </c>
      <c r="AD83" s="143">
        <f t="shared" si="8"/>
        <v>0</v>
      </c>
      <c r="AE83" s="143"/>
      <c r="AF83" s="143">
        <f t="shared" si="10"/>
        <v>0</v>
      </c>
      <c r="AG83" s="143"/>
      <c r="AH83" s="143">
        <f t="shared" si="12"/>
        <v>-19407.099999999999</v>
      </c>
      <c r="AI83" s="143">
        <f t="shared" si="13"/>
        <v>-100</v>
      </c>
    </row>
    <row r="84" spans="1:35" ht="33" customHeight="1" outlineLevel="3">
      <c r="A84" s="139"/>
      <c r="B84" s="143" t="s">
        <v>513</v>
      </c>
      <c r="C84" s="147"/>
      <c r="D84" s="148" t="s">
        <v>514</v>
      </c>
      <c r="E84" s="149"/>
      <c r="F84" s="143" t="s">
        <v>121</v>
      </c>
      <c r="G84" s="143">
        <v>0</v>
      </c>
      <c r="H84" s="143">
        <v>0</v>
      </c>
      <c r="I84" s="143">
        <v>0</v>
      </c>
      <c r="J84" s="143"/>
      <c r="K84" s="143"/>
      <c r="L84" s="143"/>
      <c r="M84" s="143"/>
      <c r="N84" s="143">
        <v>501.14762000000002</v>
      </c>
      <c r="O84" s="143"/>
      <c r="P84" s="150">
        <v>0</v>
      </c>
      <c r="Q84" s="143"/>
      <c r="R84" s="143"/>
      <c r="S84" s="143">
        <f t="shared" si="3"/>
        <v>0</v>
      </c>
      <c r="T84" s="143">
        <f t="shared" si="4"/>
        <v>0</v>
      </c>
      <c r="U84" s="151" t="e">
        <f>R84-#REF!</f>
        <v>#REF!</v>
      </c>
      <c r="V84" s="151">
        <f t="shared" si="5"/>
        <v>0</v>
      </c>
      <c r="W84" s="151">
        <f t="shared" si="6"/>
        <v>0</v>
      </c>
      <c r="X84" s="151" t="e">
        <f>O84-#REF!</f>
        <v>#REF!</v>
      </c>
      <c r="Y84" s="143">
        <v>0</v>
      </c>
      <c r="Z84" s="143">
        <v>0</v>
      </c>
      <c r="AA84" s="143">
        <v>0</v>
      </c>
      <c r="AB84" s="143">
        <f t="shared" si="34"/>
        <v>0</v>
      </c>
      <c r="AC84" s="144">
        <f t="shared" si="7"/>
        <v>0</v>
      </c>
      <c r="AD84" s="143">
        <f t="shared" si="8"/>
        <v>0</v>
      </c>
      <c r="AE84" s="143"/>
      <c r="AF84" s="143">
        <f t="shared" si="10"/>
        <v>0</v>
      </c>
      <c r="AG84" s="143"/>
      <c r="AH84" s="143">
        <f t="shared" si="12"/>
        <v>0</v>
      </c>
      <c r="AI84" s="143"/>
    </row>
    <row r="85" spans="1:35" ht="33" customHeight="1" outlineLevel="3">
      <c r="A85" s="139"/>
      <c r="B85" s="143" t="s">
        <v>515</v>
      </c>
      <c r="C85" s="147"/>
      <c r="D85" s="148" t="s">
        <v>516</v>
      </c>
      <c r="E85" s="149"/>
      <c r="F85" s="143" t="s">
        <v>121</v>
      </c>
      <c r="G85" s="143">
        <v>0</v>
      </c>
      <c r="H85" s="143">
        <v>0</v>
      </c>
      <c r="I85" s="143">
        <v>0</v>
      </c>
      <c r="J85" s="143"/>
      <c r="K85" s="143"/>
      <c r="L85" s="143"/>
      <c r="M85" s="143"/>
      <c r="N85" s="143">
        <v>1015.4797900000001</v>
      </c>
      <c r="O85" s="143"/>
      <c r="P85" s="150">
        <v>0</v>
      </c>
      <c r="Q85" s="143"/>
      <c r="R85" s="143"/>
      <c r="S85" s="143">
        <f t="shared" si="3"/>
        <v>0</v>
      </c>
      <c r="T85" s="143">
        <f t="shared" si="4"/>
        <v>0</v>
      </c>
      <c r="U85" s="151" t="e">
        <f>R85-#REF!</f>
        <v>#REF!</v>
      </c>
      <c r="V85" s="151">
        <f t="shared" si="5"/>
        <v>0</v>
      </c>
      <c r="W85" s="151">
        <f t="shared" si="6"/>
        <v>0</v>
      </c>
      <c r="X85" s="151" t="e">
        <f>O85-#REF!</f>
        <v>#REF!</v>
      </c>
      <c r="Y85" s="143">
        <v>0</v>
      </c>
      <c r="Z85" s="143">
        <v>0</v>
      </c>
      <c r="AA85" s="143">
        <v>0</v>
      </c>
      <c r="AB85" s="143">
        <f t="shared" si="34"/>
        <v>0</v>
      </c>
      <c r="AC85" s="144">
        <f t="shared" si="7"/>
        <v>0</v>
      </c>
      <c r="AD85" s="143">
        <f t="shared" si="8"/>
        <v>0</v>
      </c>
      <c r="AE85" s="143"/>
      <c r="AF85" s="143">
        <f t="shared" si="10"/>
        <v>0</v>
      </c>
      <c r="AG85" s="143"/>
      <c r="AH85" s="143">
        <f t="shared" si="12"/>
        <v>0</v>
      </c>
      <c r="AI85" s="143"/>
    </row>
    <row r="86" spans="1:35" ht="33" customHeight="1" outlineLevel="3">
      <c r="A86" s="139"/>
      <c r="B86" s="143" t="s">
        <v>517</v>
      </c>
      <c r="C86" s="147"/>
      <c r="D86" s="148" t="s">
        <v>518</v>
      </c>
      <c r="E86" s="149"/>
      <c r="F86" s="143" t="s">
        <v>121</v>
      </c>
      <c r="G86" s="143">
        <v>0</v>
      </c>
      <c r="H86" s="143">
        <v>0</v>
      </c>
      <c r="I86" s="143">
        <v>0</v>
      </c>
      <c r="J86" s="143"/>
      <c r="K86" s="143"/>
      <c r="L86" s="143"/>
      <c r="M86" s="143"/>
      <c r="N86" s="143">
        <v>202.4358</v>
      </c>
      <c r="O86" s="143"/>
      <c r="P86" s="150">
        <v>0</v>
      </c>
      <c r="Q86" s="143"/>
      <c r="R86" s="143"/>
      <c r="S86" s="143">
        <f t="shared" si="3"/>
        <v>0</v>
      </c>
      <c r="T86" s="143">
        <f t="shared" si="4"/>
        <v>0</v>
      </c>
      <c r="U86" s="151" t="e">
        <f>R86-#REF!</f>
        <v>#REF!</v>
      </c>
      <c r="V86" s="151">
        <f t="shared" si="5"/>
        <v>0</v>
      </c>
      <c r="W86" s="151">
        <f t="shared" si="6"/>
        <v>0</v>
      </c>
      <c r="X86" s="151" t="e">
        <f>O86-#REF!</f>
        <v>#REF!</v>
      </c>
      <c r="Y86" s="143">
        <v>0</v>
      </c>
      <c r="Z86" s="143">
        <v>0</v>
      </c>
      <c r="AA86" s="143">
        <v>0</v>
      </c>
      <c r="AB86" s="143">
        <f t="shared" si="34"/>
        <v>0</v>
      </c>
      <c r="AC86" s="144">
        <f t="shared" si="7"/>
        <v>0</v>
      </c>
      <c r="AD86" s="143">
        <f t="shared" si="8"/>
        <v>0</v>
      </c>
      <c r="AE86" s="143"/>
      <c r="AF86" s="143">
        <f t="shared" si="10"/>
        <v>0</v>
      </c>
      <c r="AG86" s="143"/>
      <c r="AH86" s="143">
        <f t="shared" si="12"/>
        <v>0</v>
      </c>
      <c r="AI86" s="143"/>
    </row>
    <row r="87" spans="1:35" s="161" customFormat="1" ht="33" customHeight="1" outlineLevel="2">
      <c r="A87" s="153"/>
      <c r="B87" s="154"/>
      <c r="C87" s="155"/>
      <c r="D87" s="156" t="s">
        <v>519</v>
      </c>
      <c r="E87" s="157"/>
      <c r="F87" s="158"/>
      <c r="G87" s="154">
        <f t="shared" ref="G87:I87" si="35">G80+G81+G82+G83+G84+G85+G86</f>
        <v>364.7026003361421</v>
      </c>
      <c r="H87" s="154">
        <f t="shared" si="35"/>
        <v>29247.793819999999</v>
      </c>
      <c r="I87" s="154">
        <f t="shared" si="35"/>
        <v>27334</v>
      </c>
      <c r="J87" s="154">
        <f>J80+J81+J82+J83+J84+J85+J86</f>
        <v>400.17472412951844</v>
      </c>
      <c r="K87" s="154">
        <f t="shared" ref="K87:AB87" si="36">K80+K81+K82+K83+K84+K85+K86</f>
        <v>1783.96775</v>
      </c>
      <c r="L87" s="154">
        <f t="shared" si="36"/>
        <v>375.44</v>
      </c>
      <c r="M87" s="154">
        <f t="shared" si="36"/>
        <v>766.51482253211725</v>
      </c>
      <c r="N87" s="154">
        <f t="shared" si="36"/>
        <v>3710.11841</v>
      </c>
      <c r="O87" s="154">
        <f t="shared" si="36"/>
        <v>1870.5911599999997</v>
      </c>
      <c r="P87" s="159">
        <f t="shared" si="36"/>
        <v>775.49035253211719</v>
      </c>
      <c r="Q87" s="154">
        <f t="shared" si="36"/>
        <v>775.49035253211719</v>
      </c>
      <c r="R87" s="154">
        <f t="shared" si="36"/>
        <v>775.49035253211719</v>
      </c>
      <c r="S87" s="144">
        <f t="shared" si="3"/>
        <v>8.9755299999999352</v>
      </c>
      <c r="T87" s="144">
        <f t="shared" si="4"/>
        <v>-1095.1008074678825</v>
      </c>
      <c r="U87" s="160" t="e">
        <f>R87-#REF!</f>
        <v>#REF!</v>
      </c>
      <c r="V87" s="160">
        <f t="shared" si="5"/>
        <v>8.9755299999999352</v>
      </c>
      <c r="W87" s="160">
        <f t="shared" si="6"/>
        <v>0</v>
      </c>
      <c r="X87" s="160" t="e">
        <f>O87-#REF!</f>
        <v>#REF!</v>
      </c>
      <c r="Y87" s="154">
        <f t="shared" si="36"/>
        <v>817.58736027138366</v>
      </c>
      <c r="Z87" s="154">
        <f t="shared" si="36"/>
        <v>854.37536251249992</v>
      </c>
      <c r="AA87" s="154">
        <f t="shared" si="36"/>
        <v>21688.236956319997</v>
      </c>
      <c r="AB87" s="154">
        <f t="shared" si="36"/>
        <v>847.71689289286496</v>
      </c>
      <c r="AC87" s="144">
        <f t="shared" si="7"/>
        <v>847.71689289286496</v>
      </c>
      <c r="AD87" s="154">
        <f t="shared" si="8"/>
        <v>30.129532621481303</v>
      </c>
      <c r="AE87" s="154">
        <f t="shared" si="9"/>
        <v>3.6851759317169979</v>
      </c>
      <c r="AF87" s="154">
        <f t="shared" si="10"/>
        <v>-6.6584696196349569</v>
      </c>
      <c r="AG87" s="154">
        <f t="shared" si="11"/>
        <v>-0.77933773746168811</v>
      </c>
      <c r="AH87" s="154">
        <f t="shared" si="12"/>
        <v>-20840.520063427131</v>
      </c>
      <c r="AI87" s="154">
        <f t="shared" si="13"/>
        <v>-96.091351756253118</v>
      </c>
    </row>
    <row r="88" spans="1:35" ht="54.6" customHeight="1" outlineLevel="3">
      <c r="A88" s="139"/>
      <c r="B88" s="143" t="s">
        <v>520</v>
      </c>
      <c r="C88" s="147" t="s">
        <v>521</v>
      </c>
      <c r="D88" s="148" t="s">
        <v>522</v>
      </c>
      <c r="E88" s="149" t="s">
        <v>522</v>
      </c>
      <c r="F88" s="143" t="s">
        <v>121</v>
      </c>
      <c r="G88" s="143">
        <v>0</v>
      </c>
      <c r="H88" s="143">
        <v>0</v>
      </c>
      <c r="I88" s="143">
        <v>0</v>
      </c>
      <c r="J88" s="143">
        <v>0</v>
      </c>
      <c r="K88" s="143">
        <v>0</v>
      </c>
      <c r="L88" s="143">
        <v>0</v>
      </c>
      <c r="M88" s="143">
        <v>0</v>
      </c>
      <c r="N88" s="143">
        <v>1169.65302</v>
      </c>
      <c r="O88" s="143">
        <v>956.74681999999996</v>
      </c>
      <c r="P88" s="150">
        <v>956.74681999999996</v>
      </c>
      <c r="Q88" s="143">
        <v>956.74681999999996</v>
      </c>
      <c r="R88" s="166">
        <v>956.74681999999996</v>
      </c>
      <c r="S88" s="143">
        <f t="shared" si="3"/>
        <v>956.74681999999996</v>
      </c>
      <c r="T88" s="143">
        <f t="shared" si="4"/>
        <v>0</v>
      </c>
      <c r="U88" s="151" t="e">
        <f>R88-#REF!</f>
        <v>#REF!</v>
      </c>
      <c r="V88" s="151">
        <f t="shared" si="5"/>
        <v>956.74681999999996</v>
      </c>
      <c r="W88" s="151">
        <f t="shared" si="6"/>
        <v>0</v>
      </c>
      <c r="X88" s="151" t="e">
        <f>O88-#REF!</f>
        <v>#REF!</v>
      </c>
      <c r="Y88" s="143">
        <f>'[65]2. подк.неподк.'!V76</f>
        <v>0</v>
      </c>
      <c r="Z88" s="143">
        <f>'[65]2. подк.неподк.'!W76</f>
        <v>0</v>
      </c>
      <c r="AA88" s="143">
        <f>'[65]2. подк.неподк.'!X76</f>
        <v>1392.1415932800003</v>
      </c>
      <c r="AB88" s="143">
        <f>Y88*$AA$11</f>
        <v>0</v>
      </c>
      <c r="AC88" s="144">
        <f t="shared" si="7"/>
        <v>0</v>
      </c>
      <c r="AD88" s="143">
        <f t="shared" si="8"/>
        <v>0</v>
      </c>
      <c r="AE88" s="143"/>
      <c r="AF88" s="143">
        <f t="shared" si="10"/>
        <v>0</v>
      </c>
      <c r="AG88" s="143"/>
      <c r="AH88" s="143">
        <f t="shared" si="12"/>
        <v>-1392.1415932800003</v>
      </c>
      <c r="AI88" s="143">
        <f t="shared" si="13"/>
        <v>-100</v>
      </c>
    </row>
    <row r="89" spans="1:35" ht="45" customHeight="1" outlineLevel="3">
      <c r="A89" s="139"/>
      <c r="B89" s="143" t="s">
        <v>523</v>
      </c>
      <c r="C89" s="147" t="s">
        <v>524</v>
      </c>
      <c r="D89" s="148" t="s">
        <v>525</v>
      </c>
      <c r="E89" s="149" t="s">
        <v>525</v>
      </c>
      <c r="F89" s="143" t="s">
        <v>121</v>
      </c>
      <c r="G89" s="143">
        <v>0</v>
      </c>
      <c r="H89" s="143">
        <v>0</v>
      </c>
      <c r="I89" s="143">
        <v>0</v>
      </c>
      <c r="J89" s="143">
        <v>0</v>
      </c>
      <c r="K89" s="143">
        <v>0</v>
      </c>
      <c r="L89" s="143">
        <v>0</v>
      </c>
      <c r="M89" s="143">
        <v>0</v>
      </c>
      <c r="N89" s="143">
        <v>114.15845999999999</v>
      </c>
      <c r="O89" s="143">
        <v>99.169179999999997</v>
      </c>
      <c r="P89" s="150">
        <v>99.169179999999997</v>
      </c>
      <c r="Q89" s="143">
        <v>99.169179999999997</v>
      </c>
      <c r="R89" s="166">
        <v>99.169179999999997</v>
      </c>
      <c r="S89" s="143">
        <f t="shared" si="3"/>
        <v>99.169179999999997</v>
      </c>
      <c r="T89" s="143">
        <f t="shared" si="4"/>
        <v>0</v>
      </c>
      <c r="U89" s="151" t="e">
        <f>R89-#REF!</f>
        <v>#REF!</v>
      </c>
      <c r="V89" s="151">
        <f t="shared" si="5"/>
        <v>99.169179999999997</v>
      </c>
      <c r="W89" s="151">
        <f t="shared" si="6"/>
        <v>0</v>
      </c>
      <c r="X89" s="151" t="e">
        <f>O89-#REF!</f>
        <v>#REF!</v>
      </c>
      <c r="Y89" s="143">
        <f>'[65]2. подк.неподк.'!V77</f>
        <v>0</v>
      </c>
      <c r="Z89" s="143">
        <f>'[65]2. подк.неподк.'!W77</f>
        <v>0</v>
      </c>
      <c r="AA89" s="143">
        <f>'[65]2. подк.неподк.'!X77</f>
        <v>167.30650800000001</v>
      </c>
      <c r="AB89" s="143">
        <f>Y89*$AA$11</f>
        <v>0</v>
      </c>
      <c r="AC89" s="144">
        <f t="shared" si="7"/>
        <v>0</v>
      </c>
      <c r="AD89" s="143">
        <f t="shared" si="8"/>
        <v>0</v>
      </c>
      <c r="AE89" s="143"/>
      <c r="AF89" s="143">
        <f t="shared" si="10"/>
        <v>0</v>
      </c>
      <c r="AG89" s="143"/>
      <c r="AH89" s="143">
        <f t="shared" si="12"/>
        <v>-167.30650800000001</v>
      </c>
      <c r="AI89" s="143">
        <f t="shared" si="13"/>
        <v>-100</v>
      </c>
    </row>
    <row r="90" spans="1:35" s="161" customFormat="1" ht="33" customHeight="1" outlineLevel="2">
      <c r="A90" s="153"/>
      <c r="B90" s="154"/>
      <c r="C90" s="155"/>
      <c r="D90" s="156" t="s">
        <v>526</v>
      </c>
      <c r="E90" s="157"/>
      <c r="F90" s="158"/>
      <c r="G90" s="154">
        <f t="shared" ref="G90:I90" si="37">G88+G89</f>
        <v>0</v>
      </c>
      <c r="H90" s="154">
        <f t="shared" si="37"/>
        <v>0</v>
      </c>
      <c r="I90" s="154">
        <f t="shared" si="37"/>
        <v>0</v>
      </c>
      <c r="J90" s="154">
        <f>J88+J89</f>
        <v>0</v>
      </c>
      <c r="K90" s="154">
        <f t="shared" ref="K90:AB90" si="38">K88+K89</f>
        <v>0</v>
      </c>
      <c r="L90" s="154">
        <f t="shared" si="38"/>
        <v>0</v>
      </c>
      <c r="M90" s="154">
        <f t="shared" si="38"/>
        <v>0</v>
      </c>
      <c r="N90" s="154">
        <f t="shared" si="38"/>
        <v>1283.8114799999998</v>
      </c>
      <c r="O90" s="154">
        <f t="shared" si="38"/>
        <v>1055.9159999999999</v>
      </c>
      <c r="P90" s="159">
        <f t="shared" si="38"/>
        <v>1055.9159999999999</v>
      </c>
      <c r="Q90" s="154">
        <f t="shared" si="38"/>
        <v>1055.9159999999999</v>
      </c>
      <c r="R90" s="154">
        <f t="shared" si="38"/>
        <v>1055.9159999999999</v>
      </c>
      <c r="S90" s="144">
        <f t="shared" si="3"/>
        <v>1055.9159999999999</v>
      </c>
      <c r="T90" s="144">
        <f t="shared" si="4"/>
        <v>0</v>
      </c>
      <c r="U90" s="160" t="e">
        <f>R90-#REF!</f>
        <v>#REF!</v>
      </c>
      <c r="V90" s="160">
        <f t="shared" si="5"/>
        <v>1055.9159999999999</v>
      </c>
      <c r="W90" s="160">
        <f t="shared" si="6"/>
        <v>0</v>
      </c>
      <c r="X90" s="160" t="e">
        <f>O90-#REF!</f>
        <v>#REF!</v>
      </c>
      <c r="Y90" s="154">
        <f t="shared" si="38"/>
        <v>0</v>
      </c>
      <c r="Z90" s="154">
        <f t="shared" si="38"/>
        <v>0</v>
      </c>
      <c r="AA90" s="154">
        <f t="shared" si="38"/>
        <v>1559.4481012800002</v>
      </c>
      <c r="AB90" s="154">
        <f t="shared" si="38"/>
        <v>0</v>
      </c>
      <c r="AC90" s="144">
        <f t="shared" si="7"/>
        <v>0</v>
      </c>
      <c r="AD90" s="154">
        <f t="shared" si="8"/>
        <v>0</v>
      </c>
      <c r="AE90" s="154"/>
      <c r="AF90" s="154">
        <f t="shared" si="10"/>
        <v>0</v>
      </c>
      <c r="AG90" s="154"/>
      <c r="AH90" s="154">
        <f t="shared" si="12"/>
        <v>-1559.4481012800002</v>
      </c>
      <c r="AI90" s="154">
        <f t="shared" si="13"/>
        <v>-100</v>
      </c>
    </row>
    <row r="91" spans="1:35" ht="33" customHeight="1" outlineLevel="1">
      <c r="A91" s="139"/>
      <c r="B91" s="140" t="s">
        <v>527</v>
      </c>
      <c r="C91" s="141"/>
      <c r="D91" s="142" t="s">
        <v>528</v>
      </c>
      <c r="E91" s="142" t="s">
        <v>528</v>
      </c>
      <c r="F91" s="143" t="s">
        <v>121</v>
      </c>
      <c r="G91" s="144">
        <f t="shared" ref="G91:I91" si="39">SUM(G92:G94)</f>
        <v>67010.678018903272</v>
      </c>
      <c r="H91" s="144">
        <f t="shared" si="39"/>
        <v>50375.14157</v>
      </c>
      <c r="I91" s="144">
        <f t="shared" si="39"/>
        <v>50375.14</v>
      </c>
      <c r="J91" s="144">
        <f t="shared" ref="J91:M91" si="40">SUM(J92:J94)</f>
        <v>73529.029945116781</v>
      </c>
      <c r="K91" s="144">
        <f t="shared" si="40"/>
        <v>54349.757350000007</v>
      </c>
      <c r="L91" s="144">
        <f t="shared" si="40"/>
        <v>54349.761170000005</v>
      </c>
      <c r="M91" s="144">
        <f t="shared" si="40"/>
        <v>50732.281986623311</v>
      </c>
      <c r="N91" s="144">
        <f>SUM(N92:N94)</f>
        <v>63250.487110000002</v>
      </c>
      <c r="O91" s="144">
        <f t="shared" ref="O91:AB91" si="41">SUM(O92:O94)</f>
        <v>61541.971790000003</v>
      </c>
      <c r="P91" s="145">
        <f t="shared" si="41"/>
        <v>61541.971790000003</v>
      </c>
      <c r="Q91" s="144">
        <f t="shared" si="41"/>
        <v>61541.971790000003</v>
      </c>
      <c r="R91" s="144">
        <f t="shared" si="41"/>
        <v>61541.971790000003</v>
      </c>
      <c r="S91" s="144">
        <f t="shared" si="3"/>
        <v>10809.689803376692</v>
      </c>
      <c r="T91" s="144">
        <f t="shared" si="4"/>
        <v>0</v>
      </c>
      <c r="U91" s="146" t="e">
        <f>R91-#REF!</f>
        <v>#REF!</v>
      </c>
      <c r="V91" s="146">
        <f t="shared" si="5"/>
        <v>10809.689803376692</v>
      </c>
      <c r="W91" s="146">
        <f t="shared" si="6"/>
        <v>0</v>
      </c>
      <c r="X91" s="146" t="e">
        <f>O91-#REF!</f>
        <v>#REF!</v>
      </c>
      <c r="Y91" s="144">
        <f t="shared" si="41"/>
        <v>61639.422886926252</v>
      </c>
      <c r="Z91" s="168">
        <f t="shared" si="41"/>
        <v>64413.19691683798</v>
      </c>
      <c r="AA91" s="144">
        <f t="shared" si="41"/>
        <v>91243.38396628949</v>
      </c>
      <c r="AB91" s="144">
        <f t="shared" si="41"/>
        <v>63910.944063604518</v>
      </c>
      <c r="AC91" s="144">
        <f t="shared" si="7"/>
        <v>63910.944063604518</v>
      </c>
      <c r="AD91" s="144">
        <f t="shared" si="8"/>
        <v>2271.5211766782668</v>
      </c>
      <c r="AE91" s="144">
        <f t="shared" si="9"/>
        <v>3.6851759317169979</v>
      </c>
      <c r="AF91" s="144">
        <f t="shared" si="10"/>
        <v>-502.25285323346179</v>
      </c>
      <c r="AG91" s="144">
        <f t="shared" si="11"/>
        <v>-0.77973595051011557</v>
      </c>
      <c r="AH91" s="144">
        <f t="shared" si="12"/>
        <v>-27332.439902684971</v>
      </c>
      <c r="AI91" s="144">
        <f t="shared" si="13"/>
        <v>-29.955530707610691</v>
      </c>
    </row>
    <row r="92" spans="1:35" ht="33" customHeight="1" outlineLevel="2">
      <c r="A92" s="152" t="s">
        <v>529</v>
      </c>
      <c r="B92" s="143" t="s">
        <v>135</v>
      </c>
      <c r="C92" s="147" t="s">
        <v>530</v>
      </c>
      <c r="D92" s="165" t="s">
        <v>531</v>
      </c>
      <c r="E92" s="149" t="s">
        <v>532</v>
      </c>
      <c r="F92" s="143" t="s">
        <v>121</v>
      </c>
      <c r="G92" s="143">
        <v>539.8333057914341</v>
      </c>
      <c r="H92" s="143">
        <v>173.34924000000001</v>
      </c>
      <c r="I92" s="143">
        <v>173.35</v>
      </c>
      <c r="J92" s="143">
        <v>592.34469013598834</v>
      </c>
      <c r="K92" s="143">
        <v>0</v>
      </c>
      <c r="L92" s="143">
        <v>0</v>
      </c>
      <c r="M92" s="143">
        <v>148.55209008969703</v>
      </c>
      <c r="N92" s="143">
        <v>564.68034000000011</v>
      </c>
      <c r="O92" s="143">
        <v>561.99014999999997</v>
      </c>
      <c r="P92" s="150">
        <v>561.99014999999997</v>
      </c>
      <c r="Q92" s="143">
        <v>561.99014999999997</v>
      </c>
      <c r="R92" s="143">
        <v>561.99014999999997</v>
      </c>
      <c r="S92" s="143">
        <f t="shared" si="3"/>
        <v>413.43805991030297</v>
      </c>
      <c r="T92" s="143">
        <f t="shared" si="4"/>
        <v>0</v>
      </c>
      <c r="U92" s="151" t="e">
        <f>R92-#REF!</f>
        <v>#REF!</v>
      </c>
      <c r="V92" s="151">
        <f t="shared" si="5"/>
        <v>413.43805991030297</v>
      </c>
      <c r="W92" s="151">
        <f t="shared" si="6"/>
        <v>0</v>
      </c>
      <c r="X92" s="151" t="e">
        <f>O92-#REF!</f>
        <v>#REF!</v>
      </c>
      <c r="Y92" s="143">
        <f>'[65]2. подк.неподк.'!V80</f>
        <v>0</v>
      </c>
      <c r="Z92" s="143">
        <f>'[65]2. подк.неподк.'!W80</f>
        <v>0</v>
      </c>
      <c r="AA92" s="143">
        <f>'[65]2. подк.неподк.'!X80</f>
        <v>3217.11</v>
      </c>
      <c r="AB92" s="143">
        <f t="shared" ref="AB92:AB112" si="42">Y92*$AA$11</f>
        <v>0</v>
      </c>
      <c r="AC92" s="144">
        <f t="shared" si="7"/>
        <v>0</v>
      </c>
      <c r="AD92" s="143">
        <f t="shared" si="8"/>
        <v>0</v>
      </c>
      <c r="AE92" s="143"/>
      <c r="AF92" s="143">
        <f t="shared" si="10"/>
        <v>0</v>
      </c>
      <c r="AG92" s="143"/>
      <c r="AH92" s="143">
        <f t="shared" si="12"/>
        <v>-3217.11</v>
      </c>
      <c r="AI92" s="143">
        <f t="shared" si="13"/>
        <v>-100</v>
      </c>
    </row>
    <row r="93" spans="1:35" ht="33" customHeight="1" outlineLevel="2">
      <c r="A93" s="139" t="s">
        <v>533</v>
      </c>
      <c r="B93" s="143" t="s">
        <v>534</v>
      </c>
      <c r="C93" s="147" t="s">
        <v>535</v>
      </c>
      <c r="D93" s="149" t="s">
        <v>536</v>
      </c>
      <c r="E93" s="149" t="s">
        <v>537</v>
      </c>
      <c r="F93" s="143" t="s">
        <v>121</v>
      </c>
      <c r="G93" s="143">
        <v>7037.2175754966056</v>
      </c>
      <c r="H93" s="143">
        <v>2604.4683399999999</v>
      </c>
      <c r="I93" s="143">
        <v>2604.4699999999998</v>
      </c>
      <c r="J93" s="143">
        <v>7721.7511766262933</v>
      </c>
      <c r="K93" s="143">
        <v>2841.1061800000002</v>
      </c>
      <c r="L93" s="143">
        <v>2841.11</v>
      </c>
      <c r="M93" s="143">
        <v>2586.0156887463022</v>
      </c>
      <c r="N93" s="143">
        <v>3745.5622500000004</v>
      </c>
      <c r="O93" s="143">
        <v>3727.24541</v>
      </c>
      <c r="P93" s="150">
        <v>3727.24541</v>
      </c>
      <c r="Q93" s="143">
        <v>3727.24541</v>
      </c>
      <c r="R93" s="143">
        <v>3727.24541</v>
      </c>
      <c r="S93" s="143">
        <f t="shared" si="3"/>
        <v>1141.2297212536978</v>
      </c>
      <c r="T93" s="143">
        <f t="shared" si="4"/>
        <v>0</v>
      </c>
      <c r="U93" s="151" t="e">
        <f>R93-#REF!</f>
        <v>#REF!</v>
      </c>
      <c r="V93" s="151">
        <f t="shared" si="5"/>
        <v>1141.2297212536978</v>
      </c>
      <c r="W93" s="151">
        <f t="shared" si="6"/>
        <v>0</v>
      </c>
      <c r="X93" s="151" t="e">
        <f>O93-#REF!</f>
        <v>#REF!</v>
      </c>
      <c r="Y93" s="143">
        <f>'[65]2. подк.неподк.'!V81</f>
        <v>3222.1738787499994</v>
      </c>
      <c r="Z93" s="143">
        <f>'[65]2. подк.неподк.'!W81</f>
        <v>3273.0590032937498</v>
      </c>
      <c r="AA93" s="143">
        <f>'[65]2. подк.неподк.'!X81</f>
        <v>7731.9652857600013</v>
      </c>
      <c r="AB93" s="143">
        <f t="shared" si="42"/>
        <v>3340.9166550077666</v>
      </c>
      <c r="AC93" s="144">
        <f t="shared" si="7"/>
        <v>3340.9166550077666</v>
      </c>
      <c r="AD93" s="143">
        <f t="shared" si="8"/>
        <v>118.74277625776722</v>
      </c>
      <c r="AE93" s="143">
        <f t="shared" si="9"/>
        <v>3.6851759317169979</v>
      </c>
      <c r="AF93" s="143">
        <f t="shared" si="10"/>
        <v>67.857651714016811</v>
      </c>
      <c r="AG93" s="143">
        <f t="shared" si="11"/>
        <v>2.0732181010403536</v>
      </c>
      <c r="AH93" s="143">
        <f t="shared" si="12"/>
        <v>-4391.0486307522351</v>
      </c>
      <c r="AI93" s="143">
        <f t="shared" si="13"/>
        <v>-56.790847714218927</v>
      </c>
    </row>
    <row r="94" spans="1:35" ht="33" customHeight="1" outlineLevel="2">
      <c r="A94" s="139" t="s">
        <v>538</v>
      </c>
      <c r="B94" s="143" t="s">
        <v>539</v>
      </c>
      <c r="C94" s="147" t="s">
        <v>540</v>
      </c>
      <c r="D94" s="149" t="s">
        <v>541</v>
      </c>
      <c r="E94" s="149" t="s">
        <v>542</v>
      </c>
      <c r="F94" s="143" t="s">
        <v>121</v>
      </c>
      <c r="G94" s="143">
        <v>59433.627137615236</v>
      </c>
      <c r="H94" s="143">
        <v>47597.323989999997</v>
      </c>
      <c r="I94" s="143">
        <v>47597.32</v>
      </c>
      <c r="J94" s="143">
        <v>65214.934078354505</v>
      </c>
      <c r="K94" s="143">
        <v>51508.651170000005</v>
      </c>
      <c r="L94" s="143">
        <v>51508.651170000005</v>
      </c>
      <c r="M94" s="143">
        <v>47997.714207787314</v>
      </c>
      <c r="N94" s="143">
        <v>58940.24452</v>
      </c>
      <c r="O94" s="143">
        <v>57252.736230000002</v>
      </c>
      <c r="P94" s="150">
        <v>57252.736230000002</v>
      </c>
      <c r="Q94" s="143">
        <v>57252.736230000002</v>
      </c>
      <c r="R94" s="143">
        <v>57252.736230000002</v>
      </c>
      <c r="S94" s="143">
        <f t="shared" ref="S94:S157" si="43">R94-M94</f>
        <v>9255.0220222126882</v>
      </c>
      <c r="T94" s="143">
        <f t="shared" ref="T94:T157" si="44">R94-O94</f>
        <v>0</v>
      </c>
      <c r="U94" s="151" t="e">
        <f>R94-#REF!</f>
        <v>#REF!</v>
      </c>
      <c r="V94" s="151">
        <f t="shared" ref="V94:V157" si="45">R94-M94</f>
        <v>9255.0220222126882</v>
      </c>
      <c r="W94" s="151">
        <f t="shared" ref="W94:W157" si="46">Q94-P94</f>
        <v>0</v>
      </c>
      <c r="X94" s="151" t="e">
        <f>O94-#REF!</f>
        <v>#REF!</v>
      </c>
      <c r="Y94" s="143">
        <f>'[65]2. подк.неподк.'!V82</f>
        <v>58417.249008176252</v>
      </c>
      <c r="Z94" s="143">
        <f>'[65]2. подк.неподк.'!W82</f>
        <v>61140.137913544233</v>
      </c>
      <c r="AA94" s="143">
        <f>'[65]2. подк.неподк.'!X82</f>
        <v>80294.308680529488</v>
      </c>
      <c r="AB94" s="143">
        <f t="shared" si="42"/>
        <v>60570.027408596754</v>
      </c>
      <c r="AC94" s="144">
        <f t="shared" ref="AC94:AC157" si="47">AB94</f>
        <v>60570.027408596754</v>
      </c>
      <c r="AD94" s="143">
        <f t="shared" ref="AD94:AD157" si="48">AB94-Y94</f>
        <v>2152.7784004205023</v>
      </c>
      <c r="AE94" s="143">
        <f t="shared" ref="AE94:AE157" si="49">AB94/Y94*100-100</f>
        <v>3.6851759317169979</v>
      </c>
      <c r="AF94" s="143">
        <f t="shared" ref="AF94:AF157" si="50">AB94-Z94</f>
        <v>-570.11050494747906</v>
      </c>
      <c r="AG94" s="143">
        <f t="shared" ref="AG94:AG157" si="51">AB94/Z94*100-100</f>
        <v>-0.93246519292064534</v>
      </c>
      <c r="AH94" s="143">
        <f t="shared" ref="AH94:AH157" si="52">AB94-AA94</f>
        <v>-19724.281271932734</v>
      </c>
      <c r="AI94" s="143">
        <f t="shared" ref="AI94:AI157" si="53">AB94/AA94*100-100</f>
        <v>-24.564980502429634</v>
      </c>
    </row>
    <row r="95" spans="1:35" ht="33" customHeight="1">
      <c r="A95" s="139" t="s">
        <v>543</v>
      </c>
      <c r="B95" s="169" t="s">
        <v>75</v>
      </c>
      <c r="C95" s="141"/>
      <c r="D95" s="142" t="s">
        <v>544</v>
      </c>
      <c r="E95" s="142" t="s">
        <v>544</v>
      </c>
      <c r="F95" s="143" t="s">
        <v>121</v>
      </c>
      <c r="G95" s="144">
        <v>761740.30943159445</v>
      </c>
      <c r="H95" s="144">
        <v>774397.05044999998</v>
      </c>
      <c r="I95" s="144">
        <v>736548.06677771546</v>
      </c>
      <c r="J95" s="144">
        <v>835837.32</v>
      </c>
      <c r="K95" s="144">
        <v>858232.29200000002</v>
      </c>
      <c r="L95" s="144">
        <v>858232.29200000002</v>
      </c>
      <c r="M95" s="144">
        <v>837905.09790543455</v>
      </c>
      <c r="N95" s="144">
        <v>928422.44139000005</v>
      </c>
      <c r="O95" s="144">
        <v>872360.68993000023</v>
      </c>
      <c r="P95" s="145">
        <v>872360.68993000023</v>
      </c>
      <c r="Q95" s="144">
        <v>872360.68993000023</v>
      </c>
      <c r="R95" s="144">
        <v>872360.68993000023</v>
      </c>
      <c r="S95" s="144">
        <f t="shared" si="43"/>
        <v>34455.592024565674</v>
      </c>
      <c r="T95" s="144">
        <f t="shared" si="44"/>
        <v>0</v>
      </c>
      <c r="U95" s="146" t="e">
        <f>R95-#REF!</f>
        <v>#REF!</v>
      </c>
      <c r="V95" s="146">
        <f t="shared" si="45"/>
        <v>34455.592024565674</v>
      </c>
      <c r="W95" s="146">
        <f t="shared" si="46"/>
        <v>0</v>
      </c>
      <c r="X95" s="146" t="e">
        <f>O95-#REF!</f>
        <v>#REF!</v>
      </c>
      <c r="Y95" s="144">
        <f>'[65]2. подк.неподк.'!V83</f>
        <v>962477.4773477799</v>
      </c>
      <c r="Z95" s="170">
        <f>'[65]2. подк.неподк.'!W83</f>
        <v>1005788.9638284299</v>
      </c>
      <c r="AA95" s="144">
        <f>'[65]2. подк.неподк.'!X83</f>
        <v>1961467.5</v>
      </c>
      <c r="AB95" s="144">
        <f t="shared" si="42"/>
        <v>997946.4656911972</v>
      </c>
      <c r="AC95" s="144">
        <f t="shared" si="47"/>
        <v>997946.4656911972</v>
      </c>
      <c r="AD95" s="144">
        <f t="shared" si="48"/>
        <v>35468.988343417295</v>
      </c>
      <c r="AE95" s="144">
        <f t="shared" si="49"/>
        <v>3.6851759317169979</v>
      </c>
      <c r="AF95" s="144">
        <f t="shared" si="50"/>
        <v>-7842.4981372327311</v>
      </c>
      <c r="AG95" s="144">
        <f t="shared" si="51"/>
        <v>-0.77973595051004452</v>
      </c>
      <c r="AH95" s="144">
        <f t="shared" si="52"/>
        <v>-963521.0343088028</v>
      </c>
      <c r="AI95" s="144">
        <f t="shared" si="53"/>
        <v>-49.122457257578965</v>
      </c>
    </row>
    <row r="96" spans="1:35" ht="33" customHeight="1">
      <c r="A96" s="139" t="s">
        <v>545</v>
      </c>
      <c r="B96" s="169" t="s">
        <v>546</v>
      </c>
      <c r="C96" s="171"/>
      <c r="D96" s="172" t="s">
        <v>547</v>
      </c>
      <c r="E96" s="172" t="s">
        <v>547</v>
      </c>
      <c r="F96" s="143" t="s">
        <v>121</v>
      </c>
      <c r="G96" s="173">
        <v>37128.449999999997</v>
      </c>
      <c r="H96" s="173">
        <v>56320</v>
      </c>
      <c r="I96" s="173">
        <v>37128.449999999997</v>
      </c>
      <c r="J96" s="173">
        <f t="shared" ref="J96:Y96" si="54">SUM(J97:J112)</f>
        <v>40740.04</v>
      </c>
      <c r="K96" s="173">
        <f t="shared" si="54"/>
        <v>43854.198228999994</v>
      </c>
      <c r="L96" s="173">
        <f t="shared" si="54"/>
        <v>43659.197769999992</v>
      </c>
      <c r="M96" s="173">
        <f t="shared" ref="M96" si="55">SUM(M97:M112)</f>
        <v>40740.04</v>
      </c>
      <c r="N96" s="173">
        <f t="shared" si="54"/>
        <v>46173.379379999998</v>
      </c>
      <c r="O96" s="173">
        <f t="shared" si="54"/>
        <v>39724.693220000008</v>
      </c>
      <c r="P96" s="174">
        <f t="shared" si="54"/>
        <v>39724.693220000008</v>
      </c>
      <c r="Q96" s="173">
        <f t="shared" ref="Q96:R96" si="56">SUM(Q97:Q112)</f>
        <v>39724.693220000008</v>
      </c>
      <c r="R96" s="144">
        <f t="shared" si="56"/>
        <v>39724.693220000008</v>
      </c>
      <c r="S96" s="173">
        <f t="shared" si="43"/>
        <v>-1015.3467799999926</v>
      </c>
      <c r="T96" s="173">
        <f t="shared" si="44"/>
        <v>0</v>
      </c>
      <c r="U96" s="175" t="e">
        <f>R96-#REF!</f>
        <v>#REF!</v>
      </c>
      <c r="V96" s="175">
        <f t="shared" si="45"/>
        <v>-1015.3467799999926</v>
      </c>
      <c r="W96" s="175">
        <f t="shared" si="46"/>
        <v>0</v>
      </c>
      <c r="X96" s="175" t="e">
        <f>O96-#REF!</f>
        <v>#REF!</v>
      </c>
      <c r="Y96" s="173">
        <f t="shared" si="54"/>
        <v>42980.76</v>
      </c>
      <c r="Z96" s="170">
        <f t="shared" ref="Z96" si="57">SUM(Z97:Z112)</f>
        <v>44914.894200000002</v>
      </c>
      <c r="AA96" s="173">
        <f>SUM(AA97:AA112)</f>
        <v>150706.04999999996</v>
      </c>
      <c r="AB96" s="173">
        <f t="shared" si="42"/>
        <v>44564.676622789048</v>
      </c>
      <c r="AC96" s="144">
        <f t="shared" si="47"/>
        <v>44564.676622789048</v>
      </c>
      <c r="AD96" s="173">
        <f t="shared" si="48"/>
        <v>1583.9166227890455</v>
      </c>
      <c r="AE96" s="173">
        <f t="shared" si="49"/>
        <v>3.6851759317169979</v>
      </c>
      <c r="AF96" s="173">
        <f t="shared" si="50"/>
        <v>-350.21757721095491</v>
      </c>
      <c r="AG96" s="173">
        <f t="shared" si="51"/>
        <v>-0.77973595051005873</v>
      </c>
      <c r="AH96" s="173">
        <f t="shared" si="52"/>
        <v>-106141.37337721091</v>
      </c>
      <c r="AI96" s="173">
        <f t="shared" si="53"/>
        <v>-70.429404378398175</v>
      </c>
    </row>
    <row r="97" spans="1:35" ht="33" customHeight="1" outlineLevel="1">
      <c r="A97" s="139" t="s">
        <v>548</v>
      </c>
      <c r="B97" s="176" t="s">
        <v>549</v>
      </c>
      <c r="C97" s="147" t="s">
        <v>550</v>
      </c>
      <c r="D97" s="148" t="s">
        <v>551</v>
      </c>
      <c r="E97" s="177"/>
      <c r="F97" s="178" t="s">
        <v>552</v>
      </c>
      <c r="G97" s="179">
        <v>0</v>
      </c>
      <c r="H97" s="179">
        <v>0</v>
      </c>
      <c r="I97" s="179">
        <v>0</v>
      </c>
      <c r="J97" s="179">
        <v>0</v>
      </c>
      <c r="K97" s="179">
        <v>0</v>
      </c>
      <c r="L97" s="179">
        <v>0</v>
      </c>
      <c r="M97" s="179"/>
      <c r="N97" s="179"/>
      <c r="O97" s="179"/>
      <c r="P97" s="180"/>
      <c r="Q97" s="179"/>
      <c r="R97" s="144"/>
      <c r="S97" s="179">
        <f t="shared" si="43"/>
        <v>0</v>
      </c>
      <c r="T97" s="179">
        <f t="shared" si="44"/>
        <v>0</v>
      </c>
      <c r="U97" s="181" t="e">
        <f>R97-#REF!</f>
        <v>#REF!</v>
      </c>
      <c r="V97" s="181">
        <f t="shared" si="45"/>
        <v>0</v>
      </c>
      <c r="W97" s="181">
        <f t="shared" si="46"/>
        <v>0</v>
      </c>
      <c r="X97" s="181" t="e">
        <f>O97-#REF!</f>
        <v>#REF!</v>
      </c>
      <c r="Y97" s="143">
        <f>'[65]2. подк.неподк.'!V85</f>
        <v>0</v>
      </c>
      <c r="Z97" s="182">
        <f>'[65]2. подк.неподк.'!W85</f>
        <v>0</v>
      </c>
      <c r="AA97" s="143">
        <f>'[65]2. подк.неподк.'!X85</f>
        <v>100</v>
      </c>
      <c r="AB97" s="143">
        <f t="shared" si="42"/>
        <v>0</v>
      </c>
      <c r="AC97" s="144">
        <f t="shared" si="47"/>
        <v>0</v>
      </c>
      <c r="AD97" s="143">
        <f t="shared" si="48"/>
        <v>0</v>
      </c>
      <c r="AE97" s="143"/>
      <c r="AF97" s="143">
        <f t="shared" si="50"/>
        <v>0</v>
      </c>
      <c r="AG97" s="143"/>
      <c r="AH97" s="143">
        <f t="shared" si="52"/>
        <v>-100</v>
      </c>
      <c r="AI97" s="143">
        <f t="shared" si="53"/>
        <v>-100</v>
      </c>
    </row>
    <row r="98" spans="1:35" ht="33" customHeight="1" outlineLevel="1">
      <c r="A98" s="139" t="s">
        <v>553</v>
      </c>
      <c r="B98" s="176" t="s">
        <v>554</v>
      </c>
      <c r="C98" s="183" t="s">
        <v>555</v>
      </c>
      <c r="D98" s="162" t="s">
        <v>556</v>
      </c>
      <c r="E98" s="177"/>
      <c r="F98" s="178" t="s">
        <v>552</v>
      </c>
      <c r="G98" s="179">
        <v>0</v>
      </c>
      <c r="H98" s="179">
        <v>0</v>
      </c>
      <c r="I98" s="179">
        <v>0</v>
      </c>
      <c r="J98" s="179">
        <v>0</v>
      </c>
      <c r="K98" s="179">
        <v>0</v>
      </c>
      <c r="L98" s="179">
        <v>0</v>
      </c>
      <c r="M98" s="179">
        <v>0</v>
      </c>
      <c r="N98" s="179"/>
      <c r="O98" s="179"/>
      <c r="P98" s="180"/>
      <c r="Q98" s="179"/>
      <c r="R98" s="144"/>
      <c r="S98" s="179">
        <f t="shared" si="43"/>
        <v>0</v>
      </c>
      <c r="T98" s="179">
        <f t="shared" si="44"/>
        <v>0</v>
      </c>
      <c r="U98" s="181" t="e">
        <f>R98-#REF!</f>
        <v>#REF!</v>
      </c>
      <c r="V98" s="181">
        <f t="shared" si="45"/>
        <v>0</v>
      </c>
      <c r="W98" s="181">
        <f t="shared" si="46"/>
        <v>0</v>
      </c>
      <c r="X98" s="181" t="e">
        <f>O98-#REF!</f>
        <v>#REF!</v>
      </c>
      <c r="Y98" s="143">
        <f>'[65]2. подк.неподк.'!V86</f>
        <v>0</v>
      </c>
      <c r="Z98" s="182">
        <f>'[65]2. подк.неподк.'!W86</f>
        <v>0</v>
      </c>
      <c r="AA98" s="143">
        <f>'[65]2. подк.неподк.'!X86</f>
        <v>215</v>
      </c>
      <c r="AB98" s="143">
        <f t="shared" si="42"/>
        <v>0</v>
      </c>
      <c r="AC98" s="144">
        <f t="shared" si="47"/>
        <v>0</v>
      </c>
      <c r="AD98" s="143">
        <f t="shared" si="48"/>
        <v>0</v>
      </c>
      <c r="AE98" s="143"/>
      <c r="AF98" s="143">
        <f t="shared" si="50"/>
        <v>0</v>
      </c>
      <c r="AG98" s="143"/>
      <c r="AH98" s="143">
        <f t="shared" si="52"/>
        <v>-215</v>
      </c>
      <c r="AI98" s="143">
        <f t="shared" si="53"/>
        <v>-100</v>
      </c>
    </row>
    <row r="99" spans="1:35" ht="33" customHeight="1" outlineLevel="1">
      <c r="A99" s="139"/>
      <c r="B99" s="176" t="s">
        <v>557</v>
      </c>
      <c r="C99" s="171" t="s">
        <v>558</v>
      </c>
      <c r="D99" s="148" t="s">
        <v>559</v>
      </c>
      <c r="E99" s="172"/>
      <c r="F99" s="178" t="s">
        <v>552</v>
      </c>
      <c r="G99" s="179">
        <v>0</v>
      </c>
      <c r="H99" s="179">
        <v>0</v>
      </c>
      <c r="I99" s="179">
        <v>0</v>
      </c>
      <c r="J99" s="179">
        <v>413.35</v>
      </c>
      <c r="K99" s="179">
        <v>548.01444400000003</v>
      </c>
      <c r="L99" s="179">
        <v>548.01</v>
      </c>
      <c r="M99" s="179">
        <v>413.35</v>
      </c>
      <c r="N99" s="179">
        <v>635.79600000000005</v>
      </c>
      <c r="O99" s="179">
        <v>624.92871000000002</v>
      </c>
      <c r="P99" s="180">
        <v>624.92871000000002</v>
      </c>
      <c r="Q99" s="179">
        <v>624.92871000000002</v>
      </c>
      <c r="R99" s="144">
        <v>624.92871000000002</v>
      </c>
      <c r="S99" s="179">
        <f t="shared" si="43"/>
        <v>211.57871</v>
      </c>
      <c r="T99" s="179">
        <f t="shared" si="44"/>
        <v>0</v>
      </c>
      <c r="U99" s="181" t="e">
        <f>R99-#REF!</f>
        <v>#REF!</v>
      </c>
      <c r="V99" s="181">
        <f t="shared" si="45"/>
        <v>211.57871</v>
      </c>
      <c r="W99" s="181">
        <f t="shared" si="46"/>
        <v>0</v>
      </c>
      <c r="X99" s="181" t="e">
        <f>O99-#REF!</f>
        <v>#REF!</v>
      </c>
      <c r="Y99" s="143">
        <f>'[65]2. подк.неподк.'!V87</f>
        <v>436.09</v>
      </c>
      <c r="Z99" s="182">
        <f>'[65]2. подк.неподк.'!W87</f>
        <v>455.71404999999993</v>
      </c>
      <c r="AA99" s="143">
        <f>'[65]2. подк.неподк.'!X87</f>
        <v>526.22</v>
      </c>
      <c r="AB99" s="143">
        <f t="shared" si="42"/>
        <v>452.16068372062466</v>
      </c>
      <c r="AC99" s="144">
        <f t="shared" si="47"/>
        <v>452.16068372062466</v>
      </c>
      <c r="AD99" s="143">
        <f t="shared" si="48"/>
        <v>16.070683720624686</v>
      </c>
      <c r="AE99" s="143">
        <f t="shared" si="49"/>
        <v>3.6851759317169979</v>
      </c>
      <c r="AF99" s="143">
        <f t="shared" si="50"/>
        <v>-3.5533662793752683</v>
      </c>
      <c r="AG99" s="143">
        <f t="shared" si="51"/>
        <v>-0.77973595051003031</v>
      </c>
      <c r="AH99" s="143">
        <f t="shared" si="52"/>
        <v>-74.059316279375366</v>
      </c>
      <c r="AI99" s="143">
        <f t="shared" si="53"/>
        <v>-14.073831530419852</v>
      </c>
    </row>
    <row r="100" spans="1:35" ht="33" customHeight="1" outlineLevel="1">
      <c r="A100" s="139"/>
      <c r="B100" s="176" t="s">
        <v>560</v>
      </c>
      <c r="C100" s="171" t="s">
        <v>561</v>
      </c>
      <c r="D100" s="148" t="s">
        <v>562</v>
      </c>
      <c r="E100" s="172"/>
      <c r="F100" s="178" t="s">
        <v>552</v>
      </c>
      <c r="G100" s="179">
        <v>0</v>
      </c>
      <c r="H100" s="179">
        <v>0</v>
      </c>
      <c r="I100" s="179">
        <v>0</v>
      </c>
      <c r="J100" s="179">
        <v>942.79</v>
      </c>
      <c r="K100" s="179">
        <v>997.98</v>
      </c>
      <c r="L100" s="179">
        <v>997.98</v>
      </c>
      <c r="M100" s="179">
        <v>942.79</v>
      </c>
      <c r="N100" s="179">
        <v>1167.55</v>
      </c>
      <c r="O100" s="179">
        <v>1118.5686899999998</v>
      </c>
      <c r="P100" s="180">
        <v>1118.5686899999998</v>
      </c>
      <c r="Q100" s="179">
        <v>1118.5686899999998</v>
      </c>
      <c r="R100" s="144">
        <v>1118.5686899999998</v>
      </c>
      <c r="S100" s="179">
        <f t="shared" si="43"/>
        <v>175.77868999999987</v>
      </c>
      <c r="T100" s="179">
        <f t="shared" si="44"/>
        <v>0</v>
      </c>
      <c r="U100" s="181" t="e">
        <f>R100-#REF!</f>
        <v>#REF!</v>
      </c>
      <c r="V100" s="181">
        <f t="shared" si="45"/>
        <v>175.77868999999987</v>
      </c>
      <c r="W100" s="181">
        <f t="shared" si="46"/>
        <v>0</v>
      </c>
      <c r="X100" s="181" t="e">
        <f>O100-#REF!</f>
        <v>#REF!</v>
      </c>
      <c r="Y100" s="143">
        <f>'[65]2. подк.неподк.'!V88</f>
        <v>994.65</v>
      </c>
      <c r="Z100" s="182">
        <f>'[65]2. подк.неподк.'!W88</f>
        <v>1039.4092499999999</v>
      </c>
      <c r="AA100" s="143">
        <f>'[65]2. подк.неподк.'!X88</f>
        <v>1997.85</v>
      </c>
      <c r="AB100" s="143">
        <f t="shared" si="42"/>
        <v>1031.3046024048231</v>
      </c>
      <c r="AC100" s="144">
        <f t="shared" si="47"/>
        <v>1031.3046024048231</v>
      </c>
      <c r="AD100" s="143">
        <f t="shared" si="48"/>
        <v>36.654602404823095</v>
      </c>
      <c r="AE100" s="143">
        <f t="shared" si="49"/>
        <v>3.6851759317169979</v>
      </c>
      <c r="AF100" s="143">
        <f t="shared" si="50"/>
        <v>-8.1046475951768571</v>
      </c>
      <c r="AG100" s="143">
        <f t="shared" si="51"/>
        <v>-0.77973595051005873</v>
      </c>
      <c r="AH100" s="143">
        <f t="shared" si="52"/>
        <v>-966.54539759517684</v>
      </c>
      <c r="AI100" s="143">
        <f t="shared" si="53"/>
        <v>-48.379277603182267</v>
      </c>
    </row>
    <row r="101" spans="1:35" ht="33" customHeight="1" outlineLevel="1">
      <c r="A101" s="139"/>
      <c r="B101" s="176" t="s">
        <v>563</v>
      </c>
      <c r="C101" s="171" t="s">
        <v>564</v>
      </c>
      <c r="D101" s="184" t="s">
        <v>565</v>
      </c>
      <c r="E101" s="172"/>
      <c r="F101" s="178" t="s">
        <v>552</v>
      </c>
      <c r="G101" s="179">
        <v>37128.449999999997</v>
      </c>
      <c r="H101" s="179">
        <v>56320</v>
      </c>
      <c r="I101" s="179">
        <v>37128.449999999997</v>
      </c>
      <c r="J101" s="179">
        <v>35274.25</v>
      </c>
      <c r="K101" s="179">
        <v>36628.97</v>
      </c>
      <c r="L101" s="179">
        <v>36628.97</v>
      </c>
      <c r="M101" s="179">
        <v>35274.25</v>
      </c>
      <c r="N101" s="179">
        <v>38626.426479999995</v>
      </c>
      <c r="O101" s="179">
        <v>32700.072960000001</v>
      </c>
      <c r="P101" s="180">
        <v>32700.072960000001</v>
      </c>
      <c r="Q101" s="179">
        <v>32700.072960000001</v>
      </c>
      <c r="R101" s="144">
        <v>32700.072960000001</v>
      </c>
      <c r="S101" s="179">
        <f t="shared" si="43"/>
        <v>-2574.1770399999987</v>
      </c>
      <c r="T101" s="179">
        <f t="shared" si="44"/>
        <v>0</v>
      </c>
      <c r="U101" s="181" t="e">
        <f>R101-#REF!</f>
        <v>#REF!</v>
      </c>
      <c r="V101" s="181">
        <f t="shared" si="45"/>
        <v>-2574.1770399999987</v>
      </c>
      <c r="W101" s="181">
        <f t="shared" si="46"/>
        <v>0</v>
      </c>
      <c r="X101" s="181" t="e">
        <f>O101-#REF!</f>
        <v>#REF!</v>
      </c>
      <c r="Y101" s="143">
        <f>'[65]2. подк.неподк.'!V89</f>
        <v>37214.33</v>
      </c>
      <c r="Z101" s="182">
        <f>'[65]2. подк.неподк.'!W89</f>
        <v>38888.974849999999</v>
      </c>
      <c r="AA101" s="166">
        <f>'[65]2. подк.неподк.'!X89-1000</f>
        <v>68231.839999999997</v>
      </c>
      <c r="AB101" s="143">
        <f t="shared" si="42"/>
        <v>38585.743532309738</v>
      </c>
      <c r="AC101" s="144">
        <f t="shared" si="47"/>
        <v>38585.743532309738</v>
      </c>
      <c r="AD101" s="143">
        <f t="shared" si="48"/>
        <v>1371.4135323097362</v>
      </c>
      <c r="AE101" s="143">
        <f t="shared" si="49"/>
        <v>3.6851759317169979</v>
      </c>
      <c r="AF101" s="143">
        <f t="shared" si="50"/>
        <v>-303.23131769026077</v>
      </c>
      <c r="AG101" s="143">
        <f t="shared" si="51"/>
        <v>-0.77973595051005873</v>
      </c>
      <c r="AH101" s="143">
        <f t="shared" si="52"/>
        <v>-29646.096467690259</v>
      </c>
      <c r="AI101" s="143">
        <f t="shared" si="53"/>
        <v>-43.449064934626215</v>
      </c>
    </row>
    <row r="102" spans="1:35" ht="33" customHeight="1" outlineLevel="1">
      <c r="A102" s="139"/>
      <c r="B102" s="176" t="s">
        <v>566</v>
      </c>
      <c r="C102" s="171"/>
      <c r="D102" s="184" t="s">
        <v>567</v>
      </c>
      <c r="E102" s="172"/>
      <c r="F102" s="178" t="s">
        <v>552</v>
      </c>
      <c r="G102" s="179">
        <v>0</v>
      </c>
      <c r="H102" s="179">
        <v>0</v>
      </c>
      <c r="I102" s="179">
        <v>0</v>
      </c>
      <c r="J102" s="179"/>
      <c r="K102" s="179"/>
      <c r="L102" s="179"/>
      <c r="M102" s="179"/>
      <c r="N102" s="179"/>
      <c r="O102" s="179"/>
      <c r="P102" s="180"/>
      <c r="Q102" s="179"/>
      <c r="R102" s="144"/>
      <c r="S102" s="179">
        <f t="shared" si="43"/>
        <v>0</v>
      </c>
      <c r="T102" s="179">
        <f t="shared" si="44"/>
        <v>0</v>
      </c>
      <c r="U102" s="181" t="e">
        <f>R102-#REF!</f>
        <v>#REF!</v>
      </c>
      <c r="V102" s="181">
        <f t="shared" si="45"/>
        <v>0</v>
      </c>
      <c r="W102" s="181">
        <f t="shared" si="46"/>
        <v>0</v>
      </c>
      <c r="X102" s="181" t="e">
        <f>O102-#REF!</f>
        <v>#REF!</v>
      </c>
      <c r="Y102" s="143">
        <v>0</v>
      </c>
      <c r="Z102" s="182">
        <v>0</v>
      </c>
      <c r="AA102" s="143">
        <f>'[65]2. подк.неподк.'!X90</f>
        <v>69231.839999999997</v>
      </c>
      <c r="AB102" s="143">
        <f t="shared" si="42"/>
        <v>0</v>
      </c>
      <c r="AC102" s="144">
        <f t="shared" si="47"/>
        <v>0</v>
      </c>
      <c r="AD102" s="143">
        <f t="shared" si="48"/>
        <v>0</v>
      </c>
      <c r="AE102" s="143"/>
      <c r="AF102" s="143">
        <f t="shared" si="50"/>
        <v>0</v>
      </c>
      <c r="AG102" s="143"/>
      <c r="AH102" s="143">
        <f t="shared" si="52"/>
        <v>-69231.839999999997</v>
      </c>
      <c r="AI102" s="143">
        <f t="shared" si="53"/>
        <v>-100</v>
      </c>
    </row>
    <row r="103" spans="1:35" ht="33" customHeight="1" outlineLevel="1">
      <c r="A103" s="139"/>
      <c r="B103" s="176" t="s">
        <v>568</v>
      </c>
      <c r="C103" s="171" t="s">
        <v>569</v>
      </c>
      <c r="D103" s="162" t="s">
        <v>565</v>
      </c>
      <c r="E103" s="172"/>
      <c r="F103" s="178" t="s">
        <v>552</v>
      </c>
      <c r="G103" s="179">
        <v>0</v>
      </c>
      <c r="H103" s="179">
        <v>0</v>
      </c>
      <c r="I103" s="179">
        <v>0</v>
      </c>
      <c r="J103" s="179">
        <v>0</v>
      </c>
      <c r="K103" s="179">
        <v>527</v>
      </c>
      <c r="L103" s="179">
        <v>527</v>
      </c>
      <c r="M103" s="179">
        <v>0</v>
      </c>
      <c r="N103" s="179">
        <v>564.5</v>
      </c>
      <c r="O103" s="179">
        <v>491.22426000000002</v>
      </c>
      <c r="P103" s="180">
        <v>491.22426000000002</v>
      </c>
      <c r="Q103" s="179">
        <v>491.22426000000002</v>
      </c>
      <c r="R103" s="144">
        <v>491.22426000000002</v>
      </c>
      <c r="S103" s="179">
        <f t="shared" si="43"/>
        <v>491.22426000000002</v>
      </c>
      <c r="T103" s="179">
        <f t="shared" si="44"/>
        <v>0</v>
      </c>
      <c r="U103" s="181" t="e">
        <f>R103-#REF!</f>
        <v>#REF!</v>
      </c>
      <c r="V103" s="181">
        <f t="shared" si="45"/>
        <v>491.22426000000002</v>
      </c>
      <c r="W103" s="181">
        <f t="shared" si="46"/>
        <v>0</v>
      </c>
      <c r="X103" s="181" t="e">
        <f>O103-#REF!</f>
        <v>#REF!</v>
      </c>
      <c r="Y103" s="143">
        <f>'[65]2. подк.неподк.'!V91</f>
        <v>0</v>
      </c>
      <c r="Z103" s="182">
        <f>'[65]2. подк.неподк.'!W91</f>
        <v>0</v>
      </c>
      <c r="AA103" s="143">
        <f>'[65]2. подк.неподк.'!X91</f>
        <v>559</v>
      </c>
      <c r="AB103" s="143">
        <f t="shared" si="42"/>
        <v>0</v>
      </c>
      <c r="AC103" s="144">
        <f t="shared" si="47"/>
        <v>0</v>
      </c>
      <c r="AD103" s="143">
        <f t="shared" si="48"/>
        <v>0</v>
      </c>
      <c r="AE103" s="143"/>
      <c r="AF103" s="143">
        <f t="shared" si="50"/>
        <v>0</v>
      </c>
      <c r="AG103" s="143"/>
      <c r="AH103" s="143">
        <f t="shared" si="52"/>
        <v>-559</v>
      </c>
      <c r="AI103" s="143">
        <f t="shared" si="53"/>
        <v>-100</v>
      </c>
    </row>
    <row r="104" spans="1:35" ht="33" customHeight="1" outlineLevel="1">
      <c r="A104" s="139"/>
      <c r="B104" s="176" t="s">
        <v>570</v>
      </c>
      <c r="C104" s="171" t="s">
        <v>571</v>
      </c>
      <c r="D104" s="148" t="s">
        <v>572</v>
      </c>
      <c r="E104" s="172"/>
      <c r="F104" s="178" t="s">
        <v>552</v>
      </c>
      <c r="G104" s="179">
        <v>0</v>
      </c>
      <c r="H104" s="179">
        <v>0</v>
      </c>
      <c r="I104" s="179">
        <v>0</v>
      </c>
      <c r="J104" s="179">
        <v>904.38</v>
      </c>
      <c r="K104" s="179">
        <v>1781.0855550000001</v>
      </c>
      <c r="L104" s="179">
        <v>1781.09</v>
      </c>
      <c r="M104" s="179">
        <v>904.38</v>
      </c>
      <c r="N104" s="179">
        <v>1808.6683700000001</v>
      </c>
      <c r="O104" s="179">
        <v>1702.02449</v>
      </c>
      <c r="P104" s="180">
        <v>1702.02449</v>
      </c>
      <c r="Q104" s="179">
        <v>1702.02449</v>
      </c>
      <c r="R104" s="144">
        <v>1702.02449</v>
      </c>
      <c r="S104" s="179">
        <f t="shared" si="43"/>
        <v>797.64449000000002</v>
      </c>
      <c r="T104" s="179">
        <f t="shared" si="44"/>
        <v>0</v>
      </c>
      <c r="U104" s="181" t="e">
        <f>R104-#REF!</f>
        <v>#REF!</v>
      </c>
      <c r="V104" s="181">
        <f t="shared" si="45"/>
        <v>797.64449000000002</v>
      </c>
      <c r="W104" s="181">
        <f t="shared" si="46"/>
        <v>0</v>
      </c>
      <c r="X104" s="181" t="e">
        <f>O104-#REF!</f>
        <v>#REF!</v>
      </c>
      <c r="Y104" s="143">
        <f>'[65]2. подк.неподк.'!V92</f>
        <v>954.12</v>
      </c>
      <c r="Z104" s="182">
        <f>'[65]2. подк.неподк.'!W92</f>
        <v>997.05539999999996</v>
      </c>
      <c r="AA104" s="143">
        <f>'[65]2. подк.неподк.'!X92</f>
        <v>1996.8</v>
      </c>
      <c r="AB104" s="143">
        <f t="shared" si="42"/>
        <v>989.28100059969825</v>
      </c>
      <c r="AC104" s="144">
        <f t="shared" si="47"/>
        <v>989.28100059969825</v>
      </c>
      <c r="AD104" s="143">
        <f t="shared" si="48"/>
        <v>35.161000599698241</v>
      </c>
      <c r="AE104" s="143">
        <f t="shared" si="49"/>
        <v>3.6851759317169979</v>
      </c>
      <c r="AF104" s="143">
        <f t="shared" si="50"/>
        <v>-7.7743994003017178</v>
      </c>
      <c r="AG104" s="143">
        <f t="shared" si="51"/>
        <v>-0.77973595051004452</v>
      </c>
      <c r="AH104" s="143">
        <f t="shared" si="52"/>
        <v>-1007.5189994003017</v>
      </c>
      <c r="AI104" s="143">
        <f t="shared" si="53"/>
        <v>-50.456680659069598</v>
      </c>
    </row>
    <row r="105" spans="1:35" ht="33" customHeight="1" outlineLevel="1">
      <c r="A105" s="139"/>
      <c r="B105" s="176" t="s">
        <v>573</v>
      </c>
      <c r="C105" s="171" t="s">
        <v>574</v>
      </c>
      <c r="D105" s="148" t="s">
        <v>575</v>
      </c>
      <c r="E105" s="172"/>
      <c r="F105" s="178" t="s">
        <v>552</v>
      </c>
      <c r="G105" s="179">
        <v>0</v>
      </c>
      <c r="H105" s="179">
        <v>0</v>
      </c>
      <c r="I105" s="179">
        <v>0</v>
      </c>
      <c r="J105" s="179">
        <v>137.93</v>
      </c>
      <c r="K105" s="179">
        <v>264.13</v>
      </c>
      <c r="L105" s="179">
        <v>264.13</v>
      </c>
      <c r="M105" s="179">
        <v>137.93</v>
      </c>
      <c r="N105" s="179">
        <v>242.1</v>
      </c>
      <c r="O105" s="179">
        <v>211.30063000000001</v>
      </c>
      <c r="P105" s="180">
        <v>211.30063000000001</v>
      </c>
      <c r="Q105" s="179">
        <v>211.30063000000001</v>
      </c>
      <c r="R105" s="144">
        <v>211.30063000000001</v>
      </c>
      <c r="S105" s="179">
        <f t="shared" si="43"/>
        <v>73.370630000000006</v>
      </c>
      <c r="T105" s="179">
        <f t="shared" si="44"/>
        <v>0</v>
      </c>
      <c r="U105" s="181" t="e">
        <f>R105-#REF!</f>
        <v>#REF!</v>
      </c>
      <c r="V105" s="181">
        <f t="shared" si="45"/>
        <v>73.370630000000006</v>
      </c>
      <c r="W105" s="181">
        <f t="shared" si="46"/>
        <v>0</v>
      </c>
      <c r="X105" s="181" t="e">
        <f>O105-#REF!</f>
        <v>#REF!</v>
      </c>
      <c r="Y105" s="143">
        <f>'[65]2. подк.неподк.'!V93</f>
        <v>145.52000000000001</v>
      </c>
      <c r="Z105" s="182">
        <f>'[65]2. подк.неподк.'!W93</f>
        <v>152.0684</v>
      </c>
      <c r="AA105" s="143">
        <f>'[65]2. подк.неподк.'!X93</f>
        <v>336.2</v>
      </c>
      <c r="AB105" s="143">
        <f t="shared" si="42"/>
        <v>150.88266801583458</v>
      </c>
      <c r="AC105" s="144">
        <f t="shared" si="47"/>
        <v>150.88266801583458</v>
      </c>
      <c r="AD105" s="143">
        <f t="shared" si="48"/>
        <v>5.3626680158345721</v>
      </c>
      <c r="AE105" s="143">
        <f t="shared" si="49"/>
        <v>3.6851759317169979</v>
      </c>
      <c r="AF105" s="143">
        <f t="shared" si="50"/>
        <v>-1.1857319841654146</v>
      </c>
      <c r="AG105" s="143">
        <f t="shared" si="51"/>
        <v>-0.77973595051004452</v>
      </c>
      <c r="AH105" s="143">
        <f t="shared" si="52"/>
        <v>-185.31733198416541</v>
      </c>
      <c r="AI105" s="143">
        <f t="shared" si="53"/>
        <v>-55.121157639549502</v>
      </c>
    </row>
    <row r="106" spans="1:35" ht="33" customHeight="1" outlineLevel="1">
      <c r="A106" s="139"/>
      <c r="B106" s="176" t="s">
        <v>576</v>
      </c>
      <c r="C106" s="171" t="s">
        <v>577</v>
      </c>
      <c r="D106" s="148" t="s">
        <v>578</v>
      </c>
      <c r="E106" s="172"/>
      <c r="F106" s="178" t="s">
        <v>552</v>
      </c>
      <c r="G106" s="179">
        <v>0</v>
      </c>
      <c r="H106" s="179">
        <v>0</v>
      </c>
      <c r="I106" s="179">
        <v>0</v>
      </c>
      <c r="J106" s="179">
        <v>621.48</v>
      </c>
      <c r="K106" s="179">
        <v>1224</v>
      </c>
      <c r="L106" s="179">
        <v>1224</v>
      </c>
      <c r="M106" s="179">
        <v>621.48</v>
      </c>
      <c r="N106" s="179">
        <v>1128</v>
      </c>
      <c r="O106" s="179">
        <v>1053.1063100000001</v>
      </c>
      <c r="P106" s="180">
        <v>1053.1063100000001</v>
      </c>
      <c r="Q106" s="179">
        <v>1053.1063100000001</v>
      </c>
      <c r="R106" s="144">
        <v>1053.1063100000001</v>
      </c>
      <c r="S106" s="179">
        <f t="shared" si="43"/>
        <v>431.6263100000001</v>
      </c>
      <c r="T106" s="179">
        <f t="shared" si="44"/>
        <v>0</v>
      </c>
      <c r="U106" s="181" t="e">
        <f>R106-#REF!</f>
        <v>#REF!</v>
      </c>
      <c r="V106" s="181">
        <f t="shared" si="45"/>
        <v>431.6263100000001</v>
      </c>
      <c r="W106" s="181">
        <f t="shared" si="46"/>
        <v>0</v>
      </c>
      <c r="X106" s="181" t="e">
        <f>O106-#REF!</f>
        <v>#REF!</v>
      </c>
      <c r="Y106" s="143">
        <f>'[65]2. подк.неподк.'!V94</f>
        <v>655.66</v>
      </c>
      <c r="Z106" s="182">
        <f>'[65]2. подк.неподк.'!W94</f>
        <v>685.16469999999993</v>
      </c>
      <c r="AA106" s="143">
        <f>'[65]2. подк.неподк.'!X94</f>
        <v>1245.3</v>
      </c>
      <c r="AB106" s="143">
        <f t="shared" si="42"/>
        <v>679.82222451389566</v>
      </c>
      <c r="AC106" s="144">
        <f t="shared" si="47"/>
        <v>679.82222451389566</v>
      </c>
      <c r="AD106" s="143">
        <f t="shared" si="48"/>
        <v>24.162224513895694</v>
      </c>
      <c r="AE106" s="143">
        <f t="shared" si="49"/>
        <v>3.6851759317169979</v>
      </c>
      <c r="AF106" s="143">
        <f t="shared" si="50"/>
        <v>-5.3424754861042629</v>
      </c>
      <c r="AG106" s="143">
        <f t="shared" si="51"/>
        <v>-0.77973595051004452</v>
      </c>
      <c r="AH106" s="143">
        <f t="shared" si="52"/>
        <v>-565.47777548610429</v>
      </c>
      <c r="AI106" s="143">
        <f t="shared" si="53"/>
        <v>-45.408959727463603</v>
      </c>
    </row>
    <row r="107" spans="1:35" ht="33" customHeight="1" outlineLevel="1">
      <c r="A107" s="139"/>
      <c r="B107" s="176" t="s">
        <v>579</v>
      </c>
      <c r="C107" s="171" t="s">
        <v>580</v>
      </c>
      <c r="D107" s="148" t="s">
        <v>581</v>
      </c>
      <c r="E107" s="172"/>
      <c r="F107" s="178" t="s">
        <v>552</v>
      </c>
      <c r="G107" s="179">
        <v>0</v>
      </c>
      <c r="H107" s="179">
        <v>0</v>
      </c>
      <c r="I107" s="179">
        <v>0</v>
      </c>
      <c r="J107" s="179">
        <v>0.75</v>
      </c>
      <c r="K107" s="179">
        <v>1.5</v>
      </c>
      <c r="L107" s="179">
        <v>1.5</v>
      </c>
      <c r="M107" s="179">
        <v>0.75</v>
      </c>
      <c r="N107" s="179">
        <v>3</v>
      </c>
      <c r="O107" s="179">
        <v>3</v>
      </c>
      <c r="P107" s="180">
        <v>3</v>
      </c>
      <c r="Q107" s="179">
        <v>3</v>
      </c>
      <c r="R107" s="144">
        <v>3</v>
      </c>
      <c r="S107" s="179">
        <f t="shared" si="43"/>
        <v>2.25</v>
      </c>
      <c r="T107" s="179">
        <f t="shared" si="44"/>
        <v>0</v>
      </c>
      <c r="U107" s="181" t="e">
        <f>R107-#REF!</f>
        <v>#REF!</v>
      </c>
      <c r="V107" s="181">
        <f t="shared" si="45"/>
        <v>2.25</v>
      </c>
      <c r="W107" s="181">
        <f t="shared" si="46"/>
        <v>0</v>
      </c>
      <c r="X107" s="181" t="e">
        <f>O107-#REF!</f>
        <v>#REF!</v>
      </c>
      <c r="Y107" s="143">
        <f>'[65]2. подк.неподк.'!V95</f>
        <v>0.79</v>
      </c>
      <c r="Z107" s="182">
        <f>'[65]2. подк.неподк.'!W95</f>
        <v>0.82555000000000001</v>
      </c>
      <c r="AA107" s="143">
        <f>'[65]2. подк.неподк.'!X95</f>
        <v>3.3</v>
      </c>
      <c r="AB107" s="143">
        <f t="shared" si="42"/>
        <v>0.8191128898605643</v>
      </c>
      <c r="AC107" s="144">
        <f t="shared" si="47"/>
        <v>0.8191128898605643</v>
      </c>
      <c r="AD107" s="143">
        <f t="shared" si="48"/>
        <v>2.9112889860564262E-2</v>
      </c>
      <c r="AE107" s="143">
        <f t="shared" si="49"/>
        <v>3.6851759317169979</v>
      </c>
      <c r="AF107" s="143">
        <f t="shared" si="50"/>
        <v>-6.4371101394357089E-3</v>
      </c>
      <c r="AG107" s="143">
        <f t="shared" si="51"/>
        <v>-0.77973595051005873</v>
      </c>
      <c r="AH107" s="143">
        <f t="shared" si="52"/>
        <v>-2.4808871101394354</v>
      </c>
      <c r="AI107" s="143">
        <f t="shared" si="53"/>
        <v>-75.178397276952595</v>
      </c>
    </row>
    <row r="108" spans="1:35" ht="33" customHeight="1" outlineLevel="1">
      <c r="A108" s="139"/>
      <c r="B108" s="176" t="s">
        <v>582</v>
      </c>
      <c r="C108" s="171" t="s">
        <v>583</v>
      </c>
      <c r="D108" s="148" t="s">
        <v>584</v>
      </c>
      <c r="E108" s="172"/>
      <c r="F108" s="178" t="s">
        <v>552</v>
      </c>
      <c r="G108" s="179">
        <v>0</v>
      </c>
      <c r="H108" s="179">
        <v>0</v>
      </c>
      <c r="I108" s="179">
        <v>0</v>
      </c>
      <c r="J108" s="179">
        <v>833.88</v>
      </c>
      <c r="K108" s="179">
        <v>1064.71046</v>
      </c>
      <c r="L108" s="179">
        <v>1064.71</v>
      </c>
      <c r="M108" s="179">
        <v>833.88</v>
      </c>
      <c r="N108" s="179">
        <v>1172.8</v>
      </c>
      <c r="O108" s="179">
        <v>1052.0836999999999</v>
      </c>
      <c r="P108" s="180">
        <v>1052.0836999999999</v>
      </c>
      <c r="Q108" s="179">
        <v>1052.0836999999999</v>
      </c>
      <c r="R108" s="144">
        <v>1052.0836999999999</v>
      </c>
      <c r="S108" s="179">
        <f t="shared" si="43"/>
        <v>218.20369999999991</v>
      </c>
      <c r="T108" s="179">
        <f t="shared" si="44"/>
        <v>0</v>
      </c>
      <c r="U108" s="181" t="e">
        <f>R108-#REF!</f>
        <v>#REF!</v>
      </c>
      <c r="V108" s="181">
        <f t="shared" si="45"/>
        <v>218.20369999999991</v>
      </c>
      <c r="W108" s="181">
        <f t="shared" si="46"/>
        <v>0</v>
      </c>
      <c r="X108" s="181" t="e">
        <f>O108-#REF!</f>
        <v>#REF!</v>
      </c>
      <c r="Y108" s="143">
        <f>'[65]2. подк.неподк.'!V96</f>
        <v>879.75</v>
      </c>
      <c r="Z108" s="182">
        <f>'[65]2. подк.неподк.'!W96</f>
        <v>919.33874999999989</v>
      </c>
      <c r="AA108" s="143">
        <f>'[65]2. подк.неподк.'!X96</f>
        <v>2350.3000000000002</v>
      </c>
      <c r="AB108" s="143">
        <f t="shared" si="42"/>
        <v>912.17033525928025</v>
      </c>
      <c r="AC108" s="144">
        <f t="shared" si="47"/>
        <v>912.17033525928025</v>
      </c>
      <c r="AD108" s="143">
        <f t="shared" si="48"/>
        <v>32.42033525928025</v>
      </c>
      <c r="AE108" s="143">
        <f t="shared" si="49"/>
        <v>3.6851759317169979</v>
      </c>
      <c r="AF108" s="143">
        <f t="shared" si="50"/>
        <v>-7.1684147407196406</v>
      </c>
      <c r="AG108" s="143">
        <f t="shared" si="51"/>
        <v>-0.77973595051004452</v>
      </c>
      <c r="AH108" s="143">
        <f t="shared" si="52"/>
        <v>-1438.1296647407198</v>
      </c>
      <c r="AI108" s="143">
        <f t="shared" si="53"/>
        <v>-61.189195623568047</v>
      </c>
    </row>
    <row r="109" spans="1:35" ht="33" customHeight="1" outlineLevel="1">
      <c r="A109" s="139"/>
      <c r="B109" s="176" t="s">
        <v>585</v>
      </c>
      <c r="C109" s="171" t="s">
        <v>586</v>
      </c>
      <c r="D109" s="148" t="s">
        <v>587</v>
      </c>
      <c r="E109" s="172"/>
      <c r="F109" s="178" t="s">
        <v>552</v>
      </c>
      <c r="G109" s="179">
        <v>0</v>
      </c>
      <c r="H109" s="179">
        <v>0</v>
      </c>
      <c r="I109" s="179">
        <v>0</v>
      </c>
      <c r="J109" s="179">
        <v>1461.19</v>
      </c>
      <c r="K109" s="179">
        <v>326.27777000000003</v>
      </c>
      <c r="L109" s="179">
        <v>326.27777000000003</v>
      </c>
      <c r="M109" s="179">
        <v>1461.19</v>
      </c>
      <c r="N109" s="179">
        <v>318.75953000000004</v>
      </c>
      <c r="O109" s="179">
        <v>307.28191999999996</v>
      </c>
      <c r="P109" s="180">
        <v>307.28191999999996</v>
      </c>
      <c r="Q109" s="179">
        <v>307.28191999999996</v>
      </c>
      <c r="R109" s="144">
        <v>307.28191999999996</v>
      </c>
      <c r="S109" s="179">
        <f t="shared" si="43"/>
        <v>-1153.9080800000002</v>
      </c>
      <c r="T109" s="179">
        <f t="shared" si="44"/>
        <v>0</v>
      </c>
      <c r="U109" s="181" t="e">
        <f>R109-#REF!</f>
        <v>#REF!</v>
      </c>
      <c r="V109" s="181">
        <f t="shared" si="45"/>
        <v>-1153.9080800000002</v>
      </c>
      <c r="W109" s="181">
        <f t="shared" si="46"/>
        <v>0</v>
      </c>
      <c r="X109" s="181" t="e">
        <f>O109-#REF!</f>
        <v>#REF!</v>
      </c>
      <c r="Y109" s="143">
        <f>'[65]2. подк.неподк.'!V97</f>
        <v>1541.56</v>
      </c>
      <c r="Z109" s="182">
        <f>'[65]2. подк.неподк.'!W97</f>
        <v>1610.9301999999998</v>
      </c>
      <c r="AA109" s="166">
        <f>'[65]2. подк.неподк.'!X97+1000</f>
        <v>2470</v>
      </c>
      <c r="AB109" s="143">
        <f t="shared" si="42"/>
        <v>1598.3691980929766</v>
      </c>
      <c r="AC109" s="144">
        <f t="shared" si="47"/>
        <v>1598.3691980929766</v>
      </c>
      <c r="AD109" s="143">
        <f t="shared" si="48"/>
        <v>56.809198092976658</v>
      </c>
      <c r="AE109" s="143">
        <f t="shared" si="49"/>
        <v>3.6851759317169979</v>
      </c>
      <c r="AF109" s="143">
        <f t="shared" si="50"/>
        <v>-12.561001907023183</v>
      </c>
      <c r="AG109" s="143">
        <f t="shared" si="51"/>
        <v>-0.77973595051003031</v>
      </c>
      <c r="AH109" s="143">
        <f t="shared" si="52"/>
        <v>-871.6308019070234</v>
      </c>
      <c r="AI109" s="143">
        <f t="shared" si="53"/>
        <v>-35.288696433482727</v>
      </c>
    </row>
    <row r="110" spans="1:35" ht="33" customHeight="1" outlineLevel="1">
      <c r="A110" s="139"/>
      <c r="B110" s="176" t="s">
        <v>588</v>
      </c>
      <c r="C110" s="171" t="s">
        <v>589</v>
      </c>
      <c r="D110" s="148" t="s">
        <v>590</v>
      </c>
      <c r="E110" s="172"/>
      <c r="F110" s="178" t="s">
        <v>552</v>
      </c>
      <c r="G110" s="179">
        <v>0</v>
      </c>
      <c r="H110" s="179">
        <v>0</v>
      </c>
      <c r="I110" s="179">
        <v>0</v>
      </c>
      <c r="J110" s="179">
        <v>0</v>
      </c>
      <c r="K110" s="179">
        <v>195</v>
      </c>
      <c r="L110" s="179">
        <v>0</v>
      </c>
      <c r="M110" s="179">
        <v>0</v>
      </c>
      <c r="N110" s="179">
        <v>213.779</v>
      </c>
      <c r="O110" s="179">
        <v>202.26337000000001</v>
      </c>
      <c r="P110" s="180">
        <v>202.26337000000001</v>
      </c>
      <c r="Q110" s="179">
        <v>202.26337000000001</v>
      </c>
      <c r="R110" s="144">
        <v>202.26337000000001</v>
      </c>
      <c r="S110" s="179">
        <f t="shared" si="43"/>
        <v>202.26337000000001</v>
      </c>
      <c r="T110" s="179">
        <f t="shared" si="44"/>
        <v>0</v>
      </c>
      <c r="U110" s="181" t="e">
        <f>R110-#REF!</f>
        <v>#REF!</v>
      </c>
      <c r="V110" s="181">
        <f t="shared" si="45"/>
        <v>202.26337000000001</v>
      </c>
      <c r="W110" s="181">
        <f t="shared" si="46"/>
        <v>0</v>
      </c>
      <c r="X110" s="181" t="e">
        <f>O110-#REF!</f>
        <v>#REF!</v>
      </c>
      <c r="Y110" s="143">
        <f>'[65]2. подк.неподк.'!V98</f>
        <v>0</v>
      </c>
      <c r="Z110" s="182">
        <f>'[65]2. подк.неподк.'!W98</f>
        <v>0</v>
      </c>
      <c r="AA110" s="143">
        <f>'[65]2. подк.неподк.'!X98</f>
        <v>1120</v>
      </c>
      <c r="AB110" s="143">
        <f t="shared" si="42"/>
        <v>0</v>
      </c>
      <c r="AC110" s="144">
        <f t="shared" si="47"/>
        <v>0</v>
      </c>
      <c r="AD110" s="143">
        <f t="shared" si="48"/>
        <v>0</v>
      </c>
      <c r="AE110" s="143"/>
      <c r="AF110" s="143">
        <f t="shared" si="50"/>
        <v>0</v>
      </c>
      <c r="AG110" s="143"/>
      <c r="AH110" s="143">
        <f t="shared" si="52"/>
        <v>-1120</v>
      </c>
      <c r="AI110" s="143">
        <f t="shared" si="53"/>
        <v>-100</v>
      </c>
    </row>
    <row r="111" spans="1:35" ht="33" customHeight="1" outlineLevel="1">
      <c r="A111" s="139"/>
      <c r="B111" s="176" t="s">
        <v>591</v>
      </c>
      <c r="C111" s="171" t="s">
        <v>592</v>
      </c>
      <c r="D111" s="148" t="s">
        <v>593</v>
      </c>
      <c r="E111" s="172"/>
      <c r="F111" s="178" t="s">
        <v>552</v>
      </c>
      <c r="G111" s="179">
        <v>0</v>
      </c>
      <c r="H111" s="179">
        <v>0</v>
      </c>
      <c r="I111" s="179">
        <v>0</v>
      </c>
      <c r="J111" s="179">
        <v>150.04</v>
      </c>
      <c r="K111" s="179">
        <v>295.52999999999997</v>
      </c>
      <c r="L111" s="179">
        <v>295.52999999999997</v>
      </c>
      <c r="M111" s="179">
        <v>150.04</v>
      </c>
      <c r="N111" s="179">
        <v>292</v>
      </c>
      <c r="O111" s="179">
        <v>258.83817999999997</v>
      </c>
      <c r="P111" s="180">
        <v>258.83817999999997</v>
      </c>
      <c r="Q111" s="179">
        <v>258.83817999999997</v>
      </c>
      <c r="R111" s="144">
        <v>258.83817999999997</v>
      </c>
      <c r="S111" s="179">
        <f t="shared" si="43"/>
        <v>108.79817999999997</v>
      </c>
      <c r="T111" s="179">
        <f t="shared" si="44"/>
        <v>0</v>
      </c>
      <c r="U111" s="181" t="e">
        <f>R111-#REF!</f>
        <v>#REF!</v>
      </c>
      <c r="V111" s="181">
        <f t="shared" si="45"/>
        <v>108.79817999999997</v>
      </c>
      <c r="W111" s="181">
        <f t="shared" si="46"/>
        <v>0</v>
      </c>
      <c r="X111" s="181" t="e">
        <f>O111-#REF!</f>
        <v>#REF!</v>
      </c>
      <c r="Y111" s="143">
        <f>'[65]2. подк.неподк.'!V99</f>
        <v>158.29</v>
      </c>
      <c r="Z111" s="182">
        <f>'[65]2. подк.неподк.'!W99</f>
        <v>165.41304999999997</v>
      </c>
      <c r="AA111" s="143">
        <f>'[65]2. подк.неподк.'!X99</f>
        <v>322.39999999999998</v>
      </c>
      <c r="AB111" s="143">
        <f t="shared" si="42"/>
        <v>164.12326498231482</v>
      </c>
      <c r="AC111" s="144">
        <f t="shared" si="47"/>
        <v>164.12326498231482</v>
      </c>
      <c r="AD111" s="143">
        <f t="shared" si="48"/>
        <v>5.8332649823148301</v>
      </c>
      <c r="AE111" s="143">
        <f t="shared" si="49"/>
        <v>3.6851759317169979</v>
      </c>
      <c r="AF111" s="143">
        <f t="shared" si="50"/>
        <v>-1.2897850176851477</v>
      </c>
      <c r="AG111" s="143">
        <f t="shared" si="51"/>
        <v>-0.77973595051004452</v>
      </c>
      <c r="AH111" s="143">
        <f t="shared" si="52"/>
        <v>-158.27673501768516</v>
      </c>
      <c r="AI111" s="143">
        <f t="shared" si="53"/>
        <v>-49.093280092334112</v>
      </c>
    </row>
    <row r="112" spans="1:35" ht="33" customHeight="1" outlineLevel="1">
      <c r="A112" s="139"/>
      <c r="B112" s="176" t="s">
        <v>594</v>
      </c>
      <c r="C112" s="171" t="s">
        <v>595</v>
      </c>
      <c r="D112" s="148" t="s">
        <v>596</v>
      </c>
      <c r="E112" s="172"/>
      <c r="F112" s="178" t="s">
        <v>552</v>
      </c>
      <c r="G112" s="179">
        <v>0</v>
      </c>
      <c r="H112" s="179">
        <v>0</v>
      </c>
      <c r="I112" s="179">
        <v>0</v>
      </c>
      <c r="J112" s="179">
        <v>0</v>
      </c>
      <c r="K112" s="179">
        <v>0</v>
      </c>
      <c r="L112" s="179">
        <v>0</v>
      </c>
      <c r="M112" s="179">
        <v>0</v>
      </c>
      <c r="N112" s="179"/>
      <c r="O112" s="179"/>
      <c r="P112" s="180"/>
      <c r="Q112" s="179">
        <v>0</v>
      </c>
      <c r="R112" s="144">
        <v>0</v>
      </c>
      <c r="S112" s="179">
        <f t="shared" si="43"/>
        <v>0</v>
      </c>
      <c r="T112" s="179">
        <f t="shared" si="44"/>
        <v>0</v>
      </c>
      <c r="U112" s="181" t="e">
        <f>R112-#REF!</f>
        <v>#REF!</v>
      </c>
      <c r="V112" s="181">
        <f t="shared" si="45"/>
        <v>0</v>
      </c>
      <c r="W112" s="181">
        <f t="shared" si="46"/>
        <v>0</v>
      </c>
      <c r="X112" s="181" t="e">
        <f>O112-#REF!</f>
        <v>#REF!</v>
      </c>
      <c r="Y112" s="143">
        <f>'[65]2. подк.неподк.'!V100</f>
        <v>0</v>
      </c>
      <c r="Z112" s="182">
        <f>'[65]2. подк.неподк.'!W100</f>
        <v>0</v>
      </c>
      <c r="AA112" s="143">
        <f>'[65]2. подк.неподк.'!X100</f>
        <v>0</v>
      </c>
      <c r="AB112" s="143">
        <f t="shared" si="42"/>
        <v>0</v>
      </c>
      <c r="AC112" s="144">
        <f t="shared" si="47"/>
        <v>0</v>
      </c>
      <c r="AD112" s="143">
        <f t="shared" si="48"/>
        <v>0</v>
      </c>
      <c r="AE112" s="143"/>
      <c r="AF112" s="143">
        <f t="shared" si="50"/>
        <v>0</v>
      </c>
      <c r="AG112" s="143"/>
      <c r="AH112" s="143">
        <f t="shared" si="52"/>
        <v>0</v>
      </c>
      <c r="AI112" s="143"/>
    </row>
    <row r="113" spans="1:35" ht="33" customHeight="1">
      <c r="A113" s="139"/>
      <c r="B113" s="140" t="s">
        <v>597</v>
      </c>
      <c r="C113" s="141"/>
      <c r="D113" s="185" t="s">
        <v>598</v>
      </c>
      <c r="E113" s="185" t="s">
        <v>598</v>
      </c>
      <c r="F113" s="143" t="s">
        <v>121</v>
      </c>
      <c r="G113" s="144">
        <f t="shared" ref="G113:M113" si="58">SUM(G114,G120)</f>
        <v>90462.118928115742</v>
      </c>
      <c r="H113" s="144">
        <f t="shared" si="58"/>
        <v>84565.034530000004</v>
      </c>
      <c r="I113" s="144">
        <f t="shared" si="58"/>
        <v>84565.033640000009</v>
      </c>
      <c r="J113" s="144">
        <f t="shared" si="58"/>
        <v>99261.676557352388</v>
      </c>
      <c r="K113" s="144">
        <f t="shared" si="58"/>
        <v>105633.92383</v>
      </c>
      <c r="L113" s="144">
        <f t="shared" si="58"/>
        <v>105633.91655999998</v>
      </c>
      <c r="M113" s="144">
        <f t="shared" si="58"/>
        <v>86280.324367356108</v>
      </c>
      <c r="N113" s="144">
        <f>SUM(N114,N120)</f>
        <v>131335.68335000001</v>
      </c>
      <c r="O113" s="144">
        <f>SUM(O114,O120)</f>
        <v>129088.47916</v>
      </c>
      <c r="P113" s="145">
        <f t="shared" ref="P113:AA113" si="59">SUM(P114,P120)</f>
        <v>129088.47916</v>
      </c>
      <c r="Q113" s="144">
        <f t="shared" si="59"/>
        <v>129088.47916</v>
      </c>
      <c r="R113" s="144">
        <f t="shared" si="59"/>
        <v>129088.47916</v>
      </c>
      <c r="S113" s="144">
        <f t="shared" si="43"/>
        <v>42808.154792643894</v>
      </c>
      <c r="T113" s="144">
        <f t="shared" si="44"/>
        <v>0</v>
      </c>
      <c r="U113" s="146" t="e">
        <f>R113-#REF!</f>
        <v>#REF!</v>
      </c>
      <c r="V113" s="146">
        <f t="shared" si="45"/>
        <v>42808.154792643894</v>
      </c>
      <c r="W113" s="146">
        <f t="shared" si="46"/>
        <v>0</v>
      </c>
      <c r="X113" s="146" t="e">
        <f>O113-#REF!</f>
        <v>#REF!</v>
      </c>
      <c r="Y113" s="144">
        <f t="shared" si="59"/>
        <v>74028.423791742825</v>
      </c>
      <c r="Z113" s="170">
        <f t="shared" si="59"/>
        <v>77359.700362371252</v>
      </c>
      <c r="AA113" s="144">
        <f t="shared" si="59"/>
        <v>187298.98638432712</v>
      </c>
      <c r="AB113" s="144">
        <f>SUM(AB114,AB120)</f>
        <v>76756.5014479456</v>
      </c>
      <c r="AC113" s="144">
        <f t="shared" si="47"/>
        <v>76756.5014479456</v>
      </c>
      <c r="AD113" s="144">
        <f t="shared" si="48"/>
        <v>2728.077656202775</v>
      </c>
      <c r="AE113" s="144">
        <f t="shared" si="49"/>
        <v>3.6851759317169979</v>
      </c>
      <c r="AF113" s="144">
        <f t="shared" si="50"/>
        <v>-603.19891442565131</v>
      </c>
      <c r="AG113" s="144">
        <f t="shared" si="51"/>
        <v>-0.77973274405165682</v>
      </c>
      <c r="AH113" s="144">
        <f t="shared" si="52"/>
        <v>-110542.48493638152</v>
      </c>
      <c r="AI113" s="144">
        <f t="shared" si="53"/>
        <v>-59.019264903844423</v>
      </c>
    </row>
    <row r="114" spans="1:35" ht="33" customHeight="1" outlineLevel="1">
      <c r="A114" s="139"/>
      <c r="B114" s="140" t="s">
        <v>599</v>
      </c>
      <c r="C114" s="186"/>
      <c r="D114" s="187" t="s">
        <v>600</v>
      </c>
      <c r="E114" s="187" t="s">
        <v>600</v>
      </c>
      <c r="F114" s="143" t="s">
        <v>121</v>
      </c>
      <c r="G114" s="144">
        <f t="shared" ref="G114:H114" si="60">SUM(G115:G119)</f>
        <v>61649.36176624475</v>
      </c>
      <c r="H114" s="144">
        <f t="shared" si="60"/>
        <v>62192.333639999997</v>
      </c>
      <c r="I114" s="144">
        <f t="shared" ref="I114:M114" si="61">SUM(I115:I119)</f>
        <v>62192.333639999997</v>
      </c>
      <c r="J114" s="144">
        <f t="shared" si="61"/>
        <v>77789.292082117579</v>
      </c>
      <c r="K114" s="144">
        <f t="shared" si="61"/>
        <v>88686.79406</v>
      </c>
      <c r="L114" s="144">
        <f t="shared" si="61"/>
        <v>88686.789999999979</v>
      </c>
      <c r="M114" s="144">
        <f t="shared" si="61"/>
        <v>67714.398048373812</v>
      </c>
      <c r="N114" s="144">
        <f>SUM(N115:N119)</f>
        <v>102520.16925000001</v>
      </c>
      <c r="O114" s="144">
        <f t="shared" ref="O114:AB114" si="62">SUM(O115:O119)</f>
        <v>100593.69667</v>
      </c>
      <c r="P114" s="145">
        <f t="shared" si="62"/>
        <v>100593.69667</v>
      </c>
      <c r="Q114" s="144">
        <f t="shared" si="62"/>
        <v>100593.69667</v>
      </c>
      <c r="R114" s="144">
        <f t="shared" si="62"/>
        <v>100593.69667</v>
      </c>
      <c r="S114" s="144">
        <f t="shared" si="43"/>
        <v>32879.298621626192</v>
      </c>
      <c r="T114" s="144">
        <f t="shared" si="44"/>
        <v>0</v>
      </c>
      <c r="U114" s="146" t="e">
        <f>R114-#REF!</f>
        <v>#REF!</v>
      </c>
      <c r="V114" s="146">
        <f t="shared" si="45"/>
        <v>32879.298621626192</v>
      </c>
      <c r="W114" s="146">
        <f t="shared" si="46"/>
        <v>0</v>
      </c>
      <c r="X114" s="146" t="e">
        <f>O114-#REF!</f>
        <v>#REF!</v>
      </c>
      <c r="Y114" s="144">
        <f t="shared" si="62"/>
        <v>56569.22214749999</v>
      </c>
      <c r="Z114" s="170">
        <f t="shared" si="62"/>
        <v>59114.834644137489</v>
      </c>
      <c r="AA114" s="144">
        <f t="shared" si="62"/>
        <v>154432.05000000002</v>
      </c>
      <c r="AB114" s="144">
        <f t="shared" si="62"/>
        <v>58653.897506839188</v>
      </c>
      <c r="AC114" s="144">
        <f t="shared" si="47"/>
        <v>58653.897506839188</v>
      </c>
      <c r="AD114" s="144">
        <f t="shared" si="48"/>
        <v>2084.6753593391986</v>
      </c>
      <c r="AE114" s="144">
        <f t="shared" si="49"/>
        <v>3.6851759317170263</v>
      </c>
      <c r="AF114" s="144">
        <f t="shared" si="50"/>
        <v>-460.93713729830051</v>
      </c>
      <c r="AG114" s="144">
        <f t="shared" si="51"/>
        <v>-0.7797317544286102</v>
      </c>
      <c r="AH114" s="144">
        <f t="shared" si="52"/>
        <v>-95778.152493160829</v>
      </c>
      <c r="AI114" s="144">
        <f t="shared" si="53"/>
        <v>-62.019608295791464</v>
      </c>
    </row>
    <row r="115" spans="1:35" ht="33" customHeight="1" outlineLevel="2">
      <c r="A115" s="139" t="s">
        <v>601</v>
      </c>
      <c r="B115" s="143" t="s">
        <v>602</v>
      </c>
      <c r="C115" s="147" t="s">
        <v>603</v>
      </c>
      <c r="D115" s="148" t="s">
        <v>604</v>
      </c>
      <c r="E115" s="165" t="s">
        <v>605</v>
      </c>
      <c r="F115" s="143" t="s">
        <v>121</v>
      </c>
      <c r="G115" s="143">
        <v>13836.057856128504</v>
      </c>
      <c r="H115" s="143">
        <v>6601.8531700000003</v>
      </c>
      <c r="I115" s="143">
        <v>6601.8531700000003</v>
      </c>
      <c r="J115" s="143">
        <v>32488.04</v>
      </c>
      <c r="K115" s="143">
        <v>28610.317640000001</v>
      </c>
      <c r="L115" s="143">
        <v>28610.32</v>
      </c>
      <c r="M115" s="143">
        <v>21881.55</v>
      </c>
      <c r="N115" s="143">
        <v>62695.327549999995</v>
      </c>
      <c r="O115" s="143">
        <v>62725.195039999999</v>
      </c>
      <c r="P115" s="150">
        <v>62725.195039999999</v>
      </c>
      <c r="Q115" s="143">
        <v>62725.195039999999</v>
      </c>
      <c r="R115" s="144">
        <v>62725.195039999999</v>
      </c>
      <c r="S115" s="143">
        <f t="shared" si="43"/>
        <v>40843.645040000003</v>
      </c>
      <c r="T115" s="143">
        <f t="shared" si="44"/>
        <v>0</v>
      </c>
      <c r="U115" s="151" t="e">
        <f>R115-#REF!</f>
        <v>#REF!</v>
      </c>
      <c r="V115" s="151">
        <f t="shared" si="45"/>
        <v>40843.645040000003</v>
      </c>
      <c r="W115" s="151">
        <f t="shared" si="46"/>
        <v>0</v>
      </c>
      <c r="X115" s="151" t="e">
        <f>O115-#REF!</f>
        <v>#REF!</v>
      </c>
      <c r="Y115" s="143">
        <f>'[65]2. подк.неподк.'!V103</f>
        <v>32447.679169999996</v>
      </c>
      <c r="Z115" s="182">
        <f>'[65]2. подк.неподк.'!W103</f>
        <v>33907.824732649991</v>
      </c>
      <c r="AA115" s="143">
        <f>'[65]2. подк.неподк.'!X103</f>
        <v>109702.51</v>
      </c>
      <c r="AB115" s="143">
        <f>Y115*$AA$11</f>
        <v>33643.433233173586</v>
      </c>
      <c r="AC115" s="144">
        <f t="shared" si="47"/>
        <v>33643.433233173586</v>
      </c>
      <c r="AD115" s="143">
        <f t="shared" si="48"/>
        <v>1195.7540631735901</v>
      </c>
      <c r="AE115" s="143">
        <f t="shared" si="49"/>
        <v>3.6851759317169979</v>
      </c>
      <c r="AF115" s="143">
        <f t="shared" si="50"/>
        <v>-264.39149947640544</v>
      </c>
      <c r="AG115" s="143">
        <f t="shared" si="51"/>
        <v>-0.77973595051004452</v>
      </c>
      <c r="AH115" s="143">
        <f t="shared" si="52"/>
        <v>-76059.076766826416</v>
      </c>
      <c r="AI115" s="143">
        <f t="shared" si="53"/>
        <v>-69.332120811845073</v>
      </c>
    </row>
    <row r="116" spans="1:35" ht="33" customHeight="1" outlineLevel="2">
      <c r="A116" s="139" t="s">
        <v>606</v>
      </c>
      <c r="B116" s="143" t="s">
        <v>607</v>
      </c>
      <c r="C116" s="147" t="s">
        <v>608</v>
      </c>
      <c r="D116" s="148" t="s">
        <v>609</v>
      </c>
      <c r="E116" s="1340" t="s">
        <v>610</v>
      </c>
      <c r="F116" s="1341" t="s">
        <v>121</v>
      </c>
      <c r="G116" s="143">
        <v>17549.834470801015</v>
      </c>
      <c r="H116" s="143">
        <v>13416.07368</v>
      </c>
      <c r="I116" s="143">
        <v>13416.07368</v>
      </c>
      <c r="J116" s="143">
        <v>18303.740000000002</v>
      </c>
      <c r="K116" s="143">
        <v>49380.83</v>
      </c>
      <c r="L116" s="143">
        <v>49380.83</v>
      </c>
      <c r="M116" s="143">
        <v>19327</v>
      </c>
      <c r="N116" s="143">
        <v>27548.53241</v>
      </c>
      <c r="O116" s="143">
        <v>25820.29638</v>
      </c>
      <c r="P116" s="150">
        <v>25820.29638</v>
      </c>
      <c r="Q116" s="143">
        <v>25820.29638</v>
      </c>
      <c r="R116" s="144">
        <v>25820.29638</v>
      </c>
      <c r="S116" s="143">
        <f t="shared" si="43"/>
        <v>6493.2963799999998</v>
      </c>
      <c r="T116" s="143">
        <f t="shared" si="44"/>
        <v>0</v>
      </c>
      <c r="U116" s="151" t="e">
        <f>R116-#REF!</f>
        <v>#REF!</v>
      </c>
      <c r="V116" s="151">
        <f t="shared" si="45"/>
        <v>6493.2963799999998</v>
      </c>
      <c r="W116" s="151">
        <f t="shared" si="46"/>
        <v>0</v>
      </c>
      <c r="X116" s="151" t="e">
        <f>O116-#REF!</f>
        <v>#REF!</v>
      </c>
      <c r="Y116" s="143">
        <f>'[65]2. подк.неподк.'!V104</f>
        <v>15673.24</v>
      </c>
      <c r="Z116" s="182">
        <f>'[65]2. подк.неподк.'!W104</f>
        <v>16378.535799999998</v>
      </c>
      <c r="AA116" s="143">
        <f>'[65]2. подк.неподк.'!X104</f>
        <v>31725.15</v>
      </c>
      <c r="AB116" s="143">
        <f>Y116*$AA$11</f>
        <v>16250.826468200241</v>
      </c>
      <c r="AC116" s="144">
        <f t="shared" si="47"/>
        <v>16250.826468200241</v>
      </c>
      <c r="AD116" s="143">
        <f t="shared" si="48"/>
        <v>577.58646820024114</v>
      </c>
      <c r="AE116" s="143">
        <f t="shared" si="49"/>
        <v>3.6851759317169979</v>
      </c>
      <c r="AF116" s="143">
        <f t="shared" si="50"/>
        <v>-127.70933179975691</v>
      </c>
      <c r="AG116" s="143">
        <f t="shared" si="51"/>
        <v>-0.77973595051004452</v>
      </c>
      <c r="AH116" s="143">
        <f t="shared" si="52"/>
        <v>-15474.323531799761</v>
      </c>
      <c r="AI116" s="143">
        <f t="shared" si="53"/>
        <v>-48.776202892026546</v>
      </c>
    </row>
    <row r="117" spans="1:35" ht="33" customHeight="1" outlineLevel="2">
      <c r="A117" s="139" t="s">
        <v>611</v>
      </c>
      <c r="B117" s="143" t="s">
        <v>612</v>
      </c>
      <c r="C117" s="147" t="s">
        <v>613</v>
      </c>
      <c r="D117" s="148" t="s">
        <v>614</v>
      </c>
      <c r="E117" s="1340"/>
      <c r="F117" s="1341"/>
      <c r="G117" s="143">
        <v>0</v>
      </c>
      <c r="H117" s="143">
        <v>0</v>
      </c>
      <c r="I117" s="143">
        <v>0</v>
      </c>
      <c r="J117" s="143">
        <v>953.22</v>
      </c>
      <c r="K117" s="143">
        <v>2571.65</v>
      </c>
      <c r="L117" s="143">
        <v>2571.65</v>
      </c>
      <c r="M117" s="143">
        <v>1006.51</v>
      </c>
      <c r="N117" s="143">
        <v>2438.0134299999995</v>
      </c>
      <c r="O117" s="143">
        <v>2209.9093900000003</v>
      </c>
      <c r="P117" s="150">
        <v>2209.9093900000003</v>
      </c>
      <c r="Q117" s="143">
        <v>2209.9093900000003</v>
      </c>
      <c r="R117" s="144">
        <v>2209.9093900000003</v>
      </c>
      <c r="S117" s="143">
        <f t="shared" si="43"/>
        <v>1203.3993900000003</v>
      </c>
      <c r="T117" s="143">
        <f t="shared" si="44"/>
        <v>0</v>
      </c>
      <c r="U117" s="151" t="e">
        <f>R117-#REF!</f>
        <v>#REF!</v>
      </c>
      <c r="V117" s="151">
        <f t="shared" si="45"/>
        <v>1203.3993900000003</v>
      </c>
      <c r="W117" s="151">
        <f t="shared" si="46"/>
        <v>0</v>
      </c>
      <c r="X117" s="151" t="e">
        <f>O117-#REF!</f>
        <v>#REF!</v>
      </c>
      <c r="Y117" s="143">
        <f>'[65]2. подк.неподк.'!V105</f>
        <v>816.06</v>
      </c>
      <c r="Z117" s="182">
        <f>'[65]2. подк.неподк.'!W105</f>
        <v>852.78269999999986</v>
      </c>
      <c r="AA117" s="143">
        <f>'[65]2. подк.неподк.'!X105</f>
        <v>2142.91</v>
      </c>
      <c r="AB117" s="143">
        <f>Y117*$AA$11</f>
        <v>846.13324670836971</v>
      </c>
      <c r="AC117" s="144">
        <f t="shared" si="47"/>
        <v>846.13324670836971</v>
      </c>
      <c r="AD117" s="143">
        <f t="shared" si="48"/>
        <v>30.073246708369766</v>
      </c>
      <c r="AE117" s="143">
        <f t="shared" si="49"/>
        <v>3.6851759317169979</v>
      </c>
      <c r="AF117" s="143">
        <f t="shared" si="50"/>
        <v>-6.6494532916301523</v>
      </c>
      <c r="AG117" s="143">
        <f t="shared" si="51"/>
        <v>-0.77973595051004452</v>
      </c>
      <c r="AH117" s="143">
        <f t="shared" si="52"/>
        <v>-1296.77675329163</v>
      </c>
      <c r="AI117" s="143">
        <f t="shared" si="53"/>
        <v>-60.51475578963327</v>
      </c>
    </row>
    <row r="118" spans="1:35" ht="33" customHeight="1" outlineLevel="2">
      <c r="A118" s="139" t="s">
        <v>615</v>
      </c>
      <c r="B118" s="143" t="s">
        <v>616</v>
      </c>
      <c r="C118" s="147" t="s">
        <v>617</v>
      </c>
      <c r="D118" s="148" t="s">
        <v>618</v>
      </c>
      <c r="E118" s="165" t="s">
        <v>619</v>
      </c>
      <c r="F118" s="143" t="s">
        <v>121</v>
      </c>
      <c r="G118" s="143">
        <v>13947.739439315237</v>
      </c>
      <c r="H118" s="143">
        <v>3491.11679</v>
      </c>
      <c r="I118" s="143">
        <v>3491.11679</v>
      </c>
      <c r="J118" s="143">
        <v>15304.482082117578</v>
      </c>
      <c r="K118" s="143">
        <v>6683.34303</v>
      </c>
      <c r="L118" s="143">
        <v>6683.34</v>
      </c>
      <c r="M118" s="143">
        <v>16160.0680483738</v>
      </c>
      <c r="N118" s="143">
        <v>9788.2958600000002</v>
      </c>
      <c r="O118" s="143">
        <v>9788.2958600000002</v>
      </c>
      <c r="P118" s="150">
        <v>9788.2958600000002</v>
      </c>
      <c r="Q118" s="143">
        <v>9788.2958600000002</v>
      </c>
      <c r="R118" s="144">
        <v>9788.2958600000002</v>
      </c>
      <c r="S118" s="143">
        <f t="shared" si="43"/>
        <v>-6371.7721883737995</v>
      </c>
      <c r="T118" s="143">
        <f t="shared" si="44"/>
        <v>0</v>
      </c>
      <c r="U118" s="151" t="e">
        <f>R118-#REF!</f>
        <v>#REF!</v>
      </c>
      <c r="V118" s="151">
        <f t="shared" si="45"/>
        <v>-6371.7721883737995</v>
      </c>
      <c r="W118" s="151">
        <f t="shared" si="46"/>
        <v>0</v>
      </c>
      <c r="X118" s="151" t="e">
        <f>O118-#REF!</f>
        <v>#REF!</v>
      </c>
      <c r="Y118" s="143">
        <f>'[65]2. подк.неподк.'!V106</f>
        <v>7579.7429775000001</v>
      </c>
      <c r="Z118" s="182">
        <f>'[65]2. подк.неподк.'!W106</f>
        <v>7920.8314114874993</v>
      </c>
      <c r="AA118" s="143">
        <f>'[65]2. подк.неподк.'!X106</f>
        <v>10806.28</v>
      </c>
      <c r="AB118" s="143">
        <f>Y118*$AA$11</f>
        <v>7859.0698413928394</v>
      </c>
      <c r="AC118" s="144">
        <f t="shared" si="47"/>
        <v>7859.0698413928394</v>
      </c>
      <c r="AD118" s="143">
        <f t="shared" si="48"/>
        <v>279.32686389283936</v>
      </c>
      <c r="AE118" s="143">
        <f t="shared" si="49"/>
        <v>3.6851759317169979</v>
      </c>
      <c r="AF118" s="143">
        <f t="shared" si="50"/>
        <v>-61.761570094659874</v>
      </c>
      <c r="AG118" s="143">
        <f t="shared" si="51"/>
        <v>-0.77973595051004452</v>
      </c>
      <c r="AH118" s="143">
        <f t="shared" si="52"/>
        <v>-2947.2101586071612</v>
      </c>
      <c r="AI118" s="143">
        <f t="shared" si="53"/>
        <v>-27.273124133440561</v>
      </c>
    </row>
    <row r="119" spans="1:35" ht="33" customHeight="1" outlineLevel="2">
      <c r="A119" s="152" t="s">
        <v>620</v>
      </c>
      <c r="B119" s="143" t="s">
        <v>621</v>
      </c>
      <c r="C119" s="147" t="s">
        <v>622</v>
      </c>
      <c r="D119" s="164" t="s">
        <v>623</v>
      </c>
      <c r="E119" s="165" t="s">
        <v>624</v>
      </c>
      <c r="F119" s="143" t="s">
        <v>121</v>
      </c>
      <c r="G119" s="143">
        <v>16315.73</v>
      </c>
      <c r="H119" s="143">
        <v>38683.29</v>
      </c>
      <c r="I119" s="143">
        <v>38683.29</v>
      </c>
      <c r="J119" s="143">
        <v>10739.81</v>
      </c>
      <c r="K119" s="143">
        <v>1440.6533899999899</v>
      </c>
      <c r="L119" s="143">
        <v>1440.65</v>
      </c>
      <c r="M119" s="143">
        <v>9339.27</v>
      </c>
      <c r="N119" s="143">
        <v>50</v>
      </c>
      <c r="O119" s="143">
        <v>50</v>
      </c>
      <c r="P119" s="150">
        <v>50</v>
      </c>
      <c r="Q119" s="143">
        <v>50</v>
      </c>
      <c r="R119" s="144">
        <v>50</v>
      </c>
      <c r="S119" s="143">
        <f t="shared" si="43"/>
        <v>-9289.27</v>
      </c>
      <c r="T119" s="143">
        <f t="shared" si="44"/>
        <v>0</v>
      </c>
      <c r="U119" s="151" t="e">
        <f>R119-#REF!</f>
        <v>#REF!</v>
      </c>
      <c r="V119" s="151">
        <f t="shared" si="45"/>
        <v>-9289.27</v>
      </c>
      <c r="W119" s="151">
        <f t="shared" si="46"/>
        <v>0</v>
      </c>
      <c r="X119" s="151" t="e">
        <f>O119-#REF!</f>
        <v>#REF!</v>
      </c>
      <c r="Y119" s="143">
        <f>'[65]2. подк.неподк.'!V107</f>
        <v>52.5</v>
      </c>
      <c r="Z119" s="182">
        <f>'[65]2. подк.неподк.'!W107</f>
        <v>54.86</v>
      </c>
      <c r="AA119" s="143">
        <f>'[65]2. подк.неподк.'!X107</f>
        <v>55.2</v>
      </c>
      <c r="AB119" s="143">
        <f>Y119*$AA$11</f>
        <v>54.434717364151425</v>
      </c>
      <c r="AC119" s="144">
        <f t="shared" si="47"/>
        <v>54.434717364151425</v>
      </c>
      <c r="AD119" s="143">
        <f t="shared" si="48"/>
        <v>1.9347173641514246</v>
      </c>
      <c r="AE119" s="143">
        <f t="shared" si="49"/>
        <v>3.6851759317169979</v>
      </c>
      <c r="AF119" s="143">
        <f t="shared" si="50"/>
        <v>-0.42528263584857484</v>
      </c>
      <c r="AG119" s="143">
        <f t="shared" si="51"/>
        <v>-0.7752144291807781</v>
      </c>
      <c r="AH119" s="143">
        <f t="shared" si="52"/>
        <v>-0.76528263584857825</v>
      </c>
      <c r="AI119" s="143">
        <f t="shared" si="53"/>
        <v>-1.3863815866822051</v>
      </c>
    </row>
    <row r="120" spans="1:35" ht="33" customHeight="1" outlineLevel="1">
      <c r="A120" s="139"/>
      <c r="B120" s="140" t="s">
        <v>625</v>
      </c>
      <c r="C120" s="186"/>
      <c r="D120" s="187" t="s">
        <v>626</v>
      </c>
      <c r="E120" s="187" t="s">
        <v>626</v>
      </c>
      <c r="F120" s="143" t="s">
        <v>121</v>
      </c>
      <c r="G120" s="144">
        <f t="shared" ref="G120:M120" si="63">SUM(G121:G128)</f>
        <v>28812.757161870992</v>
      </c>
      <c r="H120" s="144">
        <f t="shared" si="63"/>
        <v>22372.70089</v>
      </c>
      <c r="I120" s="144">
        <f t="shared" si="63"/>
        <v>22372.700000000004</v>
      </c>
      <c r="J120" s="144">
        <f t="shared" si="63"/>
        <v>21472.384475234809</v>
      </c>
      <c r="K120" s="144">
        <f t="shared" si="63"/>
        <v>16947.12977</v>
      </c>
      <c r="L120" s="144">
        <f t="shared" si="63"/>
        <v>16947.126560000001</v>
      </c>
      <c r="M120" s="144">
        <f t="shared" si="63"/>
        <v>18565.926318982296</v>
      </c>
      <c r="N120" s="144">
        <f>SUM(N121:N128)</f>
        <v>28815.5141</v>
      </c>
      <c r="O120" s="144">
        <f t="shared" ref="O120:AA120" si="64">SUM(O121:O128)</f>
        <v>28494.782489999998</v>
      </c>
      <c r="P120" s="145">
        <f t="shared" si="64"/>
        <v>28494.782489999998</v>
      </c>
      <c r="Q120" s="144">
        <f t="shared" si="64"/>
        <v>28494.782489999998</v>
      </c>
      <c r="R120" s="144">
        <f t="shared" si="64"/>
        <v>28494.782489999998</v>
      </c>
      <c r="S120" s="144">
        <f t="shared" si="43"/>
        <v>9928.8561710177019</v>
      </c>
      <c r="T120" s="144">
        <f t="shared" si="44"/>
        <v>0</v>
      </c>
      <c r="U120" s="146" t="e">
        <f>R120-#REF!</f>
        <v>#REF!</v>
      </c>
      <c r="V120" s="146">
        <f t="shared" si="45"/>
        <v>9928.8561710177019</v>
      </c>
      <c r="W120" s="146">
        <f t="shared" si="46"/>
        <v>0</v>
      </c>
      <c r="X120" s="146" t="e">
        <f>O120-#REF!</f>
        <v>#REF!</v>
      </c>
      <c r="Y120" s="144">
        <f t="shared" si="64"/>
        <v>17459.201644242832</v>
      </c>
      <c r="Z120" s="170">
        <f t="shared" si="64"/>
        <v>18244.865718233756</v>
      </c>
      <c r="AA120" s="144">
        <f t="shared" si="64"/>
        <v>32866.936384327106</v>
      </c>
      <c r="AB120" s="144">
        <f>SUM(AB121:AB128)</f>
        <v>18102.603941106405</v>
      </c>
      <c r="AC120" s="144">
        <f t="shared" si="47"/>
        <v>18102.603941106405</v>
      </c>
      <c r="AD120" s="144">
        <f t="shared" si="48"/>
        <v>643.4022968635727</v>
      </c>
      <c r="AE120" s="144">
        <f t="shared" si="49"/>
        <v>3.6851759317169837</v>
      </c>
      <c r="AF120" s="144">
        <f t="shared" si="50"/>
        <v>-142.2617771273508</v>
      </c>
      <c r="AG120" s="144">
        <f t="shared" si="51"/>
        <v>-0.77973595051004452</v>
      </c>
      <c r="AH120" s="144">
        <f t="shared" si="52"/>
        <v>-14764.332443220701</v>
      </c>
      <c r="AI120" s="144">
        <f t="shared" si="53"/>
        <v>-44.92153534048645</v>
      </c>
    </row>
    <row r="121" spans="1:35" ht="33" customHeight="1" outlineLevel="2">
      <c r="A121" s="152" t="s">
        <v>627</v>
      </c>
      <c r="B121" s="143" t="s">
        <v>628</v>
      </c>
      <c r="C121" s="147" t="s">
        <v>629</v>
      </c>
      <c r="D121" s="148" t="s">
        <v>630</v>
      </c>
      <c r="E121" s="149" t="s">
        <v>631</v>
      </c>
      <c r="F121" s="143" t="s">
        <v>121</v>
      </c>
      <c r="G121" s="143">
        <v>9243.9</v>
      </c>
      <c r="H121" s="143">
        <v>4829.74</v>
      </c>
      <c r="I121" s="143">
        <v>4829.74</v>
      </c>
      <c r="J121" s="143">
        <v>0</v>
      </c>
      <c r="K121" s="143">
        <v>0</v>
      </c>
      <c r="L121" s="143">
        <v>0</v>
      </c>
      <c r="M121" s="143">
        <v>1193.75</v>
      </c>
      <c r="N121" s="143">
        <v>1192.4649299999999</v>
      </c>
      <c r="O121" s="143">
        <v>1191.1294499999999</v>
      </c>
      <c r="P121" s="150">
        <v>1191.1294499999999</v>
      </c>
      <c r="Q121" s="143">
        <v>1191.1294499999999</v>
      </c>
      <c r="R121" s="144">
        <v>1191.1294499999999</v>
      </c>
      <c r="S121" s="143">
        <f t="shared" si="43"/>
        <v>-2.6205500000000939</v>
      </c>
      <c r="T121" s="143">
        <f t="shared" si="44"/>
        <v>0</v>
      </c>
      <c r="U121" s="151" t="e">
        <f>R121-#REF!</f>
        <v>#REF!</v>
      </c>
      <c r="V121" s="151">
        <f t="shared" si="45"/>
        <v>-2.6205500000000939</v>
      </c>
      <c r="W121" s="151">
        <f t="shared" si="46"/>
        <v>0</v>
      </c>
      <c r="X121" s="151" t="e">
        <f>O121-#REF!</f>
        <v>#REF!</v>
      </c>
      <c r="Y121" s="143">
        <f>'[65]2. подк.неподк.'!V109</f>
        <v>0</v>
      </c>
      <c r="Z121" s="182">
        <f>'[65]2. подк.неподк.'!W109</f>
        <v>0</v>
      </c>
      <c r="AA121" s="143">
        <f>'[65]2. подк.неподк.'!X109</f>
        <v>1240.45</v>
      </c>
      <c r="AB121" s="143">
        <f t="shared" ref="AB121:AB128" si="65">Y121*$AA$11</f>
        <v>0</v>
      </c>
      <c r="AC121" s="144">
        <f t="shared" si="47"/>
        <v>0</v>
      </c>
      <c r="AD121" s="143">
        <f t="shared" si="48"/>
        <v>0</v>
      </c>
      <c r="AE121" s="143"/>
      <c r="AF121" s="143">
        <f t="shared" si="50"/>
        <v>0</v>
      </c>
      <c r="AG121" s="143"/>
      <c r="AH121" s="143">
        <f t="shared" si="52"/>
        <v>-1240.45</v>
      </c>
      <c r="AI121" s="143">
        <f t="shared" si="53"/>
        <v>-100</v>
      </c>
    </row>
    <row r="122" spans="1:35" ht="33" customHeight="1" outlineLevel="2">
      <c r="A122" s="139" t="s">
        <v>632</v>
      </c>
      <c r="B122" s="143" t="s">
        <v>633</v>
      </c>
      <c r="C122" s="147" t="s">
        <v>634</v>
      </c>
      <c r="D122" s="148" t="s">
        <v>635</v>
      </c>
      <c r="E122" s="149" t="s">
        <v>636</v>
      </c>
      <c r="F122" s="143" t="s">
        <v>121</v>
      </c>
      <c r="G122" s="143">
        <v>8432.9125840524048</v>
      </c>
      <c r="H122" s="143">
        <v>8270.0497099999993</v>
      </c>
      <c r="I122" s="143">
        <v>8270.0499999999993</v>
      </c>
      <c r="J122" s="143">
        <v>9253.2098197147079</v>
      </c>
      <c r="K122" s="143">
        <v>8605.0923800000019</v>
      </c>
      <c r="L122" s="143">
        <v>8605.09</v>
      </c>
      <c r="M122" s="143">
        <v>7030.4659392748545</v>
      </c>
      <c r="N122" s="143">
        <v>10531.4162</v>
      </c>
      <c r="O122" s="143">
        <v>10462.21156</v>
      </c>
      <c r="P122" s="150">
        <v>10462.21156</v>
      </c>
      <c r="Q122" s="143">
        <v>10462.21156</v>
      </c>
      <c r="R122" s="144">
        <v>10462.21156</v>
      </c>
      <c r="S122" s="143">
        <f t="shared" si="43"/>
        <v>3431.7456207251453</v>
      </c>
      <c r="T122" s="143">
        <f t="shared" si="44"/>
        <v>0</v>
      </c>
      <c r="U122" s="151" t="e">
        <f>R122-#REF!</f>
        <v>#REF!</v>
      </c>
      <c r="V122" s="151">
        <f t="shared" si="45"/>
        <v>3431.7456207251453</v>
      </c>
      <c r="W122" s="151">
        <f t="shared" si="46"/>
        <v>0</v>
      </c>
      <c r="X122" s="151" t="e">
        <f>O122-#REF!</f>
        <v>#REF!</v>
      </c>
      <c r="Y122" s="143">
        <f>'[65]2. подк.неподк.'!V110</f>
        <v>9759.2476962500004</v>
      </c>
      <c r="Z122" s="182">
        <f>'[65]2. подк.неподк.'!W110</f>
        <v>10198.413842581249</v>
      </c>
      <c r="AA122" s="143">
        <f>'[65]2. подк.неподк.'!X110</f>
        <v>12039.995869574399</v>
      </c>
      <c r="AB122" s="143">
        <f t="shared" si="65"/>
        <v>10118.893143468851</v>
      </c>
      <c r="AC122" s="144">
        <f t="shared" si="47"/>
        <v>10118.893143468851</v>
      </c>
      <c r="AD122" s="143">
        <f t="shared" si="48"/>
        <v>359.64544721885068</v>
      </c>
      <c r="AE122" s="143">
        <f t="shared" si="49"/>
        <v>3.6851759317169979</v>
      </c>
      <c r="AF122" s="143">
        <f t="shared" si="50"/>
        <v>-79.520699112397779</v>
      </c>
      <c r="AG122" s="143">
        <f t="shared" si="51"/>
        <v>-0.77973595051003031</v>
      </c>
      <c r="AH122" s="143">
        <f t="shared" si="52"/>
        <v>-1921.1027261055478</v>
      </c>
      <c r="AI122" s="143">
        <f t="shared" si="53"/>
        <v>-15.956008182363746</v>
      </c>
    </row>
    <row r="123" spans="1:35" ht="33" customHeight="1" outlineLevel="2">
      <c r="A123" s="139" t="s">
        <v>637</v>
      </c>
      <c r="B123" s="143" t="s">
        <v>638</v>
      </c>
      <c r="C123" s="147" t="s">
        <v>639</v>
      </c>
      <c r="D123" s="148" t="s">
        <v>640</v>
      </c>
      <c r="E123" s="149" t="s">
        <v>641</v>
      </c>
      <c r="F123" s="143" t="s">
        <v>121</v>
      </c>
      <c r="G123" s="143">
        <v>533.42205464403571</v>
      </c>
      <c r="H123" s="143">
        <v>1416.7792400000001</v>
      </c>
      <c r="I123" s="143">
        <v>1416.78</v>
      </c>
      <c r="J123" s="143">
        <v>585.30977819204134</v>
      </c>
      <c r="K123" s="143">
        <v>793.79155000000003</v>
      </c>
      <c r="L123" s="143">
        <v>793.79</v>
      </c>
      <c r="M123" s="143">
        <v>1017.4871237402791</v>
      </c>
      <c r="N123" s="143">
        <v>8703.1133399999999</v>
      </c>
      <c r="O123" s="143">
        <v>8591.1310199999989</v>
      </c>
      <c r="P123" s="150">
        <v>8591.1310199999989</v>
      </c>
      <c r="Q123" s="143">
        <v>8591.1310199999989</v>
      </c>
      <c r="R123" s="144">
        <v>8591.1310199999989</v>
      </c>
      <c r="S123" s="143">
        <f t="shared" si="43"/>
        <v>7573.6438962597194</v>
      </c>
      <c r="T123" s="143">
        <f t="shared" si="44"/>
        <v>0</v>
      </c>
      <c r="U123" s="151" t="e">
        <f>R123-#REF!</f>
        <v>#REF!</v>
      </c>
      <c r="V123" s="151">
        <f t="shared" si="45"/>
        <v>7573.6438962597194</v>
      </c>
      <c r="W123" s="151">
        <f t="shared" si="46"/>
        <v>0</v>
      </c>
      <c r="X123" s="151" t="e">
        <f>O123-#REF!</f>
        <v>#REF!</v>
      </c>
      <c r="Y123" s="143">
        <f>'[65]2. подк.неподк.'!V111</f>
        <v>1068</v>
      </c>
      <c r="Z123" s="182">
        <f>'[65]2. подк.неподк.'!W111</f>
        <v>1116.06</v>
      </c>
      <c r="AA123" s="143">
        <f>'[65]2. подк.неподк.'!X111</f>
        <v>9608.237127360002</v>
      </c>
      <c r="AB123" s="143">
        <f t="shared" si="65"/>
        <v>1107.3576789507376</v>
      </c>
      <c r="AC123" s="144">
        <f t="shared" si="47"/>
        <v>1107.3576789507376</v>
      </c>
      <c r="AD123" s="143">
        <f t="shared" si="48"/>
        <v>39.357678950737636</v>
      </c>
      <c r="AE123" s="143">
        <f t="shared" si="49"/>
        <v>3.6851759317169979</v>
      </c>
      <c r="AF123" s="143">
        <f t="shared" si="50"/>
        <v>-8.7023210492623093</v>
      </c>
      <c r="AG123" s="143">
        <f t="shared" si="51"/>
        <v>-0.77973595051004452</v>
      </c>
      <c r="AH123" s="143">
        <f t="shared" si="52"/>
        <v>-8500.879448409265</v>
      </c>
      <c r="AI123" s="143">
        <f t="shared" si="53"/>
        <v>-88.474913095166301</v>
      </c>
    </row>
    <row r="124" spans="1:35" ht="33" customHeight="1" outlineLevel="2">
      <c r="A124" s="139" t="s">
        <v>642</v>
      </c>
      <c r="B124" s="143" t="s">
        <v>643</v>
      </c>
      <c r="C124" s="147" t="s">
        <v>644</v>
      </c>
      <c r="D124" s="148" t="s">
        <v>645</v>
      </c>
      <c r="E124" s="149" t="s">
        <v>646</v>
      </c>
      <c r="F124" s="143" t="s">
        <v>121</v>
      </c>
      <c r="G124" s="143">
        <v>3031.7074666866979</v>
      </c>
      <c r="H124" s="143">
        <v>5402.20046</v>
      </c>
      <c r="I124" s="143">
        <v>5402.2</v>
      </c>
      <c r="J124" s="143">
        <v>3326.6116566059527</v>
      </c>
      <c r="K124" s="143">
        <v>5443.60167</v>
      </c>
      <c r="L124" s="143">
        <v>5443.6</v>
      </c>
      <c r="M124" s="143">
        <v>3879.6936408482502</v>
      </c>
      <c r="N124" s="143">
        <v>5233.3569299999999</v>
      </c>
      <c r="O124" s="143">
        <v>5233.3569299999999</v>
      </c>
      <c r="P124" s="150">
        <v>5233.3569299999999</v>
      </c>
      <c r="Q124" s="143">
        <v>5233.3569299999999</v>
      </c>
      <c r="R124" s="144">
        <v>5233.3569299999999</v>
      </c>
      <c r="S124" s="143">
        <f t="shared" si="43"/>
        <v>1353.6632891517497</v>
      </c>
      <c r="T124" s="143">
        <f t="shared" si="44"/>
        <v>0</v>
      </c>
      <c r="U124" s="151" t="e">
        <f>R124-#REF!</f>
        <v>#REF!</v>
      </c>
      <c r="V124" s="151">
        <f t="shared" si="45"/>
        <v>1353.6632891517497</v>
      </c>
      <c r="W124" s="151">
        <f t="shared" si="46"/>
        <v>0</v>
      </c>
      <c r="X124" s="151" t="e">
        <f>O124-#REF!</f>
        <v>#REF!</v>
      </c>
      <c r="Y124" s="143">
        <f>'[65]2. подк.неподк.'!V112</f>
        <v>4093.0767910949003</v>
      </c>
      <c r="Z124" s="182">
        <f>'[65]2. подк.неподк.'!W112</f>
        <v>4277.2652466941709</v>
      </c>
      <c r="AA124" s="143">
        <f>'[65]2. подк.неподк.'!X112</f>
        <v>6588.2101073927042</v>
      </c>
      <c r="AB124" s="143">
        <f t="shared" si="65"/>
        <v>4243.9138718670238</v>
      </c>
      <c r="AC124" s="144">
        <f t="shared" si="47"/>
        <v>4243.9138718670238</v>
      </c>
      <c r="AD124" s="143">
        <f t="shared" si="48"/>
        <v>150.8370807721235</v>
      </c>
      <c r="AE124" s="143">
        <f t="shared" si="49"/>
        <v>3.6851759317169979</v>
      </c>
      <c r="AF124" s="143">
        <f t="shared" si="50"/>
        <v>-33.351374827147083</v>
      </c>
      <c r="AG124" s="143">
        <f t="shared" si="51"/>
        <v>-0.77973595051005873</v>
      </c>
      <c r="AH124" s="143">
        <f t="shared" si="52"/>
        <v>-2344.2962355256805</v>
      </c>
      <c r="AI124" s="143">
        <f t="shared" si="53"/>
        <v>-35.583203894713662</v>
      </c>
    </row>
    <row r="125" spans="1:35" ht="33" customHeight="1" outlineLevel="2">
      <c r="A125" s="139" t="s">
        <v>647</v>
      </c>
      <c r="B125" s="143" t="s">
        <v>648</v>
      </c>
      <c r="C125" s="147" t="s">
        <v>649</v>
      </c>
      <c r="D125" s="148" t="s">
        <v>650</v>
      </c>
      <c r="E125" s="149" t="s">
        <v>651</v>
      </c>
      <c r="F125" s="143" t="s">
        <v>121</v>
      </c>
      <c r="G125" s="143">
        <v>313.40637335712842</v>
      </c>
      <c r="H125" s="143">
        <v>86.563450000000003</v>
      </c>
      <c r="I125" s="143">
        <v>86.56</v>
      </c>
      <c r="J125" s="143">
        <v>343.89244553460833</v>
      </c>
      <c r="K125" s="143">
        <v>130.78139999999999</v>
      </c>
      <c r="L125" s="143">
        <v>130.78</v>
      </c>
      <c r="M125" s="143">
        <v>282.05896067073616</v>
      </c>
      <c r="N125" s="143">
        <v>627.99553000000003</v>
      </c>
      <c r="O125" s="143">
        <v>627.99553000000003</v>
      </c>
      <c r="P125" s="150">
        <v>627.99553000000003</v>
      </c>
      <c r="Q125" s="143">
        <v>627.99553000000003</v>
      </c>
      <c r="R125" s="144">
        <v>627.99553000000003</v>
      </c>
      <c r="S125" s="143">
        <f t="shared" si="43"/>
        <v>345.93656932926388</v>
      </c>
      <c r="T125" s="143">
        <f t="shared" si="44"/>
        <v>0</v>
      </c>
      <c r="U125" s="151" t="e">
        <f>R125-#REF!</f>
        <v>#REF!</v>
      </c>
      <c r="V125" s="151">
        <f t="shared" si="45"/>
        <v>345.93656932926388</v>
      </c>
      <c r="W125" s="151">
        <f t="shared" si="46"/>
        <v>0</v>
      </c>
      <c r="X125" s="151" t="e">
        <f>O125-#REF!</f>
        <v>#REF!</v>
      </c>
      <c r="Y125" s="143">
        <f>'[65]2. подк.неподк.'!V113</f>
        <v>148.32086749999996</v>
      </c>
      <c r="Z125" s="182">
        <f>'[65]2. подк.неподк.'!W113</f>
        <v>154.99530653749994</v>
      </c>
      <c r="AA125" s="143">
        <f>'[65]2. подк.неподк.'!X113</f>
        <v>433</v>
      </c>
      <c r="AB125" s="143">
        <f t="shared" si="65"/>
        <v>153.78675241082382</v>
      </c>
      <c r="AC125" s="144">
        <f t="shared" si="47"/>
        <v>153.78675241082382</v>
      </c>
      <c r="AD125" s="143">
        <f t="shared" si="48"/>
        <v>5.4658849108238599</v>
      </c>
      <c r="AE125" s="143">
        <f t="shared" si="49"/>
        <v>3.6851759317169979</v>
      </c>
      <c r="AF125" s="143">
        <f t="shared" si="50"/>
        <v>-1.2085541266761197</v>
      </c>
      <c r="AG125" s="143">
        <f t="shared" si="51"/>
        <v>-0.77973595051004452</v>
      </c>
      <c r="AH125" s="143">
        <f t="shared" si="52"/>
        <v>-279.21324758917615</v>
      </c>
      <c r="AI125" s="143">
        <f t="shared" si="53"/>
        <v>-64.483429004428672</v>
      </c>
    </row>
    <row r="126" spans="1:35" ht="33" customHeight="1" outlineLevel="2">
      <c r="A126" s="139" t="s">
        <v>652</v>
      </c>
      <c r="B126" s="143" t="s">
        <v>653</v>
      </c>
      <c r="C126" s="147" t="s">
        <v>654</v>
      </c>
      <c r="D126" s="148" t="s">
        <v>655</v>
      </c>
      <c r="E126" s="149" t="s">
        <v>656</v>
      </c>
      <c r="F126" s="143" t="s">
        <v>121</v>
      </c>
      <c r="G126" s="143">
        <v>888.17059086519919</v>
      </c>
      <c r="H126" s="143">
        <v>2046.65239</v>
      </c>
      <c r="I126" s="143">
        <v>2046.65</v>
      </c>
      <c r="J126" s="143">
        <v>974.5658752016069</v>
      </c>
      <c r="K126" s="143">
        <v>1233.3163399999999</v>
      </c>
      <c r="L126" s="143">
        <v>1233.32</v>
      </c>
      <c r="M126" s="143">
        <v>1469.8425801307392</v>
      </c>
      <c r="N126" s="143">
        <v>1551.7838400000001</v>
      </c>
      <c r="O126" s="143">
        <v>1419.9294600000001</v>
      </c>
      <c r="P126" s="150">
        <v>1419.9294600000001</v>
      </c>
      <c r="Q126" s="143">
        <v>1419.9294600000001</v>
      </c>
      <c r="R126" s="144">
        <v>1419.9294600000001</v>
      </c>
      <c r="S126" s="143">
        <f t="shared" si="43"/>
        <v>-49.913120130739117</v>
      </c>
      <c r="T126" s="143">
        <f t="shared" si="44"/>
        <v>0</v>
      </c>
      <c r="U126" s="151" t="e">
        <f>R126-#REF!</f>
        <v>#REF!</v>
      </c>
      <c r="V126" s="151">
        <f t="shared" si="45"/>
        <v>-49.913120130739117</v>
      </c>
      <c r="W126" s="151">
        <f t="shared" si="46"/>
        <v>0</v>
      </c>
      <c r="X126" s="151" t="e">
        <f>O126-#REF!</f>
        <v>#REF!</v>
      </c>
      <c r="Y126" s="143">
        <f>'[65]2. подк.неподк.'!V114</f>
        <v>1550.6839220379297</v>
      </c>
      <c r="Z126" s="182">
        <f>'[65]2. подк.неподк.'!W114</f>
        <v>1620.4646985296365</v>
      </c>
      <c r="AA126" s="143">
        <f>'[65]2. подк.неподк.'!X114</f>
        <v>1768.2932799999999</v>
      </c>
      <c r="AB126" s="143">
        <f t="shared" si="65"/>
        <v>1607.8293527098767</v>
      </c>
      <c r="AC126" s="144">
        <f t="shared" si="47"/>
        <v>1607.8293527098767</v>
      </c>
      <c r="AD126" s="143">
        <f t="shared" si="48"/>
        <v>57.145430671946997</v>
      </c>
      <c r="AE126" s="143">
        <f t="shared" si="49"/>
        <v>3.6851759317169979</v>
      </c>
      <c r="AF126" s="143">
        <f t="shared" si="50"/>
        <v>-12.635345819759777</v>
      </c>
      <c r="AG126" s="143">
        <f t="shared" si="51"/>
        <v>-0.77973595051004452</v>
      </c>
      <c r="AH126" s="143">
        <f t="shared" si="52"/>
        <v>-160.46392729012314</v>
      </c>
      <c r="AI126" s="143">
        <f t="shared" si="53"/>
        <v>-9.0745086861452791</v>
      </c>
    </row>
    <row r="127" spans="1:35" ht="33" customHeight="1" outlineLevel="2">
      <c r="A127" s="139" t="s">
        <v>657</v>
      </c>
      <c r="B127" s="143" t="s">
        <v>658</v>
      </c>
      <c r="C127" s="147" t="s">
        <v>659</v>
      </c>
      <c r="D127" s="148" t="s">
        <v>660</v>
      </c>
      <c r="E127" s="149" t="s">
        <v>656</v>
      </c>
      <c r="F127" s="143" t="s">
        <v>121</v>
      </c>
      <c r="G127" s="143">
        <v>434.38496208471071</v>
      </c>
      <c r="H127" s="143">
        <v>320.71564000000001</v>
      </c>
      <c r="I127" s="143">
        <v>320.72000000000003</v>
      </c>
      <c r="J127" s="143">
        <v>476.63902081706533</v>
      </c>
      <c r="K127" s="143">
        <v>247.70656</v>
      </c>
      <c r="L127" s="143">
        <v>247.70656</v>
      </c>
      <c r="M127" s="143">
        <v>230.32807431743765</v>
      </c>
      <c r="N127" s="143">
        <v>252.22433999999998</v>
      </c>
      <c r="O127" s="143">
        <v>245.86955</v>
      </c>
      <c r="P127" s="150">
        <v>245.86955</v>
      </c>
      <c r="Q127" s="143">
        <v>245.86955</v>
      </c>
      <c r="R127" s="144">
        <v>245.86955</v>
      </c>
      <c r="S127" s="143">
        <f t="shared" si="43"/>
        <v>15.54147568256235</v>
      </c>
      <c r="T127" s="143">
        <f t="shared" si="44"/>
        <v>0</v>
      </c>
      <c r="U127" s="151" t="e">
        <f>R127-#REF!</f>
        <v>#REF!</v>
      </c>
      <c r="V127" s="151">
        <f t="shared" si="45"/>
        <v>15.54147568256235</v>
      </c>
      <c r="W127" s="151">
        <f t="shared" si="46"/>
        <v>0</v>
      </c>
      <c r="X127" s="151" t="e">
        <f>O127-#REF!</f>
        <v>#REF!</v>
      </c>
      <c r="Y127" s="143">
        <f>'[65]2. подк.неподк.'!V115</f>
        <v>280.93020235999995</v>
      </c>
      <c r="Z127" s="182">
        <f>'[65]2. подк.неподк.'!W115</f>
        <v>293.57206146619995</v>
      </c>
      <c r="AA127" s="143">
        <f>'[65]2. подк.неподк.'!X115</f>
        <v>390.38</v>
      </c>
      <c r="AB127" s="143">
        <f t="shared" si="65"/>
        <v>291.28297456229456</v>
      </c>
      <c r="AC127" s="144">
        <f t="shared" si="47"/>
        <v>291.28297456229456</v>
      </c>
      <c r="AD127" s="143">
        <f t="shared" si="48"/>
        <v>10.352772202294602</v>
      </c>
      <c r="AE127" s="143">
        <f t="shared" si="49"/>
        <v>3.6851759317169979</v>
      </c>
      <c r="AF127" s="143">
        <f t="shared" si="50"/>
        <v>-2.2890869039053996</v>
      </c>
      <c r="AG127" s="143">
        <f t="shared" si="51"/>
        <v>-0.77973595051004452</v>
      </c>
      <c r="AH127" s="143">
        <f t="shared" si="52"/>
        <v>-99.09702543770544</v>
      </c>
      <c r="AI127" s="143">
        <f t="shared" si="53"/>
        <v>-25.384759833420105</v>
      </c>
    </row>
    <row r="128" spans="1:35" ht="33" customHeight="1" outlineLevel="2">
      <c r="A128" s="139" t="s">
        <v>661</v>
      </c>
      <c r="B128" s="143" t="s">
        <v>662</v>
      </c>
      <c r="C128" s="147" t="s">
        <v>663</v>
      </c>
      <c r="D128" s="148" t="s">
        <v>664</v>
      </c>
      <c r="E128" s="149" t="s">
        <v>665</v>
      </c>
      <c r="F128" s="143" t="s">
        <v>121</v>
      </c>
      <c r="G128" s="143">
        <v>5934.8531301808125</v>
      </c>
      <c r="H128" s="143">
        <v>0</v>
      </c>
      <c r="I128" s="143">
        <v>0</v>
      </c>
      <c r="J128" s="143">
        <v>6512.1558791688294</v>
      </c>
      <c r="K128" s="143">
        <v>492.83987000000002</v>
      </c>
      <c r="L128" s="143">
        <v>492.84</v>
      </c>
      <c r="M128" s="143">
        <v>3462.3</v>
      </c>
      <c r="N128" s="143">
        <v>723.15899000000002</v>
      </c>
      <c r="O128" s="143">
        <v>723.15899000000002</v>
      </c>
      <c r="P128" s="150">
        <v>723.15899000000002</v>
      </c>
      <c r="Q128" s="143">
        <v>723.15899000000002</v>
      </c>
      <c r="R128" s="144">
        <v>723.15899000000002</v>
      </c>
      <c r="S128" s="143">
        <f t="shared" si="43"/>
        <v>-2739.1410100000003</v>
      </c>
      <c r="T128" s="143">
        <f t="shared" si="44"/>
        <v>0</v>
      </c>
      <c r="U128" s="151" t="e">
        <f>R128-#REF!</f>
        <v>#REF!</v>
      </c>
      <c r="V128" s="151">
        <f t="shared" si="45"/>
        <v>-2739.1410100000003</v>
      </c>
      <c r="W128" s="151">
        <f t="shared" si="46"/>
        <v>0</v>
      </c>
      <c r="X128" s="151" t="e">
        <f>O128-#REF!</f>
        <v>#REF!</v>
      </c>
      <c r="Y128" s="143">
        <f>'[65]2. подк.неподк.'!V116</f>
        <v>558.94216499999993</v>
      </c>
      <c r="Z128" s="182">
        <f>'[65]2. подк.неподк.'!W116</f>
        <v>584.09456242499994</v>
      </c>
      <c r="AA128" s="143">
        <f>'[65]2. подк.неподк.'!X116</f>
        <v>798.37</v>
      </c>
      <c r="AB128" s="143">
        <f t="shared" si="65"/>
        <v>579.54016713679789</v>
      </c>
      <c r="AC128" s="144">
        <f t="shared" si="47"/>
        <v>579.54016713679789</v>
      </c>
      <c r="AD128" s="143">
        <f t="shared" si="48"/>
        <v>20.598002136797959</v>
      </c>
      <c r="AE128" s="143">
        <f t="shared" si="49"/>
        <v>3.6851759317169979</v>
      </c>
      <c r="AF128" s="143">
        <f t="shared" si="50"/>
        <v>-4.5543952882020449</v>
      </c>
      <c r="AG128" s="143">
        <f t="shared" si="51"/>
        <v>-0.77973595051004452</v>
      </c>
      <c r="AH128" s="143">
        <f t="shared" si="52"/>
        <v>-218.82983286320211</v>
      </c>
      <c r="AI128" s="143">
        <f t="shared" si="53"/>
        <v>-27.409576119243212</v>
      </c>
    </row>
    <row r="129" spans="1:36" ht="33" customHeight="1">
      <c r="A129" s="139"/>
      <c r="B129" s="140" t="s">
        <v>666</v>
      </c>
      <c r="C129" s="141"/>
      <c r="D129" s="142" t="s">
        <v>667</v>
      </c>
      <c r="E129" s="142" t="s">
        <v>667</v>
      </c>
      <c r="F129" s="143" t="s">
        <v>121</v>
      </c>
      <c r="G129" s="144">
        <f t="shared" ref="G129:I129" si="66">G130</f>
        <v>273884.56380501459</v>
      </c>
      <c r="H129" s="144">
        <f t="shared" si="66"/>
        <v>360979.20871999994</v>
      </c>
      <c r="I129" s="144">
        <f t="shared" si="66"/>
        <v>310068.11660000001</v>
      </c>
      <c r="J129" s="144">
        <f>J130</f>
        <v>300391.2539843673</v>
      </c>
      <c r="K129" s="144">
        <f t="shared" ref="K129:L129" si="67">K130</f>
        <v>406474.16618</v>
      </c>
      <c r="L129" s="144">
        <f t="shared" si="67"/>
        <v>353215.04236999998</v>
      </c>
      <c r="M129" s="144">
        <f>M130</f>
        <v>246407.73130758444</v>
      </c>
      <c r="N129" s="144">
        <f>N130</f>
        <v>385881.87605000014</v>
      </c>
      <c r="O129" s="144">
        <f t="shared" ref="O129:AA129" si="68">O130</f>
        <v>374418.72992000013</v>
      </c>
      <c r="P129" s="145">
        <f t="shared" si="68"/>
        <v>331433.07673000003</v>
      </c>
      <c r="Q129" s="144">
        <f t="shared" si="68"/>
        <v>334569.30448000005</v>
      </c>
      <c r="R129" s="144">
        <f t="shared" si="68"/>
        <v>325108.87445000006</v>
      </c>
      <c r="S129" s="144">
        <f t="shared" si="43"/>
        <v>78701.143142415618</v>
      </c>
      <c r="T129" s="144">
        <f t="shared" si="44"/>
        <v>-49309.855470000068</v>
      </c>
      <c r="U129" s="146" t="e">
        <f>R129-#REF!</f>
        <v>#REF!</v>
      </c>
      <c r="V129" s="146">
        <f t="shared" si="45"/>
        <v>78701.143142415618</v>
      </c>
      <c r="W129" s="146">
        <f t="shared" si="46"/>
        <v>3136.22775000002</v>
      </c>
      <c r="X129" s="146" t="e">
        <f>O129-#REF!</f>
        <v>#REF!</v>
      </c>
      <c r="Y129" s="144">
        <f t="shared" si="68"/>
        <v>295154.89023118129</v>
      </c>
      <c r="Z129" s="170">
        <f t="shared" si="68"/>
        <v>307712.57708458445</v>
      </c>
      <c r="AA129" s="144">
        <f t="shared" si="68"/>
        <v>534400.60957292235</v>
      </c>
      <c r="AB129" s="144">
        <f>AB130</f>
        <v>306031.86720726662</v>
      </c>
      <c r="AC129" s="144">
        <f t="shared" si="47"/>
        <v>306031.86720726662</v>
      </c>
      <c r="AD129" s="144">
        <f t="shared" si="48"/>
        <v>10876.976976085338</v>
      </c>
      <c r="AE129" s="144">
        <f t="shared" si="49"/>
        <v>3.6851759317170405</v>
      </c>
      <c r="AF129" s="144">
        <f t="shared" si="50"/>
        <v>-1680.7098773178295</v>
      </c>
      <c r="AG129" s="144">
        <f t="shared" si="51"/>
        <v>-0.54619472926380297</v>
      </c>
      <c r="AH129" s="144">
        <f t="shared" si="52"/>
        <v>-228368.74236565572</v>
      </c>
      <c r="AI129" s="144">
        <f t="shared" si="53"/>
        <v>-42.733623104988872</v>
      </c>
    </row>
    <row r="130" spans="1:36" ht="33" customHeight="1" outlineLevel="1">
      <c r="A130" s="139"/>
      <c r="B130" s="140" t="s">
        <v>668</v>
      </c>
      <c r="C130" s="141"/>
      <c r="D130" s="142" t="s">
        <v>669</v>
      </c>
      <c r="E130" s="142" t="s">
        <v>669</v>
      </c>
      <c r="F130" s="143" t="s">
        <v>121</v>
      </c>
      <c r="G130" s="144">
        <f t="shared" ref="G130:AA130" si="69">G131+G141+G143+G148+G151+G206+G211+G214+G220+G228+G234+G240</f>
        <v>273884.56380501459</v>
      </c>
      <c r="H130" s="144">
        <f t="shared" si="69"/>
        <v>360979.20871999994</v>
      </c>
      <c r="I130" s="144">
        <f t="shared" si="69"/>
        <v>310068.11660000001</v>
      </c>
      <c r="J130" s="144">
        <f t="shared" si="69"/>
        <v>300391.2539843673</v>
      </c>
      <c r="K130" s="144">
        <f t="shared" si="69"/>
        <v>406474.16618</v>
      </c>
      <c r="L130" s="144">
        <f t="shared" si="69"/>
        <v>353215.04236999998</v>
      </c>
      <c r="M130" s="144">
        <f t="shared" si="69"/>
        <v>246407.73130758444</v>
      </c>
      <c r="N130" s="144">
        <f t="shared" si="69"/>
        <v>385881.87605000014</v>
      </c>
      <c r="O130" s="144">
        <f t="shared" si="69"/>
        <v>374418.72992000013</v>
      </c>
      <c r="P130" s="145">
        <f t="shared" si="69"/>
        <v>331433.07673000003</v>
      </c>
      <c r="Q130" s="144">
        <f t="shared" si="69"/>
        <v>334569.30448000005</v>
      </c>
      <c r="R130" s="144">
        <f t="shared" si="69"/>
        <v>325108.87445000006</v>
      </c>
      <c r="S130" s="144">
        <f t="shared" si="43"/>
        <v>78701.143142415618</v>
      </c>
      <c r="T130" s="144">
        <f t="shared" si="44"/>
        <v>-49309.855470000068</v>
      </c>
      <c r="U130" s="146" t="e">
        <f>R130-#REF!</f>
        <v>#REF!</v>
      </c>
      <c r="V130" s="146">
        <f t="shared" si="45"/>
        <v>78701.143142415618</v>
      </c>
      <c r="W130" s="146">
        <f t="shared" si="46"/>
        <v>3136.22775000002</v>
      </c>
      <c r="X130" s="146" t="e">
        <f>O130-#REF!</f>
        <v>#REF!</v>
      </c>
      <c r="Y130" s="144">
        <f t="shared" si="69"/>
        <v>295154.89023118129</v>
      </c>
      <c r="Z130" s="170">
        <f t="shared" si="69"/>
        <v>307712.57708458445</v>
      </c>
      <c r="AA130" s="144">
        <f t="shared" si="69"/>
        <v>534400.60957292235</v>
      </c>
      <c r="AB130" s="144">
        <f>AB131+AB141+AB143+AB148+AB151+AB206+AB211+AB214+AB220+AB228+AB234+AB240</f>
        <v>306031.86720726662</v>
      </c>
      <c r="AC130" s="144">
        <f t="shared" si="47"/>
        <v>306031.86720726662</v>
      </c>
      <c r="AD130" s="144">
        <f t="shared" si="48"/>
        <v>10876.976976085338</v>
      </c>
      <c r="AE130" s="144">
        <f t="shared" si="49"/>
        <v>3.6851759317170405</v>
      </c>
      <c r="AF130" s="144">
        <f t="shared" si="50"/>
        <v>-1680.7098773178295</v>
      </c>
      <c r="AG130" s="144">
        <f t="shared" si="51"/>
        <v>-0.54619472926380297</v>
      </c>
      <c r="AH130" s="144">
        <f t="shared" si="52"/>
        <v>-228368.74236565572</v>
      </c>
      <c r="AI130" s="144">
        <f t="shared" si="53"/>
        <v>-42.733623104988872</v>
      </c>
    </row>
    <row r="131" spans="1:36" ht="33" customHeight="1" outlineLevel="1">
      <c r="A131" s="139"/>
      <c r="B131" s="140" t="s">
        <v>670</v>
      </c>
      <c r="C131" s="141"/>
      <c r="D131" s="393" t="s">
        <v>671</v>
      </c>
      <c r="E131" s="188" t="s">
        <v>671</v>
      </c>
      <c r="F131" s="143" t="s">
        <v>121</v>
      </c>
      <c r="G131" s="144">
        <f t="shared" ref="G131:H131" si="70">SUM(G132:G140)</f>
        <v>10942.472202599998</v>
      </c>
      <c r="H131" s="144">
        <f t="shared" si="70"/>
        <v>15982.14898</v>
      </c>
      <c r="I131" s="144">
        <f t="shared" ref="I131" si="71">SUM(I132:I140)</f>
        <v>15496.049710000001</v>
      </c>
      <c r="J131" s="144">
        <f>SUM(J132:J140)</f>
        <v>12006.882912179333</v>
      </c>
      <c r="K131" s="144">
        <f t="shared" ref="K131:M131" si="72">SUM(K132:K140)</f>
        <v>16857.334510000001</v>
      </c>
      <c r="L131" s="144">
        <f t="shared" si="72"/>
        <v>13376.5</v>
      </c>
      <c r="M131" s="144">
        <f t="shared" si="72"/>
        <v>13113.625353946214</v>
      </c>
      <c r="N131" s="144">
        <f>SUM(N132:N140)</f>
        <v>16003.81185</v>
      </c>
      <c r="O131" s="144">
        <f t="shared" ref="O131:AB131" si="73">SUM(O132:O140)</f>
        <v>15383.44515</v>
      </c>
      <c r="P131" s="145">
        <f t="shared" si="73"/>
        <v>15383.44515</v>
      </c>
      <c r="Q131" s="144">
        <f t="shared" si="73"/>
        <v>15383.44515</v>
      </c>
      <c r="R131" s="144">
        <f t="shared" si="73"/>
        <v>15382.86966</v>
      </c>
      <c r="S131" s="144">
        <f t="shared" si="43"/>
        <v>2269.2443060537862</v>
      </c>
      <c r="T131" s="144">
        <f t="shared" si="44"/>
        <v>-0.57548999999926309</v>
      </c>
      <c r="U131" s="146" t="e">
        <f>R131-#REF!</f>
        <v>#REF!</v>
      </c>
      <c r="V131" s="146">
        <f t="shared" si="45"/>
        <v>2269.2443060537862</v>
      </c>
      <c r="W131" s="146">
        <f t="shared" si="46"/>
        <v>0</v>
      </c>
      <c r="X131" s="146" t="e">
        <f>O131-#REF!</f>
        <v>#REF!</v>
      </c>
      <c r="Y131" s="144">
        <f t="shared" si="73"/>
        <v>14478.903483332291</v>
      </c>
      <c r="Z131" s="170">
        <f t="shared" si="73"/>
        <v>15130.454140082245</v>
      </c>
      <c r="AA131" s="144">
        <f t="shared" si="73"/>
        <v>20873.304283119283</v>
      </c>
      <c r="AB131" s="144">
        <f t="shared" si="73"/>
        <v>15012.476549676587</v>
      </c>
      <c r="AC131" s="144">
        <f t="shared" si="47"/>
        <v>15012.476549676587</v>
      </c>
      <c r="AD131" s="144">
        <f t="shared" si="48"/>
        <v>533.57306634429551</v>
      </c>
      <c r="AE131" s="144">
        <f t="shared" si="49"/>
        <v>3.6851759317169979</v>
      </c>
      <c r="AF131" s="144">
        <f t="shared" si="50"/>
        <v>-117.9775904056587</v>
      </c>
      <c r="AG131" s="144">
        <f t="shared" si="51"/>
        <v>-0.77973595051005873</v>
      </c>
      <c r="AH131" s="144">
        <f t="shared" si="52"/>
        <v>-5860.8277334426966</v>
      </c>
      <c r="AI131" s="144">
        <f t="shared" si="53"/>
        <v>-28.078102316471671</v>
      </c>
      <c r="AJ131" s="52">
        <f>Y131+Y141+Y143+Y148+Y153+Y160+Y168+Y172+Y180+Y205+Y206+Y211+Y214+Y220+Y228+Y234+Y240</f>
        <v>295154.89023118129</v>
      </c>
    </row>
    <row r="132" spans="1:36" ht="33" customHeight="1" outlineLevel="2">
      <c r="A132" s="139" t="s">
        <v>672</v>
      </c>
      <c r="B132" s="143" t="s">
        <v>673</v>
      </c>
      <c r="C132" s="147" t="s">
        <v>674</v>
      </c>
      <c r="D132" s="148" t="s">
        <v>675</v>
      </c>
      <c r="E132" s="149" t="s">
        <v>676</v>
      </c>
      <c r="F132" s="143" t="s">
        <v>121</v>
      </c>
      <c r="G132" s="143">
        <v>3292.8576813215782</v>
      </c>
      <c r="H132" s="143">
        <v>3325.48027</v>
      </c>
      <c r="I132" s="143">
        <v>3292.86</v>
      </c>
      <c r="J132" s="143">
        <v>3613.1649131998065</v>
      </c>
      <c r="K132" s="143">
        <v>5730.9237400000002</v>
      </c>
      <c r="L132" s="143">
        <v>5730.92</v>
      </c>
      <c r="M132" s="143">
        <v>3815.1537072256506</v>
      </c>
      <c r="N132" s="143">
        <v>5225.2122799999997</v>
      </c>
      <c r="O132" s="143">
        <v>5103.2929499999991</v>
      </c>
      <c r="P132" s="150">
        <v>5103.2929499999991</v>
      </c>
      <c r="Q132" s="143">
        <v>5103.2929499999991</v>
      </c>
      <c r="R132" s="144">
        <v>5103.2929499999991</v>
      </c>
      <c r="S132" s="143">
        <f t="shared" si="43"/>
        <v>1288.1392427743485</v>
      </c>
      <c r="T132" s="143">
        <f t="shared" si="44"/>
        <v>0</v>
      </c>
      <c r="U132" s="151" t="e">
        <f>R132-#REF!</f>
        <v>#REF!</v>
      </c>
      <c r="V132" s="151">
        <f t="shared" si="45"/>
        <v>1288.1392427743485</v>
      </c>
      <c r="W132" s="151">
        <f t="shared" si="46"/>
        <v>0</v>
      </c>
      <c r="X132" s="151" t="e">
        <f>O132-#REF!</f>
        <v>#REF!</v>
      </c>
      <c r="Y132" s="143">
        <f>'[65]2. подк.неподк.'!V120</f>
        <v>4024.987161123061</v>
      </c>
      <c r="Z132" s="182">
        <f>'[65]2. подк.неподк.'!W120</f>
        <v>4206.1115833735985</v>
      </c>
      <c r="AA132" s="143">
        <f>'[65]2. подк.неподк.'!X120</f>
        <v>5767.3471704000003</v>
      </c>
      <c r="AB132" s="143">
        <f t="shared" ref="AB132:AB140" si="74">Y132*$AA$11</f>
        <v>4173.3150192394678</v>
      </c>
      <c r="AC132" s="144">
        <f t="shared" si="47"/>
        <v>4173.3150192394678</v>
      </c>
      <c r="AD132" s="143">
        <f t="shared" si="48"/>
        <v>148.32785811640679</v>
      </c>
      <c r="AE132" s="143">
        <f t="shared" si="49"/>
        <v>3.6851759317169979</v>
      </c>
      <c r="AF132" s="143">
        <f t="shared" si="50"/>
        <v>-32.796564134130676</v>
      </c>
      <c r="AG132" s="143">
        <f t="shared" si="51"/>
        <v>-0.77973595051003031</v>
      </c>
      <c r="AH132" s="143">
        <f t="shared" si="52"/>
        <v>-1594.0321511605325</v>
      </c>
      <c r="AI132" s="143">
        <f t="shared" si="53"/>
        <v>-27.638914462123083</v>
      </c>
    </row>
    <row r="133" spans="1:36" ht="33" customHeight="1" outlineLevel="2">
      <c r="A133" s="139" t="s">
        <v>677</v>
      </c>
      <c r="B133" s="143" t="s">
        <v>678</v>
      </c>
      <c r="C133" s="147" t="s">
        <v>679</v>
      </c>
      <c r="D133" s="148" t="s">
        <v>680</v>
      </c>
      <c r="E133" s="149" t="s">
        <v>681</v>
      </c>
      <c r="F133" s="143" t="s">
        <v>121</v>
      </c>
      <c r="G133" s="143">
        <v>2362.07379825522</v>
      </c>
      <c r="H133" s="143">
        <v>2572.0362599999999</v>
      </c>
      <c r="I133" s="143">
        <v>2519.82726</v>
      </c>
      <c r="J133" s="143">
        <v>2591.8405823172534</v>
      </c>
      <c r="K133" s="143">
        <v>2627.9476400000003</v>
      </c>
      <c r="L133" s="143">
        <v>2627.95</v>
      </c>
      <c r="M133" s="143">
        <v>2317.0083922010585</v>
      </c>
      <c r="N133" s="143">
        <v>2825.3223000000003</v>
      </c>
      <c r="O133" s="143">
        <v>2571.3824900000004</v>
      </c>
      <c r="P133" s="150">
        <v>2571.3824900000004</v>
      </c>
      <c r="Q133" s="143">
        <v>2571.3824900000004</v>
      </c>
      <c r="R133" s="144">
        <v>2571.3824900000004</v>
      </c>
      <c r="S133" s="143">
        <f t="shared" si="43"/>
        <v>254.37409779894188</v>
      </c>
      <c r="T133" s="143">
        <f t="shared" si="44"/>
        <v>0</v>
      </c>
      <c r="U133" s="151" t="e">
        <f>R133-#REF!</f>
        <v>#REF!</v>
      </c>
      <c r="V133" s="151">
        <f t="shared" si="45"/>
        <v>254.37409779894188</v>
      </c>
      <c r="W133" s="151">
        <f t="shared" si="46"/>
        <v>0</v>
      </c>
      <c r="X133" s="151" t="e">
        <f>O133-#REF!</f>
        <v>#REF!</v>
      </c>
      <c r="Y133" s="143">
        <f>'[65]2. подк.неподк.'!V121</f>
        <v>2444.4438537721167</v>
      </c>
      <c r="Z133" s="182">
        <f>'[65]2. подк.неподк.'!W121</f>
        <v>2554.4438271918616</v>
      </c>
      <c r="AA133" s="143">
        <f>'[65]2. подк.неподк.'!X121</f>
        <v>3117.5947190400002</v>
      </c>
      <c r="AB133" s="143">
        <f t="shared" si="74"/>
        <v>2534.525910335662</v>
      </c>
      <c r="AC133" s="144">
        <f t="shared" si="47"/>
        <v>2534.525910335662</v>
      </c>
      <c r="AD133" s="143">
        <f t="shared" si="48"/>
        <v>90.082056563545393</v>
      </c>
      <c r="AE133" s="143">
        <f t="shared" si="49"/>
        <v>3.6851759317169979</v>
      </c>
      <c r="AF133" s="143">
        <f t="shared" si="50"/>
        <v>-19.917916856199554</v>
      </c>
      <c r="AG133" s="143">
        <f t="shared" si="51"/>
        <v>-0.77973595051004452</v>
      </c>
      <c r="AH133" s="143">
        <f t="shared" si="52"/>
        <v>-583.06880870433815</v>
      </c>
      <c r="AI133" s="143">
        <f t="shared" si="53"/>
        <v>-18.702521053919483</v>
      </c>
    </row>
    <row r="134" spans="1:36" ht="33" customHeight="1" outlineLevel="2">
      <c r="A134" s="139" t="s">
        <v>682</v>
      </c>
      <c r="B134" s="143" t="s">
        <v>683</v>
      </c>
      <c r="C134" s="147" t="s">
        <v>684</v>
      </c>
      <c r="D134" s="148" t="s">
        <v>685</v>
      </c>
      <c r="E134" s="149" t="s">
        <v>686</v>
      </c>
      <c r="F134" s="143" t="s">
        <v>121</v>
      </c>
      <c r="G134" s="143">
        <v>1623.6565382293552</v>
      </c>
      <c r="H134" s="143">
        <v>1302.7854199999999</v>
      </c>
      <c r="I134" s="143">
        <v>1302.7854199999999</v>
      </c>
      <c r="J134" s="143">
        <v>1781.5950164791968</v>
      </c>
      <c r="K134" s="143">
        <v>1294.36375</v>
      </c>
      <c r="L134" s="143">
        <v>1294.3599999999999</v>
      </c>
      <c r="M134" s="143">
        <v>864.95907547146498</v>
      </c>
      <c r="N134" s="143">
        <v>1200.7485300000001</v>
      </c>
      <c r="O134" s="143">
        <v>1112.98234</v>
      </c>
      <c r="P134" s="150">
        <v>1112.98234</v>
      </c>
      <c r="Q134" s="143">
        <v>1112.98234</v>
      </c>
      <c r="R134" s="144">
        <v>1112.98234</v>
      </c>
      <c r="S134" s="143">
        <f t="shared" si="43"/>
        <v>248.02326452853504</v>
      </c>
      <c r="T134" s="143">
        <f t="shared" si="44"/>
        <v>0</v>
      </c>
      <c r="U134" s="151" t="e">
        <f>R134-#REF!</f>
        <v>#REF!</v>
      </c>
      <c r="V134" s="151">
        <f t="shared" si="45"/>
        <v>248.02326452853504</v>
      </c>
      <c r="W134" s="151">
        <f t="shared" si="46"/>
        <v>0</v>
      </c>
      <c r="X134" s="151" t="e">
        <f>O134-#REF!</f>
        <v>#REF!</v>
      </c>
      <c r="Y134" s="143">
        <f>'[65]2. подк.неподк.'!V122</f>
        <v>1467.9660349999997</v>
      </c>
      <c r="Z134" s="182">
        <f>'[65]2. подк.неподк.'!W122</f>
        <v>1534.0245065749996</v>
      </c>
      <c r="AA134" s="143">
        <f>'[65]2. подк.неподк.'!X122</f>
        <v>1534.0245065749996</v>
      </c>
      <c r="AB134" s="143">
        <f t="shared" si="74"/>
        <v>1522.0631660076001</v>
      </c>
      <c r="AC134" s="144">
        <f t="shared" si="47"/>
        <v>1522.0631660076001</v>
      </c>
      <c r="AD134" s="143">
        <f t="shared" si="48"/>
        <v>54.09713100760041</v>
      </c>
      <c r="AE134" s="143">
        <f t="shared" si="49"/>
        <v>3.6851759317169979</v>
      </c>
      <c r="AF134" s="143">
        <f t="shared" si="50"/>
        <v>-11.961340567399475</v>
      </c>
      <c r="AG134" s="143">
        <f t="shared" si="51"/>
        <v>-0.77973595051004452</v>
      </c>
      <c r="AH134" s="143">
        <f t="shared" si="52"/>
        <v>-11.961340567399475</v>
      </c>
      <c r="AI134" s="143">
        <f t="shared" si="53"/>
        <v>-0.77973595051004452</v>
      </c>
    </row>
    <row r="135" spans="1:36" ht="33" customHeight="1" outlineLevel="2">
      <c r="A135" s="139" t="s">
        <v>687</v>
      </c>
      <c r="B135" s="143" t="s">
        <v>688</v>
      </c>
      <c r="C135" s="147" t="s">
        <v>689</v>
      </c>
      <c r="D135" s="148" t="s">
        <v>690</v>
      </c>
      <c r="E135" s="149" t="s">
        <v>691</v>
      </c>
      <c r="F135" s="143" t="s">
        <v>121</v>
      </c>
      <c r="G135" s="143">
        <v>550.12819919367701</v>
      </c>
      <c r="H135" s="143">
        <v>175.45484999999999</v>
      </c>
      <c r="I135" s="143">
        <v>175.45484999999999</v>
      </c>
      <c r="J135" s="143">
        <v>603.64100105614921</v>
      </c>
      <c r="K135" s="143">
        <v>176.80812</v>
      </c>
      <c r="L135" s="143">
        <v>176.81</v>
      </c>
      <c r="M135" s="143">
        <v>117.6239566318725</v>
      </c>
      <c r="N135" s="143">
        <v>163.51345000000001</v>
      </c>
      <c r="O135" s="143">
        <v>152.61548000000002</v>
      </c>
      <c r="P135" s="150">
        <v>152.61548000000002</v>
      </c>
      <c r="Q135" s="143">
        <v>152.61548000000002</v>
      </c>
      <c r="R135" s="144">
        <v>152.61548000000002</v>
      </c>
      <c r="S135" s="143">
        <f t="shared" si="43"/>
        <v>34.991523368127517</v>
      </c>
      <c r="T135" s="143">
        <f t="shared" si="44"/>
        <v>0</v>
      </c>
      <c r="U135" s="151" t="e">
        <f>R135-#REF!</f>
        <v>#REF!</v>
      </c>
      <c r="V135" s="151">
        <f t="shared" si="45"/>
        <v>34.991523368127517</v>
      </c>
      <c r="W135" s="151">
        <f t="shared" si="46"/>
        <v>0</v>
      </c>
      <c r="X135" s="151" t="e">
        <f>O135-#REF!</f>
        <v>#REF!</v>
      </c>
      <c r="Y135" s="143">
        <f>'[65]2. подк.неподк.'!V123</f>
        <v>200.14</v>
      </c>
      <c r="Z135" s="182">
        <f>'[65]2. подк.неподк.'!W123</f>
        <v>209.14629999999997</v>
      </c>
      <c r="AA135" s="143">
        <f>'[65]2. подк.неподк.'!X123</f>
        <v>209.14629999999997</v>
      </c>
      <c r="AB135" s="143">
        <f t="shared" si="74"/>
        <v>207.51551110973838</v>
      </c>
      <c r="AC135" s="144">
        <f t="shared" si="47"/>
        <v>207.51551110973838</v>
      </c>
      <c r="AD135" s="143">
        <f t="shared" si="48"/>
        <v>7.3755111097383974</v>
      </c>
      <c r="AE135" s="143">
        <f t="shared" si="49"/>
        <v>3.6851759317169979</v>
      </c>
      <c r="AF135" s="143">
        <f t="shared" si="50"/>
        <v>-1.6307888902615844</v>
      </c>
      <c r="AG135" s="143">
        <f t="shared" si="51"/>
        <v>-0.77973595051004452</v>
      </c>
      <c r="AH135" s="143">
        <f t="shared" si="52"/>
        <v>-1.6307888902615844</v>
      </c>
      <c r="AI135" s="143">
        <f t="shared" si="53"/>
        <v>-0.77973595051004452</v>
      </c>
    </row>
    <row r="136" spans="1:36" ht="33" customHeight="1" outlineLevel="2">
      <c r="A136" s="139" t="s">
        <v>692</v>
      </c>
      <c r="B136" s="143" t="s">
        <v>693</v>
      </c>
      <c r="C136" s="147" t="s">
        <v>694</v>
      </c>
      <c r="D136" s="148" t="s">
        <v>695</v>
      </c>
      <c r="E136" s="149" t="s">
        <v>696</v>
      </c>
      <c r="F136" s="143" t="s">
        <v>121</v>
      </c>
      <c r="G136" s="143">
        <v>215.22254994712603</v>
      </c>
      <c r="H136" s="143">
        <v>52.568460000000002</v>
      </c>
      <c r="I136" s="143">
        <v>52.568460000000002</v>
      </c>
      <c r="J136" s="143">
        <v>236.1579640715743</v>
      </c>
      <c r="K136" s="143">
        <v>122.61933999999999</v>
      </c>
      <c r="L136" s="143">
        <v>122.62</v>
      </c>
      <c r="M136" s="143">
        <v>117.88669072222157</v>
      </c>
      <c r="N136" s="143">
        <v>2548.8960499999998</v>
      </c>
      <c r="O136" s="143">
        <v>2525.74188</v>
      </c>
      <c r="P136" s="150">
        <v>2525.74188</v>
      </c>
      <c r="Q136" s="143">
        <v>2525.74188</v>
      </c>
      <c r="R136" s="144">
        <v>2525.74188</v>
      </c>
      <c r="S136" s="143">
        <f t="shared" si="43"/>
        <v>2407.8551892777787</v>
      </c>
      <c r="T136" s="143">
        <f t="shared" si="44"/>
        <v>0</v>
      </c>
      <c r="U136" s="151" t="e">
        <f>R136-#REF!</f>
        <v>#REF!</v>
      </c>
      <c r="V136" s="151">
        <f t="shared" si="45"/>
        <v>2407.8551892777787</v>
      </c>
      <c r="W136" s="151">
        <f t="shared" si="46"/>
        <v>0</v>
      </c>
      <c r="X136" s="151" t="e">
        <f>O136-#REF!</f>
        <v>#REF!</v>
      </c>
      <c r="Y136" s="143">
        <f>'[65]2. подк.неподк.'!V124</f>
        <v>139.06640749999997</v>
      </c>
      <c r="Z136" s="182">
        <f>'[65]2. подк.неподк.'!W124</f>
        <v>145.32439583749996</v>
      </c>
      <c r="AA136" s="143">
        <f>'[65]2. подк.неподк.'!X124</f>
        <v>3763.1256599999997</v>
      </c>
      <c r="AB136" s="143">
        <f t="shared" si="74"/>
        <v>144.19124927829344</v>
      </c>
      <c r="AC136" s="144">
        <f t="shared" si="47"/>
        <v>144.19124927829344</v>
      </c>
      <c r="AD136" s="143">
        <f t="shared" si="48"/>
        <v>5.1248417782934723</v>
      </c>
      <c r="AE136" s="143">
        <f t="shared" si="49"/>
        <v>3.6851759317169979</v>
      </c>
      <c r="AF136" s="143">
        <f t="shared" si="50"/>
        <v>-1.1331465592065229</v>
      </c>
      <c r="AG136" s="143">
        <f t="shared" si="51"/>
        <v>-0.77973595051005873</v>
      </c>
      <c r="AH136" s="143">
        <f t="shared" si="52"/>
        <v>-3618.9344107217062</v>
      </c>
      <c r="AI136" s="143">
        <f t="shared" si="53"/>
        <v>-96.168311603012128</v>
      </c>
    </row>
    <row r="137" spans="1:36" ht="33" customHeight="1" outlineLevel="2">
      <c r="A137" s="139" t="s">
        <v>697</v>
      </c>
      <c r="B137" s="143" t="s">
        <v>698</v>
      </c>
      <c r="C137" s="147" t="s">
        <v>699</v>
      </c>
      <c r="D137" s="148" t="s">
        <v>700</v>
      </c>
      <c r="E137" s="149" t="s">
        <v>701</v>
      </c>
      <c r="F137" s="143" t="s">
        <v>121</v>
      </c>
      <c r="G137" s="143">
        <v>2619.209158176237</v>
      </c>
      <c r="H137" s="143">
        <v>7269.5010499999999</v>
      </c>
      <c r="I137" s="143">
        <v>6891.0610500000003</v>
      </c>
      <c r="J137" s="143">
        <v>2873.9883549585361</v>
      </c>
      <c r="K137" s="143">
        <v>6350.8089</v>
      </c>
      <c r="L137" s="143">
        <v>2873.99</v>
      </c>
      <c r="M137" s="143">
        <v>5054.2674139690462</v>
      </c>
      <c r="N137" s="143">
        <v>3467.0437400000001</v>
      </c>
      <c r="O137" s="143">
        <v>3347.96225</v>
      </c>
      <c r="P137" s="150">
        <v>3347.96225</v>
      </c>
      <c r="Q137" s="143">
        <v>3347.96225</v>
      </c>
      <c r="R137" s="144">
        <v>3347.96225</v>
      </c>
      <c r="S137" s="143">
        <f t="shared" si="43"/>
        <v>-1706.3051639690461</v>
      </c>
      <c r="T137" s="143">
        <f t="shared" si="44"/>
        <v>0</v>
      </c>
      <c r="U137" s="151" t="e">
        <f>R137-#REF!</f>
        <v>#REF!</v>
      </c>
      <c r="V137" s="151">
        <f t="shared" si="45"/>
        <v>-1706.3051639690461</v>
      </c>
      <c r="W137" s="151">
        <f t="shared" si="46"/>
        <v>0</v>
      </c>
      <c r="X137" s="151" t="e">
        <f>O137-#REF!</f>
        <v>#REF!</v>
      </c>
      <c r="Y137" s="143">
        <f>'[65]2. подк.неподк.'!V125</f>
        <v>5332.2521217373433</v>
      </c>
      <c r="Z137" s="182">
        <f>'[65]2. подк.неподк.'!W125</f>
        <v>5572.2034672155232</v>
      </c>
      <c r="AA137" s="143">
        <f>'[65]2. подк.неподк.'!X125</f>
        <v>5572.2034672155232</v>
      </c>
      <c r="AB137" s="143">
        <f t="shared" si="74"/>
        <v>5528.7549935460765</v>
      </c>
      <c r="AC137" s="144">
        <f t="shared" si="47"/>
        <v>5528.7549935460765</v>
      </c>
      <c r="AD137" s="143">
        <f t="shared" si="48"/>
        <v>196.50287180873329</v>
      </c>
      <c r="AE137" s="143">
        <f t="shared" si="49"/>
        <v>3.6851759317169979</v>
      </c>
      <c r="AF137" s="143">
        <f t="shared" si="50"/>
        <v>-43.448473669446685</v>
      </c>
      <c r="AG137" s="143">
        <f t="shared" si="51"/>
        <v>-0.77973595051004452</v>
      </c>
      <c r="AH137" s="143">
        <f t="shared" si="52"/>
        <v>-43.448473669446685</v>
      </c>
      <c r="AI137" s="143">
        <f t="shared" si="53"/>
        <v>-0.77973595051004452</v>
      </c>
    </row>
    <row r="138" spans="1:36" ht="33" customHeight="1" outlineLevel="2">
      <c r="A138" s="139" t="s">
        <v>702</v>
      </c>
      <c r="B138" s="143" t="s">
        <v>703</v>
      </c>
      <c r="C138" s="147" t="s">
        <v>704</v>
      </c>
      <c r="D138" s="148" t="s">
        <v>705</v>
      </c>
      <c r="E138" s="149" t="s">
        <v>706</v>
      </c>
      <c r="F138" s="143" t="s">
        <v>121</v>
      </c>
      <c r="G138" s="143">
        <v>205.41816586795755</v>
      </c>
      <c r="H138" s="143">
        <v>1160.3357100000001</v>
      </c>
      <c r="I138" s="143">
        <v>1160.3357100000001</v>
      </c>
      <c r="J138" s="143">
        <v>225.39987490442613</v>
      </c>
      <c r="K138" s="143">
        <v>449.06387999999998</v>
      </c>
      <c r="L138" s="143">
        <v>449.06</v>
      </c>
      <c r="M138" s="143">
        <v>760.33</v>
      </c>
      <c r="N138" s="143">
        <v>501.36685999999997</v>
      </c>
      <c r="O138" s="143">
        <v>501.16783000000004</v>
      </c>
      <c r="P138" s="150">
        <v>501.16783000000004</v>
      </c>
      <c r="Q138" s="143">
        <v>501.16783000000004</v>
      </c>
      <c r="R138" s="144">
        <v>501.16783000000004</v>
      </c>
      <c r="S138" s="143">
        <f t="shared" si="43"/>
        <v>-259.16217</v>
      </c>
      <c r="T138" s="143">
        <f t="shared" si="44"/>
        <v>0</v>
      </c>
      <c r="U138" s="151" t="e">
        <f>R138-#REF!</f>
        <v>#REF!</v>
      </c>
      <c r="V138" s="151">
        <f t="shared" si="45"/>
        <v>-259.16217</v>
      </c>
      <c r="W138" s="151">
        <f t="shared" si="46"/>
        <v>0</v>
      </c>
      <c r="X138" s="151" t="e">
        <f>O138-#REF!</f>
        <v>#REF!</v>
      </c>
      <c r="Y138" s="143">
        <f>'[65]2. подк.неподк.'!V126</f>
        <v>800</v>
      </c>
      <c r="Z138" s="182">
        <f>'[65]2. подк.неподк.'!W126</f>
        <v>836</v>
      </c>
      <c r="AA138" s="143">
        <f>'[65]2. подк.неподк.'!X126</f>
        <v>836</v>
      </c>
      <c r="AB138" s="143">
        <f t="shared" si="74"/>
        <v>829.48140745373598</v>
      </c>
      <c r="AC138" s="144">
        <f t="shared" si="47"/>
        <v>829.48140745373598</v>
      </c>
      <c r="AD138" s="143">
        <f t="shared" si="48"/>
        <v>29.481407453735983</v>
      </c>
      <c r="AE138" s="143">
        <f t="shared" si="49"/>
        <v>3.6851759317169979</v>
      </c>
      <c r="AF138" s="143">
        <f t="shared" si="50"/>
        <v>-6.5185925462640171</v>
      </c>
      <c r="AG138" s="143">
        <f t="shared" si="51"/>
        <v>-0.77973595051005873</v>
      </c>
      <c r="AH138" s="143">
        <f t="shared" si="52"/>
        <v>-6.5185925462640171</v>
      </c>
      <c r="AI138" s="143">
        <f t="shared" si="53"/>
        <v>-0.77973595051005873</v>
      </c>
    </row>
    <row r="139" spans="1:36" ht="33" customHeight="1" outlineLevel="2">
      <c r="A139" s="139" t="s">
        <v>707</v>
      </c>
      <c r="B139" s="143" t="s">
        <v>708</v>
      </c>
      <c r="C139" s="147" t="s">
        <v>709</v>
      </c>
      <c r="D139" s="148" t="s">
        <v>710</v>
      </c>
      <c r="E139" s="149" t="s">
        <v>711</v>
      </c>
      <c r="F139" s="143" t="s">
        <v>121</v>
      </c>
      <c r="G139" s="143">
        <v>73.906111608847525</v>
      </c>
      <c r="H139" s="143">
        <v>101.15696</v>
      </c>
      <c r="I139" s="143">
        <v>101.15696</v>
      </c>
      <c r="J139" s="143">
        <v>81.095205192391774</v>
      </c>
      <c r="K139" s="143">
        <v>100.79182</v>
      </c>
      <c r="L139" s="143">
        <v>100.79</v>
      </c>
      <c r="M139" s="143">
        <v>66.396117724901131</v>
      </c>
      <c r="N139" s="143">
        <v>71.108639999999994</v>
      </c>
      <c r="O139" s="143">
        <v>67.724440000000001</v>
      </c>
      <c r="P139" s="150">
        <v>67.724440000000001</v>
      </c>
      <c r="Q139" s="143">
        <v>67.724440000000001</v>
      </c>
      <c r="R139" s="144">
        <v>67.724440000000001</v>
      </c>
      <c r="S139" s="143">
        <f t="shared" si="43"/>
        <v>1.3283222750988699</v>
      </c>
      <c r="T139" s="143">
        <f t="shared" si="44"/>
        <v>0</v>
      </c>
      <c r="U139" s="151" t="e">
        <f>R139-#REF!</f>
        <v>#REF!</v>
      </c>
      <c r="V139" s="151">
        <f t="shared" si="45"/>
        <v>1.3283222750988699</v>
      </c>
      <c r="W139" s="151">
        <f t="shared" si="46"/>
        <v>0</v>
      </c>
      <c r="X139" s="151" t="e">
        <f>O139-#REF!</f>
        <v>#REF!</v>
      </c>
      <c r="Y139" s="143">
        <f>'[65]2. подк.неподк.'!V127</f>
        <v>70.047904199770684</v>
      </c>
      <c r="Z139" s="182">
        <f>'[65]2. подк.неподк.'!W127</f>
        <v>73.200059888760364</v>
      </c>
      <c r="AA139" s="143">
        <f>'[65]2. подк.неподк.'!X127</f>
        <v>73.200059888760364</v>
      </c>
      <c r="AB139" s="143">
        <f t="shared" si="74"/>
        <v>72.629292706012819</v>
      </c>
      <c r="AC139" s="144">
        <f t="shared" si="47"/>
        <v>72.629292706012819</v>
      </c>
      <c r="AD139" s="143">
        <f t="shared" si="48"/>
        <v>2.5813885062421349</v>
      </c>
      <c r="AE139" s="143">
        <f t="shared" si="49"/>
        <v>3.6851759317169979</v>
      </c>
      <c r="AF139" s="143">
        <f t="shared" si="50"/>
        <v>-0.57076718274754512</v>
      </c>
      <c r="AG139" s="143">
        <f t="shared" si="51"/>
        <v>-0.77973595051004452</v>
      </c>
      <c r="AH139" s="143">
        <f t="shared" si="52"/>
        <v>-0.57076718274754512</v>
      </c>
      <c r="AI139" s="143">
        <f t="shared" si="53"/>
        <v>-0.77973595051004452</v>
      </c>
    </row>
    <row r="140" spans="1:36" ht="33" customHeight="1" outlineLevel="2">
      <c r="A140" s="139" t="s">
        <v>712</v>
      </c>
      <c r="B140" s="143" t="s">
        <v>713</v>
      </c>
      <c r="C140" s="147" t="s">
        <v>714</v>
      </c>
      <c r="D140" s="148" t="s">
        <v>715</v>
      </c>
      <c r="E140" s="149" t="s">
        <v>716</v>
      </c>
      <c r="F140" s="143" t="s">
        <v>121</v>
      </c>
      <c r="G140" s="143">
        <v>0</v>
      </c>
      <c r="H140" s="143">
        <v>22.83</v>
      </c>
      <c r="I140" s="143">
        <v>0</v>
      </c>
      <c r="J140" s="143">
        <v>0</v>
      </c>
      <c r="K140" s="143">
        <v>4.00732</v>
      </c>
      <c r="L140" s="143">
        <v>0</v>
      </c>
      <c r="M140" s="143">
        <v>0</v>
      </c>
      <c r="N140" s="143">
        <v>0.6</v>
      </c>
      <c r="O140" s="143">
        <v>0.57549000000000006</v>
      </c>
      <c r="P140" s="150">
        <v>0.57549000000000006</v>
      </c>
      <c r="Q140" s="143">
        <v>0.57549000000000006</v>
      </c>
      <c r="R140" s="144">
        <v>0</v>
      </c>
      <c r="S140" s="143">
        <f t="shared" si="43"/>
        <v>0</v>
      </c>
      <c r="T140" s="143">
        <f t="shared" si="44"/>
        <v>-0.57549000000000006</v>
      </c>
      <c r="U140" s="151" t="e">
        <f>R140-#REF!</f>
        <v>#REF!</v>
      </c>
      <c r="V140" s="151">
        <f t="shared" si="45"/>
        <v>0</v>
      </c>
      <c r="W140" s="151">
        <f t="shared" si="46"/>
        <v>0</v>
      </c>
      <c r="X140" s="151" t="e">
        <f>O140-#REF!</f>
        <v>#REF!</v>
      </c>
      <c r="Y140" s="143">
        <f>'[65]2. подк.неподк.'!V128</f>
        <v>0</v>
      </c>
      <c r="Z140" s="182">
        <f>'[65]2. подк.неподк.'!W128</f>
        <v>0</v>
      </c>
      <c r="AA140" s="143">
        <f>'[65]2. подк.неподк.'!X128</f>
        <v>0.66239999999999999</v>
      </c>
      <c r="AB140" s="143">
        <f t="shared" si="74"/>
        <v>0</v>
      </c>
      <c r="AC140" s="144">
        <f t="shared" si="47"/>
        <v>0</v>
      </c>
      <c r="AD140" s="143">
        <f t="shared" si="48"/>
        <v>0</v>
      </c>
      <c r="AE140" s="143"/>
      <c r="AF140" s="143">
        <f t="shared" si="50"/>
        <v>0</v>
      </c>
      <c r="AG140" s="143"/>
      <c r="AH140" s="143">
        <f t="shared" si="52"/>
        <v>-0.66239999999999999</v>
      </c>
      <c r="AI140" s="143">
        <f t="shared" si="53"/>
        <v>-100</v>
      </c>
    </row>
    <row r="141" spans="1:36" ht="33" customHeight="1" outlineLevel="1">
      <c r="A141" s="139"/>
      <c r="B141" s="140" t="s">
        <v>717</v>
      </c>
      <c r="C141" s="141"/>
      <c r="D141" s="393" t="s">
        <v>718</v>
      </c>
      <c r="E141" s="188" t="s">
        <v>719</v>
      </c>
      <c r="F141" s="143" t="s">
        <v>121</v>
      </c>
      <c r="G141" s="144">
        <f t="shared" ref="G141:I141" si="75">G142</f>
        <v>15779.772965800001</v>
      </c>
      <c r="H141" s="144">
        <f t="shared" si="75"/>
        <v>20130.83713</v>
      </c>
      <c r="I141" s="144">
        <f t="shared" si="75"/>
        <v>20130.84</v>
      </c>
      <c r="J141" s="144">
        <f>J142</f>
        <v>17314.724028827342</v>
      </c>
      <c r="K141" s="144">
        <f t="shared" ref="K141:AB141" si="76">K142</f>
        <v>20496.194090000001</v>
      </c>
      <c r="L141" s="144">
        <f t="shared" si="76"/>
        <v>20496.189999999999</v>
      </c>
      <c r="M141" s="144">
        <f t="shared" si="76"/>
        <v>17114.927888876369</v>
      </c>
      <c r="N141" s="144">
        <f t="shared" si="76"/>
        <v>21196.399419999998</v>
      </c>
      <c r="O141" s="144">
        <f t="shared" si="76"/>
        <v>20006.096570000002</v>
      </c>
      <c r="P141" s="145">
        <f t="shared" si="76"/>
        <v>20006.096570000002</v>
      </c>
      <c r="Q141" s="144">
        <f t="shared" si="76"/>
        <v>20006.096570000002</v>
      </c>
      <c r="R141" s="144">
        <f t="shared" si="76"/>
        <v>20006.096570000002</v>
      </c>
      <c r="S141" s="144">
        <f t="shared" si="43"/>
        <v>2891.1686811236323</v>
      </c>
      <c r="T141" s="144">
        <f t="shared" si="44"/>
        <v>0</v>
      </c>
      <c r="U141" s="146" t="e">
        <f>R141-#REF!</f>
        <v>#REF!</v>
      </c>
      <c r="V141" s="146">
        <f t="shared" si="45"/>
        <v>2891.1686811236323</v>
      </c>
      <c r="W141" s="146">
        <f t="shared" si="46"/>
        <v>0</v>
      </c>
      <c r="X141" s="146" t="e">
        <f>O141-#REF!</f>
        <v>#REF!</v>
      </c>
      <c r="Y141" s="144">
        <f t="shared" si="76"/>
        <v>18308.048922764599</v>
      </c>
      <c r="Z141" s="170">
        <f t="shared" si="76"/>
        <v>19131.911124289007</v>
      </c>
      <c r="AA141" s="144">
        <f t="shared" si="76"/>
        <v>24542.5975</v>
      </c>
      <c r="AB141" s="144">
        <f t="shared" si="76"/>
        <v>18982.732735233294</v>
      </c>
      <c r="AC141" s="144">
        <f t="shared" si="47"/>
        <v>18982.732735233294</v>
      </c>
      <c r="AD141" s="144">
        <f t="shared" si="48"/>
        <v>674.68381246869467</v>
      </c>
      <c r="AE141" s="144">
        <f t="shared" si="49"/>
        <v>3.6851759317169979</v>
      </c>
      <c r="AF141" s="144">
        <f t="shared" si="50"/>
        <v>-149.17838905571261</v>
      </c>
      <c r="AG141" s="144">
        <f t="shared" si="51"/>
        <v>-0.77973595051005873</v>
      </c>
      <c r="AH141" s="144">
        <f t="shared" si="52"/>
        <v>-5559.8647647667058</v>
      </c>
      <c r="AI141" s="144">
        <f t="shared" si="53"/>
        <v>-22.653937769898675</v>
      </c>
    </row>
    <row r="142" spans="1:36" ht="33" customHeight="1" outlineLevel="2">
      <c r="A142" s="139" t="s">
        <v>720</v>
      </c>
      <c r="B142" s="143" t="s">
        <v>721</v>
      </c>
      <c r="C142" s="147" t="s">
        <v>722</v>
      </c>
      <c r="D142" s="189" t="s">
        <v>723</v>
      </c>
      <c r="E142" s="149" t="s">
        <v>724</v>
      </c>
      <c r="F142" s="143" t="s">
        <v>121</v>
      </c>
      <c r="G142" s="143">
        <v>15779.772965800001</v>
      </c>
      <c r="H142" s="143">
        <v>20130.83713</v>
      </c>
      <c r="I142" s="143">
        <v>20130.84</v>
      </c>
      <c r="J142" s="143">
        <v>17314.724028827342</v>
      </c>
      <c r="K142" s="143">
        <v>20496.194090000001</v>
      </c>
      <c r="L142" s="143">
        <v>20496.189999999999</v>
      </c>
      <c r="M142" s="143">
        <v>17114.927888876369</v>
      </c>
      <c r="N142" s="143">
        <v>21196.399419999998</v>
      </c>
      <c r="O142" s="143">
        <v>20006.096570000002</v>
      </c>
      <c r="P142" s="150">
        <v>20006.096570000002</v>
      </c>
      <c r="Q142" s="143">
        <v>20006.096570000002</v>
      </c>
      <c r="R142" s="144">
        <v>20006.096570000002</v>
      </c>
      <c r="S142" s="143">
        <f t="shared" si="43"/>
        <v>2891.1686811236323</v>
      </c>
      <c r="T142" s="143">
        <f t="shared" si="44"/>
        <v>0</v>
      </c>
      <c r="U142" s="151" t="e">
        <f>R142-#REF!</f>
        <v>#REF!</v>
      </c>
      <c r="V142" s="151">
        <f t="shared" si="45"/>
        <v>2891.1686811236323</v>
      </c>
      <c r="W142" s="151">
        <f t="shared" si="46"/>
        <v>0</v>
      </c>
      <c r="X142" s="151" t="e">
        <f>O142-#REF!</f>
        <v>#REF!</v>
      </c>
      <c r="Y142" s="143">
        <f>'[65]2. подк.неподк.'!V130</f>
        <v>18308.048922764599</v>
      </c>
      <c r="Z142" s="182">
        <f>'[65]2. подк.неподк.'!W130</f>
        <v>19131.911124289007</v>
      </c>
      <c r="AA142" s="143">
        <f>'[65]2. подк.неподк.'!X130</f>
        <v>24542.5975</v>
      </c>
      <c r="AB142" s="143">
        <f>Y142*$AA$11</f>
        <v>18982.732735233294</v>
      </c>
      <c r="AC142" s="144">
        <f t="shared" si="47"/>
        <v>18982.732735233294</v>
      </c>
      <c r="AD142" s="143">
        <f t="shared" si="48"/>
        <v>674.68381246869467</v>
      </c>
      <c r="AE142" s="143">
        <f t="shared" si="49"/>
        <v>3.6851759317169979</v>
      </c>
      <c r="AF142" s="143">
        <f t="shared" si="50"/>
        <v>-149.17838905571261</v>
      </c>
      <c r="AG142" s="143">
        <f t="shared" si="51"/>
        <v>-0.77973595051005873</v>
      </c>
      <c r="AH142" s="143">
        <f t="shared" si="52"/>
        <v>-5559.8647647667058</v>
      </c>
      <c r="AI142" s="143">
        <f t="shared" si="53"/>
        <v>-22.653937769898675</v>
      </c>
    </row>
    <row r="143" spans="1:36" ht="33" customHeight="1" outlineLevel="1">
      <c r="A143" s="139"/>
      <c r="B143" s="140" t="s">
        <v>725</v>
      </c>
      <c r="C143" s="141"/>
      <c r="D143" s="393" t="s">
        <v>726</v>
      </c>
      <c r="E143" s="188" t="s">
        <v>726</v>
      </c>
      <c r="F143" s="143" t="s">
        <v>121</v>
      </c>
      <c r="G143" s="144">
        <f t="shared" ref="G143:I143" si="77">SUM(G144:G147)</f>
        <v>39898.160731813456</v>
      </c>
      <c r="H143" s="144">
        <f t="shared" si="77"/>
        <v>64588.578529999999</v>
      </c>
      <c r="I143" s="144">
        <f t="shared" si="77"/>
        <v>62638.698529999994</v>
      </c>
      <c r="J143" s="144">
        <f>SUM(J144:J147)</f>
        <v>57178.793138987377</v>
      </c>
      <c r="K143" s="144">
        <f t="shared" ref="K143:M143" si="78">SUM(K144:K147)</f>
        <v>75387.112340000007</v>
      </c>
      <c r="L143" s="144">
        <f t="shared" si="78"/>
        <v>75387.125920000006</v>
      </c>
      <c r="M143" s="144">
        <f t="shared" si="78"/>
        <v>40838.669377177095</v>
      </c>
      <c r="N143" s="144">
        <f>SUM(N144:N147)</f>
        <v>66805.020890000014</v>
      </c>
      <c r="O143" s="144">
        <f t="shared" ref="O143:AB143" si="79">SUM(O144:O147)</f>
        <v>66630.968229999999</v>
      </c>
      <c r="P143" s="145">
        <f t="shared" si="79"/>
        <v>66630.968229999999</v>
      </c>
      <c r="Q143" s="144">
        <f t="shared" si="79"/>
        <v>66630.968229999999</v>
      </c>
      <c r="R143" s="144">
        <f t="shared" si="79"/>
        <v>66630.968229999999</v>
      </c>
      <c r="S143" s="144">
        <f t="shared" si="43"/>
        <v>25792.298852822903</v>
      </c>
      <c r="T143" s="144">
        <f t="shared" si="44"/>
        <v>0</v>
      </c>
      <c r="U143" s="146" t="e">
        <f>R143-#REF!</f>
        <v>#REF!</v>
      </c>
      <c r="V143" s="146">
        <f t="shared" si="45"/>
        <v>25792.298852822903</v>
      </c>
      <c r="W143" s="146">
        <f t="shared" si="46"/>
        <v>0</v>
      </c>
      <c r="X143" s="146" t="e">
        <f>O143-#REF!</f>
        <v>#REF!</v>
      </c>
      <c r="Y143" s="144">
        <f t="shared" si="79"/>
        <v>79533.422149999999</v>
      </c>
      <c r="Z143" s="170">
        <f t="shared" si="79"/>
        <v>83112.426146749989</v>
      </c>
      <c r="AA143" s="144">
        <f t="shared" si="79"/>
        <v>83242.426146749989</v>
      </c>
      <c r="AB143" s="144">
        <f t="shared" si="79"/>
        <v>82464.368680742671</v>
      </c>
      <c r="AC143" s="144">
        <f t="shared" si="47"/>
        <v>82464.368680742671</v>
      </c>
      <c r="AD143" s="144">
        <f t="shared" si="48"/>
        <v>2930.9465307426726</v>
      </c>
      <c r="AE143" s="144">
        <f t="shared" si="49"/>
        <v>3.6851759317169979</v>
      </c>
      <c r="AF143" s="144">
        <f t="shared" si="50"/>
        <v>-648.057466007318</v>
      </c>
      <c r="AG143" s="144">
        <f t="shared" si="51"/>
        <v>-0.77973595051004452</v>
      </c>
      <c r="AH143" s="144">
        <f t="shared" si="52"/>
        <v>-778.057466007318</v>
      </c>
      <c r="AI143" s="144">
        <f t="shared" si="53"/>
        <v>-0.93468859813825134</v>
      </c>
    </row>
    <row r="144" spans="1:36" ht="33" customHeight="1" outlineLevel="2">
      <c r="A144" s="1342" t="s">
        <v>727</v>
      </c>
      <c r="B144" s="143" t="s">
        <v>728</v>
      </c>
      <c r="C144" s="1344" t="s">
        <v>729</v>
      </c>
      <c r="D144" s="164" t="s">
        <v>730</v>
      </c>
      <c r="E144" s="149" t="s">
        <v>731</v>
      </c>
      <c r="F144" s="143" t="s">
        <v>121</v>
      </c>
      <c r="G144" s="143">
        <v>38660.630731813457</v>
      </c>
      <c r="H144" s="143">
        <v>63552.038529999998</v>
      </c>
      <c r="I144" s="143">
        <v>61602.158529999993</v>
      </c>
      <c r="J144" s="143">
        <v>13136.940703087485</v>
      </c>
      <c r="K144" s="143">
        <v>17741.679230000002</v>
      </c>
      <c r="L144" s="143">
        <v>17741.679230000002</v>
      </c>
      <c r="M144" s="143">
        <v>9305.1563204006688</v>
      </c>
      <c r="N144" s="143">
        <v>15635.819477713374</v>
      </c>
      <c r="O144" s="143">
        <v>15594.873643999546</v>
      </c>
      <c r="P144" s="150">
        <v>15594.873643999546</v>
      </c>
      <c r="Q144" s="143">
        <v>15594.873643999546</v>
      </c>
      <c r="R144" s="144">
        <v>15594.873643999546</v>
      </c>
      <c r="S144" s="143">
        <f t="shared" si="43"/>
        <v>6289.7173235988776</v>
      </c>
      <c r="T144" s="143">
        <f t="shared" si="44"/>
        <v>0</v>
      </c>
      <c r="U144" s="151" t="e">
        <f>R144-#REF!</f>
        <v>#REF!</v>
      </c>
      <c r="V144" s="151">
        <f t="shared" si="45"/>
        <v>6289.7173235988776</v>
      </c>
      <c r="W144" s="151">
        <f t="shared" si="46"/>
        <v>0</v>
      </c>
      <c r="X144" s="151" t="e">
        <f>O144-#REF!</f>
        <v>#REF!</v>
      </c>
      <c r="Y144" s="143">
        <f>'[65]2. подк.неподк.'!V132</f>
        <v>18717.472600651665</v>
      </c>
      <c r="Z144" s="182">
        <f>'[65]2. подк.неподк.'!W132</f>
        <v>19559.75886768099</v>
      </c>
      <c r="AA144" s="143">
        <f>'[65]2. подк.неподк.'!X132</f>
        <v>19559.75886768099</v>
      </c>
      <c r="AB144" s="143">
        <f>Y144*$AA$11</f>
        <v>19407.244395956604</v>
      </c>
      <c r="AC144" s="144">
        <f t="shared" si="47"/>
        <v>19407.244395956604</v>
      </c>
      <c r="AD144" s="143">
        <f t="shared" si="48"/>
        <v>689.77179530493959</v>
      </c>
      <c r="AE144" s="143">
        <f t="shared" si="49"/>
        <v>3.6851759317169979</v>
      </c>
      <c r="AF144" s="143">
        <f t="shared" si="50"/>
        <v>-152.51447172438566</v>
      </c>
      <c r="AG144" s="143">
        <f t="shared" si="51"/>
        <v>-0.77973595051005873</v>
      </c>
      <c r="AH144" s="143">
        <f t="shared" si="52"/>
        <v>-152.51447172438566</v>
      </c>
      <c r="AI144" s="143">
        <f t="shared" si="53"/>
        <v>-0.77973595051005873</v>
      </c>
    </row>
    <row r="145" spans="1:35" ht="33" customHeight="1" outlineLevel="2">
      <c r="A145" s="1343"/>
      <c r="B145" s="143" t="s">
        <v>732</v>
      </c>
      <c r="C145" s="1344"/>
      <c r="D145" s="164" t="s">
        <v>733</v>
      </c>
      <c r="E145" s="149" t="s">
        <v>734</v>
      </c>
      <c r="F145" s="143" t="s">
        <v>121</v>
      </c>
      <c r="G145" s="143">
        <v>0</v>
      </c>
      <c r="H145" s="143">
        <v>0</v>
      </c>
      <c r="I145" s="143">
        <v>0</v>
      </c>
      <c r="J145" s="143">
        <v>42683.942435899888</v>
      </c>
      <c r="K145" s="143">
        <v>57645.446690000004</v>
      </c>
      <c r="L145" s="143">
        <v>57645.446690000004</v>
      </c>
      <c r="M145" s="143">
        <v>30233.885172647962</v>
      </c>
      <c r="N145" s="143">
        <v>50803.184212286636</v>
      </c>
      <c r="O145" s="143">
        <v>50670.144896000456</v>
      </c>
      <c r="P145" s="150">
        <v>50670.144896000456</v>
      </c>
      <c r="Q145" s="143">
        <v>50670.144896000456</v>
      </c>
      <c r="R145" s="144">
        <v>50670.144896000456</v>
      </c>
      <c r="S145" s="143">
        <f t="shared" si="43"/>
        <v>20436.259723352494</v>
      </c>
      <c r="T145" s="143">
        <f t="shared" si="44"/>
        <v>0</v>
      </c>
      <c r="U145" s="151" t="e">
        <f>R145-#REF!</f>
        <v>#REF!</v>
      </c>
      <c r="V145" s="151">
        <f t="shared" si="45"/>
        <v>20436.259723352494</v>
      </c>
      <c r="W145" s="151">
        <f t="shared" si="46"/>
        <v>0</v>
      </c>
      <c r="X145" s="151" t="e">
        <f>O145-#REF!</f>
        <v>#REF!</v>
      </c>
      <c r="Y145" s="143">
        <f>'[65]2. подк.неподк.'!V133</f>
        <v>60815.949549348334</v>
      </c>
      <c r="Z145" s="182">
        <f>'[65]2. подк.неподк.'!W133</f>
        <v>63552.667279069006</v>
      </c>
      <c r="AA145" s="143">
        <f>'[65]2. подк.неподк.'!X133</f>
        <v>63552.667279069006</v>
      </c>
      <c r="AB145" s="143">
        <f>Y145*$AA$11</f>
        <v>63057.12428478607</v>
      </c>
      <c r="AC145" s="144">
        <f t="shared" si="47"/>
        <v>63057.12428478607</v>
      </c>
      <c r="AD145" s="143">
        <f t="shared" si="48"/>
        <v>2241.1747354377367</v>
      </c>
      <c r="AE145" s="143">
        <f t="shared" si="49"/>
        <v>3.6851759317169979</v>
      </c>
      <c r="AF145" s="143">
        <f t="shared" si="50"/>
        <v>-495.54299428293598</v>
      </c>
      <c r="AG145" s="143">
        <f t="shared" si="51"/>
        <v>-0.77973595051004452</v>
      </c>
      <c r="AH145" s="143">
        <f t="shared" si="52"/>
        <v>-495.54299428293598</v>
      </c>
      <c r="AI145" s="143">
        <f t="shared" si="53"/>
        <v>-0.77973595051004452</v>
      </c>
    </row>
    <row r="146" spans="1:35" ht="33" customHeight="1" outlineLevel="2">
      <c r="A146" s="139" t="s">
        <v>735</v>
      </c>
      <c r="B146" s="143" t="s">
        <v>736</v>
      </c>
      <c r="C146" s="147" t="s">
        <v>737</v>
      </c>
      <c r="D146" s="148" t="s">
        <v>738</v>
      </c>
      <c r="E146" s="1340" t="s">
        <v>739</v>
      </c>
      <c r="F146" s="1341" t="s">
        <v>121</v>
      </c>
      <c r="G146" s="143">
        <v>1237.53</v>
      </c>
      <c r="H146" s="143">
        <v>1036.54</v>
      </c>
      <c r="I146" s="143">
        <v>1036.54</v>
      </c>
      <c r="J146" s="1341">
        <v>1357.91</v>
      </c>
      <c r="K146" s="143">
        <v>-1.358E-2</v>
      </c>
      <c r="L146" s="143">
        <v>0</v>
      </c>
      <c r="M146" s="143">
        <v>1299.6278841284657</v>
      </c>
      <c r="N146" s="143">
        <v>323.46719999999999</v>
      </c>
      <c r="O146" s="143">
        <v>323.46719999999999</v>
      </c>
      <c r="P146" s="150">
        <v>323.46719999999999</v>
      </c>
      <c r="Q146" s="143">
        <v>323.46719999999999</v>
      </c>
      <c r="R146" s="144">
        <v>323.46719999999999</v>
      </c>
      <c r="S146" s="143">
        <f t="shared" si="43"/>
        <v>-976.16068412846562</v>
      </c>
      <c r="T146" s="143">
        <f t="shared" si="44"/>
        <v>0</v>
      </c>
      <c r="U146" s="151" t="e">
        <f>R146-#REF!</f>
        <v>#REF!</v>
      </c>
      <c r="V146" s="151">
        <f t="shared" si="45"/>
        <v>-976.16068412846562</v>
      </c>
      <c r="W146" s="151">
        <f t="shared" si="46"/>
        <v>0</v>
      </c>
      <c r="X146" s="151" t="e">
        <f>O146-#REF!</f>
        <v>#REF!</v>
      </c>
      <c r="Y146" s="143">
        <f>'[65]2. подк.неподк.'!V134</f>
        <v>0</v>
      </c>
      <c r="Z146" s="182">
        <f>'[65]2. подк.неподк.'!W134</f>
        <v>0</v>
      </c>
      <c r="AA146" s="143">
        <f>'[65]2. подк.неподк.'!X134</f>
        <v>0</v>
      </c>
      <c r="AB146" s="143">
        <f>Y146*$AA$11</f>
        <v>0</v>
      </c>
      <c r="AC146" s="144">
        <f t="shared" si="47"/>
        <v>0</v>
      </c>
      <c r="AD146" s="143">
        <f t="shared" si="48"/>
        <v>0</v>
      </c>
      <c r="AE146" s="143"/>
      <c r="AF146" s="143">
        <f t="shared" si="50"/>
        <v>0</v>
      </c>
      <c r="AG146" s="143"/>
      <c r="AH146" s="143">
        <f t="shared" si="52"/>
        <v>0</v>
      </c>
      <c r="AI146" s="143"/>
    </row>
    <row r="147" spans="1:35" ht="33" customHeight="1" outlineLevel="2">
      <c r="A147" s="139" t="s">
        <v>740</v>
      </c>
      <c r="B147" s="143" t="s">
        <v>741</v>
      </c>
      <c r="C147" s="147" t="s">
        <v>742</v>
      </c>
      <c r="D147" s="190" t="s">
        <v>743</v>
      </c>
      <c r="E147" s="1340"/>
      <c r="F147" s="1341"/>
      <c r="G147" s="143">
        <v>0</v>
      </c>
      <c r="H147" s="143">
        <v>0</v>
      </c>
      <c r="I147" s="143">
        <v>0</v>
      </c>
      <c r="J147" s="1341"/>
      <c r="K147" s="143"/>
      <c r="L147" s="143"/>
      <c r="M147" s="143"/>
      <c r="N147" s="143">
        <v>42.55</v>
      </c>
      <c r="O147" s="143">
        <v>42.482489999999999</v>
      </c>
      <c r="P147" s="150">
        <v>42.482489999999999</v>
      </c>
      <c r="Q147" s="143">
        <v>42.482489999999999</v>
      </c>
      <c r="R147" s="144">
        <v>42.482489999999999</v>
      </c>
      <c r="S147" s="143">
        <f t="shared" si="43"/>
        <v>42.482489999999999</v>
      </c>
      <c r="T147" s="143">
        <f t="shared" si="44"/>
        <v>0</v>
      </c>
      <c r="U147" s="151" t="e">
        <f>R147-#REF!</f>
        <v>#REF!</v>
      </c>
      <c r="V147" s="151">
        <f t="shared" si="45"/>
        <v>42.482489999999999</v>
      </c>
      <c r="W147" s="151">
        <f t="shared" si="46"/>
        <v>0</v>
      </c>
      <c r="X147" s="151" t="e">
        <f>O147-#REF!</f>
        <v>#REF!</v>
      </c>
      <c r="Y147" s="143">
        <f>'[65]2. подк.неподк.'!V135</f>
        <v>0</v>
      </c>
      <c r="Z147" s="182">
        <f>'[65]2. подк.неподк.'!W135</f>
        <v>0</v>
      </c>
      <c r="AA147" s="143">
        <f>'[65]2. подк.неподк.'!X135</f>
        <v>130</v>
      </c>
      <c r="AB147" s="143">
        <f>Y147*$AA$11</f>
        <v>0</v>
      </c>
      <c r="AC147" s="144">
        <f t="shared" si="47"/>
        <v>0</v>
      </c>
      <c r="AD147" s="143">
        <f t="shared" si="48"/>
        <v>0</v>
      </c>
      <c r="AE147" s="143"/>
      <c r="AF147" s="143">
        <f t="shared" si="50"/>
        <v>0</v>
      </c>
      <c r="AG147" s="143"/>
      <c r="AH147" s="143">
        <f t="shared" si="52"/>
        <v>-130</v>
      </c>
      <c r="AI147" s="143">
        <f t="shared" si="53"/>
        <v>-100</v>
      </c>
    </row>
    <row r="148" spans="1:35" ht="33" customHeight="1" outlineLevel="1">
      <c r="A148" s="139"/>
      <c r="B148" s="140" t="s">
        <v>744</v>
      </c>
      <c r="C148" s="141"/>
      <c r="D148" s="393" t="s">
        <v>745</v>
      </c>
      <c r="E148" s="188" t="s">
        <v>745</v>
      </c>
      <c r="F148" s="143" t="s">
        <v>121</v>
      </c>
      <c r="G148" s="173">
        <f t="shared" ref="G148:I148" si="80">G149+G150</f>
        <v>2000</v>
      </c>
      <c r="H148" s="173">
        <f t="shared" si="80"/>
        <v>22589.119339999997</v>
      </c>
      <c r="I148" s="173">
        <f t="shared" si="80"/>
        <v>4223.8999999999996</v>
      </c>
      <c r="J148" s="173">
        <f>J149+J150</f>
        <v>2194.5465999999997</v>
      </c>
      <c r="K148" s="173">
        <f t="shared" ref="K148:M148" si="81">K149+K150</f>
        <v>16854.686969999999</v>
      </c>
      <c r="L148" s="173">
        <f t="shared" si="81"/>
        <v>3019.31</v>
      </c>
      <c r="M148" s="173">
        <f t="shared" si="81"/>
        <v>2053.34</v>
      </c>
      <c r="N148" s="173">
        <f>N149+N150</f>
        <v>17537.749759999999</v>
      </c>
      <c r="O148" s="173">
        <f t="shared" ref="O148:AB148" si="82">O149+O150</f>
        <v>17244.981400000001</v>
      </c>
      <c r="P148" s="174">
        <f t="shared" si="82"/>
        <v>3569.4841299999998</v>
      </c>
      <c r="Q148" s="173">
        <f t="shared" si="82"/>
        <v>3569.4841299999998</v>
      </c>
      <c r="R148" s="144">
        <f t="shared" si="82"/>
        <v>3569.4841299999998</v>
      </c>
      <c r="S148" s="173">
        <f t="shared" si="43"/>
        <v>1516.1441299999997</v>
      </c>
      <c r="T148" s="173">
        <f t="shared" si="44"/>
        <v>-13675.49727</v>
      </c>
      <c r="U148" s="175" t="e">
        <f>R148-#REF!</f>
        <v>#REF!</v>
      </c>
      <c r="V148" s="175">
        <f t="shared" si="45"/>
        <v>1516.1441299999997</v>
      </c>
      <c r="W148" s="175">
        <f t="shared" si="46"/>
        <v>0</v>
      </c>
      <c r="X148" s="175" t="e">
        <f>O148-#REF!</f>
        <v>#REF!</v>
      </c>
      <c r="Y148" s="173">
        <f t="shared" si="82"/>
        <v>2166.2737000000002</v>
      </c>
      <c r="Z148" s="170">
        <f t="shared" si="82"/>
        <v>2263.7560165</v>
      </c>
      <c r="AA148" s="173">
        <f t="shared" si="82"/>
        <v>2263.7560165</v>
      </c>
      <c r="AB148" s="173">
        <f t="shared" si="82"/>
        <v>2246.1046970075154</v>
      </c>
      <c r="AC148" s="144">
        <f t="shared" si="47"/>
        <v>2246.1046970075154</v>
      </c>
      <c r="AD148" s="173">
        <f t="shared" si="48"/>
        <v>79.83099700751518</v>
      </c>
      <c r="AE148" s="173">
        <f t="shared" si="49"/>
        <v>3.6851759317169979</v>
      </c>
      <c r="AF148" s="173">
        <f t="shared" si="50"/>
        <v>-17.651319492484618</v>
      </c>
      <c r="AG148" s="173">
        <f t="shared" si="51"/>
        <v>-0.77973595051004452</v>
      </c>
      <c r="AH148" s="173">
        <f t="shared" si="52"/>
        <v>-17.651319492484618</v>
      </c>
      <c r="AI148" s="173">
        <f t="shared" si="53"/>
        <v>-0.77973595051004452</v>
      </c>
    </row>
    <row r="149" spans="1:35" s="191" customFormat="1" ht="33" customHeight="1" outlineLevel="2">
      <c r="A149" s="139" t="s">
        <v>746</v>
      </c>
      <c r="B149" s="143" t="s">
        <v>747</v>
      </c>
      <c r="C149" s="147" t="s">
        <v>748</v>
      </c>
      <c r="D149" s="148" t="s">
        <v>749</v>
      </c>
      <c r="E149" s="149" t="s">
        <v>750</v>
      </c>
      <c r="F149" s="143" t="s">
        <v>121</v>
      </c>
      <c r="G149" s="143">
        <v>1000</v>
      </c>
      <c r="H149" s="143">
        <v>19365.218939999999</v>
      </c>
      <c r="I149" s="143">
        <v>1000</v>
      </c>
      <c r="J149" s="143">
        <v>1097.2733000000001</v>
      </c>
      <c r="K149" s="143">
        <v>14932.645769999999</v>
      </c>
      <c r="L149" s="143">
        <v>1097.27</v>
      </c>
      <c r="M149" s="143">
        <v>1026.67</v>
      </c>
      <c r="N149" s="143">
        <v>14990.839760000001</v>
      </c>
      <c r="O149" s="143">
        <v>14702.167270000002</v>
      </c>
      <c r="P149" s="150">
        <v>1026.67</v>
      </c>
      <c r="Q149" s="143">
        <v>1026.67</v>
      </c>
      <c r="R149" s="144">
        <v>1026.67</v>
      </c>
      <c r="S149" s="143">
        <f t="shared" si="43"/>
        <v>0</v>
      </c>
      <c r="T149" s="143">
        <f t="shared" si="44"/>
        <v>-13675.497270000002</v>
      </c>
      <c r="U149" s="151" t="e">
        <f>R149-#REF!</f>
        <v>#REF!</v>
      </c>
      <c r="V149" s="151">
        <f t="shared" si="45"/>
        <v>0</v>
      </c>
      <c r="W149" s="151">
        <f t="shared" si="46"/>
        <v>0</v>
      </c>
      <c r="X149" s="151" t="e">
        <f>O149-#REF!</f>
        <v>#REF!</v>
      </c>
      <c r="Y149" s="143">
        <f>'[65]2. подк.неподк.'!V137</f>
        <v>1083.1368500000001</v>
      </c>
      <c r="Z149" s="182">
        <f>'[65]2. подк.неподк.'!W137</f>
        <v>1131.87800825</v>
      </c>
      <c r="AA149" s="143">
        <f>'[65]2. подк.неподк.'!X137</f>
        <v>1131.87800825</v>
      </c>
      <c r="AB149" s="143">
        <f>Y149*$AA$11</f>
        <v>1123.0523485037577</v>
      </c>
      <c r="AC149" s="144">
        <f t="shared" si="47"/>
        <v>1123.0523485037577</v>
      </c>
      <c r="AD149" s="143">
        <f t="shared" si="48"/>
        <v>39.91549850375759</v>
      </c>
      <c r="AE149" s="143">
        <f t="shared" si="49"/>
        <v>3.6851759317169979</v>
      </c>
      <c r="AF149" s="143">
        <f t="shared" si="50"/>
        <v>-8.8256597462423088</v>
      </c>
      <c r="AG149" s="143">
        <f t="shared" si="51"/>
        <v>-0.77973595051004452</v>
      </c>
      <c r="AH149" s="143">
        <f t="shared" si="52"/>
        <v>-8.8256597462423088</v>
      </c>
      <c r="AI149" s="143">
        <f t="shared" si="53"/>
        <v>-0.77973595051004452</v>
      </c>
    </row>
    <row r="150" spans="1:35" s="191" customFormat="1" ht="33" customHeight="1" outlineLevel="2">
      <c r="A150" s="139" t="s">
        <v>751</v>
      </c>
      <c r="B150" s="143" t="s">
        <v>752</v>
      </c>
      <c r="C150" s="147" t="s">
        <v>753</v>
      </c>
      <c r="D150" s="148" t="s">
        <v>754</v>
      </c>
      <c r="E150" s="149" t="s">
        <v>755</v>
      </c>
      <c r="F150" s="143" t="s">
        <v>121</v>
      </c>
      <c r="G150" s="143">
        <v>1000</v>
      </c>
      <c r="H150" s="143">
        <v>3223.9004</v>
      </c>
      <c r="I150" s="143">
        <v>3223.9</v>
      </c>
      <c r="J150" s="143">
        <v>1097.2732999999998</v>
      </c>
      <c r="K150" s="143">
        <v>1922.0411999999999</v>
      </c>
      <c r="L150" s="143">
        <v>1922.04</v>
      </c>
      <c r="M150" s="143">
        <v>1026.67</v>
      </c>
      <c r="N150" s="143">
        <v>2546.91</v>
      </c>
      <c r="O150" s="143">
        <v>2542.8141299999997</v>
      </c>
      <c r="P150" s="150">
        <v>2542.8141299999997</v>
      </c>
      <c r="Q150" s="143">
        <v>2542.8141299999997</v>
      </c>
      <c r="R150" s="144">
        <v>2542.8141299999997</v>
      </c>
      <c r="S150" s="143">
        <f t="shared" si="43"/>
        <v>1516.1441299999997</v>
      </c>
      <c r="T150" s="143">
        <f t="shared" si="44"/>
        <v>0</v>
      </c>
      <c r="U150" s="151" t="e">
        <f>R150-#REF!</f>
        <v>#REF!</v>
      </c>
      <c r="V150" s="151">
        <f t="shared" si="45"/>
        <v>1516.1441299999997</v>
      </c>
      <c r="W150" s="151">
        <f t="shared" si="46"/>
        <v>0</v>
      </c>
      <c r="X150" s="151" t="e">
        <f>O150-#REF!</f>
        <v>#REF!</v>
      </c>
      <c r="Y150" s="143">
        <f>'[65]2. подк.неподк.'!V138</f>
        <v>1083.1368500000001</v>
      </c>
      <c r="Z150" s="182">
        <f>'[65]2. подк.неподк.'!W138</f>
        <v>1131.87800825</v>
      </c>
      <c r="AA150" s="143">
        <f>'[65]2. подк.неподк.'!X138</f>
        <v>1131.87800825</v>
      </c>
      <c r="AB150" s="143">
        <f>Y150*$AA$11</f>
        <v>1123.0523485037577</v>
      </c>
      <c r="AC150" s="144">
        <f t="shared" si="47"/>
        <v>1123.0523485037577</v>
      </c>
      <c r="AD150" s="143">
        <f t="shared" si="48"/>
        <v>39.91549850375759</v>
      </c>
      <c r="AE150" s="143">
        <f t="shared" si="49"/>
        <v>3.6851759317169979</v>
      </c>
      <c r="AF150" s="143">
        <f t="shared" si="50"/>
        <v>-8.8256597462423088</v>
      </c>
      <c r="AG150" s="143">
        <f t="shared" si="51"/>
        <v>-0.77973595051004452</v>
      </c>
      <c r="AH150" s="143">
        <f t="shared" si="52"/>
        <v>-8.8256597462423088</v>
      </c>
      <c r="AI150" s="143">
        <f t="shared" si="53"/>
        <v>-0.77973595051004452</v>
      </c>
    </row>
    <row r="151" spans="1:35" s="191" customFormat="1" ht="33" customHeight="1" outlineLevel="1">
      <c r="A151" s="192"/>
      <c r="B151" s="140" t="s">
        <v>756</v>
      </c>
      <c r="C151" s="193"/>
      <c r="D151" s="188" t="s">
        <v>757</v>
      </c>
      <c r="E151" s="188" t="s">
        <v>757</v>
      </c>
      <c r="F151" s="143" t="s">
        <v>121</v>
      </c>
      <c r="G151" s="173">
        <f t="shared" ref="G151:I151" si="83">G153+G160+G168+G172+G175+G180+G205</f>
        <v>170092.25239761703</v>
      </c>
      <c r="H151" s="173">
        <f t="shared" si="83"/>
        <v>210974.52321000001</v>
      </c>
      <c r="I151" s="173">
        <f t="shared" si="83"/>
        <v>182022.39</v>
      </c>
      <c r="J151" s="173">
        <f>J153+J160+J168+J172+J175+J180+J205</f>
        <v>173103.11822122496</v>
      </c>
      <c r="K151" s="173">
        <f t="shared" ref="K151:AB151" si="84">K153+K160+K168+K172+K175+K180+K205</f>
        <v>239337.42604999998</v>
      </c>
      <c r="L151" s="173">
        <f t="shared" si="84"/>
        <v>212439.44644999999</v>
      </c>
      <c r="M151" s="173">
        <f t="shared" si="84"/>
        <v>144208.10422230931</v>
      </c>
      <c r="N151" s="173">
        <f t="shared" si="84"/>
        <v>232514.72855</v>
      </c>
      <c r="O151" s="173">
        <f t="shared" si="84"/>
        <v>224140.40088999999</v>
      </c>
      <c r="P151" s="174">
        <f t="shared" si="84"/>
        <v>196063.13141999999</v>
      </c>
      <c r="Q151" s="173">
        <f t="shared" si="84"/>
        <v>199199.35916999998</v>
      </c>
      <c r="R151" s="144">
        <f t="shared" si="84"/>
        <v>189739.50462999998</v>
      </c>
      <c r="S151" s="173">
        <f t="shared" si="43"/>
        <v>45531.400407690671</v>
      </c>
      <c r="T151" s="173">
        <f t="shared" si="44"/>
        <v>-34400.896260000009</v>
      </c>
      <c r="U151" s="175" t="e">
        <f>R151-#REF!</f>
        <v>#REF!</v>
      </c>
      <c r="V151" s="175">
        <f t="shared" si="45"/>
        <v>45531.400407690671</v>
      </c>
      <c r="W151" s="175">
        <f t="shared" si="46"/>
        <v>3136.2277499999909</v>
      </c>
      <c r="X151" s="175" t="e">
        <f>O151-#REF!</f>
        <v>#REF!</v>
      </c>
      <c r="Y151" s="173">
        <f t="shared" si="84"/>
        <v>153952.99311707861</v>
      </c>
      <c r="Z151" s="170">
        <f t="shared" si="84"/>
        <v>160156.58938761588</v>
      </c>
      <c r="AA151" s="173">
        <f t="shared" si="84"/>
        <v>359935.99300388293</v>
      </c>
      <c r="AB151" s="173">
        <f t="shared" si="84"/>
        <v>159626.43176558713</v>
      </c>
      <c r="AC151" s="144">
        <f t="shared" si="47"/>
        <v>159626.43176558713</v>
      </c>
      <c r="AD151" s="173">
        <f t="shared" si="48"/>
        <v>5673.4386485085124</v>
      </c>
      <c r="AE151" s="173">
        <f t="shared" si="49"/>
        <v>3.6851759317169979</v>
      </c>
      <c r="AF151" s="173">
        <f t="shared" si="50"/>
        <v>-530.15762202875339</v>
      </c>
      <c r="AG151" s="173">
        <f t="shared" si="51"/>
        <v>-0.33102454545010573</v>
      </c>
      <c r="AH151" s="173">
        <f t="shared" si="52"/>
        <v>-200309.56123829581</v>
      </c>
      <c r="AI151" s="173">
        <f t="shared" si="53"/>
        <v>-55.651439459163761</v>
      </c>
    </row>
    <row r="152" spans="1:35" s="191" customFormat="1" ht="33" customHeight="1" outlineLevel="3">
      <c r="A152" s="139" t="s">
        <v>758</v>
      </c>
      <c r="B152" s="143" t="s">
        <v>759</v>
      </c>
      <c r="C152" s="147" t="s">
        <v>760</v>
      </c>
      <c r="D152" s="148" t="s">
        <v>761</v>
      </c>
      <c r="E152" s="149" t="s">
        <v>762</v>
      </c>
      <c r="F152" s="143" t="s">
        <v>121</v>
      </c>
      <c r="G152" s="143">
        <v>110.48130345897923</v>
      </c>
      <c r="H152" s="143">
        <v>26.01483</v>
      </c>
      <c r="I152" s="143">
        <v>26.01</v>
      </c>
      <c r="J152" s="143">
        <v>121.22818443473554</v>
      </c>
      <c r="K152" s="143">
        <v>22.835909999999998</v>
      </c>
      <c r="L152" s="143">
        <v>22.84</v>
      </c>
      <c r="M152" s="143">
        <v>22.259997114405309</v>
      </c>
      <c r="N152" s="143">
        <v>212.84136999999998</v>
      </c>
      <c r="O152" s="143">
        <v>12.065530000000001</v>
      </c>
      <c r="P152" s="150">
        <v>12.065530000000001</v>
      </c>
      <c r="Q152" s="143">
        <v>12.065530000000001</v>
      </c>
      <c r="R152" s="144">
        <v>12.065530000000001</v>
      </c>
      <c r="S152" s="143">
        <f t="shared" si="43"/>
        <v>-10.194467114405308</v>
      </c>
      <c r="T152" s="143">
        <f t="shared" si="44"/>
        <v>0</v>
      </c>
      <c r="U152" s="151" t="e">
        <f>R152-#REF!</f>
        <v>#REF!</v>
      </c>
      <c r="V152" s="151">
        <f t="shared" si="45"/>
        <v>-10.194467114405308</v>
      </c>
      <c r="W152" s="151">
        <f t="shared" si="46"/>
        <v>0</v>
      </c>
      <c r="X152" s="151" t="e">
        <f>O152-#REF!</f>
        <v>#REF!</v>
      </c>
      <c r="Y152" s="143">
        <f>'[65]2. подк.неподк.'!V140</f>
        <v>25.903414999999995</v>
      </c>
      <c r="Z152" s="182">
        <f>'[65]2. подк.неподк.'!W140</f>
        <v>27.069068674999993</v>
      </c>
      <c r="AA152" s="143">
        <f>'[65]2. подк.неподк.'!X140</f>
        <v>228.09</v>
      </c>
      <c r="AB152" s="143">
        <f>Y152*$AA$11</f>
        <v>26.858001415072767</v>
      </c>
      <c r="AC152" s="144">
        <f t="shared" si="47"/>
        <v>26.858001415072767</v>
      </c>
      <c r="AD152" s="143">
        <f t="shared" si="48"/>
        <v>0.95458641507277164</v>
      </c>
      <c r="AE152" s="143">
        <f t="shared" si="49"/>
        <v>3.6851759317169979</v>
      </c>
      <c r="AF152" s="143">
        <f t="shared" si="50"/>
        <v>-0.2110672599272263</v>
      </c>
      <c r="AG152" s="143">
        <f t="shared" si="51"/>
        <v>-0.77973595051004452</v>
      </c>
      <c r="AH152" s="143">
        <f t="shared" si="52"/>
        <v>-201.23199858492723</v>
      </c>
      <c r="AI152" s="143">
        <f t="shared" si="53"/>
        <v>-88.224822914168627</v>
      </c>
    </row>
    <row r="153" spans="1:35" s="161" customFormat="1" ht="33" customHeight="1" outlineLevel="2">
      <c r="A153" s="153"/>
      <c r="B153" s="154"/>
      <c r="C153" s="155"/>
      <c r="D153" s="394" t="s">
        <v>763</v>
      </c>
      <c r="E153" s="157"/>
      <c r="F153" s="158"/>
      <c r="G153" s="154">
        <f t="shared" ref="G153:I153" si="85">G152</f>
        <v>110.48130345897923</v>
      </c>
      <c r="H153" s="154">
        <f t="shared" si="85"/>
        <v>26.01483</v>
      </c>
      <c r="I153" s="154">
        <f t="shared" si="85"/>
        <v>26.01</v>
      </c>
      <c r="J153" s="154">
        <f>J152</f>
        <v>121.22818443473554</v>
      </c>
      <c r="K153" s="154">
        <f t="shared" ref="K153:AB153" si="86">K152</f>
        <v>22.835909999999998</v>
      </c>
      <c r="L153" s="154">
        <f t="shared" si="86"/>
        <v>22.84</v>
      </c>
      <c r="M153" s="154">
        <f t="shared" si="86"/>
        <v>22.259997114405309</v>
      </c>
      <c r="N153" s="154">
        <f t="shared" si="86"/>
        <v>212.84136999999998</v>
      </c>
      <c r="O153" s="154">
        <f t="shared" si="86"/>
        <v>12.065530000000001</v>
      </c>
      <c r="P153" s="159">
        <f t="shared" si="86"/>
        <v>12.065530000000001</v>
      </c>
      <c r="Q153" s="154">
        <f t="shared" si="86"/>
        <v>12.065530000000001</v>
      </c>
      <c r="R153" s="144">
        <f t="shared" si="86"/>
        <v>12.065530000000001</v>
      </c>
      <c r="S153" s="144">
        <f t="shared" si="43"/>
        <v>-10.194467114405308</v>
      </c>
      <c r="T153" s="144">
        <f t="shared" si="44"/>
        <v>0</v>
      </c>
      <c r="U153" s="160" t="e">
        <f>R153-#REF!</f>
        <v>#REF!</v>
      </c>
      <c r="V153" s="160">
        <f t="shared" si="45"/>
        <v>-10.194467114405308</v>
      </c>
      <c r="W153" s="160">
        <f t="shared" si="46"/>
        <v>0</v>
      </c>
      <c r="X153" s="160" t="e">
        <f>O153-#REF!</f>
        <v>#REF!</v>
      </c>
      <c r="Y153" s="154">
        <f t="shared" si="86"/>
        <v>25.903414999999995</v>
      </c>
      <c r="Z153" s="194">
        <f t="shared" si="86"/>
        <v>27.069068674999993</v>
      </c>
      <c r="AA153" s="154">
        <f t="shared" si="86"/>
        <v>228.09</v>
      </c>
      <c r="AB153" s="154">
        <f t="shared" si="86"/>
        <v>26.858001415072767</v>
      </c>
      <c r="AC153" s="144">
        <f t="shared" si="47"/>
        <v>26.858001415072767</v>
      </c>
      <c r="AD153" s="154">
        <f t="shared" si="48"/>
        <v>0.95458641507277164</v>
      </c>
      <c r="AE153" s="154">
        <f t="shared" si="49"/>
        <v>3.6851759317169979</v>
      </c>
      <c r="AF153" s="154">
        <f t="shared" si="50"/>
        <v>-0.2110672599272263</v>
      </c>
      <c r="AG153" s="154">
        <f t="shared" si="51"/>
        <v>-0.77973595051004452</v>
      </c>
      <c r="AH153" s="154">
        <f t="shared" si="52"/>
        <v>-201.23199858492723</v>
      </c>
      <c r="AI153" s="154">
        <f t="shared" si="53"/>
        <v>-88.224822914168627</v>
      </c>
    </row>
    <row r="154" spans="1:35" ht="33" customHeight="1" outlineLevel="2">
      <c r="A154" s="139" t="s">
        <v>764</v>
      </c>
      <c r="B154" s="195" t="s">
        <v>765</v>
      </c>
      <c r="C154" s="147" t="s">
        <v>766</v>
      </c>
      <c r="D154" s="148" t="s">
        <v>767</v>
      </c>
      <c r="E154" s="196" t="s">
        <v>768</v>
      </c>
      <c r="F154" s="143" t="s">
        <v>121</v>
      </c>
      <c r="G154" s="143">
        <v>56740</v>
      </c>
      <c r="H154" s="143">
        <v>65998.707809999993</v>
      </c>
      <c r="I154" s="143">
        <v>65998.710000000006</v>
      </c>
      <c r="J154" s="143">
        <v>60087.66</v>
      </c>
      <c r="K154" s="143">
        <v>57393.816449999998</v>
      </c>
      <c r="L154" s="143">
        <v>57393.816449999998</v>
      </c>
      <c r="M154" s="143">
        <v>53221.34</v>
      </c>
      <c r="N154" s="143">
        <v>59393.999179999999</v>
      </c>
      <c r="O154" s="143">
        <v>59393.999179999999</v>
      </c>
      <c r="P154" s="150">
        <v>59393.999179999999</v>
      </c>
      <c r="Q154" s="143">
        <v>59393.999179999999</v>
      </c>
      <c r="R154" s="144">
        <v>59393.999179999999</v>
      </c>
      <c r="S154" s="143">
        <f t="shared" si="43"/>
        <v>6172.6591800000024</v>
      </c>
      <c r="T154" s="143">
        <f t="shared" si="44"/>
        <v>0</v>
      </c>
      <c r="U154" s="151" t="e">
        <f>R154-#REF!</f>
        <v>#REF!</v>
      </c>
      <c r="V154" s="151">
        <f t="shared" si="45"/>
        <v>6172.6591800000024</v>
      </c>
      <c r="W154" s="151">
        <f t="shared" si="46"/>
        <v>0</v>
      </c>
      <c r="X154" s="151" t="e">
        <f>O154-#REF!</f>
        <v>#REF!</v>
      </c>
      <c r="Y154" s="143">
        <f>'[65]2. подк.неподк.'!V142</f>
        <v>65091.762081356239</v>
      </c>
      <c r="Z154" s="182">
        <f>'[65]2. подк.неподк.'!W142</f>
        <v>68020.891375017265</v>
      </c>
      <c r="AA154" s="143">
        <f>'[65]2. подк.неподк.'!X142</f>
        <v>68020.891375017265</v>
      </c>
      <c r="AB154" s="143">
        <f t="shared" ref="AB154:AB159" si="87">Y154*$AA$11</f>
        <v>67490.508031108868</v>
      </c>
      <c r="AC154" s="144">
        <f t="shared" si="47"/>
        <v>67490.508031108868</v>
      </c>
      <c r="AD154" s="143">
        <f t="shared" si="48"/>
        <v>2398.7459497526288</v>
      </c>
      <c r="AE154" s="143">
        <f t="shared" si="49"/>
        <v>3.6851759317169979</v>
      </c>
      <c r="AF154" s="143">
        <f t="shared" si="50"/>
        <v>-530.38334390839736</v>
      </c>
      <c r="AG154" s="143">
        <f t="shared" si="51"/>
        <v>-0.77973595051005873</v>
      </c>
      <c r="AH154" s="143">
        <f t="shared" si="52"/>
        <v>-530.38334390839736</v>
      </c>
      <c r="AI154" s="143">
        <f t="shared" si="53"/>
        <v>-0.77973595051005873</v>
      </c>
    </row>
    <row r="155" spans="1:35" s="191" customFormat="1" ht="33" customHeight="1" outlineLevel="3">
      <c r="A155" s="139" t="s">
        <v>769</v>
      </c>
      <c r="B155" s="143" t="s">
        <v>770</v>
      </c>
      <c r="C155" s="147" t="s">
        <v>771</v>
      </c>
      <c r="D155" s="148" t="s">
        <v>772</v>
      </c>
      <c r="E155" s="149" t="s">
        <v>773</v>
      </c>
      <c r="F155" s="143" t="s">
        <v>121</v>
      </c>
      <c r="G155" s="143">
        <v>2558.2797852317235</v>
      </c>
      <c r="H155" s="143">
        <v>1416.8088299999999</v>
      </c>
      <c r="I155" s="143">
        <v>1416.81</v>
      </c>
      <c r="J155" s="143">
        <v>2807.1321022645043</v>
      </c>
      <c r="K155" s="143">
        <v>1654.7882300000001</v>
      </c>
      <c r="L155" s="143">
        <v>1654.79</v>
      </c>
      <c r="M155" s="143">
        <v>1163.7881929595367</v>
      </c>
      <c r="N155" s="143">
        <v>1194.3363200000001</v>
      </c>
      <c r="O155" s="143">
        <v>1194.3363200000001</v>
      </c>
      <c r="P155" s="150">
        <v>1194.3363200000001</v>
      </c>
      <c r="Q155" s="143">
        <v>1194.3363200000001</v>
      </c>
      <c r="R155" s="144">
        <v>1194.3363200000001</v>
      </c>
      <c r="S155" s="143">
        <f t="shared" si="43"/>
        <v>30.548127040463442</v>
      </c>
      <c r="T155" s="143">
        <f t="shared" si="44"/>
        <v>0</v>
      </c>
      <c r="U155" s="151" t="e">
        <f>R155-#REF!</f>
        <v>#REF!</v>
      </c>
      <c r="V155" s="151">
        <f t="shared" si="45"/>
        <v>30.548127040463442</v>
      </c>
      <c r="W155" s="151">
        <f t="shared" si="46"/>
        <v>0</v>
      </c>
      <c r="X155" s="151" t="e">
        <f>O155-#REF!</f>
        <v>#REF!</v>
      </c>
      <c r="Y155" s="143">
        <f>'[65]2. подк.неподк.'!V143</f>
        <v>1876.7387087499999</v>
      </c>
      <c r="Z155" s="182">
        <f>'[65]2. подк.неподк.'!W143</f>
        <v>1961.1919506437498</v>
      </c>
      <c r="AA155" s="143">
        <f>'[65]2. подк.неподк.'!X143</f>
        <v>1961.1919506437498</v>
      </c>
      <c r="AB155" s="143">
        <f t="shared" si="87"/>
        <v>1945.8998319460713</v>
      </c>
      <c r="AC155" s="144">
        <f t="shared" si="47"/>
        <v>1945.8998319460713</v>
      </c>
      <c r="AD155" s="143">
        <f t="shared" si="48"/>
        <v>69.161123196071458</v>
      </c>
      <c r="AE155" s="143">
        <f t="shared" si="49"/>
        <v>3.6851759317169979</v>
      </c>
      <c r="AF155" s="143">
        <f t="shared" si="50"/>
        <v>-15.292118697678461</v>
      </c>
      <c r="AG155" s="143">
        <f t="shared" si="51"/>
        <v>-0.77973595051004452</v>
      </c>
      <c r="AH155" s="143">
        <f t="shared" si="52"/>
        <v>-15.292118697678461</v>
      </c>
      <c r="AI155" s="143">
        <f t="shared" si="53"/>
        <v>-0.77973595051004452</v>
      </c>
    </row>
    <row r="156" spans="1:35" s="191" customFormat="1" ht="33" customHeight="1" outlineLevel="3">
      <c r="A156" s="139" t="s">
        <v>774</v>
      </c>
      <c r="B156" s="143" t="s">
        <v>775</v>
      </c>
      <c r="C156" s="147" t="s">
        <v>776</v>
      </c>
      <c r="D156" s="148" t="s">
        <v>777</v>
      </c>
      <c r="E156" s="149" t="s">
        <v>778</v>
      </c>
      <c r="F156" s="143" t="s">
        <v>121</v>
      </c>
      <c r="G156" s="143">
        <v>2213.0019309442214</v>
      </c>
      <c r="H156" s="143">
        <v>137.898</v>
      </c>
      <c r="I156" s="143">
        <v>137.9</v>
      </c>
      <c r="J156" s="143">
        <v>2428.2679316735375</v>
      </c>
      <c r="K156" s="143">
        <v>636.66592000000003</v>
      </c>
      <c r="L156" s="143">
        <v>636.66999999999996</v>
      </c>
      <c r="M156" s="143">
        <v>386.40722699634108</v>
      </c>
      <c r="N156" s="143">
        <v>2041.4435100000001</v>
      </c>
      <c r="O156" s="143">
        <v>2041.4435100000001</v>
      </c>
      <c r="P156" s="150">
        <v>2041.4435100000001</v>
      </c>
      <c r="Q156" s="143">
        <v>2041.4435100000001</v>
      </c>
      <c r="R156" s="144">
        <v>2041.4435100000001</v>
      </c>
      <c r="S156" s="143">
        <f t="shared" si="43"/>
        <v>1655.036283003659</v>
      </c>
      <c r="T156" s="143">
        <f t="shared" si="44"/>
        <v>0</v>
      </c>
      <c r="U156" s="151" t="e">
        <f>R156-#REF!</f>
        <v>#REF!</v>
      </c>
      <c r="V156" s="151">
        <f t="shared" si="45"/>
        <v>1655.036283003659</v>
      </c>
      <c r="W156" s="151">
        <f t="shared" si="46"/>
        <v>0</v>
      </c>
      <c r="X156" s="151" t="e">
        <f>O156-#REF!</f>
        <v>#REF!</v>
      </c>
      <c r="Y156" s="143">
        <f>'[65]2. подк.неподк.'!V144</f>
        <v>722.06336374999989</v>
      </c>
      <c r="Z156" s="182">
        <f>'[65]2. подк.неподк.'!W144</f>
        <v>754.55621511874983</v>
      </c>
      <c r="AA156" s="143">
        <f>'[65]2. подк.неподк.'!X144</f>
        <v>2253.75</v>
      </c>
      <c r="AB156" s="143">
        <f t="shared" si="87"/>
        <v>748.67266904266103</v>
      </c>
      <c r="AC156" s="144">
        <f t="shared" si="47"/>
        <v>748.67266904266103</v>
      </c>
      <c r="AD156" s="143">
        <f t="shared" si="48"/>
        <v>26.609305292661134</v>
      </c>
      <c r="AE156" s="143">
        <f t="shared" si="49"/>
        <v>3.6851759317169979</v>
      </c>
      <c r="AF156" s="143">
        <f t="shared" si="50"/>
        <v>-5.8835460760888054</v>
      </c>
      <c r="AG156" s="143">
        <f t="shared" si="51"/>
        <v>-0.77973595051004452</v>
      </c>
      <c r="AH156" s="143">
        <f t="shared" si="52"/>
        <v>-1505.077330957339</v>
      </c>
      <c r="AI156" s="143">
        <f t="shared" si="53"/>
        <v>-66.781024113470394</v>
      </c>
    </row>
    <row r="157" spans="1:35" s="191" customFormat="1" ht="60.75" customHeight="1" outlineLevel="3">
      <c r="A157" s="139" t="s">
        <v>779</v>
      </c>
      <c r="B157" s="143" t="s">
        <v>780</v>
      </c>
      <c r="C157" s="147" t="s">
        <v>781</v>
      </c>
      <c r="D157" s="148" t="s">
        <v>782</v>
      </c>
      <c r="E157" s="149" t="s">
        <v>783</v>
      </c>
      <c r="F157" s="143" t="s">
        <v>121</v>
      </c>
      <c r="G157" s="143">
        <v>179.99546530395713</v>
      </c>
      <c r="H157" s="143">
        <v>156.22664</v>
      </c>
      <c r="I157" s="143">
        <v>156.22999999999999</v>
      </c>
      <c r="J157" s="143">
        <v>197.50421819910852</v>
      </c>
      <c r="K157" s="143">
        <v>249.09163000000001</v>
      </c>
      <c r="L157" s="143">
        <v>249.09</v>
      </c>
      <c r="M157" s="143">
        <v>130.04119330612386</v>
      </c>
      <c r="N157" s="143">
        <v>1531.6050699999998</v>
      </c>
      <c r="O157" s="143">
        <v>1536.6446099999998</v>
      </c>
      <c r="P157" s="150">
        <v>1536.6446099999998</v>
      </c>
      <c r="Q157" s="143">
        <v>1536.6446099999998</v>
      </c>
      <c r="R157" s="144">
        <v>1536.6446099999998</v>
      </c>
      <c r="S157" s="143">
        <f t="shared" si="43"/>
        <v>1406.6034166938759</v>
      </c>
      <c r="T157" s="143">
        <f t="shared" si="44"/>
        <v>0</v>
      </c>
      <c r="U157" s="151" t="e">
        <f>R157-#REF!</f>
        <v>#REF!</v>
      </c>
      <c r="V157" s="151">
        <f t="shared" si="45"/>
        <v>1406.6034166938759</v>
      </c>
      <c r="W157" s="151">
        <f t="shared" si="46"/>
        <v>0</v>
      </c>
      <c r="X157" s="151" t="e">
        <f>O157-#REF!</f>
        <v>#REF!</v>
      </c>
      <c r="Y157" s="143">
        <f>'[65]2. подк.неподк.'!V145</f>
        <v>137.19345893796066</v>
      </c>
      <c r="Z157" s="182">
        <f>'[65]2. подк.неподк.'!W145</f>
        <v>143.36716459016887</v>
      </c>
      <c r="AA157" s="143">
        <f>'[65]2. подк.неподк.'!X145</f>
        <v>2475.7419199999999</v>
      </c>
      <c r="AB157" s="143">
        <f t="shared" si="87"/>
        <v>142.24927926663241</v>
      </c>
      <c r="AC157" s="144">
        <f t="shared" si="47"/>
        <v>142.24927926663241</v>
      </c>
      <c r="AD157" s="143">
        <f t="shared" si="48"/>
        <v>5.0558203286717571</v>
      </c>
      <c r="AE157" s="143">
        <f t="shared" si="49"/>
        <v>3.6851759317169979</v>
      </c>
      <c r="AF157" s="143">
        <f t="shared" si="50"/>
        <v>-1.1178853235364556</v>
      </c>
      <c r="AG157" s="143">
        <f t="shared" si="51"/>
        <v>-0.77973595051004452</v>
      </c>
      <c r="AH157" s="143">
        <f t="shared" si="52"/>
        <v>-2333.4926407333674</v>
      </c>
      <c r="AI157" s="143">
        <f t="shared" si="53"/>
        <v>-94.254276743569761</v>
      </c>
    </row>
    <row r="158" spans="1:35" s="191" customFormat="1" ht="33" customHeight="1" outlineLevel="3">
      <c r="A158" s="139" t="s">
        <v>784</v>
      </c>
      <c r="B158" s="143" t="s">
        <v>785</v>
      </c>
      <c r="C158" s="147" t="s">
        <v>786</v>
      </c>
      <c r="D158" s="148" t="s">
        <v>787</v>
      </c>
      <c r="E158" s="149" t="s">
        <v>788</v>
      </c>
      <c r="F158" s="143" t="s">
        <v>121</v>
      </c>
      <c r="G158" s="143">
        <v>3834.7525931516702</v>
      </c>
      <c r="H158" s="143">
        <v>830.32815000000005</v>
      </c>
      <c r="I158" s="143">
        <v>830.33</v>
      </c>
      <c r="J158" s="143">
        <v>4207.7716325710899</v>
      </c>
      <c r="K158" s="143">
        <v>888.25318000000004</v>
      </c>
      <c r="L158" s="143">
        <v>888.25</v>
      </c>
      <c r="M158" s="143">
        <v>596.31605069544014</v>
      </c>
      <c r="N158" s="143">
        <v>743.52427999999998</v>
      </c>
      <c r="O158" s="143">
        <v>743.52427999999998</v>
      </c>
      <c r="P158" s="150">
        <v>743.52427999999998</v>
      </c>
      <c r="Q158" s="143">
        <v>743.52427999999998</v>
      </c>
      <c r="R158" s="144">
        <v>743.52427999999998</v>
      </c>
      <c r="S158" s="143">
        <f t="shared" ref="S158:S221" si="88">R158-M158</f>
        <v>147.20822930455984</v>
      </c>
      <c r="T158" s="143">
        <f t="shared" ref="T158:T221" si="89">R158-O158</f>
        <v>0</v>
      </c>
      <c r="U158" s="151" t="e">
        <f>R158-#REF!</f>
        <v>#REF!</v>
      </c>
      <c r="V158" s="151">
        <f t="shared" ref="V158:V221" si="90">R158-M158</f>
        <v>147.20822930455984</v>
      </c>
      <c r="W158" s="151">
        <f t="shared" ref="W158:W221" si="91">Q158-P158</f>
        <v>0</v>
      </c>
      <c r="X158" s="151" t="e">
        <f>O158-#REF!</f>
        <v>#REF!</v>
      </c>
      <c r="Y158" s="143">
        <f>'[65]2. подк.неподк.'!V146</f>
        <v>1007.38653125</v>
      </c>
      <c r="Z158" s="182">
        <f>'[65]2. подк.неподк.'!W146</f>
        <v>1052.71892515625</v>
      </c>
      <c r="AA158" s="143">
        <f>'[65]2. подк.неподк.'!X146</f>
        <v>1506.84509267712</v>
      </c>
      <c r="AB158" s="143">
        <f t="shared" si="87"/>
        <v>1044.5104972389838</v>
      </c>
      <c r="AC158" s="144">
        <f t="shared" ref="AC158:AC221" si="92">AB158</f>
        <v>1044.5104972389838</v>
      </c>
      <c r="AD158" s="143">
        <f t="shared" ref="AD158:AD221" si="93">AB158-Y158</f>
        <v>37.123965988983855</v>
      </c>
      <c r="AE158" s="143">
        <f t="shared" ref="AE158:AE220" si="94">AB158/Y158*100-100</f>
        <v>3.6851759317169979</v>
      </c>
      <c r="AF158" s="143">
        <f t="shared" ref="AF158:AF221" si="95">AB158-Z158</f>
        <v>-8.2084279172661354</v>
      </c>
      <c r="AG158" s="143">
        <f t="shared" ref="AG158:AG220" si="96">AB158/Z158*100-100</f>
        <v>-0.77973595051004452</v>
      </c>
      <c r="AH158" s="143">
        <f t="shared" ref="AH158:AH221" si="97">AB158-AA158</f>
        <v>-462.33459543813615</v>
      </c>
      <c r="AI158" s="143">
        <f t="shared" ref="AI158:AI221" si="98">AB158/AA158*100-100</f>
        <v>-30.682290945828711</v>
      </c>
    </row>
    <row r="159" spans="1:35" s="191" customFormat="1" ht="45.75" customHeight="1" outlineLevel="3">
      <c r="A159" s="139" t="s">
        <v>789</v>
      </c>
      <c r="B159" s="143" t="s">
        <v>790</v>
      </c>
      <c r="C159" s="147" t="s">
        <v>791</v>
      </c>
      <c r="D159" s="148" t="s">
        <v>792</v>
      </c>
      <c r="E159" s="149" t="s">
        <v>793</v>
      </c>
      <c r="F159" s="143" t="s">
        <v>121</v>
      </c>
      <c r="G159" s="143">
        <v>2367.8654999999999</v>
      </c>
      <c r="H159" s="143">
        <v>7759.1671800000004</v>
      </c>
      <c r="I159" s="143">
        <v>286.99</v>
      </c>
      <c r="J159" s="143">
        <v>2598.1955911411496</v>
      </c>
      <c r="K159" s="143">
        <v>8871.5099599999994</v>
      </c>
      <c r="L159" s="143">
        <v>8871.51</v>
      </c>
      <c r="M159" s="143">
        <v>2743.4435200393291</v>
      </c>
      <c r="N159" s="143">
        <v>5576.23837</v>
      </c>
      <c r="O159" s="143">
        <v>5575.8762699999997</v>
      </c>
      <c r="P159" s="150">
        <v>5575.8762699999997</v>
      </c>
      <c r="Q159" s="143">
        <v>5575.8762699999997</v>
      </c>
      <c r="R159" s="144">
        <v>5575.8762699999997</v>
      </c>
      <c r="S159" s="143">
        <f t="shared" si="88"/>
        <v>2832.4327499606707</v>
      </c>
      <c r="T159" s="143">
        <f t="shared" si="89"/>
        <v>0</v>
      </c>
      <c r="U159" s="151" t="e">
        <f>R159-#REF!</f>
        <v>#REF!</v>
      </c>
      <c r="V159" s="151">
        <f t="shared" si="90"/>
        <v>2832.4327499606707</v>
      </c>
      <c r="W159" s="151">
        <f t="shared" si="91"/>
        <v>0</v>
      </c>
      <c r="X159" s="151" t="e">
        <f>O159-#REF!</f>
        <v>#REF!</v>
      </c>
      <c r="Y159" s="143">
        <f>'[65]2. подк.неподк.'!V147</f>
        <v>2894.3329136414918</v>
      </c>
      <c r="Z159" s="182">
        <f>'[65]2. подк.неподк.'!W147</f>
        <v>3024.5778947553586</v>
      </c>
      <c r="AA159" s="143">
        <f>'[65]2. подк.неподк.'!X147</f>
        <v>3024.5778947553586</v>
      </c>
      <c r="AB159" s="143">
        <f t="shared" si="87"/>
        <v>3000.9941735587713</v>
      </c>
      <c r="AC159" s="144">
        <f t="shared" si="92"/>
        <v>3000.9941735587713</v>
      </c>
      <c r="AD159" s="143">
        <f t="shared" si="93"/>
        <v>106.66125991727949</v>
      </c>
      <c r="AE159" s="143">
        <f t="shared" si="94"/>
        <v>3.6851759317169979</v>
      </c>
      <c r="AF159" s="143">
        <f t="shared" si="95"/>
        <v>-23.583721196587248</v>
      </c>
      <c r="AG159" s="143">
        <f t="shared" si="96"/>
        <v>-0.77973595051004452</v>
      </c>
      <c r="AH159" s="143">
        <f t="shared" si="97"/>
        <v>-23.583721196587248</v>
      </c>
      <c r="AI159" s="143">
        <f t="shared" si="98"/>
        <v>-0.77973595051004452</v>
      </c>
    </row>
    <row r="160" spans="1:35" s="161" customFormat="1" ht="33" customHeight="1" outlineLevel="2">
      <c r="A160" s="153"/>
      <c r="B160" s="154"/>
      <c r="C160" s="155"/>
      <c r="D160" s="394" t="s">
        <v>794</v>
      </c>
      <c r="E160" s="157"/>
      <c r="F160" s="158"/>
      <c r="G160" s="154">
        <f t="shared" ref="G160:I160" si="99">G154+G155+G156+G157+G158+G159</f>
        <v>67893.895274631577</v>
      </c>
      <c r="H160" s="154">
        <f t="shared" si="99"/>
        <v>76299.136609999987</v>
      </c>
      <c r="I160" s="154">
        <f t="shared" si="99"/>
        <v>68826.97</v>
      </c>
      <c r="J160" s="154">
        <f>J154+J155+J156+J157+J158+J159</f>
        <v>72326.531475849391</v>
      </c>
      <c r="K160" s="154">
        <f t="shared" ref="K160:AB160" si="100">K154+K155+K156+K157+K158+K159</f>
        <v>69694.125369999994</v>
      </c>
      <c r="L160" s="154">
        <f t="shared" si="100"/>
        <v>69694.126449999996</v>
      </c>
      <c r="M160" s="154">
        <f t="shared" si="100"/>
        <v>58241.336183996769</v>
      </c>
      <c r="N160" s="154">
        <f t="shared" si="100"/>
        <v>70481.146729999993</v>
      </c>
      <c r="O160" s="154">
        <f t="shared" si="100"/>
        <v>70485.824169999993</v>
      </c>
      <c r="P160" s="159">
        <f t="shared" si="100"/>
        <v>70485.824169999993</v>
      </c>
      <c r="Q160" s="154">
        <f t="shared" si="100"/>
        <v>70485.824169999993</v>
      </c>
      <c r="R160" s="144">
        <f t="shared" si="100"/>
        <v>70485.824169999993</v>
      </c>
      <c r="S160" s="144">
        <f t="shared" si="88"/>
        <v>12244.487986003223</v>
      </c>
      <c r="T160" s="144">
        <f t="shared" si="89"/>
        <v>0</v>
      </c>
      <c r="U160" s="160" t="e">
        <f>R160-#REF!</f>
        <v>#REF!</v>
      </c>
      <c r="V160" s="160">
        <f t="shared" si="90"/>
        <v>12244.487986003223</v>
      </c>
      <c r="W160" s="160">
        <f t="shared" si="91"/>
        <v>0</v>
      </c>
      <c r="X160" s="160" t="e">
        <f>O160-#REF!</f>
        <v>#REF!</v>
      </c>
      <c r="Y160" s="154">
        <f t="shared" si="100"/>
        <v>71729.477057685697</v>
      </c>
      <c r="Z160" s="194">
        <f t="shared" si="100"/>
        <v>74957.303525281546</v>
      </c>
      <c r="AA160" s="154">
        <f t="shared" si="100"/>
        <v>79242.998233093502</v>
      </c>
      <c r="AB160" s="154">
        <f t="shared" si="100"/>
        <v>74372.834482161983</v>
      </c>
      <c r="AC160" s="144">
        <f t="shared" si="92"/>
        <v>74372.834482161983</v>
      </c>
      <c r="AD160" s="154">
        <f t="shared" si="93"/>
        <v>2643.3574244762858</v>
      </c>
      <c r="AE160" s="154">
        <f t="shared" si="94"/>
        <v>3.6851759317169837</v>
      </c>
      <c r="AF160" s="154">
        <f t="shared" si="95"/>
        <v>-584.46904311956314</v>
      </c>
      <c r="AG160" s="154">
        <f t="shared" si="96"/>
        <v>-0.77973595051005873</v>
      </c>
      <c r="AH160" s="154">
        <f t="shared" si="97"/>
        <v>-4870.1637509315187</v>
      </c>
      <c r="AI160" s="154">
        <f t="shared" si="98"/>
        <v>-6.1458600248894157</v>
      </c>
    </row>
    <row r="161" spans="1:35" ht="33" customHeight="1" outlineLevel="2">
      <c r="A161" s="139" t="s">
        <v>795</v>
      </c>
      <c r="B161" s="143" t="s">
        <v>796</v>
      </c>
      <c r="C161" s="147" t="s">
        <v>797</v>
      </c>
      <c r="D161" s="189" t="s">
        <v>798</v>
      </c>
      <c r="E161" s="149" t="s">
        <v>799</v>
      </c>
      <c r="F161" s="143" t="s">
        <v>121</v>
      </c>
      <c r="G161" s="143">
        <v>1767.0782999999999</v>
      </c>
      <c r="H161" s="143">
        <v>671.53351999999995</v>
      </c>
      <c r="I161" s="143">
        <v>671.53</v>
      </c>
      <c r="J161" s="143">
        <v>1938.9678906117388</v>
      </c>
      <c r="K161" s="143">
        <v>1642.18453</v>
      </c>
      <c r="L161" s="143">
        <v>1642.18</v>
      </c>
      <c r="M161" s="143">
        <v>1379.4533452768301</v>
      </c>
      <c r="N161" s="143">
        <v>1312.2210399999999</v>
      </c>
      <c r="O161" s="143">
        <v>1233.7467099999999</v>
      </c>
      <c r="P161" s="150">
        <v>1233.7467099999999</v>
      </c>
      <c r="Q161" s="143">
        <v>1233.7467099999999</v>
      </c>
      <c r="R161" s="144">
        <v>1233.7467099999999</v>
      </c>
      <c r="S161" s="143">
        <f t="shared" si="88"/>
        <v>-145.70663527683018</v>
      </c>
      <c r="T161" s="143">
        <f t="shared" si="89"/>
        <v>0</v>
      </c>
      <c r="U161" s="151" t="e">
        <f>R161-#REF!</f>
        <v>#REF!</v>
      </c>
      <c r="V161" s="151">
        <f t="shared" si="90"/>
        <v>-145.70663527683018</v>
      </c>
      <c r="W161" s="151">
        <f t="shared" si="91"/>
        <v>0</v>
      </c>
      <c r="X161" s="151" t="e">
        <f>O161-#REF!</f>
        <v>#REF!</v>
      </c>
      <c r="Y161" s="143">
        <f>'[65]2. подк.неподк.'!V149</f>
        <v>1635.16</v>
      </c>
      <c r="Z161" s="182">
        <f>'[65]2. подк.неподк.'!W149</f>
        <v>1708.7394751625</v>
      </c>
      <c r="AA161" s="143">
        <f>'[65]2. подк.неподк.'!X149</f>
        <v>1708.7394751625</v>
      </c>
      <c r="AB161" s="143">
        <f t="shared" ref="AB161:AB167" si="101">Y161*$AA$11</f>
        <v>1695.4185227650637</v>
      </c>
      <c r="AC161" s="144">
        <f t="shared" si="92"/>
        <v>1695.4185227650637</v>
      </c>
      <c r="AD161" s="143">
        <f t="shared" si="93"/>
        <v>60.258522765063617</v>
      </c>
      <c r="AE161" s="143">
        <f t="shared" si="94"/>
        <v>3.6851759317169979</v>
      </c>
      <c r="AF161" s="143">
        <f t="shared" si="95"/>
        <v>-13.320952397436258</v>
      </c>
      <c r="AG161" s="143">
        <f t="shared" si="96"/>
        <v>-0.77957772914267309</v>
      </c>
      <c r="AH161" s="143">
        <f t="shared" si="97"/>
        <v>-13.320952397436258</v>
      </c>
      <c r="AI161" s="143">
        <f t="shared" si="98"/>
        <v>-0.77957772914267309</v>
      </c>
    </row>
    <row r="162" spans="1:35" s="191" customFormat="1" ht="45" customHeight="1" outlineLevel="3">
      <c r="A162" s="139" t="s">
        <v>800</v>
      </c>
      <c r="B162" s="143" t="s">
        <v>801</v>
      </c>
      <c r="C162" s="147" t="s">
        <v>802</v>
      </c>
      <c r="D162" s="148" t="s">
        <v>803</v>
      </c>
      <c r="E162" s="149" t="s">
        <v>804</v>
      </c>
      <c r="F162" s="143" t="s">
        <v>121</v>
      </c>
      <c r="G162" s="143">
        <v>3067.3815264740233</v>
      </c>
      <c r="H162" s="143">
        <v>655.99670000000003</v>
      </c>
      <c r="I162" s="143">
        <v>656</v>
      </c>
      <c r="J162" s="143">
        <v>3365.7558499131887</v>
      </c>
      <c r="K162" s="143">
        <v>468.33449999999999</v>
      </c>
      <c r="L162" s="143">
        <v>468.33</v>
      </c>
      <c r="M162" s="143">
        <v>471.11658374251351</v>
      </c>
      <c r="N162" s="143">
        <v>369.91176000000002</v>
      </c>
      <c r="O162" s="143">
        <v>368.57926000000003</v>
      </c>
      <c r="P162" s="150">
        <v>368.57926000000003</v>
      </c>
      <c r="Q162" s="143">
        <v>368.57926000000003</v>
      </c>
      <c r="R162" s="144">
        <v>368.57926000000003</v>
      </c>
      <c r="S162" s="143">
        <f t="shared" si="88"/>
        <v>-102.53732374251348</v>
      </c>
      <c r="T162" s="143">
        <f t="shared" si="89"/>
        <v>0</v>
      </c>
      <c r="U162" s="151" t="e">
        <f>R162-#REF!</f>
        <v>#REF!</v>
      </c>
      <c r="V162" s="151">
        <f t="shared" si="90"/>
        <v>-102.53732374251348</v>
      </c>
      <c r="W162" s="151">
        <f t="shared" si="91"/>
        <v>0</v>
      </c>
      <c r="X162" s="151" t="e">
        <f>O162-#REF!</f>
        <v>#REF!</v>
      </c>
      <c r="Y162" s="143">
        <f>'[65]2. подк.неподк.'!V150</f>
        <v>531.14476124999999</v>
      </c>
      <c r="Z162" s="182">
        <f>'[65]2. подк.неподк.'!W150</f>
        <v>555.04627550624991</v>
      </c>
      <c r="AA162" s="143">
        <f>'[65]2. подк.неподк.'!X150</f>
        <v>2354.6471200000005</v>
      </c>
      <c r="AB162" s="143">
        <f t="shared" si="101"/>
        <v>550.71838015416074</v>
      </c>
      <c r="AC162" s="144">
        <f t="shared" si="92"/>
        <v>550.71838015416074</v>
      </c>
      <c r="AD162" s="143">
        <f t="shared" si="93"/>
        <v>19.573618904160753</v>
      </c>
      <c r="AE162" s="143">
        <f t="shared" si="94"/>
        <v>3.6851759317169979</v>
      </c>
      <c r="AF162" s="143">
        <f t="shared" si="95"/>
        <v>-4.3278953520891719</v>
      </c>
      <c r="AG162" s="143">
        <f t="shared" si="96"/>
        <v>-0.77973595051003031</v>
      </c>
      <c r="AH162" s="143">
        <f t="shared" si="97"/>
        <v>-1803.9287398458398</v>
      </c>
      <c r="AI162" s="143">
        <f t="shared" si="98"/>
        <v>-76.611426167579594</v>
      </c>
    </row>
    <row r="163" spans="1:35" s="191" customFormat="1" ht="33" customHeight="1" outlineLevel="3">
      <c r="A163" s="139" t="s">
        <v>805</v>
      </c>
      <c r="B163" s="143" t="s">
        <v>806</v>
      </c>
      <c r="C163" s="147" t="s">
        <v>807</v>
      </c>
      <c r="D163" s="148" t="s">
        <v>808</v>
      </c>
      <c r="E163" s="149" t="s">
        <v>809</v>
      </c>
      <c r="F163" s="143" t="s">
        <v>121</v>
      </c>
      <c r="G163" s="143">
        <v>4573.5094867774133</v>
      </c>
      <c r="H163" s="143">
        <v>24.455179999999999</v>
      </c>
      <c r="I163" s="143">
        <v>24.26</v>
      </c>
      <c r="J163" s="143">
        <v>5018.3898471375578</v>
      </c>
      <c r="K163" s="143">
        <v>492.83987000000002</v>
      </c>
      <c r="L163" s="143">
        <v>492.84</v>
      </c>
      <c r="M163" s="143">
        <v>284.51864687391844</v>
      </c>
      <c r="N163" s="143">
        <v>651.93511999999998</v>
      </c>
      <c r="O163" s="143">
        <v>652.2269399999999</v>
      </c>
      <c r="P163" s="150">
        <v>652.2269399999999</v>
      </c>
      <c r="Q163" s="143">
        <v>652.2269399999999</v>
      </c>
      <c r="R163" s="144">
        <v>652.2269399999999</v>
      </c>
      <c r="S163" s="143">
        <f t="shared" si="88"/>
        <v>367.70829312608146</v>
      </c>
      <c r="T163" s="143">
        <f t="shared" si="89"/>
        <v>0</v>
      </c>
      <c r="U163" s="151" t="e">
        <f>R163-#REF!</f>
        <v>#REF!</v>
      </c>
      <c r="V163" s="151">
        <f t="shared" si="90"/>
        <v>367.70829312608146</v>
      </c>
      <c r="W163" s="151">
        <f t="shared" si="91"/>
        <v>0</v>
      </c>
      <c r="X163" s="151" t="e">
        <f>O163-#REF!</f>
        <v>#REF!</v>
      </c>
      <c r="Y163" s="143">
        <f>'[65]2. подк.неподк.'!V151</f>
        <v>558.94216499999993</v>
      </c>
      <c r="Z163" s="182">
        <f>'[65]2. подк.неподк.'!W151</f>
        <v>584.09456242499994</v>
      </c>
      <c r="AA163" s="143">
        <f>'[65]2. подк.неподк.'!X151</f>
        <v>48031.428820479996</v>
      </c>
      <c r="AB163" s="143">
        <f t="shared" si="101"/>
        <v>579.54016713679789</v>
      </c>
      <c r="AC163" s="144">
        <f t="shared" si="92"/>
        <v>579.54016713679789</v>
      </c>
      <c r="AD163" s="143">
        <f t="shared" si="93"/>
        <v>20.598002136797959</v>
      </c>
      <c r="AE163" s="143">
        <f t="shared" si="94"/>
        <v>3.6851759317169979</v>
      </c>
      <c r="AF163" s="143">
        <f t="shared" si="95"/>
        <v>-4.5543952882020449</v>
      </c>
      <c r="AG163" s="143">
        <f t="shared" si="96"/>
        <v>-0.77973595051004452</v>
      </c>
      <c r="AH163" s="143">
        <f t="shared" si="97"/>
        <v>-47451.888653343201</v>
      </c>
      <c r="AI163" s="143">
        <f t="shared" si="98"/>
        <v>-98.793414684158449</v>
      </c>
    </row>
    <row r="164" spans="1:35" s="191" customFormat="1" ht="33" customHeight="1" outlineLevel="3">
      <c r="A164" s="139" t="s">
        <v>810</v>
      </c>
      <c r="B164" s="143" t="s">
        <v>811</v>
      </c>
      <c r="C164" s="147" t="s">
        <v>812</v>
      </c>
      <c r="D164" s="148" t="s">
        <v>813</v>
      </c>
      <c r="E164" s="149" t="s">
        <v>814</v>
      </c>
      <c r="F164" s="143" t="s">
        <v>121</v>
      </c>
      <c r="G164" s="143">
        <v>0</v>
      </c>
      <c r="H164" s="143">
        <v>0</v>
      </c>
      <c r="I164" s="143">
        <v>0</v>
      </c>
      <c r="J164" s="143">
        <v>0</v>
      </c>
      <c r="K164" s="143">
        <v>20.551639999999999</v>
      </c>
      <c r="L164" s="143">
        <v>0</v>
      </c>
      <c r="M164" s="143">
        <v>0</v>
      </c>
      <c r="N164" s="143">
        <v>1.6803399999999999</v>
      </c>
      <c r="O164" s="143">
        <v>1.6431300000000002</v>
      </c>
      <c r="P164" s="150">
        <v>0</v>
      </c>
      <c r="Q164" s="143">
        <v>0</v>
      </c>
      <c r="R164" s="144">
        <v>0</v>
      </c>
      <c r="S164" s="143">
        <f t="shared" si="88"/>
        <v>0</v>
      </c>
      <c r="T164" s="143">
        <f t="shared" si="89"/>
        <v>-1.6431300000000002</v>
      </c>
      <c r="U164" s="151" t="e">
        <f>R164-#REF!</f>
        <v>#REF!</v>
      </c>
      <c r="V164" s="151">
        <f t="shared" si="90"/>
        <v>0</v>
      </c>
      <c r="W164" s="151">
        <f t="shared" si="91"/>
        <v>0</v>
      </c>
      <c r="X164" s="151" t="e">
        <f>O164-#REF!</f>
        <v>#REF!</v>
      </c>
      <c r="Y164" s="143">
        <f>'[65]2. подк.неподк.'!V152</f>
        <v>0</v>
      </c>
      <c r="Z164" s="182">
        <f>'[65]2. подк.неподк.'!W152</f>
        <v>0</v>
      </c>
      <c r="AA164" s="143">
        <f>'[65]2. подк.неподк.'!X152</f>
        <v>0.79525536000000008</v>
      </c>
      <c r="AB164" s="143">
        <f t="shared" si="101"/>
        <v>0</v>
      </c>
      <c r="AC164" s="144">
        <f t="shared" si="92"/>
        <v>0</v>
      </c>
      <c r="AD164" s="143">
        <f t="shared" si="93"/>
        <v>0</v>
      </c>
      <c r="AE164" s="143"/>
      <c r="AF164" s="143">
        <f t="shared" si="95"/>
        <v>0</v>
      </c>
      <c r="AG164" s="143"/>
      <c r="AH164" s="143">
        <f t="shared" si="97"/>
        <v>-0.79525536000000008</v>
      </c>
      <c r="AI164" s="143">
        <f t="shared" si="98"/>
        <v>-100</v>
      </c>
    </row>
    <row r="165" spans="1:35" s="191" customFormat="1" ht="33" customHeight="1" outlineLevel="3">
      <c r="A165" s="139" t="s">
        <v>815</v>
      </c>
      <c r="B165" s="143" t="s">
        <v>816</v>
      </c>
      <c r="C165" s="147" t="s">
        <v>817</v>
      </c>
      <c r="D165" s="148" t="s">
        <v>818</v>
      </c>
      <c r="E165" s="149" t="s">
        <v>819</v>
      </c>
      <c r="F165" s="143" t="s">
        <v>121</v>
      </c>
      <c r="G165" s="143">
        <v>68.726633474214495</v>
      </c>
      <c r="H165" s="143">
        <v>127.87702</v>
      </c>
      <c r="I165" s="143">
        <v>127.88</v>
      </c>
      <c r="J165" s="143">
        <v>75.411899910141798</v>
      </c>
      <c r="K165" s="143">
        <v>444.32391999999999</v>
      </c>
      <c r="L165" s="143">
        <v>444.32</v>
      </c>
      <c r="M165" s="143">
        <v>187.19369103448801</v>
      </c>
      <c r="N165" s="143">
        <v>538.10457999999994</v>
      </c>
      <c r="O165" s="143">
        <v>518.49046999999996</v>
      </c>
      <c r="P165" s="150">
        <v>518.49046999999996</v>
      </c>
      <c r="Q165" s="143">
        <v>518.49046999999996</v>
      </c>
      <c r="R165" s="144">
        <v>518.49046999999996</v>
      </c>
      <c r="S165" s="143">
        <f t="shared" si="88"/>
        <v>331.29677896551198</v>
      </c>
      <c r="T165" s="143">
        <f t="shared" si="89"/>
        <v>0</v>
      </c>
      <c r="U165" s="151" t="e">
        <f>R165-#REF!</f>
        <v>#REF!</v>
      </c>
      <c r="V165" s="151">
        <f t="shared" si="90"/>
        <v>331.29677896551198</v>
      </c>
      <c r="W165" s="151">
        <f t="shared" si="91"/>
        <v>0</v>
      </c>
      <c r="X165" s="151" t="e">
        <f>O165-#REF!</f>
        <v>#REF!</v>
      </c>
      <c r="Y165" s="143">
        <f>'[65]2. подк.неподк.'!V153</f>
        <v>197.48934404138484</v>
      </c>
      <c r="Z165" s="182">
        <f>'[65]2. подк.неподк.'!W153</f>
        <v>206.37636452324713</v>
      </c>
      <c r="AA165" s="143">
        <f>'[65]2. подк.неподк.'!X153</f>
        <v>871.37</v>
      </c>
      <c r="AB165" s="143">
        <f t="shared" si="101"/>
        <v>204.76717381570373</v>
      </c>
      <c r="AC165" s="144">
        <f t="shared" si="92"/>
        <v>204.76717381570373</v>
      </c>
      <c r="AD165" s="143">
        <f t="shared" si="93"/>
        <v>7.2778297743188887</v>
      </c>
      <c r="AE165" s="143">
        <f t="shared" si="94"/>
        <v>3.6851759317169979</v>
      </c>
      <c r="AF165" s="143">
        <f t="shared" si="95"/>
        <v>-1.6091907075434051</v>
      </c>
      <c r="AG165" s="143">
        <f t="shared" si="96"/>
        <v>-0.77973595051004452</v>
      </c>
      <c r="AH165" s="143">
        <f t="shared" si="97"/>
        <v>-666.6028261842963</v>
      </c>
      <c r="AI165" s="143">
        <f t="shared" si="98"/>
        <v>-76.500548123563618</v>
      </c>
    </row>
    <row r="166" spans="1:35" s="191" customFormat="1" ht="33" customHeight="1" outlineLevel="3">
      <c r="A166" s="197"/>
      <c r="B166" s="143" t="s">
        <v>820</v>
      </c>
      <c r="C166" s="147"/>
      <c r="D166" s="164" t="s">
        <v>821</v>
      </c>
      <c r="E166" s="149" t="s">
        <v>822</v>
      </c>
      <c r="F166" s="143" t="s">
        <v>121</v>
      </c>
      <c r="G166" s="143">
        <v>778.38</v>
      </c>
      <c r="H166" s="143">
        <v>935.8</v>
      </c>
      <c r="I166" s="143">
        <v>935.8</v>
      </c>
      <c r="J166" s="143">
        <v>854.09758347946172</v>
      </c>
      <c r="K166" s="143">
        <v>1682.7367300000001</v>
      </c>
      <c r="L166" s="143">
        <v>854.1</v>
      </c>
      <c r="M166" s="143">
        <v>516.71876422802529</v>
      </c>
      <c r="N166" s="143">
        <v>1154.4592500000001</v>
      </c>
      <c r="O166" s="143">
        <v>1047.2763499999999</v>
      </c>
      <c r="P166" s="150">
        <v>1047.2763499999999</v>
      </c>
      <c r="Q166" s="143">
        <v>1047.2763499999999</v>
      </c>
      <c r="R166" s="144">
        <v>1047.2763499999999</v>
      </c>
      <c r="S166" s="143">
        <f t="shared" si="88"/>
        <v>530.55758577197457</v>
      </c>
      <c r="T166" s="143">
        <f t="shared" si="89"/>
        <v>0</v>
      </c>
      <c r="U166" s="151" t="e">
        <f>R166-#REF!</f>
        <v>#REF!</v>
      </c>
      <c r="V166" s="151">
        <f t="shared" si="90"/>
        <v>530.55758577197457</v>
      </c>
      <c r="W166" s="151">
        <f t="shared" si="91"/>
        <v>0</v>
      </c>
      <c r="X166" s="151" t="e">
        <f>O166-#REF!</f>
        <v>#REF!</v>
      </c>
      <c r="Y166" s="143">
        <f>'[65]2. подк.неподк.'!V154</f>
        <v>545.13829626056668</v>
      </c>
      <c r="Z166" s="182">
        <f>'[65]2. подк.неподк.'!W154</f>
        <v>569.66951959229209</v>
      </c>
      <c r="AA166" s="143">
        <f>'[65]2. подк.неподк.'!X154</f>
        <v>1273.3685527500002</v>
      </c>
      <c r="AB166" s="143">
        <f t="shared" si="101"/>
        <v>565.22760154893319</v>
      </c>
      <c r="AC166" s="144">
        <f t="shared" si="92"/>
        <v>565.22760154893319</v>
      </c>
      <c r="AD166" s="143">
        <f t="shared" si="93"/>
        <v>20.089305288366518</v>
      </c>
      <c r="AE166" s="143">
        <f t="shared" si="94"/>
        <v>3.6851759317169979</v>
      </c>
      <c r="AF166" s="143">
        <f t="shared" si="95"/>
        <v>-4.4419180433588963</v>
      </c>
      <c r="AG166" s="143">
        <f t="shared" si="96"/>
        <v>-0.77973595051003031</v>
      </c>
      <c r="AH166" s="143">
        <f t="shared" si="97"/>
        <v>-708.14095120106697</v>
      </c>
      <c r="AI166" s="143">
        <f t="shared" si="98"/>
        <v>-55.611625532273997</v>
      </c>
    </row>
    <row r="167" spans="1:35" s="191" customFormat="1" ht="33" customHeight="1" outlineLevel="3">
      <c r="A167" s="139" t="s">
        <v>823</v>
      </c>
      <c r="B167" s="143" t="s">
        <v>824</v>
      </c>
      <c r="C167" s="147" t="s">
        <v>825</v>
      </c>
      <c r="D167" s="148" t="s">
        <v>826</v>
      </c>
      <c r="E167" s="149" t="s">
        <v>827</v>
      </c>
      <c r="F167" s="143" t="s">
        <v>121</v>
      </c>
      <c r="G167" s="143">
        <v>10324.76</v>
      </c>
      <c r="H167" s="143">
        <v>3027.99343</v>
      </c>
      <c r="I167" s="143">
        <v>3027.99</v>
      </c>
      <c r="J167" s="143">
        <v>11329.08</v>
      </c>
      <c r="K167" s="143">
        <v>3243.03989</v>
      </c>
      <c r="L167" s="143">
        <v>3243.13</v>
      </c>
      <c r="M167" s="143">
        <v>2359.5013705293177</v>
      </c>
      <c r="N167" s="143">
        <v>4065.5369799999999</v>
      </c>
      <c r="O167" s="143">
        <v>4065.5369799999999</v>
      </c>
      <c r="P167" s="150">
        <v>4065.5369799999999</v>
      </c>
      <c r="Q167" s="143">
        <v>4065.5369799999999</v>
      </c>
      <c r="R167" s="144">
        <v>4065.5369799999999</v>
      </c>
      <c r="S167" s="143">
        <f t="shared" si="88"/>
        <v>1706.0356094706822</v>
      </c>
      <c r="T167" s="143">
        <f t="shared" si="89"/>
        <v>0</v>
      </c>
      <c r="U167" s="151" t="e">
        <f>R167-#REF!</f>
        <v>#REF!</v>
      </c>
      <c r="V167" s="151">
        <f t="shared" si="90"/>
        <v>1706.0356094706822</v>
      </c>
      <c r="W167" s="151">
        <f t="shared" si="91"/>
        <v>0</v>
      </c>
      <c r="X167" s="151" t="e">
        <f>O167-#REF!</f>
        <v>#REF!</v>
      </c>
      <c r="Y167" s="143">
        <f>'[65]2. подк.неподк.'!V155</f>
        <v>3678.11481125</v>
      </c>
      <c r="Z167" s="182">
        <f>'[65]2. подк.неподк.'!W155</f>
        <v>3843.6299777562499</v>
      </c>
      <c r="AA167" s="143">
        <f>'[65]2. подк.неподк.'!X155</f>
        <v>5078.8</v>
      </c>
      <c r="AB167" s="143">
        <f t="shared" si="101"/>
        <v>3813.6598130151033</v>
      </c>
      <c r="AC167" s="144">
        <f t="shared" si="92"/>
        <v>3813.6598130151033</v>
      </c>
      <c r="AD167" s="143">
        <f t="shared" si="93"/>
        <v>135.54500176510328</v>
      </c>
      <c r="AE167" s="143">
        <f t="shared" si="94"/>
        <v>3.6851759317169979</v>
      </c>
      <c r="AF167" s="143">
        <f t="shared" si="95"/>
        <v>-29.970164741146618</v>
      </c>
      <c r="AG167" s="143">
        <f t="shared" si="96"/>
        <v>-0.77973595051004452</v>
      </c>
      <c r="AH167" s="143">
        <f t="shared" si="97"/>
        <v>-1265.1401869848969</v>
      </c>
      <c r="AI167" s="143">
        <f t="shared" si="98"/>
        <v>-24.910218693094762</v>
      </c>
    </row>
    <row r="168" spans="1:35" s="161" customFormat="1" ht="33" customHeight="1" outlineLevel="2">
      <c r="A168" s="153"/>
      <c r="B168" s="154"/>
      <c r="C168" s="155"/>
      <c r="D168" s="394" t="s">
        <v>828</v>
      </c>
      <c r="E168" s="157"/>
      <c r="F168" s="158"/>
      <c r="G168" s="154">
        <f t="shared" ref="G168:I168" si="102">G161+G162+G163+G164+G165+G166+G167</f>
        <v>20579.835946725652</v>
      </c>
      <c r="H168" s="154">
        <f t="shared" si="102"/>
        <v>5443.6558499999992</v>
      </c>
      <c r="I168" s="154">
        <f t="shared" si="102"/>
        <v>5443.46</v>
      </c>
      <c r="J168" s="154">
        <f>J161+J162+J163+J164+J165+J166+J167</f>
        <v>22581.703071052085</v>
      </c>
      <c r="K168" s="154">
        <f t="shared" ref="K168:AB168" si="103">K161+K162+K163+K164+K165+K166+K167</f>
        <v>7994.0110800000002</v>
      </c>
      <c r="L168" s="154">
        <f t="shared" si="103"/>
        <v>7144.9000000000005</v>
      </c>
      <c r="M168" s="154">
        <f t="shared" si="103"/>
        <v>5198.502401685093</v>
      </c>
      <c r="N168" s="154">
        <f t="shared" si="103"/>
        <v>8093.8490699999993</v>
      </c>
      <c r="O168" s="154">
        <f t="shared" si="103"/>
        <v>7887.4998399999995</v>
      </c>
      <c r="P168" s="159">
        <f t="shared" si="103"/>
        <v>7885.85671</v>
      </c>
      <c r="Q168" s="154">
        <f t="shared" si="103"/>
        <v>7885.85671</v>
      </c>
      <c r="R168" s="144">
        <f t="shared" si="103"/>
        <v>7885.85671</v>
      </c>
      <c r="S168" s="144">
        <f t="shared" si="88"/>
        <v>2687.354308314907</v>
      </c>
      <c r="T168" s="144">
        <f t="shared" si="89"/>
        <v>-1.6431299999994735</v>
      </c>
      <c r="U168" s="160" t="e">
        <f>R168-#REF!</f>
        <v>#REF!</v>
      </c>
      <c r="V168" s="160">
        <f t="shared" si="90"/>
        <v>2687.354308314907</v>
      </c>
      <c r="W168" s="160">
        <f t="shared" si="91"/>
        <v>0</v>
      </c>
      <c r="X168" s="160" t="e">
        <f>O168-#REF!</f>
        <v>#REF!</v>
      </c>
      <c r="Y168" s="154">
        <f t="shared" si="103"/>
        <v>7145.9893778019514</v>
      </c>
      <c r="Z168" s="194">
        <f t="shared" si="103"/>
        <v>7467.556174965539</v>
      </c>
      <c r="AA168" s="154">
        <f t="shared" si="103"/>
        <v>59319.149223752494</v>
      </c>
      <c r="AB168" s="154">
        <f t="shared" si="103"/>
        <v>7409.3316584357635</v>
      </c>
      <c r="AC168" s="144">
        <f t="shared" si="92"/>
        <v>7409.3316584357635</v>
      </c>
      <c r="AD168" s="154">
        <f t="shared" si="93"/>
        <v>263.34228063381215</v>
      </c>
      <c r="AE168" s="154">
        <f t="shared" si="94"/>
        <v>3.6851759317170263</v>
      </c>
      <c r="AF168" s="154">
        <f t="shared" si="95"/>
        <v>-58.224516529775428</v>
      </c>
      <c r="AG168" s="154">
        <f t="shared" si="96"/>
        <v>-0.77969974601556657</v>
      </c>
      <c r="AH168" s="154">
        <f t="shared" si="97"/>
        <v>-51909.817565316727</v>
      </c>
      <c r="AI168" s="154">
        <f t="shared" si="98"/>
        <v>-87.509376389591026</v>
      </c>
    </row>
    <row r="169" spans="1:35" s="191" customFormat="1" ht="33" customHeight="1" outlineLevel="3">
      <c r="A169" s="139" t="s">
        <v>829</v>
      </c>
      <c r="B169" s="143" t="s">
        <v>830</v>
      </c>
      <c r="C169" s="147" t="s">
        <v>831</v>
      </c>
      <c r="D169" s="148" t="s">
        <v>832</v>
      </c>
      <c r="E169" s="149" t="s">
        <v>833</v>
      </c>
      <c r="F169" s="143" t="s">
        <v>121</v>
      </c>
      <c r="G169" s="143">
        <v>2410.4997410843439</v>
      </c>
      <c r="H169" s="143">
        <v>1936.6317100000001</v>
      </c>
      <c r="I169" s="143">
        <v>1936.63</v>
      </c>
      <c r="J169" s="143">
        <v>2644.9770055487634</v>
      </c>
      <c r="K169" s="143">
        <v>5290.6243899999999</v>
      </c>
      <c r="L169" s="143">
        <v>2290.62</v>
      </c>
      <c r="M169" s="143">
        <v>2792.8406122244614</v>
      </c>
      <c r="N169" s="143">
        <v>4638.4386500000001</v>
      </c>
      <c r="O169" s="143">
        <v>4518.7494100000004</v>
      </c>
      <c r="P169" s="150">
        <v>4518.7494100000004</v>
      </c>
      <c r="Q169" s="167">
        <v>4518.7494100000004</v>
      </c>
      <c r="R169" s="144">
        <v>4518.7494100000004</v>
      </c>
      <c r="S169" s="167">
        <f t="shared" si="88"/>
        <v>1725.9087977755389</v>
      </c>
      <c r="T169" s="167">
        <f t="shared" si="89"/>
        <v>0</v>
      </c>
      <c r="U169" s="151" t="e">
        <f>R169-#REF!</f>
        <v>#REF!</v>
      </c>
      <c r="V169" s="151">
        <f t="shared" si="90"/>
        <v>1725.9087977755389</v>
      </c>
      <c r="W169" s="151">
        <f t="shared" si="91"/>
        <v>0</v>
      </c>
      <c r="X169" s="151" t="e">
        <f>O169-#REF!</f>
        <v>#REF!</v>
      </c>
      <c r="Y169" s="143">
        <f>'[65]2. подк.неподк.'!V157</f>
        <v>2597.8494074999999</v>
      </c>
      <c r="Z169" s="182">
        <f>'[65]2. подк.неподк.'!W157</f>
        <v>2714.7526308374995</v>
      </c>
      <c r="AA169" s="143">
        <f>'[65]2. подк.неподк.'!X157</f>
        <v>13512.59</v>
      </c>
      <c r="AB169" s="143">
        <f>Y169*$AA$11</f>
        <v>2693.5847286074427</v>
      </c>
      <c r="AC169" s="144">
        <f t="shared" si="92"/>
        <v>2693.5847286074427</v>
      </c>
      <c r="AD169" s="143">
        <f t="shared" si="93"/>
        <v>95.735321107442815</v>
      </c>
      <c r="AE169" s="143">
        <f t="shared" si="94"/>
        <v>3.6851759317169979</v>
      </c>
      <c r="AF169" s="143">
        <f t="shared" si="95"/>
        <v>-21.167902230056825</v>
      </c>
      <c r="AG169" s="143">
        <f t="shared" si="96"/>
        <v>-0.77973595051003031</v>
      </c>
      <c r="AH169" s="143">
        <f t="shared" si="97"/>
        <v>-10819.005271392558</v>
      </c>
      <c r="AI169" s="143">
        <f t="shared" si="98"/>
        <v>-80.066110726311962</v>
      </c>
    </row>
    <row r="170" spans="1:35" s="191" customFormat="1" ht="33" customHeight="1" outlineLevel="3">
      <c r="A170" s="139" t="s">
        <v>834</v>
      </c>
      <c r="B170" s="143" t="s">
        <v>835</v>
      </c>
      <c r="C170" s="147" t="s">
        <v>836</v>
      </c>
      <c r="D170" s="148" t="s">
        <v>837</v>
      </c>
      <c r="E170" s="1340" t="s">
        <v>838</v>
      </c>
      <c r="F170" s="1341" t="s">
        <v>121</v>
      </c>
      <c r="G170" s="143">
        <v>0</v>
      </c>
      <c r="H170" s="143">
        <v>198.94</v>
      </c>
      <c r="I170" s="143">
        <v>198.94</v>
      </c>
      <c r="J170" s="1341">
        <v>0</v>
      </c>
      <c r="K170" s="143">
        <v>176.40478999999999</v>
      </c>
      <c r="L170" s="143">
        <v>0</v>
      </c>
      <c r="M170" s="143">
        <v>66.11474843734905</v>
      </c>
      <c r="N170" s="143">
        <v>200.02852999999999</v>
      </c>
      <c r="O170" s="143">
        <v>178.66622000000001</v>
      </c>
      <c r="P170" s="150">
        <v>178.66622000000001</v>
      </c>
      <c r="Q170" s="167">
        <v>178.66622000000001</v>
      </c>
      <c r="R170" s="144">
        <v>178.66622000000001</v>
      </c>
      <c r="S170" s="167">
        <f t="shared" si="88"/>
        <v>112.55147156265096</v>
      </c>
      <c r="T170" s="167">
        <f t="shared" si="89"/>
        <v>0</v>
      </c>
      <c r="U170" s="151" t="e">
        <f>R170-#REF!</f>
        <v>#REF!</v>
      </c>
      <c r="V170" s="151">
        <f t="shared" si="90"/>
        <v>112.55147156265096</v>
      </c>
      <c r="W170" s="151">
        <f t="shared" si="91"/>
        <v>0</v>
      </c>
      <c r="X170" s="151" t="e">
        <f>O170-#REF!</f>
        <v>#REF!</v>
      </c>
      <c r="Y170" s="143">
        <f>'[65]2. подк.неподк.'!V158</f>
        <v>69.751059601403242</v>
      </c>
      <c r="Z170" s="182">
        <f>'[65]2. подк.неподк.'!W158</f>
        <v>72.889857283466384</v>
      </c>
      <c r="AA170" s="143">
        <f>'[65]2. подк.неподк.'!X158</f>
        <v>262.75</v>
      </c>
      <c r="AB170" s="143">
        <f>Y170*$AA$11</f>
        <v>72.321508861951727</v>
      </c>
      <c r="AC170" s="144">
        <f t="shared" si="92"/>
        <v>72.321508861951727</v>
      </c>
      <c r="AD170" s="143">
        <f t="shared" si="93"/>
        <v>2.5704492605484859</v>
      </c>
      <c r="AE170" s="143">
        <f t="shared" si="94"/>
        <v>3.6851759317169979</v>
      </c>
      <c r="AF170" s="143">
        <f t="shared" si="95"/>
        <v>-0.56834842151465637</v>
      </c>
      <c r="AG170" s="143">
        <f t="shared" si="96"/>
        <v>-0.77973595051005873</v>
      </c>
      <c r="AH170" s="143">
        <f t="shared" si="97"/>
        <v>-190.42849113804829</v>
      </c>
      <c r="AI170" s="143">
        <f t="shared" si="98"/>
        <v>-72.475163135318084</v>
      </c>
    </row>
    <row r="171" spans="1:35" s="191" customFormat="1" ht="33" customHeight="1" outlineLevel="3">
      <c r="A171" s="139" t="s">
        <v>839</v>
      </c>
      <c r="B171" s="143" t="s">
        <v>840</v>
      </c>
      <c r="C171" s="147" t="s">
        <v>841</v>
      </c>
      <c r="D171" s="148" t="s">
        <v>842</v>
      </c>
      <c r="E171" s="1340"/>
      <c r="F171" s="1341"/>
      <c r="G171" s="143">
        <v>0</v>
      </c>
      <c r="H171" s="143">
        <v>0</v>
      </c>
      <c r="I171" s="143">
        <v>0</v>
      </c>
      <c r="J171" s="1341"/>
      <c r="K171" s="143"/>
      <c r="L171" s="143"/>
      <c r="M171" s="143"/>
      <c r="N171" s="143">
        <v>28.177310000000002</v>
      </c>
      <c r="O171" s="143">
        <v>26.992290000000001</v>
      </c>
      <c r="P171" s="150">
        <v>26.992290000000001</v>
      </c>
      <c r="Q171" s="167">
        <v>26.992290000000001</v>
      </c>
      <c r="R171" s="144">
        <v>26.992290000000001</v>
      </c>
      <c r="S171" s="167">
        <f t="shared" si="88"/>
        <v>26.992290000000001</v>
      </c>
      <c r="T171" s="167">
        <f t="shared" si="89"/>
        <v>0</v>
      </c>
      <c r="U171" s="151" t="e">
        <f>R171-#REF!</f>
        <v>#REF!</v>
      </c>
      <c r="V171" s="151">
        <f t="shared" si="90"/>
        <v>26.992290000000001</v>
      </c>
      <c r="W171" s="151">
        <f t="shared" si="91"/>
        <v>0</v>
      </c>
      <c r="X171" s="151" t="e">
        <f>O171-#REF!</f>
        <v>#REF!</v>
      </c>
      <c r="Y171" s="143">
        <f>'[65]2. подк.неподк.'!V159</f>
        <v>0</v>
      </c>
      <c r="Z171" s="182">
        <f>'[65]2. подк.неподк.'!W159</f>
        <v>0</v>
      </c>
      <c r="AA171" s="143">
        <f>'[65]2. подк.неподк.'!X159</f>
        <v>85.472181599999999</v>
      </c>
      <c r="AB171" s="143">
        <f>Y171*$AA$11</f>
        <v>0</v>
      </c>
      <c r="AC171" s="144">
        <f t="shared" si="92"/>
        <v>0</v>
      </c>
      <c r="AD171" s="143">
        <f t="shared" si="93"/>
        <v>0</v>
      </c>
      <c r="AE171" s="143"/>
      <c r="AF171" s="143">
        <f t="shared" si="95"/>
        <v>0</v>
      </c>
      <c r="AG171" s="143"/>
      <c r="AH171" s="143">
        <f t="shared" si="97"/>
        <v>-85.472181599999999</v>
      </c>
      <c r="AI171" s="143">
        <f t="shared" si="98"/>
        <v>-100</v>
      </c>
    </row>
    <row r="172" spans="1:35" s="161" customFormat="1" ht="33" customHeight="1" outlineLevel="2">
      <c r="A172" s="153"/>
      <c r="B172" s="154"/>
      <c r="C172" s="155"/>
      <c r="D172" s="394" t="s">
        <v>843</v>
      </c>
      <c r="E172" s="157"/>
      <c r="F172" s="158"/>
      <c r="G172" s="154">
        <f t="shared" ref="G172:I172" si="104">G169+G170</f>
        <v>2410.4997410843439</v>
      </c>
      <c r="H172" s="154">
        <f t="shared" si="104"/>
        <v>2135.5717100000002</v>
      </c>
      <c r="I172" s="154">
        <f t="shared" si="104"/>
        <v>2135.5700000000002</v>
      </c>
      <c r="J172" s="154">
        <f>J169+J170</f>
        <v>2644.9770055487634</v>
      </c>
      <c r="K172" s="154">
        <f>K169+K170+K171</f>
        <v>5467.0291799999995</v>
      </c>
      <c r="L172" s="154">
        <f t="shared" ref="L172:AB172" si="105">L169+L170+L171</f>
        <v>2290.62</v>
      </c>
      <c r="M172" s="154">
        <f t="shared" si="105"/>
        <v>2858.9553606618106</v>
      </c>
      <c r="N172" s="154">
        <f t="shared" si="105"/>
        <v>4866.6444899999997</v>
      </c>
      <c r="O172" s="154">
        <f t="shared" si="105"/>
        <v>4724.4079200000006</v>
      </c>
      <c r="P172" s="159">
        <f t="shared" si="105"/>
        <v>4724.4079200000006</v>
      </c>
      <c r="Q172" s="154">
        <f t="shared" si="105"/>
        <v>4724.4079200000006</v>
      </c>
      <c r="R172" s="144">
        <f t="shared" si="105"/>
        <v>4724.4079200000006</v>
      </c>
      <c r="S172" s="144">
        <f t="shared" si="88"/>
        <v>1865.45255933819</v>
      </c>
      <c r="T172" s="144">
        <f t="shared" si="89"/>
        <v>0</v>
      </c>
      <c r="U172" s="160" t="e">
        <f>R172-#REF!</f>
        <v>#REF!</v>
      </c>
      <c r="V172" s="160">
        <f t="shared" si="90"/>
        <v>1865.45255933819</v>
      </c>
      <c r="W172" s="160">
        <f t="shared" si="91"/>
        <v>0</v>
      </c>
      <c r="X172" s="160" t="e">
        <f>O172-#REF!</f>
        <v>#REF!</v>
      </c>
      <c r="Y172" s="154">
        <f t="shared" si="105"/>
        <v>2667.600467101403</v>
      </c>
      <c r="Z172" s="194">
        <f t="shared" si="105"/>
        <v>2787.6424881209659</v>
      </c>
      <c r="AA172" s="154">
        <f t="shared" si="105"/>
        <v>13860.8121816</v>
      </c>
      <c r="AB172" s="154">
        <f t="shared" si="105"/>
        <v>2765.9062374693945</v>
      </c>
      <c r="AC172" s="144">
        <f t="shared" si="92"/>
        <v>2765.9062374693945</v>
      </c>
      <c r="AD172" s="154">
        <f t="shared" si="93"/>
        <v>98.305770367991499</v>
      </c>
      <c r="AE172" s="154">
        <f t="shared" si="94"/>
        <v>3.6851759317170263</v>
      </c>
      <c r="AF172" s="154">
        <f t="shared" si="95"/>
        <v>-21.736250651571481</v>
      </c>
      <c r="AG172" s="154">
        <f t="shared" si="96"/>
        <v>-0.77973595051003031</v>
      </c>
      <c r="AH172" s="154">
        <f t="shared" si="97"/>
        <v>-11094.905944130605</v>
      </c>
      <c r="AI172" s="154">
        <f t="shared" si="98"/>
        <v>-80.045135874930267</v>
      </c>
    </row>
    <row r="173" spans="1:35" s="191" customFormat="1" ht="33" customHeight="1" outlineLevel="3">
      <c r="A173" s="139" t="s">
        <v>844</v>
      </c>
      <c r="B173" s="143" t="s">
        <v>845</v>
      </c>
      <c r="C173" s="147" t="s">
        <v>846</v>
      </c>
      <c r="D173" s="148" t="s">
        <v>847</v>
      </c>
      <c r="E173" s="149" t="s">
        <v>848</v>
      </c>
      <c r="F173" s="143" t="s">
        <v>121</v>
      </c>
      <c r="G173" s="143">
        <v>0</v>
      </c>
      <c r="H173" s="143">
        <v>311.95580000000001</v>
      </c>
      <c r="I173" s="143">
        <v>0</v>
      </c>
      <c r="J173" s="143">
        <v>0</v>
      </c>
      <c r="K173" s="143">
        <v>196.12166999999999</v>
      </c>
      <c r="L173" s="143">
        <v>0</v>
      </c>
      <c r="M173" s="143">
        <v>0</v>
      </c>
      <c r="N173" s="143">
        <v>26709.161150000004</v>
      </c>
      <c r="O173" s="143">
        <v>26441.13089</v>
      </c>
      <c r="P173" s="150">
        <v>0</v>
      </c>
      <c r="Q173" s="167">
        <v>0</v>
      </c>
      <c r="R173" s="144">
        <v>0</v>
      </c>
      <c r="S173" s="167">
        <f t="shared" si="88"/>
        <v>0</v>
      </c>
      <c r="T173" s="167">
        <f t="shared" si="89"/>
        <v>-26441.13089</v>
      </c>
      <c r="U173" s="151" t="e">
        <f>R173-#REF!</f>
        <v>#REF!</v>
      </c>
      <c r="V173" s="151">
        <f t="shared" si="90"/>
        <v>0</v>
      </c>
      <c r="W173" s="151">
        <f t="shared" si="91"/>
        <v>0</v>
      </c>
      <c r="X173" s="151" t="e">
        <f>O173-#REF!</f>
        <v>#REF!</v>
      </c>
      <c r="Y173" s="143">
        <f>'[65]2. подк.неподк.'!V161</f>
        <v>0</v>
      </c>
      <c r="Z173" s="182">
        <f>'[65]2. подк.неподк.'!W161</f>
        <v>0</v>
      </c>
      <c r="AA173" s="143">
        <f>'[65]2. подк.неподк.'!X161</f>
        <v>58419.285000000003</v>
      </c>
      <c r="AB173" s="143">
        <f>Y173*$AA$11</f>
        <v>0</v>
      </c>
      <c r="AC173" s="144">
        <f t="shared" si="92"/>
        <v>0</v>
      </c>
      <c r="AD173" s="143">
        <f t="shared" si="93"/>
        <v>0</v>
      </c>
      <c r="AE173" s="143"/>
      <c r="AF173" s="143">
        <f t="shared" si="95"/>
        <v>0</v>
      </c>
      <c r="AG173" s="143"/>
      <c r="AH173" s="143">
        <f t="shared" si="97"/>
        <v>-58419.285000000003</v>
      </c>
      <c r="AI173" s="143">
        <f t="shared" si="98"/>
        <v>-100</v>
      </c>
    </row>
    <row r="174" spans="1:35" s="191" customFormat="1" ht="48" customHeight="1" outlineLevel="3">
      <c r="A174" s="139" t="s">
        <v>849</v>
      </c>
      <c r="B174" s="143" t="s">
        <v>850</v>
      </c>
      <c r="C174" s="147" t="s">
        <v>851</v>
      </c>
      <c r="D174" s="148" t="s">
        <v>852</v>
      </c>
      <c r="E174" s="149" t="s">
        <v>853</v>
      </c>
      <c r="F174" s="143" t="s">
        <v>121</v>
      </c>
      <c r="G174" s="143">
        <v>0</v>
      </c>
      <c r="H174" s="143">
        <v>347.90839999999997</v>
      </c>
      <c r="I174" s="143">
        <v>0</v>
      </c>
      <c r="J174" s="143">
        <v>0</v>
      </c>
      <c r="K174" s="143">
        <v>552.58839999999998</v>
      </c>
      <c r="L174" s="143">
        <v>0</v>
      </c>
      <c r="M174" s="143">
        <v>0</v>
      </c>
      <c r="N174" s="143">
        <v>328.58920000000006</v>
      </c>
      <c r="O174" s="143">
        <v>298.72363999999999</v>
      </c>
      <c r="P174" s="150">
        <v>298.72363999999999</v>
      </c>
      <c r="Q174" s="167">
        <v>298.72363999999999</v>
      </c>
      <c r="R174" s="144">
        <v>298.72363999999999</v>
      </c>
      <c r="S174" s="143">
        <f t="shared" si="88"/>
        <v>298.72363999999999</v>
      </c>
      <c r="T174" s="143">
        <f t="shared" si="89"/>
        <v>0</v>
      </c>
      <c r="U174" s="151" t="e">
        <f>R174-#REF!</f>
        <v>#REF!</v>
      </c>
      <c r="V174" s="151">
        <f t="shared" si="90"/>
        <v>298.72363999999999</v>
      </c>
      <c r="W174" s="151">
        <f t="shared" si="91"/>
        <v>0</v>
      </c>
      <c r="X174" s="151" t="e">
        <f>O174-#REF!</f>
        <v>#REF!</v>
      </c>
      <c r="Y174" s="143">
        <f>'[65]2. подк.неподк.'!V162</f>
        <v>0</v>
      </c>
      <c r="Z174" s="182">
        <f>'[65]2. подк.неподк.'!W162</f>
        <v>0</v>
      </c>
      <c r="AA174" s="143">
        <f>'[65]2. подк.неподк.'!X162</f>
        <v>722.52941999999996</v>
      </c>
      <c r="AB174" s="143">
        <f>Y174*$AA$11</f>
        <v>0</v>
      </c>
      <c r="AC174" s="144">
        <f t="shared" si="92"/>
        <v>0</v>
      </c>
      <c r="AD174" s="143">
        <f t="shared" si="93"/>
        <v>0</v>
      </c>
      <c r="AE174" s="143"/>
      <c r="AF174" s="143">
        <f t="shared" si="95"/>
        <v>0</v>
      </c>
      <c r="AG174" s="143"/>
      <c r="AH174" s="143">
        <f t="shared" si="97"/>
        <v>-722.52941999999996</v>
      </c>
      <c r="AI174" s="143">
        <f t="shared" si="98"/>
        <v>-100</v>
      </c>
    </row>
    <row r="175" spans="1:35" s="161" customFormat="1" ht="33" customHeight="1" outlineLevel="2">
      <c r="A175" s="153"/>
      <c r="B175" s="154"/>
      <c r="C175" s="155"/>
      <c r="D175" s="156" t="s">
        <v>854</v>
      </c>
      <c r="E175" s="157"/>
      <c r="F175" s="158"/>
      <c r="G175" s="154">
        <f t="shared" ref="G175:I175" si="106">G173+G174</f>
        <v>0</v>
      </c>
      <c r="H175" s="154">
        <f t="shared" si="106"/>
        <v>659.86419999999998</v>
      </c>
      <c r="I175" s="154">
        <f t="shared" si="106"/>
        <v>0</v>
      </c>
      <c r="J175" s="154">
        <f>J173+J174</f>
        <v>0</v>
      </c>
      <c r="K175" s="154">
        <f t="shared" ref="K175:AB175" si="107">K173+K174</f>
        <v>748.71006999999997</v>
      </c>
      <c r="L175" s="154">
        <f t="shared" si="107"/>
        <v>0</v>
      </c>
      <c r="M175" s="154">
        <f t="shared" si="107"/>
        <v>0</v>
      </c>
      <c r="N175" s="154">
        <f t="shared" si="107"/>
        <v>27037.750350000002</v>
      </c>
      <c r="O175" s="154">
        <f t="shared" si="107"/>
        <v>26739.854530000001</v>
      </c>
      <c r="P175" s="159">
        <f t="shared" si="107"/>
        <v>298.72363999999999</v>
      </c>
      <c r="Q175" s="154">
        <f t="shared" si="107"/>
        <v>298.72363999999999</v>
      </c>
      <c r="R175" s="144">
        <f t="shared" si="107"/>
        <v>298.72363999999999</v>
      </c>
      <c r="S175" s="144">
        <f t="shared" si="88"/>
        <v>298.72363999999999</v>
      </c>
      <c r="T175" s="144">
        <f t="shared" si="89"/>
        <v>-26441.13089</v>
      </c>
      <c r="U175" s="160" t="e">
        <f>R175-#REF!</f>
        <v>#REF!</v>
      </c>
      <c r="V175" s="160">
        <f t="shared" si="90"/>
        <v>298.72363999999999</v>
      </c>
      <c r="W175" s="160">
        <f t="shared" si="91"/>
        <v>0</v>
      </c>
      <c r="X175" s="160" t="e">
        <f>O175-#REF!</f>
        <v>#REF!</v>
      </c>
      <c r="Y175" s="154">
        <f t="shared" si="107"/>
        <v>0</v>
      </c>
      <c r="Z175" s="194">
        <f t="shared" si="107"/>
        <v>0</v>
      </c>
      <c r="AA175" s="154">
        <f t="shared" si="107"/>
        <v>59141.814420000002</v>
      </c>
      <c r="AB175" s="154">
        <f t="shared" si="107"/>
        <v>0</v>
      </c>
      <c r="AC175" s="144">
        <f t="shared" si="92"/>
        <v>0</v>
      </c>
      <c r="AD175" s="154">
        <f t="shared" si="93"/>
        <v>0</v>
      </c>
      <c r="AE175" s="154" t="e">
        <f t="shared" si="94"/>
        <v>#DIV/0!</v>
      </c>
      <c r="AF175" s="154">
        <f t="shared" si="95"/>
        <v>0</v>
      </c>
      <c r="AG175" s="154" t="e">
        <f t="shared" si="96"/>
        <v>#DIV/0!</v>
      </c>
      <c r="AH175" s="154">
        <f t="shared" si="97"/>
        <v>-59141.814420000002</v>
      </c>
      <c r="AI175" s="154">
        <f t="shared" si="98"/>
        <v>-100</v>
      </c>
    </row>
    <row r="176" spans="1:35" s="191" customFormat="1" ht="33" customHeight="1" outlineLevel="3">
      <c r="A176" s="139" t="s">
        <v>855</v>
      </c>
      <c r="B176" s="143" t="s">
        <v>856</v>
      </c>
      <c r="C176" s="147" t="s">
        <v>857</v>
      </c>
      <c r="D176" s="148" t="s">
        <v>858</v>
      </c>
      <c r="E176" s="149" t="s">
        <v>859</v>
      </c>
      <c r="F176" s="143" t="s">
        <v>121</v>
      </c>
      <c r="G176" s="143">
        <v>3248.96649962946</v>
      </c>
      <c r="H176" s="143">
        <v>0</v>
      </c>
      <c r="I176" s="143">
        <v>0</v>
      </c>
      <c r="J176" s="143">
        <v>3565.0041926378663</v>
      </c>
      <c r="K176" s="143">
        <v>38.017470000000003</v>
      </c>
      <c r="L176" s="143">
        <v>38.020000000000003</v>
      </c>
      <c r="M176" s="143">
        <v>3687.6427718153864</v>
      </c>
      <c r="N176" s="143">
        <v>285.03536000000003</v>
      </c>
      <c r="O176" s="143">
        <v>285.03536000000003</v>
      </c>
      <c r="P176" s="150">
        <v>206.31326000000001</v>
      </c>
      <c r="Q176" s="143">
        <v>206.31326000000001</v>
      </c>
      <c r="R176" s="144">
        <v>285.03536000000003</v>
      </c>
      <c r="S176" s="143">
        <f t="shared" si="88"/>
        <v>-3402.6074118153865</v>
      </c>
      <c r="T176" s="143">
        <f t="shared" si="89"/>
        <v>0</v>
      </c>
      <c r="U176" s="151" t="e">
        <f>R176-#REF!</f>
        <v>#REF!</v>
      </c>
      <c r="V176" s="151">
        <f t="shared" si="90"/>
        <v>-3402.6074118153865</v>
      </c>
      <c r="W176" s="151">
        <f t="shared" si="91"/>
        <v>0</v>
      </c>
      <c r="X176" s="151" t="e">
        <f>O176-#REF!</f>
        <v>#REF!</v>
      </c>
      <c r="Y176" s="143">
        <f>'[65]2. подк.неподк.'!V164</f>
        <v>0</v>
      </c>
      <c r="Z176" s="182">
        <f>'[65]2. подк.неподк.'!W164</f>
        <v>0</v>
      </c>
      <c r="AA176" s="143">
        <f>'[65]2. подк.неподк.'!X164</f>
        <v>0</v>
      </c>
      <c r="AB176" s="143">
        <f>Y176*$AA$11</f>
        <v>0</v>
      </c>
      <c r="AC176" s="144">
        <f t="shared" si="92"/>
        <v>0</v>
      </c>
      <c r="AD176" s="143">
        <f t="shared" si="93"/>
        <v>0</v>
      </c>
      <c r="AE176" s="143"/>
      <c r="AF176" s="143">
        <f t="shared" si="95"/>
        <v>0</v>
      </c>
      <c r="AG176" s="143"/>
      <c r="AH176" s="143">
        <f t="shared" si="97"/>
        <v>0</v>
      </c>
      <c r="AI176" s="143"/>
    </row>
    <row r="177" spans="1:35" s="191" customFormat="1" ht="33" customHeight="1" outlineLevel="3">
      <c r="A177" s="139" t="s">
        <v>860</v>
      </c>
      <c r="B177" s="143" t="s">
        <v>861</v>
      </c>
      <c r="C177" s="147" t="s">
        <v>862</v>
      </c>
      <c r="D177" s="148" t="s">
        <v>863</v>
      </c>
      <c r="E177" s="149" t="s">
        <v>864</v>
      </c>
      <c r="F177" s="143" t="s">
        <v>121</v>
      </c>
      <c r="G177" s="143">
        <v>1328.9980838120871</v>
      </c>
      <c r="H177" s="143">
        <v>1131.1680200000001</v>
      </c>
      <c r="I177" s="143">
        <v>1131.17</v>
      </c>
      <c r="J177" s="143">
        <v>1458.2741131181651</v>
      </c>
      <c r="K177" s="143">
        <v>1959.0656799999999</v>
      </c>
      <c r="L177" s="143">
        <v>1959.07</v>
      </c>
      <c r="M177" s="143">
        <v>1492.7</v>
      </c>
      <c r="N177" s="143">
        <v>707.14238999999998</v>
      </c>
      <c r="O177" s="143">
        <v>706.90968999999996</v>
      </c>
      <c r="P177" s="150">
        <v>706.90968999999996</v>
      </c>
      <c r="Q177" s="143">
        <v>706.90968999999996</v>
      </c>
      <c r="R177" s="144">
        <v>706.90968999999996</v>
      </c>
      <c r="S177" s="143">
        <f t="shared" si="88"/>
        <v>-785.79031000000009</v>
      </c>
      <c r="T177" s="143">
        <f t="shared" si="89"/>
        <v>0</v>
      </c>
      <c r="U177" s="151" t="e">
        <f>R177-#REF!</f>
        <v>#REF!</v>
      </c>
      <c r="V177" s="151">
        <f t="shared" si="90"/>
        <v>-785.79031000000009</v>
      </c>
      <c r="W177" s="151">
        <f t="shared" si="91"/>
        <v>0</v>
      </c>
      <c r="X177" s="151" t="e">
        <f>O177-#REF!</f>
        <v>#REF!</v>
      </c>
      <c r="Y177" s="143">
        <f>'[65]2. подк.неподк.'!V165</f>
        <v>1574.7984999999999</v>
      </c>
      <c r="Z177" s="182">
        <f>'[65]2. подк.неподк.'!W165</f>
        <v>1645.6644324999997</v>
      </c>
      <c r="AA177" s="143">
        <f>'[65]2. подк.неподк.'!X165</f>
        <v>4872.7468800000006</v>
      </c>
      <c r="AB177" s="143">
        <f>Y177*$AA$11</f>
        <v>1632.8325952950402</v>
      </c>
      <c r="AC177" s="144">
        <f t="shared" si="92"/>
        <v>1632.8325952950402</v>
      </c>
      <c r="AD177" s="143">
        <f t="shared" si="93"/>
        <v>58.034095295040288</v>
      </c>
      <c r="AE177" s="143">
        <f t="shared" si="94"/>
        <v>3.6851759317169979</v>
      </c>
      <c r="AF177" s="143">
        <f t="shared" si="95"/>
        <v>-12.831837204959584</v>
      </c>
      <c r="AG177" s="143">
        <f t="shared" si="96"/>
        <v>-0.77973595051004452</v>
      </c>
      <c r="AH177" s="143">
        <f t="shared" si="97"/>
        <v>-3239.9142847049607</v>
      </c>
      <c r="AI177" s="143">
        <f t="shared" si="98"/>
        <v>-66.490510681009567</v>
      </c>
    </row>
    <row r="178" spans="1:35" s="191" customFormat="1" ht="33" customHeight="1" outlineLevel="3">
      <c r="A178" s="139" t="s">
        <v>865</v>
      </c>
      <c r="B178" s="143" t="s">
        <v>866</v>
      </c>
      <c r="C178" s="147" t="s">
        <v>867</v>
      </c>
      <c r="D178" s="148" t="s">
        <v>868</v>
      </c>
      <c r="E178" s="149" t="s">
        <v>869</v>
      </c>
      <c r="F178" s="143" t="s">
        <v>121</v>
      </c>
      <c r="G178" s="143">
        <v>0</v>
      </c>
      <c r="H178" s="143">
        <v>10560.68196</v>
      </c>
      <c r="I178" s="143">
        <v>0</v>
      </c>
      <c r="J178" s="143">
        <v>0</v>
      </c>
      <c r="K178" s="143">
        <v>30.375</v>
      </c>
      <c r="L178" s="143">
        <v>0</v>
      </c>
      <c r="M178" s="143">
        <v>0</v>
      </c>
      <c r="N178" s="143"/>
      <c r="O178" s="143"/>
      <c r="P178" s="150">
        <v>30.375</v>
      </c>
      <c r="Q178" s="143">
        <v>30.375</v>
      </c>
      <c r="R178" s="144">
        <v>0</v>
      </c>
      <c r="S178" s="143">
        <f t="shared" si="88"/>
        <v>0</v>
      </c>
      <c r="T178" s="143">
        <f t="shared" si="89"/>
        <v>0</v>
      </c>
      <c r="U178" s="151" t="e">
        <f>R178-#REF!</f>
        <v>#REF!</v>
      </c>
      <c r="V178" s="151">
        <f t="shared" si="90"/>
        <v>0</v>
      </c>
      <c r="W178" s="151">
        <f t="shared" si="91"/>
        <v>0</v>
      </c>
      <c r="X178" s="151" t="e">
        <f>O178-#REF!</f>
        <v>#REF!</v>
      </c>
      <c r="Y178" s="143">
        <f>'[65]2. подк.неподк.'!V166</f>
        <v>0</v>
      </c>
      <c r="Z178" s="182">
        <f>'[65]2. подк.неподк.'!W166</f>
        <v>0</v>
      </c>
      <c r="AA178" s="143">
        <f>'[65]2. подк.неподк.'!X166</f>
        <v>554.48400000000004</v>
      </c>
      <c r="AB178" s="143">
        <f>Y178*$AA$11</f>
        <v>0</v>
      </c>
      <c r="AC178" s="144">
        <f t="shared" si="92"/>
        <v>0</v>
      </c>
      <c r="AD178" s="143">
        <f t="shared" si="93"/>
        <v>0</v>
      </c>
      <c r="AE178" s="143"/>
      <c r="AF178" s="143">
        <f t="shared" si="95"/>
        <v>0</v>
      </c>
      <c r="AG178" s="143"/>
      <c r="AH178" s="143">
        <f t="shared" si="97"/>
        <v>-554.48400000000004</v>
      </c>
      <c r="AI178" s="143">
        <f t="shared" si="98"/>
        <v>-100</v>
      </c>
    </row>
    <row r="179" spans="1:35" s="191" customFormat="1" ht="33" customHeight="1" outlineLevel="3">
      <c r="A179" s="139" t="s">
        <v>870</v>
      </c>
      <c r="B179" s="143" t="s">
        <v>871</v>
      </c>
      <c r="C179" s="147" t="s">
        <v>872</v>
      </c>
      <c r="D179" s="148" t="s">
        <v>873</v>
      </c>
      <c r="E179" s="149" t="s">
        <v>874</v>
      </c>
      <c r="F179" s="143" t="s">
        <v>121</v>
      </c>
      <c r="G179" s="143">
        <v>0</v>
      </c>
      <c r="H179" s="143">
        <v>0</v>
      </c>
      <c r="I179" s="143">
        <v>0</v>
      </c>
      <c r="J179" s="143">
        <v>0</v>
      </c>
      <c r="K179" s="143">
        <v>0</v>
      </c>
      <c r="L179" s="143">
        <v>0</v>
      </c>
      <c r="M179" s="143">
        <v>0</v>
      </c>
      <c r="N179" s="143"/>
      <c r="O179" s="143"/>
      <c r="P179" s="150">
        <v>48.347099999999998</v>
      </c>
      <c r="Q179" s="143">
        <v>48.347099999999998</v>
      </c>
      <c r="R179" s="144">
        <v>0</v>
      </c>
      <c r="S179" s="143">
        <f t="shared" si="88"/>
        <v>0</v>
      </c>
      <c r="T179" s="143">
        <f t="shared" si="89"/>
        <v>0</v>
      </c>
      <c r="U179" s="151" t="e">
        <f>R179-#REF!</f>
        <v>#REF!</v>
      </c>
      <c r="V179" s="151">
        <f t="shared" si="90"/>
        <v>0</v>
      </c>
      <c r="W179" s="151">
        <f t="shared" si="91"/>
        <v>0</v>
      </c>
      <c r="X179" s="151" t="e">
        <f>O179-#REF!</f>
        <v>#REF!</v>
      </c>
      <c r="Y179" s="143">
        <f>'[65]2. подк.неподк.'!V167</f>
        <v>0</v>
      </c>
      <c r="Z179" s="182">
        <f>'[65]2. подк.неподк.'!W167</f>
        <v>0</v>
      </c>
      <c r="AA179" s="143">
        <f>'[65]2. подк.неподк.'!X167</f>
        <v>0</v>
      </c>
      <c r="AB179" s="143">
        <f>Y179*$AA$11</f>
        <v>0</v>
      </c>
      <c r="AC179" s="144">
        <f t="shared" si="92"/>
        <v>0</v>
      </c>
      <c r="AD179" s="143">
        <f t="shared" si="93"/>
        <v>0</v>
      </c>
      <c r="AE179" s="143"/>
      <c r="AF179" s="143">
        <f t="shared" si="95"/>
        <v>0</v>
      </c>
      <c r="AG179" s="143"/>
      <c r="AH179" s="143">
        <f t="shared" si="97"/>
        <v>0</v>
      </c>
      <c r="AI179" s="143"/>
    </row>
    <row r="180" spans="1:35" s="161" customFormat="1" ht="33" customHeight="1" outlineLevel="2">
      <c r="A180" s="153"/>
      <c r="B180" s="154"/>
      <c r="C180" s="155"/>
      <c r="D180" s="394" t="s">
        <v>875</v>
      </c>
      <c r="E180" s="157"/>
      <c r="F180" s="158"/>
      <c r="G180" s="154">
        <f t="shared" ref="G180:I180" si="108">G176+G177+G178+G179</f>
        <v>4577.9645834415469</v>
      </c>
      <c r="H180" s="154">
        <f t="shared" si="108"/>
        <v>11691.849979999999</v>
      </c>
      <c r="I180" s="154">
        <f t="shared" si="108"/>
        <v>1131.17</v>
      </c>
      <c r="J180" s="154">
        <f>J176+J177+J178+J179</f>
        <v>5023.2783057560318</v>
      </c>
      <c r="K180" s="154">
        <f t="shared" ref="K180:AB180" si="109">K176+K177+K178+K179</f>
        <v>2027.4581499999999</v>
      </c>
      <c r="L180" s="154">
        <f t="shared" si="109"/>
        <v>1997.09</v>
      </c>
      <c r="M180" s="154">
        <f t="shared" si="109"/>
        <v>5180.3427718153862</v>
      </c>
      <c r="N180" s="154">
        <f t="shared" si="109"/>
        <v>992.17775000000006</v>
      </c>
      <c r="O180" s="154">
        <f t="shared" si="109"/>
        <v>991.94505000000004</v>
      </c>
      <c r="P180" s="159">
        <f t="shared" si="109"/>
        <v>991.94504999999992</v>
      </c>
      <c r="Q180" s="154">
        <f t="shared" si="109"/>
        <v>991.94504999999992</v>
      </c>
      <c r="R180" s="144">
        <f t="shared" si="109"/>
        <v>991.94505000000004</v>
      </c>
      <c r="S180" s="144">
        <f t="shared" si="88"/>
        <v>-4188.3977218153859</v>
      </c>
      <c r="T180" s="144">
        <f t="shared" si="89"/>
        <v>0</v>
      </c>
      <c r="U180" s="160" t="e">
        <f>R180-#REF!</f>
        <v>#REF!</v>
      </c>
      <c r="V180" s="160">
        <f t="shared" si="90"/>
        <v>-4188.3977218153859</v>
      </c>
      <c r="W180" s="160">
        <f t="shared" si="91"/>
        <v>0</v>
      </c>
      <c r="X180" s="160" t="e">
        <f>O180-#REF!</f>
        <v>#REF!</v>
      </c>
      <c r="Y180" s="154">
        <f t="shared" si="109"/>
        <v>1574.7984999999999</v>
      </c>
      <c r="Z180" s="194">
        <f t="shared" si="109"/>
        <v>1645.6644324999997</v>
      </c>
      <c r="AA180" s="154">
        <f t="shared" si="109"/>
        <v>5427.230880000001</v>
      </c>
      <c r="AB180" s="154">
        <f t="shared" si="109"/>
        <v>1632.8325952950402</v>
      </c>
      <c r="AC180" s="144">
        <f t="shared" si="92"/>
        <v>1632.8325952950402</v>
      </c>
      <c r="AD180" s="154">
        <f t="shared" si="93"/>
        <v>58.034095295040288</v>
      </c>
      <c r="AE180" s="154">
        <f t="shared" si="94"/>
        <v>3.6851759317169979</v>
      </c>
      <c r="AF180" s="154">
        <f t="shared" si="95"/>
        <v>-12.831837204959584</v>
      </c>
      <c r="AG180" s="154">
        <f t="shared" si="96"/>
        <v>-0.77973595051004452</v>
      </c>
      <c r="AH180" s="154">
        <f t="shared" si="97"/>
        <v>-3794.398284704961</v>
      </c>
      <c r="AI180" s="154">
        <f t="shared" si="98"/>
        <v>-69.914075310261353</v>
      </c>
    </row>
    <row r="181" spans="1:35" s="191" customFormat="1" ht="33" customHeight="1" outlineLevel="3">
      <c r="A181" s="139" t="s">
        <v>876</v>
      </c>
      <c r="B181" s="143" t="s">
        <v>877</v>
      </c>
      <c r="C181" s="147" t="s">
        <v>878</v>
      </c>
      <c r="D181" s="148" t="s">
        <v>879</v>
      </c>
      <c r="E181" s="149" t="s">
        <v>880</v>
      </c>
      <c r="F181" s="143" t="s">
        <v>121</v>
      </c>
      <c r="G181" s="143">
        <v>0</v>
      </c>
      <c r="H181" s="143">
        <v>54.45</v>
      </c>
      <c r="I181" s="143">
        <v>0</v>
      </c>
      <c r="J181" s="143">
        <v>0</v>
      </c>
      <c r="K181" s="143">
        <v>258.70184999999998</v>
      </c>
      <c r="L181" s="143">
        <v>0</v>
      </c>
      <c r="M181" s="143">
        <v>0</v>
      </c>
      <c r="N181" s="143">
        <v>216.38315999999998</v>
      </c>
      <c r="O181" s="143">
        <v>203.63924</v>
      </c>
      <c r="P181" s="150">
        <v>0</v>
      </c>
      <c r="Q181" s="143">
        <v>0</v>
      </c>
      <c r="R181" s="144">
        <v>0</v>
      </c>
      <c r="S181" s="143">
        <f t="shared" si="88"/>
        <v>0</v>
      </c>
      <c r="T181" s="143">
        <f t="shared" si="89"/>
        <v>-203.63924</v>
      </c>
      <c r="U181" s="151" t="e">
        <f>R181-#REF!</f>
        <v>#REF!</v>
      </c>
      <c r="V181" s="151">
        <f t="shared" si="90"/>
        <v>0</v>
      </c>
      <c r="W181" s="151">
        <f t="shared" si="91"/>
        <v>0</v>
      </c>
      <c r="X181" s="151" t="e">
        <f>O181-#REF!</f>
        <v>#REF!</v>
      </c>
      <c r="Y181" s="143">
        <f>'[65]2. подк.неподк.'!V169</f>
        <v>0</v>
      </c>
      <c r="Z181" s="182">
        <f>'[65]2. подк.неподк.'!W169</f>
        <v>0</v>
      </c>
      <c r="AA181" s="143">
        <f>'[65]2. подк.неподк.'!X169</f>
        <v>1536.56</v>
      </c>
      <c r="AB181" s="143">
        <f t="shared" ref="AB181:AB204" si="110">Y181*$AA$11</f>
        <v>0</v>
      </c>
      <c r="AC181" s="144">
        <f t="shared" si="92"/>
        <v>0</v>
      </c>
      <c r="AD181" s="143">
        <f t="shared" si="93"/>
        <v>0</v>
      </c>
      <c r="AE181" s="143"/>
      <c r="AF181" s="143">
        <f t="shared" si="95"/>
        <v>0</v>
      </c>
      <c r="AG181" s="143"/>
      <c r="AH181" s="143">
        <f t="shared" si="97"/>
        <v>-1536.56</v>
      </c>
      <c r="AI181" s="143">
        <f t="shared" si="98"/>
        <v>-100</v>
      </c>
    </row>
    <row r="182" spans="1:35" s="191" customFormat="1" ht="33" customHeight="1" outlineLevel="3">
      <c r="A182" s="139" t="s">
        <v>881</v>
      </c>
      <c r="B182" s="143" t="s">
        <v>882</v>
      </c>
      <c r="C182" s="147" t="s">
        <v>883</v>
      </c>
      <c r="D182" s="148" t="s">
        <v>884</v>
      </c>
      <c r="E182" s="149" t="s">
        <v>885</v>
      </c>
      <c r="F182" s="143" t="s">
        <v>121</v>
      </c>
      <c r="G182" s="143">
        <v>370.75</v>
      </c>
      <c r="H182" s="143">
        <v>29.329160000000002</v>
      </c>
      <c r="I182" s="143">
        <v>29.33</v>
      </c>
      <c r="J182" s="143">
        <v>406.81407597499998</v>
      </c>
      <c r="K182" s="143">
        <v>0</v>
      </c>
      <c r="L182" s="143">
        <v>0</v>
      </c>
      <c r="M182" s="143">
        <v>9.7473460213460505</v>
      </c>
      <c r="N182" s="143">
        <v>0</v>
      </c>
      <c r="O182" s="143">
        <v>0</v>
      </c>
      <c r="P182" s="150">
        <v>0</v>
      </c>
      <c r="Q182" s="143">
        <v>0</v>
      </c>
      <c r="R182" s="144">
        <v>0</v>
      </c>
      <c r="S182" s="143">
        <f t="shared" si="88"/>
        <v>-9.7473460213460505</v>
      </c>
      <c r="T182" s="143">
        <f t="shared" si="89"/>
        <v>0</v>
      </c>
      <c r="U182" s="151" t="e">
        <f>R182-#REF!</f>
        <v>#REF!</v>
      </c>
      <c r="V182" s="151">
        <f t="shared" si="90"/>
        <v>-9.7473460213460505</v>
      </c>
      <c r="W182" s="151">
        <f t="shared" si="91"/>
        <v>0</v>
      </c>
      <c r="X182" s="151" t="e">
        <f>O182-#REF!</f>
        <v>#REF!</v>
      </c>
      <c r="Y182" s="143">
        <f>'[65]2. подк.неподк.'!V170</f>
        <v>0</v>
      </c>
      <c r="Z182" s="182">
        <f>'[65]2. подк.неподк.'!W170</f>
        <v>0</v>
      </c>
      <c r="AA182" s="143">
        <f>'[65]2. подк.неподк.'!X170</f>
        <v>0</v>
      </c>
      <c r="AB182" s="143">
        <f t="shared" si="110"/>
        <v>0</v>
      </c>
      <c r="AC182" s="144">
        <f t="shared" si="92"/>
        <v>0</v>
      </c>
      <c r="AD182" s="143">
        <f t="shared" si="93"/>
        <v>0</v>
      </c>
      <c r="AE182" s="143"/>
      <c r="AF182" s="143">
        <f t="shared" si="95"/>
        <v>0</v>
      </c>
      <c r="AG182" s="143"/>
      <c r="AH182" s="143">
        <f t="shared" si="97"/>
        <v>0</v>
      </c>
      <c r="AI182" s="143"/>
    </row>
    <row r="183" spans="1:35" s="191" customFormat="1" ht="45.75" customHeight="1" outlineLevel="3">
      <c r="A183" s="139" t="s">
        <v>886</v>
      </c>
      <c r="B183" s="143" t="s">
        <v>887</v>
      </c>
      <c r="C183" s="147" t="s">
        <v>888</v>
      </c>
      <c r="D183" s="148" t="s">
        <v>889</v>
      </c>
      <c r="E183" s="149" t="s">
        <v>890</v>
      </c>
      <c r="F183" s="143" t="s">
        <v>121</v>
      </c>
      <c r="G183" s="143">
        <v>27737.91</v>
      </c>
      <c r="H183" s="143">
        <v>1292.2033899999999</v>
      </c>
      <c r="I183" s="143">
        <v>1292.2</v>
      </c>
      <c r="J183" s="143">
        <v>30436.068040802998</v>
      </c>
      <c r="K183" s="143">
        <v>16032.198</v>
      </c>
      <c r="L183" s="143">
        <v>16032.2</v>
      </c>
      <c r="M183" s="143">
        <v>13903.3550770533</v>
      </c>
      <c r="N183" s="143">
        <v>13870.407869999999</v>
      </c>
      <c r="O183" s="143">
        <v>13867.469570000001</v>
      </c>
      <c r="P183" s="150">
        <v>13867.469570000001</v>
      </c>
      <c r="Q183" s="143">
        <v>13867.469570000001</v>
      </c>
      <c r="R183" s="144">
        <v>13867.469570000001</v>
      </c>
      <c r="S183" s="143">
        <f t="shared" si="88"/>
        <v>-35.885507053299079</v>
      </c>
      <c r="T183" s="143">
        <f t="shared" si="89"/>
        <v>0</v>
      </c>
      <c r="U183" s="151" t="e">
        <f>R183-#REF!</f>
        <v>#REF!</v>
      </c>
      <c r="V183" s="151">
        <f t="shared" si="90"/>
        <v>-35.885507053299079</v>
      </c>
      <c r="W183" s="151">
        <f t="shared" si="91"/>
        <v>0</v>
      </c>
      <c r="X183" s="151" t="e">
        <f>O183-#REF!</f>
        <v>#REF!</v>
      </c>
      <c r="Y183" s="143">
        <f>'[65]2. подк.неподк.'!V171</f>
        <v>18157.998824999999</v>
      </c>
      <c r="Z183" s="182">
        <f>'[65]2. подк.неподк.'!W171</f>
        <v>18975.108772124997</v>
      </c>
      <c r="AA183" s="143">
        <f>'[65]2. подк.неподк.'!X171</f>
        <v>20028.599999999999</v>
      </c>
      <c r="AB183" s="143">
        <f t="shared" si="110"/>
        <v>18827.153027380355</v>
      </c>
      <c r="AC183" s="144">
        <f t="shared" si="92"/>
        <v>18827.153027380355</v>
      </c>
      <c r="AD183" s="143">
        <f t="shared" si="93"/>
        <v>669.15420238035585</v>
      </c>
      <c r="AE183" s="143">
        <f t="shared" si="94"/>
        <v>3.6851759317169979</v>
      </c>
      <c r="AF183" s="143">
        <f t="shared" si="95"/>
        <v>-147.95574474464229</v>
      </c>
      <c r="AG183" s="143">
        <f t="shared" si="96"/>
        <v>-0.77973595051004452</v>
      </c>
      <c r="AH183" s="143">
        <f t="shared" si="97"/>
        <v>-1201.4469726196439</v>
      </c>
      <c r="AI183" s="143">
        <f t="shared" si="98"/>
        <v>-5.9986567838972462</v>
      </c>
    </row>
    <row r="184" spans="1:35" s="191" customFormat="1" ht="33" customHeight="1" outlineLevel="3">
      <c r="A184" s="139" t="s">
        <v>891</v>
      </c>
      <c r="B184" s="143" t="s">
        <v>892</v>
      </c>
      <c r="C184" s="147" t="s">
        <v>893</v>
      </c>
      <c r="D184" s="148" t="s">
        <v>894</v>
      </c>
      <c r="E184" s="188"/>
      <c r="F184" s="143" t="s">
        <v>121</v>
      </c>
      <c r="G184" s="143">
        <v>0</v>
      </c>
      <c r="H184" s="143">
        <v>0</v>
      </c>
      <c r="I184" s="143">
        <v>0</v>
      </c>
      <c r="J184" s="143">
        <v>0</v>
      </c>
      <c r="K184" s="143">
        <v>0</v>
      </c>
      <c r="L184" s="143">
        <v>0</v>
      </c>
      <c r="M184" s="143">
        <v>0</v>
      </c>
      <c r="N184" s="143">
        <v>0</v>
      </c>
      <c r="O184" s="143">
        <v>0.36042000000000002</v>
      </c>
      <c r="P184" s="150">
        <v>0</v>
      </c>
      <c r="Q184" s="143">
        <v>0</v>
      </c>
      <c r="R184" s="144">
        <v>0</v>
      </c>
      <c r="S184" s="143">
        <f t="shared" si="88"/>
        <v>0</v>
      </c>
      <c r="T184" s="143">
        <f t="shared" si="89"/>
        <v>-0.36042000000000002</v>
      </c>
      <c r="U184" s="151" t="e">
        <f>R184-#REF!</f>
        <v>#REF!</v>
      </c>
      <c r="V184" s="151">
        <f t="shared" si="90"/>
        <v>0</v>
      </c>
      <c r="W184" s="151">
        <f t="shared" si="91"/>
        <v>0</v>
      </c>
      <c r="X184" s="151" t="e">
        <f>O184-#REF!</f>
        <v>#REF!</v>
      </c>
      <c r="Y184" s="143">
        <f>'[65]2. подк.неподк.'!V172</f>
        <v>0</v>
      </c>
      <c r="Z184" s="182">
        <f>'[65]2. подк.неподк.'!W172</f>
        <v>0</v>
      </c>
      <c r="AA184" s="143">
        <f>'[65]2. подк.неподк.'!X172</f>
        <v>0</v>
      </c>
      <c r="AB184" s="143">
        <f t="shared" si="110"/>
        <v>0</v>
      </c>
      <c r="AC184" s="144">
        <f t="shared" si="92"/>
        <v>0</v>
      </c>
      <c r="AD184" s="143">
        <f t="shared" si="93"/>
        <v>0</v>
      </c>
      <c r="AE184" s="143"/>
      <c r="AF184" s="143">
        <f t="shared" si="95"/>
        <v>0</v>
      </c>
      <c r="AG184" s="143"/>
      <c r="AH184" s="143">
        <f t="shared" si="97"/>
        <v>0</v>
      </c>
      <c r="AI184" s="143"/>
    </row>
    <row r="185" spans="1:35" s="191" customFormat="1" ht="33" customHeight="1" outlineLevel="3">
      <c r="A185" s="139" t="s">
        <v>895</v>
      </c>
      <c r="B185" s="143" t="s">
        <v>896</v>
      </c>
      <c r="C185" s="147" t="s">
        <v>897</v>
      </c>
      <c r="D185" s="148" t="s">
        <v>898</v>
      </c>
      <c r="E185" s="149" t="s">
        <v>899</v>
      </c>
      <c r="F185" s="143" t="s">
        <v>121</v>
      </c>
      <c r="G185" s="143">
        <v>0</v>
      </c>
      <c r="H185" s="143">
        <v>293.22975000000002</v>
      </c>
      <c r="I185" s="143">
        <v>0</v>
      </c>
      <c r="J185" s="143">
        <v>0</v>
      </c>
      <c r="K185" s="143">
        <v>213.44060999999999</v>
      </c>
      <c r="L185" s="143">
        <v>0</v>
      </c>
      <c r="M185" s="143">
        <v>0</v>
      </c>
      <c r="N185" s="143">
        <v>287.73345</v>
      </c>
      <c r="O185" s="143">
        <v>278.22639000000004</v>
      </c>
      <c r="P185" s="150">
        <v>278.22639000000004</v>
      </c>
      <c r="Q185" s="143">
        <v>278.22639000000004</v>
      </c>
      <c r="R185" s="144">
        <v>278.22639000000004</v>
      </c>
      <c r="S185" s="143">
        <f t="shared" si="88"/>
        <v>278.22639000000004</v>
      </c>
      <c r="T185" s="143">
        <f t="shared" si="89"/>
        <v>0</v>
      </c>
      <c r="U185" s="151" t="e">
        <f>R185-#REF!</f>
        <v>#REF!</v>
      </c>
      <c r="V185" s="151">
        <f t="shared" si="90"/>
        <v>278.22639000000004</v>
      </c>
      <c r="W185" s="151">
        <f t="shared" si="91"/>
        <v>0</v>
      </c>
      <c r="X185" s="151" t="e">
        <f>O185-#REF!</f>
        <v>#REF!</v>
      </c>
      <c r="Y185" s="143">
        <f>'[65]2. подк.неподк.'!V173</f>
        <v>0</v>
      </c>
      <c r="Z185" s="182">
        <f>'[65]2. подк.неподк.'!W173</f>
        <v>0</v>
      </c>
      <c r="AA185" s="143">
        <f>'[65]2. подк.неподк.'!X173</f>
        <v>351.24299999999999</v>
      </c>
      <c r="AB185" s="143">
        <f t="shared" si="110"/>
        <v>0</v>
      </c>
      <c r="AC185" s="144">
        <f t="shared" si="92"/>
        <v>0</v>
      </c>
      <c r="AD185" s="143">
        <f t="shared" si="93"/>
        <v>0</v>
      </c>
      <c r="AE185" s="143"/>
      <c r="AF185" s="143">
        <f t="shared" si="95"/>
        <v>0</v>
      </c>
      <c r="AG185" s="143"/>
      <c r="AH185" s="143">
        <f t="shared" si="97"/>
        <v>-351.24299999999999</v>
      </c>
      <c r="AI185" s="143">
        <f t="shared" si="98"/>
        <v>-100</v>
      </c>
    </row>
    <row r="186" spans="1:35" s="191" customFormat="1" ht="61.2" customHeight="1" outlineLevel="3">
      <c r="A186" s="139" t="s">
        <v>900</v>
      </c>
      <c r="B186" s="143" t="s">
        <v>901</v>
      </c>
      <c r="C186" s="147" t="s">
        <v>902</v>
      </c>
      <c r="D186" s="148" t="s">
        <v>903</v>
      </c>
      <c r="E186" s="149" t="s">
        <v>904</v>
      </c>
      <c r="F186" s="143" t="s">
        <v>121</v>
      </c>
      <c r="G186" s="143">
        <v>6185.8627864995151</v>
      </c>
      <c r="H186" s="143">
        <v>6293.3679099999999</v>
      </c>
      <c r="I186" s="143">
        <v>6293.37</v>
      </c>
      <c r="J186" s="143">
        <v>6787.5820730895175</v>
      </c>
      <c r="K186" s="143">
        <v>2991.5254199999999</v>
      </c>
      <c r="L186" s="143">
        <v>2991.53</v>
      </c>
      <c r="M186" s="143">
        <v>7167.0378440843651</v>
      </c>
      <c r="N186" s="143">
        <v>2567.7966099999999</v>
      </c>
      <c r="O186" s="143">
        <v>2567.7966099999999</v>
      </c>
      <c r="P186" s="150">
        <v>2567.7966099999999</v>
      </c>
      <c r="Q186" s="143">
        <v>2567.7966099999999</v>
      </c>
      <c r="R186" s="144">
        <v>2567.7966099999999</v>
      </c>
      <c r="S186" s="143">
        <f t="shared" si="88"/>
        <v>-4599.2412340843657</v>
      </c>
      <c r="T186" s="143">
        <f t="shared" si="89"/>
        <v>0</v>
      </c>
      <c r="U186" s="151" t="e">
        <f>R186-#REF!</f>
        <v>#REF!</v>
      </c>
      <c r="V186" s="151">
        <f t="shared" si="90"/>
        <v>-4599.2412340843657</v>
      </c>
      <c r="W186" s="151">
        <f t="shared" si="91"/>
        <v>0</v>
      </c>
      <c r="X186" s="151" t="e">
        <f>O186-#REF!</f>
        <v>#REF!</v>
      </c>
      <c r="Y186" s="143">
        <f>'[65]2. подк.неподк.'!V174</f>
        <v>0</v>
      </c>
      <c r="Z186" s="182">
        <f>'[65]2. подк.неподк.'!W174</f>
        <v>0</v>
      </c>
      <c r="AA186" s="143">
        <f>'[65]2. подк.неподк.'!X174</f>
        <v>3775.93</v>
      </c>
      <c r="AB186" s="143">
        <f t="shared" si="110"/>
        <v>0</v>
      </c>
      <c r="AC186" s="144">
        <f t="shared" si="92"/>
        <v>0</v>
      </c>
      <c r="AD186" s="143">
        <f t="shared" si="93"/>
        <v>0</v>
      </c>
      <c r="AE186" s="143"/>
      <c r="AF186" s="143">
        <f t="shared" si="95"/>
        <v>0</v>
      </c>
      <c r="AG186" s="143"/>
      <c r="AH186" s="143">
        <f t="shared" si="97"/>
        <v>-3775.93</v>
      </c>
      <c r="AI186" s="143">
        <f t="shared" si="98"/>
        <v>-100</v>
      </c>
    </row>
    <row r="187" spans="1:35" s="191" customFormat="1" ht="33" customHeight="1" outlineLevel="3">
      <c r="A187" s="139" t="s">
        <v>905</v>
      </c>
      <c r="B187" s="143" t="s">
        <v>906</v>
      </c>
      <c r="C187" s="147" t="s">
        <v>907</v>
      </c>
      <c r="D187" s="148" t="s">
        <v>908</v>
      </c>
      <c r="E187" s="149" t="s">
        <v>909</v>
      </c>
      <c r="F187" s="143" t="s">
        <v>121</v>
      </c>
      <c r="G187" s="143">
        <v>214.39006913791633</v>
      </c>
      <c r="H187" s="143">
        <v>524.24046999999996</v>
      </c>
      <c r="I187" s="143">
        <v>524.24</v>
      </c>
      <c r="J187" s="143">
        <v>235.24449865018957</v>
      </c>
      <c r="K187" s="143">
        <v>794.53453000000002</v>
      </c>
      <c r="L187" s="143">
        <v>794.53</v>
      </c>
      <c r="M187" s="143">
        <v>297.26877119826696</v>
      </c>
      <c r="N187" s="143">
        <v>465.99753000000004</v>
      </c>
      <c r="O187" s="143">
        <v>464.70533</v>
      </c>
      <c r="P187" s="150">
        <v>464.70533</v>
      </c>
      <c r="Q187" s="143">
        <v>464.70533</v>
      </c>
      <c r="R187" s="144">
        <v>464.70533</v>
      </c>
      <c r="S187" s="143">
        <f t="shared" si="88"/>
        <v>167.43655880173304</v>
      </c>
      <c r="T187" s="143">
        <f t="shared" si="89"/>
        <v>0</v>
      </c>
      <c r="U187" s="151" t="e">
        <f>R187-#REF!</f>
        <v>#REF!</v>
      </c>
      <c r="V187" s="151">
        <f t="shared" si="90"/>
        <v>167.43655880173304</v>
      </c>
      <c r="W187" s="151">
        <f t="shared" si="91"/>
        <v>0</v>
      </c>
      <c r="X187" s="151" t="e">
        <f>O187-#REF!</f>
        <v>#REF!</v>
      </c>
      <c r="Y187" s="143">
        <f>'[65]2. подк.неподк.'!V175</f>
        <v>313.61855361417162</v>
      </c>
      <c r="Z187" s="182">
        <f>'[65]2. подк.неподк.'!W175</f>
        <v>327.73138852680933</v>
      </c>
      <c r="AA187" s="143">
        <f>'[65]2. подк.неподк.'!X175</f>
        <v>566.94491712000013</v>
      </c>
      <c r="AB187" s="143">
        <f t="shared" si="110"/>
        <v>325.17594906936006</v>
      </c>
      <c r="AC187" s="144">
        <f t="shared" si="92"/>
        <v>325.17594906936006</v>
      </c>
      <c r="AD187" s="143">
        <f t="shared" si="93"/>
        <v>11.557395455188441</v>
      </c>
      <c r="AE187" s="143">
        <f t="shared" si="94"/>
        <v>3.6851759317169979</v>
      </c>
      <c r="AF187" s="143">
        <f t="shared" si="95"/>
        <v>-2.5554394574492676</v>
      </c>
      <c r="AG187" s="143">
        <f t="shared" si="96"/>
        <v>-0.77973595051004452</v>
      </c>
      <c r="AH187" s="143">
        <f t="shared" si="97"/>
        <v>-241.76896805064007</v>
      </c>
      <c r="AI187" s="143">
        <f t="shared" si="98"/>
        <v>-42.644172431916694</v>
      </c>
    </row>
    <row r="188" spans="1:35" s="191" customFormat="1" ht="33" customHeight="1" outlineLevel="3">
      <c r="A188" s="152" t="s">
        <v>910</v>
      </c>
      <c r="B188" s="143" t="s">
        <v>911</v>
      </c>
      <c r="C188" s="147" t="s">
        <v>912</v>
      </c>
      <c r="D188" s="164" t="s">
        <v>757</v>
      </c>
      <c r="E188" s="149" t="s">
        <v>913</v>
      </c>
      <c r="F188" s="143" t="s">
        <v>121</v>
      </c>
      <c r="G188" s="143">
        <v>22455.717857532385</v>
      </c>
      <c r="H188" s="143">
        <v>9807.5701900000131</v>
      </c>
      <c r="I188" s="143">
        <v>202.16</v>
      </c>
      <c r="J188" s="143">
        <v>8298.4492395325487</v>
      </c>
      <c r="K188" s="143">
        <v>1719.4299999999998</v>
      </c>
      <c r="L188" s="143">
        <v>1719.4299999999998</v>
      </c>
      <c r="M188" s="143">
        <v>6143.9912557634925</v>
      </c>
      <c r="N188" s="143">
        <v>4258.7382500000003</v>
      </c>
      <c r="O188" s="143">
        <v>4191.09573</v>
      </c>
      <c r="P188" s="150">
        <v>2985.8387499999999</v>
      </c>
      <c r="Q188" s="143">
        <v>2985.8387499999999</v>
      </c>
      <c r="R188" s="144">
        <v>4191.09573</v>
      </c>
      <c r="S188" s="143">
        <f t="shared" si="88"/>
        <v>-1952.8955257634925</v>
      </c>
      <c r="T188" s="143">
        <f t="shared" si="89"/>
        <v>0</v>
      </c>
      <c r="U188" s="151" t="e">
        <f>R188-#REF!</f>
        <v>#REF!</v>
      </c>
      <c r="V188" s="151">
        <f t="shared" si="90"/>
        <v>-1952.8955257634925</v>
      </c>
      <c r="W188" s="151">
        <f t="shared" si="91"/>
        <v>0</v>
      </c>
      <c r="X188" s="151" t="e">
        <f>O188-#REF!</f>
        <v>#REF!</v>
      </c>
      <c r="Y188" s="143">
        <f>'[65]2. подк.неподк.'!V176</f>
        <v>2026.66</v>
      </c>
      <c r="Z188" s="182">
        <f>'[65]2. подк.неподк.'!W176</f>
        <v>2117.8612178624999</v>
      </c>
      <c r="AA188" s="143">
        <f>'[65]2. подк.неподк.'!X176</f>
        <v>3782.08</v>
      </c>
      <c r="AB188" s="143">
        <f t="shared" si="110"/>
        <v>2101.3459865377358</v>
      </c>
      <c r="AC188" s="144">
        <f t="shared" si="92"/>
        <v>2101.3459865377358</v>
      </c>
      <c r="AD188" s="143">
        <f t="shared" si="93"/>
        <v>74.685986537735744</v>
      </c>
      <c r="AE188" s="143">
        <f t="shared" si="94"/>
        <v>3.6851759317169979</v>
      </c>
      <c r="AF188" s="143">
        <f t="shared" si="95"/>
        <v>-16.515231324764045</v>
      </c>
      <c r="AG188" s="143">
        <f t="shared" si="96"/>
        <v>-0.77980706126874111</v>
      </c>
      <c r="AH188" s="143">
        <f t="shared" si="97"/>
        <v>-1680.7340134622641</v>
      </c>
      <c r="AI188" s="143">
        <f t="shared" si="98"/>
        <v>-44.439409358402358</v>
      </c>
    </row>
    <row r="189" spans="1:35" s="191" customFormat="1" ht="33" customHeight="1" outlineLevel="3">
      <c r="A189" s="139" t="s">
        <v>914</v>
      </c>
      <c r="B189" s="143" t="s">
        <v>915</v>
      </c>
      <c r="C189" s="147" t="s">
        <v>916</v>
      </c>
      <c r="D189" s="148" t="s">
        <v>917</v>
      </c>
      <c r="E189" s="188"/>
      <c r="F189" s="143" t="s">
        <v>121</v>
      </c>
      <c r="G189" s="143">
        <v>0</v>
      </c>
      <c r="H189" s="143">
        <v>0</v>
      </c>
      <c r="I189" s="143">
        <v>0</v>
      </c>
      <c r="J189" s="179">
        <v>0</v>
      </c>
      <c r="K189" s="179">
        <v>0</v>
      </c>
      <c r="L189" s="179">
        <v>0</v>
      </c>
      <c r="M189" s="179">
        <v>0</v>
      </c>
      <c r="N189" s="179">
        <v>470.47989000000001</v>
      </c>
      <c r="O189" s="179">
        <v>464.67934000000002</v>
      </c>
      <c r="P189" s="150">
        <v>464.67934000000002</v>
      </c>
      <c r="Q189" s="143">
        <v>464.67934000000002</v>
      </c>
      <c r="R189" s="144">
        <v>464.67934000000002</v>
      </c>
      <c r="S189" s="143">
        <f t="shared" si="88"/>
        <v>464.67934000000002</v>
      </c>
      <c r="T189" s="143">
        <f t="shared" si="89"/>
        <v>0</v>
      </c>
      <c r="U189" s="151" t="e">
        <f>R189-#REF!</f>
        <v>#REF!</v>
      </c>
      <c r="V189" s="151">
        <f t="shared" si="90"/>
        <v>464.67934000000002</v>
      </c>
      <c r="W189" s="151">
        <f t="shared" si="91"/>
        <v>0</v>
      </c>
      <c r="X189" s="151" t="e">
        <f>O189-#REF!</f>
        <v>#REF!</v>
      </c>
      <c r="Y189" s="143">
        <f>'[65]2. подк.неподк.'!V177</f>
        <v>0</v>
      </c>
      <c r="Z189" s="182">
        <f>'[65]2. подк.неподк.'!W177</f>
        <v>0</v>
      </c>
      <c r="AA189" s="143">
        <f>'[65]2. подк.неподк.'!X177</f>
        <v>519.4</v>
      </c>
      <c r="AB189" s="143">
        <f t="shared" si="110"/>
        <v>0</v>
      </c>
      <c r="AC189" s="144">
        <f t="shared" si="92"/>
        <v>0</v>
      </c>
      <c r="AD189" s="143">
        <f t="shared" si="93"/>
        <v>0</v>
      </c>
      <c r="AE189" s="143"/>
      <c r="AF189" s="143">
        <f t="shared" si="95"/>
        <v>0</v>
      </c>
      <c r="AG189" s="143"/>
      <c r="AH189" s="143">
        <f t="shared" si="97"/>
        <v>-519.4</v>
      </c>
      <c r="AI189" s="143">
        <f t="shared" si="98"/>
        <v>-100</v>
      </c>
    </row>
    <row r="190" spans="1:35" s="191" customFormat="1" ht="33" customHeight="1" outlineLevel="3">
      <c r="A190" s="139" t="s">
        <v>918</v>
      </c>
      <c r="B190" s="143" t="s">
        <v>919</v>
      </c>
      <c r="C190" s="147" t="s">
        <v>920</v>
      </c>
      <c r="D190" s="148" t="s">
        <v>921</v>
      </c>
      <c r="E190" s="149" t="s">
        <v>922</v>
      </c>
      <c r="F190" s="143" t="s">
        <v>121</v>
      </c>
      <c r="G190" s="143">
        <v>15646.73483510509</v>
      </c>
      <c r="H190" s="143">
        <v>96117.905140000003</v>
      </c>
      <c r="I190" s="143">
        <v>96117.91</v>
      </c>
      <c r="J190" s="179">
        <v>22147.414366740701</v>
      </c>
      <c r="K190" s="179">
        <v>109752.17554</v>
      </c>
      <c r="L190" s="179">
        <v>109752.18</v>
      </c>
      <c r="M190" s="179">
        <v>45185.307212915061</v>
      </c>
      <c r="N190" s="179">
        <v>83937.808420000001</v>
      </c>
      <c r="O190" s="179">
        <v>79958.768400000001</v>
      </c>
      <c r="P190" s="150">
        <v>79958.768400000001</v>
      </c>
      <c r="Q190" s="143">
        <v>79958.768400000001</v>
      </c>
      <c r="R190" s="144">
        <v>79958.768400000001</v>
      </c>
      <c r="S190" s="143">
        <f t="shared" si="88"/>
        <v>34773.46118708494</v>
      </c>
      <c r="T190" s="143">
        <f t="shared" si="89"/>
        <v>0</v>
      </c>
      <c r="U190" s="151" t="e">
        <f>R190-#REF!</f>
        <v>#REF!</v>
      </c>
      <c r="V190" s="151">
        <f t="shared" si="90"/>
        <v>34773.46118708494</v>
      </c>
      <c r="W190" s="151">
        <f t="shared" si="91"/>
        <v>0</v>
      </c>
      <c r="X190" s="151" t="e">
        <f>O190-#REF!</f>
        <v>#REF!</v>
      </c>
      <c r="Y190" s="143">
        <f>'[65]2. подк.неподк.'!V178</f>
        <v>49617.8491096254</v>
      </c>
      <c r="Z190" s="182">
        <f>'[65]2. подк.неподк.'!W178</f>
        <v>51850.65231955854</v>
      </c>
      <c r="AA190" s="143">
        <f>'[65]2. подк.неподк.'!X178</f>
        <v>94820.794550320003</v>
      </c>
      <c r="AB190" s="143">
        <f t="shared" si="110"/>
        <v>51446.35414284897</v>
      </c>
      <c r="AC190" s="144">
        <f t="shared" si="92"/>
        <v>51446.35414284897</v>
      </c>
      <c r="AD190" s="143">
        <f t="shared" si="93"/>
        <v>1828.5050332235696</v>
      </c>
      <c r="AE190" s="143">
        <f t="shared" si="94"/>
        <v>3.6851759317169979</v>
      </c>
      <c r="AF190" s="143">
        <f t="shared" si="95"/>
        <v>-404.29817670956982</v>
      </c>
      <c r="AG190" s="143">
        <f t="shared" si="96"/>
        <v>-0.77973595051005873</v>
      </c>
      <c r="AH190" s="143">
        <f t="shared" si="97"/>
        <v>-43374.440407471033</v>
      </c>
      <c r="AI190" s="143">
        <f t="shared" si="98"/>
        <v>-45.74359518201765</v>
      </c>
    </row>
    <row r="191" spans="1:35" s="191" customFormat="1" ht="33" customHeight="1" outlineLevel="3">
      <c r="A191" s="139" t="s">
        <v>923</v>
      </c>
      <c r="B191" s="143" t="s">
        <v>924</v>
      </c>
      <c r="C191" s="147" t="s">
        <v>925</v>
      </c>
      <c r="D191" s="148" t="s">
        <v>926</v>
      </c>
      <c r="E191" s="149" t="s">
        <v>927</v>
      </c>
      <c r="F191" s="143" t="s">
        <v>121</v>
      </c>
      <c r="G191" s="143">
        <v>0</v>
      </c>
      <c r="H191" s="143">
        <v>306.13402000000002</v>
      </c>
      <c r="I191" s="143">
        <v>0</v>
      </c>
      <c r="J191" s="179">
        <v>0</v>
      </c>
      <c r="K191" s="179">
        <v>0</v>
      </c>
      <c r="L191" s="179">
        <v>0</v>
      </c>
      <c r="M191" s="179">
        <v>0</v>
      </c>
      <c r="N191" s="179">
        <v>200.73367000000002</v>
      </c>
      <c r="O191" s="179">
        <v>187.56292999999999</v>
      </c>
      <c r="P191" s="150">
        <v>187.56292999999999</v>
      </c>
      <c r="Q191" s="143">
        <v>187.56292999999999</v>
      </c>
      <c r="R191" s="144">
        <v>187.56292999999999</v>
      </c>
      <c r="S191" s="143">
        <f t="shared" si="88"/>
        <v>187.56292999999999</v>
      </c>
      <c r="T191" s="143">
        <f t="shared" si="89"/>
        <v>0</v>
      </c>
      <c r="U191" s="151" t="e">
        <f>R191-#REF!</f>
        <v>#REF!</v>
      </c>
      <c r="V191" s="151">
        <f t="shared" si="90"/>
        <v>187.56292999999999</v>
      </c>
      <c r="W191" s="151">
        <f t="shared" si="91"/>
        <v>0</v>
      </c>
      <c r="X191" s="151" t="e">
        <f>O191-#REF!</f>
        <v>#REF!</v>
      </c>
      <c r="Y191" s="143">
        <f>'[65]2. подк.неподк.'!V179</f>
        <v>0</v>
      </c>
      <c r="Z191" s="182">
        <f>'[65]2. подк.неподк.'!W179</f>
        <v>0</v>
      </c>
      <c r="AA191" s="143">
        <f>'[65]2. подк.неподк.'!X179</f>
        <v>196.46612880000001</v>
      </c>
      <c r="AB191" s="143">
        <f t="shared" si="110"/>
        <v>0</v>
      </c>
      <c r="AC191" s="144">
        <f t="shared" si="92"/>
        <v>0</v>
      </c>
      <c r="AD191" s="143">
        <f t="shared" si="93"/>
        <v>0</v>
      </c>
      <c r="AE191" s="143"/>
      <c r="AF191" s="143">
        <f t="shared" si="95"/>
        <v>0</v>
      </c>
      <c r="AG191" s="143"/>
      <c r="AH191" s="143">
        <f t="shared" si="97"/>
        <v>-196.46612880000001</v>
      </c>
      <c r="AI191" s="143">
        <f t="shared" si="98"/>
        <v>-100</v>
      </c>
    </row>
    <row r="192" spans="1:35" s="191" customFormat="1" ht="47.25" customHeight="1" outlineLevel="3">
      <c r="A192" s="139" t="s">
        <v>928</v>
      </c>
      <c r="B192" s="143" t="s">
        <v>929</v>
      </c>
      <c r="C192" s="147" t="s">
        <v>930</v>
      </c>
      <c r="D192" s="148" t="s">
        <v>931</v>
      </c>
      <c r="E192" s="188"/>
      <c r="F192" s="143" t="s">
        <v>121</v>
      </c>
      <c r="G192" s="143">
        <v>0</v>
      </c>
      <c r="H192" s="143">
        <v>0</v>
      </c>
      <c r="I192" s="143">
        <v>0</v>
      </c>
      <c r="J192" s="179">
        <v>0</v>
      </c>
      <c r="K192" s="179">
        <v>0</v>
      </c>
      <c r="L192" s="179">
        <v>0</v>
      </c>
      <c r="M192" s="179">
        <v>0</v>
      </c>
      <c r="N192" s="179">
        <v>0</v>
      </c>
      <c r="O192" s="179">
        <v>0</v>
      </c>
      <c r="P192" s="150">
        <v>0</v>
      </c>
      <c r="Q192" s="143">
        <v>0</v>
      </c>
      <c r="R192" s="144">
        <v>0</v>
      </c>
      <c r="S192" s="143">
        <f t="shared" si="88"/>
        <v>0</v>
      </c>
      <c r="T192" s="143">
        <f t="shared" si="89"/>
        <v>0</v>
      </c>
      <c r="U192" s="151" t="e">
        <f>R192-#REF!</f>
        <v>#REF!</v>
      </c>
      <c r="V192" s="151">
        <f t="shared" si="90"/>
        <v>0</v>
      </c>
      <c r="W192" s="151">
        <f t="shared" si="91"/>
        <v>0</v>
      </c>
      <c r="X192" s="151" t="e">
        <f>O192-#REF!</f>
        <v>#REF!</v>
      </c>
      <c r="Y192" s="143">
        <f>'[65]2. подк.неподк.'!V180</f>
        <v>0</v>
      </c>
      <c r="Z192" s="182">
        <f>'[65]2. подк.неподк.'!W180</f>
        <v>0</v>
      </c>
      <c r="AA192" s="143">
        <f>'[65]2. подк.неподк.'!X180</f>
        <v>0</v>
      </c>
      <c r="AB192" s="143">
        <f t="shared" si="110"/>
        <v>0</v>
      </c>
      <c r="AC192" s="144">
        <f t="shared" si="92"/>
        <v>0</v>
      </c>
      <c r="AD192" s="143">
        <f t="shared" si="93"/>
        <v>0</v>
      </c>
      <c r="AE192" s="143"/>
      <c r="AF192" s="143">
        <f t="shared" si="95"/>
        <v>0</v>
      </c>
      <c r="AG192" s="143"/>
      <c r="AH192" s="143">
        <f t="shared" si="97"/>
        <v>0</v>
      </c>
      <c r="AI192" s="143"/>
    </row>
    <row r="193" spans="1:35" s="191" customFormat="1" ht="47.25" customHeight="1" outlineLevel="3">
      <c r="A193" s="139" t="s">
        <v>932</v>
      </c>
      <c r="B193" s="143" t="s">
        <v>933</v>
      </c>
      <c r="C193" s="147" t="s">
        <v>934</v>
      </c>
      <c r="D193" s="148" t="s">
        <v>935</v>
      </c>
      <c r="E193" s="188"/>
      <c r="F193" s="143" t="s">
        <v>121</v>
      </c>
      <c r="G193" s="143">
        <v>0</v>
      </c>
      <c r="H193" s="143">
        <v>0</v>
      </c>
      <c r="I193" s="143">
        <v>0</v>
      </c>
      <c r="J193" s="179">
        <v>0</v>
      </c>
      <c r="K193" s="179">
        <v>0</v>
      </c>
      <c r="L193" s="179">
        <v>0</v>
      </c>
      <c r="M193" s="179">
        <v>0</v>
      </c>
      <c r="N193" s="179"/>
      <c r="O193" s="179"/>
      <c r="P193" s="150">
        <v>3.0129999999999999</v>
      </c>
      <c r="Q193" s="143">
        <v>3.0129999999999999</v>
      </c>
      <c r="R193" s="144">
        <v>0</v>
      </c>
      <c r="S193" s="143">
        <f t="shared" si="88"/>
        <v>0</v>
      </c>
      <c r="T193" s="143">
        <f t="shared" si="89"/>
        <v>0</v>
      </c>
      <c r="U193" s="151" t="e">
        <f>R193-#REF!</f>
        <v>#REF!</v>
      </c>
      <c r="V193" s="151">
        <f t="shared" si="90"/>
        <v>0</v>
      </c>
      <c r="W193" s="151">
        <f t="shared" si="91"/>
        <v>0</v>
      </c>
      <c r="X193" s="151" t="e">
        <f>O193-#REF!</f>
        <v>#REF!</v>
      </c>
      <c r="Y193" s="143">
        <f>'[65]2. подк.неподк.'!V181</f>
        <v>0</v>
      </c>
      <c r="Z193" s="182">
        <f>'[65]2. подк.неподк.'!W181</f>
        <v>0</v>
      </c>
      <c r="AA193" s="143">
        <f>'[65]2. подк.неподк.'!X181</f>
        <v>131</v>
      </c>
      <c r="AB193" s="143">
        <f t="shared" si="110"/>
        <v>0</v>
      </c>
      <c r="AC193" s="144">
        <f t="shared" si="92"/>
        <v>0</v>
      </c>
      <c r="AD193" s="143">
        <f t="shared" si="93"/>
        <v>0</v>
      </c>
      <c r="AE193" s="143"/>
      <c r="AF193" s="143">
        <f t="shared" si="95"/>
        <v>0</v>
      </c>
      <c r="AG193" s="143"/>
      <c r="AH193" s="143">
        <f t="shared" si="97"/>
        <v>-131</v>
      </c>
      <c r="AI193" s="143">
        <f t="shared" si="98"/>
        <v>-100</v>
      </c>
    </row>
    <row r="194" spans="1:35" s="191" customFormat="1" ht="53.25" customHeight="1" outlineLevel="3">
      <c r="A194" s="139" t="s">
        <v>936</v>
      </c>
      <c r="B194" s="143" t="s">
        <v>937</v>
      </c>
      <c r="C194" s="147" t="s">
        <v>938</v>
      </c>
      <c r="D194" s="148" t="s">
        <v>939</v>
      </c>
      <c r="E194" s="188"/>
      <c r="F194" s="143" t="s">
        <v>121</v>
      </c>
      <c r="G194" s="143">
        <v>0</v>
      </c>
      <c r="H194" s="143">
        <v>0</v>
      </c>
      <c r="I194" s="143">
        <v>0</v>
      </c>
      <c r="J194" s="179">
        <v>0</v>
      </c>
      <c r="K194" s="179">
        <v>2515.0664499999998</v>
      </c>
      <c r="L194" s="179">
        <v>0</v>
      </c>
      <c r="M194" s="179">
        <v>0</v>
      </c>
      <c r="N194" s="179">
        <v>2525.4330299999997</v>
      </c>
      <c r="O194" s="179">
        <v>0</v>
      </c>
      <c r="P194" s="180">
        <v>0</v>
      </c>
      <c r="Q194" s="182">
        <v>0</v>
      </c>
      <c r="R194" s="144">
        <v>0</v>
      </c>
      <c r="S194" s="182">
        <f t="shared" si="88"/>
        <v>0</v>
      </c>
      <c r="T194" s="182">
        <f t="shared" si="89"/>
        <v>0</v>
      </c>
      <c r="U194" s="181" t="e">
        <f>R194-#REF!</f>
        <v>#REF!</v>
      </c>
      <c r="V194" s="181">
        <f t="shared" si="90"/>
        <v>0</v>
      </c>
      <c r="W194" s="181">
        <f t="shared" si="91"/>
        <v>0</v>
      </c>
      <c r="X194" s="181" t="e">
        <f>O194-#REF!</f>
        <v>#REF!</v>
      </c>
      <c r="Y194" s="143">
        <f>'[65]2. подк.неподк.'!V182</f>
        <v>0</v>
      </c>
      <c r="Z194" s="182">
        <f>'[65]2. подк.неподк.'!W182</f>
        <v>0</v>
      </c>
      <c r="AA194" s="143">
        <f>'[65]2. подк.неподк.'!X182</f>
        <v>10135.690736440678</v>
      </c>
      <c r="AB194" s="143">
        <f t="shared" si="110"/>
        <v>0</v>
      </c>
      <c r="AC194" s="144">
        <f t="shared" si="92"/>
        <v>0</v>
      </c>
      <c r="AD194" s="143">
        <f t="shared" si="93"/>
        <v>0</v>
      </c>
      <c r="AE194" s="143"/>
      <c r="AF194" s="143">
        <f t="shared" si="95"/>
        <v>0</v>
      </c>
      <c r="AG194" s="143"/>
      <c r="AH194" s="143">
        <f t="shared" si="97"/>
        <v>-10135.690736440678</v>
      </c>
      <c r="AI194" s="143">
        <f t="shared" si="98"/>
        <v>-100</v>
      </c>
    </row>
    <row r="195" spans="1:35" s="191" customFormat="1" ht="52.5" customHeight="1" outlineLevel="3">
      <c r="A195" s="139" t="s">
        <v>940</v>
      </c>
      <c r="B195" s="143" t="s">
        <v>941</v>
      </c>
      <c r="C195" s="147" t="s">
        <v>942</v>
      </c>
      <c r="D195" s="148" t="s">
        <v>943</v>
      </c>
      <c r="E195" s="149" t="s">
        <v>944</v>
      </c>
      <c r="F195" s="143" t="s">
        <v>121</v>
      </c>
      <c r="G195" s="143">
        <v>1908.21</v>
      </c>
      <c r="H195" s="143">
        <v>0</v>
      </c>
      <c r="I195" s="143">
        <v>0</v>
      </c>
      <c r="J195" s="143">
        <v>2093.8278837929997</v>
      </c>
      <c r="K195" s="143">
        <v>0</v>
      </c>
      <c r="L195" s="143">
        <v>0</v>
      </c>
      <c r="M195" s="143">
        <v>0</v>
      </c>
      <c r="N195" s="143"/>
      <c r="O195" s="143"/>
      <c r="P195" s="150">
        <v>188.65848</v>
      </c>
      <c r="Q195" s="143">
        <v>188.65848</v>
      </c>
      <c r="R195" s="144">
        <v>0</v>
      </c>
      <c r="S195" s="143">
        <f t="shared" si="88"/>
        <v>0</v>
      </c>
      <c r="T195" s="143">
        <f t="shared" si="89"/>
        <v>0</v>
      </c>
      <c r="U195" s="151" t="e">
        <f>R195-#REF!</f>
        <v>#REF!</v>
      </c>
      <c r="V195" s="151">
        <f t="shared" si="90"/>
        <v>0</v>
      </c>
      <c r="W195" s="151">
        <f t="shared" si="91"/>
        <v>0</v>
      </c>
      <c r="X195" s="151" t="e">
        <f>O195-#REF!</f>
        <v>#REF!</v>
      </c>
      <c r="Y195" s="143">
        <f>'[65]2. подк.неподк.'!V183</f>
        <v>0</v>
      </c>
      <c r="Z195" s="182">
        <f>'[65]2. подк.неподк.'!W183</f>
        <v>0</v>
      </c>
      <c r="AA195" s="143">
        <f>'[65]2. подк.неподк.'!X183</f>
        <v>30.04</v>
      </c>
      <c r="AB195" s="143">
        <f t="shared" si="110"/>
        <v>0</v>
      </c>
      <c r="AC195" s="144">
        <f t="shared" si="92"/>
        <v>0</v>
      </c>
      <c r="AD195" s="143">
        <f t="shared" si="93"/>
        <v>0</v>
      </c>
      <c r="AE195" s="143"/>
      <c r="AF195" s="143">
        <f t="shared" si="95"/>
        <v>0</v>
      </c>
      <c r="AG195" s="143"/>
      <c r="AH195" s="143">
        <f t="shared" si="97"/>
        <v>-30.04</v>
      </c>
      <c r="AI195" s="143">
        <f t="shared" si="98"/>
        <v>-100</v>
      </c>
    </row>
    <row r="196" spans="1:35" s="191" customFormat="1" ht="33" customHeight="1" outlineLevel="3">
      <c r="A196" s="139" t="s">
        <v>945</v>
      </c>
      <c r="B196" s="143" t="s">
        <v>946</v>
      </c>
      <c r="C196" s="147" t="s">
        <v>947</v>
      </c>
      <c r="D196" s="148" t="s">
        <v>948</v>
      </c>
      <c r="E196" s="188"/>
      <c r="F196" s="143" t="s">
        <v>121</v>
      </c>
      <c r="G196" s="143">
        <v>0</v>
      </c>
      <c r="H196" s="143">
        <v>0</v>
      </c>
      <c r="I196" s="143">
        <v>0</v>
      </c>
      <c r="J196" s="179">
        <v>0</v>
      </c>
      <c r="K196" s="179">
        <v>0</v>
      </c>
      <c r="L196" s="179">
        <v>0</v>
      </c>
      <c r="M196" s="179">
        <v>0</v>
      </c>
      <c r="N196" s="179"/>
      <c r="O196" s="179"/>
      <c r="P196" s="180">
        <v>70.843620000000001</v>
      </c>
      <c r="Q196" s="179">
        <v>165.73782999999997</v>
      </c>
      <c r="R196" s="144">
        <v>0</v>
      </c>
      <c r="S196" s="179">
        <f t="shared" si="88"/>
        <v>0</v>
      </c>
      <c r="T196" s="179">
        <f t="shared" si="89"/>
        <v>0</v>
      </c>
      <c r="U196" s="181" t="e">
        <f>R196-#REF!</f>
        <v>#REF!</v>
      </c>
      <c r="V196" s="181">
        <f t="shared" si="90"/>
        <v>0</v>
      </c>
      <c r="W196" s="181">
        <f t="shared" si="91"/>
        <v>94.894209999999973</v>
      </c>
      <c r="X196" s="181" t="e">
        <f>O196-#REF!</f>
        <v>#REF!</v>
      </c>
      <c r="Y196" s="143">
        <f>'[65]2. подк.неподк.'!V184</f>
        <v>693.09781124999995</v>
      </c>
      <c r="Z196" s="182">
        <f>'[65]2. подк.неподк.'!W184</f>
        <v>0</v>
      </c>
      <c r="AA196" s="143">
        <f>'[65]2. подк.неподк.'!X184</f>
        <v>724.28721275624991</v>
      </c>
      <c r="AB196" s="143">
        <f t="shared" si="110"/>
        <v>718.63968497344229</v>
      </c>
      <c r="AC196" s="144">
        <f t="shared" si="92"/>
        <v>718.63968497344229</v>
      </c>
      <c r="AD196" s="143">
        <f t="shared" si="93"/>
        <v>25.541873723442336</v>
      </c>
      <c r="AE196" s="143">
        <f t="shared" si="94"/>
        <v>3.6851759317169979</v>
      </c>
      <c r="AF196" s="143">
        <f t="shared" si="95"/>
        <v>718.63968497344229</v>
      </c>
      <c r="AG196" s="143"/>
      <c r="AH196" s="143">
        <f t="shared" si="97"/>
        <v>-5.6475277828076287</v>
      </c>
      <c r="AI196" s="143">
        <f t="shared" si="98"/>
        <v>-0.77973595051004452</v>
      </c>
    </row>
    <row r="197" spans="1:35" s="191" customFormat="1" ht="33" customHeight="1" outlineLevel="3">
      <c r="A197" s="139" t="s">
        <v>949</v>
      </c>
      <c r="B197" s="143" t="s">
        <v>950</v>
      </c>
      <c r="C197" s="147" t="s">
        <v>951</v>
      </c>
      <c r="D197" s="148" t="s">
        <v>952</v>
      </c>
      <c r="E197" s="188"/>
      <c r="F197" s="143" t="s">
        <v>121</v>
      </c>
      <c r="G197" s="143">
        <v>0</v>
      </c>
      <c r="H197" s="143">
        <v>0</v>
      </c>
      <c r="I197" s="143">
        <v>0</v>
      </c>
      <c r="J197" s="179">
        <v>0</v>
      </c>
      <c r="K197" s="179">
        <v>0</v>
      </c>
      <c r="L197" s="179">
        <v>0</v>
      </c>
      <c r="M197" s="179">
        <v>0</v>
      </c>
      <c r="N197" s="179"/>
      <c r="O197" s="179"/>
      <c r="P197" s="180">
        <v>165.73782999999997</v>
      </c>
      <c r="Q197" s="179">
        <v>0</v>
      </c>
      <c r="R197" s="144">
        <v>0</v>
      </c>
      <c r="S197" s="179">
        <f t="shared" si="88"/>
        <v>0</v>
      </c>
      <c r="T197" s="179">
        <f t="shared" si="89"/>
        <v>0</v>
      </c>
      <c r="U197" s="181" t="e">
        <f>R197-#REF!</f>
        <v>#REF!</v>
      </c>
      <c r="V197" s="181">
        <f t="shared" si="90"/>
        <v>0</v>
      </c>
      <c r="W197" s="181">
        <f t="shared" si="91"/>
        <v>-165.73782999999997</v>
      </c>
      <c r="X197" s="181" t="e">
        <f>O197-#REF!</f>
        <v>#REF!</v>
      </c>
      <c r="Y197" s="143">
        <f>'[65]2. подк.неподк.'!V185</f>
        <v>0</v>
      </c>
      <c r="Z197" s="182">
        <f>'[65]2. подк.неподк.'!W185</f>
        <v>0</v>
      </c>
      <c r="AA197" s="143">
        <f>'[65]2. подк.неподк.'!X185</f>
        <v>212.5</v>
      </c>
      <c r="AB197" s="143">
        <f t="shared" si="110"/>
        <v>0</v>
      </c>
      <c r="AC197" s="144">
        <f t="shared" si="92"/>
        <v>0</v>
      </c>
      <c r="AD197" s="143">
        <f t="shared" si="93"/>
        <v>0</v>
      </c>
      <c r="AE197" s="143"/>
      <c r="AF197" s="143">
        <f t="shared" si="95"/>
        <v>0</v>
      </c>
      <c r="AG197" s="143"/>
      <c r="AH197" s="143">
        <f t="shared" si="97"/>
        <v>-212.5</v>
      </c>
      <c r="AI197" s="143">
        <f t="shared" si="98"/>
        <v>-100</v>
      </c>
    </row>
    <row r="198" spans="1:35" s="191" customFormat="1" ht="33" customHeight="1" outlineLevel="3">
      <c r="A198" s="139" t="s">
        <v>953</v>
      </c>
      <c r="B198" s="143" t="s">
        <v>954</v>
      </c>
      <c r="C198" s="147" t="s">
        <v>955</v>
      </c>
      <c r="D198" s="148" t="s">
        <v>956</v>
      </c>
      <c r="E198" s="149" t="s">
        <v>957</v>
      </c>
      <c r="F198" s="143" t="s">
        <v>121</v>
      </c>
      <c r="G198" s="143">
        <v>0</v>
      </c>
      <c r="H198" s="143">
        <v>0</v>
      </c>
      <c r="I198" s="143">
        <v>0</v>
      </c>
      <c r="J198" s="143">
        <v>0</v>
      </c>
      <c r="K198" s="143">
        <v>19106.18389</v>
      </c>
      <c r="L198" s="143">
        <v>0</v>
      </c>
      <c r="M198" s="143">
        <v>0</v>
      </c>
      <c r="N198" s="143">
        <v>1456.6312499999999</v>
      </c>
      <c r="O198" s="143">
        <v>1430.4957899999999</v>
      </c>
      <c r="P198" s="150">
        <v>0</v>
      </c>
      <c r="Q198" s="143">
        <v>0</v>
      </c>
      <c r="R198" s="144">
        <v>0</v>
      </c>
      <c r="S198" s="143">
        <f t="shared" si="88"/>
        <v>0</v>
      </c>
      <c r="T198" s="143">
        <f t="shared" si="89"/>
        <v>-1430.4957899999999</v>
      </c>
      <c r="U198" s="151" t="e">
        <f>R198-#REF!</f>
        <v>#REF!</v>
      </c>
      <c r="V198" s="151">
        <f t="shared" si="90"/>
        <v>0</v>
      </c>
      <c r="W198" s="151">
        <f t="shared" si="91"/>
        <v>0</v>
      </c>
      <c r="X198" s="151" t="e">
        <f>O198-#REF!</f>
        <v>#REF!</v>
      </c>
      <c r="Y198" s="143">
        <f>'[65]2. подк.неподк.'!V186</f>
        <v>0</v>
      </c>
      <c r="Z198" s="182">
        <f>'[65]2. подк.неподк.'!W186</f>
        <v>0</v>
      </c>
      <c r="AA198" s="143">
        <f>'[65]2. подк.неподк.'!X186</f>
        <v>1696.9915200000003</v>
      </c>
      <c r="AB198" s="143">
        <f t="shared" si="110"/>
        <v>0</v>
      </c>
      <c r="AC198" s="144">
        <f t="shared" si="92"/>
        <v>0</v>
      </c>
      <c r="AD198" s="143">
        <f t="shared" si="93"/>
        <v>0</v>
      </c>
      <c r="AE198" s="143"/>
      <c r="AF198" s="143">
        <f t="shared" si="95"/>
        <v>0</v>
      </c>
      <c r="AG198" s="143"/>
      <c r="AH198" s="143">
        <f t="shared" si="97"/>
        <v>-1696.9915200000003</v>
      </c>
      <c r="AI198" s="143">
        <f t="shared" si="98"/>
        <v>-100</v>
      </c>
    </row>
    <row r="199" spans="1:35" ht="33" customHeight="1" outlineLevel="3">
      <c r="A199" s="139" t="s">
        <v>958</v>
      </c>
      <c r="B199" s="143" t="s">
        <v>959</v>
      </c>
      <c r="C199" s="147" t="s">
        <v>960</v>
      </c>
      <c r="D199" s="148" t="s">
        <v>961</v>
      </c>
      <c r="E199" s="188"/>
      <c r="F199" s="143" t="s">
        <v>121</v>
      </c>
      <c r="G199" s="143">
        <v>0</v>
      </c>
      <c r="H199" s="143">
        <v>0</v>
      </c>
      <c r="I199" s="143">
        <v>0</v>
      </c>
      <c r="J199" s="179">
        <v>0</v>
      </c>
      <c r="K199" s="179">
        <v>0</v>
      </c>
      <c r="L199" s="179">
        <v>0</v>
      </c>
      <c r="M199" s="179">
        <v>0</v>
      </c>
      <c r="N199" s="179"/>
      <c r="O199" s="179"/>
      <c r="P199" s="180">
        <v>777.00405000000001</v>
      </c>
      <c r="Q199" s="179">
        <v>777.00405000000001</v>
      </c>
      <c r="R199" s="144">
        <v>0</v>
      </c>
      <c r="S199" s="179">
        <f t="shared" si="88"/>
        <v>0</v>
      </c>
      <c r="T199" s="179">
        <f t="shared" si="89"/>
        <v>0</v>
      </c>
      <c r="U199" s="181" t="e">
        <f>R199-#REF!</f>
        <v>#REF!</v>
      </c>
      <c r="V199" s="181">
        <f t="shared" si="90"/>
        <v>0</v>
      </c>
      <c r="W199" s="181">
        <f t="shared" si="91"/>
        <v>0</v>
      </c>
      <c r="X199" s="181" t="e">
        <f>O199-#REF!</f>
        <v>#REF!</v>
      </c>
      <c r="Y199" s="143">
        <f>'[65]2. подк.неподк.'!V187</f>
        <v>0</v>
      </c>
      <c r="Z199" s="182">
        <f>'[65]2. подк.неподк.'!W187</f>
        <v>0</v>
      </c>
      <c r="AA199" s="143">
        <f>'[65]2. подк.неподк.'!X187</f>
        <v>520</v>
      </c>
      <c r="AB199" s="143">
        <f t="shared" si="110"/>
        <v>0</v>
      </c>
      <c r="AC199" s="144">
        <f t="shared" si="92"/>
        <v>0</v>
      </c>
      <c r="AD199" s="143">
        <f t="shared" si="93"/>
        <v>0</v>
      </c>
      <c r="AE199" s="143"/>
      <c r="AF199" s="143">
        <f t="shared" si="95"/>
        <v>0</v>
      </c>
      <c r="AG199" s="143"/>
      <c r="AH199" s="143">
        <f t="shared" si="97"/>
        <v>-520</v>
      </c>
      <c r="AI199" s="143">
        <f t="shared" si="98"/>
        <v>-100</v>
      </c>
    </row>
    <row r="200" spans="1:35" ht="51" customHeight="1" outlineLevel="3">
      <c r="A200" s="139" t="s">
        <v>962</v>
      </c>
      <c r="B200" s="143" t="s">
        <v>963</v>
      </c>
      <c r="C200" s="147" t="s">
        <v>964</v>
      </c>
      <c r="D200" s="148" t="s">
        <v>965</v>
      </c>
      <c r="E200" s="188"/>
      <c r="F200" s="143" t="s">
        <v>121</v>
      </c>
      <c r="G200" s="143">
        <v>0</v>
      </c>
      <c r="H200" s="143">
        <v>0</v>
      </c>
      <c r="I200" s="143">
        <v>0</v>
      </c>
      <c r="J200" s="179">
        <v>0</v>
      </c>
      <c r="K200" s="179">
        <v>0</v>
      </c>
      <c r="L200" s="179">
        <v>0</v>
      </c>
      <c r="M200" s="179">
        <v>0</v>
      </c>
      <c r="N200" s="179">
        <v>3116.5554200000001</v>
      </c>
      <c r="O200" s="179">
        <v>3116.5554200000001</v>
      </c>
      <c r="P200" s="180">
        <v>3116.5554200000001</v>
      </c>
      <c r="Q200" s="179">
        <v>6323.6267900000003</v>
      </c>
      <c r="R200" s="144">
        <v>3116.5554200000001</v>
      </c>
      <c r="S200" s="179">
        <f t="shared" si="88"/>
        <v>3116.5554200000001</v>
      </c>
      <c r="T200" s="179">
        <f t="shared" si="89"/>
        <v>0</v>
      </c>
      <c r="U200" s="181" t="e">
        <f>R200-#REF!</f>
        <v>#REF!</v>
      </c>
      <c r="V200" s="181">
        <f t="shared" si="90"/>
        <v>3116.5554200000001</v>
      </c>
      <c r="W200" s="181">
        <f t="shared" si="91"/>
        <v>3207.0713700000001</v>
      </c>
      <c r="X200" s="181" t="e">
        <f>O200-#REF!</f>
        <v>#REF!</v>
      </c>
      <c r="Y200" s="143">
        <f>'[65]2. подк.неподк.'!V188</f>
        <v>0</v>
      </c>
      <c r="Z200" s="182">
        <f>'[65]2. подк.неподк.'!W188</f>
        <v>0</v>
      </c>
      <c r="AA200" s="143">
        <f>'[65]2. подк.неподк.'!X188</f>
        <v>3440.68</v>
      </c>
      <c r="AB200" s="143">
        <f t="shared" si="110"/>
        <v>0</v>
      </c>
      <c r="AC200" s="144">
        <f t="shared" si="92"/>
        <v>0</v>
      </c>
      <c r="AD200" s="143">
        <f t="shared" si="93"/>
        <v>0</v>
      </c>
      <c r="AE200" s="143"/>
      <c r="AF200" s="143">
        <f t="shared" si="95"/>
        <v>0</v>
      </c>
      <c r="AG200" s="143"/>
      <c r="AH200" s="143">
        <f t="shared" si="97"/>
        <v>-3440.68</v>
      </c>
      <c r="AI200" s="143">
        <f t="shared" si="98"/>
        <v>-100</v>
      </c>
    </row>
    <row r="201" spans="1:35" ht="33" customHeight="1" outlineLevel="3">
      <c r="A201" s="139" t="s">
        <v>966</v>
      </c>
      <c r="B201" s="167" t="s">
        <v>967</v>
      </c>
      <c r="C201" s="198" t="s">
        <v>968</v>
      </c>
      <c r="D201" s="199" t="s">
        <v>969</v>
      </c>
      <c r="E201" s="149" t="s">
        <v>970</v>
      </c>
      <c r="F201" s="143" t="s">
        <v>121</v>
      </c>
      <c r="G201" s="143">
        <v>0</v>
      </c>
      <c r="H201" s="143">
        <v>0</v>
      </c>
      <c r="I201" s="143">
        <v>0</v>
      </c>
      <c r="J201" s="143">
        <v>0</v>
      </c>
      <c r="K201" s="143">
        <v>0</v>
      </c>
      <c r="L201" s="143">
        <v>0</v>
      </c>
      <c r="M201" s="143">
        <v>0</v>
      </c>
      <c r="N201" s="143">
        <v>7199.9702400000006</v>
      </c>
      <c r="O201" s="143">
        <v>6323.6267900000003</v>
      </c>
      <c r="P201" s="180">
        <v>6323.6267900000003</v>
      </c>
      <c r="Q201" s="179">
        <v>6323.6267900000003</v>
      </c>
      <c r="R201" s="144">
        <v>0</v>
      </c>
      <c r="S201" s="179">
        <f t="shared" si="88"/>
        <v>0</v>
      </c>
      <c r="T201" s="179">
        <f t="shared" si="89"/>
        <v>-6323.6267900000003</v>
      </c>
      <c r="U201" s="181" t="e">
        <f>R201-#REF!</f>
        <v>#REF!</v>
      </c>
      <c r="V201" s="181">
        <f t="shared" si="90"/>
        <v>0</v>
      </c>
      <c r="W201" s="181">
        <f t="shared" si="91"/>
        <v>0</v>
      </c>
      <c r="X201" s="181" t="e">
        <f>O201-#REF!</f>
        <v>#REF!</v>
      </c>
      <c r="Y201" s="143">
        <f>'[65]2. подк.неподк.'!V189</f>
        <v>0</v>
      </c>
      <c r="Z201" s="182">
        <f>'[65]2. подк.неподк.'!W189</f>
        <v>0</v>
      </c>
      <c r="AA201" s="143">
        <f>'[65]2. подк.неподк.'!X189</f>
        <v>246.69</v>
      </c>
      <c r="AB201" s="143">
        <f t="shared" si="110"/>
        <v>0</v>
      </c>
      <c r="AC201" s="144">
        <f t="shared" si="92"/>
        <v>0</v>
      </c>
      <c r="AD201" s="143">
        <f t="shared" si="93"/>
        <v>0</v>
      </c>
      <c r="AE201" s="143"/>
      <c r="AF201" s="143">
        <f t="shared" si="95"/>
        <v>0</v>
      </c>
      <c r="AG201" s="143"/>
      <c r="AH201" s="143">
        <f t="shared" si="97"/>
        <v>-246.69</v>
      </c>
      <c r="AI201" s="143">
        <f t="shared" si="98"/>
        <v>-100</v>
      </c>
    </row>
    <row r="202" spans="1:35" ht="33" customHeight="1" outlineLevel="3">
      <c r="A202" s="139"/>
      <c r="B202" s="167" t="s">
        <v>971</v>
      </c>
      <c r="C202" s="198"/>
      <c r="D202" s="199" t="s">
        <v>551</v>
      </c>
      <c r="E202" s="149"/>
      <c r="F202" s="143" t="s">
        <v>121</v>
      </c>
      <c r="G202" s="143">
        <v>0</v>
      </c>
      <c r="H202" s="143">
        <v>0</v>
      </c>
      <c r="I202" s="143">
        <v>0</v>
      </c>
      <c r="J202" s="143"/>
      <c r="K202" s="143"/>
      <c r="L202" s="143"/>
      <c r="M202" s="143"/>
      <c r="N202" s="143">
        <v>90</v>
      </c>
      <c r="O202" s="143">
        <v>90</v>
      </c>
      <c r="P202" s="180">
        <v>90</v>
      </c>
      <c r="Q202" s="179">
        <v>90</v>
      </c>
      <c r="R202" s="144">
        <v>90</v>
      </c>
      <c r="S202" s="179">
        <f t="shared" si="88"/>
        <v>90</v>
      </c>
      <c r="T202" s="179">
        <f t="shared" si="89"/>
        <v>0</v>
      </c>
      <c r="U202" s="181" t="e">
        <f>R202-#REF!</f>
        <v>#REF!</v>
      </c>
      <c r="V202" s="181">
        <f t="shared" si="90"/>
        <v>90</v>
      </c>
      <c r="W202" s="181">
        <f t="shared" si="91"/>
        <v>0</v>
      </c>
      <c r="X202" s="181" t="e">
        <f>O202-#REF!</f>
        <v>#REF!</v>
      </c>
      <c r="Y202" s="143">
        <v>0</v>
      </c>
      <c r="Z202" s="182">
        <v>0</v>
      </c>
      <c r="AA202" s="143">
        <v>0</v>
      </c>
      <c r="AB202" s="143">
        <f t="shared" si="110"/>
        <v>0</v>
      </c>
      <c r="AC202" s="144">
        <f t="shared" si="92"/>
        <v>0</v>
      </c>
      <c r="AD202" s="143">
        <f t="shared" si="93"/>
        <v>0</v>
      </c>
      <c r="AE202" s="143"/>
      <c r="AF202" s="143">
        <f t="shared" si="95"/>
        <v>0</v>
      </c>
      <c r="AG202" s="143"/>
      <c r="AH202" s="143">
        <f t="shared" si="97"/>
        <v>0</v>
      </c>
      <c r="AI202" s="143"/>
    </row>
    <row r="203" spans="1:35" ht="33" customHeight="1" outlineLevel="3">
      <c r="A203" s="139"/>
      <c r="B203" s="167" t="s">
        <v>972</v>
      </c>
      <c r="C203" s="198"/>
      <c r="D203" s="199" t="s">
        <v>556</v>
      </c>
      <c r="E203" s="149"/>
      <c r="F203" s="143" t="s">
        <v>121</v>
      </c>
      <c r="G203" s="143">
        <v>0</v>
      </c>
      <c r="H203" s="143">
        <v>0</v>
      </c>
      <c r="I203" s="143">
        <v>0</v>
      </c>
      <c r="J203" s="143"/>
      <c r="K203" s="143"/>
      <c r="L203" s="143"/>
      <c r="M203" s="143"/>
      <c r="N203" s="143">
        <v>165.65</v>
      </c>
      <c r="O203" s="143">
        <v>153.82189000000002</v>
      </c>
      <c r="P203" s="180">
        <v>153.82189000000002</v>
      </c>
      <c r="Q203" s="179">
        <v>153.82189000000002</v>
      </c>
      <c r="R203" s="144">
        <v>153.82189000000002</v>
      </c>
      <c r="S203" s="179">
        <f t="shared" si="88"/>
        <v>153.82189000000002</v>
      </c>
      <c r="T203" s="179">
        <f t="shared" si="89"/>
        <v>0</v>
      </c>
      <c r="U203" s="181" t="e">
        <f>R203-#REF!</f>
        <v>#REF!</v>
      </c>
      <c r="V203" s="181">
        <f t="shared" si="90"/>
        <v>153.82189000000002</v>
      </c>
      <c r="W203" s="181">
        <f t="shared" si="91"/>
        <v>0</v>
      </c>
      <c r="X203" s="181" t="e">
        <f>O203-#REF!</f>
        <v>#REF!</v>
      </c>
      <c r="Y203" s="143">
        <v>0</v>
      </c>
      <c r="Z203" s="182">
        <v>0</v>
      </c>
      <c r="AA203" s="143">
        <v>0</v>
      </c>
      <c r="AB203" s="143">
        <f t="shared" si="110"/>
        <v>0</v>
      </c>
      <c r="AC203" s="144">
        <f t="shared" si="92"/>
        <v>0</v>
      </c>
      <c r="AD203" s="143">
        <f t="shared" si="93"/>
        <v>0</v>
      </c>
      <c r="AE203" s="143"/>
      <c r="AF203" s="143">
        <f t="shared" si="95"/>
        <v>0</v>
      </c>
      <c r="AG203" s="143"/>
      <c r="AH203" s="143">
        <f t="shared" si="97"/>
        <v>0</v>
      </c>
      <c r="AI203" s="143"/>
    </row>
    <row r="204" spans="1:35" ht="33" customHeight="1" outlineLevel="3">
      <c r="A204" s="139"/>
      <c r="B204" s="167" t="s">
        <v>973</v>
      </c>
      <c r="C204" s="198"/>
      <c r="D204" s="199" t="s">
        <v>974</v>
      </c>
      <c r="E204" s="149"/>
      <c r="F204" s="143" t="s">
        <v>121</v>
      </c>
      <c r="G204" s="143">
        <v>0</v>
      </c>
      <c r="H204" s="143">
        <v>0</v>
      </c>
      <c r="I204" s="143">
        <v>0</v>
      </c>
      <c r="J204" s="143"/>
      <c r="K204" s="143"/>
      <c r="L204" s="143"/>
      <c r="M204" s="143"/>
      <c r="N204" s="143"/>
      <c r="O204" s="143"/>
      <c r="P204" s="180"/>
      <c r="Q204" s="179"/>
      <c r="R204" s="144"/>
      <c r="S204" s="179">
        <f t="shared" si="88"/>
        <v>0</v>
      </c>
      <c r="T204" s="179">
        <f t="shared" si="89"/>
        <v>0</v>
      </c>
      <c r="U204" s="181" t="e">
        <f>R204-#REF!</f>
        <v>#REF!</v>
      </c>
      <c r="V204" s="181">
        <f t="shared" si="90"/>
        <v>0</v>
      </c>
      <c r="W204" s="181">
        <f t="shared" si="91"/>
        <v>0</v>
      </c>
      <c r="X204" s="181" t="e">
        <f>O204-#REF!</f>
        <v>#REF!</v>
      </c>
      <c r="Y204" s="143">
        <v>0</v>
      </c>
      <c r="Z204" s="182">
        <v>0</v>
      </c>
      <c r="AA204" s="143">
        <v>0</v>
      </c>
      <c r="AB204" s="143">
        <f t="shared" si="110"/>
        <v>0</v>
      </c>
      <c r="AC204" s="144">
        <f t="shared" si="92"/>
        <v>0</v>
      </c>
      <c r="AD204" s="143">
        <f t="shared" si="93"/>
        <v>0</v>
      </c>
      <c r="AE204" s="143"/>
      <c r="AF204" s="143">
        <f t="shared" si="95"/>
        <v>0</v>
      </c>
      <c r="AG204" s="143"/>
      <c r="AH204" s="143">
        <f t="shared" si="97"/>
        <v>0</v>
      </c>
      <c r="AI204" s="143"/>
    </row>
    <row r="205" spans="1:35" s="161" customFormat="1" ht="33" customHeight="1" outlineLevel="2">
      <c r="A205" s="153"/>
      <c r="B205" s="154"/>
      <c r="C205" s="155"/>
      <c r="D205" s="394" t="s">
        <v>975</v>
      </c>
      <c r="E205" s="157"/>
      <c r="F205" s="158"/>
      <c r="G205" s="154">
        <f t="shared" ref="G205:H205" si="111">SUM(G181:G201)</f>
        <v>74519.575548274923</v>
      </c>
      <c r="H205" s="154">
        <f t="shared" si="111"/>
        <v>114718.43003000002</v>
      </c>
      <c r="I205" s="154">
        <f t="shared" ref="I205" si="112">SUM(I181:I201)</f>
        <v>104459.21</v>
      </c>
      <c r="J205" s="154">
        <f>SUM(J181:J201)</f>
        <v>70405.40017858395</v>
      </c>
      <c r="K205" s="154">
        <f t="shared" ref="K205:M205" si="113">SUM(K181:K201)</f>
        <v>153383.25628999999</v>
      </c>
      <c r="L205" s="154">
        <f t="shared" si="113"/>
        <v>131289.87</v>
      </c>
      <c r="M205" s="154">
        <f t="shared" si="113"/>
        <v>72706.707507035826</v>
      </c>
      <c r="N205" s="154">
        <f>SUM(N181:N204)</f>
        <v>120830.31879</v>
      </c>
      <c r="O205" s="154">
        <f t="shared" ref="O205:AB205" si="114">SUM(O181:O204)</f>
        <v>113298.80385000001</v>
      </c>
      <c r="P205" s="159">
        <f t="shared" si="114"/>
        <v>111664.30840000001</v>
      </c>
      <c r="Q205" s="154">
        <f t="shared" si="114"/>
        <v>114800.53615</v>
      </c>
      <c r="R205" s="144">
        <f t="shared" si="114"/>
        <v>105340.68161000001</v>
      </c>
      <c r="S205" s="144">
        <f t="shared" si="88"/>
        <v>32633.974102964188</v>
      </c>
      <c r="T205" s="144">
        <f t="shared" si="89"/>
        <v>-7958.122239999997</v>
      </c>
      <c r="U205" s="160" t="e">
        <f>R205-#REF!</f>
        <v>#REF!</v>
      </c>
      <c r="V205" s="160">
        <f t="shared" si="90"/>
        <v>32633.974102964188</v>
      </c>
      <c r="W205" s="160">
        <f t="shared" si="91"/>
        <v>3136.2277499999909</v>
      </c>
      <c r="X205" s="160" t="e">
        <f>O205-#REF!</f>
        <v>#REF!</v>
      </c>
      <c r="Y205" s="154">
        <f t="shared" si="114"/>
        <v>70809.224299489564</v>
      </c>
      <c r="Z205" s="194">
        <f t="shared" si="114"/>
        <v>73271.353698072839</v>
      </c>
      <c r="AA205" s="154">
        <f t="shared" si="114"/>
        <v>142715.89806543695</v>
      </c>
      <c r="AB205" s="154">
        <f t="shared" si="114"/>
        <v>73418.668790809868</v>
      </c>
      <c r="AC205" s="144">
        <f t="shared" si="92"/>
        <v>73418.668790809868</v>
      </c>
      <c r="AD205" s="154">
        <f t="shared" si="93"/>
        <v>2609.4444913203042</v>
      </c>
      <c r="AE205" s="154">
        <f t="shared" si="94"/>
        <v>3.6851759317170263</v>
      </c>
      <c r="AF205" s="154">
        <f t="shared" si="95"/>
        <v>147.31509273702977</v>
      </c>
      <c r="AG205" s="154">
        <f t="shared" si="96"/>
        <v>0.20105414367539254</v>
      </c>
      <c r="AH205" s="154">
        <f t="shared" si="97"/>
        <v>-69297.229274627083</v>
      </c>
      <c r="AI205" s="154">
        <f t="shared" si="98"/>
        <v>-48.556068534742693</v>
      </c>
    </row>
    <row r="206" spans="1:35" ht="33" customHeight="1" outlineLevel="1">
      <c r="A206" s="139"/>
      <c r="B206" s="140" t="s">
        <v>976</v>
      </c>
      <c r="C206" s="141"/>
      <c r="D206" s="393" t="s">
        <v>977</v>
      </c>
      <c r="E206" s="188" t="s">
        <v>977</v>
      </c>
      <c r="F206" s="143" t="s">
        <v>121</v>
      </c>
      <c r="G206" s="144">
        <f t="shared" ref="G206:I206" si="115">SUM(G207:G210)</f>
        <v>10697.547500000001</v>
      </c>
      <c r="H206" s="144">
        <f t="shared" si="115"/>
        <v>5558.1854999999996</v>
      </c>
      <c r="I206" s="144">
        <f t="shared" si="115"/>
        <v>5558.19</v>
      </c>
      <c r="J206" s="144">
        <f>SUM(J207:J210)</f>
        <v>10640.86</v>
      </c>
      <c r="K206" s="144">
        <f t="shared" ref="K206:AB206" si="116">SUM(K207:K210)</f>
        <v>7949.0336299999999</v>
      </c>
      <c r="L206" s="144">
        <f t="shared" si="116"/>
        <v>7539.8600000000006</v>
      </c>
      <c r="M206" s="144">
        <f t="shared" si="116"/>
        <v>5884.03</v>
      </c>
      <c r="N206" s="144">
        <f t="shared" si="116"/>
        <v>3864.2157499999994</v>
      </c>
      <c r="O206" s="144">
        <f t="shared" si="116"/>
        <v>3835.9159</v>
      </c>
      <c r="P206" s="145">
        <f t="shared" si="116"/>
        <v>3775.7966499999998</v>
      </c>
      <c r="Q206" s="144">
        <f t="shared" si="116"/>
        <v>3775.7966499999998</v>
      </c>
      <c r="R206" s="144">
        <f t="shared" si="116"/>
        <v>3775.7966499999998</v>
      </c>
      <c r="S206" s="144">
        <f t="shared" si="88"/>
        <v>-2108.23335</v>
      </c>
      <c r="T206" s="144">
        <f t="shared" si="89"/>
        <v>-60.119250000000193</v>
      </c>
      <c r="U206" s="146" t="e">
        <f>R206-#REF!</f>
        <v>#REF!</v>
      </c>
      <c r="V206" s="146">
        <f t="shared" si="90"/>
        <v>-2108.23335</v>
      </c>
      <c r="W206" s="146">
        <f t="shared" si="91"/>
        <v>0</v>
      </c>
      <c r="X206" s="146" t="e">
        <f>O206-#REF!</f>
        <v>#REF!</v>
      </c>
      <c r="Y206" s="144">
        <f t="shared" si="116"/>
        <v>8069.47474375</v>
      </c>
      <c r="Z206" s="170">
        <f t="shared" si="116"/>
        <v>8432.6000400124994</v>
      </c>
      <c r="AA206" s="144">
        <f t="shared" si="116"/>
        <v>8499.1200400124999</v>
      </c>
      <c r="AB206" s="144">
        <f t="shared" si="116"/>
        <v>8366.8490848226575</v>
      </c>
      <c r="AC206" s="144">
        <f t="shared" si="92"/>
        <v>8366.8490848226575</v>
      </c>
      <c r="AD206" s="144">
        <f t="shared" si="93"/>
        <v>297.37434107265744</v>
      </c>
      <c r="AE206" s="144">
        <f t="shared" si="94"/>
        <v>3.6851759317169979</v>
      </c>
      <c r="AF206" s="144">
        <f t="shared" si="95"/>
        <v>-65.750955189841989</v>
      </c>
      <c r="AG206" s="144">
        <f t="shared" si="96"/>
        <v>-0.77972339347122954</v>
      </c>
      <c r="AH206" s="144">
        <f t="shared" si="97"/>
        <v>-132.27095518984243</v>
      </c>
      <c r="AI206" s="144">
        <f t="shared" si="98"/>
        <v>-1.5562899990485164</v>
      </c>
    </row>
    <row r="207" spans="1:35" ht="33" customHeight="1" outlineLevel="2">
      <c r="A207" s="139" t="s">
        <v>978</v>
      </c>
      <c r="B207" s="143" t="s">
        <v>979</v>
      </c>
      <c r="C207" s="147" t="s">
        <v>980</v>
      </c>
      <c r="D207" s="148" t="s">
        <v>981</v>
      </c>
      <c r="E207" s="1345" t="s">
        <v>982</v>
      </c>
      <c r="F207" s="143" t="s">
        <v>121</v>
      </c>
      <c r="G207" s="143">
        <v>10697.547500000001</v>
      </c>
      <c r="H207" s="143">
        <v>5558.1854999999996</v>
      </c>
      <c r="I207" s="143">
        <v>5558.19</v>
      </c>
      <c r="J207" s="143">
        <v>908.73</v>
      </c>
      <c r="K207" s="143">
        <v>650.71425999999997</v>
      </c>
      <c r="L207" s="143">
        <v>350.71</v>
      </c>
      <c r="M207" s="143">
        <v>502.5</v>
      </c>
      <c r="N207" s="143">
        <v>527.6</v>
      </c>
      <c r="O207" s="143">
        <v>519.37950000000001</v>
      </c>
      <c r="P207" s="150">
        <v>519.37950000000001</v>
      </c>
      <c r="Q207" s="167">
        <v>519.37950000000001</v>
      </c>
      <c r="R207" s="144">
        <v>519.37950000000001</v>
      </c>
      <c r="S207" s="167">
        <f t="shared" si="88"/>
        <v>16.879500000000007</v>
      </c>
      <c r="T207" s="167">
        <f t="shared" si="89"/>
        <v>0</v>
      </c>
      <c r="U207" s="151" t="e">
        <f>R207-#REF!</f>
        <v>#REF!</v>
      </c>
      <c r="V207" s="151">
        <f t="shared" si="90"/>
        <v>16.879500000000007</v>
      </c>
      <c r="W207" s="151">
        <f t="shared" si="91"/>
        <v>0</v>
      </c>
      <c r="X207" s="151" t="e">
        <f>O207-#REF!</f>
        <v>#REF!</v>
      </c>
      <c r="Y207" s="143">
        <f>'[65]2. подк.неподк.'!V195</f>
        <v>644.24</v>
      </c>
      <c r="Z207" s="182">
        <f>'[65]2. подк.неподк.'!W195</f>
        <v>673.22973279374992</v>
      </c>
      <c r="AA207" s="143">
        <f>'[65]2. подк.неподк.'!X195</f>
        <v>673.22973279374992</v>
      </c>
      <c r="AB207" s="143">
        <f>Y207*$AA$11</f>
        <v>667.98137742249355</v>
      </c>
      <c r="AC207" s="144">
        <f t="shared" si="92"/>
        <v>667.98137742249355</v>
      </c>
      <c r="AD207" s="143">
        <f t="shared" si="93"/>
        <v>23.741377422493542</v>
      </c>
      <c r="AE207" s="143">
        <f t="shared" si="94"/>
        <v>3.6851759317169979</v>
      </c>
      <c r="AF207" s="143">
        <f t="shared" si="95"/>
        <v>-5.2483553712563662</v>
      </c>
      <c r="AG207" s="143">
        <f t="shared" si="96"/>
        <v>-0.77957866618231719</v>
      </c>
      <c r="AH207" s="143">
        <f t="shared" si="97"/>
        <v>-5.2483553712563662</v>
      </c>
      <c r="AI207" s="143">
        <f t="shared" si="98"/>
        <v>-0.77957866618231719</v>
      </c>
    </row>
    <row r="208" spans="1:35" ht="33" customHeight="1" outlineLevel="2">
      <c r="A208" s="139" t="s">
        <v>983</v>
      </c>
      <c r="B208" s="143" t="s">
        <v>984</v>
      </c>
      <c r="C208" s="147" t="s">
        <v>985</v>
      </c>
      <c r="D208" s="148" t="s">
        <v>986</v>
      </c>
      <c r="E208" s="1345"/>
      <c r="F208" s="143" t="s">
        <v>121</v>
      </c>
      <c r="G208" s="143">
        <v>0</v>
      </c>
      <c r="H208" s="143">
        <v>0</v>
      </c>
      <c r="I208" s="143">
        <v>0</v>
      </c>
      <c r="J208" s="143">
        <v>3711.53</v>
      </c>
      <c r="K208" s="143">
        <v>2713.8523700000001</v>
      </c>
      <c r="L208" s="143">
        <v>2713.85</v>
      </c>
      <c r="M208" s="143">
        <v>2052.35</v>
      </c>
      <c r="N208" s="143">
        <v>1013.5195699999999</v>
      </c>
      <c r="O208" s="143">
        <v>1009.3304899999999</v>
      </c>
      <c r="P208" s="150">
        <v>1009.3304899999999</v>
      </c>
      <c r="Q208" s="143">
        <v>1009.3304899999999</v>
      </c>
      <c r="R208" s="144">
        <v>1009.3304899999999</v>
      </c>
      <c r="S208" s="143">
        <f t="shared" si="88"/>
        <v>-1043.0195100000001</v>
      </c>
      <c r="T208" s="143">
        <f t="shared" si="89"/>
        <v>0</v>
      </c>
      <c r="U208" s="151" t="e">
        <f>R208-#REF!</f>
        <v>#REF!</v>
      </c>
      <c r="V208" s="151">
        <f t="shared" si="90"/>
        <v>-1043.0195100000001</v>
      </c>
      <c r="W208" s="151">
        <f t="shared" si="91"/>
        <v>0</v>
      </c>
      <c r="X208" s="151" t="e">
        <f>O208-#REF!</f>
        <v>#REF!</v>
      </c>
      <c r="Y208" s="143">
        <f>'[65]2. подк.неподк.'!V196</f>
        <v>2831.3551312500003</v>
      </c>
      <c r="Z208" s="182">
        <f>'[65]2. подк.неподк.'!W196</f>
        <v>2958.7661121562501</v>
      </c>
      <c r="AA208" s="143">
        <f>'[65]2. подк.неподк.'!X196</f>
        <v>2958.7661121562501</v>
      </c>
      <c r="AB208" s="143">
        <f>Y208*$AA$11</f>
        <v>2935.6955490882597</v>
      </c>
      <c r="AC208" s="144">
        <f t="shared" si="92"/>
        <v>2935.6955490882597</v>
      </c>
      <c r="AD208" s="143">
        <f t="shared" si="93"/>
        <v>104.34041783825933</v>
      </c>
      <c r="AE208" s="143">
        <f t="shared" si="94"/>
        <v>3.6851759317169979</v>
      </c>
      <c r="AF208" s="143">
        <f t="shared" si="95"/>
        <v>-23.070563067990406</v>
      </c>
      <c r="AG208" s="143">
        <f t="shared" si="96"/>
        <v>-0.77973595051004452</v>
      </c>
      <c r="AH208" s="143">
        <f t="shared" si="97"/>
        <v>-23.070563067990406</v>
      </c>
      <c r="AI208" s="143">
        <f t="shared" si="98"/>
        <v>-0.77973595051004452</v>
      </c>
    </row>
    <row r="209" spans="1:35" ht="33" customHeight="1" outlineLevel="2">
      <c r="A209" s="139" t="s">
        <v>987</v>
      </c>
      <c r="B209" s="143" t="s">
        <v>988</v>
      </c>
      <c r="C209" s="147" t="s">
        <v>989</v>
      </c>
      <c r="D209" s="148" t="s">
        <v>990</v>
      </c>
      <c r="E209" s="1345"/>
      <c r="F209" s="143" t="s">
        <v>121</v>
      </c>
      <c r="G209" s="143">
        <v>0</v>
      </c>
      <c r="H209" s="143">
        <v>0</v>
      </c>
      <c r="I209" s="143">
        <v>0</v>
      </c>
      <c r="J209" s="143">
        <v>6020.6</v>
      </c>
      <c r="K209" s="143">
        <v>4475.2997999999998</v>
      </c>
      <c r="L209" s="143">
        <v>4475.3</v>
      </c>
      <c r="M209" s="143">
        <v>3329.18</v>
      </c>
      <c r="N209" s="143">
        <v>2262.8432799999996</v>
      </c>
      <c r="O209" s="143">
        <v>2247.0866599999999</v>
      </c>
      <c r="P209" s="150">
        <v>2247.0866599999999</v>
      </c>
      <c r="Q209" s="143">
        <v>2247.0866599999999</v>
      </c>
      <c r="R209" s="144">
        <v>2247.0866599999999</v>
      </c>
      <c r="S209" s="143">
        <f t="shared" si="88"/>
        <v>-1082.0933399999999</v>
      </c>
      <c r="T209" s="143">
        <f t="shared" si="89"/>
        <v>0</v>
      </c>
      <c r="U209" s="151" t="e">
        <f>R209-#REF!</f>
        <v>#REF!</v>
      </c>
      <c r="V209" s="151">
        <f t="shared" si="90"/>
        <v>-1082.0933399999999</v>
      </c>
      <c r="W209" s="151">
        <f t="shared" si="91"/>
        <v>0</v>
      </c>
      <c r="X209" s="151" t="e">
        <f>O209-#REF!</f>
        <v>#REF!</v>
      </c>
      <c r="Y209" s="143">
        <f>'[65]2. подк.неподк.'!V197</f>
        <v>4593.8796124999999</v>
      </c>
      <c r="Z209" s="182">
        <f>'[65]2. подк.неподк.'!W197</f>
        <v>4800.6041950624995</v>
      </c>
      <c r="AA209" s="143">
        <f>'[65]2. подк.неподк.'!X197</f>
        <v>4800.6041950624995</v>
      </c>
      <c r="AB209" s="143">
        <f>Y209*$AA$11</f>
        <v>4763.1721583119042</v>
      </c>
      <c r="AC209" s="144">
        <f t="shared" si="92"/>
        <v>4763.1721583119042</v>
      </c>
      <c r="AD209" s="143">
        <f t="shared" si="93"/>
        <v>169.29254581190435</v>
      </c>
      <c r="AE209" s="143">
        <f t="shared" si="94"/>
        <v>3.6851759317169979</v>
      </c>
      <c r="AF209" s="143">
        <f t="shared" si="95"/>
        <v>-37.432036750595216</v>
      </c>
      <c r="AG209" s="143">
        <f t="shared" si="96"/>
        <v>-0.77973595051004452</v>
      </c>
      <c r="AH209" s="143">
        <f t="shared" si="97"/>
        <v>-37.432036750595216</v>
      </c>
      <c r="AI209" s="143">
        <f t="shared" si="98"/>
        <v>-0.77973595051004452</v>
      </c>
    </row>
    <row r="210" spans="1:35" ht="33" customHeight="1" outlineLevel="2">
      <c r="A210" s="139" t="s">
        <v>991</v>
      </c>
      <c r="B210" s="143" t="s">
        <v>992</v>
      </c>
      <c r="C210" s="147" t="s">
        <v>993</v>
      </c>
      <c r="D210" s="148" t="s">
        <v>994</v>
      </c>
      <c r="E210" s="188"/>
      <c r="F210" s="143" t="s">
        <v>121</v>
      </c>
      <c r="G210" s="143">
        <v>0</v>
      </c>
      <c r="H210" s="143">
        <v>0</v>
      </c>
      <c r="I210" s="143">
        <v>0</v>
      </c>
      <c r="J210" s="143">
        <v>0</v>
      </c>
      <c r="K210" s="143">
        <v>109.16719999999999</v>
      </c>
      <c r="L210" s="143">
        <v>0</v>
      </c>
      <c r="M210" s="143">
        <v>0</v>
      </c>
      <c r="N210" s="143">
        <v>60.252900000000004</v>
      </c>
      <c r="O210" s="143">
        <v>60.119250000000001</v>
      </c>
      <c r="P210" s="150">
        <v>0</v>
      </c>
      <c r="Q210" s="143">
        <v>0</v>
      </c>
      <c r="R210" s="144">
        <v>0</v>
      </c>
      <c r="S210" s="143">
        <f t="shared" si="88"/>
        <v>0</v>
      </c>
      <c r="T210" s="143">
        <f t="shared" si="89"/>
        <v>-60.119250000000001</v>
      </c>
      <c r="U210" s="151" t="e">
        <f>R210-#REF!</f>
        <v>#REF!</v>
      </c>
      <c r="V210" s="151">
        <f t="shared" si="90"/>
        <v>0</v>
      </c>
      <c r="W210" s="151">
        <f t="shared" si="91"/>
        <v>0</v>
      </c>
      <c r="X210" s="151" t="e">
        <f>O210-#REF!</f>
        <v>#REF!</v>
      </c>
      <c r="Y210" s="143">
        <f>'[65]2. подк.неподк.'!V198</f>
        <v>0</v>
      </c>
      <c r="Z210" s="182">
        <f>'[65]2. подк.неподк.'!W198</f>
        <v>0</v>
      </c>
      <c r="AA210" s="143">
        <f>'[65]2. подк.неподк.'!X198</f>
        <v>66.52</v>
      </c>
      <c r="AB210" s="143">
        <f>Y210*$AA$11</f>
        <v>0</v>
      </c>
      <c r="AC210" s="144">
        <f t="shared" si="92"/>
        <v>0</v>
      </c>
      <c r="AD210" s="143">
        <f t="shared" si="93"/>
        <v>0</v>
      </c>
      <c r="AE210" s="143"/>
      <c r="AF210" s="143">
        <f t="shared" si="95"/>
        <v>0</v>
      </c>
      <c r="AG210" s="143"/>
      <c r="AH210" s="143">
        <f t="shared" si="97"/>
        <v>-66.52</v>
      </c>
      <c r="AI210" s="143">
        <f t="shared" si="98"/>
        <v>-100</v>
      </c>
    </row>
    <row r="211" spans="1:35" ht="33" customHeight="1" outlineLevel="1">
      <c r="A211" s="139"/>
      <c r="B211" s="140" t="s">
        <v>995</v>
      </c>
      <c r="C211" s="141"/>
      <c r="D211" s="393" t="s">
        <v>996</v>
      </c>
      <c r="E211" s="188" t="s">
        <v>996</v>
      </c>
      <c r="F211" s="143" t="s">
        <v>121</v>
      </c>
      <c r="G211" s="144">
        <f t="shared" ref="G211:I211" si="117">G212+G213</f>
        <v>8385.18</v>
      </c>
      <c r="H211" s="144">
        <f t="shared" si="117"/>
        <v>6235.3351899999998</v>
      </c>
      <c r="I211" s="144">
        <f t="shared" si="117"/>
        <v>6235.34</v>
      </c>
      <c r="J211" s="144">
        <f>J212+J213</f>
        <v>10298.107247149399</v>
      </c>
      <c r="K211" s="144">
        <f t="shared" ref="K211:AB211" si="118">K212+K213</f>
        <v>6622.152149999999</v>
      </c>
      <c r="L211" s="144">
        <f t="shared" si="118"/>
        <v>6622.15</v>
      </c>
      <c r="M211" s="144">
        <f t="shared" si="118"/>
        <v>8358.6335827624789</v>
      </c>
      <c r="N211" s="144">
        <f t="shared" si="118"/>
        <v>6462.9502000000002</v>
      </c>
      <c r="O211" s="144">
        <f t="shared" si="118"/>
        <v>6267.0803600000008</v>
      </c>
      <c r="P211" s="145">
        <f t="shared" si="118"/>
        <v>6267.0803600000008</v>
      </c>
      <c r="Q211" s="144">
        <f t="shared" si="118"/>
        <v>6267.0803600000008</v>
      </c>
      <c r="R211" s="144">
        <f t="shared" si="118"/>
        <v>6267.0803600000008</v>
      </c>
      <c r="S211" s="144">
        <f t="shared" si="88"/>
        <v>-2091.5532227624781</v>
      </c>
      <c r="T211" s="144">
        <f t="shared" si="89"/>
        <v>0</v>
      </c>
      <c r="U211" s="146" t="e">
        <f>R211-#REF!</f>
        <v>#REF!</v>
      </c>
      <c r="V211" s="146">
        <f t="shared" si="90"/>
        <v>-2091.5532227624781</v>
      </c>
      <c r="W211" s="146">
        <f t="shared" si="91"/>
        <v>0</v>
      </c>
      <c r="X211" s="146" t="e">
        <f>O211-#REF!</f>
        <v>#REF!</v>
      </c>
      <c r="Y211" s="144">
        <f t="shared" si="118"/>
        <v>8433.1435888077467</v>
      </c>
      <c r="Z211" s="170">
        <f t="shared" si="118"/>
        <v>8812.6413302415967</v>
      </c>
      <c r="AA211" s="144">
        <f t="shared" si="118"/>
        <v>8837.1013302415959</v>
      </c>
      <c r="AB211" s="144">
        <f t="shared" si="118"/>
        <v>8743.9197666296259</v>
      </c>
      <c r="AC211" s="144">
        <f t="shared" si="92"/>
        <v>8743.9197666296259</v>
      </c>
      <c r="AD211" s="144">
        <f t="shared" si="93"/>
        <v>310.77617782187917</v>
      </c>
      <c r="AE211" s="144">
        <f t="shared" si="94"/>
        <v>3.6851759317169979</v>
      </c>
      <c r="AF211" s="144">
        <f t="shared" si="95"/>
        <v>-68.721563611970851</v>
      </c>
      <c r="AG211" s="144">
        <f t="shared" si="96"/>
        <v>-0.77980665542514771</v>
      </c>
      <c r="AH211" s="144">
        <f t="shared" si="97"/>
        <v>-93.181563611969978</v>
      </c>
      <c r="AI211" s="144">
        <f t="shared" si="98"/>
        <v>-1.0544358396467857</v>
      </c>
    </row>
    <row r="212" spans="1:35" ht="33" customHeight="1" outlineLevel="2">
      <c r="A212" s="152" t="s">
        <v>997</v>
      </c>
      <c r="B212" s="143" t="s">
        <v>998</v>
      </c>
      <c r="C212" s="147" t="s">
        <v>999</v>
      </c>
      <c r="D212" s="164" t="s">
        <v>1000</v>
      </c>
      <c r="E212" s="196" t="s">
        <v>1001</v>
      </c>
      <c r="F212" s="143" t="s">
        <v>121</v>
      </c>
      <c r="G212" s="143">
        <v>7185.18</v>
      </c>
      <c r="H212" s="143">
        <v>4827.5798699999996</v>
      </c>
      <c r="I212" s="143">
        <v>4827.58</v>
      </c>
      <c r="J212" s="143">
        <v>8981.3792511493994</v>
      </c>
      <c r="K212" s="143">
        <v>5155.2999999999993</v>
      </c>
      <c r="L212" s="143">
        <v>5155.2999999999993</v>
      </c>
      <c r="M212" s="143">
        <v>6363.6392924233814</v>
      </c>
      <c r="N212" s="143">
        <v>5065.9046600000001</v>
      </c>
      <c r="O212" s="143">
        <v>4919.0623700000006</v>
      </c>
      <c r="P212" s="150">
        <v>4919.0623700000006</v>
      </c>
      <c r="Q212" s="143">
        <v>4919.0623700000006</v>
      </c>
      <c r="R212" s="144">
        <v>4919.0623700000006</v>
      </c>
      <c r="S212" s="143">
        <f t="shared" si="88"/>
        <v>-1444.5769224233809</v>
      </c>
      <c r="T212" s="143">
        <f t="shared" si="89"/>
        <v>0</v>
      </c>
      <c r="U212" s="151" t="e">
        <f>R212-#REF!</f>
        <v>#REF!</v>
      </c>
      <c r="V212" s="151">
        <f t="shared" si="90"/>
        <v>-1444.5769224233809</v>
      </c>
      <c r="W212" s="151">
        <f t="shared" si="91"/>
        <v>0</v>
      </c>
      <c r="X212" s="151" t="e">
        <f>O212-#REF!</f>
        <v>#REF!</v>
      </c>
      <c r="Y212" s="143">
        <f>'[65]2. подк.неподк.'!V200</f>
        <v>6328.4246125</v>
      </c>
      <c r="Z212" s="182">
        <f>'[65]2. подк.неподк.'!W200</f>
        <v>6613.21</v>
      </c>
      <c r="AA212" s="143">
        <f>'[65]2. подк.неподк.'!X200</f>
        <v>6637.67</v>
      </c>
      <c r="AB212" s="143">
        <f>Y212*$AA$11</f>
        <v>6561.6381931767046</v>
      </c>
      <c r="AC212" s="144">
        <f t="shared" si="92"/>
        <v>6561.6381931767046</v>
      </c>
      <c r="AD212" s="143">
        <f t="shared" si="93"/>
        <v>233.21358067670462</v>
      </c>
      <c r="AE212" s="143">
        <f t="shared" si="94"/>
        <v>3.6851759317169979</v>
      </c>
      <c r="AF212" s="143">
        <f t="shared" si="95"/>
        <v>-51.571806823295447</v>
      </c>
      <c r="AG212" s="143">
        <f t="shared" si="96"/>
        <v>-0.7798301705721542</v>
      </c>
      <c r="AH212" s="143">
        <f t="shared" si="97"/>
        <v>-76.031806823295483</v>
      </c>
      <c r="AI212" s="143">
        <f t="shared" si="98"/>
        <v>-1.1454592774768173</v>
      </c>
    </row>
    <row r="213" spans="1:35" ht="33" customHeight="1" outlineLevel="2">
      <c r="A213" s="139" t="s">
        <v>1002</v>
      </c>
      <c r="B213" s="143" t="s">
        <v>1003</v>
      </c>
      <c r="C213" s="147" t="s">
        <v>1004</v>
      </c>
      <c r="D213" s="148" t="s">
        <v>1005</v>
      </c>
      <c r="E213" s="196" t="s">
        <v>1006</v>
      </c>
      <c r="F213" s="143" t="s">
        <v>121</v>
      </c>
      <c r="G213" s="143">
        <v>1200</v>
      </c>
      <c r="H213" s="143">
        <v>1407.75532</v>
      </c>
      <c r="I213" s="143">
        <v>1407.76</v>
      </c>
      <c r="J213" s="143">
        <v>1316.7279959999998</v>
      </c>
      <c r="K213" s="143">
        <v>1466.8521499999999</v>
      </c>
      <c r="L213" s="143">
        <v>1466.85</v>
      </c>
      <c r="M213" s="143">
        <v>1994.9942903390972</v>
      </c>
      <c r="N213" s="143">
        <v>1397.0455400000001</v>
      </c>
      <c r="O213" s="143">
        <v>1348.0179900000001</v>
      </c>
      <c r="P213" s="150">
        <v>1348.0179900000001</v>
      </c>
      <c r="Q213" s="143">
        <v>1348.0179900000001</v>
      </c>
      <c r="R213" s="144">
        <v>1348.0179900000001</v>
      </c>
      <c r="S213" s="143">
        <f t="shared" si="88"/>
        <v>-646.97630033909718</v>
      </c>
      <c r="T213" s="143">
        <f t="shared" si="89"/>
        <v>0</v>
      </c>
      <c r="U213" s="151" t="e">
        <f>R213-#REF!</f>
        <v>#REF!</v>
      </c>
      <c r="V213" s="151">
        <f t="shared" si="90"/>
        <v>-646.97630033909718</v>
      </c>
      <c r="W213" s="151">
        <f t="shared" si="91"/>
        <v>0</v>
      </c>
      <c r="X213" s="151" t="e">
        <f>O213-#REF!</f>
        <v>#REF!</v>
      </c>
      <c r="Y213" s="143">
        <f>'[65]2. подк.неподк.'!V201</f>
        <v>2104.7189763077477</v>
      </c>
      <c r="Z213" s="182">
        <f>'[65]2. подк.неподк.'!W201</f>
        <v>2199.4313302415962</v>
      </c>
      <c r="AA213" s="143">
        <f>'[65]2. подк.неподк.'!X201</f>
        <v>2199.4313302415962</v>
      </c>
      <c r="AB213" s="143">
        <f>Y213*$AA$11</f>
        <v>2182.2815734529213</v>
      </c>
      <c r="AC213" s="144">
        <f t="shared" si="92"/>
        <v>2182.2815734529213</v>
      </c>
      <c r="AD213" s="143">
        <f t="shared" si="93"/>
        <v>77.56259714517364</v>
      </c>
      <c r="AE213" s="143">
        <f t="shared" si="94"/>
        <v>3.6851759317169979</v>
      </c>
      <c r="AF213" s="143">
        <f t="shared" si="95"/>
        <v>-17.149756788674949</v>
      </c>
      <c r="AG213" s="143">
        <f t="shared" si="96"/>
        <v>-0.77973595051004452</v>
      </c>
      <c r="AH213" s="143">
        <f t="shared" si="97"/>
        <v>-17.149756788674949</v>
      </c>
      <c r="AI213" s="143">
        <f t="shared" si="98"/>
        <v>-0.77973595051004452</v>
      </c>
    </row>
    <row r="214" spans="1:35" ht="48.75" customHeight="1" outlineLevel="1">
      <c r="A214" s="139"/>
      <c r="B214" s="140" t="s">
        <v>1007</v>
      </c>
      <c r="C214" s="141"/>
      <c r="D214" s="393" t="s">
        <v>1008</v>
      </c>
      <c r="E214" s="188" t="s">
        <v>1008</v>
      </c>
      <c r="F214" s="143" t="s">
        <v>121</v>
      </c>
      <c r="G214" s="144">
        <f t="shared" ref="G214:M214" si="119">G215+G216+G217+G219+G218</f>
        <v>4423.2824999999993</v>
      </c>
      <c r="H214" s="144">
        <f t="shared" si="119"/>
        <v>4695.1687400000001</v>
      </c>
      <c r="I214" s="144">
        <f t="shared" si="119"/>
        <v>4695.17</v>
      </c>
      <c r="J214" s="144">
        <f t="shared" si="119"/>
        <v>4853.5458738934994</v>
      </c>
      <c r="K214" s="144">
        <f t="shared" si="119"/>
        <v>6903.2195400000001</v>
      </c>
      <c r="L214" s="144">
        <f t="shared" si="119"/>
        <v>6902.74</v>
      </c>
      <c r="M214" s="144">
        <f t="shared" si="119"/>
        <v>6725.7858389534995</v>
      </c>
      <c r="N214" s="144">
        <f>N215+N216+N217+N219+N218</f>
        <v>6861.59555</v>
      </c>
      <c r="O214" s="144">
        <f t="shared" ref="O214:AB214" si="120">O215+O216+O217+O219+O218</f>
        <v>6711.2716199999995</v>
      </c>
      <c r="P214" s="145">
        <f t="shared" si="120"/>
        <v>6711.2716199999995</v>
      </c>
      <c r="Q214" s="144">
        <f t="shared" si="120"/>
        <v>6711.2716199999995</v>
      </c>
      <c r="R214" s="144">
        <f t="shared" si="120"/>
        <v>6711.2716199999995</v>
      </c>
      <c r="S214" s="144">
        <f t="shared" si="88"/>
        <v>-14.514218953499949</v>
      </c>
      <c r="T214" s="144">
        <f t="shared" si="89"/>
        <v>0</v>
      </c>
      <c r="U214" s="146" t="e">
        <f>R214-#REF!</f>
        <v>#REF!</v>
      </c>
      <c r="V214" s="146">
        <f t="shared" si="90"/>
        <v>-14.514218953499949</v>
      </c>
      <c r="W214" s="146">
        <f t="shared" si="91"/>
        <v>0</v>
      </c>
      <c r="X214" s="146" t="e">
        <f>O214-#REF!</f>
        <v>#REF!</v>
      </c>
      <c r="Y214" s="144">
        <f t="shared" si="120"/>
        <v>4889.7593388005898</v>
      </c>
      <c r="Z214" s="170">
        <f t="shared" si="120"/>
        <v>5109.7985090466163</v>
      </c>
      <c r="AA214" s="144">
        <f t="shared" si="120"/>
        <v>7972.9294579633333</v>
      </c>
      <c r="AB214" s="144">
        <f t="shared" si="120"/>
        <v>5069.9555730729535</v>
      </c>
      <c r="AC214" s="144">
        <f t="shared" si="92"/>
        <v>5069.9555730729535</v>
      </c>
      <c r="AD214" s="144">
        <f t="shared" si="93"/>
        <v>180.19623427236365</v>
      </c>
      <c r="AE214" s="144">
        <f t="shared" si="94"/>
        <v>3.6851759317169979</v>
      </c>
      <c r="AF214" s="144">
        <f t="shared" si="95"/>
        <v>-39.842935973662861</v>
      </c>
      <c r="AG214" s="144">
        <f t="shared" si="96"/>
        <v>-0.77973595051005873</v>
      </c>
      <c r="AH214" s="144">
        <f t="shared" si="97"/>
        <v>-2902.9738848903798</v>
      </c>
      <c r="AI214" s="144">
        <f t="shared" si="98"/>
        <v>-36.410379650241353</v>
      </c>
    </row>
    <row r="215" spans="1:35" ht="33" customHeight="1" outlineLevel="2">
      <c r="A215" s="139" t="s">
        <v>1009</v>
      </c>
      <c r="B215" s="143" t="s">
        <v>1010</v>
      </c>
      <c r="C215" s="147" t="s">
        <v>1011</v>
      </c>
      <c r="D215" s="148" t="s">
        <v>1012</v>
      </c>
      <c r="E215" s="149" t="s">
        <v>1013</v>
      </c>
      <c r="F215" s="143" t="s">
        <v>121</v>
      </c>
      <c r="G215" s="143">
        <v>833.52750000000003</v>
      </c>
      <c r="H215" s="143">
        <v>2605.75038</v>
      </c>
      <c r="I215" s="143">
        <v>2605.75</v>
      </c>
      <c r="J215" s="143">
        <v>914.60749557157499</v>
      </c>
      <c r="K215" s="143">
        <v>2652.3380000000002</v>
      </c>
      <c r="L215" s="143">
        <v>2652.34</v>
      </c>
      <c r="M215" s="143">
        <v>3072</v>
      </c>
      <c r="N215" s="143">
        <v>3071.08331</v>
      </c>
      <c r="O215" s="143">
        <v>3060.0621299999998</v>
      </c>
      <c r="P215" s="150">
        <v>3060.0621299999998</v>
      </c>
      <c r="Q215" s="143">
        <v>3060.0621299999998</v>
      </c>
      <c r="R215" s="144">
        <v>3060.0621299999998</v>
      </c>
      <c r="S215" s="143">
        <f t="shared" si="88"/>
        <v>-11.937870000000203</v>
      </c>
      <c r="T215" s="143">
        <f t="shared" si="89"/>
        <v>0</v>
      </c>
      <c r="U215" s="151" t="e">
        <f>R215-#REF!</f>
        <v>#REF!</v>
      </c>
      <c r="V215" s="151">
        <f t="shared" si="90"/>
        <v>-11.937870000000203</v>
      </c>
      <c r="W215" s="151">
        <f t="shared" si="91"/>
        <v>0</v>
      </c>
      <c r="X215" s="151" t="e">
        <f>O215-#REF!</f>
        <v>#REF!</v>
      </c>
      <c r="Y215" s="143">
        <f>'[65]2. подк.неподк.'!V203</f>
        <v>2923.1111563005902</v>
      </c>
      <c r="Z215" s="182">
        <f>'[65]2. подк.неподк.'!W203</f>
        <v>3054.6511583341166</v>
      </c>
      <c r="AA215" s="143">
        <f>'[65]2. подк.неподк.'!X203</f>
        <v>3501.2715679999997</v>
      </c>
      <c r="AB215" s="143">
        <f>Y215*$AA$11</f>
        <v>3030.8329450899141</v>
      </c>
      <c r="AC215" s="144">
        <f t="shared" si="92"/>
        <v>3030.8329450899141</v>
      </c>
      <c r="AD215" s="143">
        <f t="shared" si="93"/>
        <v>107.72178878932391</v>
      </c>
      <c r="AE215" s="143">
        <f t="shared" si="94"/>
        <v>3.6851759317169979</v>
      </c>
      <c r="AF215" s="143">
        <f t="shared" si="95"/>
        <v>-23.818213244202525</v>
      </c>
      <c r="AG215" s="143">
        <f t="shared" si="96"/>
        <v>-0.77973595051004452</v>
      </c>
      <c r="AH215" s="143">
        <f t="shared" si="97"/>
        <v>-470.43862291008554</v>
      </c>
      <c r="AI215" s="143">
        <f t="shared" si="98"/>
        <v>-13.436222063140619</v>
      </c>
    </row>
    <row r="216" spans="1:35" ht="33" customHeight="1" outlineLevel="2">
      <c r="A216" s="139" t="s">
        <v>1014</v>
      </c>
      <c r="B216" s="143" t="s">
        <v>1015</v>
      </c>
      <c r="C216" s="147" t="s">
        <v>1016</v>
      </c>
      <c r="D216" s="162" t="s">
        <v>1017</v>
      </c>
      <c r="E216" s="149" t="s">
        <v>1018</v>
      </c>
      <c r="F216" s="143" t="s">
        <v>121</v>
      </c>
      <c r="G216" s="143">
        <v>648.4224999999999</v>
      </c>
      <c r="H216" s="143">
        <v>11.81719</v>
      </c>
      <c r="I216" s="143">
        <v>11.82</v>
      </c>
      <c r="J216" s="143">
        <v>711.49671582192479</v>
      </c>
      <c r="K216" s="143">
        <v>169.61799999999999</v>
      </c>
      <c r="L216" s="143">
        <v>169.62</v>
      </c>
      <c r="M216" s="143">
        <v>139</v>
      </c>
      <c r="N216" s="143">
        <v>135.22953000000001</v>
      </c>
      <c r="O216" s="143">
        <v>133.78155999999998</v>
      </c>
      <c r="P216" s="150">
        <v>133.78155999999998</v>
      </c>
      <c r="Q216" s="143">
        <v>133.78155999999998</v>
      </c>
      <c r="R216" s="144">
        <v>133.78155999999998</v>
      </c>
      <c r="S216" s="143">
        <f t="shared" si="88"/>
        <v>-5.2184400000000153</v>
      </c>
      <c r="T216" s="143">
        <f t="shared" si="89"/>
        <v>0</v>
      </c>
      <c r="U216" s="151" t="e">
        <f>R216-#REF!</f>
        <v>#REF!</v>
      </c>
      <c r="V216" s="151">
        <f t="shared" si="90"/>
        <v>-5.2184400000000153</v>
      </c>
      <c r="W216" s="151">
        <f t="shared" si="91"/>
        <v>0</v>
      </c>
      <c r="X216" s="151" t="e">
        <f>O216-#REF!</f>
        <v>#REF!</v>
      </c>
      <c r="Y216" s="143">
        <f>'[65]2. подк.неподк.'!V204</f>
        <v>192.37028249999997</v>
      </c>
      <c r="Z216" s="182">
        <f>'[65]2. подк.неподк.'!W204</f>
        <v>201.02694521249995</v>
      </c>
      <c r="AA216" s="143">
        <f>'[65]2. подк.неподк.'!X204</f>
        <v>300.87273996333329</v>
      </c>
      <c r="AB216" s="143">
        <f>Y216*$AA$11</f>
        <v>199.45946585046596</v>
      </c>
      <c r="AC216" s="144">
        <f t="shared" si="92"/>
        <v>199.45946585046596</v>
      </c>
      <c r="AD216" s="143">
        <f t="shared" si="93"/>
        <v>7.0891833504659871</v>
      </c>
      <c r="AE216" s="143">
        <f t="shared" si="94"/>
        <v>3.6851759317169979</v>
      </c>
      <c r="AF216" s="143">
        <f t="shared" si="95"/>
        <v>-1.5674793620339926</v>
      </c>
      <c r="AG216" s="143">
        <f t="shared" si="96"/>
        <v>-0.77973595051004452</v>
      </c>
      <c r="AH216" s="143">
        <f t="shared" si="97"/>
        <v>-101.41327411286733</v>
      </c>
      <c r="AI216" s="143">
        <f t="shared" si="98"/>
        <v>-33.70636838858394</v>
      </c>
    </row>
    <row r="217" spans="1:35" ht="33" customHeight="1" outlineLevel="2">
      <c r="A217" s="139" t="s">
        <v>1019</v>
      </c>
      <c r="B217" s="143" t="s">
        <v>1020</v>
      </c>
      <c r="C217" s="147" t="s">
        <v>1021</v>
      </c>
      <c r="D217" s="148" t="s">
        <v>1022</v>
      </c>
      <c r="E217" s="1340" t="s">
        <v>1023</v>
      </c>
      <c r="F217" s="1341" t="s">
        <v>121</v>
      </c>
      <c r="G217" s="143">
        <v>0</v>
      </c>
      <c r="H217" s="143">
        <v>0</v>
      </c>
      <c r="I217" s="143">
        <v>0</v>
      </c>
      <c r="J217" s="143">
        <v>224.56</v>
      </c>
      <c r="K217" s="143">
        <v>445.06104999999997</v>
      </c>
      <c r="L217" s="143">
        <v>445.06</v>
      </c>
      <c r="M217" s="143">
        <v>732</v>
      </c>
      <c r="N217" s="143">
        <v>766.37175000000002</v>
      </c>
      <c r="O217" s="143">
        <v>739.79324999999994</v>
      </c>
      <c r="P217" s="150">
        <v>739.79324999999994</v>
      </c>
      <c r="Q217" s="143">
        <v>739.79324999999994</v>
      </c>
      <c r="R217" s="144">
        <v>739.79324999999994</v>
      </c>
      <c r="S217" s="143">
        <f t="shared" si="88"/>
        <v>7.7932499999999436</v>
      </c>
      <c r="T217" s="143">
        <f t="shared" si="89"/>
        <v>0</v>
      </c>
      <c r="U217" s="151" t="e">
        <f>R217-#REF!</f>
        <v>#REF!</v>
      </c>
      <c r="V217" s="151">
        <f t="shared" si="90"/>
        <v>7.7932499999999436</v>
      </c>
      <c r="W217" s="151">
        <f t="shared" si="91"/>
        <v>0</v>
      </c>
      <c r="X217" s="151" t="e">
        <f>O217-#REF!</f>
        <v>#REF!</v>
      </c>
      <c r="Y217" s="143">
        <f>'[65]2. подк.неподк.'!V205</f>
        <v>214.68195</v>
      </c>
      <c r="Z217" s="182">
        <f>'[65]2. подк.неподк.'!W205</f>
        <v>224.34263774999999</v>
      </c>
      <c r="AA217" s="143">
        <f>'[65]2. подк.неподк.'!X205</f>
        <v>844.44932400000016</v>
      </c>
      <c r="AB217" s="143">
        <f>Y217*$AA$11</f>
        <v>222.59335755114071</v>
      </c>
      <c r="AC217" s="144">
        <f t="shared" si="92"/>
        <v>222.59335755114071</v>
      </c>
      <c r="AD217" s="143">
        <f t="shared" si="93"/>
        <v>7.9114075511407123</v>
      </c>
      <c r="AE217" s="143">
        <f t="shared" si="94"/>
        <v>3.6851759317169979</v>
      </c>
      <c r="AF217" s="143">
        <f t="shared" si="95"/>
        <v>-1.7492801988592817</v>
      </c>
      <c r="AG217" s="143">
        <f t="shared" si="96"/>
        <v>-0.77973595051005873</v>
      </c>
      <c r="AH217" s="143">
        <f t="shared" si="97"/>
        <v>-621.85596644885948</v>
      </c>
      <c r="AI217" s="143">
        <f t="shared" si="98"/>
        <v>-73.64041260679123</v>
      </c>
    </row>
    <row r="218" spans="1:35" ht="33" customHeight="1" outlineLevel="2">
      <c r="A218" s="139" t="s">
        <v>1024</v>
      </c>
      <c r="B218" s="143" t="s">
        <v>1025</v>
      </c>
      <c r="C218" s="147" t="s">
        <v>1026</v>
      </c>
      <c r="D218" s="162" t="s">
        <v>1027</v>
      </c>
      <c r="E218" s="1340"/>
      <c r="F218" s="1341"/>
      <c r="G218" s="143">
        <v>1691.3325</v>
      </c>
      <c r="H218" s="143">
        <v>1823.05007</v>
      </c>
      <c r="I218" s="143">
        <v>1823.05</v>
      </c>
      <c r="J218" s="143">
        <v>1631.29</v>
      </c>
      <c r="K218" s="143">
        <v>2762.4987599999999</v>
      </c>
      <c r="L218" s="143">
        <v>2762.02</v>
      </c>
      <c r="M218" s="143">
        <v>2122.0700000000002</v>
      </c>
      <c r="N218" s="143">
        <v>2243.00657</v>
      </c>
      <c r="O218" s="143">
        <v>2166.1840100000004</v>
      </c>
      <c r="P218" s="150">
        <v>2166.1840100000004</v>
      </c>
      <c r="Q218" s="143">
        <v>2166.1840100000004</v>
      </c>
      <c r="R218" s="144">
        <v>2166.1840100000004</v>
      </c>
      <c r="S218" s="143">
        <f t="shared" si="88"/>
        <v>44.114010000000235</v>
      </c>
      <c r="T218" s="143">
        <f t="shared" si="89"/>
        <v>0</v>
      </c>
      <c r="U218" s="151" t="e">
        <f>R218-#REF!</f>
        <v>#REF!</v>
      </c>
      <c r="V218" s="151">
        <f t="shared" si="90"/>
        <v>44.114010000000235</v>
      </c>
      <c r="W218" s="151">
        <f t="shared" si="91"/>
        <v>0</v>
      </c>
      <c r="X218" s="151" t="e">
        <f>O218-#REF!</f>
        <v>#REF!</v>
      </c>
      <c r="Y218" s="143">
        <f>'[65]2. подк.неподк.'!V206</f>
        <v>1559.5959499999999</v>
      </c>
      <c r="Z218" s="182">
        <f>'[65]2. подк.неподк.'!W206</f>
        <v>1629.7777677499998</v>
      </c>
      <c r="AA218" s="143">
        <f>'[65]2. подк.неподк.'!X206</f>
        <v>2644.5540000000005</v>
      </c>
      <c r="AB218" s="143">
        <f>Y218*$AA$11</f>
        <v>1617.0698045814329</v>
      </c>
      <c r="AC218" s="144">
        <f t="shared" si="92"/>
        <v>1617.0698045814329</v>
      </c>
      <c r="AD218" s="143">
        <f t="shared" si="93"/>
        <v>57.473854581432988</v>
      </c>
      <c r="AE218" s="143">
        <f t="shared" si="94"/>
        <v>3.6851759317169979</v>
      </c>
      <c r="AF218" s="143">
        <f t="shared" si="95"/>
        <v>-12.707963168566948</v>
      </c>
      <c r="AG218" s="143">
        <f t="shared" si="96"/>
        <v>-0.77973595051005873</v>
      </c>
      <c r="AH218" s="143">
        <f t="shared" si="97"/>
        <v>-1027.4841954185677</v>
      </c>
      <c r="AI218" s="143">
        <f t="shared" si="98"/>
        <v>-38.852834747128149</v>
      </c>
    </row>
    <row r="219" spans="1:35" ht="33" customHeight="1" outlineLevel="2">
      <c r="A219" s="139" t="s">
        <v>1028</v>
      </c>
      <c r="B219" s="143" t="s">
        <v>1029</v>
      </c>
      <c r="C219" s="147" t="s">
        <v>1030</v>
      </c>
      <c r="D219" s="148" t="s">
        <v>1031</v>
      </c>
      <c r="E219" s="149" t="s">
        <v>1032</v>
      </c>
      <c r="F219" s="143" t="s">
        <v>121</v>
      </c>
      <c r="G219" s="143">
        <v>1250</v>
      </c>
      <c r="H219" s="143">
        <v>254.55109999999999</v>
      </c>
      <c r="I219" s="143">
        <v>254.55</v>
      </c>
      <c r="J219" s="143">
        <v>1371.5916625</v>
      </c>
      <c r="K219" s="143">
        <v>873.70372999999995</v>
      </c>
      <c r="L219" s="143">
        <v>873.7</v>
      </c>
      <c r="M219" s="143">
        <v>660.71583895350022</v>
      </c>
      <c r="N219" s="143">
        <v>645.90439000000015</v>
      </c>
      <c r="O219" s="143">
        <v>611.45067000000006</v>
      </c>
      <c r="P219" s="150">
        <v>611.45067000000006</v>
      </c>
      <c r="Q219" s="143">
        <v>611.45067000000006</v>
      </c>
      <c r="R219" s="144">
        <v>611.45067000000006</v>
      </c>
      <c r="S219" s="143">
        <f t="shared" si="88"/>
        <v>-49.265168953500165</v>
      </c>
      <c r="T219" s="143">
        <f t="shared" si="89"/>
        <v>0</v>
      </c>
      <c r="U219" s="151" t="e">
        <f>R219-#REF!</f>
        <v>#REF!</v>
      </c>
      <c r="V219" s="151">
        <f t="shared" si="90"/>
        <v>-49.265168953500165</v>
      </c>
      <c r="W219" s="151">
        <f t="shared" si="91"/>
        <v>0</v>
      </c>
      <c r="X219" s="151" t="e">
        <f>O219-#REF!</f>
        <v>#REF!</v>
      </c>
      <c r="Y219" s="143">
        <f>'[65]2. подк.неподк.'!V207</f>
        <v>0</v>
      </c>
      <c r="Z219" s="182">
        <f>'[65]2. подк.неподк.'!W207</f>
        <v>0</v>
      </c>
      <c r="AA219" s="143">
        <f>'[65]2. подк.неподк.'!X207</f>
        <v>681.78182600000002</v>
      </c>
      <c r="AB219" s="143">
        <f>Y219*$AA$11</f>
        <v>0</v>
      </c>
      <c r="AC219" s="144">
        <f t="shared" si="92"/>
        <v>0</v>
      </c>
      <c r="AD219" s="143">
        <f t="shared" si="93"/>
        <v>0</v>
      </c>
      <c r="AE219" s="143"/>
      <c r="AF219" s="143">
        <f t="shared" si="95"/>
        <v>0</v>
      </c>
      <c r="AG219" s="143"/>
      <c r="AH219" s="143">
        <f t="shared" si="97"/>
        <v>-681.78182600000002</v>
      </c>
      <c r="AI219" s="143">
        <f t="shared" si="98"/>
        <v>-100</v>
      </c>
    </row>
    <row r="220" spans="1:35" ht="33" customHeight="1" outlineLevel="1">
      <c r="A220" s="139"/>
      <c r="B220" s="140" t="s">
        <v>1033</v>
      </c>
      <c r="C220" s="141"/>
      <c r="D220" s="393" t="s">
        <v>1034</v>
      </c>
      <c r="E220" s="188" t="s">
        <v>1034</v>
      </c>
      <c r="F220" s="143" t="s">
        <v>121</v>
      </c>
      <c r="G220" s="144">
        <f t="shared" ref="G220:K220" si="121">SUM(G221:G227)</f>
        <v>3708</v>
      </c>
      <c r="H220" s="144">
        <f t="shared" si="121"/>
        <v>3617.9949900000001</v>
      </c>
      <c r="I220" s="144">
        <f t="shared" si="121"/>
        <v>3334.6800000000003</v>
      </c>
      <c r="J220" s="144">
        <f t="shared" si="121"/>
        <v>4068.6894591454343</v>
      </c>
      <c r="K220" s="144">
        <f t="shared" si="121"/>
        <v>4833.9864900000002</v>
      </c>
      <c r="L220" s="144">
        <f t="shared" ref="L220:M220" si="122">SUM(L221:L227)</f>
        <v>3715.9700000000003</v>
      </c>
      <c r="M220" s="144">
        <f t="shared" si="122"/>
        <v>1470.8626544865938</v>
      </c>
      <c r="N220" s="144">
        <f>SUM(N221:N227)</f>
        <v>5331.6733299999996</v>
      </c>
      <c r="O220" s="144">
        <f t="shared" ref="O220:AB220" si="123">SUM(O221:O227)</f>
        <v>5324.6292599999997</v>
      </c>
      <c r="P220" s="145">
        <f t="shared" si="123"/>
        <v>4151.8620600000004</v>
      </c>
      <c r="Q220" s="144">
        <f t="shared" si="123"/>
        <v>4151.8620600000004</v>
      </c>
      <c r="R220" s="144">
        <f t="shared" si="123"/>
        <v>4151.8620600000004</v>
      </c>
      <c r="S220" s="144">
        <f t="shared" si="88"/>
        <v>2680.9994055134066</v>
      </c>
      <c r="T220" s="144">
        <f t="shared" si="89"/>
        <v>-1172.7671999999993</v>
      </c>
      <c r="U220" s="146" t="e">
        <f>R220-#REF!</f>
        <v>#REF!</v>
      </c>
      <c r="V220" s="146">
        <f t="shared" si="90"/>
        <v>2680.9994055134066</v>
      </c>
      <c r="W220" s="146">
        <f t="shared" si="91"/>
        <v>0</v>
      </c>
      <c r="X220" s="146" t="e">
        <f>O220-#REF!</f>
        <v>#REF!</v>
      </c>
      <c r="Y220" s="144">
        <f t="shared" si="123"/>
        <v>1544.0178233145814</v>
      </c>
      <c r="Z220" s="170">
        <f t="shared" si="123"/>
        <v>1613.4986253637376</v>
      </c>
      <c r="AA220" s="144">
        <f t="shared" si="123"/>
        <v>7826.8382562026482</v>
      </c>
      <c r="AB220" s="144">
        <f t="shared" si="123"/>
        <v>1600.917596520791</v>
      </c>
      <c r="AC220" s="144">
        <f t="shared" si="92"/>
        <v>1600.917596520791</v>
      </c>
      <c r="AD220" s="144">
        <f t="shared" si="93"/>
        <v>56.899773206209602</v>
      </c>
      <c r="AE220" s="144">
        <f t="shared" si="94"/>
        <v>3.6851759317169979</v>
      </c>
      <c r="AF220" s="144">
        <f t="shared" si="95"/>
        <v>-12.58102884294658</v>
      </c>
      <c r="AG220" s="144">
        <f t="shared" si="96"/>
        <v>-0.77973595051005873</v>
      </c>
      <c r="AH220" s="144">
        <f t="shared" si="97"/>
        <v>-6225.9206596818567</v>
      </c>
      <c r="AI220" s="144">
        <f t="shared" si="98"/>
        <v>-79.545794302672746</v>
      </c>
    </row>
    <row r="221" spans="1:35" ht="33" customHeight="1" outlineLevel="2">
      <c r="A221" s="139" t="s">
        <v>1035</v>
      </c>
      <c r="B221" s="143" t="s">
        <v>1036</v>
      </c>
      <c r="C221" s="147" t="s">
        <v>1037</v>
      </c>
      <c r="D221" s="148" t="s">
        <v>1038</v>
      </c>
      <c r="E221" s="149" t="s">
        <v>1039</v>
      </c>
      <c r="F221" s="143" t="s">
        <v>121</v>
      </c>
      <c r="G221" s="143">
        <v>2016.224487468864</v>
      </c>
      <c r="H221" s="143">
        <v>218.91962000000001</v>
      </c>
      <c r="I221" s="143">
        <v>0</v>
      </c>
      <c r="J221" s="143">
        <v>2212.3493573925034</v>
      </c>
      <c r="K221" s="143">
        <v>1118.0188899999998</v>
      </c>
      <c r="L221" s="143">
        <v>0</v>
      </c>
      <c r="M221" s="143">
        <v>0</v>
      </c>
      <c r="N221" s="143">
        <v>1175.34247</v>
      </c>
      <c r="O221" s="143">
        <v>1172.7672</v>
      </c>
      <c r="P221" s="150">
        <v>0</v>
      </c>
      <c r="Q221" s="167">
        <v>0</v>
      </c>
      <c r="R221" s="144">
        <v>0</v>
      </c>
      <c r="S221" s="167">
        <f t="shared" si="88"/>
        <v>0</v>
      </c>
      <c r="T221" s="167">
        <f t="shared" si="89"/>
        <v>-1172.7672</v>
      </c>
      <c r="U221" s="151" t="e">
        <f>R221-#REF!</f>
        <v>#REF!</v>
      </c>
      <c r="V221" s="151">
        <f t="shared" si="90"/>
        <v>0</v>
      </c>
      <c r="W221" s="151">
        <f t="shared" si="91"/>
        <v>0</v>
      </c>
      <c r="X221" s="151" t="e">
        <f>O221-#REF!</f>
        <v>#REF!</v>
      </c>
      <c r="Y221" s="143">
        <f>'[65]2. подк.неподк.'!V209</f>
        <v>0</v>
      </c>
      <c r="Z221" s="182">
        <f>'[65]2. подк.неподк.'!W209</f>
        <v>0</v>
      </c>
      <c r="AA221" s="143">
        <f>'[65]2. подк.неподк.'!X209</f>
        <v>1297.5999999999999</v>
      </c>
      <c r="AB221" s="143">
        <f t="shared" ref="AB221:AB227" si="124">Y221*$AA$11</f>
        <v>0</v>
      </c>
      <c r="AC221" s="144">
        <f t="shared" si="92"/>
        <v>0</v>
      </c>
      <c r="AD221" s="143">
        <f t="shared" si="93"/>
        <v>0</v>
      </c>
      <c r="AE221" s="143"/>
      <c r="AF221" s="143">
        <f t="shared" si="95"/>
        <v>0</v>
      </c>
      <c r="AG221" s="143"/>
      <c r="AH221" s="143">
        <f t="shared" si="97"/>
        <v>-1297.5999999999999</v>
      </c>
      <c r="AI221" s="143">
        <f t="shared" si="98"/>
        <v>-100</v>
      </c>
    </row>
    <row r="222" spans="1:35" ht="33" customHeight="1" outlineLevel="2">
      <c r="A222" s="139" t="s">
        <v>1040</v>
      </c>
      <c r="B222" s="143" t="s">
        <v>1041</v>
      </c>
      <c r="C222" s="147" t="s">
        <v>1042</v>
      </c>
      <c r="D222" s="148" t="s">
        <v>1043</v>
      </c>
      <c r="E222" s="149" t="s">
        <v>1044</v>
      </c>
      <c r="F222" s="143" t="s">
        <v>121</v>
      </c>
      <c r="G222" s="143">
        <v>75.290000000000006</v>
      </c>
      <c r="H222" s="143">
        <v>450.69668999999999</v>
      </c>
      <c r="I222" s="143">
        <v>450.7</v>
      </c>
      <c r="J222" s="143">
        <v>82.613709015699996</v>
      </c>
      <c r="K222" s="143">
        <v>488.49576999999999</v>
      </c>
      <c r="L222" s="143">
        <v>488.5</v>
      </c>
      <c r="M222" s="143">
        <v>7.3386513448103958</v>
      </c>
      <c r="N222" s="143">
        <v>692.00274000000002</v>
      </c>
      <c r="O222" s="143">
        <v>692.00274000000002</v>
      </c>
      <c r="P222" s="150">
        <v>692.00274000000002</v>
      </c>
      <c r="Q222" s="143">
        <v>692.00274000000002</v>
      </c>
      <c r="R222" s="144">
        <v>692.00274000000002</v>
      </c>
      <c r="S222" s="143">
        <f t="shared" ref="S222:S285" si="125">R222-M222</f>
        <v>684.66408865518963</v>
      </c>
      <c r="T222" s="143">
        <f t="shared" ref="T222:T285" si="126">R222-O222</f>
        <v>0</v>
      </c>
      <c r="U222" s="151" t="e">
        <f>R222-#REF!</f>
        <v>#REF!</v>
      </c>
      <c r="V222" s="151">
        <f t="shared" ref="V222:V285" si="127">R222-M222</f>
        <v>684.66408865518963</v>
      </c>
      <c r="W222" s="151">
        <f t="shared" ref="W222:W285" si="128">Q222-P222</f>
        <v>0</v>
      </c>
      <c r="X222" s="151" t="e">
        <f>O222-#REF!</f>
        <v>#REF!</v>
      </c>
      <c r="Y222" s="143">
        <f>'[65]2. подк.неподк.'!V210</f>
        <v>0</v>
      </c>
      <c r="Z222" s="182">
        <f>'[65]2. подк.неподк.'!W210</f>
        <v>0</v>
      </c>
      <c r="AA222" s="143">
        <f>'[65]2. подк.неподк.'!X210</f>
        <v>0</v>
      </c>
      <c r="AB222" s="143">
        <f t="shared" si="124"/>
        <v>0</v>
      </c>
      <c r="AC222" s="144">
        <f t="shared" ref="AC222:AC285" si="129">AB222</f>
        <v>0</v>
      </c>
      <c r="AD222" s="143">
        <f t="shared" ref="AD222:AD285" si="130">AB222-Y222</f>
        <v>0</v>
      </c>
      <c r="AE222" s="143"/>
      <c r="AF222" s="143">
        <f t="shared" ref="AF222:AF285" si="131">AB222-Z222</f>
        <v>0</v>
      </c>
      <c r="AG222" s="143"/>
      <c r="AH222" s="143">
        <f t="shared" ref="AH222:AH285" si="132">AB222-AA222</f>
        <v>0</v>
      </c>
      <c r="AI222" s="143"/>
    </row>
    <row r="223" spans="1:35" ht="33" customHeight="1" outlineLevel="2">
      <c r="A223" s="139" t="s">
        <v>1045</v>
      </c>
      <c r="B223" s="143" t="s">
        <v>1046</v>
      </c>
      <c r="C223" s="147" t="s">
        <v>1047</v>
      </c>
      <c r="D223" s="148" t="s">
        <v>1048</v>
      </c>
      <c r="E223" s="149" t="s">
        <v>1049</v>
      </c>
      <c r="F223" s="143" t="s">
        <v>121</v>
      </c>
      <c r="G223" s="143">
        <v>1459.2944047673459</v>
      </c>
      <c r="H223" s="143">
        <v>2546.5122500000002</v>
      </c>
      <c r="I223" s="143">
        <v>2546.5100000000002</v>
      </c>
      <c r="J223" s="143">
        <v>1601.2447871906013</v>
      </c>
      <c r="K223" s="143">
        <v>2437.5476500000004</v>
      </c>
      <c r="L223" s="143">
        <v>2437.5500000000002</v>
      </c>
      <c r="M223" s="143">
        <v>735.30390563933986</v>
      </c>
      <c r="N223" s="143">
        <v>2750.7380400000002</v>
      </c>
      <c r="O223" s="143">
        <v>2746.2692400000001</v>
      </c>
      <c r="P223" s="150">
        <v>2746.2692400000001</v>
      </c>
      <c r="Q223" s="143">
        <v>2746.2692400000001</v>
      </c>
      <c r="R223" s="144">
        <v>2746.2692400000001</v>
      </c>
      <c r="S223" s="143">
        <f t="shared" si="125"/>
        <v>2010.9653343606601</v>
      </c>
      <c r="T223" s="143">
        <f t="shared" si="126"/>
        <v>0</v>
      </c>
      <c r="U223" s="151" t="e">
        <f>R223-#REF!</f>
        <v>#REF!</v>
      </c>
      <c r="V223" s="151">
        <f t="shared" si="127"/>
        <v>2010.9653343606601</v>
      </c>
      <c r="W223" s="151">
        <f t="shared" si="128"/>
        <v>0</v>
      </c>
      <c r="X223" s="151" t="e">
        <f>O223-#REF!</f>
        <v>#REF!</v>
      </c>
      <c r="Y223" s="143">
        <f>'[65]2. подк.неподк.'!V211</f>
        <v>775.74562044950346</v>
      </c>
      <c r="Z223" s="182">
        <f>'[65]2. подк.неподк.'!W211</f>
        <v>810.6541733697311</v>
      </c>
      <c r="AA223" s="143">
        <f>'[65]2. подк.неподк.'!X211</f>
        <v>4726.3938042086411</v>
      </c>
      <c r="AB223" s="143">
        <f t="shared" si="124"/>
        <v>804.33321134565722</v>
      </c>
      <c r="AC223" s="144">
        <f t="shared" si="129"/>
        <v>804.33321134565722</v>
      </c>
      <c r="AD223" s="143">
        <f t="shared" si="130"/>
        <v>28.587590896153756</v>
      </c>
      <c r="AE223" s="143">
        <f t="shared" ref="AE223:AE284" si="133">AB223/Y223*100-100</f>
        <v>3.6851759317169979</v>
      </c>
      <c r="AF223" s="143">
        <f t="shared" si="131"/>
        <v>-6.3209620240738786</v>
      </c>
      <c r="AG223" s="143">
        <f t="shared" ref="AG223:AG284" si="134">AB223/Z223*100-100</f>
        <v>-0.77973595051005873</v>
      </c>
      <c r="AH223" s="143">
        <f t="shared" si="132"/>
        <v>-3922.0605928629839</v>
      </c>
      <c r="AI223" s="143">
        <f t="shared" ref="AI223:AI285" si="135">AB223/AA223*100-100</f>
        <v>-82.98209491918692</v>
      </c>
    </row>
    <row r="224" spans="1:35" ht="33" customHeight="1" outlineLevel="2">
      <c r="A224" s="139" t="s">
        <v>1050</v>
      </c>
      <c r="B224" s="143" t="s">
        <v>1051</v>
      </c>
      <c r="C224" s="147" t="s">
        <v>1052</v>
      </c>
      <c r="D224" s="148" t="s">
        <v>1053</v>
      </c>
      <c r="E224" s="149" t="s">
        <v>1054</v>
      </c>
      <c r="F224" s="143" t="s">
        <v>121</v>
      </c>
      <c r="G224" s="143">
        <v>0</v>
      </c>
      <c r="H224" s="143">
        <v>64.400000000000006</v>
      </c>
      <c r="I224" s="143">
        <v>0</v>
      </c>
      <c r="J224" s="143">
        <v>0</v>
      </c>
      <c r="K224" s="143">
        <v>0</v>
      </c>
      <c r="L224" s="143">
        <v>0</v>
      </c>
      <c r="M224" s="143">
        <v>0</v>
      </c>
      <c r="N224" s="143">
        <v>0</v>
      </c>
      <c r="O224" s="143">
        <v>0</v>
      </c>
      <c r="P224" s="150">
        <v>0</v>
      </c>
      <c r="Q224" s="143">
        <v>0</v>
      </c>
      <c r="R224" s="144">
        <v>0</v>
      </c>
      <c r="S224" s="143">
        <f t="shared" si="125"/>
        <v>0</v>
      </c>
      <c r="T224" s="143">
        <f t="shared" si="126"/>
        <v>0</v>
      </c>
      <c r="U224" s="151" t="e">
        <f>R224-#REF!</f>
        <v>#REF!</v>
      </c>
      <c r="V224" s="151">
        <f t="shared" si="127"/>
        <v>0</v>
      </c>
      <c r="W224" s="151">
        <f t="shared" si="128"/>
        <v>0</v>
      </c>
      <c r="X224" s="151" t="e">
        <f>O224-#REF!</f>
        <v>#REF!</v>
      </c>
      <c r="Y224" s="143">
        <f>'[65]2. подк.неподк.'!V212</f>
        <v>0</v>
      </c>
      <c r="Z224" s="182">
        <f>'[65]2. подк.неподк.'!W212</f>
        <v>0</v>
      </c>
      <c r="AA224" s="143">
        <f>'[65]2. подк.неподк.'!X212</f>
        <v>1000</v>
      </c>
      <c r="AB224" s="143">
        <f t="shared" si="124"/>
        <v>0</v>
      </c>
      <c r="AC224" s="144">
        <f t="shared" si="129"/>
        <v>0</v>
      </c>
      <c r="AD224" s="143">
        <f t="shared" si="130"/>
        <v>0</v>
      </c>
      <c r="AE224" s="143"/>
      <c r="AF224" s="143">
        <f t="shared" si="131"/>
        <v>0</v>
      </c>
      <c r="AG224" s="143"/>
      <c r="AH224" s="143">
        <f t="shared" si="132"/>
        <v>-1000</v>
      </c>
      <c r="AI224" s="143">
        <f t="shared" si="135"/>
        <v>-100</v>
      </c>
    </row>
    <row r="225" spans="1:35" ht="33" customHeight="1" outlineLevel="2">
      <c r="A225" s="139" t="s">
        <v>1055</v>
      </c>
      <c r="B225" s="143" t="s">
        <v>1056</v>
      </c>
      <c r="C225" s="147" t="s">
        <v>1057</v>
      </c>
      <c r="D225" s="148" t="s">
        <v>1058</v>
      </c>
      <c r="E225" s="149" t="s">
        <v>1059</v>
      </c>
      <c r="F225" s="143" t="s">
        <v>121</v>
      </c>
      <c r="G225" s="143">
        <v>157.19110776379011</v>
      </c>
      <c r="H225" s="143">
        <v>337.46643</v>
      </c>
      <c r="I225" s="143">
        <v>337.47</v>
      </c>
      <c r="J225" s="143">
        <v>172.48160554662959</v>
      </c>
      <c r="K225" s="143">
        <v>789.92417999999998</v>
      </c>
      <c r="L225" s="143">
        <v>789.92</v>
      </c>
      <c r="M225" s="143">
        <v>728.22009750244354</v>
      </c>
      <c r="N225" s="143">
        <v>713.59008000000006</v>
      </c>
      <c r="O225" s="143">
        <v>713.59008000000006</v>
      </c>
      <c r="P225" s="150">
        <v>713.59008000000006</v>
      </c>
      <c r="Q225" s="143">
        <v>713.59008000000006</v>
      </c>
      <c r="R225" s="144">
        <v>713.59008000000006</v>
      </c>
      <c r="S225" s="143">
        <f t="shared" si="125"/>
        <v>-14.630017502443479</v>
      </c>
      <c r="T225" s="143">
        <f t="shared" si="126"/>
        <v>0</v>
      </c>
      <c r="U225" s="151" t="e">
        <f>R225-#REF!</f>
        <v>#REF!</v>
      </c>
      <c r="V225" s="151">
        <f t="shared" si="127"/>
        <v>-14.630017502443479</v>
      </c>
      <c r="W225" s="151">
        <f t="shared" si="128"/>
        <v>0</v>
      </c>
      <c r="X225" s="151" t="e">
        <f>O225-#REF!</f>
        <v>#REF!</v>
      </c>
      <c r="Y225" s="143">
        <f>'[65]2. подк.неподк.'!V213</f>
        <v>768.27220286507793</v>
      </c>
      <c r="Z225" s="182">
        <f>'[65]2. подк.неподк.'!W213</f>
        <v>802.84445199400636</v>
      </c>
      <c r="AA225" s="143">
        <f>'[65]2. подк.неподк.'!X213</f>
        <v>802.84445199400636</v>
      </c>
      <c r="AB225" s="143">
        <f t="shared" si="124"/>
        <v>796.58438517513378</v>
      </c>
      <c r="AC225" s="144">
        <f t="shared" si="129"/>
        <v>796.58438517513378</v>
      </c>
      <c r="AD225" s="143">
        <f t="shared" si="130"/>
        <v>28.312182310055846</v>
      </c>
      <c r="AE225" s="143">
        <f t="shared" si="133"/>
        <v>3.6851759317169979</v>
      </c>
      <c r="AF225" s="143">
        <f t="shared" si="131"/>
        <v>-6.2600668188725876</v>
      </c>
      <c r="AG225" s="143">
        <f t="shared" si="134"/>
        <v>-0.77973595051004452</v>
      </c>
      <c r="AH225" s="143">
        <f t="shared" si="132"/>
        <v>-6.2600668188725876</v>
      </c>
      <c r="AI225" s="143">
        <f t="shared" si="135"/>
        <v>-0.77973595051004452</v>
      </c>
    </row>
    <row r="226" spans="1:35" ht="33" customHeight="1" outlineLevel="2">
      <c r="A226" s="139" t="s">
        <v>1060</v>
      </c>
      <c r="B226" s="143" t="s">
        <v>1061</v>
      </c>
      <c r="C226" s="147" t="s">
        <v>1062</v>
      </c>
      <c r="D226" s="148" t="s">
        <v>1063</v>
      </c>
      <c r="E226" s="149" t="s">
        <v>1064</v>
      </c>
      <c r="F226" s="143" t="s">
        <v>121</v>
      </c>
      <c r="G226" s="143">
        <v>0</v>
      </c>
      <c r="H226" s="143">
        <v>0</v>
      </c>
      <c r="I226" s="143">
        <v>0</v>
      </c>
      <c r="J226" s="143">
        <v>0</v>
      </c>
      <c r="K226" s="143">
        <v>0</v>
      </c>
      <c r="L226" s="143">
        <v>0</v>
      </c>
      <c r="M226" s="143">
        <v>0</v>
      </c>
      <c r="N226" s="143">
        <v>0</v>
      </c>
      <c r="O226" s="143">
        <v>0</v>
      </c>
      <c r="P226" s="150">
        <v>0</v>
      </c>
      <c r="Q226" s="143">
        <v>0</v>
      </c>
      <c r="R226" s="144">
        <v>0</v>
      </c>
      <c r="S226" s="143">
        <f t="shared" si="125"/>
        <v>0</v>
      </c>
      <c r="T226" s="143">
        <f t="shared" si="126"/>
        <v>0</v>
      </c>
      <c r="U226" s="151" t="e">
        <f>R226-#REF!</f>
        <v>#REF!</v>
      </c>
      <c r="V226" s="151">
        <f t="shared" si="127"/>
        <v>0</v>
      </c>
      <c r="W226" s="151">
        <f t="shared" si="128"/>
        <v>0</v>
      </c>
      <c r="X226" s="151" t="e">
        <f>O226-#REF!</f>
        <v>#REF!</v>
      </c>
      <c r="Y226" s="143">
        <f>'[65]2. подк.неподк.'!V214</f>
        <v>0</v>
      </c>
      <c r="Z226" s="182">
        <f>'[65]2. подк.неподк.'!W214</f>
        <v>0</v>
      </c>
      <c r="AA226" s="143">
        <f>'[65]2. подк.неподк.'!X214</f>
        <v>0</v>
      </c>
      <c r="AB226" s="143">
        <f t="shared" si="124"/>
        <v>0</v>
      </c>
      <c r="AC226" s="144">
        <f t="shared" si="129"/>
        <v>0</v>
      </c>
      <c r="AD226" s="143">
        <f t="shared" si="130"/>
        <v>0</v>
      </c>
      <c r="AE226" s="143"/>
      <c r="AF226" s="143">
        <f t="shared" si="131"/>
        <v>0</v>
      </c>
      <c r="AG226" s="143"/>
      <c r="AH226" s="143">
        <f t="shared" si="132"/>
        <v>0</v>
      </c>
      <c r="AI226" s="143"/>
    </row>
    <row r="227" spans="1:35" ht="33" customHeight="1" outlineLevel="2">
      <c r="A227" s="139" t="s">
        <v>1065</v>
      </c>
      <c r="B227" s="143" t="s">
        <v>1066</v>
      </c>
      <c r="C227" s="147" t="s">
        <v>1067</v>
      </c>
      <c r="D227" s="189" t="s">
        <v>1068</v>
      </c>
      <c r="E227" s="149" t="s">
        <v>1069</v>
      </c>
      <c r="F227" s="143" t="s">
        <v>121</v>
      </c>
      <c r="G227" s="143">
        <v>0</v>
      </c>
      <c r="H227" s="143">
        <v>0</v>
      </c>
      <c r="I227" s="143">
        <v>0</v>
      </c>
      <c r="J227" s="143">
        <v>0</v>
      </c>
      <c r="K227" s="143">
        <v>0</v>
      </c>
      <c r="L227" s="143">
        <v>0</v>
      </c>
      <c r="M227" s="143">
        <v>0</v>
      </c>
      <c r="N227" s="143">
        <v>0</v>
      </c>
      <c r="O227" s="143">
        <v>0</v>
      </c>
      <c r="P227" s="150">
        <v>0</v>
      </c>
      <c r="Q227" s="143">
        <v>0</v>
      </c>
      <c r="R227" s="144">
        <v>0</v>
      </c>
      <c r="S227" s="143">
        <f t="shared" si="125"/>
        <v>0</v>
      </c>
      <c r="T227" s="143">
        <f t="shared" si="126"/>
        <v>0</v>
      </c>
      <c r="U227" s="151" t="e">
        <f>R227-#REF!</f>
        <v>#REF!</v>
      </c>
      <c r="V227" s="151">
        <f t="shared" si="127"/>
        <v>0</v>
      </c>
      <c r="W227" s="151">
        <f t="shared" si="128"/>
        <v>0</v>
      </c>
      <c r="X227" s="151" t="e">
        <f>O227-#REF!</f>
        <v>#REF!</v>
      </c>
      <c r="Y227" s="143">
        <f>'[65]2. подк.неподк.'!V215</f>
        <v>0</v>
      </c>
      <c r="Z227" s="182">
        <f>'[65]2. подк.неподк.'!W215</f>
        <v>0</v>
      </c>
      <c r="AA227" s="143">
        <f>'[65]2. подк.неподк.'!X215</f>
        <v>0</v>
      </c>
      <c r="AB227" s="143">
        <f t="shared" si="124"/>
        <v>0</v>
      </c>
      <c r="AC227" s="144">
        <f t="shared" si="129"/>
        <v>0</v>
      </c>
      <c r="AD227" s="143">
        <f t="shared" si="130"/>
        <v>0</v>
      </c>
      <c r="AE227" s="143"/>
      <c r="AF227" s="143">
        <f t="shared" si="131"/>
        <v>0</v>
      </c>
      <c r="AG227" s="143"/>
      <c r="AH227" s="143">
        <f t="shared" si="132"/>
        <v>0</v>
      </c>
      <c r="AI227" s="143"/>
    </row>
    <row r="228" spans="1:35" ht="33" customHeight="1" outlineLevel="1">
      <c r="A228" s="139"/>
      <c r="B228" s="140" t="s">
        <v>1070</v>
      </c>
      <c r="C228" s="141"/>
      <c r="D228" s="393" t="s">
        <v>1071</v>
      </c>
      <c r="E228" s="188" t="s">
        <v>1071</v>
      </c>
      <c r="F228" s="143" t="s">
        <v>121</v>
      </c>
      <c r="G228" s="144">
        <f t="shared" ref="G228:K228" si="136">SUM(G229:G233)</f>
        <v>5182.665</v>
      </c>
      <c r="H228" s="144">
        <f t="shared" si="136"/>
        <v>3407.2187800000002</v>
      </c>
      <c r="I228" s="144">
        <f t="shared" si="136"/>
        <v>2548.0699999999997</v>
      </c>
      <c r="J228" s="144">
        <f t="shared" si="136"/>
        <v>5686.8000828244494</v>
      </c>
      <c r="K228" s="144">
        <f t="shared" si="136"/>
        <v>8089.9306999999999</v>
      </c>
      <c r="L228" s="144">
        <f t="shared" ref="L228:M228" si="137">SUM(L229:L233)</f>
        <v>585.89</v>
      </c>
      <c r="M228" s="144">
        <f t="shared" si="137"/>
        <v>3951.4904896454455</v>
      </c>
      <c r="N228" s="144">
        <f>SUM(N229:N233)</f>
        <v>4228.9970599999997</v>
      </c>
      <c r="O228" s="144">
        <f t="shared" ref="O228:AB228" si="138">SUM(O229:O233)</f>
        <v>4034.8852999999999</v>
      </c>
      <c r="P228" s="145">
        <f t="shared" si="138"/>
        <v>4034.8852999999999</v>
      </c>
      <c r="Q228" s="144">
        <f t="shared" si="138"/>
        <v>4034.8852999999999</v>
      </c>
      <c r="R228" s="144">
        <f t="shared" si="138"/>
        <v>4034.8852999999999</v>
      </c>
      <c r="S228" s="144">
        <f t="shared" si="125"/>
        <v>83.394810354554465</v>
      </c>
      <c r="T228" s="144">
        <f t="shared" si="126"/>
        <v>0</v>
      </c>
      <c r="U228" s="146" t="e">
        <f>R228-#REF!</f>
        <v>#REF!</v>
      </c>
      <c r="V228" s="146">
        <f t="shared" si="127"/>
        <v>83.394810354554465</v>
      </c>
      <c r="W228" s="146">
        <f t="shared" si="128"/>
        <v>0</v>
      </c>
      <c r="X228" s="146" t="e">
        <f>O228-#REF!</f>
        <v>#REF!</v>
      </c>
      <c r="Y228" s="144">
        <f t="shared" si="138"/>
        <v>664.47249624999995</v>
      </c>
      <c r="Z228" s="170">
        <f t="shared" si="138"/>
        <v>694.37375858124994</v>
      </c>
      <c r="AA228" s="144">
        <f t="shared" si="138"/>
        <v>4728.9484599999996</v>
      </c>
      <c r="AB228" s="144">
        <f t="shared" si="138"/>
        <v>688.95947675468415</v>
      </c>
      <c r="AC228" s="144">
        <f t="shared" si="129"/>
        <v>688.95947675468415</v>
      </c>
      <c r="AD228" s="144">
        <f t="shared" si="130"/>
        <v>24.486980504684198</v>
      </c>
      <c r="AE228" s="144">
        <f t="shared" si="133"/>
        <v>3.6851759317169979</v>
      </c>
      <c r="AF228" s="144">
        <f t="shared" si="131"/>
        <v>-5.4142818265657979</v>
      </c>
      <c r="AG228" s="144">
        <f t="shared" si="134"/>
        <v>-0.77973595051004452</v>
      </c>
      <c r="AH228" s="144">
        <f t="shared" si="132"/>
        <v>-4039.9889832453155</v>
      </c>
      <c r="AI228" s="144">
        <f t="shared" si="135"/>
        <v>-85.431021661955597</v>
      </c>
    </row>
    <row r="229" spans="1:35" ht="33" customHeight="1" outlineLevel="2">
      <c r="A229" s="139" t="s">
        <v>1072</v>
      </c>
      <c r="B229" s="143" t="s">
        <v>1073</v>
      </c>
      <c r="C229" s="147" t="s">
        <v>1074</v>
      </c>
      <c r="D229" s="148" t="s">
        <v>1075</v>
      </c>
      <c r="E229" s="149" t="s">
        <v>1076</v>
      </c>
      <c r="F229" s="143" t="s">
        <v>121</v>
      </c>
      <c r="G229" s="143">
        <v>1691.3325</v>
      </c>
      <c r="H229" s="143">
        <v>455.76078999999999</v>
      </c>
      <c r="I229" s="143">
        <v>455.76</v>
      </c>
      <c r="J229" s="143">
        <v>1855.8540444122248</v>
      </c>
      <c r="K229" s="143">
        <v>585.88513999999998</v>
      </c>
      <c r="L229" s="143">
        <v>585.89</v>
      </c>
      <c r="M229" s="143">
        <v>584.79219924156894</v>
      </c>
      <c r="N229" s="143">
        <v>594.16305</v>
      </c>
      <c r="O229" s="143">
        <v>582.02267000000006</v>
      </c>
      <c r="P229" s="150">
        <v>582.02267000000006</v>
      </c>
      <c r="Q229" s="143">
        <v>582.02267000000006</v>
      </c>
      <c r="R229" s="144">
        <v>582.02267000000006</v>
      </c>
      <c r="S229" s="143">
        <f t="shared" si="125"/>
        <v>-2.7695292415688755</v>
      </c>
      <c r="T229" s="143">
        <f t="shared" si="126"/>
        <v>0</v>
      </c>
      <c r="U229" s="151" t="e">
        <f>R229-#REF!</f>
        <v>#REF!</v>
      </c>
      <c r="V229" s="151">
        <f t="shared" si="127"/>
        <v>-2.7695292415688755</v>
      </c>
      <c r="W229" s="151">
        <f t="shared" si="128"/>
        <v>0</v>
      </c>
      <c r="X229" s="151" t="e">
        <f>O229-#REF!</f>
        <v>#REF!</v>
      </c>
      <c r="Y229" s="143">
        <f>'[65]2. подк.неподк.'!V217</f>
        <v>664.47249624999995</v>
      </c>
      <c r="Z229" s="182">
        <f>'[65]2. подк.неподк.'!W217</f>
        <v>694.37375858124994</v>
      </c>
      <c r="AA229" s="143">
        <f>'[65]2. подк.неподк.'!X217</f>
        <v>920.91</v>
      </c>
      <c r="AB229" s="143">
        <f>Y229*$AA$11</f>
        <v>688.95947675468415</v>
      </c>
      <c r="AC229" s="144">
        <f t="shared" si="129"/>
        <v>688.95947675468415</v>
      </c>
      <c r="AD229" s="143">
        <f t="shared" si="130"/>
        <v>24.486980504684198</v>
      </c>
      <c r="AE229" s="143">
        <f t="shared" si="133"/>
        <v>3.6851759317169979</v>
      </c>
      <c r="AF229" s="143">
        <f t="shared" si="131"/>
        <v>-5.4142818265657979</v>
      </c>
      <c r="AG229" s="143">
        <f t="shared" si="134"/>
        <v>-0.77973595051004452</v>
      </c>
      <c r="AH229" s="143">
        <f t="shared" si="132"/>
        <v>-231.95052324531582</v>
      </c>
      <c r="AI229" s="143">
        <f t="shared" si="135"/>
        <v>-25.187100068987831</v>
      </c>
    </row>
    <row r="230" spans="1:35" ht="33" customHeight="1" outlineLevel="2">
      <c r="A230" s="139" t="s">
        <v>1077</v>
      </c>
      <c r="B230" s="143" t="s">
        <v>1078</v>
      </c>
      <c r="C230" s="147" t="s">
        <v>1079</v>
      </c>
      <c r="D230" s="148" t="s">
        <v>1080</v>
      </c>
      <c r="E230" s="149" t="s">
        <v>1081</v>
      </c>
      <c r="F230" s="143" t="s">
        <v>121</v>
      </c>
      <c r="G230" s="143">
        <v>1691.3325</v>
      </c>
      <c r="H230" s="143">
        <v>859.14836000000003</v>
      </c>
      <c r="I230" s="143">
        <v>0</v>
      </c>
      <c r="J230" s="143">
        <v>1855.8540444122248</v>
      </c>
      <c r="K230" s="143">
        <v>0</v>
      </c>
      <c r="L230" s="143">
        <v>0</v>
      </c>
      <c r="M230" s="143">
        <v>1129.6982904038766</v>
      </c>
      <c r="N230" s="143">
        <v>984.11404000000005</v>
      </c>
      <c r="O230" s="143">
        <v>930.62285999999995</v>
      </c>
      <c r="P230" s="150">
        <v>930.62285999999995</v>
      </c>
      <c r="Q230" s="143">
        <v>930.62285999999995</v>
      </c>
      <c r="R230" s="144">
        <v>930.62285999999995</v>
      </c>
      <c r="S230" s="143">
        <f t="shared" si="125"/>
        <v>-199.07543040387668</v>
      </c>
      <c r="T230" s="143">
        <f t="shared" si="126"/>
        <v>0</v>
      </c>
      <c r="U230" s="151" t="e">
        <f>R230-#REF!</f>
        <v>#REF!</v>
      </c>
      <c r="V230" s="151">
        <f t="shared" si="127"/>
        <v>-199.07543040387668</v>
      </c>
      <c r="W230" s="151">
        <f t="shared" si="128"/>
        <v>0</v>
      </c>
      <c r="X230" s="151" t="e">
        <f>O230-#REF!</f>
        <v>#REF!</v>
      </c>
      <c r="Y230" s="143">
        <f>'[65]2. подк.неподк.'!V218</f>
        <v>0</v>
      </c>
      <c r="Z230" s="182">
        <f>'[65]2. подк.неподк.'!W218</f>
        <v>0</v>
      </c>
      <c r="AA230" s="143">
        <f>'[65]2. подк.неподк.'!X218</f>
        <v>1166.4000000000001</v>
      </c>
      <c r="AB230" s="143">
        <f>Y230*$AA$11</f>
        <v>0</v>
      </c>
      <c r="AC230" s="144">
        <f t="shared" si="129"/>
        <v>0</v>
      </c>
      <c r="AD230" s="143">
        <f t="shared" si="130"/>
        <v>0</v>
      </c>
      <c r="AE230" s="143"/>
      <c r="AF230" s="143">
        <f t="shared" si="131"/>
        <v>0</v>
      </c>
      <c r="AG230" s="143"/>
      <c r="AH230" s="143">
        <f t="shared" si="132"/>
        <v>-1166.4000000000001</v>
      </c>
      <c r="AI230" s="143">
        <f t="shared" si="135"/>
        <v>-100</v>
      </c>
    </row>
    <row r="231" spans="1:35" ht="33" customHeight="1" outlineLevel="2">
      <c r="A231" s="139" t="s">
        <v>1082</v>
      </c>
      <c r="B231" s="143" t="s">
        <v>1083</v>
      </c>
      <c r="C231" s="147" t="s">
        <v>1084</v>
      </c>
      <c r="D231" s="148" t="s">
        <v>1085</v>
      </c>
      <c r="E231" s="188"/>
      <c r="F231" s="143" t="s">
        <v>121</v>
      </c>
      <c r="G231" s="143">
        <v>0</v>
      </c>
      <c r="H231" s="143">
        <v>0</v>
      </c>
      <c r="I231" s="143">
        <v>0</v>
      </c>
      <c r="J231" s="143">
        <v>0</v>
      </c>
      <c r="K231" s="143">
        <v>0</v>
      </c>
      <c r="L231" s="143">
        <v>0</v>
      </c>
      <c r="M231" s="143">
        <v>0</v>
      </c>
      <c r="N231" s="143">
        <v>288.09564</v>
      </c>
      <c r="O231" s="143">
        <v>287.16131000000001</v>
      </c>
      <c r="P231" s="150">
        <v>287.16131000000001</v>
      </c>
      <c r="Q231" s="143">
        <v>287.16131000000001</v>
      </c>
      <c r="R231" s="144">
        <v>287.16131000000001</v>
      </c>
      <c r="S231" s="143">
        <f t="shared" si="125"/>
        <v>287.16131000000001</v>
      </c>
      <c r="T231" s="143">
        <f t="shared" si="126"/>
        <v>0</v>
      </c>
      <c r="U231" s="151" t="e">
        <f>R231-#REF!</f>
        <v>#REF!</v>
      </c>
      <c r="V231" s="151">
        <f t="shared" si="127"/>
        <v>287.16131000000001</v>
      </c>
      <c r="W231" s="151">
        <f t="shared" si="128"/>
        <v>0</v>
      </c>
      <c r="X231" s="151" t="e">
        <f>O231-#REF!</f>
        <v>#REF!</v>
      </c>
      <c r="Y231" s="143">
        <f>'[65]2. подк.неподк.'!V219</f>
        <v>0</v>
      </c>
      <c r="Z231" s="182">
        <f>'[65]2. подк.неподк.'!W219</f>
        <v>0</v>
      </c>
      <c r="AA231" s="143">
        <f>'[65]2. подк.неподк.'!X219</f>
        <v>406.56</v>
      </c>
      <c r="AB231" s="143">
        <f>Y231*$AA$11</f>
        <v>0</v>
      </c>
      <c r="AC231" s="144">
        <f t="shared" si="129"/>
        <v>0</v>
      </c>
      <c r="AD231" s="143">
        <f t="shared" si="130"/>
        <v>0</v>
      </c>
      <c r="AE231" s="143"/>
      <c r="AF231" s="143">
        <f t="shared" si="131"/>
        <v>0</v>
      </c>
      <c r="AG231" s="143"/>
      <c r="AH231" s="143">
        <f t="shared" si="132"/>
        <v>-406.56</v>
      </c>
      <c r="AI231" s="143">
        <f t="shared" si="135"/>
        <v>-100</v>
      </c>
    </row>
    <row r="232" spans="1:35" ht="33" customHeight="1" outlineLevel="2">
      <c r="A232" s="139" t="s">
        <v>1086</v>
      </c>
      <c r="B232" s="143" t="s">
        <v>1087</v>
      </c>
      <c r="C232" s="147" t="s">
        <v>1088</v>
      </c>
      <c r="D232" s="148" t="s">
        <v>1089</v>
      </c>
      <c r="E232" s="149" t="s">
        <v>1090</v>
      </c>
      <c r="F232" s="143" t="s">
        <v>121</v>
      </c>
      <c r="G232" s="143">
        <v>1800</v>
      </c>
      <c r="H232" s="143">
        <v>2092.3096300000002</v>
      </c>
      <c r="I232" s="143">
        <v>2092.31</v>
      </c>
      <c r="J232" s="143">
        <v>1975.0919939999999</v>
      </c>
      <c r="K232" s="143">
        <v>0</v>
      </c>
      <c r="L232" s="143">
        <v>0</v>
      </c>
      <c r="M232" s="143">
        <v>2237</v>
      </c>
      <c r="N232" s="143">
        <v>2362.6243300000001</v>
      </c>
      <c r="O232" s="143">
        <v>2235.0784600000002</v>
      </c>
      <c r="P232" s="150">
        <v>2235.0784600000002</v>
      </c>
      <c r="Q232" s="143">
        <v>2235.0784600000002</v>
      </c>
      <c r="R232" s="144">
        <v>2235.0784600000002</v>
      </c>
      <c r="S232" s="143">
        <f t="shared" si="125"/>
        <v>-1.9215399999998226</v>
      </c>
      <c r="T232" s="143">
        <f t="shared" si="126"/>
        <v>0</v>
      </c>
      <c r="U232" s="151" t="e">
        <f>R232-#REF!</f>
        <v>#REF!</v>
      </c>
      <c r="V232" s="151">
        <f t="shared" si="127"/>
        <v>-1.9215399999998226</v>
      </c>
      <c r="W232" s="151">
        <f t="shared" si="128"/>
        <v>0</v>
      </c>
      <c r="X232" s="151" t="e">
        <f>O232-#REF!</f>
        <v>#REF!</v>
      </c>
      <c r="Y232" s="143">
        <f>'[65]2. подк.неподк.'!V220</f>
        <v>0</v>
      </c>
      <c r="Z232" s="182">
        <f>'[65]2. подк.неподк.'!W220</f>
        <v>0</v>
      </c>
      <c r="AA232" s="143">
        <f>'[65]2. подк.неподк.'!X220</f>
        <v>2235.0784600000002</v>
      </c>
      <c r="AB232" s="143">
        <f>Y232*$AA$11</f>
        <v>0</v>
      </c>
      <c r="AC232" s="144">
        <f t="shared" si="129"/>
        <v>0</v>
      </c>
      <c r="AD232" s="143">
        <f t="shared" si="130"/>
        <v>0</v>
      </c>
      <c r="AE232" s="143"/>
      <c r="AF232" s="143">
        <f t="shared" si="131"/>
        <v>0</v>
      </c>
      <c r="AG232" s="143"/>
      <c r="AH232" s="143">
        <f t="shared" si="132"/>
        <v>-2235.0784600000002</v>
      </c>
      <c r="AI232" s="143">
        <f t="shared" si="135"/>
        <v>-100</v>
      </c>
    </row>
    <row r="233" spans="1:35" ht="33" customHeight="1" outlineLevel="2">
      <c r="A233" s="139"/>
      <c r="B233" s="143" t="s">
        <v>1091</v>
      </c>
      <c r="C233" s="147" t="s">
        <v>1092</v>
      </c>
      <c r="D233" s="148" t="s">
        <v>1093</v>
      </c>
      <c r="E233" s="149"/>
      <c r="F233" s="143" t="s">
        <v>121</v>
      </c>
      <c r="G233" s="143">
        <v>0</v>
      </c>
      <c r="H233" s="143">
        <v>0</v>
      </c>
      <c r="I233" s="143">
        <v>0</v>
      </c>
      <c r="J233" s="143">
        <v>0</v>
      </c>
      <c r="K233" s="143">
        <v>7504.0455599999996</v>
      </c>
      <c r="L233" s="143">
        <v>0</v>
      </c>
      <c r="M233" s="143">
        <v>0</v>
      </c>
      <c r="N233" s="143"/>
      <c r="O233" s="143"/>
      <c r="P233" s="150">
        <v>0</v>
      </c>
      <c r="Q233" s="167">
        <v>0</v>
      </c>
      <c r="R233" s="144">
        <v>0</v>
      </c>
      <c r="S233" s="167">
        <f t="shared" si="125"/>
        <v>0</v>
      </c>
      <c r="T233" s="167">
        <f t="shared" si="126"/>
        <v>0</v>
      </c>
      <c r="U233" s="151" t="e">
        <f>R233-#REF!</f>
        <v>#REF!</v>
      </c>
      <c r="V233" s="151">
        <f t="shared" si="127"/>
        <v>0</v>
      </c>
      <c r="W233" s="151">
        <f t="shared" si="128"/>
        <v>0</v>
      </c>
      <c r="X233" s="151" t="e">
        <f>O233-#REF!</f>
        <v>#REF!</v>
      </c>
      <c r="Y233" s="143">
        <f>'[65]2. подк.неподк.'!V221</f>
        <v>0</v>
      </c>
      <c r="Z233" s="182">
        <f>'[65]2. подк.неподк.'!W221</f>
        <v>0</v>
      </c>
      <c r="AA233" s="143">
        <v>0</v>
      </c>
      <c r="AB233" s="143">
        <f>Y233*$AA$11</f>
        <v>0</v>
      </c>
      <c r="AC233" s="144">
        <f t="shared" si="129"/>
        <v>0</v>
      </c>
      <c r="AD233" s="143">
        <f t="shared" si="130"/>
        <v>0</v>
      </c>
      <c r="AE233" s="143"/>
      <c r="AF233" s="143">
        <f t="shared" si="131"/>
        <v>0</v>
      </c>
      <c r="AG233" s="143"/>
      <c r="AH233" s="143">
        <f t="shared" si="132"/>
        <v>0</v>
      </c>
      <c r="AI233" s="143"/>
    </row>
    <row r="234" spans="1:35" ht="33" customHeight="1" outlineLevel="1">
      <c r="A234" s="197"/>
      <c r="B234" s="140" t="s">
        <v>1094</v>
      </c>
      <c r="C234" s="141"/>
      <c r="D234" s="393" t="s">
        <v>1095</v>
      </c>
      <c r="E234" s="188" t="s">
        <v>1095</v>
      </c>
      <c r="F234" s="143" t="s">
        <v>121</v>
      </c>
      <c r="G234" s="144">
        <f t="shared" ref="G234:I234" si="139">SUM(G235:G239)</f>
        <v>2775.230507184152</v>
      </c>
      <c r="H234" s="144">
        <f t="shared" si="139"/>
        <v>3185.68833</v>
      </c>
      <c r="I234" s="144">
        <f t="shared" si="139"/>
        <v>3184.78836</v>
      </c>
      <c r="J234" s="144">
        <f>SUM(J235:J239)</f>
        <v>3045.1864201355434</v>
      </c>
      <c r="K234" s="144">
        <f t="shared" ref="K234:AB234" si="140">SUM(K235:K239)</f>
        <v>3129.8628799999997</v>
      </c>
      <c r="L234" s="144">
        <f t="shared" si="140"/>
        <v>3129.8599999999997</v>
      </c>
      <c r="M234" s="144">
        <f t="shared" si="140"/>
        <v>2688.2618994274103</v>
      </c>
      <c r="N234" s="144">
        <f t="shared" si="140"/>
        <v>5074.73369</v>
      </c>
      <c r="O234" s="144">
        <f t="shared" si="140"/>
        <v>4839.0552399999997</v>
      </c>
      <c r="P234" s="145">
        <f t="shared" si="140"/>
        <v>4839.0552399999997</v>
      </c>
      <c r="Q234" s="144">
        <f t="shared" si="140"/>
        <v>4839.0552399999997</v>
      </c>
      <c r="R234" s="144">
        <f t="shared" si="140"/>
        <v>4839.0552399999997</v>
      </c>
      <c r="S234" s="144">
        <f t="shared" si="125"/>
        <v>2150.7933405725894</v>
      </c>
      <c r="T234" s="144">
        <f t="shared" si="126"/>
        <v>0</v>
      </c>
      <c r="U234" s="146" t="e">
        <f>R234-#REF!</f>
        <v>#REF!</v>
      </c>
      <c r="V234" s="146">
        <f t="shared" si="127"/>
        <v>2150.7933405725894</v>
      </c>
      <c r="W234" s="146">
        <f t="shared" si="128"/>
        <v>0</v>
      </c>
      <c r="X234" s="146" t="e">
        <f>O234-#REF!</f>
        <v>#REF!</v>
      </c>
      <c r="Y234" s="144">
        <f t="shared" si="140"/>
        <v>3114.3808670829167</v>
      </c>
      <c r="Z234" s="170">
        <f t="shared" si="140"/>
        <v>3254.5280061016479</v>
      </c>
      <c r="AA234" s="144">
        <f t="shared" si="140"/>
        <v>5677.5950782500004</v>
      </c>
      <c r="AB234" s="144">
        <f t="shared" si="140"/>
        <v>3229.1512812186556</v>
      </c>
      <c r="AC234" s="144">
        <f t="shared" si="129"/>
        <v>3229.1512812186556</v>
      </c>
      <c r="AD234" s="144">
        <f t="shared" si="130"/>
        <v>114.77041413573897</v>
      </c>
      <c r="AE234" s="144">
        <f t="shared" si="133"/>
        <v>3.6851759317169979</v>
      </c>
      <c r="AF234" s="144">
        <f t="shared" si="131"/>
        <v>-25.376724882992221</v>
      </c>
      <c r="AG234" s="144">
        <f t="shared" si="134"/>
        <v>-0.77973595051004452</v>
      </c>
      <c r="AH234" s="144">
        <f t="shared" si="132"/>
        <v>-2448.4437970313447</v>
      </c>
      <c r="AI234" s="144">
        <f t="shared" si="135"/>
        <v>-43.124663934047689</v>
      </c>
    </row>
    <row r="235" spans="1:35" ht="33" customHeight="1" outlineLevel="2">
      <c r="A235" s="139" t="s">
        <v>1096</v>
      </c>
      <c r="B235" s="143" t="s">
        <v>1097</v>
      </c>
      <c r="C235" s="147" t="s">
        <v>1098</v>
      </c>
      <c r="D235" s="148" t="s">
        <v>1099</v>
      </c>
      <c r="E235" s="149" t="s">
        <v>1100</v>
      </c>
      <c r="F235" s="143" t="s">
        <v>121</v>
      </c>
      <c r="G235" s="143">
        <v>1200</v>
      </c>
      <c r="H235" s="143">
        <v>935</v>
      </c>
      <c r="I235" s="143">
        <v>935</v>
      </c>
      <c r="J235" s="143">
        <v>1316.7279959999998</v>
      </c>
      <c r="K235" s="143">
        <v>1036.5852199999999</v>
      </c>
      <c r="L235" s="143">
        <v>1036.5899999999999</v>
      </c>
      <c r="M235" s="143">
        <v>786.26208967510627</v>
      </c>
      <c r="N235" s="143">
        <v>1045.5140100000001</v>
      </c>
      <c r="O235" s="143">
        <v>985.90191000000004</v>
      </c>
      <c r="P235" s="150">
        <v>985.90191000000004</v>
      </c>
      <c r="Q235" s="143">
        <v>985.90191000000004</v>
      </c>
      <c r="R235" s="144">
        <v>985.90191000000004</v>
      </c>
      <c r="S235" s="143">
        <f t="shared" si="125"/>
        <v>199.63982032489378</v>
      </c>
      <c r="T235" s="143">
        <f t="shared" si="126"/>
        <v>0</v>
      </c>
      <c r="U235" s="151" t="e">
        <f>R235-#REF!</f>
        <v>#REF!</v>
      </c>
      <c r="V235" s="151">
        <f t="shared" si="127"/>
        <v>199.63982032489378</v>
      </c>
      <c r="W235" s="151">
        <f t="shared" si="128"/>
        <v>0</v>
      </c>
      <c r="X235" s="151" t="e">
        <f>O235-#REF!</f>
        <v>#REF!</v>
      </c>
      <c r="Y235" s="143">
        <f>'[65]2. подк.неподк.'!V223</f>
        <v>1175.6226337499997</v>
      </c>
      <c r="Z235" s="182">
        <f>'[65]2. подк.неподк.'!W223</f>
        <v>1228.5256522687496</v>
      </c>
      <c r="AA235" s="143">
        <f>'[65]2. подк.неподк.'!X223</f>
        <v>1255.9100000000001</v>
      </c>
      <c r="AB235" s="143">
        <f>Y235*$AA$11</f>
        <v>1218.9463960967723</v>
      </c>
      <c r="AC235" s="144">
        <f t="shared" si="129"/>
        <v>1218.9463960967723</v>
      </c>
      <c r="AD235" s="143">
        <f t="shared" si="130"/>
        <v>43.323762346772583</v>
      </c>
      <c r="AE235" s="143">
        <f t="shared" si="133"/>
        <v>3.6851759317169979</v>
      </c>
      <c r="AF235" s="143">
        <f t="shared" si="131"/>
        <v>-9.5792561719772493</v>
      </c>
      <c r="AG235" s="143">
        <f t="shared" si="134"/>
        <v>-0.77973595051003031</v>
      </c>
      <c r="AH235" s="143">
        <f t="shared" si="132"/>
        <v>-36.963603903227749</v>
      </c>
      <c r="AI235" s="143">
        <f t="shared" si="135"/>
        <v>-2.9431729903597983</v>
      </c>
    </row>
    <row r="236" spans="1:35" s="200" customFormat="1" ht="33" customHeight="1" outlineLevel="2">
      <c r="A236" s="139" t="s">
        <v>1101</v>
      </c>
      <c r="B236" s="143" t="s">
        <v>1102</v>
      </c>
      <c r="C236" s="147" t="s">
        <v>1103</v>
      </c>
      <c r="D236" s="148" t="s">
        <v>1104</v>
      </c>
      <c r="E236" s="149" t="s">
        <v>1105</v>
      </c>
      <c r="F236" s="143" t="s">
        <v>121</v>
      </c>
      <c r="G236" s="143">
        <v>424.93776126163908</v>
      </c>
      <c r="H236" s="143">
        <v>974.90022999999997</v>
      </c>
      <c r="I236" s="143">
        <v>974</v>
      </c>
      <c r="J236" s="143">
        <v>466.27287234230369</v>
      </c>
      <c r="K236" s="143">
        <v>1096.7721899999999</v>
      </c>
      <c r="L236" s="143">
        <v>1096.77</v>
      </c>
      <c r="M236" s="143">
        <v>819.81507172678266</v>
      </c>
      <c r="N236" s="143">
        <v>1147.3548999999998</v>
      </c>
      <c r="O236" s="143">
        <v>1074.1103799999999</v>
      </c>
      <c r="P236" s="150">
        <v>1074.1103799999999</v>
      </c>
      <c r="Q236" s="143">
        <v>1074.1103799999999</v>
      </c>
      <c r="R236" s="144">
        <v>1074.1103799999999</v>
      </c>
      <c r="S236" s="143">
        <f t="shared" si="125"/>
        <v>254.29530827321719</v>
      </c>
      <c r="T236" s="143">
        <f t="shared" si="126"/>
        <v>0</v>
      </c>
      <c r="U236" s="151" t="e">
        <f>R236-#REF!</f>
        <v>#REF!</v>
      </c>
      <c r="V236" s="151">
        <f t="shared" si="127"/>
        <v>254.29530827321719</v>
      </c>
      <c r="W236" s="151">
        <f t="shared" si="128"/>
        <v>0</v>
      </c>
      <c r="X236" s="151" t="e">
        <f>O236-#REF!</f>
        <v>#REF!</v>
      </c>
      <c r="Y236" s="143">
        <f>'[65]2. подк.неподк.'!V224</f>
        <v>864.90490067175563</v>
      </c>
      <c r="Z236" s="182">
        <f>'[65]2. подк.неподк.'!W224</f>
        <v>903.82562120198452</v>
      </c>
      <c r="AA236" s="143">
        <f>'[65]2. подк.неподк.'!X224</f>
        <v>1384.53</v>
      </c>
      <c r="AB236" s="143">
        <f>Y236*$AA$11</f>
        <v>896.778167903552</v>
      </c>
      <c r="AC236" s="144">
        <f t="shared" si="129"/>
        <v>896.778167903552</v>
      </c>
      <c r="AD236" s="143">
        <f t="shared" si="130"/>
        <v>31.873267231796376</v>
      </c>
      <c r="AE236" s="143">
        <f t="shared" si="133"/>
        <v>3.6851759317169979</v>
      </c>
      <c r="AF236" s="143">
        <f t="shared" si="131"/>
        <v>-7.0474532984325151</v>
      </c>
      <c r="AG236" s="143">
        <f t="shared" si="134"/>
        <v>-0.77973595051003031</v>
      </c>
      <c r="AH236" s="143">
        <f t="shared" si="132"/>
        <v>-487.75183209644797</v>
      </c>
      <c r="AI236" s="143">
        <f t="shared" si="135"/>
        <v>-35.228693643073669</v>
      </c>
    </row>
    <row r="237" spans="1:35" ht="33" customHeight="1" outlineLevel="2">
      <c r="A237" s="139" t="s">
        <v>1106</v>
      </c>
      <c r="B237" s="143" t="s">
        <v>1107</v>
      </c>
      <c r="C237" s="147" t="s">
        <v>1108</v>
      </c>
      <c r="D237" s="148" t="s">
        <v>1109</v>
      </c>
      <c r="E237" s="149" t="s">
        <v>1110</v>
      </c>
      <c r="F237" s="143" t="s">
        <v>121</v>
      </c>
      <c r="G237" s="143">
        <v>805.26024439638672</v>
      </c>
      <c r="H237" s="143">
        <v>758.95182999999997</v>
      </c>
      <c r="I237" s="143">
        <v>758.95</v>
      </c>
      <c r="J237" s="143">
        <v>883.590589885437</v>
      </c>
      <c r="K237" s="143">
        <v>803.60307</v>
      </c>
      <c r="L237" s="143">
        <v>803.6</v>
      </c>
      <c r="M237" s="143">
        <v>638.21930675780322</v>
      </c>
      <c r="N237" s="143">
        <v>909.11506000000008</v>
      </c>
      <c r="O237" s="143">
        <v>844.19569999999999</v>
      </c>
      <c r="P237" s="150">
        <v>844.19569999999999</v>
      </c>
      <c r="Q237" s="143">
        <v>844.19569999999999</v>
      </c>
      <c r="R237" s="144">
        <v>844.19569999999999</v>
      </c>
      <c r="S237" s="143">
        <f t="shared" si="125"/>
        <v>205.97639324219676</v>
      </c>
      <c r="T237" s="143">
        <f t="shared" si="126"/>
        <v>0</v>
      </c>
      <c r="U237" s="151" t="e">
        <f>R237-#REF!</f>
        <v>#REF!</v>
      </c>
      <c r="V237" s="151">
        <f t="shared" si="127"/>
        <v>205.97639324219676</v>
      </c>
      <c r="W237" s="151">
        <f t="shared" si="128"/>
        <v>0</v>
      </c>
      <c r="X237" s="151" t="e">
        <f>O237-#REF!</f>
        <v>#REF!</v>
      </c>
      <c r="Y237" s="143">
        <f>'[65]2. подк.неподк.'!V225</f>
        <v>911.38284999999996</v>
      </c>
      <c r="Z237" s="182">
        <f>'[65]2. подк.неподк.'!W225</f>
        <v>952.39507824999987</v>
      </c>
      <c r="AA237" s="143">
        <f>'[65]2. подк.неподк.'!X225</f>
        <v>952.39507824999987</v>
      </c>
      <c r="AB237" s="143">
        <f>Y237*$AA$11</f>
        <v>944.96891143399637</v>
      </c>
      <c r="AC237" s="144">
        <f t="shared" si="129"/>
        <v>944.96891143399637</v>
      </c>
      <c r="AD237" s="143">
        <f t="shared" si="130"/>
        <v>33.586061433996406</v>
      </c>
      <c r="AE237" s="143">
        <f t="shared" si="133"/>
        <v>3.6851759317169979</v>
      </c>
      <c r="AF237" s="143">
        <f t="shared" si="131"/>
        <v>-7.4261668160035015</v>
      </c>
      <c r="AG237" s="143">
        <f t="shared" si="134"/>
        <v>-0.77973595051004452</v>
      </c>
      <c r="AH237" s="143">
        <f t="shared" si="132"/>
        <v>-7.4261668160035015</v>
      </c>
      <c r="AI237" s="143">
        <f t="shared" si="135"/>
        <v>-0.77973595051004452</v>
      </c>
    </row>
    <row r="238" spans="1:35" ht="33" customHeight="1" outlineLevel="2">
      <c r="A238" s="139" t="s">
        <v>1111</v>
      </c>
      <c r="B238" s="143" t="s">
        <v>1112</v>
      </c>
      <c r="C238" s="147" t="s">
        <v>1113</v>
      </c>
      <c r="D238" s="148" t="s">
        <v>1114</v>
      </c>
      <c r="E238" s="149" t="s">
        <v>1115</v>
      </c>
      <c r="F238" s="143" t="s">
        <v>121</v>
      </c>
      <c r="G238" s="143">
        <v>195.0325015261262</v>
      </c>
      <c r="H238" s="143">
        <v>344.81790999999998</v>
      </c>
      <c r="I238" s="143">
        <v>344.82</v>
      </c>
      <c r="J238" s="143">
        <v>214.00396240780256</v>
      </c>
      <c r="K238" s="143">
        <v>0</v>
      </c>
      <c r="L238" s="143">
        <v>0</v>
      </c>
      <c r="M238" s="143">
        <v>289.96497376898685</v>
      </c>
      <c r="N238" s="143">
        <v>1774.1974300000002</v>
      </c>
      <c r="O238" s="143">
        <v>1749.5303200000001</v>
      </c>
      <c r="P238" s="150">
        <v>1749.5303200000001</v>
      </c>
      <c r="Q238" s="143">
        <v>1749.5303200000001</v>
      </c>
      <c r="R238" s="144">
        <v>1749.5303200000001</v>
      </c>
      <c r="S238" s="143">
        <f t="shared" si="125"/>
        <v>1459.5653462310133</v>
      </c>
      <c r="T238" s="143">
        <f t="shared" si="126"/>
        <v>0</v>
      </c>
      <c r="U238" s="151" t="e">
        <f>R238-#REF!</f>
        <v>#REF!</v>
      </c>
      <c r="V238" s="151">
        <f t="shared" si="127"/>
        <v>1459.5653462310133</v>
      </c>
      <c r="W238" s="151">
        <f t="shared" si="128"/>
        <v>0</v>
      </c>
      <c r="X238" s="151" t="e">
        <f>O238-#REF!</f>
        <v>#REF!</v>
      </c>
      <c r="Y238" s="143">
        <f>'[65]2. подк.неподк.'!V226</f>
        <v>0</v>
      </c>
      <c r="Z238" s="182">
        <f>'[65]2. подк.неподк.'!W226</f>
        <v>0</v>
      </c>
      <c r="AA238" s="143">
        <f>'[65]2. подк.неподк.'!X226</f>
        <v>1876.63</v>
      </c>
      <c r="AB238" s="143">
        <f>Y238*$AA$11</f>
        <v>0</v>
      </c>
      <c r="AC238" s="144">
        <f t="shared" si="129"/>
        <v>0</v>
      </c>
      <c r="AD238" s="143">
        <f t="shared" si="130"/>
        <v>0</v>
      </c>
      <c r="AE238" s="143"/>
      <c r="AF238" s="143">
        <f t="shared" si="131"/>
        <v>0</v>
      </c>
      <c r="AG238" s="143"/>
      <c r="AH238" s="143">
        <f t="shared" si="132"/>
        <v>-1876.63</v>
      </c>
      <c r="AI238" s="143">
        <f t="shared" si="135"/>
        <v>-100</v>
      </c>
    </row>
    <row r="239" spans="1:35" ht="33" customHeight="1" outlineLevel="2">
      <c r="A239" s="139" t="s">
        <v>1116</v>
      </c>
      <c r="B239" s="143" t="s">
        <v>1117</v>
      </c>
      <c r="C239" s="147" t="s">
        <v>1118</v>
      </c>
      <c r="D239" s="148" t="s">
        <v>1119</v>
      </c>
      <c r="E239" s="149" t="s">
        <v>1120</v>
      </c>
      <c r="F239" s="143" t="s">
        <v>121</v>
      </c>
      <c r="G239" s="143">
        <v>150</v>
      </c>
      <c r="H239" s="143">
        <v>172.01836</v>
      </c>
      <c r="I239" s="143">
        <v>172.01836</v>
      </c>
      <c r="J239" s="179">
        <v>164.59099949999998</v>
      </c>
      <c r="K239" s="179">
        <v>192.9024</v>
      </c>
      <c r="L239" s="179">
        <v>192.9</v>
      </c>
      <c r="M239" s="179">
        <v>154.00045749873112</v>
      </c>
      <c r="N239" s="179">
        <v>198.55228999999997</v>
      </c>
      <c r="O239" s="179">
        <v>185.31692999999999</v>
      </c>
      <c r="P239" s="180">
        <v>185.31692999999999</v>
      </c>
      <c r="Q239" s="179">
        <v>185.31692999999999</v>
      </c>
      <c r="R239" s="144">
        <v>185.31692999999999</v>
      </c>
      <c r="S239" s="179">
        <f t="shared" si="125"/>
        <v>31.316472501268862</v>
      </c>
      <c r="T239" s="179">
        <f t="shared" si="126"/>
        <v>0</v>
      </c>
      <c r="U239" s="181" t="e">
        <f>R239-#REF!</f>
        <v>#REF!</v>
      </c>
      <c r="V239" s="181">
        <f t="shared" si="127"/>
        <v>31.316472501268862</v>
      </c>
      <c r="W239" s="181">
        <f t="shared" si="128"/>
        <v>0</v>
      </c>
      <c r="X239" s="181" t="e">
        <f>O239-#REF!</f>
        <v>#REF!</v>
      </c>
      <c r="Y239" s="143">
        <f>'[65]2. подк.неподк.'!V227</f>
        <v>162.47048266116133</v>
      </c>
      <c r="Z239" s="182">
        <f>'[65]2. подк.неподк.'!W227</f>
        <v>169.78165438091358</v>
      </c>
      <c r="AA239" s="143">
        <f>'[65]2. подк.неподк.'!X227</f>
        <v>208.13</v>
      </c>
      <c r="AB239" s="143">
        <f>Y239*$AA$11</f>
        <v>168.45780578433488</v>
      </c>
      <c r="AC239" s="144">
        <f t="shared" si="129"/>
        <v>168.45780578433488</v>
      </c>
      <c r="AD239" s="143">
        <f t="shared" si="130"/>
        <v>5.9873231231735531</v>
      </c>
      <c r="AE239" s="143">
        <f t="shared" si="133"/>
        <v>3.6851759317169979</v>
      </c>
      <c r="AF239" s="143">
        <f t="shared" si="131"/>
        <v>-1.3238485965786992</v>
      </c>
      <c r="AG239" s="143">
        <f t="shared" si="134"/>
        <v>-0.77973595051005873</v>
      </c>
      <c r="AH239" s="143">
        <f t="shared" si="132"/>
        <v>-39.672194215665115</v>
      </c>
      <c r="AI239" s="143">
        <f t="shared" si="135"/>
        <v>-19.061257010361359</v>
      </c>
    </row>
    <row r="240" spans="1:35" ht="33" customHeight="1" outlineLevel="1">
      <c r="A240" s="139"/>
      <c r="B240" s="140" t="s">
        <v>1121</v>
      </c>
      <c r="C240" s="141"/>
      <c r="D240" s="393" t="s">
        <v>1122</v>
      </c>
      <c r="E240" s="188" t="s">
        <v>1123</v>
      </c>
      <c r="F240" s="143" t="s">
        <v>121</v>
      </c>
      <c r="G240" s="144">
        <f t="shared" ref="G240:I240" si="141">G241</f>
        <v>0</v>
      </c>
      <c r="H240" s="144">
        <f t="shared" si="141"/>
        <v>14.41</v>
      </c>
      <c r="I240" s="144">
        <f t="shared" si="141"/>
        <v>0</v>
      </c>
      <c r="J240" s="144">
        <f>J241</f>
        <v>0</v>
      </c>
      <c r="K240" s="144">
        <f t="shared" ref="K240:AB240" si="142">K241</f>
        <v>13.22683</v>
      </c>
      <c r="L240" s="144">
        <f t="shared" si="142"/>
        <v>0</v>
      </c>
      <c r="M240" s="144">
        <v>0</v>
      </c>
      <c r="N240" s="144">
        <v>0</v>
      </c>
      <c r="O240" s="144">
        <v>0</v>
      </c>
      <c r="P240" s="145">
        <v>0</v>
      </c>
      <c r="Q240" s="144">
        <v>0</v>
      </c>
      <c r="R240" s="144">
        <v>0</v>
      </c>
      <c r="S240" s="144">
        <f t="shared" si="125"/>
        <v>0</v>
      </c>
      <c r="T240" s="144">
        <f t="shared" si="126"/>
        <v>0</v>
      </c>
      <c r="U240" s="146" t="e">
        <f>R240-#REF!</f>
        <v>#REF!</v>
      </c>
      <c r="V240" s="146">
        <f t="shared" si="127"/>
        <v>0</v>
      </c>
      <c r="W240" s="146">
        <f t="shared" si="128"/>
        <v>0</v>
      </c>
      <c r="X240" s="146" t="e">
        <f>O240-#REF!</f>
        <v>#REF!</v>
      </c>
      <c r="Y240" s="144">
        <f t="shared" si="142"/>
        <v>0</v>
      </c>
      <c r="Z240" s="170">
        <f t="shared" si="142"/>
        <v>0</v>
      </c>
      <c r="AA240" s="144">
        <f t="shared" si="142"/>
        <v>0</v>
      </c>
      <c r="AB240" s="144">
        <f t="shared" si="142"/>
        <v>0</v>
      </c>
      <c r="AC240" s="144">
        <f t="shared" si="129"/>
        <v>0</v>
      </c>
      <c r="AD240" s="144">
        <f t="shared" si="130"/>
        <v>0</v>
      </c>
      <c r="AE240" s="144"/>
      <c r="AF240" s="144">
        <f t="shared" si="131"/>
        <v>0</v>
      </c>
      <c r="AG240" s="144"/>
      <c r="AH240" s="144">
        <f t="shared" si="132"/>
        <v>0</v>
      </c>
      <c r="AI240" s="144"/>
    </row>
    <row r="241" spans="1:35" ht="33" customHeight="1" outlineLevel="2">
      <c r="A241" s="152" t="s">
        <v>1124</v>
      </c>
      <c r="B241" s="143" t="s">
        <v>1125</v>
      </c>
      <c r="C241" s="183" t="s">
        <v>1126</v>
      </c>
      <c r="D241" s="164" t="s">
        <v>1127</v>
      </c>
      <c r="E241" s="149" t="s">
        <v>1128</v>
      </c>
      <c r="F241" s="143" t="s">
        <v>121</v>
      </c>
      <c r="G241" s="143">
        <v>0</v>
      </c>
      <c r="H241" s="143">
        <v>14.41</v>
      </c>
      <c r="I241" s="143">
        <v>0</v>
      </c>
      <c r="J241" s="179">
        <v>0</v>
      </c>
      <c r="K241" s="179">
        <v>13.22683</v>
      </c>
      <c r="L241" s="179">
        <v>0</v>
      </c>
      <c r="M241" s="179">
        <v>0</v>
      </c>
      <c r="N241" s="179">
        <v>0</v>
      </c>
      <c r="O241" s="179">
        <v>0</v>
      </c>
      <c r="P241" s="180">
        <v>0</v>
      </c>
      <c r="Q241" s="179">
        <v>0</v>
      </c>
      <c r="R241" s="144">
        <v>0</v>
      </c>
      <c r="S241" s="179">
        <f t="shared" si="125"/>
        <v>0</v>
      </c>
      <c r="T241" s="179">
        <f t="shared" si="126"/>
        <v>0</v>
      </c>
      <c r="U241" s="181" t="e">
        <f>R241-#REF!</f>
        <v>#REF!</v>
      </c>
      <c r="V241" s="181">
        <f t="shared" si="127"/>
        <v>0</v>
      </c>
      <c r="W241" s="181">
        <f t="shared" si="128"/>
        <v>0</v>
      </c>
      <c r="X241" s="181" t="e">
        <f>O241-#REF!</f>
        <v>#REF!</v>
      </c>
      <c r="Y241" s="143">
        <f>'[65]2. подк.неподк.'!V229</f>
        <v>0</v>
      </c>
      <c r="Z241" s="182">
        <f>'[65]2. подк.неподк.'!W229</f>
        <v>0</v>
      </c>
      <c r="AA241" s="143">
        <f>'[65]2. подк.неподк.'!X229</f>
        <v>0</v>
      </c>
      <c r="AB241" s="143">
        <f>Y241*$AA$11</f>
        <v>0</v>
      </c>
      <c r="AC241" s="144">
        <f t="shared" si="129"/>
        <v>0</v>
      </c>
      <c r="AD241" s="143">
        <f t="shared" si="130"/>
        <v>0</v>
      </c>
      <c r="AE241" s="143"/>
      <c r="AF241" s="143">
        <f t="shared" si="131"/>
        <v>0</v>
      </c>
      <c r="AG241" s="143"/>
      <c r="AH241" s="143">
        <f t="shared" si="132"/>
        <v>0</v>
      </c>
      <c r="AI241" s="143"/>
    </row>
    <row r="242" spans="1:35" ht="33" customHeight="1" outlineLevel="2">
      <c r="A242" s="152"/>
      <c r="B242" s="151"/>
      <c r="C242" s="201"/>
      <c r="D242" s="202" t="s">
        <v>1129</v>
      </c>
      <c r="E242" s="203"/>
      <c r="F242" s="151" t="s">
        <v>121</v>
      </c>
      <c r="G242" s="204">
        <f t="shared" ref="G242:I242" si="143">G243</f>
        <v>122841.85</v>
      </c>
      <c r="H242" s="204">
        <f t="shared" si="143"/>
        <v>365166</v>
      </c>
      <c r="I242" s="204">
        <f t="shared" si="143"/>
        <v>145028.34</v>
      </c>
      <c r="J242" s="204">
        <f>J243</f>
        <v>134791.08677484002</v>
      </c>
      <c r="K242" s="204">
        <f>K243+K244</f>
        <v>379717.01</v>
      </c>
      <c r="L242" s="204">
        <f t="shared" ref="L242:R242" si="144">L243+L244</f>
        <v>134791.09</v>
      </c>
      <c r="M242" s="204">
        <f t="shared" si="144"/>
        <v>139673.22</v>
      </c>
      <c r="N242" s="204">
        <f t="shared" si="144"/>
        <v>427241.94519</v>
      </c>
      <c r="O242" s="204">
        <f t="shared" si="144"/>
        <v>419796.17699000001</v>
      </c>
      <c r="P242" s="205">
        <f t="shared" si="144"/>
        <v>419796.17699000001</v>
      </c>
      <c r="Q242" s="204">
        <f t="shared" si="144"/>
        <v>419796.17699000001</v>
      </c>
      <c r="R242" s="144">
        <f t="shared" si="144"/>
        <v>341262.83999999997</v>
      </c>
      <c r="S242" s="206">
        <f t="shared" si="125"/>
        <v>201589.61999999997</v>
      </c>
      <c r="T242" s="206">
        <f t="shared" si="126"/>
        <v>-78533.33699000004</v>
      </c>
      <c r="U242" s="207" t="e">
        <f>R242-#REF!</f>
        <v>#REF!</v>
      </c>
      <c r="V242" s="207">
        <f t="shared" si="127"/>
        <v>201589.61999999997</v>
      </c>
      <c r="W242" s="207">
        <f t="shared" si="128"/>
        <v>0</v>
      </c>
      <c r="X242" s="207" t="e">
        <f>O242-#REF!</f>
        <v>#REF!</v>
      </c>
      <c r="Y242" s="206">
        <f>'[65]2. подк.неподк.'!V230</f>
        <v>147355.24709999998</v>
      </c>
      <c r="Z242" s="170">
        <f>'[65]2. подк.неподк.'!W230</f>
        <v>153986.23321949996</v>
      </c>
      <c r="AA242" s="175">
        <f>'[65]2. подк.неподк.'!X230</f>
        <v>1018013</v>
      </c>
      <c r="AB242" s="175">
        <f>AB243+AB244</f>
        <v>152785.54720025128</v>
      </c>
      <c r="AC242" s="144">
        <f t="shared" si="129"/>
        <v>152785.54720025128</v>
      </c>
      <c r="AD242" s="175">
        <f t="shared" si="130"/>
        <v>5430.3001002513047</v>
      </c>
      <c r="AE242" s="175">
        <f t="shared" si="133"/>
        <v>3.6851759317169979</v>
      </c>
      <c r="AF242" s="175">
        <f t="shared" si="131"/>
        <v>-1200.6860192486783</v>
      </c>
      <c r="AG242" s="175">
        <f t="shared" si="134"/>
        <v>-0.77973595051004452</v>
      </c>
      <c r="AH242" s="175">
        <f t="shared" si="132"/>
        <v>-865227.45279974875</v>
      </c>
      <c r="AI242" s="175">
        <f t="shared" si="135"/>
        <v>-84.991788199143699</v>
      </c>
    </row>
    <row r="243" spans="1:35" ht="33.6" customHeight="1">
      <c r="A243" s="1342" t="s">
        <v>1130</v>
      </c>
      <c r="B243" s="1346" t="s">
        <v>1131</v>
      </c>
      <c r="C243" s="147" t="s">
        <v>1132</v>
      </c>
      <c r="D243" s="208" t="s">
        <v>1133</v>
      </c>
      <c r="E243" s="1347" t="s">
        <v>1134</v>
      </c>
      <c r="F243" s="1341" t="s">
        <v>121</v>
      </c>
      <c r="G243" s="1338">
        <v>122841.85</v>
      </c>
      <c r="H243" s="143">
        <v>365166</v>
      </c>
      <c r="I243" s="143">
        <v>145028.34</v>
      </c>
      <c r="J243" s="1367">
        <v>134791.08677484002</v>
      </c>
      <c r="K243" s="144">
        <v>153008.24</v>
      </c>
      <c r="L243" s="144">
        <v>134791.09</v>
      </c>
      <c r="M243" s="144">
        <v>139673.22</v>
      </c>
      <c r="N243" s="144">
        <v>292666.12676000001</v>
      </c>
      <c r="O243" s="144">
        <v>289913.17716000002</v>
      </c>
      <c r="P243" s="145">
        <v>289913.17716000002</v>
      </c>
      <c r="Q243" s="144">
        <v>289913.17716000002</v>
      </c>
      <c r="R243" s="144">
        <v>235675.91</v>
      </c>
      <c r="S243" s="144">
        <f t="shared" si="125"/>
        <v>96002.69</v>
      </c>
      <c r="T243" s="144">
        <f t="shared" si="126"/>
        <v>-54237.267160000018</v>
      </c>
      <c r="U243" s="146" t="e">
        <f>R243-#REF!</f>
        <v>#REF!</v>
      </c>
      <c r="V243" s="146">
        <f t="shared" si="127"/>
        <v>96002.69</v>
      </c>
      <c r="W243" s="209">
        <f t="shared" si="128"/>
        <v>0</v>
      </c>
      <c r="X243" s="209" t="e">
        <f>O243-#REF!</f>
        <v>#REF!</v>
      </c>
      <c r="Y243" s="1338">
        <f>'[65]2. подк.неподк.'!V231</f>
        <v>147355.24709999998</v>
      </c>
      <c r="Z243" s="1368">
        <f>'[65]2. подк.неподк.'!W231</f>
        <v>153986.23321949996</v>
      </c>
      <c r="AA243" s="143">
        <f>'[65]2. подк.неподк.'!X231</f>
        <v>500000</v>
      </c>
      <c r="AB243" s="1338">
        <f>Y243*AA11</f>
        <v>152785.54720025128</v>
      </c>
      <c r="AC243" s="144">
        <f t="shared" si="129"/>
        <v>152785.54720025128</v>
      </c>
      <c r="AD243" s="1338">
        <f t="shared" si="130"/>
        <v>5430.3001002513047</v>
      </c>
      <c r="AE243" s="1338">
        <f t="shared" si="133"/>
        <v>3.6851759317169979</v>
      </c>
      <c r="AF243" s="1338">
        <f t="shared" si="131"/>
        <v>-1200.6860192486783</v>
      </c>
      <c r="AG243" s="1338">
        <f t="shared" si="134"/>
        <v>-0.77973595051004452</v>
      </c>
      <c r="AH243" s="1338">
        <f t="shared" si="132"/>
        <v>-347214.45279974875</v>
      </c>
      <c r="AI243" s="1338">
        <f t="shared" si="135"/>
        <v>-69.442890559949745</v>
      </c>
    </row>
    <row r="244" spans="1:35" ht="33.6" customHeight="1" collapsed="1">
      <c r="A244" s="1343"/>
      <c r="B244" s="1346"/>
      <c r="C244" s="147" t="s">
        <v>1135</v>
      </c>
      <c r="D244" s="208" t="s">
        <v>1136</v>
      </c>
      <c r="E244" s="1347"/>
      <c r="F244" s="1341"/>
      <c r="G244" s="1339"/>
      <c r="H244" s="143">
        <v>0</v>
      </c>
      <c r="I244" s="143">
        <v>0</v>
      </c>
      <c r="J244" s="1367"/>
      <c r="K244" s="144">
        <v>226708.77</v>
      </c>
      <c r="L244" s="144">
        <v>0</v>
      </c>
      <c r="M244" s="144">
        <v>0</v>
      </c>
      <c r="N244" s="144">
        <v>134575.81843000001</v>
      </c>
      <c r="O244" s="144">
        <v>129882.99983</v>
      </c>
      <c r="P244" s="145">
        <v>129882.99983</v>
      </c>
      <c r="Q244" s="144">
        <v>129882.99983</v>
      </c>
      <c r="R244" s="144">
        <v>105586.93</v>
      </c>
      <c r="S244" s="144">
        <f t="shared" si="125"/>
        <v>105586.93</v>
      </c>
      <c r="T244" s="144">
        <f t="shared" si="126"/>
        <v>-24296.069830000008</v>
      </c>
      <c r="U244" s="146" t="e">
        <f>R244-#REF!</f>
        <v>#REF!</v>
      </c>
      <c r="V244" s="146">
        <f t="shared" si="127"/>
        <v>105586.93</v>
      </c>
      <c r="W244" s="210">
        <f t="shared" si="128"/>
        <v>0</v>
      </c>
      <c r="X244" s="210" t="e">
        <f>O244-#REF!</f>
        <v>#REF!</v>
      </c>
      <c r="Y244" s="1339"/>
      <c r="Z244" s="1368"/>
      <c r="AA244" s="143">
        <f>'[65]2. подк.неподк.'!X232</f>
        <v>518013</v>
      </c>
      <c r="AB244" s="1348"/>
      <c r="AC244" s="144">
        <f t="shared" si="129"/>
        <v>0</v>
      </c>
      <c r="AD244" s="1348">
        <f t="shared" si="130"/>
        <v>0</v>
      </c>
      <c r="AE244" s="1348" t="e">
        <f t="shared" si="133"/>
        <v>#DIV/0!</v>
      </c>
      <c r="AF244" s="1348">
        <f t="shared" si="131"/>
        <v>0</v>
      </c>
      <c r="AG244" s="1348" t="e">
        <f t="shared" si="134"/>
        <v>#DIV/0!</v>
      </c>
      <c r="AH244" s="1348">
        <f t="shared" si="132"/>
        <v>-518013</v>
      </c>
      <c r="AI244" s="1348">
        <f t="shared" si="135"/>
        <v>-100</v>
      </c>
    </row>
    <row r="245" spans="1:35" ht="33.6" customHeight="1">
      <c r="A245" s="139" t="s">
        <v>1137</v>
      </c>
      <c r="B245" s="140" t="s">
        <v>1138</v>
      </c>
      <c r="C245" s="147" t="s">
        <v>1139</v>
      </c>
      <c r="D245" s="208" t="s">
        <v>1140</v>
      </c>
      <c r="E245" s="188" t="s">
        <v>1141</v>
      </c>
      <c r="F245" s="143" t="s">
        <v>121</v>
      </c>
      <c r="G245" s="143">
        <v>16762.93</v>
      </c>
      <c r="H245" s="143">
        <v>21298.679769999999</v>
      </c>
      <c r="I245" s="143">
        <v>21298.68</v>
      </c>
      <c r="J245" s="144">
        <v>18393.5</v>
      </c>
      <c r="K245" s="144">
        <v>25196.31407</v>
      </c>
      <c r="L245" s="144">
        <v>25196.31</v>
      </c>
      <c r="M245" s="144">
        <v>21298.679769999999</v>
      </c>
      <c r="N245" s="144">
        <v>28593.266530000001</v>
      </c>
      <c r="O245" s="144">
        <v>28494.76209</v>
      </c>
      <c r="P245" s="145">
        <v>28494.76209</v>
      </c>
      <c r="Q245" s="144">
        <v>28494.76209</v>
      </c>
      <c r="R245" s="144">
        <v>28494.76209</v>
      </c>
      <c r="S245" s="144">
        <f t="shared" si="125"/>
        <v>7196.0823200000013</v>
      </c>
      <c r="T245" s="144">
        <f t="shared" si="126"/>
        <v>0</v>
      </c>
      <c r="U245" s="146" t="e">
        <f>R245-#REF!</f>
        <v>#REF!</v>
      </c>
      <c r="V245" s="146">
        <f t="shared" si="127"/>
        <v>7196.0823200000013</v>
      </c>
      <c r="W245" s="146">
        <f t="shared" si="128"/>
        <v>0</v>
      </c>
      <c r="X245" s="146" t="e">
        <f>O245-#REF!</f>
        <v>#REF!</v>
      </c>
      <c r="Y245" s="143">
        <f>'[65]2. подк.неподк.'!V233</f>
        <v>22470.107157349998</v>
      </c>
      <c r="Z245" s="182">
        <f>'[65]2. подк.неподк.'!W233</f>
        <v>23481.261979430747</v>
      </c>
      <c r="AA245" s="143">
        <f>'[65]2. подк.неподк.'!X233</f>
        <v>38592.99</v>
      </c>
      <c r="AB245" s="143">
        <f>Y245*$AA$11</f>
        <v>23298.17013814368</v>
      </c>
      <c r="AC245" s="144">
        <f t="shared" si="129"/>
        <v>23298.17013814368</v>
      </c>
      <c r="AD245" s="143">
        <f t="shared" si="130"/>
        <v>828.06298079368207</v>
      </c>
      <c r="AE245" s="143">
        <f t="shared" si="133"/>
        <v>3.6851759317169979</v>
      </c>
      <c r="AF245" s="143">
        <f t="shared" si="131"/>
        <v>-183.09184128706693</v>
      </c>
      <c r="AG245" s="143">
        <f t="shared" si="134"/>
        <v>-0.77973595051004452</v>
      </c>
      <c r="AH245" s="143">
        <f t="shared" si="132"/>
        <v>-15294.819861856318</v>
      </c>
      <c r="AI245" s="143">
        <f t="shared" si="135"/>
        <v>-39.631082903543671</v>
      </c>
    </row>
    <row r="246" spans="1:35" s="214" customFormat="1" ht="21.75" customHeight="1">
      <c r="A246" s="211"/>
      <c r="B246" s="166"/>
      <c r="C246" s="212"/>
      <c r="D246" s="213" t="s">
        <v>1142</v>
      </c>
      <c r="E246" s="213" t="s">
        <v>1142</v>
      </c>
      <c r="F246" s="168" t="s">
        <v>121</v>
      </c>
      <c r="G246" s="168">
        <f t="shared" ref="G246:I246" si="145">G29+G95+G96+G113+G129+G243+G245</f>
        <v>1612170.9103215688</v>
      </c>
      <c r="H246" s="168">
        <f t="shared" si="145"/>
        <v>1943860.97095</v>
      </c>
      <c r="I246" s="168">
        <f t="shared" si="145"/>
        <v>1602820.2280177155</v>
      </c>
      <c r="J246" s="168">
        <f>J29+J95+J96+J113+J129+J243+J245</f>
        <v>1768857.1430750673</v>
      </c>
      <c r="K246" s="168">
        <f t="shared" ref="K246:AA246" si="146">K29+K95+K96+K113+K129+K243+K244+K245</f>
        <v>2059211.8763689999</v>
      </c>
      <c r="L246" s="168">
        <f t="shared" si="146"/>
        <v>1749169.1986700001</v>
      </c>
      <c r="M246" s="168">
        <f t="shared" si="146"/>
        <v>1655457.4148923224</v>
      </c>
      <c r="N246" s="168">
        <f t="shared" si="146"/>
        <v>2252764.3344800002</v>
      </c>
      <c r="O246" s="168">
        <f t="shared" si="146"/>
        <v>2161665.4932500003</v>
      </c>
      <c r="P246" s="168">
        <f t="shared" si="146"/>
        <v>2117678.8413225324</v>
      </c>
      <c r="Q246" s="168">
        <f t="shared" si="146"/>
        <v>2120815.0690725325</v>
      </c>
      <c r="R246" s="168">
        <f t="shared" si="146"/>
        <v>2016701.8244825325</v>
      </c>
      <c r="S246" s="168">
        <f t="shared" si="125"/>
        <v>361244.40959021007</v>
      </c>
      <c r="T246" s="168">
        <f t="shared" si="126"/>
        <v>-144963.66876746784</v>
      </c>
      <c r="U246" s="146" t="e">
        <f>R246-#REF!</f>
        <v>#REF!</v>
      </c>
      <c r="V246" s="146">
        <f t="shared" si="127"/>
        <v>361244.40959021007</v>
      </c>
      <c r="W246" s="146">
        <f t="shared" si="128"/>
        <v>3136.2277500000782</v>
      </c>
      <c r="X246" s="146" t="e">
        <f>O246-#REF!</f>
        <v>#REF!</v>
      </c>
      <c r="Y246" s="168">
        <f>Y29+Y95+Y96+Y113+Y129+Y243+Y244+Y245</f>
        <v>1788344.6142069914</v>
      </c>
      <c r="Z246" s="168">
        <f t="shared" ref="Z246" si="147">Z29+Z95+Z96+Z113+Z129+Z243+Z244+Z245</f>
        <v>1868820.1199230908</v>
      </c>
      <c r="AA246" s="168">
        <f t="shared" si="146"/>
        <v>4313998.9154455531</v>
      </c>
      <c r="AB246" s="168">
        <f>AB29+AB95+AB96+AB113+AB129+AB243+AB244+AB245</f>
        <v>1854248.2595059047</v>
      </c>
      <c r="AC246" s="144">
        <f t="shared" si="129"/>
        <v>1854248.2595059047</v>
      </c>
      <c r="AD246" s="168">
        <f t="shared" si="130"/>
        <v>65903.645298913354</v>
      </c>
      <c r="AE246" s="168">
        <f t="shared" si="133"/>
        <v>3.6851759317169979</v>
      </c>
      <c r="AF246" s="168">
        <f t="shared" si="131"/>
        <v>-14571.86041718605</v>
      </c>
      <c r="AG246" s="168">
        <f t="shared" si="134"/>
        <v>-0.77973584840181331</v>
      </c>
      <c r="AH246" s="168">
        <f t="shared" si="132"/>
        <v>-2459750.6559396484</v>
      </c>
      <c r="AI246" s="168">
        <f t="shared" si="135"/>
        <v>-57.017878403560132</v>
      </c>
    </row>
    <row r="247" spans="1:35" ht="33" customHeight="1">
      <c r="A247" s="139" t="s">
        <v>1143</v>
      </c>
      <c r="B247" s="140" t="s">
        <v>1144</v>
      </c>
      <c r="C247" s="215" t="s">
        <v>1145</v>
      </c>
      <c r="D247" s="188" t="s">
        <v>1146</v>
      </c>
      <c r="E247" s="188" t="s">
        <v>1147</v>
      </c>
      <c r="F247" s="216" t="s">
        <v>552</v>
      </c>
      <c r="G247" s="124">
        <v>242856.14</v>
      </c>
      <c r="H247" s="124">
        <v>209032.18979999999</v>
      </c>
      <c r="I247" s="124">
        <v>209032.18979999999</v>
      </c>
      <c r="J247" s="144">
        <v>266480.56591900397</v>
      </c>
      <c r="K247" s="144">
        <v>252116.268376013</v>
      </c>
      <c r="L247" s="144">
        <v>252116.27</v>
      </c>
      <c r="M247" s="144">
        <v>267108.12723232195</v>
      </c>
      <c r="N247" s="144">
        <v>283140.83447</v>
      </c>
      <c r="O247" s="144">
        <v>262515.55822000001</v>
      </c>
      <c r="P247" s="145">
        <v>262515.55822000001</v>
      </c>
      <c r="Q247" s="144">
        <v>262515.56</v>
      </c>
      <c r="R247" s="144">
        <v>262515.56</v>
      </c>
      <c r="S247" s="144">
        <f t="shared" si="125"/>
        <v>-4592.5672323219478</v>
      </c>
      <c r="T247" s="144">
        <f t="shared" si="126"/>
        <v>1.7799999914132059E-3</v>
      </c>
      <c r="U247" s="146" t="e">
        <f>R247-#REF!</f>
        <v>#REF!</v>
      </c>
      <c r="V247" s="146">
        <f t="shared" si="127"/>
        <v>-4592.5672323219478</v>
      </c>
      <c r="W247" s="146">
        <f t="shared" si="128"/>
        <v>1.7799999914132059E-3</v>
      </c>
      <c r="X247" s="146" t="e">
        <f>O247-#REF!</f>
        <v>#REF!</v>
      </c>
      <c r="Y247" s="143">
        <f>'[65]2. подк.неподк.'!V235</f>
        <v>305659.3041537251</v>
      </c>
      <c r="Z247" s="167">
        <f>'[65]2. подк.неподк.'!W235</f>
        <v>319413.97284064273</v>
      </c>
      <c r="AA247" s="143">
        <f>'[65]2. подк.неподк.'!X235</f>
        <v>642070.35919999983</v>
      </c>
      <c r="AB247" s="143">
        <f>(AB95+AB96)*30.4%</f>
        <v>316923.38726345182</v>
      </c>
      <c r="AC247" s="144">
        <f t="shared" si="129"/>
        <v>316923.38726345182</v>
      </c>
      <c r="AD247" s="143">
        <f t="shared" si="130"/>
        <v>11264.083109726722</v>
      </c>
      <c r="AE247" s="143">
        <f t="shared" si="133"/>
        <v>3.6851759317169979</v>
      </c>
      <c r="AF247" s="143">
        <f t="shared" si="131"/>
        <v>-2490.5855771909119</v>
      </c>
      <c r="AG247" s="143">
        <f t="shared" si="134"/>
        <v>-0.77973595051005873</v>
      </c>
      <c r="AH247" s="143">
        <f t="shared" si="132"/>
        <v>-325146.97193654801</v>
      </c>
      <c r="AI247" s="143">
        <f t="shared" si="135"/>
        <v>-50.640395912633515</v>
      </c>
    </row>
    <row r="248" spans="1:35" ht="25.5" customHeight="1">
      <c r="A248" s="152" t="s">
        <v>1148</v>
      </c>
      <c r="B248" s="140" t="s">
        <v>1149</v>
      </c>
      <c r="C248" s="215" t="s">
        <v>1150</v>
      </c>
      <c r="D248" s="208" t="s">
        <v>1151</v>
      </c>
      <c r="E248" s="188" t="s">
        <v>1152</v>
      </c>
      <c r="F248" s="178" t="s">
        <v>552</v>
      </c>
      <c r="G248" s="217">
        <v>190618.3</v>
      </c>
      <c r="H248" s="217">
        <v>210670</v>
      </c>
      <c r="I248" s="217">
        <v>206821.41</v>
      </c>
      <c r="J248" s="144">
        <v>320675.59000000003</v>
      </c>
      <c r="K248" s="144">
        <v>297196.01500000001</v>
      </c>
      <c r="L248" s="144">
        <v>297196.01500000001</v>
      </c>
      <c r="M248" s="144">
        <v>206057.33</v>
      </c>
      <c r="N248" s="144">
        <v>321828.63365999999</v>
      </c>
      <c r="O248" s="144">
        <v>320542.03473999997</v>
      </c>
      <c r="P248" s="145">
        <v>320484.65000000002</v>
      </c>
      <c r="Q248" s="144">
        <v>320484.65000000002</v>
      </c>
      <c r="R248" s="168">
        <v>320484.65000000002</v>
      </c>
      <c r="S248" s="144">
        <f t="shared" si="125"/>
        <v>114427.32000000004</v>
      </c>
      <c r="T248" s="144">
        <f t="shared" si="126"/>
        <v>-57.384739999950398</v>
      </c>
      <c r="U248" s="146" t="e">
        <f>R248-#REF!</f>
        <v>#REF!</v>
      </c>
      <c r="V248" s="146">
        <f t="shared" si="127"/>
        <v>114427.32000000004</v>
      </c>
      <c r="W248" s="146">
        <f t="shared" si="128"/>
        <v>0</v>
      </c>
      <c r="X248" s="146" t="e">
        <f>O248-#REF!</f>
        <v>#REF!</v>
      </c>
      <c r="Y248" s="143">
        <f>'[65]2. подк.неподк.'!V236</f>
        <v>297196.02</v>
      </c>
      <c r="Z248" s="167">
        <f>'[65]2. подк.неподк.'!W236</f>
        <v>334238.02499999997</v>
      </c>
      <c r="AA248" s="143">
        <f>'[65]2. подк.неподк.'!X236</f>
        <v>973491.73</v>
      </c>
      <c r="AB248" s="143">
        <v>356306</v>
      </c>
      <c r="AC248" s="144">
        <f t="shared" si="129"/>
        <v>356306</v>
      </c>
      <c r="AD248" s="143">
        <f t="shared" si="130"/>
        <v>59109.979999999981</v>
      </c>
      <c r="AE248" s="143">
        <f t="shared" si="133"/>
        <v>19.889223280984709</v>
      </c>
      <c r="AF248" s="143">
        <f t="shared" si="131"/>
        <v>22067.975000000035</v>
      </c>
      <c r="AG248" s="143">
        <f t="shared" si="134"/>
        <v>6.6024728933819148</v>
      </c>
      <c r="AH248" s="143">
        <f t="shared" si="132"/>
        <v>-617185.73</v>
      </c>
      <c r="AI248" s="143">
        <f t="shared" si="135"/>
        <v>-63.399175460894774</v>
      </c>
    </row>
    <row r="249" spans="1:35" s="224" customFormat="1" ht="33" customHeight="1">
      <c r="A249" s="218"/>
      <c r="B249" s="219" t="s">
        <v>1153</v>
      </c>
      <c r="C249" s="220"/>
      <c r="D249" s="221" t="s">
        <v>1154</v>
      </c>
      <c r="E249" s="221" t="s">
        <v>1154</v>
      </c>
      <c r="F249" s="222" t="s">
        <v>552</v>
      </c>
      <c r="G249" s="223">
        <f t="shared" ref="G249:I249" si="148">SUM(G250:G261)</f>
        <v>1830295.91</v>
      </c>
      <c r="H249" s="223">
        <f t="shared" si="148"/>
        <v>1773388.9077499995</v>
      </c>
      <c r="I249" s="223">
        <f t="shared" si="148"/>
        <v>1771929.0301799998</v>
      </c>
      <c r="J249" s="223">
        <f>SUM(J250:J261)</f>
        <v>1142089.7710558169</v>
      </c>
      <c r="K249" s="223">
        <f>SUM(K250:K261)</f>
        <v>1610485.2276699999</v>
      </c>
      <c r="L249" s="223">
        <f>SUM(L250:L261)</f>
        <v>1602981.1629900001</v>
      </c>
      <c r="M249" s="223">
        <f t="shared" ref="M249" si="149">SUM(M250:M261)</f>
        <v>1371851.0164803262</v>
      </c>
      <c r="N249" s="223">
        <f>SUM(N250:N261)</f>
        <v>1364948.2011299999</v>
      </c>
      <c r="O249" s="223">
        <f t="shared" ref="O249:AA249" si="150">SUM(O250:O261)</f>
        <v>1362495.0174000002</v>
      </c>
      <c r="P249" s="223">
        <f t="shared" si="150"/>
        <v>1362495.0174</v>
      </c>
      <c r="Q249" s="223">
        <f t="shared" si="150"/>
        <v>1362495.0174</v>
      </c>
      <c r="R249" s="223">
        <f t="shared" si="150"/>
        <v>1362495.0174000002</v>
      </c>
      <c r="S249" s="223">
        <f t="shared" si="125"/>
        <v>-9355.9990803259425</v>
      </c>
      <c r="T249" s="223">
        <f t="shared" si="126"/>
        <v>0</v>
      </c>
      <c r="U249" s="146" t="e">
        <f>R249-#REF!</f>
        <v>#REF!</v>
      </c>
      <c r="V249" s="146">
        <f t="shared" si="127"/>
        <v>-9355.9990803259425</v>
      </c>
      <c r="W249" s="146">
        <f t="shared" si="128"/>
        <v>0</v>
      </c>
      <c r="X249" s="146" t="e">
        <f>O249-#REF!</f>
        <v>#REF!</v>
      </c>
      <c r="Y249" s="223">
        <f t="shared" si="150"/>
        <v>1263084.8551806</v>
      </c>
      <c r="Z249" s="223">
        <f t="shared" si="150"/>
        <v>1319923.673663727</v>
      </c>
      <c r="AA249" s="223">
        <f t="shared" si="150"/>
        <v>1520064.7667064348</v>
      </c>
      <c r="AB249" s="223">
        <f>SUM(AB250:AB261)</f>
        <v>1279232.5540322866</v>
      </c>
      <c r="AC249" s="223">
        <f>SUM(AC250:AC261)</f>
        <v>1309946.4342949539</v>
      </c>
      <c r="AD249" s="223">
        <f t="shared" si="130"/>
        <v>16147.69885168667</v>
      </c>
      <c r="AE249" s="223">
        <f t="shared" si="133"/>
        <v>1.2784334152575951</v>
      </c>
      <c r="AF249" s="223">
        <f t="shared" si="131"/>
        <v>-40691.119631440379</v>
      </c>
      <c r="AG249" s="223">
        <f t="shared" si="134"/>
        <v>-3.0828388370740925</v>
      </c>
      <c r="AH249" s="223">
        <f t="shared" si="132"/>
        <v>-240832.21267414815</v>
      </c>
      <c r="AI249" s="223">
        <f t="shared" si="135"/>
        <v>-15.843549429539493</v>
      </c>
    </row>
    <row r="250" spans="1:35" ht="28.5" customHeight="1" outlineLevel="1">
      <c r="A250" s="139" t="s">
        <v>1155</v>
      </c>
      <c r="B250" s="176" t="s">
        <v>1156</v>
      </c>
      <c r="C250" s="215" t="s">
        <v>1157</v>
      </c>
      <c r="D250" s="148" t="s">
        <v>1158</v>
      </c>
      <c r="E250" s="225" t="s">
        <v>1159</v>
      </c>
      <c r="F250" s="178" t="s">
        <v>552</v>
      </c>
      <c r="G250" s="178">
        <v>144465.29</v>
      </c>
      <c r="H250" s="178">
        <v>144794.01196999999</v>
      </c>
      <c r="I250" s="178">
        <v>144794.01196999999</v>
      </c>
      <c r="J250" s="143">
        <v>158517.90549375699</v>
      </c>
      <c r="K250" s="143">
        <v>126797.00155</v>
      </c>
      <c r="L250" s="143">
        <v>126797</v>
      </c>
      <c r="M250" s="143">
        <v>110968.17</v>
      </c>
      <c r="N250" s="143">
        <v>110968.16979</v>
      </c>
      <c r="O250" s="143">
        <v>110968.16979</v>
      </c>
      <c r="P250" s="150">
        <v>110968.16979</v>
      </c>
      <c r="Q250" s="143">
        <v>110968.16979</v>
      </c>
      <c r="R250" s="143">
        <v>110968.16979</v>
      </c>
      <c r="S250" s="143">
        <f t="shared" si="125"/>
        <v>-2.0999999833293259E-4</v>
      </c>
      <c r="T250" s="143">
        <f t="shared" si="126"/>
        <v>0</v>
      </c>
      <c r="U250" s="151" t="e">
        <f>R250-#REF!</f>
        <v>#REF!</v>
      </c>
      <c r="V250" s="151">
        <f t="shared" si="127"/>
        <v>-2.0999999833293259E-4</v>
      </c>
      <c r="W250" s="151">
        <f t="shared" si="128"/>
        <v>0</v>
      </c>
      <c r="X250" s="151" t="e">
        <f>O250-#REF!</f>
        <v>#REF!</v>
      </c>
      <c r="Y250" s="143">
        <f>'[65]2. подк.неподк.'!V238</f>
        <v>57418.25</v>
      </c>
      <c r="Z250" s="143">
        <f>'[65]2. подк.неподк.'!W238</f>
        <v>60002.071249999994</v>
      </c>
      <c r="AA250" s="166"/>
      <c r="AB250" s="143">
        <v>0</v>
      </c>
      <c r="AC250" s="144">
        <f t="shared" si="129"/>
        <v>0</v>
      </c>
      <c r="AD250" s="143">
        <f t="shared" si="130"/>
        <v>-57418.25</v>
      </c>
      <c r="AE250" s="143">
        <f t="shared" si="133"/>
        <v>-100</v>
      </c>
      <c r="AF250" s="143">
        <f t="shared" si="131"/>
        <v>-60002.071249999994</v>
      </c>
      <c r="AG250" s="143">
        <f t="shared" si="134"/>
        <v>-100</v>
      </c>
      <c r="AH250" s="143">
        <f t="shared" si="132"/>
        <v>0</v>
      </c>
      <c r="AI250" s="143" t="e">
        <f t="shared" si="135"/>
        <v>#DIV/0!</v>
      </c>
    </row>
    <row r="251" spans="1:35" ht="28.5" customHeight="1" outlineLevel="1">
      <c r="A251" s="139" t="s">
        <v>1160</v>
      </c>
      <c r="B251" s="176" t="s">
        <v>1161</v>
      </c>
      <c r="C251" s="215" t="s">
        <v>1162</v>
      </c>
      <c r="D251" s="148" t="s">
        <v>1163</v>
      </c>
      <c r="E251" s="225" t="s">
        <v>1164</v>
      </c>
      <c r="F251" s="178" t="s">
        <v>552</v>
      </c>
      <c r="G251" s="178">
        <v>318029.19</v>
      </c>
      <c r="H251" s="178">
        <v>262920.66586000001</v>
      </c>
      <c r="I251" s="178">
        <v>262920.66586000001</v>
      </c>
      <c r="J251" s="143">
        <v>348964.93880762695</v>
      </c>
      <c r="K251" s="143">
        <v>185469.95342000001</v>
      </c>
      <c r="L251" s="143">
        <v>185469.95</v>
      </c>
      <c r="M251" s="143">
        <v>152505.99964000002</v>
      </c>
      <c r="N251" s="143">
        <v>154856.07118</v>
      </c>
      <c r="O251" s="143">
        <v>154856.07118</v>
      </c>
      <c r="P251" s="150">
        <v>154856.07118</v>
      </c>
      <c r="Q251" s="143">
        <v>154856.07118</v>
      </c>
      <c r="R251" s="143">
        <v>154856.07118</v>
      </c>
      <c r="S251" s="143">
        <f t="shared" si="125"/>
        <v>2350.0715399999754</v>
      </c>
      <c r="T251" s="143">
        <f t="shared" si="126"/>
        <v>0</v>
      </c>
      <c r="U251" s="151" t="e">
        <f>R251-#REF!</f>
        <v>#REF!</v>
      </c>
      <c r="V251" s="151">
        <f t="shared" si="127"/>
        <v>2350.0715399999754</v>
      </c>
      <c r="W251" s="151">
        <f t="shared" si="128"/>
        <v>0</v>
      </c>
      <c r="X251" s="151" t="e">
        <f>O251-#REF!</f>
        <v>#REF!</v>
      </c>
      <c r="Y251" s="143">
        <f>'[65]2. подк.неподк.'!V239</f>
        <v>144204.47825999997</v>
      </c>
      <c r="Z251" s="143">
        <f>'[65]2. подк.неподк.'!W239</f>
        <v>150693.67978169996</v>
      </c>
      <c r="AA251" s="143">
        <f>'[65]2. подк.неподк.'!X239</f>
        <v>320096.00685322029</v>
      </c>
      <c r="AB251" s="143">
        <v>173746.64</v>
      </c>
      <c r="AC251" s="144">
        <f t="shared" si="129"/>
        <v>173746.64</v>
      </c>
      <c r="AD251" s="143">
        <f t="shared" si="130"/>
        <v>29542.16174000004</v>
      </c>
      <c r="AE251" s="143">
        <f t="shared" si="133"/>
        <v>20.486299799050386</v>
      </c>
      <c r="AF251" s="143">
        <f t="shared" si="131"/>
        <v>23052.960218300053</v>
      </c>
      <c r="AG251" s="143">
        <f t="shared" si="134"/>
        <v>15.297894544545841</v>
      </c>
      <c r="AH251" s="143">
        <f t="shared" si="132"/>
        <v>-146349.36685322027</v>
      </c>
      <c r="AI251" s="143">
        <f t="shared" si="135"/>
        <v>-45.720460024460294</v>
      </c>
    </row>
    <row r="252" spans="1:35" ht="28.5" customHeight="1" outlineLevel="1">
      <c r="A252" s="139" t="s">
        <v>1165</v>
      </c>
      <c r="B252" s="176" t="s">
        <v>1166</v>
      </c>
      <c r="C252" s="215" t="s">
        <v>1167</v>
      </c>
      <c r="D252" s="148" t="s">
        <v>1168</v>
      </c>
      <c r="E252" s="225" t="s">
        <v>1169</v>
      </c>
      <c r="F252" s="178" t="s">
        <v>552</v>
      </c>
      <c r="G252" s="178">
        <v>113326.77</v>
      </c>
      <c r="H252" s="178">
        <v>83450.859200000006</v>
      </c>
      <c r="I252" s="178">
        <v>83450.859200000006</v>
      </c>
      <c r="J252" s="143">
        <v>124350.43889624099</v>
      </c>
      <c r="K252" s="143">
        <v>100013.73493999999</v>
      </c>
      <c r="L252" s="143">
        <v>100013.73</v>
      </c>
      <c r="M252" s="143">
        <v>90494.064429999984</v>
      </c>
      <c r="N252" s="143">
        <v>90494.061379999999</v>
      </c>
      <c r="O252" s="143">
        <v>90480.068419999996</v>
      </c>
      <c r="P252" s="150">
        <v>90480.068419999996</v>
      </c>
      <c r="Q252" s="143">
        <v>90480.068419999996</v>
      </c>
      <c r="R252" s="143">
        <v>90480.068419999996</v>
      </c>
      <c r="S252" s="143">
        <f t="shared" si="125"/>
        <v>-13.996009999988019</v>
      </c>
      <c r="T252" s="143">
        <f t="shared" si="126"/>
        <v>0</v>
      </c>
      <c r="U252" s="151" t="e">
        <f>R252-#REF!</f>
        <v>#REF!</v>
      </c>
      <c r="V252" s="151">
        <f t="shared" si="127"/>
        <v>-13.996009999988019</v>
      </c>
      <c r="W252" s="151">
        <f t="shared" si="128"/>
        <v>0</v>
      </c>
      <c r="X252" s="151" t="e">
        <f>O252-#REF!</f>
        <v>#REF!</v>
      </c>
      <c r="Y252" s="143">
        <f>'[65]2. подк.неподк.'!V240</f>
        <v>88888.551999999996</v>
      </c>
      <c r="Z252" s="143">
        <f>'[65]2. подк.неподк.'!W240</f>
        <v>92888.536839999986</v>
      </c>
      <c r="AA252" s="166">
        <f>'[65]2. подк.неподк.'!X240+60002.0645</f>
        <v>152890.60133999999</v>
      </c>
      <c r="AB252" s="143">
        <v>134303.46</v>
      </c>
      <c r="AC252" s="144">
        <f t="shared" si="129"/>
        <v>134303.46</v>
      </c>
      <c r="AD252" s="143">
        <f t="shared" si="130"/>
        <v>45414.907999999996</v>
      </c>
      <c r="AE252" s="143">
        <f t="shared" si="133"/>
        <v>51.091965138547891</v>
      </c>
      <c r="AF252" s="143">
        <f t="shared" si="131"/>
        <v>41414.923160000006</v>
      </c>
      <c r="AG252" s="143">
        <f t="shared" si="134"/>
        <v>44.585612572773101</v>
      </c>
      <c r="AH252" s="143">
        <f t="shared" si="132"/>
        <v>-18587.141340000002</v>
      </c>
      <c r="AI252" s="143">
        <f t="shared" si="135"/>
        <v>-12.157151045972853</v>
      </c>
    </row>
    <row r="253" spans="1:35" ht="28.5" customHeight="1" outlineLevel="1">
      <c r="A253" s="139" t="s">
        <v>1170</v>
      </c>
      <c r="B253" s="176" t="s">
        <v>1171</v>
      </c>
      <c r="C253" s="215" t="s">
        <v>1172</v>
      </c>
      <c r="D253" s="148" t="s">
        <v>1173</v>
      </c>
      <c r="E253" s="225" t="s">
        <v>1174</v>
      </c>
      <c r="F253" s="178" t="s">
        <v>552</v>
      </c>
      <c r="G253" s="178">
        <v>789452.42</v>
      </c>
      <c r="H253" s="178">
        <v>902596.45401999995</v>
      </c>
      <c r="I253" s="178">
        <v>902596.45401999995</v>
      </c>
      <c r="J253" s="143">
        <v>0</v>
      </c>
      <c r="K253" s="143">
        <v>830969.39298999996</v>
      </c>
      <c r="L253" s="143">
        <v>830969.39298999996</v>
      </c>
      <c r="M253" s="143">
        <v>628510.49</v>
      </c>
      <c r="N253" s="143">
        <v>641206.82625000004</v>
      </c>
      <c r="O253" s="143">
        <v>641206.82625000004</v>
      </c>
      <c r="P253" s="150">
        <v>641206.82625000004</v>
      </c>
      <c r="Q253" s="143">
        <v>641206.82625000004</v>
      </c>
      <c r="R253" s="143">
        <v>641206.82625000004</v>
      </c>
      <c r="S253" s="143">
        <f t="shared" si="125"/>
        <v>12696.336250000051</v>
      </c>
      <c r="T253" s="143">
        <f t="shared" si="126"/>
        <v>0</v>
      </c>
      <c r="U253" s="151" t="e">
        <f>R253-#REF!</f>
        <v>#REF!</v>
      </c>
      <c r="V253" s="151">
        <f t="shared" si="127"/>
        <v>12696.336250000051</v>
      </c>
      <c r="W253" s="151">
        <f t="shared" si="128"/>
        <v>0</v>
      </c>
      <c r="X253" s="151" t="e">
        <f>O253-#REF!</f>
        <v>#REF!</v>
      </c>
      <c r="Y253" s="143">
        <f>'[65]2. подк.неподк.'!V241</f>
        <v>564085.91</v>
      </c>
      <c r="Z253" s="143">
        <f>'[65]2. подк.неподк.'!W241</f>
        <v>589469.77595000004</v>
      </c>
      <c r="AA253" s="143">
        <f>'[65]2. подк.неподк.'!X241</f>
        <v>589469.77595000004</v>
      </c>
      <c r="AB253" s="143">
        <v>547641.30000000005</v>
      </c>
      <c r="AC253" s="144">
        <f t="shared" si="129"/>
        <v>547641.30000000005</v>
      </c>
      <c r="AD253" s="143">
        <f t="shared" si="130"/>
        <v>-16444.609999999986</v>
      </c>
      <c r="AE253" s="143">
        <f t="shared" si="133"/>
        <v>-2.9152669315920292</v>
      </c>
      <c r="AF253" s="143">
        <f t="shared" si="131"/>
        <v>-41828.475949999993</v>
      </c>
      <c r="AG253" s="143">
        <f t="shared" si="134"/>
        <v>-7.0959492168344838</v>
      </c>
      <c r="AH253" s="143">
        <f t="shared" si="132"/>
        <v>-41828.475949999993</v>
      </c>
      <c r="AI253" s="143">
        <f t="shared" si="135"/>
        <v>-7.0959492168344838</v>
      </c>
    </row>
    <row r="254" spans="1:35" ht="28.5" customHeight="1" outlineLevel="1">
      <c r="A254" s="139" t="s">
        <v>1175</v>
      </c>
      <c r="B254" s="176" t="s">
        <v>1176</v>
      </c>
      <c r="C254" s="215" t="s">
        <v>1177</v>
      </c>
      <c r="D254" s="148" t="s">
        <v>1178</v>
      </c>
      <c r="E254" s="225" t="s">
        <v>1179</v>
      </c>
      <c r="F254" s="178" t="s">
        <v>552</v>
      </c>
      <c r="G254" s="178">
        <v>95936.07</v>
      </c>
      <c r="H254" s="178">
        <v>58235.60961</v>
      </c>
      <c r="I254" s="178">
        <v>58235.60961</v>
      </c>
      <c r="J254" s="143">
        <v>105268.08811793099</v>
      </c>
      <c r="K254" s="143">
        <v>68222.991980000006</v>
      </c>
      <c r="L254" s="143">
        <v>68222.990000000005</v>
      </c>
      <c r="M254" s="143">
        <v>66781.149999999994</v>
      </c>
      <c r="N254" s="143">
        <v>62154.389900000002</v>
      </c>
      <c r="O254" s="143">
        <v>62154.389900000002</v>
      </c>
      <c r="P254" s="150">
        <v>62154.389900000002</v>
      </c>
      <c r="Q254" s="143">
        <v>62154.389900000002</v>
      </c>
      <c r="R254" s="143">
        <v>62154.389900000002</v>
      </c>
      <c r="S254" s="143">
        <f t="shared" si="125"/>
        <v>-4626.7600999999922</v>
      </c>
      <c r="T254" s="143">
        <f t="shared" si="126"/>
        <v>0</v>
      </c>
      <c r="U254" s="151" t="e">
        <f>R254-#REF!</f>
        <v>#REF!</v>
      </c>
      <c r="V254" s="151">
        <f t="shared" si="127"/>
        <v>-4626.7600999999922</v>
      </c>
      <c r="W254" s="151">
        <f t="shared" si="128"/>
        <v>0</v>
      </c>
      <c r="X254" s="151" t="e">
        <f>O254-#REF!</f>
        <v>#REF!</v>
      </c>
      <c r="Y254" s="143">
        <f>'[65]2. подк.неподк.'!V242</f>
        <v>72470.539999999994</v>
      </c>
      <c r="Z254" s="143">
        <f>'[65]2. подк.неподк.'!W242</f>
        <v>75731.714299999992</v>
      </c>
      <c r="AA254" s="143">
        <f>'[65]2. подк.неподк.'!X242</f>
        <v>75731.714299999992</v>
      </c>
      <c r="AB254" s="143">
        <f t="shared" ref="AB254:AB261" si="151">Y254*$AA$11</f>
        <v>75141.206897665339</v>
      </c>
      <c r="AC254" s="144">
        <f t="shared" si="129"/>
        <v>75141.206897665339</v>
      </c>
      <c r="AD254" s="143">
        <f t="shared" si="130"/>
        <v>2670.6668976653455</v>
      </c>
      <c r="AE254" s="143">
        <f t="shared" si="133"/>
        <v>3.6851759317169979</v>
      </c>
      <c r="AF254" s="143">
        <f t="shared" si="131"/>
        <v>-590.50740233465331</v>
      </c>
      <c r="AG254" s="143">
        <f t="shared" si="134"/>
        <v>-0.77973595051004452</v>
      </c>
      <c r="AH254" s="143">
        <f t="shared" si="132"/>
        <v>-590.50740233465331</v>
      </c>
      <c r="AI254" s="143">
        <f t="shared" si="135"/>
        <v>-0.77973595051004452</v>
      </c>
    </row>
    <row r="255" spans="1:35" ht="28.5" customHeight="1" outlineLevel="1">
      <c r="A255" s="139" t="s">
        <v>1180</v>
      </c>
      <c r="B255" s="176" t="s">
        <v>1181</v>
      </c>
      <c r="C255" s="215" t="s">
        <v>1182</v>
      </c>
      <c r="D255" s="148" t="s">
        <v>1183</v>
      </c>
      <c r="E255" s="225" t="s">
        <v>1184</v>
      </c>
      <c r="F255" s="178" t="s">
        <v>552</v>
      </c>
      <c r="G255" s="178">
        <v>8560.98</v>
      </c>
      <c r="H255" s="178">
        <v>5121.7745400000003</v>
      </c>
      <c r="I255" s="178">
        <v>5121.7745400000003</v>
      </c>
      <c r="J255" s="143">
        <v>9393.7347758339984</v>
      </c>
      <c r="K255" s="143">
        <v>4631.8183399999998</v>
      </c>
      <c r="L255" s="143">
        <v>4631.82</v>
      </c>
      <c r="M255" s="143">
        <v>4140.7700000000004</v>
      </c>
      <c r="N255" s="143">
        <v>4997.1476199999997</v>
      </c>
      <c r="O255" s="143">
        <v>4995.5531100000007</v>
      </c>
      <c r="P255" s="150">
        <v>4995.5531100000007</v>
      </c>
      <c r="Q255" s="143">
        <v>4995.5531100000007</v>
      </c>
      <c r="R255" s="143">
        <v>4995.5531100000007</v>
      </c>
      <c r="S255" s="143">
        <f t="shared" si="125"/>
        <v>854.78311000000031</v>
      </c>
      <c r="T255" s="143">
        <f t="shared" si="126"/>
        <v>0</v>
      </c>
      <c r="U255" s="151" t="e">
        <f>R255-#REF!</f>
        <v>#REF!</v>
      </c>
      <c r="V255" s="151">
        <f t="shared" si="127"/>
        <v>854.78311000000031</v>
      </c>
      <c r="W255" s="151">
        <f t="shared" si="128"/>
        <v>0</v>
      </c>
      <c r="X255" s="151" t="e">
        <f>O255-#REF!</f>
        <v>#REF!</v>
      </c>
      <c r="Y255" s="143">
        <f>'[65]2. подк.неподк.'!V243</f>
        <v>5120.3999999999996</v>
      </c>
      <c r="Z255" s="143">
        <f>'[65]2. подк.неподк.'!W243</f>
        <v>5350.8179999999993</v>
      </c>
      <c r="AA255" s="143">
        <f>'[65]2. подк.неподк.'!X243</f>
        <v>5508.6079430508489</v>
      </c>
      <c r="AB255" s="143">
        <f t="shared" si="151"/>
        <v>5309.0957484076371</v>
      </c>
      <c r="AC255" s="144">
        <f t="shared" si="129"/>
        <v>5309.0957484076371</v>
      </c>
      <c r="AD255" s="143">
        <f t="shared" si="130"/>
        <v>188.69574840763744</v>
      </c>
      <c r="AE255" s="143">
        <f t="shared" si="133"/>
        <v>3.6851759317169979</v>
      </c>
      <c r="AF255" s="143">
        <f t="shared" si="131"/>
        <v>-41.722251592362227</v>
      </c>
      <c r="AG255" s="143">
        <f t="shared" si="134"/>
        <v>-0.77973595051004452</v>
      </c>
      <c r="AH255" s="143">
        <f t="shared" si="132"/>
        <v>-199.51219464321184</v>
      </c>
      <c r="AI255" s="143">
        <f t="shared" si="135"/>
        <v>-3.6218259986154635</v>
      </c>
    </row>
    <row r="256" spans="1:35" ht="28.5" customHeight="1" outlineLevel="1">
      <c r="A256" s="139" t="s">
        <v>1185</v>
      </c>
      <c r="B256" s="176" t="s">
        <v>1186</v>
      </c>
      <c r="C256" s="215" t="s">
        <v>1187</v>
      </c>
      <c r="D256" s="148" t="s">
        <v>1188</v>
      </c>
      <c r="E256" s="225" t="s">
        <v>1189</v>
      </c>
      <c r="F256" s="178" t="s">
        <v>552</v>
      </c>
      <c r="G256" s="178">
        <v>2685.21</v>
      </c>
      <c r="H256" s="178">
        <v>13724.02434</v>
      </c>
      <c r="I256" s="178">
        <v>13724.02434</v>
      </c>
      <c r="J256" s="143">
        <v>2946.409237893</v>
      </c>
      <c r="K256" s="143">
        <v>9285.9032700000007</v>
      </c>
      <c r="L256" s="143">
        <v>9285.9</v>
      </c>
      <c r="M256" s="143">
        <v>13727.381290326264</v>
      </c>
      <c r="N256" s="143">
        <v>5782.9227999999994</v>
      </c>
      <c r="O256" s="143">
        <v>5772.8763300000001</v>
      </c>
      <c r="P256" s="150">
        <v>5772.8763300000001</v>
      </c>
      <c r="Q256" s="143">
        <v>5772.8763300000001</v>
      </c>
      <c r="R256" s="143">
        <v>5772.8763300000001</v>
      </c>
      <c r="S256" s="143">
        <f t="shared" si="125"/>
        <v>-7954.5049603262642</v>
      </c>
      <c r="T256" s="143">
        <f t="shared" si="126"/>
        <v>0</v>
      </c>
      <c r="U256" s="151" t="e">
        <f>R256-#REF!</f>
        <v>#REF!</v>
      </c>
      <c r="V256" s="151">
        <f t="shared" si="127"/>
        <v>-7954.5049603262642</v>
      </c>
      <c r="W256" s="151">
        <f t="shared" si="128"/>
        <v>0</v>
      </c>
      <c r="X256" s="151" t="e">
        <f>O256-#REF!</f>
        <v>#REF!</v>
      </c>
      <c r="Y256" s="143">
        <f>'[65]2. подк.неподк.'!V244</f>
        <v>12796.04</v>
      </c>
      <c r="Z256" s="143">
        <f>'[65]2. подк.неподк.'!W244</f>
        <v>13371.861800000001</v>
      </c>
      <c r="AA256" s="143">
        <f>'[65]2. подк.неподк.'!X244</f>
        <v>13371.861800000001</v>
      </c>
      <c r="AB256" s="143">
        <f t="shared" si="151"/>
        <v>13267.596586292881</v>
      </c>
      <c r="AC256" s="144">
        <f t="shared" si="129"/>
        <v>13267.596586292881</v>
      </c>
      <c r="AD256" s="143">
        <f t="shared" si="130"/>
        <v>471.55658629287973</v>
      </c>
      <c r="AE256" s="143">
        <f t="shared" si="133"/>
        <v>3.6851759317169979</v>
      </c>
      <c r="AF256" s="143">
        <f t="shared" si="131"/>
        <v>-104.26521370711998</v>
      </c>
      <c r="AG256" s="143">
        <f t="shared" si="134"/>
        <v>-0.77973595051005873</v>
      </c>
      <c r="AH256" s="143">
        <f t="shared" si="132"/>
        <v>-104.26521370711998</v>
      </c>
      <c r="AI256" s="143">
        <f t="shared" si="135"/>
        <v>-0.77973595051005873</v>
      </c>
    </row>
    <row r="257" spans="1:35" ht="38.25" customHeight="1" outlineLevel="1">
      <c r="A257" s="139" t="s">
        <v>1190</v>
      </c>
      <c r="B257" s="176" t="s">
        <v>1191</v>
      </c>
      <c r="C257" s="215" t="s">
        <v>1192</v>
      </c>
      <c r="D257" s="148" t="s">
        <v>1193</v>
      </c>
      <c r="E257" s="225" t="s">
        <v>1194</v>
      </c>
      <c r="F257" s="178" t="s">
        <v>552</v>
      </c>
      <c r="G257" s="178">
        <v>130725.43</v>
      </c>
      <c r="H257" s="178">
        <v>118666.49163999999</v>
      </c>
      <c r="I257" s="178">
        <v>117206.61407000001</v>
      </c>
      <c r="J257" s="143">
        <v>143441.52397001898</v>
      </c>
      <c r="K257" s="143">
        <v>114062.59647999999</v>
      </c>
      <c r="L257" s="143">
        <v>106558.55</v>
      </c>
      <c r="M257" s="143">
        <v>120738.58112</v>
      </c>
      <c r="N257" s="143">
        <v>117310.68969</v>
      </c>
      <c r="O257" s="143">
        <v>115109.19314</v>
      </c>
      <c r="P257" s="150">
        <v>115032.44422</v>
      </c>
      <c r="Q257" s="167">
        <v>115032.44422</v>
      </c>
      <c r="R257" s="167">
        <v>115109.19314</v>
      </c>
      <c r="S257" s="167">
        <f t="shared" si="125"/>
        <v>-5629.3879799999995</v>
      </c>
      <c r="T257" s="167">
        <f t="shared" si="126"/>
        <v>0</v>
      </c>
      <c r="U257" s="151" t="e">
        <f>R257-#REF!</f>
        <v>#REF!</v>
      </c>
      <c r="V257" s="151">
        <f t="shared" si="127"/>
        <v>-5629.3879799999995</v>
      </c>
      <c r="W257" s="151">
        <f t="shared" si="128"/>
        <v>0</v>
      </c>
      <c r="X257" s="151" t="e">
        <f>O257-#REF!</f>
        <v>#REF!</v>
      </c>
      <c r="Y257" s="143">
        <f>'[65]2. подк.неподк.'!V245</f>
        <v>112419.27122059999</v>
      </c>
      <c r="Z257" s="143">
        <f>'[65]2. подк.неподк.'!W245</f>
        <v>117478.13842552698</v>
      </c>
      <c r="AA257" s="143">
        <f>'[65]2. подк.неподк.'!X245</f>
        <v>147275.99940890036</v>
      </c>
      <c r="AB257" s="143">
        <f>Y257*$AA$11</f>
        <v>116562.11914623319</v>
      </c>
      <c r="AC257" s="168">
        <f>AA257</f>
        <v>147275.99940890036</v>
      </c>
      <c r="AD257" s="143">
        <f t="shared" si="130"/>
        <v>4142.8479256332066</v>
      </c>
      <c r="AE257" s="143">
        <f t="shared" si="133"/>
        <v>3.6851759317169979</v>
      </c>
      <c r="AF257" s="143">
        <f t="shared" si="131"/>
        <v>-916.01927929378871</v>
      </c>
      <c r="AG257" s="143">
        <f t="shared" si="134"/>
        <v>-0.77973595051004452</v>
      </c>
      <c r="AH257" s="143">
        <f t="shared" si="132"/>
        <v>-30713.880262667168</v>
      </c>
      <c r="AI257" s="143">
        <f t="shared" si="135"/>
        <v>-20.85464052930476</v>
      </c>
    </row>
    <row r="258" spans="1:35" ht="28.5" customHeight="1" outlineLevel="1">
      <c r="A258" s="139" t="s">
        <v>1195</v>
      </c>
      <c r="B258" s="176" t="s">
        <v>1196</v>
      </c>
      <c r="C258" s="215" t="s">
        <v>1197</v>
      </c>
      <c r="D258" s="148" t="s">
        <v>1198</v>
      </c>
      <c r="E258" s="225" t="s">
        <v>1199</v>
      </c>
      <c r="F258" s="178" t="s">
        <v>552</v>
      </c>
      <c r="G258" s="178">
        <v>10653.58</v>
      </c>
      <c r="H258" s="178">
        <v>5895.0526200000004</v>
      </c>
      <c r="I258" s="178">
        <v>5895.0526200000004</v>
      </c>
      <c r="J258" s="143">
        <v>11689.888883413998</v>
      </c>
      <c r="K258" s="143">
        <v>1633.3358700000001</v>
      </c>
      <c r="L258" s="143">
        <v>1633.34</v>
      </c>
      <c r="M258" s="143">
        <v>1769.02</v>
      </c>
      <c r="N258" s="143">
        <v>953.08475999999996</v>
      </c>
      <c r="O258" s="143">
        <v>953.08475999999996</v>
      </c>
      <c r="P258" s="150">
        <v>953.08475999999996</v>
      </c>
      <c r="Q258" s="143">
        <v>953.08475999999996</v>
      </c>
      <c r="R258" s="143">
        <v>953.08475999999996</v>
      </c>
      <c r="S258" s="143">
        <f t="shared" si="125"/>
        <v>-815.93524000000002</v>
      </c>
      <c r="T258" s="143">
        <f t="shared" si="126"/>
        <v>0</v>
      </c>
      <c r="U258" s="151" t="e">
        <f>R258-#REF!</f>
        <v>#REF!</v>
      </c>
      <c r="V258" s="151">
        <f t="shared" si="127"/>
        <v>-815.93524000000002</v>
      </c>
      <c r="W258" s="151">
        <f t="shared" si="128"/>
        <v>0</v>
      </c>
      <c r="X258" s="151" t="e">
        <f>O258-#REF!</f>
        <v>#REF!</v>
      </c>
      <c r="Y258" s="143">
        <f>'[65]2. подк.неподк.'!V246</f>
        <v>1723.1736999999998</v>
      </c>
      <c r="Z258" s="143">
        <f>'[65]2. подк.неподк.'!W246</f>
        <v>1800.7165164999997</v>
      </c>
      <c r="AA258" s="143">
        <f>'[65]2. подк.неподк.'!X246</f>
        <v>1800.7165164999997</v>
      </c>
      <c r="AB258" s="143">
        <f t="shared" si="151"/>
        <v>1786.6756824540771</v>
      </c>
      <c r="AC258" s="144">
        <f t="shared" si="129"/>
        <v>1786.6756824540771</v>
      </c>
      <c r="AD258" s="143">
        <f t="shared" si="130"/>
        <v>63.501982454077279</v>
      </c>
      <c r="AE258" s="143">
        <f t="shared" si="133"/>
        <v>3.6851759317169979</v>
      </c>
      <c r="AF258" s="143">
        <f t="shared" si="131"/>
        <v>-14.040834045922566</v>
      </c>
      <c r="AG258" s="143">
        <f t="shared" si="134"/>
        <v>-0.77973595051004452</v>
      </c>
      <c r="AH258" s="143">
        <f t="shared" si="132"/>
        <v>-14.040834045922566</v>
      </c>
      <c r="AI258" s="143">
        <f t="shared" si="135"/>
        <v>-0.77973595051004452</v>
      </c>
    </row>
    <row r="259" spans="1:35" ht="28.5" customHeight="1" outlineLevel="1">
      <c r="A259" s="139" t="s">
        <v>1200</v>
      </c>
      <c r="B259" s="176" t="s">
        <v>1201</v>
      </c>
      <c r="C259" s="215" t="s">
        <v>1202</v>
      </c>
      <c r="D259" s="148" t="s">
        <v>1203</v>
      </c>
      <c r="E259" s="225" t="s">
        <v>1204</v>
      </c>
      <c r="F259" s="178" t="s">
        <v>552</v>
      </c>
      <c r="G259" s="178">
        <v>44464.07</v>
      </c>
      <c r="H259" s="178">
        <v>33688.11778</v>
      </c>
      <c r="I259" s="178">
        <v>33688.11778</v>
      </c>
      <c r="J259" s="143">
        <v>48789.236820330996</v>
      </c>
      <c r="K259" s="143">
        <v>36127.274089999999</v>
      </c>
      <c r="L259" s="143">
        <v>36127.269999999997</v>
      </c>
      <c r="M259" s="143">
        <v>38351.5</v>
      </c>
      <c r="N259" s="143">
        <v>38174.099550000006</v>
      </c>
      <c r="O259" s="143">
        <v>38047.931859999997</v>
      </c>
      <c r="P259" s="150">
        <v>38047.931859999997</v>
      </c>
      <c r="Q259" s="143">
        <v>38047.931859999997</v>
      </c>
      <c r="R259" s="143">
        <v>38047.931859999997</v>
      </c>
      <c r="S259" s="143">
        <f t="shared" si="125"/>
        <v>-303.56814000000304</v>
      </c>
      <c r="T259" s="143">
        <f t="shared" si="126"/>
        <v>0</v>
      </c>
      <c r="U259" s="151" t="e">
        <f>R259-#REF!</f>
        <v>#REF!</v>
      </c>
      <c r="V259" s="151">
        <f t="shared" si="127"/>
        <v>-303.56814000000304</v>
      </c>
      <c r="W259" s="151">
        <f t="shared" si="128"/>
        <v>0</v>
      </c>
      <c r="X259" s="151" t="e">
        <f>O259-#REF!</f>
        <v>#REF!</v>
      </c>
      <c r="Y259" s="143">
        <f>'[65]2. подк.неподк.'!V247</f>
        <v>43428.9</v>
      </c>
      <c r="Z259" s="143">
        <f>'[65]2. подк.неподк.'!W247</f>
        <v>45383.200499999999</v>
      </c>
      <c r="AA259" s="143">
        <f>'[65]2. подк.неподк.'!X247</f>
        <v>46050.558721627123</v>
      </c>
      <c r="AB259" s="143">
        <f t="shared" si="151"/>
        <v>45029.331370209446</v>
      </c>
      <c r="AC259" s="144">
        <f t="shared" si="129"/>
        <v>45029.331370209446</v>
      </c>
      <c r="AD259" s="143">
        <f t="shared" si="130"/>
        <v>1600.4313702094441</v>
      </c>
      <c r="AE259" s="143">
        <f t="shared" si="133"/>
        <v>3.6851759317169979</v>
      </c>
      <c r="AF259" s="143">
        <f t="shared" si="131"/>
        <v>-353.86912979055342</v>
      </c>
      <c r="AG259" s="143">
        <f t="shared" si="134"/>
        <v>-0.77973595051004452</v>
      </c>
      <c r="AH259" s="143">
        <f t="shared" si="132"/>
        <v>-1021.2273514176777</v>
      </c>
      <c r="AI259" s="143">
        <f t="shared" si="135"/>
        <v>-2.2176220653281007</v>
      </c>
    </row>
    <row r="260" spans="1:35" ht="38.25" customHeight="1" outlineLevel="1">
      <c r="A260" s="139" t="s">
        <v>1205</v>
      </c>
      <c r="B260" s="176" t="s">
        <v>1206</v>
      </c>
      <c r="C260" s="215" t="s">
        <v>1207</v>
      </c>
      <c r="D260" s="148" t="s">
        <v>1208</v>
      </c>
      <c r="E260" s="225" t="s">
        <v>1209</v>
      </c>
      <c r="F260" s="178" t="s">
        <v>552</v>
      </c>
      <c r="G260" s="178">
        <v>171996.9</v>
      </c>
      <c r="H260" s="178">
        <v>144295.84617</v>
      </c>
      <c r="I260" s="178">
        <v>144295.84617</v>
      </c>
      <c r="J260" s="143">
        <v>188727.60605276999</v>
      </c>
      <c r="K260" s="143">
        <v>133271.22474000001</v>
      </c>
      <c r="L260" s="143">
        <v>133271.22</v>
      </c>
      <c r="M260" s="143">
        <v>143863.89000000001</v>
      </c>
      <c r="N260" s="143">
        <v>138050.73821000001</v>
      </c>
      <c r="O260" s="143">
        <v>137950.85266</v>
      </c>
      <c r="P260" s="150">
        <v>137950.85266</v>
      </c>
      <c r="Q260" s="143">
        <v>137950.85266</v>
      </c>
      <c r="R260" s="143">
        <v>137950.85266</v>
      </c>
      <c r="S260" s="143">
        <f t="shared" si="125"/>
        <v>-5913.0373400000099</v>
      </c>
      <c r="T260" s="143">
        <f t="shared" si="126"/>
        <v>0</v>
      </c>
      <c r="U260" s="151" t="e">
        <f>R260-#REF!</f>
        <v>#REF!</v>
      </c>
      <c r="V260" s="151">
        <f t="shared" si="127"/>
        <v>-5913.0373400000099</v>
      </c>
      <c r="W260" s="151">
        <f t="shared" si="128"/>
        <v>0</v>
      </c>
      <c r="X260" s="151" t="e">
        <f>O260-#REF!</f>
        <v>#REF!</v>
      </c>
      <c r="Y260" s="143">
        <f>'[65]2. подк.неподк.'!V248</f>
        <v>160529.34</v>
      </c>
      <c r="Z260" s="143">
        <f>'[65]2. подк.неподк.'!W248</f>
        <v>167753.16029999999</v>
      </c>
      <c r="AA260" s="143">
        <f>'[65]2. подк.неподк.'!X248</f>
        <v>167753.16029999999</v>
      </c>
      <c r="AB260" s="143">
        <f t="shared" si="151"/>
        <v>166445.12860102416</v>
      </c>
      <c r="AC260" s="144">
        <f t="shared" si="129"/>
        <v>166445.12860102416</v>
      </c>
      <c r="AD260" s="143">
        <f t="shared" si="130"/>
        <v>5915.7886010241637</v>
      </c>
      <c r="AE260" s="143">
        <f t="shared" si="133"/>
        <v>3.6851759317169979</v>
      </c>
      <c r="AF260" s="143">
        <f t="shared" si="131"/>
        <v>-1308.0316989758285</v>
      </c>
      <c r="AG260" s="143">
        <f t="shared" si="134"/>
        <v>-0.77973595051004452</v>
      </c>
      <c r="AH260" s="143">
        <f t="shared" si="132"/>
        <v>-1308.0316989758285</v>
      </c>
      <c r="AI260" s="143">
        <f t="shared" si="135"/>
        <v>-0.77973595051004452</v>
      </c>
    </row>
    <row r="261" spans="1:35" ht="33" customHeight="1" outlineLevel="1">
      <c r="A261" s="139" t="s">
        <v>1210</v>
      </c>
      <c r="B261" s="176" t="s">
        <v>1211</v>
      </c>
      <c r="C261" s="215" t="s">
        <v>1212</v>
      </c>
      <c r="D261" s="148" t="s">
        <v>1213</v>
      </c>
      <c r="E261" s="177"/>
      <c r="F261" s="177"/>
      <c r="G261" s="178">
        <v>0</v>
      </c>
      <c r="H261" s="178">
        <v>0</v>
      </c>
      <c r="I261" s="178">
        <v>0</v>
      </c>
      <c r="J261" s="143">
        <v>0</v>
      </c>
      <c r="K261" s="143">
        <v>0</v>
      </c>
      <c r="L261" s="143">
        <v>0</v>
      </c>
      <c r="M261" s="143">
        <v>0</v>
      </c>
      <c r="N261" s="143"/>
      <c r="O261" s="143"/>
      <c r="P261" s="150">
        <v>76.748919999999998</v>
      </c>
      <c r="Q261" s="143">
        <v>76.748919999999998</v>
      </c>
      <c r="R261" s="143">
        <v>0</v>
      </c>
      <c r="S261" s="143">
        <f t="shared" si="125"/>
        <v>0</v>
      </c>
      <c r="T261" s="143">
        <f t="shared" si="126"/>
        <v>0</v>
      </c>
      <c r="U261" s="151" t="e">
        <f>R261-#REF!</f>
        <v>#REF!</v>
      </c>
      <c r="V261" s="151">
        <f t="shared" si="127"/>
        <v>0</v>
      </c>
      <c r="W261" s="151">
        <f t="shared" si="128"/>
        <v>0</v>
      </c>
      <c r="X261" s="151" t="e">
        <f>O261-#REF!</f>
        <v>#REF!</v>
      </c>
      <c r="Y261" s="143">
        <f>'[65]2. подк.неподк.'!V249</f>
        <v>0</v>
      </c>
      <c r="Z261" s="143">
        <f>'[65]2. подк.неподк.'!W249</f>
        <v>0</v>
      </c>
      <c r="AA261" s="143">
        <f>'[65]2. подк.неподк.'!X249</f>
        <v>115.76357313600002</v>
      </c>
      <c r="AB261" s="143">
        <f t="shared" si="151"/>
        <v>0</v>
      </c>
      <c r="AC261" s="144">
        <f t="shared" si="129"/>
        <v>0</v>
      </c>
      <c r="AD261" s="143">
        <f t="shared" si="130"/>
        <v>0</v>
      </c>
      <c r="AE261" s="143"/>
      <c r="AF261" s="143">
        <f t="shared" si="131"/>
        <v>0</v>
      </c>
      <c r="AG261" s="143"/>
      <c r="AH261" s="143">
        <f t="shared" si="132"/>
        <v>-115.76357313600002</v>
      </c>
      <c r="AI261" s="143">
        <f t="shared" si="135"/>
        <v>-100</v>
      </c>
    </row>
    <row r="262" spans="1:35" ht="33" customHeight="1">
      <c r="A262" s="139"/>
      <c r="B262" s="140" t="s">
        <v>1214</v>
      </c>
      <c r="C262" s="177"/>
      <c r="D262" s="142" t="s">
        <v>1215</v>
      </c>
      <c r="E262" s="142" t="s">
        <v>1216</v>
      </c>
      <c r="F262" s="178" t="s">
        <v>552</v>
      </c>
      <c r="G262" s="144">
        <f t="shared" ref="G262:K262" si="152">SUM(G263:G266)</f>
        <v>7541.0651584000007</v>
      </c>
      <c r="H262" s="144">
        <f t="shared" si="152"/>
        <v>9234.7918700000009</v>
      </c>
      <c r="I262" s="144">
        <f t="shared" si="152"/>
        <v>9234.7888199999998</v>
      </c>
      <c r="J262" s="144">
        <f t="shared" si="152"/>
        <v>8274.6096887804197</v>
      </c>
      <c r="K262" s="144">
        <f t="shared" si="152"/>
        <v>22048.092809999998</v>
      </c>
      <c r="L262" s="144">
        <f t="shared" ref="L262:M262" si="153">SUM(L263:L266)</f>
        <v>22048.1</v>
      </c>
      <c r="M262" s="144">
        <f t="shared" si="153"/>
        <v>22999.781288762038</v>
      </c>
      <c r="N262" s="144">
        <f>SUM(N263:N266)</f>
        <v>39436.677009999999</v>
      </c>
      <c r="O262" s="144">
        <f t="shared" ref="O262:AA262" si="154">SUM(O263:O266)</f>
        <v>38017.816229999997</v>
      </c>
      <c r="P262" s="145">
        <f t="shared" ref="P262:R262" si="155">O262</f>
        <v>38017.816229999997</v>
      </c>
      <c r="Q262" s="144">
        <f t="shared" si="155"/>
        <v>38017.816229999997</v>
      </c>
      <c r="R262" s="144">
        <f t="shared" si="155"/>
        <v>38017.816229999997</v>
      </c>
      <c r="S262" s="144">
        <f t="shared" si="125"/>
        <v>15018.034941237958</v>
      </c>
      <c r="T262" s="144">
        <f t="shared" si="126"/>
        <v>0</v>
      </c>
      <c r="U262" s="146" t="e">
        <f>R262-#REF!</f>
        <v>#REF!</v>
      </c>
      <c r="V262" s="146">
        <f t="shared" si="127"/>
        <v>15018.034941237958</v>
      </c>
      <c r="W262" s="146">
        <f t="shared" si="128"/>
        <v>0</v>
      </c>
      <c r="X262" s="146" t="e">
        <f>O262-#REF!</f>
        <v>#REF!</v>
      </c>
      <c r="Y262" s="144">
        <f t="shared" si="154"/>
        <v>49202.400000000001</v>
      </c>
      <c r="Z262" s="144">
        <f t="shared" si="154"/>
        <v>51416.507999999994</v>
      </c>
      <c r="AA262" s="144">
        <f t="shared" si="154"/>
        <v>86424.864949999988</v>
      </c>
      <c r="AB262" s="144">
        <f>SUM(AB263:AB266)</f>
        <v>61010.539999999994</v>
      </c>
      <c r="AC262" s="144">
        <f>AC263+AC264+AC265+AC266</f>
        <v>61010.539999999994</v>
      </c>
      <c r="AD262" s="144">
        <f t="shared" si="130"/>
        <v>11808.139999999992</v>
      </c>
      <c r="AE262" s="144">
        <f t="shared" si="133"/>
        <v>23.999113864364332</v>
      </c>
      <c r="AF262" s="144">
        <f t="shared" si="131"/>
        <v>9594.0319999999992</v>
      </c>
      <c r="AG262" s="144">
        <f t="shared" si="134"/>
        <v>18.659439104654865</v>
      </c>
      <c r="AH262" s="144">
        <f t="shared" si="132"/>
        <v>-25414.324949999995</v>
      </c>
      <c r="AI262" s="144">
        <f t="shared" si="135"/>
        <v>-29.406265158416076</v>
      </c>
    </row>
    <row r="263" spans="1:35" ht="25.5" customHeight="1" outlineLevel="1">
      <c r="A263" s="139" t="s">
        <v>1217</v>
      </c>
      <c r="B263" s="176" t="s">
        <v>1218</v>
      </c>
      <c r="C263" s="215" t="s">
        <v>1219</v>
      </c>
      <c r="D263" s="148" t="s">
        <v>1220</v>
      </c>
      <c r="E263" s="226" t="s">
        <v>1221</v>
      </c>
      <c r="F263" s="178" t="s">
        <v>552</v>
      </c>
      <c r="G263" s="178">
        <v>376.06141510000003</v>
      </c>
      <c r="H263" s="178">
        <v>298.79334999999998</v>
      </c>
      <c r="I263" s="178">
        <v>298.79000000000002</v>
      </c>
      <c r="J263" s="143">
        <v>412.64216123128932</v>
      </c>
      <c r="K263" s="143">
        <v>1238.6773400000002</v>
      </c>
      <c r="L263" s="143">
        <v>1238.68</v>
      </c>
      <c r="M263" s="143">
        <v>434.09955361531638</v>
      </c>
      <c r="N263" s="143">
        <v>9193.9609999999993</v>
      </c>
      <c r="O263" s="143">
        <v>8225.2744600000005</v>
      </c>
      <c r="P263" s="150">
        <v>8225.2744600000005</v>
      </c>
      <c r="Q263" s="143">
        <v>8225.2744600000005</v>
      </c>
      <c r="R263" s="143">
        <v>8225.2744600000005</v>
      </c>
      <c r="S263" s="143">
        <f t="shared" si="125"/>
        <v>7791.1749063846837</v>
      </c>
      <c r="T263" s="143">
        <f t="shared" si="126"/>
        <v>0</v>
      </c>
      <c r="U263" s="151" t="e">
        <f>R263-#REF!</f>
        <v>#REF!</v>
      </c>
      <c r="V263" s="151">
        <f t="shared" si="127"/>
        <v>7791.1749063846837</v>
      </c>
      <c r="W263" s="151">
        <f t="shared" si="128"/>
        <v>0</v>
      </c>
      <c r="X263" s="151" t="e">
        <f>O263-#REF!</f>
        <v>#REF!</v>
      </c>
      <c r="Y263" s="143">
        <f>'[65]2. подк.неподк.'!V251</f>
        <v>8260.75</v>
      </c>
      <c r="Z263" s="143">
        <f>'[65]2. подк.неподк.'!W251</f>
        <v>8632.4837499999994</v>
      </c>
      <c r="AA263" s="166">
        <f>'[65]2. подк.неподк.'!X251+2000</f>
        <v>11615.84</v>
      </c>
      <c r="AB263" s="143">
        <v>10243.256798550476</v>
      </c>
      <c r="AC263" s="144">
        <f t="shared" si="129"/>
        <v>10243.256798550476</v>
      </c>
      <c r="AD263" s="143">
        <f t="shared" si="130"/>
        <v>1982.5067985504757</v>
      </c>
      <c r="AE263" s="143">
        <f t="shared" si="133"/>
        <v>23.999113864364332</v>
      </c>
      <c r="AF263" s="143">
        <f t="shared" si="131"/>
        <v>1610.7730485504762</v>
      </c>
      <c r="AG263" s="143">
        <f t="shared" si="134"/>
        <v>18.659439104654865</v>
      </c>
      <c r="AH263" s="143">
        <f t="shared" si="132"/>
        <v>-1372.5832014495245</v>
      </c>
      <c r="AI263" s="143">
        <f t="shared" si="135"/>
        <v>-11.816478200883665</v>
      </c>
    </row>
    <row r="264" spans="1:35" ht="22.5" customHeight="1" outlineLevel="1">
      <c r="A264" s="139" t="s">
        <v>1222</v>
      </c>
      <c r="B264" s="176" t="s">
        <v>1223</v>
      </c>
      <c r="C264" s="227" t="s">
        <v>1224</v>
      </c>
      <c r="D264" s="162" t="s">
        <v>1225</v>
      </c>
      <c r="E264" s="226" t="s">
        <v>1226</v>
      </c>
      <c r="F264" s="178" t="s">
        <v>552</v>
      </c>
      <c r="G264" s="178">
        <v>69.669200000000004</v>
      </c>
      <c r="H264" s="178">
        <v>0</v>
      </c>
      <c r="I264" s="178">
        <v>0</v>
      </c>
      <c r="J264" s="143">
        <v>76.446155082435993</v>
      </c>
      <c r="K264" s="143">
        <v>936.4</v>
      </c>
      <c r="L264" s="143">
        <v>936.4</v>
      </c>
      <c r="M264" s="143">
        <v>80.421355146722675</v>
      </c>
      <c r="N264" s="143">
        <v>946.83600000000001</v>
      </c>
      <c r="O264" s="143">
        <v>937.53021000000001</v>
      </c>
      <c r="P264" s="150">
        <v>937.53021000000001</v>
      </c>
      <c r="Q264" s="143">
        <v>937.53021000000001</v>
      </c>
      <c r="R264" s="143">
        <v>937.53021000000001</v>
      </c>
      <c r="S264" s="143">
        <f t="shared" si="125"/>
        <v>857.10885485327731</v>
      </c>
      <c r="T264" s="143">
        <f t="shared" si="126"/>
        <v>0</v>
      </c>
      <c r="U264" s="151" t="e">
        <f>R264-#REF!</f>
        <v>#REF!</v>
      </c>
      <c r="V264" s="151">
        <f t="shared" si="127"/>
        <v>857.10885485327731</v>
      </c>
      <c r="W264" s="151">
        <f t="shared" si="128"/>
        <v>0</v>
      </c>
      <c r="X264" s="151" t="e">
        <f>O264-#REF!</f>
        <v>#REF!</v>
      </c>
      <c r="Y264" s="143">
        <f>'[65]2. подк.неподк.'!V252</f>
        <v>978.11</v>
      </c>
      <c r="Z264" s="143">
        <f>'[65]2. подк.неподк.'!W252</f>
        <v>1022.1249499999999</v>
      </c>
      <c r="AA264" s="166">
        <f>'[65]2. подк.неподк.'!X252+1000</f>
        <v>2022.1249499999999</v>
      </c>
      <c r="AB264" s="143">
        <v>1212.847732618734</v>
      </c>
      <c r="AC264" s="144">
        <f t="shared" si="129"/>
        <v>1212.847732618734</v>
      </c>
      <c r="AD264" s="143">
        <f t="shared" si="130"/>
        <v>234.73773261873396</v>
      </c>
      <c r="AE264" s="143">
        <f t="shared" si="133"/>
        <v>23.999113864364332</v>
      </c>
      <c r="AF264" s="143">
        <f t="shared" si="131"/>
        <v>190.72278261873407</v>
      </c>
      <c r="AG264" s="143">
        <f t="shared" si="134"/>
        <v>18.659439104654879</v>
      </c>
      <c r="AH264" s="143">
        <f t="shared" si="132"/>
        <v>-809.27721738126593</v>
      </c>
      <c r="AI264" s="143">
        <f t="shared" si="135"/>
        <v>-40.021128139547756</v>
      </c>
    </row>
    <row r="265" spans="1:35" s="191" customFormat="1" ht="21" customHeight="1" outlineLevel="1">
      <c r="A265" s="139" t="s">
        <v>1227</v>
      </c>
      <c r="B265" s="176" t="s">
        <v>1228</v>
      </c>
      <c r="C265" s="227" t="s">
        <v>1229</v>
      </c>
      <c r="D265" s="162" t="s">
        <v>1230</v>
      </c>
      <c r="E265" s="226" t="s">
        <v>1231</v>
      </c>
      <c r="F265" s="178" t="s">
        <v>552</v>
      </c>
      <c r="G265" s="178">
        <v>5513.3645433000002</v>
      </c>
      <c r="H265" s="178">
        <v>4609.3688199999997</v>
      </c>
      <c r="I265" s="178">
        <v>4609.3688199999997</v>
      </c>
      <c r="J265" s="143">
        <v>6049.6678826065945</v>
      </c>
      <c r="K265" s="143">
        <v>18373.98547</v>
      </c>
      <c r="L265" s="143">
        <v>18373.990000000002</v>
      </c>
      <c r="M265" s="143">
        <v>21291.119999999999</v>
      </c>
      <c r="N265" s="143">
        <v>27851.028999999999</v>
      </c>
      <c r="O265" s="143">
        <v>27587.461620000002</v>
      </c>
      <c r="P265" s="150">
        <v>27587.461620000002</v>
      </c>
      <c r="Q265" s="143">
        <v>27587.461620000002</v>
      </c>
      <c r="R265" s="143">
        <v>27587.461620000002</v>
      </c>
      <c r="S265" s="143">
        <f t="shared" si="125"/>
        <v>6296.3416200000029</v>
      </c>
      <c r="T265" s="143">
        <f t="shared" si="126"/>
        <v>0</v>
      </c>
      <c r="U265" s="151" t="e">
        <f>R265-#REF!</f>
        <v>#REF!</v>
      </c>
      <c r="V265" s="151">
        <f t="shared" si="127"/>
        <v>6296.3416200000029</v>
      </c>
      <c r="W265" s="151">
        <f t="shared" si="128"/>
        <v>0</v>
      </c>
      <c r="X265" s="151" t="e">
        <f>O265-#REF!</f>
        <v>#REF!</v>
      </c>
      <c r="Y265" s="143">
        <f>'[65]2. подк.неподк.'!V253</f>
        <v>38611.82</v>
      </c>
      <c r="Z265" s="143">
        <f>'[65]2. подк.неподк.'!W253</f>
        <v>40349.351899999994</v>
      </c>
      <c r="AA265" s="166">
        <f>'[65]2. подк.неподк.'!X253-4000</f>
        <v>70315.759999999995</v>
      </c>
      <c r="AB265" s="166">
        <v>47878.314646903396</v>
      </c>
      <c r="AC265" s="168">
        <v>47878.314646903396</v>
      </c>
      <c r="AD265" s="143">
        <f t="shared" si="130"/>
        <v>9266.4946469033966</v>
      </c>
      <c r="AE265" s="143">
        <f t="shared" si="133"/>
        <v>23.999113864364332</v>
      </c>
      <c r="AF265" s="143">
        <f t="shared" si="131"/>
        <v>7528.9627469034021</v>
      </c>
      <c r="AG265" s="143">
        <f t="shared" si="134"/>
        <v>18.659439104654865</v>
      </c>
      <c r="AH265" s="143">
        <f t="shared" si="132"/>
        <v>-22437.445353096598</v>
      </c>
      <c r="AI265" s="143">
        <f t="shared" si="135"/>
        <v>-31.90955392233063</v>
      </c>
    </row>
    <row r="266" spans="1:35" ht="36" customHeight="1" outlineLevel="1">
      <c r="A266" s="139" t="s">
        <v>1232</v>
      </c>
      <c r="B266" s="176" t="s">
        <v>1233</v>
      </c>
      <c r="C266" s="227" t="s">
        <v>1234</v>
      </c>
      <c r="D266" s="162" t="s">
        <v>1235</v>
      </c>
      <c r="E266" s="226" t="s">
        <v>1236</v>
      </c>
      <c r="F266" s="178" t="s">
        <v>552</v>
      </c>
      <c r="G266" s="178">
        <v>1581.97</v>
      </c>
      <c r="H266" s="178">
        <v>4326.6297000000004</v>
      </c>
      <c r="I266" s="178">
        <v>4326.63</v>
      </c>
      <c r="J266" s="143">
        <v>1735.8534898600999</v>
      </c>
      <c r="K266" s="143">
        <v>1499.03</v>
      </c>
      <c r="L266" s="143">
        <v>1499.03</v>
      </c>
      <c r="M266" s="143">
        <v>1194.1403800000001</v>
      </c>
      <c r="N266" s="143">
        <v>1444.8510100000001</v>
      </c>
      <c r="O266" s="143">
        <v>1267.5499399999999</v>
      </c>
      <c r="P266" s="150">
        <v>1267.5499399999999</v>
      </c>
      <c r="Q266" s="143">
        <v>1267.5499399999999</v>
      </c>
      <c r="R266" s="143">
        <v>1267.5499399999999</v>
      </c>
      <c r="S266" s="143">
        <f t="shared" si="125"/>
        <v>73.409559999999829</v>
      </c>
      <c r="T266" s="143">
        <f t="shared" si="126"/>
        <v>0</v>
      </c>
      <c r="U266" s="151" t="e">
        <f>R266-#REF!</f>
        <v>#REF!</v>
      </c>
      <c r="V266" s="151">
        <f t="shared" si="127"/>
        <v>73.409559999999829</v>
      </c>
      <c r="W266" s="151">
        <f t="shared" si="128"/>
        <v>0</v>
      </c>
      <c r="X266" s="151" t="e">
        <f>O266-#REF!</f>
        <v>#REF!</v>
      </c>
      <c r="Y266" s="143">
        <f>'[65]2. подк.неподк.'!V254</f>
        <v>1351.72</v>
      </c>
      <c r="Z266" s="143">
        <f>'[65]2. подк.неподк.'!W254</f>
        <v>1412.5473999999999</v>
      </c>
      <c r="AA266" s="166">
        <f>'[65]2. подк.неподк.'!X254+1000</f>
        <v>2471.1400000000003</v>
      </c>
      <c r="AB266" s="143">
        <v>1676.1208219273856</v>
      </c>
      <c r="AC266" s="144">
        <f t="shared" si="129"/>
        <v>1676.1208219273856</v>
      </c>
      <c r="AD266" s="143">
        <f t="shared" si="130"/>
        <v>324.40082192738555</v>
      </c>
      <c r="AE266" s="143">
        <f t="shared" si="133"/>
        <v>23.999113864364332</v>
      </c>
      <c r="AF266" s="143">
        <f t="shared" si="131"/>
        <v>263.57342192738565</v>
      </c>
      <c r="AG266" s="143">
        <f t="shared" si="134"/>
        <v>18.659439104654865</v>
      </c>
      <c r="AH266" s="143">
        <f t="shared" si="132"/>
        <v>-795.01917807261475</v>
      </c>
      <c r="AI266" s="143">
        <f t="shared" si="135"/>
        <v>-32.172162567584778</v>
      </c>
    </row>
    <row r="267" spans="1:35" s="224" customFormat="1" ht="33" customHeight="1">
      <c r="A267" s="228"/>
      <c r="B267" s="229" t="s">
        <v>1237</v>
      </c>
      <c r="C267" s="230"/>
      <c r="D267" s="231" t="s">
        <v>1238</v>
      </c>
      <c r="E267" s="231" t="s">
        <v>1238</v>
      </c>
      <c r="F267" s="222" t="s">
        <v>552</v>
      </c>
      <c r="G267" s="223">
        <f t="shared" ref="G267:M267" si="156">G268+G269+G270+G271</f>
        <v>97268.786800749993</v>
      </c>
      <c r="H267" s="223">
        <f t="shared" si="156"/>
        <v>114535</v>
      </c>
      <c r="I267" s="223">
        <f t="shared" si="156"/>
        <v>33984.17</v>
      </c>
      <c r="J267" s="223">
        <f t="shared" si="156"/>
        <v>120732.58128418244</v>
      </c>
      <c r="K267" s="223">
        <f t="shared" si="156"/>
        <v>42563.4</v>
      </c>
      <c r="L267" s="223">
        <f t="shared" si="156"/>
        <v>10914.799442499998</v>
      </c>
      <c r="M267" s="223">
        <f t="shared" si="156"/>
        <v>33181.1325</v>
      </c>
      <c r="N267" s="223">
        <f>N268+N269+N270+N271</f>
        <v>14303.000000000005</v>
      </c>
      <c r="O267" s="223">
        <f t="shared" ref="O267:AA267" si="157">O268+O269+O270+O271</f>
        <v>-33146</v>
      </c>
      <c r="P267" s="223">
        <f t="shared" si="157"/>
        <v>30598.419227500006</v>
      </c>
      <c r="Q267" s="223">
        <f t="shared" si="157"/>
        <v>30598.419227500006</v>
      </c>
      <c r="R267" s="223">
        <f t="shared" si="157"/>
        <v>29017.512530000004</v>
      </c>
      <c r="S267" s="223">
        <f t="shared" si="125"/>
        <v>-4163.6199699999961</v>
      </c>
      <c r="T267" s="223">
        <f>SUM(T268:T274)</f>
        <v>-17593.821715723974</v>
      </c>
      <c r="U267" s="146" t="e">
        <f>R267-#REF!</f>
        <v>#REF!</v>
      </c>
      <c r="V267" s="146">
        <f t="shared" si="127"/>
        <v>-4163.6199699999961</v>
      </c>
      <c r="W267" s="146">
        <f t="shared" si="128"/>
        <v>0</v>
      </c>
      <c r="X267" s="146" t="e">
        <f>O267-#REF!</f>
        <v>#REF!</v>
      </c>
      <c r="Y267" s="223">
        <f t="shared" si="157"/>
        <v>94894.848929852014</v>
      </c>
      <c r="Z267" s="223">
        <f t="shared" si="157"/>
        <v>99875.162665224314</v>
      </c>
      <c r="AA267" s="223">
        <f t="shared" si="157"/>
        <v>240747.37227624294</v>
      </c>
      <c r="AB267" s="223">
        <f>AB268+AB269+AB270+AB271</f>
        <v>100136.47299469695</v>
      </c>
      <c r="AC267" s="223">
        <f>AC268+AC269+AC270+AC271</f>
        <v>101034.89390476303</v>
      </c>
      <c r="AD267" s="223">
        <f t="shared" si="130"/>
        <v>5241.6240648449311</v>
      </c>
      <c r="AE267" s="223">
        <f t="shared" si="133"/>
        <v>5.5236128451183362</v>
      </c>
      <c r="AF267" s="223">
        <f t="shared" si="131"/>
        <v>261.31032947263157</v>
      </c>
      <c r="AG267" s="223">
        <f t="shared" si="134"/>
        <v>0.26163695006789567</v>
      </c>
      <c r="AH267" s="223">
        <f t="shared" si="132"/>
        <v>-140610.89928154601</v>
      </c>
      <c r="AI267" s="223">
        <f t="shared" si="135"/>
        <v>-58.405995443307916</v>
      </c>
    </row>
    <row r="268" spans="1:35" ht="33" customHeight="1" outlineLevel="1">
      <c r="A268" s="139" t="s">
        <v>1239</v>
      </c>
      <c r="B268" s="176" t="s">
        <v>1240</v>
      </c>
      <c r="C268" s="215" t="s">
        <v>1241</v>
      </c>
      <c r="D268" s="148" t="s">
        <v>1242</v>
      </c>
      <c r="E268" s="232" t="s">
        <v>1243</v>
      </c>
      <c r="F268" s="178" t="s">
        <v>552</v>
      </c>
      <c r="G268" s="178">
        <v>97268.786800749993</v>
      </c>
      <c r="H268" s="178">
        <v>114535</v>
      </c>
      <c r="I268" s="178">
        <v>33984.17</v>
      </c>
      <c r="J268" s="143">
        <v>120732.58128418244</v>
      </c>
      <c r="K268" s="143">
        <v>30763.669316423468</v>
      </c>
      <c r="L268" s="143">
        <v>10914.799442499998</v>
      </c>
      <c r="M268" s="143">
        <v>33181.1325</v>
      </c>
      <c r="N268" s="143">
        <v>14761.000000000004</v>
      </c>
      <c r="O268" s="143">
        <v>-34207.376494441727</v>
      </c>
      <c r="P268" s="150">
        <v>30598.419227500006</v>
      </c>
      <c r="Q268" s="143">
        <v>30598.419227500006</v>
      </c>
      <c r="R268" s="143">
        <v>29017.512530000004</v>
      </c>
      <c r="S268" s="143">
        <f t="shared" si="125"/>
        <v>-4163.6199699999961</v>
      </c>
      <c r="T268" s="143">
        <v>0</v>
      </c>
      <c r="U268" s="151" t="e">
        <f>R268-#REF!</f>
        <v>#REF!</v>
      </c>
      <c r="V268" s="151">
        <f t="shared" si="127"/>
        <v>-4163.6199699999961</v>
      </c>
      <c r="W268" s="151">
        <f t="shared" si="128"/>
        <v>0</v>
      </c>
      <c r="X268" s="151" t="e">
        <f>O268-#REF!</f>
        <v>#REF!</v>
      </c>
      <c r="Y268" s="143">
        <f>'[65]2. подк.неподк.'!V256</f>
        <v>94894.848929852014</v>
      </c>
      <c r="Z268" s="143">
        <f>'[65]2. подк.неподк.'!W256</f>
        <v>99875.162665224314</v>
      </c>
      <c r="AA268" s="143">
        <f>'[65]2. подк.неподк.'!X256</f>
        <v>240747.37227624294</v>
      </c>
      <c r="AB268" s="143">
        <f>AB382</f>
        <v>100136.47299469695</v>
      </c>
      <c r="AC268" s="144">
        <v>101034.89390476303</v>
      </c>
      <c r="AD268" s="143">
        <f t="shared" si="130"/>
        <v>5241.6240648449311</v>
      </c>
      <c r="AE268" s="143">
        <f t="shared" si="133"/>
        <v>5.5236128451183362</v>
      </c>
      <c r="AF268" s="143">
        <f t="shared" si="131"/>
        <v>261.31032947263157</v>
      </c>
      <c r="AG268" s="143">
        <f t="shared" si="134"/>
        <v>0.26163695006789567</v>
      </c>
      <c r="AH268" s="143">
        <f t="shared" si="132"/>
        <v>-140610.89928154601</v>
      </c>
      <c r="AI268" s="143">
        <f t="shared" si="135"/>
        <v>-58.405995443307916</v>
      </c>
    </row>
    <row r="269" spans="1:35" ht="33" customHeight="1" outlineLevel="1">
      <c r="A269" s="139" t="s">
        <v>1244</v>
      </c>
      <c r="B269" s="176" t="s">
        <v>1245</v>
      </c>
      <c r="C269" s="233" t="s">
        <v>1246</v>
      </c>
      <c r="D269" s="148" t="s">
        <v>1247</v>
      </c>
      <c r="E269" s="177"/>
      <c r="F269" s="178" t="s">
        <v>552</v>
      </c>
      <c r="G269" s="178">
        <v>0</v>
      </c>
      <c r="H269" s="178">
        <v>0</v>
      </c>
      <c r="I269" s="178">
        <v>0</v>
      </c>
      <c r="J269" s="143">
        <v>0</v>
      </c>
      <c r="K269" s="143">
        <v>10212.206836832402</v>
      </c>
      <c r="L269" s="143">
        <v>0</v>
      </c>
      <c r="M269" s="143">
        <v>0</v>
      </c>
      <c r="N269" s="143">
        <v>-2194</v>
      </c>
      <c r="O269" s="143">
        <v>5084.4105432426759</v>
      </c>
      <c r="P269" s="150">
        <v>0</v>
      </c>
      <c r="Q269" s="143">
        <v>0</v>
      </c>
      <c r="R269" s="143">
        <v>0</v>
      </c>
      <c r="S269" s="143">
        <f t="shared" si="125"/>
        <v>0</v>
      </c>
      <c r="T269" s="143">
        <f t="shared" si="126"/>
        <v>-5084.4105432426759</v>
      </c>
      <c r="U269" s="151" t="e">
        <f>R269-#REF!</f>
        <v>#REF!</v>
      </c>
      <c r="V269" s="151">
        <f t="shared" si="127"/>
        <v>0</v>
      </c>
      <c r="W269" s="151">
        <f t="shared" si="128"/>
        <v>0</v>
      </c>
      <c r="X269" s="151" t="e">
        <f>O269-#REF!</f>
        <v>#REF!</v>
      </c>
      <c r="Y269" s="143">
        <f>'[65]2. подк.неподк.'!V257</f>
        <v>0</v>
      </c>
      <c r="Z269" s="143">
        <f>'[65]2. подк.неподк.'!W257</f>
        <v>0</v>
      </c>
      <c r="AA269" s="143">
        <f>'[65]2. подк.неподк.'!X257</f>
        <v>0</v>
      </c>
      <c r="AB269" s="143">
        <f t="shared" ref="AB269:AB274" si="158">Y269*$AA$11</f>
        <v>0</v>
      </c>
      <c r="AC269" s="144">
        <f t="shared" si="129"/>
        <v>0</v>
      </c>
      <c r="AD269" s="143">
        <f t="shared" si="130"/>
        <v>0</v>
      </c>
      <c r="AE269" s="143"/>
      <c r="AF269" s="143">
        <f t="shared" si="131"/>
        <v>0</v>
      </c>
      <c r="AG269" s="143"/>
      <c r="AH269" s="143">
        <f t="shared" si="132"/>
        <v>0</v>
      </c>
      <c r="AI269" s="143"/>
    </row>
    <row r="270" spans="1:35" ht="33" customHeight="1" outlineLevel="1">
      <c r="A270" s="139" t="s">
        <v>1248</v>
      </c>
      <c r="B270" s="176" t="s">
        <v>1249</v>
      </c>
      <c r="C270" s="233" t="s">
        <v>1250</v>
      </c>
      <c r="D270" s="148" t="s">
        <v>1251</v>
      </c>
      <c r="E270" s="177"/>
      <c r="F270" s="178" t="s">
        <v>552</v>
      </c>
      <c r="G270" s="178">
        <v>0</v>
      </c>
      <c r="H270" s="178">
        <v>0</v>
      </c>
      <c r="I270" s="178">
        <v>0</v>
      </c>
      <c r="J270" s="143">
        <v>0</v>
      </c>
      <c r="K270" s="143">
        <v>-846.7541713965179</v>
      </c>
      <c r="L270" s="143">
        <v>0</v>
      </c>
      <c r="M270" s="143">
        <v>0</v>
      </c>
      <c r="N270" s="143">
        <v>-5397.9999999999991</v>
      </c>
      <c r="O270" s="143">
        <v>12509.411172481299</v>
      </c>
      <c r="P270" s="150">
        <v>0</v>
      </c>
      <c r="Q270" s="143">
        <v>0</v>
      </c>
      <c r="R270" s="143">
        <v>0</v>
      </c>
      <c r="S270" s="143">
        <f t="shared" si="125"/>
        <v>0</v>
      </c>
      <c r="T270" s="143">
        <f t="shared" si="126"/>
        <v>-12509.411172481299</v>
      </c>
      <c r="U270" s="151" t="e">
        <f>R270-#REF!</f>
        <v>#REF!</v>
      </c>
      <c r="V270" s="151">
        <f t="shared" si="127"/>
        <v>0</v>
      </c>
      <c r="W270" s="151">
        <f t="shared" si="128"/>
        <v>0</v>
      </c>
      <c r="X270" s="151" t="e">
        <f>O270-#REF!</f>
        <v>#REF!</v>
      </c>
      <c r="Y270" s="143">
        <f>'[65]2. подк.неподк.'!V258</f>
        <v>0</v>
      </c>
      <c r="Z270" s="143">
        <f>'[65]2. подк.неподк.'!W258</f>
        <v>0</v>
      </c>
      <c r="AA270" s="143">
        <f>'[65]2. подк.неподк.'!X258</f>
        <v>0</v>
      </c>
      <c r="AB270" s="143">
        <f t="shared" si="158"/>
        <v>0</v>
      </c>
      <c r="AC270" s="144">
        <f t="shared" si="129"/>
        <v>0</v>
      </c>
      <c r="AD270" s="143">
        <f t="shared" si="130"/>
        <v>0</v>
      </c>
      <c r="AE270" s="143"/>
      <c r="AF270" s="143">
        <f t="shared" si="131"/>
        <v>0</v>
      </c>
      <c r="AG270" s="143"/>
      <c r="AH270" s="143">
        <f t="shared" si="132"/>
        <v>0</v>
      </c>
      <c r="AI270" s="143"/>
    </row>
    <row r="271" spans="1:35" ht="33" customHeight="1" outlineLevel="1">
      <c r="A271" s="139" t="s">
        <v>1252</v>
      </c>
      <c r="B271" s="176" t="s">
        <v>1253</v>
      </c>
      <c r="C271" s="233" t="s">
        <v>1254</v>
      </c>
      <c r="D271" s="148" t="s">
        <v>1255</v>
      </c>
      <c r="E271" s="177"/>
      <c r="F271" s="178" t="s">
        <v>552</v>
      </c>
      <c r="G271" s="178">
        <v>0</v>
      </c>
      <c r="H271" s="178">
        <v>0</v>
      </c>
      <c r="I271" s="178">
        <v>0</v>
      </c>
      <c r="J271" s="143">
        <v>0</v>
      </c>
      <c r="K271" s="143">
        <v>2434.2780181406461</v>
      </c>
      <c r="L271" s="143">
        <v>0</v>
      </c>
      <c r="M271" s="143">
        <v>0</v>
      </c>
      <c r="N271" s="143">
        <v>7134.0000000000009</v>
      </c>
      <c r="O271" s="143">
        <v>-16532.445221282251</v>
      </c>
      <c r="P271" s="150">
        <v>0</v>
      </c>
      <c r="Q271" s="143">
        <v>0</v>
      </c>
      <c r="R271" s="143">
        <v>0</v>
      </c>
      <c r="S271" s="143">
        <f t="shared" si="125"/>
        <v>0</v>
      </c>
      <c r="T271" s="143">
        <v>0</v>
      </c>
      <c r="U271" s="151" t="e">
        <f>R271-#REF!</f>
        <v>#REF!</v>
      </c>
      <c r="V271" s="151">
        <f t="shared" si="127"/>
        <v>0</v>
      </c>
      <c r="W271" s="151">
        <f t="shared" si="128"/>
        <v>0</v>
      </c>
      <c r="X271" s="151" t="e">
        <f>O271-#REF!</f>
        <v>#REF!</v>
      </c>
      <c r="Y271" s="143">
        <f>'[65]2. подк.неподк.'!V259</f>
        <v>0</v>
      </c>
      <c r="Z271" s="143">
        <f>'[65]2. подк.неподк.'!W259</f>
        <v>0</v>
      </c>
      <c r="AA271" s="143">
        <f>'[65]2. подк.неподк.'!X259</f>
        <v>0</v>
      </c>
      <c r="AB271" s="143">
        <f t="shared" si="158"/>
        <v>0</v>
      </c>
      <c r="AC271" s="144">
        <f t="shared" si="129"/>
        <v>0</v>
      </c>
      <c r="AD271" s="143">
        <f t="shared" si="130"/>
        <v>0</v>
      </c>
      <c r="AE271" s="143"/>
      <c r="AF271" s="143">
        <f t="shared" si="131"/>
        <v>0</v>
      </c>
      <c r="AG271" s="143"/>
      <c r="AH271" s="143">
        <f t="shared" si="132"/>
        <v>0</v>
      </c>
      <c r="AI271" s="143"/>
    </row>
    <row r="272" spans="1:35" ht="33" customHeight="1" outlineLevel="1">
      <c r="A272" s="139" t="s">
        <v>1256</v>
      </c>
      <c r="B272" s="176" t="s">
        <v>1257</v>
      </c>
      <c r="C272" s="233" t="s">
        <v>1258</v>
      </c>
      <c r="D272" s="148" t="s">
        <v>1259</v>
      </c>
      <c r="E272" s="177"/>
      <c r="F272" s="178" t="s">
        <v>552</v>
      </c>
      <c r="G272" s="178">
        <v>0</v>
      </c>
      <c r="H272" s="178">
        <v>0</v>
      </c>
      <c r="I272" s="178">
        <v>0</v>
      </c>
      <c r="J272" s="143">
        <v>0</v>
      </c>
      <c r="K272" s="143">
        <v>0</v>
      </c>
      <c r="L272" s="143">
        <v>0</v>
      </c>
      <c r="M272" s="143">
        <v>0</v>
      </c>
      <c r="N272" s="143">
        <v>0</v>
      </c>
      <c r="O272" s="143">
        <v>0</v>
      </c>
      <c r="P272" s="150">
        <v>0</v>
      </c>
      <c r="Q272" s="143">
        <v>0</v>
      </c>
      <c r="R272" s="143">
        <v>0</v>
      </c>
      <c r="S272" s="143">
        <f t="shared" si="125"/>
        <v>0</v>
      </c>
      <c r="T272" s="143">
        <f t="shared" si="126"/>
        <v>0</v>
      </c>
      <c r="U272" s="151" t="e">
        <f>R272-#REF!</f>
        <v>#REF!</v>
      </c>
      <c r="V272" s="151">
        <f t="shared" si="127"/>
        <v>0</v>
      </c>
      <c r="W272" s="151">
        <f t="shared" si="128"/>
        <v>0</v>
      </c>
      <c r="X272" s="151" t="e">
        <f>O272-#REF!</f>
        <v>#REF!</v>
      </c>
      <c r="Y272" s="143">
        <f>'[65]2. подк.неподк.'!V260</f>
        <v>0</v>
      </c>
      <c r="Z272" s="143">
        <f>'[65]2. подк.неподк.'!W260</f>
        <v>0</v>
      </c>
      <c r="AA272" s="143">
        <f>'[65]2. подк.неподк.'!X260</f>
        <v>0</v>
      </c>
      <c r="AB272" s="143">
        <f t="shared" si="158"/>
        <v>0</v>
      </c>
      <c r="AC272" s="144">
        <f t="shared" si="129"/>
        <v>0</v>
      </c>
      <c r="AD272" s="143">
        <f t="shared" si="130"/>
        <v>0</v>
      </c>
      <c r="AE272" s="143"/>
      <c r="AF272" s="143">
        <f t="shared" si="131"/>
        <v>0</v>
      </c>
      <c r="AG272" s="143"/>
      <c r="AH272" s="143">
        <f t="shared" si="132"/>
        <v>0</v>
      </c>
      <c r="AI272" s="143"/>
    </row>
    <row r="273" spans="1:35" ht="33" customHeight="1" outlineLevel="1">
      <c r="A273" s="139" t="s">
        <v>1260</v>
      </c>
      <c r="B273" s="176" t="s">
        <v>1261</v>
      </c>
      <c r="C273" s="233" t="s">
        <v>1262</v>
      </c>
      <c r="D273" s="148" t="s">
        <v>1263</v>
      </c>
      <c r="E273" s="232" t="s">
        <v>1264</v>
      </c>
      <c r="F273" s="178" t="s">
        <v>552</v>
      </c>
      <c r="G273" s="178">
        <v>0</v>
      </c>
      <c r="H273" s="178">
        <v>0</v>
      </c>
      <c r="I273" s="178">
        <v>0</v>
      </c>
      <c r="J273" s="143">
        <v>0</v>
      </c>
      <c r="K273" s="143">
        <v>0</v>
      </c>
      <c r="L273" s="143">
        <v>0</v>
      </c>
      <c r="M273" s="143">
        <v>0</v>
      </c>
      <c r="N273" s="143">
        <v>0</v>
      </c>
      <c r="O273" s="143">
        <v>0</v>
      </c>
      <c r="P273" s="150">
        <v>0</v>
      </c>
      <c r="Q273" s="143">
        <v>0</v>
      </c>
      <c r="R273" s="143">
        <v>0</v>
      </c>
      <c r="S273" s="143">
        <f t="shared" si="125"/>
        <v>0</v>
      </c>
      <c r="T273" s="143">
        <f t="shared" si="126"/>
        <v>0</v>
      </c>
      <c r="U273" s="151" t="e">
        <f>R273-#REF!</f>
        <v>#REF!</v>
      </c>
      <c r="V273" s="151">
        <f t="shared" si="127"/>
        <v>0</v>
      </c>
      <c r="W273" s="151">
        <f t="shared" si="128"/>
        <v>0</v>
      </c>
      <c r="X273" s="151" t="e">
        <f>O273-#REF!</f>
        <v>#REF!</v>
      </c>
      <c r="Y273" s="143">
        <f>'[65]2. подк.неподк.'!V261</f>
        <v>0</v>
      </c>
      <c r="Z273" s="143">
        <f>'[65]2. подк.неподк.'!W261</f>
        <v>0</v>
      </c>
      <c r="AA273" s="143">
        <f>'[65]2. подк.неподк.'!X261</f>
        <v>0</v>
      </c>
      <c r="AB273" s="143">
        <f t="shared" si="158"/>
        <v>0</v>
      </c>
      <c r="AC273" s="144">
        <f t="shared" si="129"/>
        <v>0</v>
      </c>
      <c r="AD273" s="143">
        <f t="shared" si="130"/>
        <v>0</v>
      </c>
      <c r="AE273" s="143"/>
      <c r="AF273" s="143">
        <f t="shared" si="131"/>
        <v>0</v>
      </c>
      <c r="AG273" s="143"/>
      <c r="AH273" s="143">
        <f t="shared" si="132"/>
        <v>0</v>
      </c>
      <c r="AI273" s="143"/>
    </row>
    <row r="274" spans="1:35" ht="33" customHeight="1" outlineLevel="1">
      <c r="A274" s="139" t="s">
        <v>1265</v>
      </c>
      <c r="B274" s="176" t="s">
        <v>1266</v>
      </c>
      <c r="C274" s="233" t="s">
        <v>1267</v>
      </c>
      <c r="D274" s="148" t="s">
        <v>1268</v>
      </c>
      <c r="E274" s="177"/>
      <c r="F274" s="178" t="s">
        <v>552</v>
      </c>
      <c r="G274" s="178">
        <v>0</v>
      </c>
      <c r="H274" s="178">
        <v>0</v>
      </c>
      <c r="I274" s="178">
        <v>0</v>
      </c>
      <c r="J274" s="143">
        <v>0</v>
      </c>
      <c r="K274" s="143">
        <v>0</v>
      </c>
      <c r="L274" s="143">
        <v>0</v>
      </c>
      <c r="M274" s="143">
        <v>0</v>
      </c>
      <c r="N274" s="143">
        <v>0</v>
      </c>
      <c r="O274" s="143">
        <v>0</v>
      </c>
      <c r="P274" s="150">
        <v>0</v>
      </c>
      <c r="Q274" s="143">
        <v>0</v>
      </c>
      <c r="R274" s="143">
        <v>0</v>
      </c>
      <c r="S274" s="143">
        <f t="shared" si="125"/>
        <v>0</v>
      </c>
      <c r="T274" s="143">
        <f t="shared" si="126"/>
        <v>0</v>
      </c>
      <c r="U274" s="151" t="e">
        <f>R274-#REF!</f>
        <v>#REF!</v>
      </c>
      <c r="V274" s="151">
        <f t="shared" si="127"/>
        <v>0</v>
      </c>
      <c r="W274" s="151">
        <f t="shared" si="128"/>
        <v>0</v>
      </c>
      <c r="X274" s="151" t="e">
        <f>O274-#REF!</f>
        <v>#REF!</v>
      </c>
      <c r="Y274" s="143">
        <f>'[65]2. подк.неподк.'!V262</f>
        <v>0</v>
      </c>
      <c r="Z274" s="143">
        <f>'[65]2. подк.неподк.'!W262</f>
        <v>0</v>
      </c>
      <c r="AA274" s="143">
        <f>'[65]2. подк.неподк.'!X262</f>
        <v>0</v>
      </c>
      <c r="AB274" s="143">
        <f t="shared" si="158"/>
        <v>0</v>
      </c>
      <c r="AC274" s="144">
        <f t="shared" si="129"/>
        <v>0</v>
      </c>
      <c r="AD274" s="143">
        <f t="shared" si="130"/>
        <v>0</v>
      </c>
      <c r="AE274" s="143"/>
      <c r="AF274" s="143">
        <f t="shared" si="131"/>
        <v>0</v>
      </c>
      <c r="AG274" s="143"/>
      <c r="AH274" s="143">
        <f t="shared" si="132"/>
        <v>0</v>
      </c>
      <c r="AI274" s="143"/>
    </row>
    <row r="275" spans="1:35" s="237" customFormat="1" ht="33" customHeight="1">
      <c r="A275" s="228"/>
      <c r="B275" s="219" t="s">
        <v>1269</v>
      </c>
      <c r="C275" s="234"/>
      <c r="D275" s="235" t="s">
        <v>1270</v>
      </c>
      <c r="E275" s="221" t="s">
        <v>1271</v>
      </c>
      <c r="F275" s="236" t="s">
        <v>552</v>
      </c>
      <c r="G275" s="236">
        <v>217326.59</v>
      </c>
      <c r="H275" s="236">
        <v>0</v>
      </c>
      <c r="I275" s="236">
        <v>-1503.8</v>
      </c>
      <c r="J275" s="223">
        <v>450143.9</v>
      </c>
      <c r="K275" s="223">
        <v>0</v>
      </c>
      <c r="L275" s="223">
        <v>0</v>
      </c>
      <c r="M275" s="223">
        <v>341940.25276786846</v>
      </c>
      <c r="N275" s="223">
        <v>0</v>
      </c>
      <c r="O275" s="223">
        <v>0</v>
      </c>
      <c r="P275" s="223">
        <v>0</v>
      </c>
      <c r="Q275" s="223">
        <v>0</v>
      </c>
      <c r="R275" s="223">
        <v>0</v>
      </c>
      <c r="S275" s="223">
        <f t="shared" si="125"/>
        <v>-341940.25276786846</v>
      </c>
      <c r="T275" s="223">
        <f t="shared" si="126"/>
        <v>0</v>
      </c>
      <c r="U275" s="146" t="e">
        <f>R275-#REF!</f>
        <v>#REF!</v>
      </c>
      <c r="V275" s="146">
        <f t="shared" si="127"/>
        <v>-341940.25276786846</v>
      </c>
      <c r="W275" s="146">
        <f t="shared" si="128"/>
        <v>0</v>
      </c>
      <c r="X275" s="146" t="e">
        <f>O275-#REF!</f>
        <v>#REF!</v>
      </c>
      <c r="Y275" s="223">
        <f>'[65]2. подк.неподк.'!V263</f>
        <v>345140.29777159984</v>
      </c>
      <c r="Z275" s="223">
        <f>'[65]2. подк.неподк.'!W263</f>
        <v>333453.19945632201</v>
      </c>
      <c r="AA275" s="223">
        <f>'[65]2. подк.неподк.'!X263</f>
        <v>5341487.6500000004</v>
      </c>
      <c r="AB275" s="223">
        <f>'[64]4. Выпадающие 2012_2014'!Z92</f>
        <v>368373.10943581146</v>
      </c>
      <c r="AC275" s="144">
        <f t="shared" si="129"/>
        <v>368373.10943581146</v>
      </c>
      <c r="AD275" s="223">
        <f t="shared" si="130"/>
        <v>23232.811664211622</v>
      </c>
      <c r="AE275" s="223">
        <f t="shared" si="133"/>
        <v>6.7314109115088598</v>
      </c>
      <c r="AF275" s="223">
        <f t="shared" si="131"/>
        <v>34919.909979489457</v>
      </c>
      <c r="AG275" s="223">
        <f t="shared" si="134"/>
        <v>10.472207205216378</v>
      </c>
      <c r="AH275" s="223">
        <f t="shared" si="132"/>
        <v>-4973114.5405641887</v>
      </c>
      <c r="AI275" s="223">
        <f t="shared" si="135"/>
        <v>-93.103548419964767</v>
      </c>
    </row>
    <row r="276" spans="1:35" s="224" customFormat="1" ht="33" customHeight="1">
      <c r="A276" s="218"/>
      <c r="B276" s="219" t="s">
        <v>1272</v>
      </c>
      <c r="C276" s="238"/>
      <c r="D276" s="221" t="s">
        <v>1273</v>
      </c>
      <c r="E276" s="221" t="s">
        <v>1273</v>
      </c>
      <c r="F276" s="222" t="s">
        <v>552</v>
      </c>
      <c r="G276" s="223">
        <v>326829.46999999997</v>
      </c>
      <c r="H276" s="223">
        <v>94491</v>
      </c>
      <c r="I276" s="223">
        <v>0</v>
      </c>
      <c r="J276" s="223">
        <v>414629.91919286898</v>
      </c>
      <c r="K276" s="223">
        <v>81519.929999999993</v>
      </c>
      <c r="L276" s="223">
        <v>0</v>
      </c>
      <c r="M276" s="223">
        <v>64196.78</v>
      </c>
      <c r="N276" s="223">
        <v>262313.280030002</v>
      </c>
      <c r="O276" s="223">
        <v>101736.78313000068</v>
      </c>
      <c r="P276" s="223">
        <v>64196.78</v>
      </c>
      <c r="Q276" s="223">
        <v>64196.78</v>
      </c>
      <c r="R276" s="223">
        <v>64196.78</v>
      </c>
      <c r="S276" s="223">
        <f t="shared" si="125"/>
        <v>0</v>
      </c>
      <c r="T276" s="223">
        <f t="shared" si="126"/>
        <v>-37540.003130000681</v>
      </c>
      <c r="U276" s="146" t="e">
        <f>R276-#REF!</f>
        <v>#REF!</v>
      </c>
      <c r="V276" s="146">
        <f t="shared" si="127"/>
        <v>0</v>
      </c>
      <c r="W276" s="146">
        <f t="shared" si="128"/>
        <v>0</v>
      </c>
      <c r="X276" s="146" t="e">
        <f>O276-#REF!</f>
        <v>#REF!</v>
      </c>
      <c r="Y276" s="223">
        <f>'[65]2. подк.неподк.'!V264</f>
        <v>336598.63571940805</v>
      </c>
      <c r="Z276" s="223">
        <f>'[65]2. подк.неподк.'!W264</f>
        <v>354585.75646089728</v>
      </c>
      <c r="AA276" s="223">
        <f>'[65]2. подк.неподк.'!X264</f>
        <v>775756.23813897197</v>
      </c>
      <c r="AB276" s="223">
        <v>355981.21535599872</v>
      </c>
      <c r="AC276" s="144">
        <v>359574.89899626304</v>
      </c>
      <c r="AD276" s="223">
        <f t="shared" si="130"/>
        <v>19382.579636590672</v>
      </c>
      <c r="AE276" s="223">
        <f t="shared" si="133"/>
        <v>5.7583654773776942</v>
      </c>
      <c r="AF276" s="223">
        <f t="shared" si="131"/>
        <v>1395.4588951014448</v>
      </c>
      <c r="AG276" s="223">
        <f t="shared" si="134"/>
        <v>0.3935462351983432</v>
      </c>
      <c r="AH276" s="223">
        <f t="shared" si="132"/>
        <v>-419775.02278297325</v>
      </c>
      <c r="AI276" s="223">
        <f t="shared" si="135"/>
        <v>-54.111717334043938</v>
      </c>
    </row>
    <row r="277" spans="1:35" ht="26.25" customHeight="1">
      <c r="A277" s="139"/>
      <c r="B277" s="140" t="s">
        <v>1274</v>
      </c>
      <c r="C277" s="177"/>
      <c r="D277" s="172" t="s">
        <v>1275</v>
      </c>
      <c r="E277" s="172" t="s">
        <v>1275</v>
      </c>
      <c r="F277" s="143" t="s">
        <v>121</v>
      </c>
      <c r="G277" s="144">
        <f t="shared" ref="G277:L277" si="159">G278</f>
        <v>6015.91</v>
      </c>
      <c r="H277" s="144">
        <f t="shared" si="159"/>
        <v>4521.5244199999997</v>
      </c>
      <c r="I277" s="144">
        <f t="shared" si="159"/>
        <v>4521.5200000000004</v>
      </c>
      <c r="J277" s="144">
        <f t="shared" si="159"/>
        <v>6601.1</v>
      </c>
      <c r="K277" s="144">
        <f t="shared" si="159"/>
        <v>4119.4361200000003</v>
      </c>
      <c r="L277" s="144">
        <f t="shared" si="159"/>
        <v>4119.4399999999996</v>
      </c>
      <c r="M277" s="144">
        <f>M278</f>
        <v>2462.2300300000002</v>
      </c>
      <c r="N277" s="144">
        <f>N278</f>
        <v>5039.1831000000002</v>
      </c>
      <c r="O277" s="144">
        <f t="shared" ref="O277:AB277" si="160">O278</f>
        <v>4628.4464700000008</v>
      </c>
      <c r="P277" s="145">
        <f t="shared" si="160"/>
        <v>4628.4464700000008</v>
      </c>
      <c r="Q277" s="144">
        <f t="shared" si="160"/>
        <v>4628.4464700000008</v>
      </c>
      <c r="R277" s="144">
        <f t="shared" si="160"/>
        <v>4628.4464700000008</v>
      </c>
      <c r="S277" s="144">
        <f t="shared" si="125"/>
        <v>2166.2164400000006</v>
      </c>
      <c r="T277" s="144">
        <f t="shared" si="126"/>
        <v>0</v>
      </c>
      <c r="U277" s="146" t="e">
        <f>R277-#REF!</f>
        <v>#REF!</v>
      </c>
      <c r="V277" s="146">
        <f t="shared" si="127"/>
        <v>2166.2164400000006</v>
      </c>
      <c r="W277" s="146">
        <f t="shared" si="128"/>
        <v>0</v>
      </c>
      <c r="X277" s="146" t="e">
        <f>O277-#REF!</f>
        <v>#REF!</v>
      </c>
      <c r="Y277" s="144">
        <f t="shared" si="160"/>
        <v>4671.9598899999992</v>
      </c>
      <c r="Z277" s="144">
        <f t="shared" si="160"/>
        <v>4882.1980850499986</v>
      </c>
      <c r="AA277" s="144">
        <f t="shared" si="160"/>
        <v>5116.54</v>
      </c>
      <c r="AB277" s="144">
        <f t="shared" si="160"/>
        <v>4844.1298314057512</v>
      </c>
      <c r="AC277" s="144">
        <f t="shared" si="129"/>
        <v>4844.1298314057512</v>
      </c>
      <c r="AD277" s="144">
        <f t="shared" si="130"/>
        <v>172.16994140575207</v>
      </c>
      <c r="AE277" s="144">
        <f t="shared" si="133"/>
        <v>3.6851759317169979</v>
      </c>
      <c r="AF277" s="144">
        <f t="shared" si="131"/>
        <v>-38.068253644247307</v>
      </c>
      <c r="AG277" s="144">
        <f t="shared" si="134"/>
        <v>-0.77973595051003031</v>
      </c>
      <c r="AH277" s="144">
        <f t="shared" si="132"/>
        <v>-272.41016859424872</v>
      </c>
      <c r="AI277" s="144">
        <f t="shared" si="135"/>
        <v>-5.3241090384175322</v>
      </c>
    </row>
    <row r="278" spans="1:35" ht="33" customHeight="1" outlineLevel="1">
      <c r="A278" s="139" t="s">
        <v>1276</v>
      </c>
      <c r="B278" s="176" t="s">
        <v>1277</v>
      </c>
      <c r="C278" s="215" t="s">
        <v>1278</v>
      </c>
      <c r="D278" s="149" t="s">
        <v>1279</v>
      </c>
      <c r="E278" s="149" t="s">
        <v>1280</v>
      </c>
      <c r="F278" s="143" t="s">
        <v>121</v>
      </c>
      <c r="G278" s="143">
        <v>6015.91</v>
      </c>
      <c r="H278" s="143">
        <v>4521.5244199999997</v>
      </c>
      <c r="I278" s="143">
        <v>4521.5200000000004</v>
      </c>
      <c r="J278" s="143">
        <v>6601.1</v>
      </c>
      <c r="K278" s="143">
        <v>4119.4361200000003</v>
      </c>
      <c r="L278" s="143">
        <v>4119.4399999999996</v>
      </c>
      <c r="M278" s="143">
        <v>2462.2300300000002</v>
      </c>
      <c r="N278" s="143">
        <v>5039.1831000000002</v>
      </c>
      <c r="O278" s="143">
        <v>4628.4464700000008</v>
      </c>
      <c r="P278" s="150">
        <v>4628.4464700000008</v>
      </c>
      <c r="Q278" s="143">
        <v>4628.4464700000008</v>
      </c>
      <c r="R278" s="143">
        <v>4628.4464700000008</v>
      </c>
      <c r="S278" s="143">
        <f t="shared" si="125"/>
        <v>2166.2164400000006</v>
      </c>
      <c r="T278" s="143">
        <f t="shared" si="126"/>
        <v>0</v>
      </c>
      <c r="U278" s="151" t="e">
        <f>R278-#REF!</f>
        <v>#REF!</v>
      </c>
      <c r="V278" s="151">
        <f t="shared" si="127"/>
        <v>2166.2164400000006</v>
      </c>
      <c r="W278" s="151">
        <f t="shared" si="128"/>
        <v>0</v>
      </c>
      <c r="X278" s="151" t="e">
        <f>O278-#REF!</f>
        <v>#REF!</v>
      </c>
      <c r="Y278" s="143">
        <f>'[65]2. подк.неподк.'!V266</f>
        <v>4671.9598899999992</v>
      </c>
      <c r="Z278" s="143">
        <f>'[65]2. подк.неподк.'!W266</f>
        <v>4882.1980850499986</v>
      </c>
      <c r="AA278" s="143">
        <f>'[65]2. подк.неподк.'!X266</f>
        <v>5116.54</v>
      </c>
      <c r="AB278" s="143">
        <f>Y278*$AA$11</f>
        <v>4844.1298314057512</v>
      </c>
      <c r="AC278" s="144">
        <f t="shared" si="129"/>
        <v>4844.1298314057512</v>
      </c>
      <c r="AD278" s="143">
        <f t="shared" si="130"/>
        <v>172.16994140575207</v>
      </c>
      <c r="AE278" s="143">
        <f t="shared" si="133"/>
        <v>3.6851759317169979</v>
      </c>
      <c r="AF278" s="143">
        <f t="shared" si="131"/>
        <v>-38.068253644247307</v>
      </c>
      <c r="AG278" s="143">
        <f t="shared" si="134"/>
        <v>-0.77973595051003031</v>
      </c>
      <c r="AH278" s="143">
        <f t="shared" si="132"/>
        <v>-272.41016859424872</v>
      </c>
      <c r="AI278" s="143">
        <f t="shared" si="135"/>
        <v>-5.3241090384175322</v>
      </c>
    </row>
    <row r="279" spans="1:35" ht="24" customHeight="1">
      <c r="A279" s="139" t="s">
        <v>1281</v>
      </c>
      <c r="B279" s="239" t="s">
        <v>1282</v>
      </c>
      <c r="C279" s="240" t="s">
        <v>1283</v>
      </c>
      <c r="D279" s="241" t="s">
        <v>1284</v>
      </c>
      <c r="E279" s="142" t="s">
        <v>1285</v>
      </c>
      <c r="F279" s="178" t="s">
        <v>552</v>
      </c>
      <c r="G279" s="217">
        <v>20800</v>
      </c>
      <c r="H279" s="217">
        <v>0</v>
      </c>
      <c r="I279" s="217">
        <v>0</v>
      </c>
      <c r="J279" s="144">
        <v>22823.2853</v>
      </c>
      <c r="K279" s="144">
        <v>7247.24802</v>
      </c>
      <c r="L279" s="144">
        <v>7247.25</v>
      </c>
      <c r="M279" s="144">
        <v>20800</v>
      </c>
      <c r="N279" s="144">
        <v>7560.8363399999998</v>
      </c>
      <c r="O279" s="144">
        <v>7088.4152899999999</v>
      </c>
      <c r="P279" s="145">
        <v>7088.4152899999999</v>
      </c>
      <c r="Q279" s="144">
        <v>7088.4152899999999</v>
      </c>
      <c r="R279" s="144">
        <v>7088.4152899999999</v>
      </c>
      <c r="S279" s="144">
        <f t="shared" si="125"/>
        <v>-13711.584709999999</v>
      </c>
      <c r="T279" s="144">
        <f t="shared" si="126"/>
        <v>0</v>
      </c>
      <c r="U279" s="146" t="e">
        <f>R279-#REF!</f>
        <v>#REF!</v>
      </c>
      <c r="V279" s="146">
        <f t="shared" si="127"/>
        <v>-13711.584709999999</v>
      </c>
      <c r="W279" s="146">
        <f t="shared" si="128"/>
        <v>0</v>
      </c>
      <c r="X279" s="146" t="e">
        <f>O279-#REF!</f>
        <v>#REF!</v>
      </c>
      <c r="Y279" s="144">
        <f>'[65]2. подк.неподк.'!V267</f>
        <v>20800</v>
      </c>
      <c r="Z279" s="144">
        <f>'[65]2. подк.неподк.'!W267</f>
        <v>21736</v>
      </c>
      <c r="AA279" s="144">
        <f>'[65]2. подк.неподк.'!X267</f>
        <v>21736</v>
      </c>
      <c r="AB279" s="168">
        <f>Y279</f>
        <v>20800</v>
      </c>
      <c r="AC279" s="168">
        <f>AB279</f>
        <v>20800</v>
      </c>
      <c r="AD279" s="144">
        <f t="shared" si="130"/>
        <v>0</v>
      </c>
      <c r="AE279" s="144">
        <f t="shared" si="133"/>
        <v>0</v>
      </c>
      <c r="AF279" s="144">
        <f t="shared" si="131"/>
        <v>-936</v>
      </c>
      <c r="AG279" s="144">
        <f t="shared" si="134"/>
        <v>-4.3062200956937744</v>
      </c>
      <c r="AH279" s="144">
        <f t="shared" si="132"/>
        <v>-936</v>
      </c>
      <c r="AI279" s="144">
        <f t="shared" si="135"/>
        <v>-4.3062200956937744</v>
      </c>
    </row>
    <row r="280" spans="1:35" ht="19.5" customHeight="1">
      <c r="A280" s="139"/>
      <c r="B280" s="140" t="s">
        <v>1286</v>
      </c>
      <c r="C280" s="177"/>
      <c r="D280" s="188" t="s">
        <v>1287</v>
      </c>
      <c r="E280" s="188" t="s">
        <v>1287</v>
      </c>
      <c r="F280" s="178" t="s">
        <v>552</v>
      </c>
      <c r="G280" s="144">
        <f>G281+G282+G283+G284</f>
        <v>4161.644397</v>
      </c>
      <c r="H280" s="144">
        <f t="shared" ref="H280:I280" si="161">H281+H282+H283+H284</f>
        <v>67230</v>
      </c>
      <c r="I280" s="144">
        <f t="shared" si="161"/>
        <v>4273</v>
      </c>
      <c r="J280" s="144">
        <f>SUM(J281+J284)</f>
        <v>4531.2451859056318</v>
      </c>
      <c r="K280" s="144">
        <f t="shared" ref="K280:AA280" si="162">SUM(K281+K284+K282)</f>
        <v>33081.443930000001</v>
      </c>
      <c r="L280" s="144">
        <f t="shared" si="162"/>
        <v>3674.79</v>
      </c>
      <c r="M280" s="144">
        <f t="shared" si="162"/>
        <v>4748.74</v>
      </c>
      <c r="N280" s="144">
        <f>SUM(N281+N284+N282)</f>
        <v>367781.34206000005</v>
      </c>
      <c r="O280" s="144">
        <f t="shared" si="162"/>
        <v>332686.40981000004</v>
      </c>
      <c r="P280" s="145">
        <f t="shared" si="162"/>
        <v>1984.5105799999999</v>
      </c>
      <c r="Q280" s="144">
        <f t="shared" si="162"/>
        <v>1984.5105799999999</v>
      </c>
      <c r="R280" s="144">
        <f t="shared" si="162"/>
        <v>1984.5105799999999</v>
      </c>
      <c r="S280" s="144">
        <f t="shared" si="125"/>
        <v>-2764.2294199999997</v>
      </c>
      <c r="T280" s="144">
        <f t="shared" si="126"/>
        <v>-330701.89923000004</v>
      </c>
      <c r="U280" s="146" t="e">
        <f>R280-#REF!</f>
        <v>#REF!</v>
      </c>
      <c r="V280" s="146">
        <f t="shared" si="127"/>
        <v>-2764.2294199999997</v>
      </c>
      <c r="W280" s="146">
        <f t="shared" si="128"/>
        <v>0</v>
      </c>
      <c r="X280" s="146" t="e">
        <f>O280-#REF!</f>
        <v>#REF!</v>
      </c>
      <c r="Y280" s="144">
        <f t="shared" si="162"/>
        <v>3097.21</v>
      </c>
      <c r="Z280" s="144">
        <f t="shared" si="162"/>
        <v>3236.5844499999998</v>
      </c>
      <c r="AA280" s="144">
        <f t="shared" si="162"/>
        <v>3639.7289999999998</v>
      </c>
      <c r="AB280" s="144">
        <f>SUM(AB281+AB284+AB282)</f>
        <v>3211.347637474732</v>
      </c>
      <c r="AC280" s="144">
        <f>AB280</f>
        <v>3211.347637474732</v>
      </c>
      <c r="AD280" s="144">
        <f t="shared" si="130"/>
        <v>114.13763747473195</v>
      </c>
      <c r="AE280" s="144">
        <f t="shared" si="133"/>
        <v>3.6851759317169979</v>
      </c>
      <c r="AF280" s="144">
        <f t="shared" si="131"/>
        <v>-25.236812525267851</v>
      </c>
      <c r="AG280" s="144">
        <f t="shared" si="134"/>
        <v>-0.77973595051004452</v>
      </c>
      <c r="AH280" s="144">
        <f t="shared" si="132"/>
        <v>-428.38136252526783</v>
      </c>
      <c r="AI280" s="144">
        <f t="shared" si="135"/>
        <v>-11.769595003508996</v>
      </c>
    </row>
    <row r="281" spans="1:35" ht="33" customHeight="1" outlineLevel="1">
      <c r="A281" s="139" t="s">
        <v>1288</v>
      </c>
      <c r="B281" s="176" t="s">
        <v>1289</v>
      </c>
      <c r="C281" s="215" t="s">
        <v>1290</v>
      </c>
      <c r="D281" s="196" t="s">
        <v>1291</v>
      </c>
      <c r="E281" s="196" t="s">
        <v>1292</v>
      </c>
      <c r="F281" s="178" t="s">
        <v>552</v>
      </c>
      <c r="G281" s="178">
        <v>3241.5643970000001</v>
      </c>
      <c r="H281" s="178">
        <v>4273</v>
      </c>
      <c r="I281" s="178">
        <v>4273</v>
      </c>
      <c r="J281" s="143">
        <v>3556.8821603056317</v>
      </c>
      <c r="K281" s="143">
        <v>3504.11085</v>
      </c>
      <c r="L281" s="143">
        <v>3504.11</v>
      </c>
      <c r="M281" s="143">
        <v>3739.0899999999997</v>
      </c>
      <c r="N281" s="143">
        <v>2091.12228</v>
      </c>
      <c r="O281" s="143">
        <v>1876.4972399999999</v>
      </c>
      <c r="P281" s="150">
        <v>1876.4972399999999</v>
      </c>
      <c r="Q281" s="143">
        <v>1876.4972399999999</v>
      </c>
      <c r="R281" s="143">
        <v>1876.4972399999999</v>
      </c>
      <c r="S281" s="143">
        <f t="shared" si="125"/>
        <v>-1862.5927599999998</v>
      </c>
      <c r="T281" s="143">
        <f t="shared" si="126"/>
        <v>0</v>
      </c>
      <c r="U281" s="151" t="e">
        <f>R281-#REF!</f>
        <v>#REF!</v>
      </c>
      <c r="V281" s="151">
        <f t="shared" si="127"/>
        <v>-1862.5927599999998</v>
      </c>
      <c r="W281" s="151">
        <f t="shared" si="128"/>
        <v>0</v>
      </c>
      <c r="X281" s="151" t="e">
        <f>O281-#REF!</f>
        <v>#REF!</v>
      </c>
      <c r="Y281" s="143">
        <f>'[65]2. подк.неподк.'!V269</f>
        <v>2949.29</v>
      </c>
      <c r="Z281" s="143">
        <f>'[65]2. подк.неподк.'!W269</f>
        <v>3082.0080499999999</v>
      </c>
      <c r="AA281" s="143">
        <f>'[65]2. подк.неподк.'!X269</f>
        <v>3485.1525999999999</v>
      </c>
      <c r="AB281" s="143">
        <f>Y281*$AA$11</f>
        <v>3057.9765252365364</v>
      </c>
      <c r="AC281" s="144">
        <f t="shared" si="129"/>
        <v>3057.9765252365364</v>
      </c>
      <c r="AD281" s="143">
        <f t="shared" si="130"/>
        <v>108.68652523653645</v>
      </c>
      <c r="AE281" s="143">
        <f t="shared" si="133"/>
        <v>3.6851759317169979</v>
      </c>
      <c r="AF281" s="143">
        <f t="shared" si="131"/>
        <v>-24.031524763463494</v>
      </c>
      <c r="AG281" s="143">
        <f t="shared" si="134"/>
        <v>-0.77973595051004452</v>
      </c>
      <c r="AH281" s="143">
        <f t="shared" si="132"/>
        <v>-427.17607476346348</v>
      </c>
      <c r="AI281" s="143">
        <f t="shared" si="135"/>
        <v>-12.257026414380348</v>
      </c>
    </row>
    <row r="282" spans="1:35" ht="33" customHeight="1" outlineLevel="1">
      <c r="A282" s="139"/>
      <c r="B282" s="176" t="s">
        <v>1293</v>
      </c>
      <c r="C282" s="215"/>
      <c r="D282" s="196" t="s">
        <v>1294</v>
      </c>
      <c r="E282" s="196" t="s">
        <v>1295</v>
      </c>
      <c r="F282" s="178" t="s">
        <v>552</v>
      </c>
      <c r="G282" s="178">
        <v>920.08</v>
      </c>
      <c r="H282" s="178">
        <v>62957</v>
      </c>
      <c r="I282" s="178">
        <v>0</v>
      </c>
      <c r="J282" s="143">
        <v>0</v>
      </c>
      <c r="K282" s="143">
        <v>29406.651000000002</v>
      </c>
      <c r="L282" s="143">
        <v>0</v>
      </c>
      <c r="M282" s="143">
        <v>0</v>
      </c>
      <c r="N282" s="143">
        <v>365568.57398000004</v>
      </c>
      <c r="O282" s="143">
        <v>330701.89923000004</v>
      </c>
      <c r="P282" s="150">
        <v>0</v>
      </c>
      <c r="Q282" s="143">
        <v>0</v>
      </c>
      <c r="R282" s="143">
        <v>0</v>
      </c>
      <c r="S282" s="143">
        <f t="shared" si="125"/>
        <v>0</v>
      </c>
      <c r="T282" s="143">
        <f t="shared" si="126"/>
        <v>-330701.89923000004</v>
      </c>
      <c r="U282" s="151" t="e">
        <f>R282-#REF!</f>
        <v>#REF!</v>
      </c>
      <c r="V282" s="151">
        <f t="shared" si="127"/>
        <v>0</v>
      </c>
      <c r="W282" s="151">
        <f t="shared" si="128"/>
        <v>0</v>
      </c>
      <c r="X282" s="151" t="e">
        <f>O282-#REF!</f>
        <v>#REF!</v>
      </c>
      <c r="Y282" s="143">
        <f>'[65]2. подк.неподк.'!V270</f>
        <v>0</v>
      </c>
      <c r="Z282" s="143">
        <f>'[65]2. подк.неподк.'!W270</f>
        <v>0</v>
      </c>
      <c r="AA282" s="143">
        <f>'[65]2. подк.неподк.'!X270</f>
        <v>0</v>
      </c>
      <c r="AB282" s="143">
        <f>Y282*$AA$11</f>
        <v>0</v>
      </c>
      <c r="AC282" s="144">
        <f t="shared" si="129"/>
        <v>0</v>
      </c>
      <c r="AD282" s="143">
        <f t="shared" si="130"/>
        <v>0</v>
      </c>
      <c r="AE282" s="143"/>
      <c r="AF282" s="143">
        <f t="shared" si="131"/>
        <v>0</v>
      </c>
      <c r="AG282" s="143"/>
      <c r="AH282" s="143">
        <f t="shared" si="132"/>
        <v>0</v>
      </c>
      <c r="AI282" s="143"/>
    </row>
    <row r="283" spans="1:35" ht="33" customHeight="1" outlineLevel="1">
      <c r="A283" s="139"/>
      <c r="B283" s="176" t="s">
        <v>1296</v>
      </c>
      <c r="C283" s="215"/>
      <c r="D283" s="196" t="s">
        <v>1297</v>
      </c>
      <c r="E283" s="196" t="s">
        <v>1298</v>
      </c>
      <c r="F283" s="178" t="s">
        <v>552</v>
      </c>
      <c r="G283" s="178">
        <v>0</v>
      </c>
      <c r="H283" s="178">
        <v>0</v>
      </c>
      <c r="I283" s="178">
        <v>0</v>
      </c>
      <c r="J283" s="143"/>
      <c r="K283" s="143"/>
      <c r="L283" s="143"/>
      <c r="M283" s="143"/>
      <c r="N283" s="143">
        <v>0</v>
      </c>
      <c r="O283" s="143">
        <v>0</v>
      </c>
      <c r="P283" s="150">
        <v>0</v>
      </c>
      <c r="Q283" s="143">
        <v>0</v>
      </c>
      <c r="R283" s="143">
        <v>0</v>
      </c>
      <c r="S283" s="143">
        <f t="shared" si="125"/>
        <v>0</v>
      </c>
      <c r="T283" s="143">
        <f t="shared" si="126"/>
        <v>0</v>
      </c>
      <c r="U283" s="151" t="e">
        <f>R283-#REF!</f>
        <v>#REF!</v>
      </c>
      <c r="V283" s="151">
        <f t="shared" si="127"/>
        <v>0</v>
      </c>
      <c r="W283" s="151">
        <f t="shared" si="128"/>
        <v>0</v>
      </c>
      <c r="X283" s="151" t="e">
        <f>O283-#REF!</f>
        <v>#REF!</v>
      </c>
      <c r="Y283" s="143">
        <f>'[65]2. подк.неподк.'!V271</f>
        <v>0</v>
      </c>
      <c r="Z283" s="143">
        <f>'[65]2. подк.неподк.'!W271</f>
        <v>1</v>
      </c>
      <c r="AA283" s="143">
        <f>'[65]2. подк.неподк.'!X271</f>
        <v>0</v>
      </c>
      <c r="AB283" s="143">
        <f>Y283*$AA$11</f>
        <v>0</v>
      </c>
      <c r="AC283" s="144">
        <f t="shared" si="129"/>
        <v>0</v>
      </c>
      <c r="AD283" s="143">
        <f t="shared" si="130"/>
        <v>0</v>
      </c>
      <c r="AE283" s="143"/>
      <c r="AF283" s="143">
        <f t="shared" si="131"/>
        <v>-1</v>
      </c>
      <c r="AG283" s="143">
        <f t="shared" si="134"/>
        <v>-100</v>
      </c>
      <c r="AH283" s="143">
        <f t="shared" si="132"/>
        <v>0</v>
      </c>
      <c r="AI283" s="143"/>
    </row>
    <row r="284" spans="1:35" ht="33" customHeight="1" outlineLevel="1">
      <c r="A284" s="139" t="s">
        <v>1299</v>
      </c>
      <c r="B284" s="176" t="s">
        <v>1300</v>
      </c>
      <c r="C284" s="215" t="s">
        <v>1301</v>
      </c>
      <c r="D284" s="196" t="s">
        <v>1302</v>
      </c>
      <c r="E284" s="196" t="s">
        <v>1303</v>
      </c>
      <c r="F284" s="178" t="s">
        <v>552</v>
      </c>
      <c r="G284" s="178">
        <v>0</v>
      </c>
      <c r="H284" s="178">
        <v>0</v>
      </c>
      <c r="I284" s="178">
        <v>0</v>
      </c>
      <c r="J284" s="143">
        <v>974.36302560000013</v>
      </c>
      <c r="K284" s="143">
        <v>170.68207999999998</v>
      </c>
      <c r="L284" s="143">
        <v>170.68</v>
      </c>
      <c r="M284" s="143">
        <v>1009.65</v>
      </c>
      <c r="N284" s="143">
        <v>121.64580000000001</v>
      </c>
      <c r="O284" s="143">
        <v>108.01334</v>
      </c>
      <c r="P284" s="150">
        <v>108.01334</v>
      </c>
      <c r="Q284" s="143">
        <v>108.01334</v>
      </c>
      <c r="R284" s="143">
        <v>108.01334</v>
      </c>
      <c r="S284" s="143">
        <f t="shared" si="125"/>
        <v>-901.63666000000001</v>
      </c>
      <c r="T284" s="143">
        <f t="shared" si="126"/>
        <v>0</v>
      </c>
      <c r="U284" s="151" t="e">
        <f>R284-#REF!</f>
        <v>#REF!</v>
      </c>
      <c r="V284" s="151">
        <f t="shared" si="127"/>
        <v>-901.63666000000001</v>
      </c>
      <c r="W284" s="151">
        <f t="shared" si="128"/>
        <v>0</v>
      </c>
      <c r="X284" s="151" t="e">
        <f>O284-#REF!</f>
        <v>#REF!</v>
      </c>
      <c r="Y284" s="143">
        <f>'[65]2. подк.неподк.'!V272</f>
        <v>147.91999999999999</v>
      </c>
      <c r="Z284" s="143">
        <f>'[65]2. подк.неподк.'!W272</f>
        <v>154.57639999999998</v>
      </c>
      <c r="AA284" s="143">
        <f>'[65]2. подк.неподк.'!X272</f>
        <v>154.57639999999998</v>
      </c>
      <c r="AB284" s="143">
        <f>Y284*$AA$11</f>
        <v>153.37111223819576</v>
      </c>
      <c r="AC284" s="144">
        <f t="shared" si="129"/>
        <v>153.37111223819576</v>
      </c>
      <c r="AD284" s="143">
        <f t="shared" si="130"/>
        <v>5.4511122381957762</v>
      </c>
      <c r="AE284" s="143">
        <f t="shared" si="133"/>
        <v>3.6851759317169979</v>
      </c>
      <c r="AF284" s="143">
        <f t="shared" si="131"/>
        <v>-1.2052877618042146</v>
      </c>
      <c r="AG284" s="143">
        <f t="shared" si="134"/>
        <v>-0.77973595051005873</v>
      </c>
      <c r="AH284" s="143">
        <f t="shared" si="132"/>
        <v>-1.2052877618042146</v>
      </c>
      <c r="AI284" s="143">
        <f t="shared" si="135"/>
        <v>-0.77973595051005873</v>
      </c>
    </row>
    <row r="285" spans="1:35" ht="20.25" customHeight="1">
      <c r="A285" s="139"/>
      <c r="B285" s="140" t="s">
        <v>1304</v>
      </c>
      <c r="C285" s="215"/>
      <c r="D285" s="142" t="s">
        <v>1305</v>
      </c>
      <c r="E285" s="142" t="s">
        <v>1306</v>
      </c>
      <c r="F285" s="178" t="s">
        <v>552</v>
      </c>
      <c r="G285" s="144">
        <f>SUM(G286:G315)</f>
        <v>1637.41</v>
      </c>
      <c r="H285" s="144">
        <f t="shared" ref="H285:M285" si="163">SUM(H286:H315)</f>
        <v>97751</v>
      </c>
      <c r="I285" s="144">
        <f t="shared" si="163"/>
        <v>4317.2299999999996</v>
      </c>
      <c r="J285" s="144">
        <f t="shared" si="163"/>
        <v>4737.0626746223861</v>
      </c>
      <c r="K285" s="144">
        <f t="shared" si="163"/>
        <v>143220.65036</v>
      </c>
      <c r="L285" s="144">
        <f t="shared" si="163"/>
        <v>0</v>
      </c>
      <c r="M285" s="144">
        <f t="shared" si="163"/>
        <v>4964.441683004261</v>
      </c>
      <c r="N285" s="144">
        <f>SUM(N286:N320)</f>
        <v>248782.46003999995</v>
      </c>
      <c r="O285" s="144">
        <f>SUM(O286:O320)</f>
        <v>127325.39408999997</v>
      </c>
      <c r="P285" s="145">
        <f t="shared" ref="P285:AA285" si="164">SUM(P286:P320)</f>
        <v>21063.618310000002</v>
      </c>
      <c r="Q285" s="144">
        <f t="shared" si="164"/>
        <v>21063.618310000002</v>
      </c>
      <c r="R285" s="144">
        <f t="shared" si="164"/>
        <v>12074.092410000001</v>
      </c>
      <c r="S285" s="144">
        <f t="shared" si="125"/>
        <v>7109.6507269957401</v>
      </c>
      <c r="T285" s="144">
        <f t="shared" si="126"/>
        <v>-115251.30167999998</v>
      </c>
      <c r="U285" s="146" t="e">
        <f>R285-#REF!</f>
        <v>#REF!</v>
      </c>
      <c r="V285" s="146">
        <f t="shared" si="127"/>
        <v>7109.6507269957401</v>
      </c>
      <c r="W285" s="146">
        <f t="shared" si="128"/>
        <v>0</v>
      </c>
      <c r="X285" s="146" t="e">
        <f>O285-#REF!</f>
        <v>#REF!</v>
      </c>
      <c r="Y285" s="144">
        <f t="shared" si="164"/>
        <v>0</v>
      </c>
      <c r="Z285" s="144">
        <f t="shared" si="164"/>
        <v>0</v>
      </c>
      <c r="AA285" s="144">
        <f t="shared" si="164"/>
        <v>36280.510966000002</v>
      </c>
      <c r="AB285" s="144">
        <f>SUM(AB286:AB320)</f>
        <v>0</v>
      </c>
      <c r="AC285" s="144">
        <f t="shared" si="129"/>
        <v>0</v>
      </c>
      <c r="AD285" s="144">
        <f t="shared" si="130"/>
        <v>0</v>
      </c>
      <c r="AE285" s="144"/>
      <c r="AF285" s="144">
        <f t="shared" si="131"/>
        <v>0</v>
      </c>
      <c r="AG285" s="144"/>
      <c r="AH285" s="144">
        <f t="shared" si="132"/>
        <v>-36280.510966000002</v>
      </c>
      <c r="AI285" s="144">
        <f t="shared" si="135"/>
        <v>-100</v>
      </c>
    </row>
    <row r="286" spans="1:35" ht="33" customHeight="1" outlineLevel="1">
      <c r="A286" s="139" t="s">
        <v>1307</v>
      </c>
      <c r="B286" s="242" t="s">
        <v>1308</v>
      </c>
      <c r="C286" s="240" t="s">
        <v>1309</v>
      </c>
      <c r="D286" s="199" t="s">
        <v>1310</v>
      </c>
      <c r="E286" s="148" t="s">
        <v>1305</v>
      </c>
      <c r="F286" s="178" t="s">
        <v>552</v>
      </c>
      <c r="G286" s="178">
        <v>0</v>
      </c>
      <c r="H286" s="178">
        <v>1753</v>
      </c>
      <c r="I286" s="178">
        <v>0</v>
      </c>
      <c r="J286" s="143">
        <v>4737.0626746223861</v>
      </c>
      <c r="K286" s="143">
        <v>34282.24005</v>
      </c>
      <c r="L286" s="143">
        <v>0</v>
      </c>
      <c r="M286" s="143">
        <v>4964.441683004261</v>
      </c>
      <c r="N286" s="143">
        <v>6383.3005499999999</v>
      </c>
      <c r="O286" s="143">
        <v>4017.1843699999999</v>
      </c>
      <c r="P286" s="150">
        <v>4017.1843699999999</v>
      </c>
      <c r="Q286" s="167">
        <v>4017.1843699999999</v>
      </c>
      <c r="R286" s="167">
        <v>4017.1843699999999</v>
      </c>
      <c r="S286" s="167">
        <f t="shared" ref="S286:S321" si="165">R286-M286</f>
        <v>-947.25731300426105</v>
      </c>
      <c r="T286" s="167">
        <f t="shared" ref="T286:T342" si="166">R286-O286</f>
        <v>0</v>
      </c>
      <c r="U286" s="151" t="e">
        <f>R286-#REF!</f>
        <v>#REF!</v>
      </c>
      <c r="V286" s="151">
        <f t="shared" ref="V286:V321" si="167">R286-M286</f>
        <v>-947.25731300426105</v>
      </c>
      <c r="W286" s="151">
        <f t="shared" ref="W286:W321" si="168">Q286-P286</f>
        <v>0</v>
      </c>
      <c r="X286" s="151" t="e">
        <f>O286-#REF!</f>
        <v>#REF!</v>
      </c>
      <c r="Y286" s="143">
        <f>'[65]2. подк.неподк.'!V274</f>
        <v>0</v>
      </c>
      <c r="Z286" s="143">
        <f>'[65]2. подк.неподк.'!W274</f>
        <v>0</v>
      </c>
      <c r="AA286" s="143">
        <v>0</v>
      </c>
      <c r="AB286" s="143">
        <f t="shared" ref="AB286:AB320" si="169">Y286*$AA$11</f>
        <v>0</v>
      </c>
      <c r="AC286" s="144">
        <f t="shared" ref="AC286:AC320" si="170">AB286</f>
        <v>0</v>
      </c>
      <c r="AD286" s="143">
        <f t="shared" ref="AD286:AD342" si="171">AB286-Y286</f>
        <v>0</v>
      </c>
      <c r="AE286" s="143"/>
      <c r="AF286" s="143">
        <f t="shared" ref="AF286:AF342" si="172">AB286-Z286</f>
        <v>0</v>
      </c>
      <c r="AG286" s="143"/>
      <c r="AH286" s="143">
        <f t="shared" ref="AH286:AH342" si="173">AB286-AA286</f>
        <v>0</v>
      </c>
      <c r="AI286" s="143"/>
    </row>
    <row r="287" spans="1:35" ht="33" customHeight="1" outlineLevel="1">
      <c r="A287" s="139" t="s">
        <v>1311</v>
      </c>
      <c r="B287" s="242" t="s">
        <v>1312</v>
      </c>
      <c r="C287" s="243" t="s">
        <v>1313</v>
      </c>
      <c r="D287" s="199" t="s">
        <v>1314</v>
      </c>
      <c r="E287" s="232" t="s">
        <v>1315</v>
      </c>
      <c r="F287" s="178" t="s">
        <v>552</v>
      </c>
      <c r="G287" s="178">
        <v>0</v>
      </c>
      <c r="H287" s="178">
        <v>0</v>
      </c>
      <c r="I287" s="178">
        <v>0</v>
      </c>
      <c r="J287" s="143">
        <v>0</v>
      </c>
      <c r="K287" s="143">
        <v>0</v>
      </c>
      <c r="L287" s="143">
        <v>0</v>
      </c>
      <c r="M287" s="143">
        <v>0</v>
      </c>
      <c r="N287" s="143">
        <v>9749.808070000001</v>
      </c>
      <c r="O287" s="143"/>
      <c r="P287" s="150">
        <v>0</v>
      </c>
      <c r="Q287" s="167">
        <v>0</v>
      </c>
      <c r="R287" s="167">
        <v>0</v>
      </c>
      <c r="S287" s="167">
        <f t="shared" si="165"/>
        <v>0</v>
      </c>
      <c r="T287" s="167">
        <f t="shared" si="166"/>
        <v>0</v>
      </c>
      <c r="U287" s="151" t="e">
        <f>R287-#REF!</f>
        <v>#REF!</v>
      </c>
      <c r="V287" s="151">
        <f t="shared" si="167"/>
        <v>0</v>
      </c>
      <c r="W287" s="151">
        <f t="shared" si="168"/>
        <v>0</v>
      </c>
      <c r="X287" s="151" t="e">
        <f>O287-#REF!</f>
        <v>#REF!</v>
      </c>
      <c r="Y287" s="143">
        <f>'[65]2. подк.неподк.'!V275</f>
        <v>0</v>
      </c>
      <c r="Z287" s="143">
        <f>'[65]2. подк.неподк.'!W275</f>
        <v>0</v>
      </c>
      <c r="AA287" s="143">
        <v>0</v>
      </c>
      <c r="AB287" s="143">
        <f t="shared" si="169"/>
        <v>0</v>
      </c>
      <c r="AC287" s="144">
        <f t="shared" si="170"/>
        <v>0</v>
      </c>
      <c r="AD287" s="143">
        <f t="shared" si="171"/>
        <v>0</v>
      </c>
      <c r="AE287" s="143"/>
      <c r="AF287" s="143">
        <f t="shared" si="172"/>
        <v>0</v>
      </c>
      <c r="AG287" s="143"/>
      <c r="AH287" s="143">
        <f t="shared" si="173"/>
        <v>0</v>
      </c>
      <c r="AI287" s="143"/>
    </row>
    <row r="288" spans="1:35" ht="33" customHeight="1" outlineLevel="1">
      <c r="A288" s="139" t="s">
        <v>1316</v>
      </c>
      <c r="B288" s="242" t="s">
        <v>1317</v>
      </c>
      <c r="C288" s="243" t="s">
        <v>1318</v>
      </c>
      <c r="D288" s="199" t="s">
        <v>1319</v>
      </c>
      <c r="E288" s="232" t="s">
        <v>1320</v>
      </c>
      <c r="F288" s="178" t="s">
        <v>552</v>
      </c>
      <c r="G288" s="178">
        <v>0</v>
      </c>
      <c r="H288" s="178">
        <v>0</v>
      </c>
      <c r="I288" s="178">
        <v>0</v>
      </c>
      <c r="J288" s="143">
        <v>0</v>
      </c>
      <c r="K288" s="143">
        <v>898.95402999999999</v>
      </c>
      <c r="L288" s="143">
        <v>0</v>
      </c>
      <c r="M288" s="143">
        <v>0</v>
      </c>
      <c r="N288" s="143">
        <v>3605.5514400000002</v>
      </c>
      <c r="O288" s="143"/>
      <c r="P288" s="150">
        <v>0</v>
      </c>
      <c r="Q288" s="167">
        <v>0</v>
      </c>
      <c r="R288" s="167">
        <v>0</v>
      </c>
      <c r="S288" s="167">
        <f t="shared" si="165"/>
        <v>0</v>
      </c>
      <c r="T288" s="167">
        <f t="shared" si="166"/>
        <v>0</v>
      </c>
      <c r="U288" s="151" t="e">
        <f>R288-#REF!</f>
        <v>#REF!</v>
      </c>
      <c r="V288" s="151">
        <f t="shared" si="167"/>
        <v>0</v>
      </c>
      <c r="W288" s="151">
        <f t="shared" si="168"/>
        <v>0</v>
      </c>
      <c r="X288" s="151" t="e">
        <f>O288-#REF!</f>
        <v>#REF!</v>
      </c>
      <c r="Y288" s="143">
        <f>'[65]2. подк.неподк.'!V276</f>
        <v>0</v>
      </c>
      <c r="Z288" s="143">
        <f>'[65]2. подк.неподк.'!W276</f>
        <v>0</v>
      </c>
      <c r="AA288" s="143">
        <v>0</v>
      </c>
      <c r="AB288" s="143">
        <f t="shared" si="169"/>
        <v>0</v>
      </c>
      <c r="AC288" s="144">
        <f t="shared" si="170"/>
        <v>0</v>
      </c>
      <c r="AD288" s="143">
        <f t="shared" si="171"/>
        <v>0</v>
      </c>
      <c r="AE288" s="143"/>
      <c r="AF288" s="143">
        <f t="shared" si="172"/>
        <v>0</v>
      </c>
      <c r="AG288" s="143"/>
      <c r="AH288" s="143">
        <f t="shared" si="173"/>
        <v>0</v>
      </c>
      <c r="AI288" s="143"/>
    </row>
    <row r="289" spans="1:35" ht="33" customHeight="1" outlineLevel="1">
      <c r="A289" s="139" t="s">
        <v>1321</v>
      </c>
      <c r="B289" s="176" t="s">
        <v>1322</v>
      </c>
      <c r="C289" s="233" t="s">
        <v>1323</v>
      </c>
      <c r="D289" s="148" t="s">
        <v>1324</v>
      </c>
      <c r="E289" s="232" t="s">
        <v>1325</v>
      </c>
      <c r="F289" s="178" t="s">
        <v>552</v>
      </c>
      <c r="G289" s="178">
        <v>0</v>
      </c>
      <c r="H289" s="178">
        <v>0</v>
      </c>
      <c r="I289" s="178">
        <v>0</v>
      </c>
      <c r="J289" s="143">
        <v>0</v>
      </c>
      <c r="K289" s="143">
        <v>0</v>
      </c>
      <c r="L289" s="143">
        <v>0</v>
      </c>
      <c r="M289" s="143">
        <v>0</v>
      </c>
      <c r="N289" s="143">
        <v>147.60840999999999</v>
      </c>
      <c r="O289" s="143"/>
      <c r="P289" s="150">
        <v>0</v>
      </c>
      <c r="Q289" s="167">
        <v>0</v>
      </c>
      <c r="R289" s="167">
        <v>0</v>
      </c>
      <c r="S289" s="167">
        <f t="shared" si="165"/>
        <v>0</v>
      </c>
      <c r="T289" s="167">
        <f t="shared" si="166"/>
        <v>0</v>
      </c>
      <c r="U289" s="151" t="e">
        <f>R289-#REF!</f>
        <v>#REF!</v>
      </c>
      <c r="V289" s="151">
        <f t="shared" si="167"/>
        <v>0</v>
      </c>
      <c r="W289" s="151">
        <f t="shared" si="168"/>
        <v>0</v>
      </c>
      <c r="X289" s="151" t="e">
        <f>O289-#REF!</f>
        <v>#REF!</v>
      </c>
      <c r="Y289" s="143">
        <f>'[65]2. подк.неподк.'!V277</f>
        <v>0</v>
      </c>
      <c r="Z289" s="143">
        <f>'[65]2. подк.неподк.'!W277</f>
        <v>0</v>
      </c>
      <c r="AA289" s="143">
        <v>0</v>
      </c>
      <c r="AB289" s="143">
        <f t="shared" si="169"/>
        <v>0</v>
      </c>
      <c r="AC289" s="144">
        <f t="shared" si="170"/>
        <v>0</v>
      </c>
      <c r="AD289" s="143">
        <f t="shared" si="171"/>
        <v>0</v>
      </c>
      <c r="AE289" s="143"/>
      <c r="AF289" s="143">
        <f t="shared" si="172"/>
        <v>0</v>
      </c>
      <c r="AG289" s="143"/>
      <c r="AH289" s="143">
        <f t="shared" si="173"/>
        <v>0</v>
      </c>
      <c r="AI289" s="143"/>
    </row>
    <row r="290" spans="1:35" ht="33" customHeight="1" outlineLevel="1">
      <c r="A290" s="139" t="s">
        <v>1326</v>
      </c>
      <c r="B290" s="176" t="s">
        <v>1327</v>
      </c>
      <c r="C290" s="233" t="s">
        <v>1328</v>
      </c>
      <c r="D290" s="148" t="s">
        <v>1329</v>
      </c>
      <c r="E290" s="232" t="s">
        <v>1330</v>
      </c>
      <c r="F290" s="178" t="s">
        <v>552</v>
      </c>
      <c r="G290" s="178">
        <v>0</v>
      </c>
      <c r="H290" s="178">
        <v>0</v>
      </c>
      <c r="I290" s="178">
        <v>0</v>
      </c>
      <c r="J290" s="143">
        <v>0</v>
      </c>
      <c r="K290" s="143">
        <v>0</v>
      </c>
      <c r="L290" s="143">
        <v>0</v>
      </c>
      <c r="M290" s="143">
        <v>0</v>
      </c>
      <c r="N290" s="143">
        <v>79320.149999999994</v>
      </c>
      <c r="O290" s="143"/>
      <c r="P290" s="150">
        <v>0</v>
      </c>
      <c r="Q290" s="167">
        <v>0</v>
      </c>
      <c r="R290" s="167">
        <v>0</v>
      </c>
      <c r="S290" s="167">
        <f t="shared" si="165"/>
        <v>0</v>
      </c>
      <c r="T290" s="167">
        <f t="shared" si="166"/>
        <v>0</v>
      </c>
      <c r="U290" s="151" t="e">
        <f>R290-#REF!</f>
        <v>#REF!</v>
      </c>
      <c r="V290" s="151">
        <f t="shared" si="167"/>
        <v>0</v>
      </c>
      <c r="W290" s="151">
        <f t="shared" si="168"/>
        <v>0</v>
      </c>
      <c r="X290" s="151" t="e">
        <f>O290-#REF!</f>
        <v>#REF!</v>
      </c>
      <c r="Y290" s="143">
        <f>'[65]2. подк.неподк.'!V278</f>
        <v>0</v>
      </c>
      <c r="Z290" s="143">
        <f>'[65]2. подк.неподк.'!W278</f>
        <v>0</v>
      </c>
      <c r="AA290" s="143">
        <v>0</v>
      </c>
      <c r="AB290" s="143">
        <f t="shared" si="169"/>
        <v>0</v>
      </c>
      <c r="AC290" s="144">
        <f t="shared" si="170"/>
        <v>0</v>
      </c>
      <c r="AD290" s="143">
        <f t="shared" si="171"/>
        <v>0</v>
      </c>
      <c r="AE290" s="143"/>
      <c r="AF290" s="143">
        <f t="shared" si="172"/>
        <v>0</v>
      </c>
      <c r="AG290" s="143"/>
      <c r="AH290" s="143">
        <f t="shared" si="173"/>
        <v>0</v>
      </c>
      <c r="AI290" s="143"/>
    </row>
    <row r="291" spans="1:35" ht="33" customHeight="1" outlineLevel="1">
      <c r="A291" s="139" t="s">
        <v>1331</v>
      </c>
      <c r="B291" s="176" t="s">
        <v>1332</v>
      </c>
      <c r="C291" s="233" t="s">
        <v>1333</v>
      </c>
      <c r="D291" s="148" t="s">
        <v>1334</v>
      </c>
      <c r="E291" s="142"/>
      <c r="F291" s="178" t="s">
        <v>552</v>
      </c>
      <c r="G291" s="178">
        <v>0</v>
      </c>
      <c r="H291" s="178">
        <v>0</v>
      </c>
      <c r="I291" s="178">
        <v>0</v>
      </c>
      <c r="J291" s="143">
        <v>0</v>
      </c>
      <c r="K291" s="143">
        <v>0</v>
      </c>
      <c r="L291" s="143">
        <v>0</v>
      </c>
      <c r="M291" s="143">
        <v>0</v>
      </c>
      <c r="N291" s="143">
        <v>0</v>
      </c>
      <c r="O291" s="143"/>
      <c r="P291" s="150">
        <v>0</v>
      </c>
      <c r="Q291" s="167">
        <v>0</v>
      </c>
      <c r="R291" s="167">
        <v>0</v>
      </c>
      <c r="S291" s="167">
        <f t="shared" si="165"/>
        <v>0</v>
      </c>
      <c r="T291" s="167">
        <f t="shared" si="166"/>
        <v>0</v>
      </c>
      <c r="U291" s="151" t="e">
        <f>R291-#REF!</f>
        <v>#REF!</v>
      </c>
      <c r="V291" s="151">
        <f t="shared" si="167"/>
        <v>0</v>
      </c>
      <c r="W291" s="151">
        <f t="shared" si="168"/>
        <v>0</v>
      </c>
      <c r="X291" s="151" t="e">
        <f>O291-#REF!</f>
        <v>#REF!</v>
      </c>
      <c r="Y291" s="143">
        <f>'[65]2. подк.неподк.'!V279</f>
        <v>0</v>
      </c>
      <c r="Z291" s="143">
        <f>'[65]2. подк.неподк.'!W279</f>
        <v>0</v>
      </c>
      <c r="AA291" s="143">
        <v>0</v>
      </c>
      <c r="AB291" s="143">
        <f t="shared" si="169"/>
        <v>0</v>
      </c>
      <c r="AC291" s="144">
        <f t="shared" si="170"/>
        <v>0</v>
      </c>
      <c r="AD291" s="143">
        <f t="shared" si="171"/>
        <v>0</v>
      </c>
      <c r="AE291" s="143"/>
      <c r="AF291" s="143">
        <f t="shared" si="172"/>
        <v>0</v>
      </c>
      <c r="AG291" s="143"/>
      <c r="AH291" s="143">
        <f t="shared" si="173"/>
        <v>0</v>
      </c>
      <c r="AI291" s="143"/>
    </row>
    <row r="292" spans="1:35" ht="33" customHeight="1" outlineLevel="1">
      <c r="A292" s="139" t="s">
        <v>1335</v>
      </c>
      <c r="B292" s="242" t="s">
        <v>1336</v>
      </c>
      <c r="C292" s="243" t="s">
        <v>1337</v>
      </c>
      <c r="D292" s="199" t="s">
        <v>1338</v>
      </c>
      <c r="E292" s="232" t="s">
        <v>1339</v>
      </c>
      <c r="F292" s="178" t="s">
        <v>552</v>
      </c>
      <c r="G292" s="178">
        <v>0</v>
      </c>
      <c r="H292" s="178">
        <v>10642</v>
      </c>
      <c r="I292" s="178">
        <v>0</v>
      </c>
      <c r="J292" s="143">
        <v>0</v>
      </c>
      <c r="K292" s="143">
        <v>0</v>
      </c>
      <c r="L292" s="143">
        <v>0</v>
      </c>
      <c r="M292" s="143">
        <v>0</v>
      </c>
      <c r="N292" s="143">
        <v>171.64151999999999</v>
      </c>
      <c r="O292" s="143">
        <v>171.64151999999999</v>
      </c>
      <c r="P292" s="150">
        <v>0</v>
      </c>
      <c r="Q292" s="143">
        <v>0</v>
      </c>
      <c r="R292" s="143">
        <v>0</v>
      </c>
      <c r="S292" s="143">
        <f t="shared" si="165"/>
        <v>0</v>
      </c>
      <c r="T292" s="143">
        <f t="shared" si="166"/>
        <v>-171.64151999999999</v>
      </c>
      <c r="U292" s="151" t="e">
        <f>R292-#REF!</f>
        <v>#REF!</v>
      </c>
      <c r="V292" s="151">
        <f t="shared" si="167"/>
        <v>0</v>
      </c>
      <c r="W292" s="151">
        <f t="shared" si="168"/>
        <v>0</v>
      </c>
      <c r="X292" s="151" t="e">
        <f>O292-#REF!</f>
        <v>#REF!</v>
      </c>
      <c r="Y292" s="143">
        <f>'[65]2. подк.неподк.'!V280</f>
        <v>0</v>
      </c>
      <c r="Z292" s="143">
        <f>'[65]2. подк.неподк.'!W280</f>
        <v>0</v>
      </c>
      <c r="AA292" s="143">
        <f>'[65]2. подк.неподк.'!X280</f>
        <v>0</v>
      </c>
      <c r="AB292" s="143">
        <f t="shared" si="169"/>
        <v>0</v>
      </c>
      <c r="AC292" s="144">
        <f t="shared" si="170"/>
        <v>0</v>
      </c>
      <c r="AD292" s="143">
        <f t="shared" si="171"/>
        <v>0</v>
      </c>
      <c r="AE292" s="143"/>
      <c r="AF292" s="143">
        <f t="shared" si="172"/>
        <v>0</v>
      </c>
      <c r="AG292" s="143"/>
      <c r="AH292" s="143">
        <f t="shared" si="173"/>
        <v>0</v>
      </c>
      <c r="AI292" s="143"/>
    </row>
    <row r="293" spans="1:35" ht="33" customHeight="1" outlineLevel="1">
      <c r="A293" s="139" t="s">
        <v>1340</v>
      </c>
      <c r="B293" s="242" t="s">
        <v>1341</v>
      </c>
      <c r="C293" s="243" t="s">
        <v>1342</v>
      </c>
      <c r="D293" s="199" t="s">
        <v>1343</v>
      </c>
      <c r="E293" s="232" t="s">
        <v>1344</v>
      </c>
      <c r="F293" s="178" t="s">
        <v>552</v>
      </c>
      <c r="G293" s="178">
        <v>0</v>
      </c>
      <c r="H293" s="178">
        <v>0</v>
      </c>
      <c r="I293" s="178">
        <v>0</v>
      </c>
      <c r="J293" s="143">
        <v>0</v>
      </c>
      <c r="K293" s="143">
        <v>399.34</v>
      </c>
      <c r="L293" s="143">
        <v>0</v>
      </c>
      <c r="M293" s="143">
        <v>0</v>
      </c>
      <c r="N293" s="143">
        <v>322.9153</v>
      </c>
      <c r="O293" s="143">
        <v>290.23509999999999</v>
      </c>
      <c r="P293" s="150">
        <v>0</v>
      </c>
      <c r="Q293" s="143">
        <v>0</v>
      </c>
      <c r="R293" s="143">
        <v>0</v>
      </c>
      <c r="S293" s="143">
        <f t="shared" si="165"/>
        <v>0</v>
      </c>
      <c r="T293" s="143">
        <f t="shared" si="166"/>
        <v>-290.23509999999999</v>
      </c>
      <c r="U293" s="151" t="e">
        <f>R293-#REF!</f>
        <v>#REF!</v>
      </c>
      <c r="V293" s="151">
        <f t="shared" si="167"/>
        <v>0</v>
      </c>
      <c r="W293" s="151">
        <f t="shared" si="168"/>
        <v>0</v>
      </c>
      <c r="X293" s="151" t="e">
        <f>O293-#REF!</f>
        <v>#REF!</v>
      </c>
      <c r="Y293" s="143">
        <f>'[65]2. подк.неподк.'!V281</f>
        <v>0</v>
      </c>
      <c r="Z293" s="143">
        <f>'[65]2. подк.неподк.'!W281</f>
        <v>0</v>
      </c>
      <c r="AA293" s="143">
        <f>'[65]2. подк.неподк.'!X281</f>
        <v>400</v>
      </c>
      <c r="AB293" s="143">
        <f t="shared" si="169"/>
        <v>0</v>
      </c>
      <c r="AC293" s="144">
        <f t="shared" si="170"/>
        <v>0</v>
      </c>
      <c r="AD293" s="143">
        <f t="shared" si="171"/>
        <v>0</v>
      </c>
      <c r="AE293" s="143"/>
      <c r="AF293" s="143">
        <f t="shared" si="172"/>
        <v>0</v>
      </c>
      <c r="AG293" s="143"/>
      <c r="AH293" s="143">
        <f t="shared" si="173"/>
        <v>-400</v>
      </c>
      <c r="AI293" s="143">
        <f t="shared" ref="AI293:AI342" si="174">AB293/AA293*100-100</f>
        <v>-100</v>
      </c>
    </row>
    <row r="294" spans="1:35" ht="33" customHeight="1" outlineLevel="1">
      <c r="A294" s="139" t="s">
        <v>1345</v>
      </c>
      <c r="B294" s="242" t="s">
        <v>1346</v>
      </c>
      <c r="C294" s="243" t="s">
        <v>1347</v>
      </c>
      <c r="D294" s="199" t="s">
        <v>1348</v>
      </c>
      <c r="E294" s="232" t="s">
        <v>1349</v>
      </c>
      <c r="F294" s="178" t="s">
        <v>552</v>
      </c>
      <c r="G294" s="178">
        <v>0</v>
      </c>
      <c r="H294" s="178">
        <v>0</v>
      </c>
      <c r="I294" s="178">
        <v>0</v>
      </c>
      <c r="J294" s="143">
        <v>0</v>
      </c>
      <c r="K294" s="143">
        <v>0</v>
      </c>
      <c r="L294" s="143">
        <v>0</v>
      </c>
      <c r="M294" s="143">
        <v>0</v>
      </c>
      <c r="N294" s="143">
        <v>133.88426000000001</v>
      </c>
      <c r="O294" s="143">
        <v>129.16819000000001</v>
      </c>
      <c r="P294" s="150">
        <v>0</v>
      </c>
      <c r="Q294" s="143">
        <v>0</v>
      </c>
      <c r="R294" s="143">
        <v>0</v>
      </c>
      <c r="S294" s="143">
        <f t="shared" si="165"/>
        <v>0</v>
      </c>
      <c r="T294" s="143">
        <f t="shared" si="166"/>
        <v>-129.16819000000001</v>
      </c>
      <c r="U294" s="151" t="e">
        <f>R294-#REF!</f>
        <v>#REF!</v>
      </c>
      <c r="V294" s="151">
        <f t="shared" si="167"/>
        <v>0</v>
      </c>
      <c r="W294" s="151">
        <f t="shared" si="168"/>
        <v>0</v>
      </c>
      <c r="X294" s="151" t="e">
        <f>O294-#REF!</f>
        <v>#REF!</v>
      </c>
      <c r="Y294" s="143">
        <f>'[65]2. подк.неподк.'!V282</f>
        <v>0</v>
      </c>
      <c r="Z294" s="143">
        <f>'[65]2. подк.неподк.'!W282</f>
        <v>0</v>
      </c>
      <c r="AA294" s="143">
        <f>'[65]2. подк.неподк.'!X282</f>
        <v>0</v>
      </c>
      <c r="AB294" s="143">
        <f t="shared" si="169"/>
        <v>0</v>
      </c>
      <c r="AC294" s="144">
        <f t="shared" si="170"/>
        <v>0</v>
      </c>
      <c r="AD294" s="143">
        <f t="shared" si="171"/>
        <v>0</v>
      </c>
      <c r="AE294" s="143"/>
      <c r="AF294" s="143">
        <f t="shared" si="172"/>
        <v>0</v>
      </c>
      <c r="AG294" s="143"/>
      <c r="AH294" s="143">
        <f t="shared" si="173"/>
        <v>0</v>
      </c>
      <c r="AI294" s="143"/>
    </row>
    <row r="295" spans="1:35" ht="33" customHeight="1" outlineLevel="1">
      <c r="A295" s="139" t="s">
        <v>1350</v>
      </c>
      <c r="B295" s="242" t="s">
        <v>1351</v>
      </c>
      <c r="C295" s="243" t="s">
        <v>1352</v>
      </c>
      <c r="D295" s="199" t="s">
        <v>1353</v>
      </c>
      <c r="E295" s="142"/>
      <c r="F295" s="178" t="s">
        <v>552</v>
      </c>
      <c r="G295" s="178">
        <v>0</v>
      </c>
      <c r="H295" s="178">
        <v>0</v>
      </c>
      <c r="I295" s="178">
        <v>0</v>
      </c>
      <c r="J295" s="143">
        <v>0</v>
      </c>
      <c r="K295" s="143">
        <v>1420.36887</v>
      </c>
      <c r="L295" s="143">
        <v>0</v>
      </c>
      <c r="M295" s="143">
        <v>0</v>
      </c>
      <c r="N295" s="143">
        <v>1773.89723</v>
      </c>
      <c r="O295" s="143">
        <v>983.84157999999991</v>
      </c>
      <c r="P295" s="150">
        <v>0</v>
      </c>
      <c r="Q295" s="143">
        <v>0</v>
      </c>
      <c r="R295" s="143">
        <v>0</v>
      </c>
      <c r="S295" s="143">
        <f t="shared" si="165"/>
        <v>0</v>
      </c>
      <c r="T295" s="143">
        <f t="shared" si="166"/>
        <v>-983.84157999999991</v>
      </c>
      <c r="U295" s="151" t="e">
        <f>R295-#REF!</f>
        <v>#REF!</v>
      </c>
      <c r="V295" s="151">
        <f t="shared" si="167"/>
        <v>0</v>
      </c>
      <c r="W295" s="151">
        <f t="shared" si="168"/>
        <v>0</v>
      </c>
      <c r="X295" s="151" t="e">
        <f>O295-#REF!</f>
        <v>#REF!</v>
      </c>
      <c r="Y295" s="143">
        <f>'[65]2. подк.неподк.'!V283</f>
        <v>0</v>
      </c>
      <c r="Z295" s="143">
        <f>'[65]2. подк.неподк.'!W283</f>
        <v>0</v>
      </c>
      <c r="AA295" s="143">
        <f>'[65]2. подк.неподк.'!X283</f>
        <v>1958.3825400000001</v>
      </c>
      <c r="AB295" s="143">
        <f t="shared" si="169"/>
        <v>0</v>
      </c>
      <c r="AC295" s="144">
        <f t="shared" si="170"/>
        <v>0</v>
      </c>
      <c r="AD295" s="143">
        <f t="shared" si="171"/>
        <v>0</v>
      </c>
      <c r="AE295" s="143"/>
      <c r="AF295" s="143">
        <f t="shared" si="172"/>
        <v>0</v>
      </c>
      <c r="AG295" s="143"/>
      <c r="AH295" s="143">
        <f t="shared" si="173"/>
        <v>-1958.3825400000001</v>
      </c>
      <c r="AI295" s="143">
        <f t="shared" si="174"/>
        <v>-100</v>
      </c>
    </row>
    <row r="296" spans="1:35" ht="33" customHeight="1" outlineLevel="1">
      <c r="A296" s="139" t="s">
        <v>1354</v>
      </c>
      <c r="B296" s="242" t="s">
        <v>1355</v>
      </c>
      <c r="C296" s="243" t="s">
        <v>1356</v>
      </c>
      <c r="D296" s="199" t="s">
        <v>1357</v>
      </c>
      <c r="E296" s="232" t="s">
        <v>1358</v>
      </c>
      <c r="F296" s="178" t="s">
        <v>552</v>
      </c>
      <c r="G296" s="178">
        <v>1637.41</v>
      </c>
      <c r="H296" s="178">
        <v>85356</v>
      </c>
      <c r="I296" s="178">
        <v>4317.2299999999996</v>
      </c>
      <c r="J296" s="143">
        <v>0</v>
      </c>
      <c r="K296" s="143">
        <v>69622.929000000004</v>
      </c>
      <c r="L296" s="143">
        <v>0</v>
      </c>
      <c r="M296" s="143">
        <v>0</v>
      </c>
      <c r="N296" s="143">
        <v>83353.972290000005</v>
      </c>
      <c r="O296" s="143">
        <v>82760.428840000008</v>
      </c>
      <c r="P296" s="150">
        <v>0</v>
      </c>
      <c r="Q296" s="143">
        <v>0</v>
      </c>
      <c r="R296" s="143">
        <v>0</v>
      </c>
      <c r="S296" s="143">
        <f t="shared" si="165"/>
        <v>0</v>
      </c>
      <c r="T296" s="143">
        <f t="shared" si="166"/>
        <v>-82760.428840000008</v>
      </c>
      <c r="U296" s="151" t="e">
        <f>R296-#REF!</f>
        <v>#REF!</v>
      </c>
      <c r="V296" s="151">
        <f t="shared" si="167"/>
        <v>0</v>
      </c>
      <c r="W296" s="151">
        <f t="shared" si="168"/>
        <v>0</v>
      </c>
      <c r="X296" s="151" t="e">
        <f>O296-#REF!</f>
        <v>#REF!</v>
      </c>
      <c r="Y296" s="143">
        <f>'[65]2. подк.неподк.'!V284</f>
        <v>0</v>
      </c>
      <c r="Z296" s="143">
        <f>'[65]2. подк.неподк.'!W284</f>
        <v>0</v>
      </c>
      <c r="AA296" s="143">
        <f>'[65]2. подк.неподк.'!X284</f>
        <v>0</v>
      </c>
      <c r="AB296" s="143">
        <f t="shared" si="169"/>
        <v>0</v>
      </c>
      <c r="AC296" s="144">
        <f t="shared" si="170"/>
        <v>0</v>
      </c>
      <c r="AD296" s="143">
        <f t="shared" si="171"/>
        <v>0</v>
      </c>
      <c r="AE296" s="143"/>
      <c r="AF296" s="143">
        <f t="shared" si="172"/>
        <v>0</v>
      </c>
      <c r="AG296" s="143"/>
      <c r="AH296" s="143">
        <f t="shared" si="173"/>
        <v>0</v>
      </c>
      <c r="AI296" s="143"/>
    </row>
    <row r="297" spans="1:35" s="244" customFormat="1" ht="33" customHeight="1" outlineLevel="1">
      <c r="A297" s="139" t="s">
        <v>1359</v>
      </c>
      <c r="B297" s="242" t="s">
        <v>1360</v>
      </c>
      <c r="C297" s="243" t="s">
        <v>1361</v>
      </c>
      <c r="D297" s="199" t="s">
        <v>1362</v>
      </c>
      <c r="E297" s="232" t="s">
        <v>1363</v>
      </c>
      <c r="F297" s="178" t="s">
        <v>552</v>
      </c>
      <c r="G297" s="178">
        <v>0</v>
      </c>
      <c r="H297" s="178">
        <v>0</v>
      </c>
      <c r="I297" s="178">
        <v>0</v>
      </c>
      <c r="J297" s="143">
        <v>0</v>
      </c>
      <c r="K297" s="143">
        <v>630.92899999999997</v>
      </c>
      <c r="L297" s="143">
        <v>0</v>
      </c>
      <c r="M297" s="143">
        <v>0</v>
      </c>
      <c r="N297" s="143">
        <v>109.25556</v>
      </c>
      <c r="O297" s="143">
        <v>108.9982</v>
      </c>
      <c r="P297" s="150">
        <v>108.9982</v>
      </c>
      <c r="Q297" s="143">
        <v>108.9982</v>
      </c>
      <c r="R297" s="143">
        <v>108.9982</v>
      </c>
      <c r="S297" s="143">
        <f t="shared" si="165"/>
        <v>108.9982</v>
      </c>
      <c r="T297" s="143">
        <f t="shared" si="166"/>
        <v>0</v>
      </c>
      <c r="U297" s="151" t="e">
        <f>R297-#REF!</f>
        <v>#REF!</v>
      </c>
      <c r="V297" s="151">
        <f t="shared" si="167"/>
        <v>108.9982</v>
      </c>
      <c r="W297" s="151">
        <f t="shared" si="168"/>
        <v>0</v>
      </c>
      <c r="X297" s="151" t="e">
        <f>O297-#REF!</f>
        <v>#REF!</v>
      </c>
      <c r="Y297" s="143">
        <f>'[65]2. подк.неподк.'!V285</f>
        <v>0</v>
      </c>
      <c r="Z297" s="143">
        <f>'[65]2. подк.неподк.'!W285</f>
        <v>0</v>
      </c>
      <c r="AA297" s="143">
        <f>'[65]2. подк.неподк.'!X285</f>
        <v>0</v>
      </c>
      <c r="AB297" s="143">
        <f t="shared" si="169"/>
        <v>0</v>
      </c>
      <c r="AC297" s="144">
        <f t="shared" si="170"/>
        <v>0</v>
      </c>
      <c r="AD297" s="143">
        <f t="shared" si="171"/>
        <v>0</v>
      </c>
      <c r="AE297" s="143"/>
      <c r="AF297" s="143">
        <f t="shared" si="172"/>
        <v>0</v>
      </c>
      <c r="AG297" s="143"/>
      <c r="AH297" s="143">
        <f t="shared" si="173"/>
        <v>0</v>
      </c>
      <c r="AI297" s="143"/>
    </row>
    <row r="298" spans="1:35" ht="33" customHeight="1" outlineLevel="1">
      <c r="A298" s="139" t="s">
        <v>1364</v>
      </c>
      <c r="B298" s="176" t="s">
        <v>1365</v>
      </c>
      <c r="C298" s="233" t="s">
        <v>1366</v>
      </c>
      <c r="D298" s="148" t="s">
        <v>1367</v>
      </c>
      <c r="E298" s="142"/>
      <c r="F298" s="178" t="s">
        <v>552</v>
      </c>
      <c r="G298" s="178">
        <v>0</v>
      </c>
      <c r="H298" s="178">
        <v>0</v>
      </c>
      <c r="I298" s="178">
        <v>0</v>
      </c>
      <c r="J298" s="143">
        <v>0</v>
      </c>
      <c r="K298" s="143">
        <v>0</v>
      </c>
      <c r="L298" s="143">
        <v>0</v>
      </c>
      <c r="M298" s="143">
        <v>0</v>
      </c>
      <c r="N298" s="143">
        <v>0</v>
      </c>
      <c r="O298" s="143">
        <v>0</v>
      </c>
      <c r="P298" s="150">
        <v>0</v>
      </c>
      <c r="Q298" s="143">
        <v>0</v>
      </c>
      <c r="R298" s="143">
        <v>0</v>
      </c>
      <c r="S298" s="143">
        <f t="shared" si="165"/>
        <v>0</v>
      </c>
      <c r="T298" s="143">
        <f t="shared" si="166"/>
        <v>0</v>
      </c>
      <c r="U298" s="151" t="e">
        <f>R298-#REF!</f>
        <v>#REF!</v>
      </c>
      <c r="V298" s="151">
        <f t="shared" si="167"/>
        <v>0</v>
      </c>
      <c r="W298" s="151">
        <f t="shared" si="168"/>
        <v>0</v>
      </c>
      <c r="X298" s="151" t="e">
        <f>O298-#REF!</f>
        <v>#REF!</v>
      </c>
      <c r="Y298" s="143">
        <f>'[65]2. подк.неподк.'!V286</f>
        <v>0</v>
      </c>
      <c r="Z298" s="143">
        <f>'[65]2. подк.неподк.'!W286</f>
        <v>0</v>
      </c>
      <c r="AA298" s="143">
        <f>'[65]2. подк.неподк.'!X286</f>
        <v>0</v>
      </c>
      <c r="AB298" s="143">
        <f t="shared" si="169"/>
        <v>0</v>
      </c>
      <c r="AC298" s="144">
        <f t="shared" si="170"/>
        <v>0</v>
      </c>
      <c r="AD298" s="143">
        <f t="shared" si="171"/>
        <v>0</v>
      </c>
      <c r="AE298" s="143"/>
      <c r="AF298" s="143">
        <f t="shared" si="172"/>
        <v>0</v>
      </c>
      <c r="AG298" s="143"/>
      <c r="AH298" s="143">
        <f t="shared" si="173"/>
        <v>0</v>
      </c>
      <c r="AI298" s="143"/>
    </row>
    <row r="299" spans="1:35" ht="33" customHeight="1" outlineLevel="1">
      <c r="A299" s="139" t="s">
        <v>1368</v>
      </c>
      <c r="B299" s="242" t="s">
        <v>1369</v>
      </c>
      <c r="C299" s="243" t="s">
        <v>1370</v>
      </c>
      <c r="D299" s="199" t="s">
        <v>1371</v>
      </c>
      <c r="E299" s="142"/>
      <c r="F299" s="178" t="s">
        <v>552</v>
      </c>
      <c r="G299" s="178">
        <v>0</v>
      </c>
      <c r="H299" s="178">
        <v>0</v>
      </c>
      <c r="I299" s="178">
        <v>0</v>
      </c>
      <c r="J299" s="143">
        <v>0</v>
      </c>
      <c r="K299" s="143">
        <v>11596.027900000001</v>
      </c>
      <c r="L299" s="143">
        <v>0</v>
      </c>
      <c r="M299" s="143">
        <v>0</v>
      </c>
      <c r="N299" s="143">
        <v>8303.9612300000008</v>
      </c>
      <c r="O299" s="143">
        <v>958.96831999999995</v>
      </c>
      <c r="P299" s="150">
        <v>0</v>
      </c>
      <c r="Q299" s="143">
        <v>0</v>
      </c>
      <c r="R299" s="143">
        <v>0</v>
      </c>
      <c r="S299" s="143">
        <f t="shared" si="165"/>
        <v>0</v>
      </c>
      <c r="T299" s="143">
        <f t="shared" si="166"/>
        <v>-958.96831999999995</v>
      </c>
      <c r="U299" s="151" t="e">
        <f>R299-#REF!</f>
        <v>#REF!</v>
      </c>
      <c r="V299" s="151">
        <f t="shared" si="167"/>
        <v>0</v>
      </c>
      <c r="W299" s="151">
        <f t="shared" si="168"/>
        <v>0</v>
      </c>
      <c r="X299" s="151" t="e">
        <f>O299-#REF!</f>
        <v>#REF!</v>
      </c>
      <c r="Y299" s="143">
        <f>'[65]2. подк.неподк.'!V287</f>
        <v>0</v>
      </c>
      <c r="Z299" s="143">
        <f>'[65]2. подк.неподк.'!W287</f>
        <v>0</v>
      </c>
      <c r="AA299" s="143">
        <f>'[65]2. подк.неподк.'!X287</f>
        <v>0</v>
      </c>
      <c r="AB299" s="143">
        <f t="shared" si="169"/>
        <v>0</v>
      </c>
      <c r="AC299" s="144">
        <f t="shared" si="170"/>
        <v>0</v>
      </c>
      <c r="AD299" s="143">
        <f t="shared" si="171"/>
        <v>0</v>
      </c>
      <c r="AE299" s="143"/>
      <c r="AF299" s="143">
        <f t="shared" si="172"/>
        <v>0</v>
      </c>
      <c r="AG299" s="143"/>
      <c r="AH299" s="143">
        <f t="shared" si="173"/>
        <v>0</v>
      </c>
      <c r="AI299" s="143"/>
    </row>
    <row r="300" spans="1:35" ht="33" customHeight="1" outlineLevel="1">
      <c r="A300" s="139" t="s">
        <v>1372</v>
      </c>
      <c r="B300" s="242" t="s">
        <v>1373</v>
      </c>
      <c r="C300" s="243" t="s">
        <v>1374</v>
      </c>
      <c r="D300" s="199" t="s">
        <v>1375</v>
      </c>
      <c r="E300" s="232" t="s">
        <v>1376</v>
      </c>
      <c r="F300" s="178" t="s">
        <v>552</v>
      </c>
      <c r="G300" s="178">
        <v>0</v>
      </c>
      <c r="H300" s="178">
        <v>0</v>
      </c>
      <c r="I300" s="178">
        <v>0</v>
      </c>
      <c r="J300" s="143">
        <v>0</v>
      </c>
      <c r="K300" s="143">
        <v>4314.96191</v>
      </c>
      <c r="L300" s="143">
        <v>0</v>
      </c>
      <c r="M300" s="143">
        <v>0</v>
      </c>
      <c r="N300" s="143">
        <v>5275.9599200000002</v>
      </c>
      <c r="O300" s="143">
        <v>2890.5173199999999</v>
      </c>
      <c r="P300" s="150">
        <v>0</v>
      </c>
      <c r="Q300" s="143">
        <v>0</v>
      </c>
      <c r="R300" s="143">
        <v>0</v>
      </c>
      <c r="S300" s="143">
        <f t="shared" si="165"/>
        <v>0</v>
      </c>
      <c r="T300" s="143">
        <f t="shared" si="166"/>
        <v>-2890.5173199999999</v>
      </c>
      <c r="U300" s="151" t="e">
        <f>R300-#REF!</f>
        <v>#REF!</v>
      </c>
      <c r="V300" s="151">
        <f t="shared" si="167"/>
        <v>0</v>
      </c>
      <c r="W300" s="151">
        <f t="shared" si="168"/>
        <v>0</v>
      </c>
      <c r="X300" s="151" t="e">
        <f>O300-#REF!</f>
        <v>#REF!</v>
      </c>
      <c r="Y300" s="143">
        <f>'[65]2. подк.неподк.'!V288</f>
        <v>0</v>
      </c>
      <c r="Z300" s="143">
        <f>'[65]2. подк.неподк.'!W288</f>
        <v>0</v>
      </c>
      <c r="AA300" s="143">
        <f>'[65]2. подк.неподк.'!X288</f>
        <v>5825.4</v>
      </c>
      <c r="AB300" s="143">
        <f t="shared" si="169"/>
        <v>0</v>
      </c>
      <c r="AC300" s="144">
        <f t="shared" si="170"/>
        <v>0</v>
      </c>
      <c r="AD300" s="143">
        <f t="shared" si="171"/>
        <v>0</v>
      </c>
      <c r="AE300" s="143"/>
      <c r="AF300" s="143">
        <f t="shared" si="172"/>
        <v>0</v>
      </c>
      <c r="AG300" s="143"/>
      <c r="AH300" s="143">
        <f t="shared" si="173"/>
        <v>-5825.4</v>
      </c>
      <c r="AI300" s="143">
        <f t="shared" si="174"/>
        <v>-100</v>
      </c>
    </row>
    <row r="301" spans="1:35" ht="33" customHeight="1" outlineLevel="1">
      <c r="A301" s="139" t="s">
        <v>1377</v>
      </c>
      <c r="B301" s="242" t="s">
        <v>1378</v>
      </c>
      <c r="C301" s="243" t="s">
        <v>1379</v>
      </c>
      <c r="D301" s="199" t="s">
        <v>1380</v>
      </c>
      <c r="E301" s="142"/>
      <c r="F301" s="178" t="s">
        <v>552</v>
      </c>
      <c r="G301" s="178">
        <v>0</v>
      </c>
      <c r="H301" s="178">
        <v>0</v>
      </c>
      <c r="I301" s="178">
        <v>0</v>
      </c>
      <c r="J301" s="143">
        <v>0</v>
      </c>
      <c r="K301" s="143">
        <v>2021.8932299999999</v>
      </c>
      <c r="L301" s="143">
        <v>0</v>
      </c>
      <c r="M301" s="143">
        <v>0</v>
      </c>
      <c r="N301" s="143">
        <v>1564.3558400000002</v>
      </c>
      <c r="O301" s="143">
        <v>1260.02998</v>
      </c>
      <c r="P301" s="150">
        <v>0</v>
      </c>
      <c r="Q301" s="143">
        <v>0</v>
      </c>
      <c r="R301" s="143">
        <v>0</v>
      </c>
      <c r="S301" s="143">
        <f t="shared" si="165"/>
        <v>0</v>
      </c>
      <c r="T301" s="143">
        <f t="shared" si="166"/>
        <v>-1260.02998</v>
      </c>
      <c r="U301" s="151" t="e">
        <f>R301-#REF!</f>
        <v>#REF!</v>
      </c>
      <c r="V301" s="151">
        <f t="shared" si="167"/>
        <v>0</v>
      </c>
      <c r="W301" s="151">
        <f t="shared" si="168"/>
        <v>0</v>
      </c>
      <c r="X301" s="151" t="e">
        <f>O301-#REF!</f>
        <v>#REF!</v>
      </c>
      <c r="Y301" s="143">
        <f>'[65]2. подк.неподк.'!V289</f>
        <v>0</v>
      </c>
      <c r="Z301" s="143">
        <f>'[65]2. подк.неподк.'!W289</f>
        <v>0</v>
      </c>
      <c r="AA301" s="143">
        <f>'[65]2. подк.неподк.'!X289</f>
        <v>1821.58</v>
      </c>
      <c r="AB301" s="143">
        <f t="shared" si="169"/>
        <v>0</v>
      </c>
      <c r="AC301" s="144">
        <f t="shared" si="170"/>
        <v>0</v>
      </c>
      <c r="AD301" s="143">
        <f t="shared" si="171"/>
        <v>0</v>
      </c>
      <c r="AE301" s="143"/>
      <c r="AF301" s="143">
        <f t="shared" si="172"/>
        <v>0</v>
      </c>
      <c r="AG301" s="143"/>
      <c r="AH301" s="143">
        <f t="shared" si="173"/>
        <v>-1821.58</v>
      </c>
      <c r="AI301" s="143">
        <f t="shared" si="174"/>
        <v>-100</v>
      </c>
    </row>
    <row r="302" spans="1:35" ht="33" customHeight="1" outlineLevel="1">
      <c r="A302" s="139" t="s">
        <v>1381</v>
      </c>
      <c r="B302" s="242" t="s">
        <v>1382</v>
      </c>
      <c r="C302" s="243" t="s">
        <v>1383</v>
      </c>
      <c r="D302" s="199" t="s">
        <v>1384</v>
      </c>
      <c r="E302" s="142"/>
      <c r="F302" s="178" t="s">
        <v>552</v>
      </c>
      <c r="G302" s="178">
        <v>0</v>
      </c>
      <c r="H302" s="178">
        <v>0</v>
      </c>
      <c r="I302" s="178">
        <v>0</v>
      </c>
      <c r="J302" s="143">
        <v>0</v>
      </c>
      <c r="K302" s="143">
        <v>946.94</v>
      </c>
      <c r="L302" s="143">
        <v>0</v>
      </c>
      <c r="M302" s="143">
        <v>0</v>
      </c>
      <c r="N302" s="143">
        <v>957.34492</v>
      </c>
      <c r="O302" s="143">
        <v>555.33811000000003</v>
      </c>
      <c r="P302" s="150">
        <v>0</v>
      </c>
      <c r="Q302" s="143">
        <v>0</v>
      </c>
      <c r="R302" s="143">
        <v>0</v>
      </c>
      <c r="S302" s="143">
        <f t="shared" si="165"/>
        <v>0</v>
      </c>
      <c r="T302" s="143">
        <f t="shared" si="166"/>
        <v>-555.33811000000003</v>
      </c>
      <c r="U302" s="151" t="e">
        <f>R302-#REF!</f>
        <v>#REF!</v>
      </c>
      <c r="V302" s="151">
        <f t="shared" si="167"/>
        <v>0</v>
      </c>
      <c r="W302" s="151">
        <f t="shared" si="168"/>
        <v>0</v>
      </c>
      <c r="X302" s="151" t="e">
        <f>O302-#REF!</f>
        <v>#REF!</v>
      </c>
      <c r="Y302" s="143">
        <f>'[65]2. подк.неподк.'!V290</f>
        <v>0</v>
      </c>
      <c r="Z302" s="143">
        <f>'[65]2. подк.неподк.'!W290</f>
        <v>0</v>
      </c>
      <c r="AA302" s="143">
        <f>'[65]2. подк.неподк.'!X290</f>
        <v>1061.49</v>
      </c>
      <c r="AB302" s="143">
        <f t="shared" si="169"/>
        <v>0</v>
      </c>
      <c r="AC302" s="144">
        <f t="shared" si="170"/>
        <v>0</v>
      </c>
      <c r="AD302" s="143">
        <f t="shared" si="171"/>
        <v>0</v>
      </c>
      <c r="AE302" s="143"/>
      <c r="AF302" s="143">
        <f t="shared" si="172"/>
        <v>0</v>
      </c>
      <c r="AG302" s="143"/>
      <c r="AH302" s="143">
        <f t="shared" si="173"/>
        <v>-1061.49</v>
      </c>
      <c r="AI302" s="143">
        <f t="shared" si="174"/>
        <v>-100</v>
      </c>
    </row>
    <row r="303" spans="1:35" ht="33" customHeight="1" outlineLevel="1">
      <c r="A303" s="139" t="s">
        <v>1385</v>
      </c>
      <c r="B303" s="242" t="s">
        <v>1386</v>
      </c>
      <c r="C303" s="243" t="s">
        <v>1387</v>
      </c>
      <c r="D303" s="199" t="s">
        <v>1388</v>
      </c>
      <c r="E303" s="232" t="s">
        <v>1389</v>
      </c>
      <c r="F303" s="178" t="s">
        <v>552</v>
      </c>
      <c r="G303" s="178">
        <v>0</v>
      </c>
      <c r="H303" s="178">
        <v>0</v>
      </c>
      <c r="I303" s="178">
        <v>0</v>
      </c>
      <c r="J303" s="143">
        <v>0</v>
      </c>
      <c r="K303" s="143">
        <v>3279.3604300000002</v>
      </c>
      <c r="L303" s="143">
        <v>0</v>
      </c>
      <c r="M303" s="143">
        <v>0</v>
      </c>
      <c r="N303" s="143">
        <v>3608.1098900000002</v>
      </c>
      <c r="O303" s="143">
        <v>1848.6675400000001</v>
      </c>
      <c r="P303" s="150">
        <v>1848.6675400000001</v>
      </c>
      <c r="Q303" s="143">
        <v>1848.6675400000001</v>
      </c>
      <c r="R303" s="143">
        <v>1848.6675400000001</v>
      </c>
      <c r="S303" s="143">
        <f t="shared" si="165"/>
        <v>1848.6675400000001</v>
      </c>
      <c r="T303" s="143">
        <f t="shared" si="166"/>
        <v>0</v>
      </c>
      <c r="U303" s="151" t="e">
        <f>R303-#REF!</f>
        <v>#REF!</v>
      </c>
      <c r="V303" s="151">
        <f t="shared" si="167"/>
        <v>1848.6675400000001</v>
      </c>
      <c r="W303" s="151">
        <f t="shared" si="168"/>
        <v>0</v>
      </c>
      <c r="X303" s="151" t="e">
        <f>O303-#REF!</f>
        <v>#REF!</v>
      </c>
      <c r="Y303" s="143">
        <f>'[65]2. подк.неподк.'!V291</f>
        <v>0</v>
      </c>
      <c r="Z303" s="143">
        <f>'[65]2. подк.неподк.'!W291</f>
        <v>0</v>
      </c>
      <c r="AA303" s="143">
        <f>'[65]2. подк.неподк.'!X291</f>
        <v>3983.35</v>
      </c>
      <c r="AB303" s="143">
        <f t="shared" si="169"/>
        <v>0</v>
      </c>
      <c r="AC303" s="144">
        <f t="shared" si="170"/>
        <v>0</v>
      </c>
      <c r="AD303" s="143">
        <f t="shared" si="171"/>
        <v>0</v>
      </c>
      <c r="AE303" s="143"/>
      <c r="AF303" s="143">
        <f t="shared" si="172"/>
        <v>0</v>
      </c>
      <c r="AG303" s="143"/>
      <c r="AH303" s="143">
        <f t="shared" si="173"/>
        <v>-3983.35</v>
      </c>
      <c r="AI303" s="143">
        <f t="shared" si="174"/>
        <v>-100</v>
      </c>
    </row>
    <row r="304" spans="1:35" ht="33" customHeight="1" outlineLevel="1">
      <c r="A304" s="139" t="s">
        <v>1390</v>
      </c>
      <c r="B304" s="242" t="s">
        <v>1391</v>
      </c>
      <c r="C304" s="243" t="s">
        <v>1392</v>
      </c>
      <c r="D304" s="199" t="s">
        <v>1393</v>
      </c>
      <c r="E304" s="142"/>
      <c r="F304" s="178" t="s">
        <v>552</v>
      </c>
      <c r="G304" s="178">
        <v>0</v>
      </c>
      <c r="H304" s="178">
        <v>0</v>
      </c>
      <c r="I304" s="178">
        <v>0</v>
      </c>
      <c r="J304" s="143">
        <v>0</v>
      </c>
      <c r="K304" s="143">
        <v>1865.1919399999999</v>
      </c>
      <c r="L304" s="143">
        <v>0</v>
      </c>
      <c r="M304" s="143">
        <v>0</v>
      </c>
      <c r="N304" s="143">
        <v>12479.986210000001</v>
      </c>
      <c r="O304" s="143">
        <v>5662.7112100000004</v>
      </c>
      <c r="P304" s="150">
        <v>0</v>
      </c>
      <c r="Q304" s="143">
        <v>0</v>
      </c>
      <c r="R304" s="143">
        <v>0</v>
      </c>
      <c r="S304" s="143">
        <f t="shared" si="165"/>
        <v>0</v>
      </c>
      <c r="T304" s="143">
        <f t="shared" si="166"/>
        <v>-5662.7112100000004</v>
      </c>
      <c r="U304" s="151" t="e">
        <f>R304-#REF!</f>
        <v>#REF!</v>
      </c>
      <c r="V304" s="151">
        <f t="shared" si="167"/>
        <v>0</v>
      </c>
      <c r="W304" s="151">
        <f t="shared" si="168"/>
        <v>0</v>
      </c>
      <c r="X304" s="151" t="e">
        <f>O304-#REF!</f>
        <v>#REF!</v>
      </c>
      <c r="Y304" s="143">
        <f>'[65]2. подк.неподк.'!V292</f>
        <v>0</v>
      </c>
      <c r="Z304" s="143">
        <f>'[65]2. подк.неподк.'!W292</f>
        <v>0</v>
      </c>
      <c r="AA304" s="143">
        <f>'[65]2. подк.неподк.'!X292</f>
        <v>13777.9</v>
      </c>
      <c r="AB304" s="143">
        <f t="shared" si="169"/>
        <v>0</v>
      </c>
      <c r="AC304" s="144">
        <f t="shared" si="170"/>
        <v>0</v>
      </c>
      <c r="AD304" s="143">
        <f t="shared" si="171"/>
        <v>0</v>
      </c>
      <c r="AE304" s="143"/>
      <c r="AF304" s="143">
        <f t="shared" si="172"/>
        <v>0</v>
      </c>
      <c r="AG304" s="143"/>
      <c r="AH304" s="143">
        <f t="shared" si="173"/>
        <v>-13777.9</v>
      </c>
      <c r="AI304" s="143">
        <f t="shared" si="174"/>
        <v>-100</v>
      </c>
    </row>
    <row r="305" spans="1:35" ht="33" customHeight="1" outlineLevel="1">
      <c r="A305" s="139" t="s">
        <v>1394</v>
      </c>
      <c r="B305" s="176" t="s">
        <v>1395</v>
      </c>
      <c r="C305" s="233" t="s">
        <v>1396</v>
      </c>
      <c r="D305" s="148" t="s">
        <v>1397</v>
      </c>
      <c r="E305" s="177"/>
      <c r="F305" s="178" t="s">
        <v>552</v>
      </c>
      <c r="G305" s="178">
        <v>0</v>
      </c>
      <c r="H305" s="178">
        <v>0</v>
      </c>
      <c r="I305" s="178">
        <v>0</v>
      </c>
      <c r="J305" s="143">
        <v>0</v>
      </c>
      <c r="K305" s="143">
        <v>0</v>
      </c>
      <c r="L305" s="143">
        <v>0</v>
      </c>
      <c r="M305" s="143">
        <v>0</v>
      </c>
      <c r="N305" s="143">
        <v>0</v>
      </c>
      <c r="O305" s="143">
        <v>0</v>
      </c>
      <c r="P305" s="150">
        <v>0</v>
      </c>
      <c r="Q305" s="143">
        <v>0</v>
      </c>
      <c r="R305" s="143">
        <v>0</v>
      </c>
      <c r="S305" s="143">
        <f t="shared" si="165"/>
        <v>0</v>
      </c>
      <c r="T305" s="143">
        <f t="shared" si="166"/>
        <v>0</v>
      </c>
      <c r="U305" s="151" t="e">
        <f>R305-#REF!</f>
        <v>#REF!</v>
      </c>
      <c r="V305" s="151">
        <f t="shared" si="167"/>
        <v>0</v>
      </c>
      <c r="W305" s="151">
        <f t="shared" si="168"/>
        <v>0</v>
      </c>
      <c r="X305" s="151" t="e">
        <f>O305-#REF!</f>
        <v>#REF!</v>
      </c>
      <c r="Y305" s="143">
        <f>'[65]2. подк.неподк.'!V293</f>
        <v>0</v>
      </c>
      <c r="Z305" s="143">
        <f>'[65]2. подк.неподк.'!W293</f>
        <v>0</v>
      </c>
      <c r="AA305" s="143">
        <f>'[65]2. подк.неподк.'!X293</f>
        <v>750</v>
      </c>
      <c r="AB305" s="143">
        <f t="shared" si="169"/>
        <v>0</v>
      </c>
      <c r="AC305" s="144">
        <f t="shared" si="170"/>
        <v>0</v>
      </c>
      <c r="AD305" s="143">
        <f t="shared" si="171"/>
        <v>0</v>
      </c>
      <c r="AE305" s="143"/>
      <c r="AF305" s="143">
        <f t="shared" si="172"/>
        <v>0</v>
      </c>
      <c r="AG305" s="143"/>
      <c r="AH305" s="143">
        <f t="shared" si="173"/>
        <v>-750</v>
      </c>
      <c r="AI305" s="143">
        <f t="shared" si="174"/>
        <v>-100</v>
      </c>
    </row>
    <row r="306" spans="1:35" ht="33" customHeight="1" outlineLevel="1">
      <c r="A306" s="139"/>
      <c r="B306" s="176" t="s">
        <v>1398</v>
      </c>
      <c r="C306" s="233"/>
      <c r="D306" s="148" t="s">
        <v>1399</v>
      </c>
      <c r="E306" s="177"/>
      <c r="F306" s="178"/>
      <c r="G306" s="178">
        <v>0</v>
      </c>
      <c r="H306" s="178">
        <v>0</v>
      </c>
      <c r="I306" s="178">
        <v>0</v>
      </c>
      <c r="J306" s="143"/>
      <c r="K306" s="143"/>
      <c r="L306" s="143"/>
      <c r="M306" s="143"/>
      <c r="N306" s="143">
        <v>5000</v>
      </c>
      <c r="O306" s="143"/>
      <c r="P306" s="150">
        <v>0</v>
      </c>
      <c r="Q306" s="143"/>
      <c r="R306" s="143"/>
      <c r="S306" s="143">
        <f t="shared" si="165"/>
        <v>0</v>
      </c>
      <c r="T306" s="143">
        <f t="shared" si="166"/>
        <v>0</v>
      </c>
      <c r="U306" s="151" t="e">
        <f>R306-#REF!</f>
        <v>#REF!</v>
      </c>
      <c r="V306" s="151">
        <f t="shared" si="167"/>
        <v>0</v>
      </c>
      <c r="W306" s="151">
        <f t="shared" si="168"/>
        <v>0</v>
      </c>
      <c r="X306" s="151" t="e">
        <f>O306-#REF!</f>
        <v>#REF!</v>
      </c>
      <c r="Y306" s="143">
        <v>0</v>
      </c>
      <c r="Z306" s="143">
        <v>0</v>
      </c>
      <c r="AA306" s="143">
        <v>0</v>
      </c>
      <c r="AB306" s="143">
        <f t="shared" si="169"/>
        <v>0</v>
      </c>
      <c r="AC306" s="144">
        <f t="shared" si="170"/>
        <v>0</v>
      </c>
      <c r="AD306" s="143">
        <f t="shared" si="171"/>
        <v>0</v>
      </c>
      <c r="AE306" s="143"/>
      <c r="AF306" s="143">
        <f t="shared" si="172"/>
        <v>0</v>
      </c>
      <c r="AG306" s="143"/>
      <c r="AH306" s="143">
        <f t="shared" si="173"/>
        <v>0</v>
      </c>
      <c r="AI306" s="143"/>
    </row>
    <row r="307" spans="1:35" ht="33" customHeight="1" outlineLevel="1">
      <c r="A307" s="139" t="s">
        <v>1400</v>
      </c>
      <c r="B307" s="176" t="s">
        <v>1401</v>
      </c>
      <c r="C307" s="233" t="s">
        <v>1402</v>
      </c>
      <c r="D307" s="148" t="s">
        <v>1403</v>
      </c>
      <c r="E307" s="177"/>
      <c r="F307" s="178" t="s">
        <v>552</v>
      </c>
      <c r="G307" s="178">
        <v>0</v>
      </c>
      <c r="H307" s="178">
        <v>0</v>
      </c>
      <c r="I307" s="178">
        <v>0</v>
      </c>
      <c r="J307" s="143">
        <v>0</v>
      </c>
      <c r="K307" s="143">
        <v>0</v>
      </c>
      <c r="L307" s="143">
        <v>0</v>
      </c>
      <c r="M307" s="143">
        <v>0</v>
      </c>
      <c r="N307" s="143">
        <v>0</v>
      </c>
      <c r="O307" s="143"/>
      <c r="P307" s="150">
        <v>0</v>
      </c>
      <c r="Q307" s="143">
        <v>0</v>
      </c>
      <c r="R307" s="143">
        <v>0</v>
      </c>
      <c r="S307" s="143">
        <f t="shared" si="165"/>
        <v>0</v>
      </c>
      <c r="T307" s="143">
        <f t="shared" si="166"/>
        <v>0</v>
      </c>
      <c r="U307" s="151" t="e">
        <f>R307-#REF!</f>
        <v>#REF!</v>
      </c>
      <c r="V307" s="151">
        <f t="shared" si="167"/>
        <v>0</v>
      </c>
      <c r="W307" s="151">
        <f t="shared" si="168"/>
        <v>0</v>
      </c>
      <c r="X307" s="151" t="e">
        <f>O307-#REF!</f>
        <v>#REF!</v>
      </c>
      <c r="Y307" s="143">
        <f>'[65]2. подк.неподк.'!V295</f>
        <v>0</v>
      </c>
      <c r="Z307" s="143">
        <f>'[65]2. подк.неподк.'!W295</f>
        <v>0</v>
      </c>
      <c r="AA307" s="143">
        <v>0</v>
      </c>
      <c r="AB307" s="143">
        <f t="shared" si="169"/>
        <v>0</v>
      </c>
      <c r="AC307" s="144">
        <f t="shared" si="170"/>
        <v>0</v>
      </c>
      <c r="AD307" s="143">
        <f t="shared" si="171"/>
        <v>0</v>
      </c>
      <c r="AE307" s="143"/>
      <c r="AF307" s="143">
        <f t="shared" si="172"/>
        <v>0</v>
      </c>
      <c r="AG307" s="143"/>
      <c r="AH307" s="143">
        <f t="shared" si="173"/>
        <v>0</v>
      </c>
      <c r="AI307" s="143"/>
    </row>
    <row r="308" spans="1:35" ht="33" customHeight="1" outlineLevel="1">
      <c r="A308" s="139" t="s">
        <v>1404</v>
      </c>
      <c r="B308" s="242" t="s">
        <v>1405</v>
      </c>
      <c r="C308" s="243" t="s">
        <v>1406</v>
      </c>
      <c r="D308" s="199" t="s">
        <v>1407</v>
      </c>
      <c r="E308" s="177"/>
      <c r="F308" s="178" t="s">
        <v>552</v>
      </c>
      <c r="G308" s="178">
        <v>0</v>
      </c>
      <c r="H308" s="178">
        <v>0</v>
      </c>
      <c r="I308" s="178">
        <v>0</v>
      </c>
      <c r="J308" s="143">
        <v>0</v>
      </c>
      <c r="K308" s="143">
        <v>616.96</v>
      </c>
      <c r="L308" s="143">
        <v>0</v>
      </c>
      <c r="M308" s="143">
        <v>0</v>
      </c>
      <c r="N308" s="143">
        <v>63.142710000000001</v>
      </c>
      <c r="O308" s="143">
        <v>60.339199999999998</v>
      </c>
      <c r="P308" s="150">
        <v>60.339199999999998</v>
      </c>
      <c r="Q308" s="143">
        <v>60.339199999999998</v>
      </c>
      <c r="R308" s="143">
        <v>60.339199999999998</v>
      </c>
      <c r="S308" s="143">
        <f t="shared" si="165"/>
        <v>60.339199999999998</v>
      </c>
      <c r="T308" s="143">
        <f t="shared" si="166"/>
        <v>0</v>
      </c>
      <c r="U308" s="151" t="e">
        <f>R308-#REF!</f>
        <v>#REF!</v>
      </c>
      <c r="V308" s="151">
        <f t="shared" si="167"/>
        <v>60.339199999999998</v>
      </c>
      <c r="W308" s="151">
        <f t="shared" si="168"/>
        <v>0</v>
      </c>
      <c r="X308" s="151" t="e">
        <f>O308-#REF!</f>
        <v>#REF!</v>
      </c>
      <c r="Y308" s="143">
        <f>'[65]2. подк.неподк.'!V296</f>
        <v>0</v>
      </c>
      <c r="Z308" s="143">
        <f>'[65]2. подк.неподк.'!W296</f>
        <v>0</v>
      </c>
      <c r="AA308" s="143">
        <v>0</v>
      </c>
      <c r="AB308" s="143">
        <f t="shared" si="169"/>
        <v>0</v>
      </c>
      <c r="AC308" s="144">
        <f t="shared" si="170"/>
        <v>0</v>
      </c>
      <c r="AD308" s="143">
        <f t="shared" si="171"/>
        <v>0</v>
      </c>
      <c r="AE308" s="143"/>
      <c r="AF308" s="143">
        <f t="shared" si="172"/>
        <v>0</v>
      </c>
      <c r="AG308" s="143"/>
      <c r="AH308" s="143">
        <f t="shared" si="173"/>
        <v>0</v>
      </c>
      <c r="AI308" s="143"/>
    </row>
    <row r="309" spans="1:35" ht="33" customHeight="1" outlineLevel="1">
      <c r="A309" s="139" t="s">
        <v>1408</v>
      </c>
      <c r="B309" s="242" t="s">
        <v>1409</v>
      </c>
      <c r="C309" s="243" t="s">
        <v>1410</v>
      </c>
      <c r="D309" s="199" t="s">
        <v>1411</v>
      </c>
      <c r="E309" s="177"/>
      <c r="F309" s="178" t="s">
        <v>552</v>
      </c>
      <c r="G309" s="178">
        <v>0</v>
      </c>
      <c r="H309" s="178">
        <v>0</v>
      </c>
      <c r="I309" s="178">
        <v>0</v>
      </c>
      <c r="J309" s="143">
        <v>0</v>
      </c>
      <c r="K309" s="143">
        <v>101.74</v>
      </c>
      <c r="L309" s="143">
        <v>0</v>
      </c>
      <c r="M309" s="143">
        <v>0</v>
      </c>
      <c r="N309" s="143">
        <v>0</v>
      </c>
      <c r="O309" s="143"/>
      <c r="P309" s="150">
        <v>0</v>
      </c>
      <c r="Q309" s="143">
        <v>0</v>
      </c>
      <c r="R309" s="143">
        <v>0</v>
      </c>
      <c r="S309" s="143">
        <f t="shared" si="165"/>
        <v>0</v>
      </c>
      <c r="T309" s="143">
        <f t="shared" si="166"/>
        <v>0</v>
      </c>
      <c r="U309" s="151" t="e">
        <f>R309-#REF!</f>
        <v>#REF!</v>
      </c>
      <c r="V309" s="151">
        <f t="shared" si="167"/>
        <v>0</v>
      </c>
      <c r="W309" s="151">
        <f t="shared" si="168"/>
        <v>0</v>
      </c>
      <c r="X309" s="151" t="e">
        <f>O309-#REF!</f>
        <v>#REF!</v>
      </c>
      <c r="Y309" s="143">
        <f>'[65]2. подк.неподк.'!V297</f>
        <v>0</v>
      </c>
      <c r="Z309" s="143">
        <f>'[65]2. подк.неподк.'!W297</f>
        <v>0</v>
      </c>
      <c r="AA309" s="143">
        <v>0</v>
      </c>
      <c r="AB309" s="143">
        <f t="shared" si="169"/>
        <v>0</v>
      </c>
      <c r="AC309" s="144">
        <f t="shared" si="170"/>
        <v>0</v>
      </c>
      <c r="AD309" s="143">
        <f t="shared" si="171"/>
        <v>0</v>
      </c>
      <c r="AE309" s="143"/>
      <c r="AF309" s="143">
        <f t="shared" si="172"/>
        <v>0</v>
      </c>
      <c r="AG309" s="143"/>
      <c r="AH309" s="143">
        <f t="shared" si="173"/>
        <v>0</v>
      </c>
      <c r="AI309" s="143"/>
    </row>
    <row r="310" spans="1:35" ht="33" customHeight="1" outlineLevel="1">
      <c r="A310" s="139" t="s">
        <v>1412</v>
      </c>
      <c r="B310" s="242" t="s">
        <v>1413</v>
      </c>
      <c r="C310" s="243" t="s">
        <v>1414</v>
      </c>
      <c r="D310" s="199" t="s">
        <v>1415</v>
      </c>
      <c r="E310" s="177"/>
      <c r="F310" s="178" t="s">
        <v>552</v>
      </c>
      <c r="G310" s="178">
        <v>0</v>
      </c>
      <c r="H310" s="178">
        <v>0</v>
      </c>
      <c r="I310" s="178">
        <v>0</v>
      </c>
      <c r="J310" s="143">
        <v>0</v>
      </c>
      <c r="K310" s="143">
        <v>3205.41</v>
      </c>
      <c r="L310" s="143">
        <v>0</v>
      </c>
      <c r="M310" s="143">
        <v>0</v>
      </c>
      <c r="N310" s="143">
        <v>6172.3715000000002</v>
      </c>
      <c r="O310" s="143">
        <v>6038.9030999999995</v>
      </c>
      <c r="P310" s="150">
        <v>6038.9030999999995</v>
      </c>
      <c r="Q310" s="143">
        <v>6038.9030999999995</v>
      </c>
      <c r="R310" s="143">
        <v>6038.9030999999995</v>
      </c>
      <c r="S310" s="143">
        <f t="shared" si="165"/>
        <v>6038.9030999999995</v>
      </c>
      <c r="T310" s="143">
        <f t="shared" si="166"/>
        <v>0</v>
      </c>
      <c r="U310" s="151" t="e">
        <f>R310-#REF!</f>
        <v>#REF!</v>
      </c>
      <c r="V310" s="151">
        <f t="shared" si="167"/>
        <v>6038.9030999999995</v>
      </c>
      <c r="W310" s="151">
        <f t="shared" si="168"/>
        <v>0</v>
      </c>
      <c r="X310" s="151" t="e">
        <f>O310-#REF!</f>
        <v>#REF!</v>
      </c>
      <c r="Y310" s="143">
        <f>'[65]2. подк.неподк.'!V298</f>
        <v>0</v>
      </c>
      <c r="Z310" s="143">
        <f>'[65]2. подк.неподк.'!W298</f>
        <v>0</v>
      </c>
      <c r="AA310" s="143">
        <f>'[65]2. подк.неподк.'!X298</f>
        <v>0</v>
      </c>
      <c r="AB310" s="143">
        <f t="shared" si="169"/>
        <v>0</v>
      </c>
      <c r="AC310" s="144">
        <f t="shared" si="170"/>
        <v>0</v>
      </c>
      <c r="AD310" s="143">
        <f t="shared" si="171"/>
        <v>0</v>
      </c>
      <c r="AE310" s="143"/>
      <c r="AF310" s="143">
        <f t="shared" si="172"/>
        <v>0</v>
      </c>
      <c r="AG310" s="143"/>
      <c r="AH310" s="143">
        <f t="shared" si="173"/>
        <v>0</v>
      </c>
      <c r="AI310" s="143"/>
    </row>
    <row r="311" spans="1:35" ht="33" customHeight="1" outlineLevel="1">
      <c r="A311" s="139" t="s">
        <v>1416</v>
      </c>
      <c r="B311" s="242" t="s">
        <v>1417</v>
      </c>
      <c r="C311" s="243" t="s">
        <v>1418</v>
      </c>
      <c r="D311" s="199" t="s">
        <v>1419</v>
      </c>
      <c r="E311" s="177"/>
      <c r="F311" s="178" t="s">
        <v>552</v>
      </c>
      <c r="G311" s="178">
        <v>0</v>
      </c>
      <c r="H311" s="178">
        <v>0</v>
      </c>
      <c r="I311" s="178">
        <v>0</v>
      </c>
      <c r="J311" s="143">
        <v>0</v>
      </c>
      <c r="K311" s="143">
        <v>1337.51</v>
      </c>
      <c r="L311" s="143">
        <v>0</v>
      </c>
      <c r="M311" s="143">
        <v>0</v>
      </c>
      <c r="N311" s="143">
        <v>1487.4</v>
      </c>
      <c r="O311" s="143">
        <v>1314.06493</v>
      </c>
      <c r="P311" s="150">
        <v>0</v>
      </c>
      <c r="Q311" s="143">
        <v>0</v>
      </c>
      <c r="R311" s="143">
        <v>0</v>
      </c>
      <c r="S311" s="143">
        <f t="shared" si="165"/>
        <v>0</v>
      </c>
      <c r="T311" s="143">
        <f t="shared" si="166"/>
        <v>-1314.06493</v>
      </c>
      <c r="U311" s="151" t="e">
        <f>R311-#REF!</f>
        <v>#REF!</v>
      </c>
      <c r="V311" s="151">
        <f t="shared" si="167"/>
        <v>0</v>
      </c>
      <c r="W311" s="151">
        <f t="shared" si="168"/>
        <v>0</v>
      </c>
      <c r="X311" s="151" t="e">
        <f>O311-#REF!</f>
        <v>#REF!</v>
      </c>
      <c r="Y311" s="143">
        <f>'[65]2. подк.неподк.'!V299</f>
        <v>0</v>
      </c>
      <c r="Z311" s="143">
        <f>'[65]2. подк.неподк.'!W299</f>
        <v>0</v>
      </c>
      <c r="AA311" s="143">
        <f>'[65]2. подк.неподк.'!X299</f>
        <v>4258.62</v>
      </c>
      <c r="AB311" s="143">
        <f t="shared" si="169"/>
        <v>0</v>
      </c>
      <c r="AC311" s="144">
        <f t="shared" si="170"/>
        <v>0</v>
      </c>
      <c r="AD311" s="143">
        <f t="shared" si="171"/>
        <v>0</v>
      </c>
      <c r="AE311" s="143"/>
      <c r="AF311" s="143">
        <f t="shared" si="172"/>
        <v>0</v>
      </c>
      <c r="AG311" s="143"/>
      <c r="AH311" s="143">
        <f t="shared" si="173"/>
        <v>-4258.62</v>
      </c>
      <c r="AI311" s="143">
        <f t="shared" si="174"/>
        <v>-100</v>
      </c>
    </row>
    <row r="312" spans="1:35" ht="33" customHeight="1" outlineLevel="1">
      <c r="A312" s="139" t="s">
        <v>1420</v>
      </c>
      <c r="B312" s="242" t="s">
        <v>1421</v>
      </c>
      <c r="C312" s="243" t="s">
        <v>1422</v>
      </c>
      <c r="D312" s="199" t="s">
        <v>1423</v>
      </c>
      <c r="E312" s="177"/>
      <c r="F312" s="178" t="s">
        <v>552</v>
      </c>
      <c r="G312" s="178">
        <v>0</v>
      </c>
      <c r="H312" s="178">
        <v>0</v>
      </c>
      <c r="I312" s="178">
        <v>0</v>
      </c>
      <c r="J312" s="143">
        <v>0</v>
      </c>
      <c r="K312" s="143">
        <v>78.524000000000001</v>
      </c>
      <c r="L312" s="143">
        <v>0</v>
      </c>
      <c r="M312" s="143">
        <v>0</v>
      </c>
      <c r="N312" s="143">
        <v>267.3</v>
      </c>
      <c r="O312" s="143">
        <v>233.21495000000002</v>
      </c>
      <c r="P312" s="150">
        <v>0</v>
      </c>
      <c r="Q312" s="143">
        <v>0</v>
      </c>
      <c r="R312" s="143">
        <v>0</v>
      </c>
      <c r="S312" s="143">
        <f t="shared" si="165"/>
        <v>0</v>
      </c>
      <c r="T312" s="143">
        <f t="shared" si="166"/>
        <v>-233.21495000000002</v>
      </c>
      <c r="U312" s="151" t="e">
        <f>R312-#REF!</f>
        <v>#REF!</v>
      </c>
      <c r="V312" s="151">
        <f t="shared" si="167"/>
        <v>0</v>
      </c>
      <c r="W312" s="151">
        <f t="shared" si="168"/>
        <v>0</v>
      </c>
      <c r="X312" s="151" t="e">
        <f>O312-#REF!</f>
        <v>#REF!</v>
      </c>
      <c r="Y312" s="143">
        <f>'[65]2. подк.неподк.'!V300</f>
        <v>0</v>
      </c>
      <c r="Z312" s="143">
        <f>'[65]2. подк.неподк.'!W300</f>
        <v>0</v>
      </c>
      <c r="AA312" s="143">
        <f>'[65]2. подк.неподк.'!X300</f>
        <v>225.49</v>
      </c>
      <c r="AB312" s="143">
        <f t="shared" si="169"/>
        <v>0</v>
      </c>
      <c r="AC312" s="144">
        <f t="shared" si="170"/>
        <v>0</v>
      </c>
      <c r="AD312" s="143">
        <f t="shared" si="171"/>
        <v>0</v>
      </c>
      <c r="AE312" s="143"/>
      <c r="AF312" s="143">
        <f t="shared" si="172"/>
        <v>0</v>
      </c>
      <c r="AG312" s="143"/>
      <c r="AH312" s="143">
        <f t="shared" si="173"/>
        <v>-225.49</v>
      </c>
      <c r="AI312" s="143">
        <f t="shared" si="174"/>
        <v>-100</v>
      </c>
    </row>
    <row r="313" spans="1:35" s="244" customFormat="1" ht="33" customHeight="1" outlineLevel="1">
      <c r="A313" s="139"/>
      <c r="B313" s="242" t="s">
        <v>1424</v>
      </c>
      <c r="C313" s="245" t="s">
        <v>1425</v>
      </c>
      <c r="D313" s="246" t="s">
        <v>1426</v>
      </c>
      <c r="E313" s="149" t="s">
        <v>1427</v>
      </c>
      <c r="F313" s="143" t="s">
        <v>121</v>
      </c>
      <c r="G313" s="178">
        <v>0</v>
      </c>
      <c r="H313" s="178">
        <v>0</v>
      </c>
      <c r="I313" s="178">
        <v>0</v>
      </c>
      <c r="J313" s="143">
        <v>0</v>
      </c>
      <c r="K313" s="143">
        <v>6601.37</v>
      </c>
      <c r="L313" s="143">
        <v>0</v>
      </c>
      <c r="M313" s="143">
        <v>0</v>
      </c>
      <c r="N313" s="143">
        <v>8490.477359999999</v>
      </c>
      <c r="O313" s="143">
        <v>8419.0388000000003</v>
      </c>
      <c r="P313" s="150">
        <v>0</v>
      </c>
      <c r="Q313" s="143">
        <v>0</v>
      </c>
      <c r="R313" s="143">
        <v>0</v>
      </c>
      <c r="S313" s="143">
        <f t="shared" si="165"/>
        <v>0</v>
      </c>
      <c r="T313" s="143">
        <f t="shared" si="166"/>
        <v>-8419.0388000000003</v>
      </c>
      <c r="U313" s="151" t="e">
        <f>R313-#REF!</f>
        <v>#REF!</v>
      </c>
      <c r="V313" s="151">
        <f t="shared" si="167"/>
        <v>0</v>
      </c>
      <c r="W313" s="151">
        <f t="shared" si="168"/>
        <v>0</v>
      </c>
      <c r="X313" s="151" t="e">
        <f>O313-#REF!</f>
        <v>#REF!</v>
      </c>
      <c r="Y313" s="143">
        <f>'[65]2. подк.неподк.'!V301</f>
        <v>0</v>
      </c>
      <c r="Z313" s="143">
        <f>'[65]2. подк.неподк.'!W301</f>
        <v>0</v>
      </c>
      <c r="AA313" s="143">
        <f>'[65]2. подк.неподк.'!X301</f>
        <v>0</v>
      </c>
      <c r="AB313" s="143">
        <f t="shared" si="169"/>
        <v>0</v>
      </c>
      <c r="AC313" s="144">
        <f t="shared" si="170"/>
        <v>0</v>
      </c>
      <c r="AD313" s="143">
        <f t="shared" si="171"/>
        <v>0</v>
      </c>
      <c r="AE313" s="143"/>
      <c r="AF313" s="143">
        <f t="shared" si="172"/>
        <v>0</v>
      </c>
      <c r="AG313" s="143"/>
      <c r="AH313" s="143">
        <f t="shared" si="173"/>
        <v>0</v>
      </c>
      <c r="AI313" s="143"/>
    </row>
    <row r="314" spans="1:35" ht="33" customHeight="1" outlineLevel="1">
      <c r="A314" s="139" t="s">
        <v>1428</v>
      </c>
      <c r="B314" s="242" t="s">
        <v>1429</v>
      </c>
      <c r="C314" s="247" t="s">
        <v>1430</v>
      </c>
      <c r="D314" s="199" t="s">
        <v>1431</v>
      </c>
      <c r="E314" s="232" t="s">
        <v>1432</v>
      </c>
      <c r="F314" s="178" t="s">
        <v>552</v>
      </c>
      <c r="G314" s="178">
        <v>0</v>
      </c>
      <c r="H314" s="178">
        <v>0</v>
      </c>
      <c r="I314" s="178">
        <v>0</v>
      </c>
      <c r="J314" s="143">
        <v>0</v>
      </c>
      <c r="K314" s="143">
        <v>0</v>
      </c>
      <c r="L314" s="143">
        <v>0</v>
      </c>
      <c r="M314" s="143">
        <v>0</v>
      </c>
      <c r="N314" s="143">
        <v>9325.6830600000012</v>
      </c>
      <c r="O314" s="143">
        <v>8989.5259000000005</v>
      </c>
      <c r="P314" s="150">
        <v>8989.5259000000005</v>
      </c>
      <c r="Q314" s="143">
        <v>8989.5259000000005</v>
      </c>
      <c r="R314" s="143">
        <v>0</v>
      </c>
      <c r="S314" s="143">
        <f t="shared" si="165"/>
        <v>0</v>
      </c>
      <c r="T314" s="143">
        <f t="shared" si="166"/>
        <v>-8989.5259000000005</v>
      </c>
      <c r="U314" s="151" t="e">
        <f>R314-#REF!</f>
        <v>#REF!</v>
      </c>
      <c r="V314" s="151">
        <f t="shared" si="167"/>
        <v>0</v>
      </c>
      <c r="W314" s="151">
        <f t="shared" si="168"/>
        <v>0</v>
      </c>
      <c r="X314" s="151" t="e">
        <f>O314-#REF!</f>
        <v>#REF!</v>
      </c>
      <c r="Y314" s="143">
        <f>'[65]2. подк.неподк.'!V302</f>
        <v>0</v>
      </c>
      <c r="Z314" s="143">
        <f>'[65]2. подк.неподк.'!W302</f>
        <v>0</v>
      </c>
      <c r="AA314" s="143">
        <f>'[65]2. подк.неподк.'!X302</f>
        <v>0</v>
      </c>
      <c r="AB314" s="143">
        <f t="shared" si="169"/>
        <v>0</v>
      </c>
      <c r="AC314" s="144">
        <f t="shared" si="170"/>
        <v>0</v>
      </c>
      <c r="AD314" s="143">
        <f t="shared" si="171"/>
        <v>0</v>
      </c>
      <c r="AE314" s="143"/>
      <c r="AF314" s="143">
        <f t="shared" si="172"/>
        <v>0</v>
      </c>
      <c r="AG314" s="143"/>
      <c r="AH314" s="143">
        <f t="shared" si="173"/>
        <v>0</v>
      </c>
      <c r="AI314" s="143"/>
    </row>
    <row r="315" spans="1:35" ht="33" customHeight="1" outlineLevel="1">
      <c r="A315" s="139" t="s">
        <v>1433</v>
      </c>
      <c r="B315" s="242" t="s">
        <v>1434</v>
      </c>
      <c r="C315" s="247" t="s">
        <v>1435</v>
      </c>
      <c r="D315" s="199" t="s">
        <v>1436</v>
      </c>
      <c r="E315" s="177"/>
      <c r="F315" s="178" t="s">
        <v>552</v>
      </c>
      <c r="G315" s="178">
        <v>0</v>
      </c>
      <c r="H315" s="178">
        <v>0</v>
      </c>
      <c r="I315" s="178">
        <v>0</v>
      </c>
      <c r="J315" s="143">
        <v>0</v>
      </c>
      <c r="K315" s="143">
        <v>0</v>
      </c>
      <c r="L315" s="143">
        <v>0</v>
      </c>
      <c r="M315" s="143">
        <v>0</v>
      </c>
      <c r="N315" s="143">
        <v>0</v>
      </c>
      <c r="O315" s="143"/>
      <c r="P315" s="150">
        <v>0</v>
      </c>
      <c r="Q315" s="143">
        <v>0</v>
      </c>
      <c r="R315" s="143">
        <v>0</v>
      </c>
      <c r="S315" s="143">
        <f t="shared" si="165"/>
        <v>0</v>
      </c>
      <c r="T315" s="143">
        <f t="shared" si="166"/>
        <v>0</v>
      </c>
      <c r="U315" s="151" t="e">
        <f>R315-#REF!</f>
        <v>#REF!</v>
      </c>
      <c r="V315" s="151">
        <f t="shared" si="167"/>
        <v>0</v>
      </c>
      <c r="W315" s="151">
        <f t="shared" si="168"/>
        <v>0</v>
      </c>
      <c r="X315" s="151" t="e">
        <f>O315-#REF!</f>
        <v>#REF!</v>
      </c>
      <c r="Y315" s="143">
        <f>'[65]2. подк.неподк.'!V303</f>
        <v>0</v>
      </c>
      <c r="Z315" s="143">
        <f>'[65]2. подк.неподк.'!W303</f>
        <v>0</v>
      </c>
      <c r="AA315" s="143">
        <v>0</v>
      </c>
      <c r="AB315" s="143">
        <f t="shared" si="169"/>
        <v>0</v>
      </c>
      <c r="AC315" s="144">
        <f t="shared" si="170"/>
        <v>0</v>
      </c>
      <c r="AD315" s="143">
        <f t="shared" si="171"/>
        <v>0</v>
      </c>
      <c r="AE315" s="143"/>
      <c r="AF315" s="143">
        <f t="shared" si="172"/>
        <v>0</v>
      </c>
      <c r="AG315" s="143"/>
      <c r="AH315" s="143">
        <f t="shared" si="173"/>
        <v>0</v>
      </c>
      <c r="AI315" s="143"/>
    </row>
    <row r="316" spans="1:35" ht="33" customHeight="1" outlineLevel="1">
      <c r="A316" s="139"/>
      <c r="B316" s="242" t="s">
        <v>1437</v>
      </c>
      <c r="C316" s="247"/>
      <c r="D316" s="199" t="s">
        <v>1438</v>
      </c>
      <c r="E316" s="177"/>
      <c r="F316" s="178" t="s">
        <v>552</v>
      </c>
      <c r="G316" s="178">
        <v>0</v>
      </c>
      <c r="H316" s="178">
        <v>0</v>
      </c>
      <c r="I316" s="178">
        <v>0</v>
      </c>
      <c r="J316" s="143"/>
      <c r="K316" s="143"/>
      <c r="L316" s="143"/>
      <c r="M316" s="143"/>
      <c r="N316" s="143">
        <v>276.44400000000002</v>
      </c>
      <c r="O316" s="143">
        <v>263.07453000000004</v>
      </c>
      <c r="P316" s="150">
        <v>0</v>
      </c>
      <c r="Q316" s="143"/>
      <c r="R316" s="143"/>
      <c r="S316" s="143">
        <f t="shared" si="165"/>
        <v>0</v>
      </c>
      <c r="T316" s="143">
        <f t="shared" si="166"/>
        <v>-263.07453000000004</v>
      </c>
      <c r="U316" s="151" t="e">
        <f>R316-#REF!</f>
        <v>#REF!</v>
      </c>
      <c r="V316" s="151">
        <f t="shared" si="167"/>
        <v>0</v>
      </c>
      <c r="W316" s="151">
        <f t="shared" si="168"/>
        <v>0</v>
      </c>
      <c r="X316" s="151" t="e">
        <f>O316-#REF!</f>
        <v>#REF!</v>
      </c>
      <c r="Y316" s="143">
        <f>'[65]2. подк.неподк.'!V304</f>
        <v>0</v>
      </c>
      <c r="Z316" s="143">
        <f>'[65]2. подк.неподк.'!W304</f>
        <v>0</v>
      </c>
      <c r="AA316" s="143">
        <f>'[65]2. подк.неподк.'!X304</f>
        <v>211.19417600000003</v>
      </c>
      <c r="AB316" s="143">
        <f t="shared" si="169"/>
        <v>0</v>
      </c>
      <c r="AC316" s="144">
        <f t="shared" si="170"/>
        <v>0</v>
      </c>
      <c r="AD316" s="143">
        <f t="shared" si="171"/>
        <v>0</v>
      </c>
      <c r="AE316" s="143"/>
      <c r="AF316" s="143">
        <f t="shared" si="172"/>
        <v>0</v>
      </c>
      <c r="AG316" s="143"/>
      <c r="AH316" s="143">
        <f t="shared" si="173"/>
        <v>-211.19417600000003</v>
      </c>
      <c r="AI316" s="143">
        <f t="shared" si="174"/>
        <v>-100</v>
      </c>
    </row>
    <row r="317" spans="1:35" ht="33" customHeight="1" outlineLevel="1">
      <c r="A317" s="139"/>
      <c r="B317" s="242" t="s">
        <v>1439</v>
      </c>
      <c r="C317" s="247"/>
      <c r="D317" s="199" t="s">
        <v>1440</v>
      </c>
      <c r="E317" s="177"/>
      <c r="F317" s="178" t="s">
        <v>552</v>
      </c>
      <c r="G317" s="178">
        <v>0</v>
      </c>
      <c r="H317" s="178">
        <v>0</v>
      </c>
      <c r="I317" s="178">
        <v>0</v>
      </c>
      <c r="J317" s="143"/>
      <c r="K317" s="143"/>
      <c r="L317" s="143"/>
      <c r="M317" s="143"/>
      <c r="N317" s="143">
        <v>224.57900000000001</v>
      </c>
      <c r="O317" s="143">
        <v>178.12549999999999</v>
      </c>
      <c r="P317" s="150">
        <v>0</v>
      </c>
      <c r="Q317" s="143">
        <v>0</v>
      </c>
      <c r="R317" s="143">
        <v>0</v>
      </c>
      <c r="S317" s="143">
        <f t="shared" si="165"/>
        <v>0</v>
      </c>
      <c r="T317" s="143">
        <f t="shared" si="166"/>
        <v>-178.12549999999999</v>
      </c>
      <c r="U317" s="151" t="e">
        <f>R317-#REF!</f>
        <v>#REF!</v>
      </c>
      <c r="V317" s="151">
        <f t="shared" si="167"/>
        <v>0</v>
      </c>
      <c r="W317" s="151">
        <f t="shared" si="168"/>
        <v>0</v>
      </c>
      <c r="X317" s="151" t="e">
        <f>O317-#REF!</f>
        <v>#REF!</v>
      </c>
      <c r="Y317" s="143">
        <f>'[65]2. подк.неподк.'!V305</f>
        <v>0</v>
      </c>
      <c r="Z317" s="143">
        <f>'[65]2. подк.неподк.'!W305</f>
        <v>0</v>
      </c>
      <c r="AA317" s="143">
        <f>'[65]2. подк.неподк.'!X305</f>
        <v>50.954250000000002</v>
      </c>
      <c r="AB317" s="143">
        <f t="shared" si="169"/>
        <v>0</v>
      </c>
      <c r="AC317" s="144">
        <f t="shared" si="170"/>
        <v>0</v>
      </c>
      <c r="AD317" s="143">
        <f t="shared" si="171"/>
        <v>0</v>
      </c>
      <c r="AE317" s="143"/>
      <c r="AF317" s="143">
        <f t="shared" si="172"/>
        <v>0</v>
      </c>
      <c r="AG317" s="143"/>
      <c r="AH317" s="143">
        <f t="shared" si="173"/>
        <v>-50.954250000000002</v>
      </c>
      <c r="AI317" s="143">
        <f t="shared" si="174"/>
        <v>-100</v>
      </c>
    </row>
    <row r="318" spans="1:35" ht="33" customHeight="1" outlineLevel="1">
      <c r="A318" s="139"/>
      <c r="B318" s="242" t="s">
        <v>1441</v>
      </c>
      <c r="C318" s="247"/>
      <c r="D318" s="199" t="s">
        <v>1442</v>
      </c>
      <c r="E318" s="177"/>
      <c r="F318" s="178" t="s">
        <v>552</v>
      </c>
      <c r="G318" s="178">
        <v>0</v>
      </c>
      <c r="H318" s="178">
        <v>0</v>
      </c>
      <c r="I318" s="178">
        <v>0</v>
      </c>
      <c r="J318" s="143"/>
      <c r="K318" s="143"/>
      <c r="L318" s="143"/>
      <c r="M318" s="143"/>
      <c r="N318" s="143">
        <v>213.35977</v>
      </c>
      <c r="O318" s="143">
        <v>191.37690000000001</v>
      </c>
      <c r="P318" s="150">
        <v>0</v>
      </c>
      <c r="Q318" s="143"/>
      <c r="R318" s="143"/>
      <c r="S318" s="143">
        <f t="shared" si="165"/>
        <v>0</v>
      </c>
      <c r="T318" s="143">
        <f t="shared" si="166"/>
        <v>-191.37690000000001</v>
      </c>
      <c r="U318" s="151" t="e">
        <f>R318-#REF!</f>
        <v>#REF!</v>
      </c>
      <c r="V318" s="151">
        <f t="shared" si="167"/>
        <v>0</v>
      </c>
      <c r="W318" s="151">
        <f t="shared" si="168"/>
        <v>0</v>
      </c>
      <c r="X318" s="151" t="e">
        <f>O318-#REF!</f>
        <v>#REF!</v>
      </c>
      <c r="Y318" s="143">
        <v>0</v>
      </c>
      <c r="Z318" s="143">
        <v>0</v>
      </c>
      <c r="AA318" s="143">
        <f>'[65]2. подк.неподк.'!X306</f>
        <v>224.24</v>
      </c>
      <c r="AB318" s="143">
        <f t="shared" si="169"/>
        <v>0</v>
      </c>
      <c r="AC318" s="144">
        <f t="shared" si="170"/>
        <v>0</v>
      </c>
      <c r="AD318" s="143">
        <f t="shared" si="171"/>
        <v>0</v>
      </c>
      <c r="AE318" s="143"/>
      <c r="AF318" s="143">
        <f t="shared" si="172"/>
        <v>0</v>
      </c>
      <c r="AG318" s="143"/>
      <c r="AH318" s="143">
        <f t="shared" si="173"/>
        <v>-224.24</v>
      </c>
      <c r="AI318" s="143">
        <f t="shared" si="174"/>
        <v>-100</v>
      </c>
    </row>
    <row r="319" spans="1:35" ht="33" customHeight="1" outlineLevel="1">
      <c r="A319" s="139"/>
      <c r="B319" s="176" t="s">
        <v>1443</v>
      </c>
      <c r="C319" s="248"/>
      <c r="D319" s="148" t="s">
        <v>1444</v>
      </c>
      <c r="E319" s="177"/>
      <c r="F319" s="178" t="s">
        <v>552</v>
      </c>
      <c r="G319" s="178">
        <v>0</v>
      </c>
      <c r="H319" s="178">
        <v>0</v>
      </c>
      <c r="I319" s="178">
        <v>0</v>
      </c>
      <c r="J319" s="143"/>
      <c r="K319" s="143"/>
      <c r="L319" s="143"/>
      <c r="M319" s="143"/>
      <c r="N319" s="143">
        <v>0</v>
      </c>
      <c r="O319" s="143">
        <v>0</v>
      </c>
      <c r="P319" s="150">
        <v>0</v>
      </c>
      <c r="Q319" s="143"/>
      <c r="R319" s="143"/>
      <c r="S319" s="143">
        <f t="shared" si="165"/>
        <v>0</v>
      </c>
      <c r="T319" s="143">
        <f t="shared" si="166"/>
        <v>0</v>
      </c>
      <c r="U319" s="151" t="e">
        <f>R319-#REF!</f>
        <v>#REF!</v>
      </c>
      <c r="V319" s="151">
        <f t="shared" si="167"/>
        <v>0</v>
      </c>
      <c r="W319" s="151">
        <f t="shared" si="168"/>
        <v>0</v>
      </c>
      <c r="X319" s="151" t="e">
        <f>O319-#REF!</f>
        <v>#REF!</v>
      </c>
      <c r="Y319" s="143">
        <v>0</v>
      </c>
      <c r="Z319" s="143">
        <v>0</v>
      </c>
      <c r="AA319" s="143">
        <f>'[65]2. подк.неподк.'!X307</f>
        <v>1731.91</v>
      </c>
      <c r="AB319" s="143">
        <f t="shared" si="169"/>
        <v>0</v>
      </c>
      <c r="AC319" s="144">
        <f t="shared" si="170"/>
        <v>0</v>
      </c>
      <c r="AD319" s="143">
        <f t="shared" si="171"/>
        <v>0</v>
      </c>
      <c r="AE319" s="143"/>
      <c r="AF319" s="143">
        <f t="shared" si="172"/>
        <v>0</v>
      </c>
      <c r="AG319" s="143"/>
      <c r="AH319" s="143">
        <f t="shared" si="173"/>
        <v>-1731.91</v>
      </c>
      <c r="AI319" s="143">
        <f t="shared" si="174"/>
        <v>-100</v>
      </c>
    </row>
    <row r="320" spans="1:35" ht="33" customHeight="1" outlineLevel="1">
      <c r="A320" s="139"/>
      <c r="B320" s="176" t="s">
        <v>1445</v>
      </c>
      <c r="C320" s="248"/>
      <c r="D320" s="148" t="s">
        <v>1446</v>
      </c>
      <c r="E320" s="177"/>
      <c r="F320" s="178" t="s">
        <v>552</v>
      </c>
      <c r="G320" s="178">
        <v>0</v>
      </c>
      <c r="H320" s="178">
        <v>0</v>
      </c>
      <c r="I320" s="178">
        <v>0</v>
      </c>
      <c r="J320" s="143"/>
      <c r="K320" s="143"/>
      <c r="L320" s="143"/>
      <c r="M320" s="143"/>
      <c r="N320" s="143">
        <v>0</v>
      </c>
      <c r="O320" s="143">
        <v>0</v>
      </c>
      <c r="P320" s="150">
        <v>0</v>
      </c>
      <c r="Q320" s="143"/>
      <c r="R320" s="143"/>
      <c r="S320" s="143">
        <f t="shared" si="165"/>
        <v>0</v>
      </c>
      <c r="T320" s="143">
        <f t="shared" si="166"/>
        <v>0</v>
      </c>
      <c r="U320" s="151" t="e">
        <f>R320-#REF!</f>
        <v>#REF!</v>
      </c>
      <c r="V320" s="151">
        <f t="shared" si="167"/>
        <v>0</v>
      </c>
      <c r="W320" s="151">
        <f t="shared" si="168"/>
        <v>0</v>
      </c>
      <c r="X320" s="151" t="e">
        <f>O320-#REF!</f>
        <v>#REF!</v>
      </c>
      <c r="Y320" s="143">
        <v>0</v>
      </c>
      <c r="Z320" s="143">
        <v>0</v>
      </c>
      <c r="AA320" s="143">
        <f>'[65]2. подк.неподк.'!X308</f>
        <v>0</v>
      </c>
      <c r="AB320" s="143">
        <f t="shared" si="169"/>
        <v>0</v>
      </c>
      <c r="AC320" s="144">
        <f t="shared" si="170"/>
        <v>0</v>
      </c>
      <c r="AD320" s="143">
        <f t="shared" si="171"/>
        <v>0</v>
      </c>
      <c r="AE320" s="143"/>
      <c r="AF320" s="143">
        <f t="shared" si="172"/>
        <v>0</v>
      </c>
      <c r="AG320" s="143"/>
      <c r="AH320" s="143">
        <f t="shared" si="173"/>
        <v>0</v>
      </c>
      <c r="AI320" s="143"/>
    </row>
    <row r="321" spans="1:36" s="214" customFormat="1" ht="33" customHeight="1">
      <c r="A321" s="211"/>
      <c r="B321" s="166"/>
      <c r="C321" s="249"/>
      <c r="D321" s="213" t="s">
        <v>1447</v>
      </c>
      <c r="E321" s="213" t="s">
        <v>1447</v>
      </c>
      <c r="F321" s="213" t="s">
        <v>552</v>
      </c>
      <c r="G321" s="168">
        <f>G247+G248+G249+G262+G268+G275+G276+G277+G279+G280+G285</f>
        <v>2945351.2263561506</v>
      </c>
      <c r="H321" s="168">
        <f t="shared" ref="H321:I321" si="175">H247+H248+H249+H262+H268+H275+H276+H277+H279+H280+H285</f>
        <v>2580854.4138399996</v>
      </c>
      <c r="I321" s="168">
        <f t="shared" si="175"/>
        <v>2242609.5387999997</v>
      </c>
      <c r="J321" s="168">
        <f>J247+J248+J249+J262+J268+J275+J276+J277+J279+J280+J286</f>
        <v>2761719.6303011812</v>
      </c>
      <c r="K321" s="168">
        <f>K247+K248+K249+K262+K267+K275+K276+K277+K279+K280+K285</f>
        <v>2493597.7122860127</v>
      </c>
      <c r="L321" s="168">
        <f>L247+L248+L249+L262+L267+L275+L276+L277+L279+L280+L285</f>
        <v>2200297.8274325002</v>
      </c>
      <c r="M321" s="168">
        <f>M247+M248+M249+M262+M267+M275+M276+M277+M279+M280+M285</f>
        <v>2340309.8319822834</v>
      </c>
      <c r="N321" s="168">
        <f t="shared" ref="N321:AA321" si="176">N247+N248+N249+N262+N267+N275+N276+N277+N279+N280+N285</f>
        <v>2915134.4478400019</v>
      </c>
      <c r="O321" s="168">
        <f t="shared" si="176"/>
        <v>2523889.875380001</v>
      </c>
      <c r="P321" s="168">
        <f t="shared" si="176"/>
        <v>2113073.2317275</v>
      </c>
      <c r="Q321" s="168">
        <f t="shared" si="176"/>
        <v>2113073.2335075</v>
      </c>
      <c r="R321" s="168">
        <f t="shared" si="176"/>
        <v>2102502.8009100002</v>
      </c>
      <c r="S321" s="168">
        <f t="shared" si="165"/>
        <v>-237807.03107228316</v>
      </c>
      <c r="T321" s="168">
        <f t="shared" si="166"/>
        <v>-421387.07447000081</v>
      </c>
      <c r="U321" s="146" t="e">
        <f>R321-#REF!</f>
        <v>#REF!</v>
      </c>
      <c r="V321" s="146">
        <f t="shared" si="167"/>
        <v>-237807.03107228316</v>
      </c>
      <c r="W321" s="146">
        <f t="shared" si="168"/>
        <v>1.7800000496208668E-3</v>
      </c>
      <c r="X321" s="146" t="e">
        <f>O321-#REF!</f>
        <v>#REF!</v>
      </c>
      <c r="Y321" s="168">
        <f>Y247+Y248+Y249+Y262+Y267+Y275+Y276+Y277+Y279+Y280+Y285</f>
        <v>2720345.5316451848</v>
      </c>
      <c r="Z321" s="168">
        <f t="shared" ref="Z321" si="177">Z247+Z248+Z249+Z262+Z267+Z275+Z276+Z277+Z279+Z280+Z285</f>
        <v>2842761.0806218632</v>
      </c>
      <c r="AA321" s="168">
        <f t="shared" si="176"/>
        <v>9646815.7612376474</v>
      </c>
      <c r="AB321" s="168">
        <f>AB247+AB248+AB249+AB262+AB267+AB275+AB276+AB277+AB279+AB280+AB285</f>
        <v>2866818.756551126</v>
      </c>
      <c r="AC321" s="168">
        <f>AC247+AC248+AC249+AC262+AC267+AC275+AC276+AC277+AC279+AC280+AC285</f>
        <v>2902024.7413641238</v>
      </c>
      <c r="AD321" s="168">
        <f t="shared" si="171"/>
        <v>146473.22490594117</v>
      </c>
      <c r="AE321" s="168">
        <f t="shared" ref="AE321:AE342" si="178">AB321/Y321*100-100</f>
        <v>5.3843610380391027</v>
      </c>
      <c r="AF321" s="168">
        <f t="shared" si="172"/>
        <v>24057.675929262768</v>
      </c>
      <c r="AG321" s="168">
        <f t="shared" ref="AG321:AG342" si="179">AB321/Z321*100-100</f>
        <v>0.84627850343301247</v>
      </c>
      <c r="AH321" s="168">
        <f t="shared" si="173"/>
        <v>-6779997.0046865214</v>
      </c>
      <c r="AI321" s="168">
        <f t="shared" si="174"/>
        <v>-70.282227550458316</v>
      </c>
    </row>
    <row r="322" spans="1:36" ht="33" customHeight="1" outlineLevel="1">
      <c r="A322" s="139"/>
      <c r="B322" s="143"/>
      <c r="C322" s="177"/>
      <c r="D322" s="196" t="s">
        <v>1448</v>
      </c>
      <c r="E322" s="196" t="s">
        <v>1448</v>
      </c>
      <c r="F322" s="178" t="s">
        <v>552</v>
      </c>
      <c r="G322" s="178"/>
      <c r="H322" s="178"/>
      <c r="I322" s="178"/>
      <c r="J322" s="177"/>
      <c r="K322" s="177"/>
      <c r="L322" s="177"/>
      <c r="M322" s="177"/>
      <c r="N322" s="177"/>
      <c r="O322" s="177"/>
      <c r="P322" s="250"/>
      <c r="Q322" s="177"/>
      <c r="R322" s="143"/>
      <c r="S322" s="141"/>
      <c r="T322" s="141"/>
      <c r="U322" s="251"/>
      <c r="V322" s="251"/>
      <c r="W322" s="251"/>
      <c r="X322" s="251"/>
      <c r="Y322" s="177"/>
      <c r="Z322" s="177"/>
      <c r="AA322" s="177"/>
      <c r="AB322" s="177"/>
      <c r="AC322" s="177"/>
      <c r="AD322" s="177"/>
      <c r="AE322" s="177"/>
      <c r="AF322" s="177"/>
      <c r="AG322" s="177"/>
      <c r="AH322" s="177"/>
      <c r="AI322" s="177"/>
      <c r="AJ322" s="214"/>
    </row>
    <row r="323" spans="1:36" ht="15" customHeight="1">
      <c r="A323" s="139"/>
      <c r="B323" s="143"/>
      <c r="C323" s="177"/>
      <c r="D323" s="177"/>
      <c r="E323" s="177"/>
      <c r="F323" s="177"/>
      <c r="G323" s="177"/>
      <c r="H323" s="177"/>
      <c r="I323" s="177"/>
      <c r="J323" s="177"/>
      <c r="K323" s="177"/>
      <c r="L323" s="177"/>
      <c r="M323" s="177"/>
      <c r="N323" s="177"/>
      <c r="O323" s="177"/>
      <c r="P323" s="177"/>
      <c r="Q323" s="177"/>
      <c r="R323" s="177"/>
      <c r="S323" s="177"/>
      <c r="T323" s="177"/>
      <c r="U323" s="251"/>
      <c r="V323" s="251"/>
      <c r="W323" s="251"/>
      <c r="X323" s="251"/>
      <c r="Y323" s="177"/>
      <c r="Z323" s="177"/>
      <c r="AA323" s="177"/>
      <c r="AB323" s="177"/>
      <c r="AC323" s="177"/>
      <c r="AD323" s="177"/>
      <c r="AE323" s="177"/>
      <c r="AF323" s="177"/>
      <c r="AG323" s="177"/>
      <c r="AH323" s="177"/>
      <c r="AI323" s="177"/>
      <c r="AJ323" s="214"/>
    </row>
    <row r="324" spans="1:36" s="256" customFormat="1" ht="55.5" customHeight="1">
      <c r="A324" s="252"/>
      <c r="B324" s="146"/>
      <c r="C324" s="253"/>
      <c r="D324" s="254" t="s">
        <v>1449</v>
      </c>
      <c r="E324" s="254" t="s">
        <v>1449</v>
      </c>
      <c r="F324" s="255" t="s">
        <v>552</v>
      </c>
      <c r="G324" s="146">
        <f>G321-G275</f>
        <v>2728024.6363561507</v>
      </c>
      <c r="H324" s="146">
        <f t="shared" ref="H324:I324" si="180">H321-H275</f>
        <v>2580854.4138399996</v>
      </c>
      <c r="I324" s="146">
        <f t="shared" si="180"/>
        <v>2244113.3387999996</v>
      </c>
      <c r="J324" s="146">
        <f>J321-J275</f>
        <v>2311575.7303011813</v>
      </c>
      <c r="K324" s="146">
        <f>K321-K275</f>
        <v>2493597.7122860127</v>
      </c>
      <c r="L324" s="146">
        <f>L321-L275</f>
        <v>2200297.8274325002</v>
      </c>
      <c r="M324" s="146">
        <f>M321-M275</f>
        <v>1998369.579214415</v>
      </c>
      <c r="N324" s="146">
        <f t="shared" ref="N324:AA324" si="181">N321-N275</f>
        <v>2915134.4478400019</v>
      </c>
      <c r="O324" s="146">
        <f t="shared" si="181"/>
        <v>2523889.875380001</v>
      </c>
      <c r="P324" s="146">
        <f t="shared" si="181"/>
        <v>2113073.2317275</v>
      </c>
      <c r="Q324" s="146">
        <f t="shared" si="181"/>
        <v>2113073.2335075</v>
      </c>
      <c r="R324" s="146">
        <f t="shared" si="181"/>
        <v>2102502.8009100002</v>
      </c>
      <c r="S324" s="146">
        <f t="shared" ref="S324:S327" si="182">R324-M324</f>
        <v>104133.22169558518</v>
      </c>
      <c r="T324" s="146">
        <f t="shared" si="166"/>
        <v>-421387.07447000081</v>
      </c>
      <c r="U324" s="146" t="e">
        <f>R324-#REF!</f>
        <v>#REF!</v>
      </c>
      <c r="V324" s="146">
        <f t="shared" ref="V324:V327" si="183">R324-M324</f>
        <v>104133.22169558518</v>
      </c>
      <c r="W324" s="146">
        <f t="shared" ref="W324:W327" si="184">Q324-P324</f>
        <v>1.7800000496208668E-3</v>
      </c>
      <c r="X324" s="146" t="e">
        <f>O324-#REF!</f>
        <v>#REF!</v>
      </c>
      <c r="Y324" s="146">
        <f>Y321-Y275</f>
        <v>2375205.2338735852</v>
      </c>
      <c r="Z324" s="146">
        <f>Z321-Z275</f>
        <v>2509307.8811655412</v>
      </c>
      <c r="AA324" s="146">
        <f t="shared" si="181"/>
        <v>4305328.111237647</v>
      </c>
      <c r="AB324" s="146">
        <f>AB321-AB275</f>
        <v>2498445.6471153144</v>
      </c>
      <c r="AC324" s="146">
        <f>AC321-AC275</f>
        <v>2533651.6319283121</v>
      </c>
      <c r="AD324" s="146">
        <f t="shared" si="171"/>
        <v>123240.41324172914</v>
      </c>
      <c r="AE324" s="146">
        <f t="shared" si="178"/>
        <v>5.1886216603162154</v>
      </c>
      <c r="AF324" s="146">
        <f t="shared" si="172"/>
        <v>-10862.234050226863</v>
      </c>
      <c r="AG324" s="146">
        <f t="shared" si="179"/>
        <v>-0.43287769236118834</v>
      </c>
      <c r="AH324" s="146">
        <f t="shared" si="173"/>
        <v>-1806882.4641223326</v>
      </c>
      <c r="AI324" s="146">
        <f t="shared" si="174"/>
        <v>-41.968519412168817</v>
      </c>
      <c r="AJ324" s="214"/>
    </row>
    <row r="325" spans="1:36" s="214" customFormat="1" ht="33" customHeight="1">
      <c r="A325" s="211"/>
      <c r="B325" s="168" t="s">
        <v>16</v>
      </c>
      <c r="C325" s="249"/>
      <c r="D325" s="257" t="s">
        <v>1450</v>
      </c>
      <c r="E325" s="257" t="s">
        <v>1450</v>
      </c>
      <c r="F325" s="213" t="s">
        <v>1451</v>
      </c>
      <c r="G325" s="168">
        <f t="shared" ref="G325:I325" si="185">SUM(G326:G327)</f>
        <v>4557522.1366777197</v>
      </c>
      <c r="H325" s="168">
        <f t="shared" si="185"/>
        <v>4524715.3847899996</v>
      </c>
      <c r="I325" s="168">
        <f t="shared" si="185"/>
        <v>3845429.766817715</v>
      </c>
      <c r="J325" s="168">
        <f>SUM(J326:J327)</f>
        <v>4530576.7733762488</v>
      </c>
      <c r="K325" s="168">
        <f t="shared" ref="K325:M325" si="186">SUM(K326:K327)</f>
        <v>4552809.5886550127</v>
      </c>
      <c r="L325" s="168">
        <f t="shared" si="186"/>
        <v>3949467.0261025</v>
      </c>
      <c r="M325" s="168">
        <f t="shared" si="186"/>
        <v>3995767.2468746058</v>
      </c>
      <c r="N325" s="168">
        <f>SUM(N326:N327)</f>
        <v>5167898.7823200021</v>
      </c>
      <c r="O325" s="168">
        <f t="shared" ref="O325:AB325" si="187">SUM(O326:O327)</f>
        <v>4685555.3686300013</v>
      </c>
      <c r="P325" s="168">
        <f t="shared" si="187"/>
        <v>4230752.0730500324</v>
      </c>
      <c r="Q325" s="168">
        <f t="shared" si="187"/>
        <v>4233888.3025800325</v>
      </c>
      <c r="R325" s="168">
        <f t="shared" si="187"/>
        <v>4119204.6253925329</v>
      </c>
      <c r="S325" s="168">
        <f t="shared" si="182"/>
        <v>123437.37851792714</v>
      </c>
      <c r="T325" s="168">
        <f t="shared" si="166"/>
        <v>-566350.74323746841</v>
      </c>
      <c r="U325" s="146" t="e">
        <f>R325-#REF!</f>
        <v>#REF!</v>
      </c>
      <c r="V325" s="146">
        <f t="shared" si="183"/>
        <v>123437.37851792714</v>
      </c>
      <c r="W325" s="146">
        <f t="shared" si="184"/>
        <v>3136.2295300001279</v>
      </c>
      <c r="X325" s="146" t="e">
        <f>O325-#REF!</f>
        <v>#REF!</v>
      </c>
      <c r="Y325" s="168">
        <f>SUM(Y326:Y327)-0.01</f>
        <v>4508690.1358521767</v>
      </c>
      <c r="Z325" s="168">
        <f>SUM(Z326:Z327)</f>
        <v>4711581.2005449543</v>
      </c>
      <c r="AA325" s="168">
        <f t="shared" si="187"/>
        <v>13960814.676683201</v>
      </c>
      <c r="AB325" s="168">
        <f t="shared" si="187"/>
        <v>4721067.0160570312</v>
      </c>
      <c r="AC325" s="168">
        <f t="shared" ref="AC325" si="188">SUM(AC326:AC327)</f>
        <v>4756273.0008700285</v>
      </c>
      <c r="AD325" s="168">
        <f t="shared" si="171"/>
        <v>212376.88020485453</v>
      </c>
      <c r="AE325" s="168">
        <f t="shared" si="178"/>
        <v>4.7103897984932956</v>
      </c>
      <c r="AF325" s="168">
        <f t="shared" si="172"/>
        <v>9485.8155120769516</v>
      </c>
      <c r="AG325" s="168">
        <f t="shared" si="179"/>
        <v>0.20132976825230742</v>
      </c>
      <c r="AH325" s="168">
        <f t="shared" si="173"/>
        <v>-9239747.6606261693</v>
      </c>
      <c r="AI325" s="168">
        <f t="shared" si="174"/>
        <v>-66.183441830640646</v>
      </c>
    </row>
    <row r="326" spans="1:36" ht="30" customHeight="1">
      <c r="A326" s="139"/>
      <c r="B326" s="144"/>
      <c r="C326" s="177"/>
      <c r="D326" s="140" t="s">
        <v>1452</v>
      </c>
      <c r="E326" s="140" t="s">
        <v>1452</v>
      </c>
      <c r="F326" s="217" t="s">
        <v>1451</v>
      </c>
      <c r="G326" s="144">
        <f t="shared" ref="G326:I326" si="189">G246</f>
        <v>1612170.9103215688</v>
      </c>
      <c r="H326" s="144">
        <f t="shared" si="189"/>
        <v>1943860.97095</v>
      </c>
      <c r="I326" s="144">
        <f t="shared" si="189"/>
        <v>1602820.2280177155</v>
      </c>
      <c r="J326" s="144">
        <f>J246</f>
        <v>1768857.1430750673</v>
      </c>
      <c r="K326" s="144">
        <f>K246</f>
        <v>2059211.8763689999</v>
      </c>
      <c r="L326" s="144">
        <f>L246</f>
        <v>1749169.1986700001</v>
      </c>
      <c r="M326" s="144">
        <f>M246</f>
        <v>1655457.4148923224</v>
      </c>
      <c r="N326" s="144">
        <f t="shared" ref="N326:AC326" si="190">N246</f>
        <v>2252764.3344800002</v>
      </c>
      <c r="O326" s="144">
        <f t="shared" si="190"/>
        <v>2161665.4932500003</v>
      </c>
      <c r="P326" s="144">
        <f t="shared" si="190"/>
        <v>2117678.8413225324</v>
      </c>
      <c r="Q326" s="144">
        <f t="shared" si="190"/>
        <v>2120815.0690725325</v>
      </c>
      <c r="R326" s="144">
        <f t="shared" si="190"/>
        <v>2016701.8244825325</v>
      </c>
      <c r="S326" s="144">
        <f t="shared" si="182"/>
        <v>361244.40959021007</v>
      </c>
      <c r="T326" s="144">
        <f t="shared" si="166"/>
        <v>-144963.66876746784</v>
      </c>
      <c r="U326" s="146" t="e">
        <f>R326-#REF!</f>
        <v>#REF!</v>
      </c>
      <c r="V326" s="146">
        <f t="shared" si="183"/>
        <v>361244.40959021007</v>
      </c>
      <c r="W326" s="146">
        <f t="shared" si="184"/>
        <v>3136.2277500000782</v>
      </c>
      <c r="X326" s="146" t="e">
        <f>O326-#REF!</f>
        <v>#REF!</v>
      </c>
      <c r="Y326" s="144">
        <f t="shared" si="190"/>
        <v>1788344.6142069914</v>
      </c>
      <c r="Z326" s="144">
        <f t="shared" si="190"/>
        <v>1868820.1199230908</v>
      </c>
      <c r="AA326" s="144">
        <f t="shared" si="190"/>
        <v>4313998.9154455531</v>
      </c>
      <c r="AB326" s="144">
        <f t="shared" si="190"/>
        <v>1854248.2595059047</v>
      </c>
      <c r="AC326" s="144">
        <f t="shared" si="190"/>
        <v>1854248.2595059047</v>
      </c>
      <c r="AD326" s="144">
        <f t="shared" si="171"/>
        <v>65903.645298913354</v>
      </c>
      <c r="AE326" s="144">
        <f t="shared" si="178"/>
        <v>3.6851759317169979</v>
      </c>
      <c r="AF326" s="144">
        <f t="shared" si="172"/>
        <v>-14571.86041718605</v>
      </c>
      <c r="AG326" s="144">
        <f t="shared" si="179"/>
        <v>-0.77973584840181331</v>
      </c>
      <c r="AH326" s="144">
        <f t="shared" si="173"/>
        <v>-2459750.6559396484</v>
      </c>
      <c r="AI326" s="144">
        <f t="shared" si="174"/>
        <v>-57.017878403560132</v>
      </c>
      <c r="AJ326" s="214"/>
    </row>
    <row r="327" spans="1:36" ht="25.95" customHeight="1">
      <c r="A327" s="139"/>
      <c r="B327" s="144"/>
      <c r="C327" s="177"/>
      <c r="D327" s="140" t="s">
        <v>1453</v>
      </c>
      <c r="E327" s="140" t="s">
        <v>1453</v>
      </c>
      <c r="F327" s="217" t="s">
        <v>1451</v>
      </c>
      <c r="G327" s="144">
        <f t="shared" ref="G327:AC327" si="191">G321</f>
        <v>2945351.2263561506</v>
      </c>
      <c r="H327" s="144">
        <f t="shared" si="191"/>
        <v>2580854.4138399996</v>
      </c>
      <c r="I327" s="144">
        <f t="shared" si="191"/>
        <v>2242609.5387999997</v>
      </c>
      <c r="J327" s="144">
        <f t="shared" si="191"/>
        <v>2761719.6303011812</v>
      </c>
      <c r="K327" s="144">
        <f t="shared" si="191"/>
        <v>2493597.7122860127</v>
      </c>
      <c r="L327" s="144">
        <f t="shared" si="191"/>
        <v>2200297.8274325002</v>
      </c>
      <c r="M327" s="144">
        <f t="shared" si="191"/>
        <v>2340309.8319822834</v>
      </c>
      <c r="N327" s="144">
        <f t="shared" si="191"/>
        <v>2915134.4478400019</v>
      </c>
      <c r="O327" s="144">
        <f t="shared" si="191"/>
        <v>2523889.875380001</v>
      </c>
      <c r="P327" s="144">
        <f t="shared" si="191"/>
        <v>2113073.2317275</v>
      </c>
      <c r="Q327" s="144">
        <f t="shared" si="191"/>
        <v>2113073.2335075</v>
      </c>
      <c r="R327" s="144">
        <f t="shared" si="191"/>
        <v>2102502.8009100002</v>
      </c>
      <c r="S327" s="144">
        <f t="shared" si="182"/>
        <v>-237807.03107228316</v>
      </c>
      <c r="T327" s="144">
        <f t="shared" si="166"/>
        <v>-421387.07447000081</v>
      </c>
      <c r="U327" s="146" t="e">
        <f>R327-#REF!</f>
        <v>#REF!</v>
      </c>
      <c r="V327" s="146">
        <f t="shared" si="183"/>
        <v>-237807.03107228316</v>
      </c>
      <c r="W327" s="146">
        <f t="shared" si="184"/>
        <v>1.7800000496208668E-3</v>
      </c>
      <c r="X327" s="146" t="e">
        <f>O327-#REF!</f>
        <v>#REF!</v>
      </c>
      <c r="Y327" s="144">
        <f t="shared" si="191"/>
        <v>2720345.5316451848</v>
      </c>
      <c r="Z327" s="144">
        <f t="shared" si="191"/>
        <v>2842761.0806218632</v>
      </c>
      <c r="AA327" s="144">
        <f t="shared" si="191"/>
        <v>9646815.7612376474</v>
      </c>
      <c r="AB327" s="144">
        <f t="shared" si="191"/>
        <v>2866818.756551126</v>
      </c>
      <c r="AC327" s="144">
        <f t="shared" si="191"/>
        <v>2902024.7413641238</v>
      </c>
      <c r="AD327" s="144">
        <f t="shared" si="171"/>
        <v>146473.22490594117</v>
      </c>
      <c r="AE327" s="144">
        <f t="shared" si="178"/>
        <v>5.3843610380391027</v>
      </c>
      <c r="AF327" s="144">
        <f t="shared" si="172"/>
        <v>24057.675929262768</v>
      </c>
      <c r="AG327" s="144">
        <f t="shared" si="179"/>
        <v>0.84627850343301247</v>
      </c>
      <c r="AH327" s="144">
        <f t="shared" si="173"/>
        <v>-6779997.0046865214</v>
      </c>
      <c r="AI327" s="144">
        <f t="shared" si="174"/>
        <v>-70.282227550458316</v>
      </c>
      <c r="AJ327" s="214"/>
    </row>
    <row r="328" spans="1:36" ht="25.95" customHeight="1">
      <c r="A328" s="258"/>
      <c r="B328" s="259"/>
      <c r="C328" s="260"/>
      <c r="D328" s="261"/>
      <c r="E328" s="140"/>
      <c r="F328" s="217"/>
      <c r="G328" s="144"/>
      <c r="H328" s="144"/>
      <c r="I328" s="144"/>
      <c r="J328" s="144"/>
      <c r="K328" s="144"/>
      <c r="L328" s="144"/>
      <c r="M328" s="144"/>
      <c r="N328" s="144"/>
      <c r="O328" s="144"/>
      <c r="P328" s="144"/>
      <c r="Q328" s="144"/>
      <c r="R328" s="144"/>
      <c r="S328" s="144"/>
      <c r="T328" s="144"/>
      <c r="U328" s="146"/>
      <c r="V328" s="146"/>
      <c r="W328" s="146"/>
      <c r="X328" s="146"/>
      <c r="Y328" s="144"/>
      <c r="Z328" s="144"/>
      <c r="AA328" s="144"/>
      <c r="AB328" s="144"/>
      <c r="AC328" s="144"/>
      <c r="AD328" s="144"/>
      <c r="AE328" s="144"/>
      <c r="AF328" s="144"/>
      <c r="AG328" s="144"/>
      <c r="AH328" s="144"/>
      <c r="AI328" s="144"/>
      <c r="AJ328" s="214"/>
    </row>
    <row r="329" spans="1:36" ht="25.95" customHeight="1">
      <c r="A329" s="258"/>
      <c r="B329" s="259"/>
      <c r="C329" s="260"/>
      <c r="D329" s="261" t="s">
        <v>1454</v>
      </c>
      <c r="E329" s="140"/>
      <c r="F329" s="217" t="s">
        <v>1451</v>
      </c>
      <c r="G329" s="144"/>
      <c r="H329" s="144"/>
      <c r="I329" s="144"/>
      <c r="J329" s="144"/>
      <c r="K329" s="144"/>
      <c r="L329" s="144"/>
      <c r="M329" s="144"/>
      <c r="N329" s="144"/>
      <c r="O329" s="144"/>
      <c r="P329" s="144"/>
      <c r="Q329" s="144"/>
      <c r="R329" s="144"/>
      <c r="S329" s="144"/>
      <c r="T329" s="144"/>
      <c r="U329" s="146"/>
      <c r="V329" s="146"/>
      <c r="W329" s="146"/>
      <c r="X329" s="146"/>
      <c r="Y329" s="144"/>
      <c r="Z329" s="144"/>
      <c r="AA329" s="144"/>
      <c r="AB329" s="144"/>
      <c r="AC329" s="144">
        <f>AC330+AC331</f>
        <v>5731.1727849999988</v>
      </c>
      <c r="AD329" s="144"/>
      <c r="AE329" s="144"/>
      <c r="AF329" s="144"/>
      <c r="AG329" s="144"/>
      <c r="AH329" s="144"/>
      <c r="AI329" s="144"/>
      <c r="AJ329" s="214"/>
    </row>
    <row r="330" spans="1:36" ht="25.95" customHeight="1">
      <c r="A330" s="258"/>
      <c r="B330" s="259"/>
      <c r="C330" s="260"/>
      <c r="D330" s="261" t="s">
        <v>1455</v>
      </c>
      <c r="E330" s="140"/>
      <c r="F330" s="217" t="s">
        <v>1451</v>
      </c>
      <c r="G330" s="144"/>
      <c r="H330" s="144"/>
      <c r="I330" s="144"/>
      <c r="J330" s="144"/>
      <c r="K330" s="144"/>
      <c r="L330" s="144"/>
      <c r="M330" s="144"/>
      <c r="N330" s="144"/>
      <c r="O330" s="144"/>
      <c r="P330" s="144"/>
      <c r="Q330" s="144"/>
      <c r="R330" s="144"/>
      <c r="S330" s="144"/>
      <c r="T330" s="144"/>
      <c r="U330" s="146"/>
      <c r="V330" s="146"/>
      <c r="W330" s="146"/>
      <c r="X330" s="146"/>
      <c r="Y330" s="144"/>
      <c r="Z330" s="144"/>
      <c r="AA330" s="144"/>
      <c r="AB330" s="144"/>
      <c r="AC330" s="144">
        <f>'[64]1. инд. тарифы'!T91</f>
        <v>4460.0326499999992</v>
      </c>
      <c r="AD330" s="144"/>
      <c r="AE330" s="144"/>
      <c r="AF330" s="144"/>
      <c r="AG330" s="144"/>
      <c r="AH330" s="144"/>
      <c r="AI330" s="144"/>
      <c r="AJ330" s="214"/>
    </row>
    <row r="331" spans="1:36" ht="25.95" customHeight="1">
      <c r="A331" s="258"/>
      <c r="B331" s="259"/>
      <c r="C331" s="260"/>
      <c r="D331" s="261" t="s">
        <v>1456</v>
      </c>
      <c r="E331" s="140"/>
      <c r="F331" s="217" t="s">
        <v>1451</v>
      </c>
      <c r="G331" s="144"/>
      <c r="H331" s="144"/>
      <c r="I331" s="144"/>
      <c r="J331" s="144"/>
      <c r="K331" s="144"/>
      <c r="L331" s="144"/>
      <c r="M331" s="144"/>
      <c r="N331" s="144"/>
      <c r="O331" s="144"/>
      <c r="P331" s="144"/>
      <c r="Q331" s="144"/>
      <c r="R331" s="144"/>
      <c r="S331" s="144"/>
      <c r="T331" s="144"/>
      <c r="U331" s="146"/>
      <c r="V331" s="146"/>
      <c r="W331" s="146"/>
      <c r="X331" s="146"/>
      <c r="Y331" s="144"/>
      <c r="Z331" s="144"/>
      <c r="AA331" s="144"/>
      <c r="AB331" s="144"/>
      <c r="AC331" s="144">
        <f>'[64]1. инд. тарифы'!T94</f>
        <v>1271.1401349999999</v>
      </c>
      <c r="AD331" s="144"/>
      <c r="AE331" s="144"/>
      <c r="AF331" s="144"/>
      <c r="AG331" s="144"/>
      <c r="AH331" s="144"/>
      <c r="AI331" s="144"/>
      <c r="AJ331" s="214"/>
    </row>
    <row r="332" spans="1:36" ht="25.95" customHeight="1">
      <c r="A332" s="258"/>
      <c r="B332" s="259"/>
      <c r="C332" s="260"/>
      <c r="D332" s="261"/>
      <c r="E332" s="140"/>
      <c r="F332" s="217"/>
      <c r="G332" s="144"/>
      <c r="H332" s="144"/>
      <c r="I332" s="144"/>
      <c r="J332" s="144"/>
      <c r="K332" s="144"/>
      <c r="L332" s="144"/>
      <c r="M332" s="144"/>
      <c r="N332" s="144"/>
      <c r="O332" s="144"/>
      <c r="P332" s="144"/>
      <c r="Q332" s="144"/>
      <c r="R332" s="144"/>
      <c r="S332" s="144"/>
      <c r="T332" s="144"/>
      <c r="U332" s="146"/>
      <c r="V332" s="146"/>
      <c r="W332" s="146"/>
      <c r="X332" s="146"/>
      <c r="Y332" s="144"/>
      <c r="Z332" s="144"/>
      <c r="AA332" s="144"/>
      <c r="AB332" s="144"/>
      <c r="AC332" s="144"/>
      <c r="AD332" s="144"/>
      <c r="AE332" s="144"/>
      <c r="AF332" s="144"/>
      <c r="AG332" s="144"/>
      <c r="AH332" s="144"/>
      <c r="AI332" s="144"/>
      <c r="AJ332" s="214"/>
    </row>
    <row r="333" spans="1:36" s="270" customFormat="1" ht="25.95" customHeight="1">
      <c r="A333" s="262"/>
      <c r="B333" s="263" t="s">
        <v>16</v>
      </c>
      <c r="C333" s="264"/>
      <c r="D333" s="265" t="s">
        <v>1450</v>
      </c>
      <c r="E333" s="266" t="s">
        <v>1450</v>
      </c>
      <c r="F333" s="267" t="s">
        <v>1451</v>
      </c>
      <c r="G333" s="268">
        <v>4557522.1366777197</v>
      </c>
      <c r="H333" s="268">
        <v>4524715.3847899996</v>
      </c>
      <c r="I333" s="268">
        <v>3845429.766817715</v>
      </c>
      <c r="J333" s="268">
        <v>4530576.7733762488</v>
      </c>
      <c r="K333" s="268">
        <v>4552809.5886550127</v>
      </c>
      <c r="L333" s="268">
        <v>3949467.0261025</v>
      </c>
      <c r="M333" s="268"/>
      <c r="N333" s="268"/>
      <c r="O333" s="268"/>
      <c r="P333" s="268"/>
      <c r="Q333" s="268"/>
      <c r="R333" s="268"/>
      <c r="S333" s="268"/>
      <c r="T333" s="268"/>
      <c r="U333" s="268"/>
      <c r="V333" s="268"/>
      <c r="W333" s="268"/>
      <c r="X333" s="268"/>
      <c r="Y333" s="268"/>
      <c r="Z333" s="268"/>
      <c r="AA333" s="268"/>
      <c r="AB333" s="268"/>
      <c r="AC333" s="269">
        <f>AC325+AC329</f>
        <v>4762004.1736550285</v>
      </c>
      <c r="AD333" s="268"/>
      <c r="AE333" s="268"/>
      <c r="AF333" s="268"/>
      <c r="AG333" s="268"/>
      <c r="AH333" s="268"/>
      <c r="AI333" s="268"/>
    </row>
    <row r="334" spans="1:36" ht="25.95" customHeight="1">
      <c r="A334" s="258"/>
      <c r="B334" s="259"/>
      <c r="C334" s="260"/>
      <c r="D334" s="261"/>
      <c r="E334" s="140"/>
      <c r="F334" s="217"/>
      <c r="G334" s="144"/>
      <c r="H334" s="144"/>
      <c r="I334" s="144"/>
      <c r="J334" s="144"/>
      <c r="K334" s="144"/>
      <c r="L334" s="144"/>
      <c r="M334" s="144"/>
      <c r="N334" s="144"/>
      <c r="O334" s="144"/>
      <c r="P334" s="144"/>
      <c r="Q334" s="144"/>
      <c r="R334" s="144"/>
      <c r="S334" s="144"/>
      <c r="T334" s="144"/>
      <c r="U334" s="146"/>
      <c r="V334" s="146"/>
      <c r="W334" s="146"/>
      <c r="X334" s="146"/>
      <c r="Y334" s="144"/>
      <c r="Z334" s="144"/>
      <c r="AA334" s="144"/>
      <c r="AB334" s="144"/>
      <c r="AC334" s="144"/>
      <c r="AD334" s="144"/>
      <c r="AE334" s="144"/>
      <c r="AF334" s="144"/>
      <c r="AG334" s="144"/>
      <c r="AH334" s="144"/>
      <c r="AI334" s="144"/>
      <c r="AJ334" s="214"/>
    </row>
    <row r="335" spans="1:36" ht="12.75" customHeight="1">
      <c r="B335" s="1364" t="s">
        <v>1457</v>
      </c>
      <c r="C335" s="1365"/>
      <c r="D335" s="1366"/>
      <c r="E335" s="271"/>
      <c r="F335" s="271"/>
      <c r="G335" s="271"/>
      <c r="H335" s="271"/>
      <c r="I335" s="271"/>
      <c r="J335" s="271"/>
      <c r="K335" s="271"/>
      <c r="L335" s="272"/>
      <c r="M335" s="272"/>
      <c r="N335" s="272"/>
      <c r="O335" s="272"/>
      <c r="P335" s="273"/>
      <c r="Q335" s="272"/>
      <c r="R335" s="274"/>
      <c r="S335" s="274"/>
      <c r="T335" s="274"/>
      <c r="U335" s="275">
        <f>Q335-P335</f>
        <v>0</v>
      </c>
      <c r="V335" s="275" t="e">
        <f>#REF!-P335</f>
        <v>#REF!</v>
      </c>
      <c r="W335" s="275">
        <f t="shared" ref="W335" si="192">R335-P335</f>
        <v>0</v>
      </c>
      <c r="X335" s="275"/>
      <c r="Y335" s="272"/>
      <c r="Z335" s="272"/>
      <c r="AA335" s="272"/>
      <c r="AB335" s="272"/>
      <c r="AC335" s="272"/>
      <c r="AD335" s="272"/>
      <c r="AE335" s="272"/>
      <c r="AF335" s="272"/>
      <c r="AG335" s="272"/>
      <c r="AH335" s="272"/>
      <c r="AI335" s="272"/>
      <c r="AJ335" s="214"/>
    </row>
    <row r="336" spans="1:36" ht="24.75" customHeight="1" outlineLevel="1">
      <c r="B336" s="276"/>
      <c r="C336" s="277"/>
      <c r="D336" s="278"/>
      <c r="E336" s="278"/>
      <c r="F336" s="279"/>
      <c r="G336" s="279"/>
      <c r="H336" s="279"/>
      <c r="I336" s="279"/>
      <c r="J336" s="280"/>
      <c r="K336" s="281"/>
      <c r="L336" s="281"/>
      <c r="M336" s="281"/>
      <c r="N336" s="281"/>
      <c r="O336" s="281"/>
      <c r="P336" s="281"/>
      <c r="Q336" s="281"/>
      <c r="R336" s="281"/>
      <c r="S336" s="281"/>
      <c r="T336" s="281"/>
      <c r="U336" s="282"/>
      <c r="V336" s="282"/>
      <c r="W336" s="282"/>
      <c r="X336" s="282"/>
      <c r="Y336" s="283"/>
      <c r="Z336" s="283"/>
      <c r="AA336" s="283"/>
      <c r="AB336" s="283"/>
      <c r="AC336" s="283"/>
      <c r="AD336" s="283"/>
      <c r="AE336" s="283"/>
      <c r="AF336" s="283"/>
      <c r="AG336" s="283"/>
      <c r="AH336" s="283"/>
      <c r="AI336" s="283"/>
      <c r="AJ336" s="214"/>
    </row>
    <row r="337" spans="1:36" s="214" customFormat="1" ht="43.95" customHeight="1">
      <c r="A337" s="211"/>
      <c r="B337" s="168" t="s">
        <v>33</v>
      </c>
      <c r="C337" s="249"/>
      <c r="D337" s="284" t="s">
        <v>1458</v>
      </c>
      <c r="E337" s="284" t="s">
        <v>1458</v>
      </c>
      <c r="F337" s="213" t="s">
        <v>1451</v>
      </c>
      <c r="G337" s="168">
        <f t="shared" ref="G337:AA337" si="193">G338+G339</f>
        <v>4340195.5466777198</v>
      </c>
      <c r="H337" s="168">
        <f t="shared" si="193"/>
        <v>4524715.3847899996</v>
      </c>
      <c r="I337" s="168">
        <f t="shared" si="193"/>
        <v>3846933.5668177148</v>
      </c>
      <c r="J337" s="168">
        <f t="shared" si="193"/>
        <v>4080432.8733762484</v>
      </c>
      <c r="K337" s="168">
        <f t="shared" si="193"/>
        <v>4552809.5886550127</v>
      </c>
      <c r="L337" s="168">
        <f t="shared" si="193"/>
        <v>3949467.0261025</v>
      </c>
      <c r="M337" s="168">
        <f t="shared" si="193"/>
        <v>3653826.9941067374</v>
      </c>
      <c r="N337" s="168">
        <f t="shared" si="193"/>
        <v>5167898.7823200021</v>
      </c>
      <c r="O337" s="168">
        <f t="shared" si="193"/>
        <v>4685555.3686300013</v>
      </c>
      <c r="P337" s="168">
        <f t="shared" si="193"/>
        <v>4230752.0730500324</v>
      </c>
      <c r="Q337" s="168">
        <f t="shared" si="193"/>
        <v>4233888.3025800325</v>
      </c>
      <c r="R337" s="168">
        <f t="shared" si="193"/>
        <v>4119204.6253925329</v>
      </c>
      <c r="S337" s="168">
        <f>R337-M337</f>
        <v>465377.63128579548</v>
      </c>
      <c r="T337" s="168">
        <f t="shared" si="166"/>
        <v>-566350.74323746841</v>
      </c>
      <c r="U337" s="146" t="e">
        <f>R337-#REF!</f>
        <v>#REF!</v>
      </c>
      <c r="V337" s="146">
        <f t="shared" ref="V337:V342" si="194">R337-M337</f>
        <v>465377.63128579548</v>
      </c>
      <c r="W337" s="146">
        <f t="shared" ref="W337:W342" si="195">Q337-P337</f>
        <v>3136.2295300001279</v>
      </c>
      <c r="X337" s="146" t="e">
        <f>O337-#REF!</f>
        <v>#REF!</v>
      </c>
      <c r="Y337" s="168">
        <f t="shared" si="193"/>
        <v>4163549.8480805764</v>
      </c>
      <c r="Z337" s="168">
        <f t="shared" si="193"/>
        <v>4378128.0010886323</v>
      </c>
      <c r="AA337" s="168">
        <f t="shared" si="193"/>
        <v>8619327.0266832002</v>
      </c>
      <c r="AB337" s="168">
        <f>AB338+AB339</f>
        <v>4352693.9066212196</v>
      </c>
      <c r="AC337" s="168">
        <f>AC338+AC339</f>
        <v>4387899.8914342169</v>
      </c>
      <c r="AD337" s="168">
        <f t="shared" si="171"/>
        <v>189144.05854064319</v>
      </c>
      <c r="AE337" s="168">
        <f t="shared" si="178"/>
        <v>4.5428556266196694</v>
      </c>
      <c r="AF337" s="168">
        <f t="shared" si="172"/>
        <v>-25434.09446741268</v>
      </c>
      <c r="AG337" s="168">
        <f t="shared" si="179"/>
        <v>-0.58093537834180609</v>
      </c>
      <c r="AH337" s="168">
        <f t="shared" si="173"/>
        <v>-4266633.1200619806</v>
      </c>
      <c r="AI337" s="168">
        <f t="shared" si="174"/>
        <v>-49.50076852698119</v>
      </c>
    </row>
    <row r="338" spans="1:36" ht="25.95" customHeight="1">
      <c r="A338" s="139"/>
      <c r="B338" s="143"/>
      <c r="C338" s="177"/>
      <c r="D338" s="140" t="s">
        <v>1452</v>
      </c>
      <c r="E338" s="140" t="s">
        <v>1452</v>
      </c>
      <c r="F338" s="217" t="s">
        <v>1451</v>
      </c>
      <c r="G338" s="144">
        <f t="shared" ref="G338:I338" si="196">G246</f>
        <v>1612170.9103215688</v>
      </c>
      <c r="H338" s="144">
        <f t="shared" si="196"/>
        <v>1943860.97095</v>
      </c>
      <c r="I338" s="144">
        <f t="shared" si="196"/>
        <v>1602820.2280177155</v>
      </c>
      <c r="J338" s="144">
        <f>J246</f>
        <v>1768857.1430750673</v>
      </c>
      <c r="K338" s="144">
        <f>K246</f>
        <v>2059211.8763689999</v>
      </c>
      <c r="L338" s="144">
        <f>L246</f>
        <v>1749169.1986700001</v>
      </c>
      <c r="M338" s="144">
        <f>M246</f>
        <v>1655457.4148923224</v>
      </c>
      <c r="N338" s="144">
        <f t="shared" ref="N338:AC338" si="197">N246</f>
        <v>2252764.3344800002</v>
      </c>
      <c r="O338" s="144">
        <f t="shared" si="197"/>
        <v>2161665.4932500003</v>
      </c>
      <c r="P338" s="144">
        <f t="shared" si="197"/>
        <v>2117678.8413225324</v>
      </c>
      <c r="Q338" s="144">
        <f t="shared" si="197"/>
        <v>2120815.0690725325</v>
      </c>
      <c r="R338" s="144">
        <f t="shared" si="197"/>
        <v>2016701.8244825325</v>
      </c>
      <c r="S338" s="144">
        <f t="shared" ref="S338:S342" si="198">R338-M338</f>
        <v>361244.40959021007</v>
      </c>
      <c r="T338" s="144">
        <f t="shared" si="166"/>
        <v>-144963.66876746784</v>
      </c>
      <c r="U338" s="146" t="e">
        <f>R338-#REF!</f>
        <v>#REF!</v>
      </c>
      <c r="V338" s="146">
        <f t="shared" si="194"/>
        <v>361244.40959021007</v>
      </c>
      <c r="W338" s="146">
        <f t="shared" si="195"/>
        <v>3136.2277500000782</v>
      </c>
      <c r="X338" s="146" t="e">
        <f>O338-#REF!</f>
        <v>#REF!</v>
      </c>
      <c r="Y338" s="144">
        <f t="shared" si="197"/>
        <v>1788344.6142069914</v>
      </c>
      <c r="Z338" s="144">
        <f t="shared" si="197"/>
        <v>1868820.1199230908</v>
      </c>
      <c r="AA338" s="144">
        <f t="shared" si="197"/>
        <v>4313998.9154455531</v>
      </c>
      <c r="AB338" s="144">
        <f t="shared" si="197"/>
        <v>1854248.2595059047</v>
      </c>
      <c r="AC338" s="144">
        <f t="shared" si="197"/>
        <v>1854248.2595059047</v>
      </c>
      <c r="AD338" s="144">
        <f t="shared" si="171"/>
        <v>65903.645298913354</v>
      </c>
      <c r="AE338" s="144">
        <f t="shared" si="178"/>
        <v>3.6851759317169979</v>
      </c>
      <c r="AF338" s="144">
        <f t="shared" si="172"/>
        <v>-14571.86041718605</v>
      </c>
      <c r="AG338" s="144">
        <f t="shared" si="179"/>
        <v>-0.77973584840181331</v>
      </c>
      <c r="AH338" s="144">
        <f t="shared" si="173"/>
        <v>-2459750.6559396484</v>
      </c>
      <c r="AI338" s="144">
        <f t="shared" si="174"/>
        <v>-57.017878403560132</v>
      </c>
      <c r="AJ338" s="214"/>
    </row>
    <row r="339" spans="1:36" ht="21" customHeight="1">
      <c r="A339" s="139"/>
      <c r="B339" s="143"/>
      <c r="C339" s="177"/>
      <c r="D339" s="140" t="s">
        <v>1453</v>
      </c>
      <c r="E339" s="140" t="s">
        <v>1453</v>
      </c>
      <c r="F339" s="217" t="s">
        <v>1451</v>
      </c>
      <c r="G339" s="144">
        <f>G324</f>
        <v>2728024.6363561507</v>
      </c>
      <c r="H339" s="144">
        <f t="shared" ref="H339:I339" si="199">H324</f>
        <v>2580854.4138399996</v>
      </c>
      <c r="I339" s="144">
        <f t="shared" si="199"/>
        <v>2244113.3387999996</v>
      </c>
      <c r="J339" s="144">
        <f>J324</f>
        <v>2311575.7303011813</v>
      </c>
      <c r="K339" s="144">
        <f>K324</f>
        <v>2493597.7122860127</v>
      </c>
      <c r="L339" s="144">
        <f>L324</f>
        <v>2200297.8274325002</v>
      </c>
      <c r="M339" s="144">
        <f>M324</f>
        <v>1998369.579214415</v>
      </c>
      <c r="N339" s="144">
        <f t="shared" ref="N339:AA339" si="200">N324</f>
        <v>2915134.4478400019</v>
      </c>
      <c r="O339" s="144">
        <f t="shared" si="200"/>
        <v>2523889.875380001</v>
      </c>
      <c r="P339" s="144">
        <f t="shared" si="200"/>
        <v>2113073.2317275</v>
      </c>
      <c r="Q339" s="144">
        <f t="shared" si="200"/>
        <v>2113073.2335075</v>
      </c>
      <c r="R339" s="144">
        <f t="shared" si="200"/>
        <v>2102502.8009100002</v>
      </c>
      <c r="S339" s="144">
        <f t="shared" si="198"/>
        <v>104133.22169558518</v>
      </c>
      <c r="T339" s="144">
        <f t="shared" si="166"/>
        <v>-421387.07447000081</v>
      </c>
      <c r="U339" s="146" t="e">
        <f>R339-#REF!</f>
        <v>#REF!</v>
      </c>
      <c r="V339" s="146">
        <f t="shared" si="194"/>
        <v>104133.22169558518</v>
      </c>
      <c r="W339" s="146">
        <f t="shared" si="195"/>
        <v>1.7800000496208668E-3</v>
      </c>
      <c r="X339" s="146" t="e">
        <f>O339-#REF!</f>
        <v>#REF!</v>
      </c>
      <c r="Y339" s="144">
        <f t="shared" si="200"/>
        <v>2375205.2338735852</v>
      </c>
      <c r="Z339" s="144">
        <f t="shared" si="200"/>
        <v>2509307.8811655412</v>
      </c>
      <c r="AA339" s="144">
        <f t="shared" si="200"/>
        <v>4305328.111237647</v>
      </c>
      <c r="AB339" s="144">
        <f>AB324</f>
        <v>2498445.6471153144</v>
      </c>
      <c r="AC339" s="144">
        <f>AC324</f>
        <v>2533651.6319283121</v>
      </c>
      <c r="AD339" s="144">
        <f t="shared" si="171"/>
        <v>123240.41324172914</v>
      </c>
      <c r="AE339" s="144">
        <f t="shared" si="178"/>
        <v>5.1886216603162154</v>
      </c>
      <c r="AF339" s="144">
        <f t="shared" si="172"/>
        <v>-10862.234050226863</v>
      </c>
      <c r="AG339" s="144">
        <f t="shared" si="179"/>
        <v>-0.43287769236118834</v>
      </c>
      <c r="AH339" s="144">
        <f t="shared" si="173"/>
        <v>-1806882.4641223326</v>
      </c>
      <c r="AI339" s="144">
        <f t="shared" si="174"/>
        <v>-41.968519412168817</v>
      </c>
      <c r="AJ339" s="214"/>
    </row>
    <row r="340" spans="1:36" s="214" customFormat="1" ht="66.75" customHeight="1" collapsed="1">
      <c r="A340" s="211"/>
      <c r="B340" s="168" t="s">
        <v>52</v>
      </c>
      <c r="C340" s="249"/>
      <c r="D340" s="284" t="s">
        <v>1459</v>
      </c>
      <c r="E340" s="284" t="s">
        <v>1459</v>
      </c>
      <c r="F340" s="213" t="s">
        <v>1451</v>
      </c>
      <c r="G340" s="168">
        <f t="shared" ref="G340" si="201">G341+G342</f>
        <v>4013366.0766777201</v>
      </c>
      <c r="H340" s="168">
        <f>H341+H342</f>
        <v>4430224.3847899996</v>
      </c>
      <c r="I340" s="168">
        <f t="shared" ref="I340" si="202">I341+I342</f>
        <v>3846933.5668177148</v>
      </c>
      <c r="J340" s="168">
        <f>J341+J342</f>
        <v>3665802.9541833797</v>
      </c>
      <c r="K340" s="168">
        <f>K341+K342</f>
        <v>4471289.658655012</v>
      </c>
      <c r="L340" s="168">
        <f t="shared" ref="L340:AC340" si="203">L341+L342</f>
        <v>3949467.0261025</v>
      </c>
      <c r="M340" s="168">
        <f t="shared" si="203"/>
        <v>3589630.2141067376</v>
      </c>
      <c r="N340" s="168">
        <f t="shared" si="203"/>
        <v>4905585.5022900002</v>
      </c>
      <c r="O340" s="168">
        <f t="shared" si="203"/>
        <v>4583818.5855</v>
      </c>
      <c r="P340" s="168">
        <f t="shared" si="203"/>
        <v>4166555.2930500321</v>
      </c>
      <c r="Q340" s="168">
        <f t="shared" si="203"/>
        <v>4169691.5225800322</v>
      </c>
      <c r="R340" s="168">
        <f t="shared" si="203"/>
        <v>4055007.8453925326</v>
      </c>
      <c r="S340" s="168">
        <f t="shared" si="198"/>
        <v>465377.63128579501</v>
      </c>
      <c r="T340" s="168">
        <f t="shared" si="166"/>
        <v>-528810.7401074674</v>
      </c>
      <c r="U340" s="146" t="e">
        <f>R340-#REF!</f>
        <v>#REF!</v>
      </c>
      <c r="V340" s="146">
        <f t="shared" si="194"/>
        <v>465377.63128579501</v>
      </c>
      <c r="W340" s="146">
        <f t="shared" si="195"/>
        <v>3136.2295300001279</v>
      </c>
      <c r="X340" s="146" t="e">
        <f>O340-#REF!</f>
        <v>#REF!</v>
      </c>
      <c r="Y340" s="168">
        <f t="shared" si="203"/>
        <v>3826951.2123611686</v>
      </c>
      <c r="Z340" s="168">
        <f t="shared" si="203"/>
        <v>4023542.2446277346</v>
      </c>
      <c r="AA340" s="168">
        <f t="shared" si="203"/>
        <v>7843570.7885442283</v>
      </c>
      <c r="AB340" s="168">
        <f t="shared" si="203"/>
        <v>3996712.6912652203</v>
      </c>
      <c r="AC340" s="168">
        <f t="shared" si="203"/>
        <v>4028324.9924379536</v>
      </c>
      <c r="AD340" s="168">
        <f t="shared" si="171"/>
        <v>169761.47890405171</v>
      </c>
      <c r="AE340" s="168">
        <f t="shared" si="178"/>
        <v>4.4359457302647769</v>
      </c>
      <c r="AF340" s="168">
        <f t="shared" si="172"/>
        <v>-26829.553362514358</v>
      </c>
      <c r="AG340" s="168">
        <f t="shared" si="179"/>
        <v>-0.66681425796727467</v>
      </c>
      <c r="AH340" s="168">
        <f t="shared" si="173"/>
        <v>-3846858.097279008</v>
      </c>
      <c r="AI340" s="168">
        <f t="shared" si="174"/>
        <v>-49.044729766415315</v>
      </c>
    </row>
    <row r="341" spans="1:36" ht="25.95" customHeight="1">
      <c r="A341" s="139"/>
      <c r="B341" s="143"/>
      <c r="C341" s="177"/>
      <c r="D341" s="140" t="s">
        <v>1452</v>
      </c>
      <c r="E341" s="140" t="s">
        <v>1452</v>
      </c>
      <c r="F341" s="217" t="s">
        <v>1451</v>
      </c>
      <c r="G341" s="144">
        <f t="shared" ref="G341:I341" si="204">G246</f>
        <v>1612170.9103215688</v>
      </c>
      <c r="H341" s="144">
        <f t="shared" si="204"/>
        <v>1943860.97095</v>
      </c>
      <c r="I341" s="144">
        <f t="shared" si="204"/>
        <v>1602820.2280177155</v>
      </c>
      <c r="J341" s="144">
        <f>J246</f>
        <v>1768857.1430750673</v>
      </c>
      <c r="K341" s="144">
        <f>K246</f>
        <v>2059211.8763689999</v>
      </c>
      <c r="L341" s="144">
        <f>L246</f>
        <v>1749169.1986700001</v>
      </c>
      <c r="M341" s="144">
        <f>M246</f>
        <v>1655457.4148923224</v>
      </c>
      <c r="N341" s="144">
        <f t="shared" ref="N341:AC341" si="205">N246</f>
        <v>2252764.3344800002</v>
      </c>
      <c r="O341" s="144">
        <f t="shared" si="205"/>
        <v>2161665.4932500003</v>
      </c>
      <c r="P341" s="144">
        <f t="shared" si="205"/>
        <v>2117678.8413225324</v>
      </c>
      <c r="Q341" s="144">
        <f t="shared" si="205"/>
        <v>2120815.0690725325</v>
      </c>
      <c r="R341" s="144">
        <f t="shared" si="205"/>
        <v>2016701.8244825325</v>
      </c>
      <c r="S341" s="144">
        <f t="shared" si="198"/>
        <v>361244.40959021007</v>
      </c>
      <c r="T341" s="144">
        <f t="shared" si="166"/>
        <v>-144963.66876746784</v>
      </c>
      <c r="U341" s="146" t="e">
        <f>R341-#REF!</f>
        <v>#REF!</v>
      </c>
      <c r="V341" s="146">
        <f t="shared" si="194"/>
        <v>361244.40959021007</v>
      </c>
      <c r="W341" s="146">
        <f t="shared" si="195"/>
        <v>3136.2277500000782</v>
      </c>
      <c r="X341" s="146" t="e">
        <f>O341-#REF!</f>
        <v>#REF!</v>
      </c>
      <c r="Y341" s="144">
        <f t="shared" si="205"/>
        <v>1788344.6142069914</v>
      </c>
      <c r="Z341" s="144">
        <f t="shared" si="205"/>
        <v>1868820.1199230908</v>
      </c>
      <c r="AA341" s="144">
        <f t="shared" si="205"/>
        <v>4313998.9154455531</v>
      </c>
      <c r="AB341" s="144">
        <f t="shared" si="205"/>
        <v>1854248.2595059047</v>
      </c>
      <c r="AC341" s="144">
        <f t="shared" si="205"/>
        <v>1854248.2595059047</v>
      </c>
      <c r="AD341" s="144">
        <f t="shared" si="171"/>
        <v>65903.645298913354</v>
      </c>
      <c r="AE341" s="144">
        <f t="shared" si="178"/>
        <v>3.6851759317169979</v>
      </c>
      <c r="AF341" s="144">
        <f t="shared" si="172"/>
        <v>-14571.86041718605</v>
      </c>
      <c r="AG341" s="144">
        <f t="shared" si="179"/>
        <v>-0.77973584840181331</v>
      </c>
      <c r="AH341" s="144">
        <f t="shared" si="173"/>
        <v>-2459750.6559396484</v>
      </c>
      <c r="AI341" s="144">
        <f t="shared" si="174"/>
        <v>-57.017878403560132</v>
      </c>
      <c r="AJ341" s="214"/>
    </row>
    <row r="342" spans="1:36" ht="22.95" customHeight="1">
      <c r="A342" s="139"/>
      <c r="B342" s="143"/>
      <c r="C342" s="177"/>
      <c r="D342" s="140" t="s">
        <v>1453</v>
      </c>
      <c r="E342" s="140" t="s">
        <v>1453</v>
      </c>
      <c r="F342" s="217" t="s">
        <v>1451</v>
      </c>
      <c r="G342" s="144">
        <f t="shared" ref="G342" si="206">G321-G275-G276</f>
        <v>2401195.166356151</v>
      </c>
      <c r="H342" s="144">
        <f>H321-H275-H276</f>
        <v>2486363.4138399996</v>
      </c>
      <c r="I342" s="144">
        <f t="shared" ref="I342" si="207">I321-I275-I276</f>
        <v>2244113.3387999996</v>
      </c>
      <c r="J342" s="144">
        <f>J321-J275-J276</f>
        <v>1896945.8111083123</v>
      </c>
      <c r="K342" s="144">
        <f>K321-K275-K276</f>
        <v>2412077.7822860125</v>
      </c>
      <c r="L342" s="144">
        <f>L321-L275-L276</f>
        <v>2200297.8274325002</v>
      </c>
      <c r="M342" s="144">
        <f>M321-M275-M276</f>
        <v>1934172.799214415</v>
      </c>
      <c r="N342" s="144">
        <f t="shared" ref="N342:AC342" si="208">N321-N275-N276</f>
        <v>2652821.16781</v>
      </c>
      <c r="O342" s="144">
        <f t="shared" si="208"/>
        <v>2422153.0922500002</v>
      </c>
      <c r="P342" s="144">
        <f t="shared" si="208"/>
        <v>2048876.4517275</v>
      </c>
      <c r="Q342" s="144">
        <f t="shared" si="208"/>
        <v>2048876.4535075</v>
      </c>
      <c r="R342" s="144">
        <f t="shared" si="208"/>
        <v>2038306.0209100002</v>
      </c>
      <c r="S342" s="144">
        <f t="shared" si="198"/>
        <v>104133.22169558518</v>
      </c>
      <c r="T342" s="144">
        <f t="shared" si="166"/>
        <v>-383847.07134000002</v>
      </c>
      <c r="U342" s="146" t="e">
        <f>R342-#REF!</f>
        <v>#REF!</v>
      </c>
      <c r="V342" s="146">
        <f t="shared" si="194"/>
        <v>104133.22169558518</v>
      </c>
      <c r="W342" s="146">
        <f t="shared" si="195"/>
        <v>1.7800000496208668E-3</v>
      </c>
      <c r="X342" s="146" t="e">
        <f>O342-#REF!</f>
        <v>#REF!</v>
      </c>
      <c r="Y342" s="144">
        <f t="shared" si="208"/>
        <v>2038606.5981541772</v>
      </c>
      <c r="Z342" s="144">
        <f t="shared" si="208"/>
        <v>2154722.1247046441</v>
      </c>
      <c r="AA342" s="144">
        <f t="shared" si="208"/>
        <v>3529571.8730986752</v>
      </c>
      <c r="AB342" s="144">
        <f t="shared" si="208"/>
        <v>2142464.4317593155</v>
      </c>
      <c r="AC342" s="144">
        <f t="shared" si="208"/>
        <v>2174076.7329320488</v>
      </c>
      <c r="AD342" s="144">
        <f t="shared" si="171"/>
        <v>103857.83360513835</v>
      </c>
      <c r="AE342" s="144">
        <f t="shared" si="178"/>
        <v>5.0945500568464013</v>
      </c>
      <c r="AF342" s="144">
        <f t="shared" si="172"/>
        <v>-12257.692945328541</v>
      </c>
      <c r="AG342" s="144">
        <f t="shared" si="179"/>
        <v>-0.56887581023974576</v>
      </c>
      <c r="AH342" s="144">
        <f t="shared" si="173"/>
        <v>-1387107.4413393596</v>
      </c>
      <c r="AI342" s="144">
        <f t="shared" si="174"/>
        <v>-39.299594716046762</v>
      </c>
      <c r="AJ342" s="214"/>
    </row>
    <row r="343" spans="1:36" ht="33" customHeight="1" outlineLevel="1">
      <c r="A343" s="285"/>
      <c r="B343" s="286"/>
      <c r="C343" s="287"/>
      <c r="D343" s="287" t="s">
        <v>1460</v>
      </c>
      <c r="E343" s="288"/>
      <c r="F343" s="289"/>
      <c r="G343" s="290">
        <f t="shared" ref="G343:L343" si="209">G29+G95+G113+G129-G201-G202-G203-G204+G245+G247+G248+G249+G262+G278+G279</f>
        <v>3750327.9354799693</v>
      </c>
      <c r="H343" s="290">
        <f t="shared" si="209"/>
        <v>3729222.3847899996</v>
      </c>
      <c r="I343" s="290">
        <f t="shared" si="209"/>
        <v>3622202.3768177154</v>
      </c>
      <c r="J343" s="290">
        <f t="shared" si="209"/>
        <v>3360270.9382638289</v>
      </c>
      <c r="K343" s="290">
        <f t="shared" si="209"/>
        <v>3828852.9561360129</v>
      </c>
      <c r="L343" s="290">
        <f t="shared" si="209"/>
        <v>3756427.1488900003</v>
      </c>
      <c r="M343" s="290">
        <f>M29+M95+M113+M129-M201-M202-M203-M204+M245+M247+M248+M249+M262+M278+M279</f>
        <v>3366322.6399237332</v>
      </c>
      <c r="N343" s="290">
        <f t="shared" ref="N343:R343" si="210">N29+N95+N113+N129-N201-N202-N203-N204+N245+N247+N248+N249+N262+N278+N279</f>
        <v>3793847.75538</v>
      </c>
      <c r="O343" s="290">
        <f t="shared" si="210"/>
        <v>3690864.4627100006</v>
      </c>
      <c r="P343" s="290">
        <f t="shared" si="210"/>
        <v>3646820.4260425325</v>
      </c>
      <c r="Q343" s="290">
        <f t="shared" si="210"/>
        <v>3649956.6555725327</v>
      </c>
      <c r="R343" s="290">
        <f t="shared" si="210"/>
        <v>3630700.3747625328</v>
      </c>
      <c r="S343" s="290"/>
      <c r="T343" s="290"/>
      <c r="U343" s="290"/>
      <c r="V343" s="290"/>
      <c r="W343" s="290"/>
      <c r="X343" s="290"/>
      <c r="Y343" s="290">
        <f t="shared" ref="Y343:AC343" si="211">Y29+Y95+Y113+Y129-Y201-Y202-Y203-Y204+Y245+Y247+Y248+Y249+Y262+Y278+Y279</f>
        <v>3538623.1463313159</v>
      </c>
      <c r="Z343" s="290">
        <f t="shared" si="211"/>
        <v>3721529.3700930108</v>
      </c>
      <c r="AA343" s="290">
        <f t="shared" si="211"/>
        <v>6393937.4363019876</v>
      </c>
      <c r="AB343" s="290">
        <f t="shared" si="211"/>
        <v>3696014.6468100087</v>
      </c>
      <c r="AC343" s="290">
        <f t="shared" si="211"/>
        <v>3726728.527072676</v>
      </c>
      <c r="AD343" s="290"/>
    </row>
    <row r="344" spans="1:36" ht="33" customHeight="1" outlineLevel="1">
      <c r="A344" s="285"/>
      <c r="B344" s="286"/>
      <c r="C344" s="287"/>
      <c r="D344" s="287"/>
      <c r="E344" s="288"/>
      <c r="F344" s="289"/>
      <c r="G344" s="290"/>
      <c r="H344" s="290"/>
      <c r="I344" s="290"/>
      <c r="J344" s="290"/>
      <c r="K344" s="290"/>
      <c r="L344" s="290"/>
      <c r="M344" s="290">
        <f>'[66]3. НВВ '!M234</f>
        <v>3366322.6399237323</v>
      </c>
      <c r="N344" s="290">
        <f>'[66]3. НВВ '!N234</f>
        <v>3793845.75538</v>
      </c>
      <c r="O344" s="290">
        <f>'[66]3. НВВ '!O234</f>
        <v>3690864.4627100006</v>
      </c>
      <c r="P344" s="290">
        <f>'[66]3. НВВ '!P234</f>
        <v>3646820.4260425325</v>
      </c>
      <c r="Q344" s="290">
        <f>'[66]3. НВВ '!Q234</f>
        <v>3649956.6555725327</v>
      </c>
      <c r="R344" s="290">
        <f>'[66]3. НВВ '!R234</f>
        <v>3630700.3747625328</v>
      </c>
      <c r="S344" s="290"/>
      <c r="T344" s="290"/>
      <c r="U344" s="290" t="e">
        <f>'[66]3. НВВ '!U234</f>
        <v>#REF!</v>
      </c>
      <c r="V344" s="290" t="e">
        <f>'[66]3. НВВ '!V234</f>
        <v>#REF!</v>
      </c>
      <c r="W344" s="290" t="e">
        <f>'[66]3. НВВ '!W234</f>
        <v>#REF!</v>
      </c>
      <c r="X344" s="290" t="e">
        <f>'[66]3. НВВ '!X234</f>
        <v>#REF!</v>
      </c>
      <c r="Y344" s="290"/>
      <c r="Z344" s="290"/>
      <c r="AA344" s="290"/>
    </row>
    <row r="345" spans="1:36" ht="29.25" customHeight="1" thickBot="1">
      <c r="A345" s="285"/>
      <c r="B345" s="1349" t="s">
        <v>1461</v>
      </c>
      <c r="C345" s="1349"/>
      <c r="D345" s="1349"/>
      <c r="E345" s="1349"/>
      <c r="F345" s="1349"/>
      <c r="G345" s="1349"/>
      <c r="H345" s="1349"/>
      <c r="I345" s="1349"/>
      <c r="J345" s="1349"/>
      <c r="K345" s="1349"/>
      <c r="L345" s="1349"/>
      <c r="M345" s="1349"/>
      <c r="N345" s="1349"/>
      <c r="O345" s="1349"/>
      <c r="P345" s="1349"/>
      <c r="Q345" s="1349"/>
      <c r="R345" s="1349"/>
      <c r="S345" s="1349"/>
      <c r="T345" s="1349"/>
      <c r="U345" s="1349"/>
      <c r="V345" s="1349"/>
      <c r="W345" s="1349"/>
      <c r="X345" s="1349"/>
      <c r="Y345" s="1349"/>
      <c r="Z345" s="1349"/>
      <c r="AA345" s="1349"/>
      <c r="AB345" s="1349"/>
      <c r="AC345" s="291"/>
    </row>
    <row r="346" spans="1:36" ht="33" customHeight="1">
      <c r="A346" s="258"/>
      <c r="B346" s="292" t="s">
        <v>1</v>
      </c>
      <c r="C346" s="293"/>
      <c r="D346" s="294" t="s">
        <v>1462</v>
      </c>
      <c r="E346" s="294" t="s">
        <v>1462</v>
      </c>
      <c r="F346" s="295" t="s">
        <v>1451</v>
      </c>
      <c r="G346" s="295"/>
      <c r="H346" s="295"/>
      <c r="I346" s="295"/>
      <c r="J346" s="296">
        <f>J247</f>
        <v>266480.56591900397</v>
      </c>
      <c r="K346" s="296">
        <f>K247</f>
        <v>252116.268376013</v>
      </c>
      <c r="L346" s="296">
        <f>L247</f>
        <v>252116.27</v>
      </c>
      <c r="M346" s="296">
        <f>M248</f>
        <v>206057.33</v>
      </c>
      <c r="N346" s="296">
        <f t="shared" ref="N346:AC346" si="212">N248</f>
        <v>321828.63365999999</v>
      </c>
      <c r="O346" s="296">
        <f t="shared" si="212"/>
        <v>320542.03473999997</v>
      </c>
      <c r="P346" s="296">
        <f t="shared" si="212"/>
        <v>320484.65000000002</v>
      </c>
      <c r="Q346" s="296">
        <f t="shared" si="212"/>
        <v>320484.65000000002</v>
      </c>
      <c r="R346" s="296">
        <f t="shared" si="212"/>
        <v>320484.65000000002</v>
      </c>
      <c r="S346" s="296">
        <f t="shared" si="212"/>
        <v>114427.32000000004</v>
      </c>
      <c r="T346" s="296">
        <f t="shared" si="212"/>
        <v>-57.384739999950398</v>
      </c>
      <c r="U346" s="296" t="e">
        <f t="shared" si="212"/>
        <v>#REF!</v>
      </c>
      <c r="V346" s="296">
        <f t="shared" si="212"/>
        <v>114427.32000000004</v>
      </c>
      <c r="W346" s="296">
        <f t="shared" si="212"/>
        <v>0</v>
      </c>
      <c r="X346" s="296" t="e">
        <f t="shared" si="212"/>
        <v>#REF!</v>
      </c>
      <c r="Y346" s="296">
        <f t="shared" si="212"/>
        <v>297196.02</v>
      </c>
      <c r="Z346" s="296">
        <f t="shared" si="212"/>
        <v>334238.02499999997</v>
      </c>
      <c r="AA346" s="296">
        <f t="shared" si="212"/>
        <v>973491.73</v>
      </c>
      <c r="AB346" s="296">
        <f t="shared" si="212"/>
        <v>356306</v>
      </c>
      <c r="AC346" s="296">
        <f t="shared" si="212"/>
        <v>356306</v>
      </c>
      <c r="AD346" s="296">
        <f t="shared" ref="AD346:AD350" si="213">AB346-Y346</f>
        <v>59109.979999999981</v>
      </c>
      <c r="AE346" s="296">
        <f t="shared" ref="AE346:AE350" si="214">AB346/Y346*100-100</f>
        <v>19.889223280984709</v>
      </c>
      <c r="AF346" s="296">
        <f t="shared" ref="AF346:AF350" si="215">AB346-Z346</f>
        <v>22067.975000000035</v>
      </c>
      <c r="AG346" s="296">
        <f t="shared" ref="AG346:AG350" si="216">AB346/Z346*100-100</f>
        <v>6.6024728933819148</v>
      </c>
      <c r="AH346" s="296">
        <f t="shared" ref="AH346:AH350" si="217">AB346-AA346</f>
        <v>-617185.73</v>
      </c>
      <c r="AI346" s="296">
        <f t="shared" ref="AI346:AI350" si="218">AB346/AA346*100-100</f>
        <v>-63.399175460894774</v>
      </c>
    </row>
    <row r="347" spans="1:36" ht="33" customHeight="1">
      <c r="A347" s="258"/>
      <c r="B347" s="297" t="s">
        <v>6</v>
      </c>
      <c r="C347" s="177"/>
      <c r="D347" s="232" t="s">
        <v>1463</v>
      </c>
      <c r="E347" s="232" t="s">
        <v>1463</v>
      </c>
      <c r="F347" s="178" t="s">
        <v>1451</v>
      </c>
      <c r="G347" s="178"/>
      <c r="H347" s="178"/>
      <c r="I347" s="178"/>
      <c r="J347" s="143">
        <f t="shared" ref="J347:L347" si="219">J275</f>
        <v>450143.9</v>
      </c>
      <c r="K347" s="143">
        <f t="shared" si="219"/>
        <v>0</v>
      </c>
      <c r="L347" s="143">
        <f t="shared" si="219"/>
        <v>0</v>
      </c>
      <c r="M347" s="143">
        <f>M276</f>
        <v>64196.78</v>
      </c>
      <c r="N347" s="143">
        <f t="shared" ref="N347:AC347" si="220">N276</f>
        <v>262313.280030002</v>
      </c>
      <c r="O347" s="143">
        <f t="shared" si="220"/>
        <v>101736.78313000068</v>
      </c>
      <c r="P347" s="143">
        <f t="shared" si="220"/>
        <v>64196.78</v>
      </c>
      <c r="Q347" s="143">
        <f t="shared" si="220"/>
        <v>64196.78</v>
      </c>
      <c r="R347" s="143">
        <f t="shared" si="220"/>
        <v>64196.78</v>
      </c>
      <c r="S347" s="143">
        <f t="shared" si="220"/>
        <v>0</v>
      </c>
      <c r="T347" s="143">
        <f t="shared" si="220"/>
        <v>-37540.003130000681</v>
      </c>
      <c r="U347" s="143" t="e">
        <f t="shared" si="220"/>
        <v>#REF!</v>
      </c>
      <c r="V347" s="143">
        <f t="shared" si="220"/>
        <v>0</v>
      </c>
      <c r="W347" s="143">
        <f t="shared" si="220"/>
        <v>0</v>
      </c>
      <c r="X347" s="143" t="e">
        <f t="shared" si="220"/>
        <v>#REF!</v>
      </c>
      <c r="Y347" s="143">
        <f t="shared" si="220"/>
        <v>336598.63571940805</v>
      </c>
      <c r="Z347" s="143">
        <f t="shared" si="220"/>
        <v>354585.75646089728</v>
      </c>
      <c r="AA347" s="143">
        <f t="shared" si="220"/>
        <v>775756.23813897197</v>
      </c>
      <c r="AB347" s="143">
        <f t="shared" si="220"/>
        <v>355981.21535599872</v>
      </c>
      <c r="AC347" s="143">
        <f t="shared" si="220"/>
        <v>359574.89899626304</v>
      </c>
      <c r="AD347" s="143">
        <f t="shared" si="213"/>
        <v>19382.579636590672</v>
      </c>
      <c r="AE347" s="143">
        <f t="shared" si="214"/>
        <v>5.7583654773776942</v>
      </c>
      <c r="AF347" s="143">
        <f t="shared" si="215"/>
        <v>1395.4588951014448</v>
      </c>
      <c r="AG347" s="143">
        <f t="shared" si="216"/>
        <v>0.3935462351983432</v>
      </c>
      <c r="AH347" s="143">
        <f t="shared" si="217"/>
        <v>-419775.02278297325</v>
      </c>
      <c r="AI347" s="143">
        <f t="shared" si="218"/>
        <v>-54.111717334043938</v>
      </c>
    </row>
    <row r="348" spans="1:36">
      <c r="A348" s="258"/>
      <c r="B348" s="297"/>
      <c r="C348" s="177"/>
      <c r="D348" s="298" t="s">
        <v>1464</v>
      </c>
      <c r="E348" s="142" t="s">
        <v>1464</v>
      </c>
      <c r="F348" s="217" t="s">
        <v>1451</v>
      </c>
      <c r="G348" s="217"/>
      <c r="H348" s="217"/>
      <c r="I348" s="217"/>
      <c r="J348" s="144">
        <f>J346+J347</f>
        <v>716624.46591900405</v>
      </c>
      <c r="K348" s="144">
        <f t="shared" ref="K348:R349" si="221">K346+K347</f>
        <v>252116.268376013</v>
      </c>
      <c r="L348" s="144">
        <f t="shared" si="221"/>
        <v>252116.27</v>
      </c>
      <c r="M348" s="144">
        <f t="shared" si="221"/>
        <v>270254.11</v>
      </c>
      <c r="N348" s="144">
        <f t="shared" si="221"/>
        <v>584141.91369000194</v>
      </c>
      <c r="O348" s="144">
        <f t="shared" si="221"/>
        <v>422278.81787000067</v>
      </c>
      <c r="P348" s="144">
        <f t="shared" si="221"/>
        <v>384681.43000000005</v>
      </c>
      <c r="Q348" s="144">
        <f t="shared" si="221"/>
        <v>384681.43000000005</v>
      </c>
      <c r="R348" s="144">
        <f t="shared" si="221"/>
        <v>384681.43000000005</v>
      </c>
      <c r="S348" s="144">
        <f t="shared" ref="S348" si="222">R348-M348</f>
        <v>114427.32000000007</v>
      </c>
      <c r="T348" s="144">
        <f t="shared" ref="T348" si="223">R348-O348</f>
        <v>-37597.387870000617</v>
      </c>
      <c r="U348" s="144" t="e">
        <f>R348-#REF!</f>
        <v>#REF!</v>
      </c>
      <c r="V348" s="144">
        <f t="shared" ref="V348" si="224">Q348-P348</f>
        <v>0</v>
      </c>
      <c r="W348" s="144">
        <f t="shared" ref="W348" si="225">Q348-P348</f>
        <v>0</v>
      </c>
      <c r="X348" s="144" t="e">
        <f>O348-#REF!</f>
        <v>#REF!</v>
      </c>
      <c r="Y348" s="144">
        <f t="shared" ref="Y348:AC348" si="226">Y346+Y347</f>
        <v>633794.65571940807</v>
      </c>
      <c r="Z348" s="144">
        <f t="shared" si="226"/>
        <v>688823.7814608973</v>
      </c>
      <c r="AA348" s="144">
        <f t="shared" si="226"/>
        <v>1749247.9681389718</v>
      </c>
      <c r="AB348" s="299">
        <f t="shared" si="226"/>
        <v>712287.21535599872</v>
      </c>
      <c r="AC348" s="299">
        <f t="shared" si="226"/>
        <v>715880.89899626304</v>
      </c>
      <c r="AD348" s="299">
        <f t="shared" si="213"/>
        <v>78492.559636590653</v>
      </c>
      <c r="AE348" s="299">
        <f t="shared" si="214"/>
        <v>12.384541101485809</v>
      </c>
      <c r="AF348" s="299">
        <f t="shared" si="215"/>
        <v>23463.433895101422</v>
      </c>
      <c r="AG348" s="299">
        <f t="shared" si="216"/>
        <v>3.4063042720939194</v>
      </c>
      <c r="AH348" s="299">
        <f t="shared" si="217"/>
        <v>-1036960.7527829731</v>
      </c>
      <c r="AI348" s="299">
        <f t="shared" si="218"/>
        <v>-59.280374862244237</v>
      </c>
    </row>
    <row r="349" spans="1:36" ht="33" customHeight="1">
      <c r="A349" s="258"/>
      <c r="B349" s="297" t="s">
        <v>16</v>
      </c>
      <c r="C349" s="177"/>
      <c r="D349" s="232" t="s">
        <v>65</v>
      </c>
      <c r="E349" s="142" t="s">
        <v>1464</v>
      </c>
      <c r="F349" s="178" t="s">
        <v>1451</v>
      </c>
      <c r="G349" s="178"/>
      <c r="H349" s="178"/>
      <c r="I349" s="178"/>
      <c r="J349" s="143">
        <f>J347+J348</f>
        <v>1166768.3659190042</v>
      </c>
      <c r="K349" s="143">
        <f t="shared" si="221"/>
        <v>252116.268376013</v>
      </c>
      <c r="L349" s="143">
        <f t="shared" si="221"/>
        <v>252116.27</v>
      </c>
      <c r="M349" s="143">
        <f>M250+M251+M252+M253</f>
        <v>982478.72407</v>
      </c>
      <c r="N349" s="143">
        <f t="shared" ref="N349:AC349" si="227">N250+N251+N252+N253</f>
        <v>997525.12860000005</v>
      </c>
      <c r="O349" s="143">
        <f t="shared" si="227"/>
        <v>997511.13563999999</v>
      </c>
      <c r="P349" s="143">
        <f t="shared" si="227"/>
        <v>997511.13563999999</v>
      </c>
      <c r="Q349" s="143">
        <f t="shared" si="227"/>
        <v>997511.13563999999</v>
      </c>
      <c r="R349" s="143">
        <f t="shared" si="227"/>
        <v>997511.13563999999</v>
      </c>
      <c r="S349" s="143">
        <f t="shared" si="227"/>
        <v>15032.41157000004</v>
      </c>
      <c r="T349" s="143">
        <f t="shared" si="227"/>
        <v>0</v>
      </c>
      <c r="U349" s="143" t="e">
        <f t="shared" si="227"/>
        <v>#REF!</v>
      </c>
      <c r="V349" s="143">
        <f t="shared" si="227"/>
        <v>15032.41157000004</v>
      </c>
      <c r="W349" s="143">
        <f t="shared" si="227"/>
        <v>0</v>
      </c>
      <c r="X349" s="143" t="e">
        <f t="shared" si="227"/>
        <v>#REF!</v>
      </c>
      <c r="Y349" s="143">
        <f t="shared" si="227"/>
        <v>854597.19026000006</v>
      </c>
      <c r="Z349" s="143">
        <f t="shared" si="227"/>
        <v>893054.06382169994</v>
      </c>
      <c r="AA349" s="143">
        <f t="shared" si="227"/>
        <v>1062456.3841432203</v>
      </c>
      <c r="AB349" s="143">
        <f t="shared" si="227"/>
        <v>855691.4</v>
      </c>
      <c r="AC349" s="143">
        <f t="shared" si="227"/>
        <v>855691.4</v>
      </c>
      <c r="AD349" s="143">
        <f t="shared" si="213"/>
        <v>1094.209739999962</v>
      </c>
      <c r="AE349" s="143">
        <f t="shared" si="214"/>
        <v>0.12803806898394043</v>
      </c>
      <c r="AF349" s="143">
        <f t="shared" si="215"/>
        <v>-37362.663821699913</v>
      </c>
      <c r="AG349" s="143">
        <f t="shared" si="216"/>
        <v>-4.1836956277665536</v>
      </c>
      <c r="AH349" s="143">
        <f t="shared" si="217"/>
        <v>-206764.98414322024</v>
      </c>
      <c r="AI349" s="143">
        <f t="shared" si="218"/>
        <v>-19.461032681351753</v>
      </c>
    </row>
    <row r="350" spans="1:36" ht="17.25" customHeight="1" collapsed="1" thickBot="1">
      <c r="B350" s="297"/>
      <c r="C350" s="177"/>
      <c r="D350" s="298" t="s">
        <v>1465</v>
      </c>
      <c r="E350" s="300"/>
      <c r="F350" s="217" t="s">
        <v>1451</v>
      </c>
      <c r="G350" s="217"/>
      <c r="H350" s="217"/>
      <c r="I350" s="217"/>
      <c r="J350" s="144"/>
      <c r="K350" s="144"/>
      <c r="L350" s="144"/>
      <c r="M350" s="144">
        <f>M348+M349</f>
        <v>1252732.8340699999</v>
      </c>
      <c r="N350" s="144">
        <f t="shared" ref="N350:AC350" si="228">N348+N349</f>
        <v>1581667.0422900021</v>
      </c>
      <c r="O350" s="144">
        <f t="shared" si="228"/>
        <v>1419789.9535100006</v>
      </c>
      <c r="P350" s="144">
        <f t="shared" si="228"/>
        <v>1382192.5656400002</v>
      </c>
      <c r="Q350" s="144">
        <f t="shared" si="228"/>
        <v>1382192.5656400002</v>
      </c>
      <c r="R350" s="144">
        <f t="shared" si="228"/>
        <v>1382192.5656400002</v>
      </c>
      <c r="S350" s="144">
        <f t="shared" si="228"/>
        <v>129459.73157000011</v>
      </c>
      <c r="T350" s="144">
        <f t="shared" si="228"/>
        <v>-37597.387870000617</v>
      </c>
      <c r="U350" s="144" t="e">
        <f t="shared" si="228"/>
        <v>#REF!</v>
      </c>
      <c r="V350" s="144">
        <f t="shared" si="228"/>
        <v>15032.41157000004</v>
      </c>
      <c r="W350" s="144">
        <f t="shared" si="228"/>
        <v>0</v>
      </c>
      <c r="X350" s="144" t="e">
        <f t="shared" si="228"/>
        <v>#REF!</v>
      </c>
      <c r="Y350" s="144">
        <f t="shared" si="228"/>
        <v>1488391.8459794081</v>
      </c>
      <c r="Z350" s="144">
        <f t="shared" si="228"/>
        <v>1581877.8452825972</v>
      </c>
      <c r="AA350" s="144">
        <f t="shared" si="228"/>
        <v>2811704.3522821921</v>
      </c>
      <c r="AB350" s="144">
        <f t="shared" si="228"/>
        <v>1567978.6153559987</v>
      </c>
      <c r="AC350" s="144">
        <f t="shared" si="228"/>
        <v>1571572.2989962632</v>
      </c>
      <c r="AD350" s="144">
        <f t="shared" si="213"/>
        <v>79586.769376590615</v>
      </c>
      <c r="AE350" s="144">
        <f t="shared" si="214"/>
        <v>5.3471651024949125</v>
      </c>
      <c r="AF350" s="144">
        <f t="shared" si="215"/>
        <v>-13899.229926598491</v>
      </c>
      <c r="AG350" s="144">
        <f t="shared" si="216"/>
        <v>-0.87865380807046733</v>
      </c>
      <c r="AH350" s="144">
        <f t="shared" si="217"/>
        <v>-1243725.7369261933</v>
      </c>
      <c r="AI350" s="144">
        <f t="shared" si="218"/>
        <v>-44.233873163680649</v>
      </c>
    </row>
    <row r="351" spans="1:36" s="305" customFormat="1" ht="42.75" hidden="1" customHeight="1">
      <c r="A351" s="301"/>
      <c r="B351" s="1350" t="s">
        <v>110</v>
      </c>
      <c r="C351" s="1352" t="s">
        <v>1466</v>
      </c>
      <c r="D351" s="1353"/>
      <c r="E351" s="1354"/>
      <c r="F351" s="1350" t="s">
        <v>255</v>
      </c>
      <c r="G351" s="302"/>
      <c r="H351" s="302"/>
      <c r="I351" s="302"/>
      <c r="J351" s="1358">
        <v>2014</v>
      </c>
      <c r="K351" s="1360" t="s">
        <v>1467</v>
      </c>
      <c r="L351" s="1356"/>
      <c r="M351" s="1356"/>
      <c r="N351" s="1356"/>
      <c r="O351" s="1356"/>
      <c r="P351" s="1356"/>
      <c r="Q351" s="1356"/>
      <c r="R351" s="1356"/>
      <c r="S351" s="1356"/>
      <c r="T351" s="1356"/>
      <c r="U351" s="1356"/>
      <c r="V351" s="1356"/>
      <c r="W351" s="1356"/>
      <c r="X351" s="1356"/>
      <c r="Y351" s="1356"/>
      <c r="Z351" s="303"/>
      <c r="AA351" s="304"/>
      <c r="AB351" s="304"/>
      <c r="AC351" s="304"/>
      <c r="AD351" s="304"/>
      <c r="AE351" s="52"/>
      <c r="AF351" s="52"/>
    </row>
    <row r="352" spans="1:36" ht="17.25" hidden="1" customHeight="1">
      <c r="B352" s="1350"/>
      <c r="C352" s="1352"/>
      <c r="D352" s="1353"/>
      <c r="E352" s="1354"/>
      <c r="F352" s="1350"/>
      <c r="G352" s="302"/>
      <c r="H352" s="302"/>
      <c r="I352" s="302"/>
      <c r="J352" s="1358"/>
      <c r="K352" s="1361">
        <v>2015</v>
      </c>
      <c r="L352" s="1363"/>
      <c r="M352" s="306"/>
      <c r="N352" s="306"/>
      <c r="O352" s="306"/>
      <c r="P352" s="306"/>
      <c r="Q352" s="306"/>
      <c r="R352" s="306"/>
      <c r="S352" s="306"/>
      <c r="T352" s="306"/>
      <c r="U352" s="306"/>
      <c r="V352" s="306"/>
      <c r="W352" s="306"/>
      <c r="X352" s="306"/>
      <c r="Y352" s="307"/>
      <c r="Z352" s="307"/>
      <c r="AA352" s="307"/>
      <c r="AB352" s="307"/>
      <c r="AC352" s="308"/>
      <c r="AD352" s="308"/>
    </row>
    <row r="353" spans="1:32" ht="17.25" hidden="1" customHeight="1">
      <c r="B353" s="1350"/>
      <c r="C353" s="1352"/>
      <c r="D353" s="1353"/>
      <c r="E353" s="1354"/>
      <c r="F353" s="1350"/>
      <c r="G353" s="302"/>
      <c r="H353" s="302"/>
      <c r="I353" s="302"/>
      <c r="J353" s="1358"/>
      <c r="K353" s="1362"/>
      <c r="L353" s="1356"/>
      <c r="M353" s="309"/>
      <c r="N353" s="309"/>
      <c r="O353" s="309"/>
      <c r="P353" s="309"/>
      <c r="Q353" s="309"/>
      <c r="R353" s="309"/>
      <c r="S353" s="309"/>
      <c r="T353" s="309"/>
      <c r="U353" s="309"/>
      <c r="V353" s="309"/>
      <c r="W353" s="309"/>
      <c r="X353" s="309"/>
      <c r="Y353" s="309"/>
      <c r="Z353" s="309"/>
      <c r="AA353" s="309"/>
      <c r="AB353" s="309"/>
      <c r="AC353" s="303"/>
      <c r="AD353" s="303"/>
    </row>
    <row r="354" spans="1:32" ht="17.25" hidden="1" customHeight="1">
      <c r="B354" s="1351"/>
      <c r="C354" s="1355"/>
      <c r="D354" s="1356"/>
      <c r="E354" s="1357"/>
      <c r="F354" s="1351"/>
      <c r="G354" s="310"/>
      <c r="H354" s="310"/>
      <c r="I354" s="310"/>
      <c r="J354" s="1359"/>
      <c r="K354" s="1351"/>
      <c r="L354" s="311"/>
      <c r="M354" s="312"/>
      <c r="N354" s="312"/>
      <c r="O354" s="312"/>
      <c r="P354" s="312"/>
      <c r="Q354" s="313"/>
      <c r="R354" s="313"/>
      <c r="S354" s="313"/>
      <c r="T354" s="313"/>
      <c r="U354" s="313"/>
      <c r="V354" s="313"/>
      <c r="W354" s="313"/>
      <c r="X354" s="313"/>
      <c r="Y354" s="314"/>
      <c r="Z354" s="314"/>
      <c r="AA354" s="314"/>
      <c r="AB354" s="314"/>
      <c r="AC354" s="303"/>
      <c r="AD354" s="303"/>
    </row>
    <row r="355" spans="1:32" ht="17.25" hidden="1" customHeight="1">
      <c r="B355" s="315" t="s">
        <v>1468</v>
      </c>
      <c r="C355" s="1374" t="s">
        <v>244</v>
      </c>
      <c r="D355" s="1375"/>
      <c r="E355" s="1376"/>
      <c r="F355" s="315" t="s">
        <v>202</v>
      </c>
      <c r="G355" s="315"/>
      <c r="H355" s="315"/>
      <c r="I355" s="315"/>
      <c r="J355" s="316"/>
      <c r="K355" s="315">
        <v>106.7</v>
      </c>
      <c r="L355" s="315"/>
      <c r="M355" s="315"/>
      <c r="N355" s="315"/>
      <c r="O355" s="315"/>
      <c r="P355" s="315"/>
      <c r="Q355" s="315"/>
      <c r="R355" s="315"/>
      <c r="S355" s="315"/>
      <c r="T355" s="315"/>
      <c r="U355" s="315"/>
      <c r="V355" s="315"/>
      <c r="W355" s="315"/>
      <c r="X355" s="315"/>
      <c r="Y355" s="317"/>
      <c r="Z355" s="317"/>
      <c r="AA355" s="317"/>
      <c r="AB355" s="317"/>
      <c r="AC355" s="318"/>
      <c r="AD355" s="318"/>
    </row>
    <row r="356" spans="1:32" hidden="1">
      <c r="B356" s="315" t="s">
        <v>6</v>
      </c>
      <c r="C356" s="1374" t="s">
        <v>245</v>
      </c>
      <c r="D356" s="1375"/>
      <c r="E356" s="1376"/>
      <c r="F356" s="315" t="s">
        <v>202</v>
      </c>
      <c r="G356" s="315"/>
      <c r="H356" s="315"/>
      <c r="I356" s="315"/>
      <c r="J356" s="316"/>
      <c r="K356" s="319">
        <v>75</v>
      </c>
      <c r="L356" s="319"/>
      <c r="M356" s="319"/>
      <c r="N356" s="319"/>
      <c r="O356" s="319"/>
      <c r="P356" s="319"/>
      <c r="Q356" s="319"/>
      <c r="R356" s="319"/>
      <c r="S356" s="319"/>
      <c r="T356" s="319"/>
      <c r="U356" s="319"/>
      <c r="V356" s="319"/>
      <c r="W356" s="319"/>
      <c r="X356" s="319"/>
      <c r="Y356" s="319"/>
      <c r="Z356" s="319"/>
      <c r="AA356" s="319"/>
      <c r="AB356" s="319"/>
      <c r="AC356" s="308"/>
      <c r="AD356" s="308"/>
    </row>
    <row r="357" spans="1:32" s="111" customFormat="1" hidden="1">
      <c r="A357" s="108"/>
      <c r="B357" s="315" t="s">
        <v>16</v>
      </c>
      <c r="C357" s="1374" t="s">
        <v>246</v>
      </c>
      <c r="D357" s="1375"/>
      <c r="E357" s="1376"/>
      <c r="F357" s="315" t="s">
        <v>43</v>
      </c>
      <c r="G357" s="315"/>
      <c r="H357" s="315"/>
      <c r="I357" s="315"/>
      <c r="J357" s="320">
        <f>K380</f>
        <v>0</v>
      </c>
      <c r="K357" s="320">
        <v>98255.76</v>
      </c>
      <c r="L357" s="320"/>
      <c r="M357" s="320"/>
      <c r="N357" s="320"/>
      <c r="O357" s="320"/>
      <c r="P357" s="320"/>
      <c r="Q357" s="320"/>
      <c r="R357" s="320"/>
      <c r="S357" s="320"/>
      <c r="T357" s="320"/>
      <c r="U357" s="320"/>
      <c r="V357" s="320"/>
      <c r="W357" s="320"/>
      <c r="X357" s="320"/>
      <c r="Y357" s="320"/>
      <c r="Z357" s="320"/>
      <c r="AA357" s="320"/>
      <c r="AB357" s="320"/>
      <c r="AC357" s="321"/>
      <c r="AD357" s="321"/>
      <c r="AE357" s="52"/>
      <c r="AF357" s="52"/>
    </row>
    <row r="358" spans="1:32" s="111" customFormat="1" hidden="1">
      <c r="A358" s="108"/>
      <c r="B358" s="315" t="s">
        <v>33</v>
      </c>
      <c r="C358" s="1374" t="s">
        <v>247</v>
      </c>
      <c r="D358" s="1375"/>
      <c r="E358" s="1376"/>
      <c r="F358" s="315" t="s">
        <v>202</v>
      </c>
      <c r="G358" s="315"/>
      <c r="H358" s="315"/>
      <c r="I358" s="315"/>
      <c r="J358" s="316"/>
      <c r="K358" s="322"/>
      <c r="L358" s="322"/>
      <c r="M358" s="322"/>
      <c r="N358" s="322"/>
      <c r="O358" s="322"/>
      <c r="P358" s="322"/>
      <c r="Q358" s="322"/>
      <c r="R358" s="322"/>
      <c r="S358" s="322"/>
      <c r="T358" s="322"/>
      <c r="U358" s="322"/>
      <c r="V358" s="322"/>
      <c r="W358" s="322"/>
      <c r="X358" s="322"/>
      <c r="Y358" s="322"/>
      <c r="Z358" s="322"/>
      <c r="AA358" s="322"/>
      <c r="AB358" s="322"/>
      <c r="AC358" s="323"/>
      <c r="AD358" s="323"/>
      <c r="AE358" s="52"/>
      <c r="AF358" s="52"/>
    </row>
    <row r="359" spans="1:32" s="111" customFormat="1" hidden="1">
      <c r="A359" s="108"/>
      <c r="B359" s="319" t="s">
        <v>1469</v>
      </c>
      <c r="C359" s="1374" t="s">
        <v>248</v>
      </c>
      <c r="D359" s="1377"/>
      <c r="E359" s="1378"/>
      <c r="F359" s="319" t="s">
        <v>202</v>
      </c>
      <c r="G359" s="319"/>
      <c r="H359" s="319"/>
      <c r="I359" s="319"/>
      <c r="J359" s="316"/>
      <c r="K359" s="317">
        <v>1.5</v>
      </c>
      <c r="L359" s="317"/>
      <c r="M359" s="317"/>
      <c r="N359" s="317"/>
      <c r="O359" s="317"/>
      <c r="P359" s="317"/>
      <c r="Q359" s="317"/>
      <c r="R359" s="317"/>
      <c r="S359" s="317"/>
      <c r="T359" s="317"/>
      <c r="U359" s="317"/>
      <c r="V359" s="317"/>
      <c r="W359" s="317"/>
      <c r="X359" s="317"/>
      <c r="Y359" s="317"/>
      <c r="Z359" s="317"/>
      <c r="AA359" s="317"/>
      <c r="AB359" s="317"/>
      <c r="AC359" s="318"/>
      <c r="AD359" s="318"/>
      <c r="AE359" s="52"/>
      <c r="AF359" s="52"/>
    </row>
    <row r="360" spans="1:32" ht="30.75" hidden="1" customHeight="1" thickBot="1">
      <c r="B360" s="319" t="s">
        <v>1470</v>
      </c>
      <c r="C360" s="1374" t="s">
        <v>1471</v>
      </c>
      <c r="D360" s="1377"/>
      <c r="E360" s="1378"/>
      <c r="F360" s="319" t="s">
        <v>202</v>
      </c>
      <c r="G360" s="319"/>
      <c r="H360" s="319"/>
      <c r="I360" s="319"/>
      <c r="J360" s="316"/>
      <c r="K360" s="322"/>
      <c r="L360" s="322"/>
      <c r="M360" s="324"/>
      <c r="N360" s="324"/>
      <c r="O360" s="324"/>
      <c r="P360" s="324"/>
      <c r="Q360" s="324"/>
      <c r="R360" s="324"/>
      <c r="S360" s="324"/>
      <c r="T360" s="324"/>
      <c r="U360" s="324"/>
      <c r="V360" s="324"/>
      <c r="W360" s="324"/>
      <c r="X360" s="324"/>
      <c r="Y360" s="325"/>
      <c r="Z360" s="325"/>
      <c r="AA360" s="325"/>
      <c r="AB360" s="325"/>
      <c r="AC360" s="326"/>
      <c r="AD360" s="326"/>
    </row>
    <row r="361" spans="1:32" ht="33" hidden="1" customHeight="1" thickBot="1">
      <c r="A361" s="258"/>
      <c r="B361" s="327" t="s">
        <v>16</v>
      </c>
      <c r="C361" s="328"/>
      <c r="D361" s="329" t="s">
        <v>1472</v>
      </c>
      <c r="E361" s="329" t="s">
        <v>1472</v>
      </c>
      <c r="F361" s="330" t="s">
        <v>1451</v>
      </c>
      <c r="G361" s="331"/>
      <c r="H361" s="331"/>
      <c r="I361" s="331"/>
      <c r="J361" s="327">
        <f>J250+J251+J252+J253</f>
        <v>631833.28319762496</v>
      </c>
      <c r="K361" s="332">
        <f>K250+K251+K252+K253</f>
        <v>1243250.0829</v>
      </c>
      <c r="L361" s="332">
        <f>L250+L251+L252+L253</f>
        <v>1243250.07299</v>
      </c>
      <c r="M361" s="333">
        <f>M250+M251+M252+M253</f>
        <v>982478.72407</v>
      </c>
      <c r="N361" s="334">
        <f t="shared" ref="N361:R361" si="229">N250+N251+N252+N253</f>
        <v>997525.12860000005</v>
      </c>
      <c r="O361" s="334">
        <f t="shared" si="229"/>
        <v>997511.13563999999</v>
      </c>
      <c r="P361" s="335">
        <f t="shared" si="229"/>
        <v>997511.13563999999</v>
      </c>
      <c r="Q361" s="335">
        <f t="shared" si="229"/>
        <v>997511.13563999999</v>
      </c>
      <c r="R361" s="335">
        <f t="shared" si="229"/>
        <v>997511.13563999999</v>
      </c>
      <c r="S361" s="335">
        <f t="shared" ref="S361:S362" si="230">R361-M361</f>
        <v>15032.411569999997</v>
      </c>
      <c r="T361" s="335">
        <f t="shared" ref="T361:T362" si="231">R361-O361</f>
        <v>0</v>
      </c>
      <c r="U361" s="335" t="e">
        <f>R361-#REF!</f>
        <v>#REF!</v>
      </c>
      <c r="V361" s="335">
        <f t="shared" ref="V361:V362" si="232">Q361-P361</f>
        <v>0</v>
      </c>
      <c r="W361" s="335">
        <f t="shared" ref="W361:W362" si="233">Q361-P361</f>
        <v>0</v>
      </c>
      <c r="X361" s="336" t="e">
        <f>O361-#REF!</f>
        <v>#REF!</v>
      </c>
      <c r="Y361" s="337">
        <f>Y250+Y251+Y252+Y253</f>
        <v>854597.19026000006</v>
      </c>
      <c r="Z361" s="337">
        <f>Z250+Z251+Z252+Z253</f>
        <v>893054.06382169994</v>
      </c>
      <c r="AA361" s="332">
        <f>AA250+AA251+AA252+AA253</f>
        <v>1062456.3841432203</v>
      </c>
      <c r="AB361" s="332">
        <f>AB250+AB251+AB252+AB253</f>
        <v>855691.4</v>
      </c>
      <c r="AC361" s="336"/>
      <c r="AD361" s="336"/>
    </row>
    <row r="362" spans="1:32" ht="33" hidden="1" customHeight="1" thickBot="1">
      <c r="A362" s="258"/>
      <c r="B362" s="327"/>
      <c r="C362" s="328"/>
      <c r="D362" s="338" t="s">
        <v>1473</v>
      </c>
      <c r="E362" s="338" t="s">
        <v>1473</v>
      </c>
      <c r="F362" s="330" t="s">
        <v>1451</v>
      </c>
      <c r="G362" s="331"/>
      <c r="H362" s="331"/>
      <c r="I362" s="331"/>
      <c r="J362" s="339">
        <f>J349+J361</f>
        <v>1798601.6491166293</v>
      </c>
      <c r="K362" s="340">
        <f t="shared" ref="K362:AB362" si="234">K349+K361</f>
        <v>1495366.3512760131</v>
      </c>
      <c r="L362" s="340">
        <f t="shared" si="234"/>
        <v>1495366.34299</v>
      </c>
      <c r="M362" s="341">
        <f t="shared" si="234"/>
        <v>1964957.44814</v>
      </c>
      <c r="N362" s="342">
        <f t="shared" si="234"/>
        <v>1995050.2572000001</v>
      </c>
      <c r="O362" s="342">
        <f t="shared" si="234"/>
        <v>1995022.27128</v>
      </c>
      <c r="P362" s="343">
        <f t="shared" si="234"/>
        <v>1995022.27128</v>
      </c>
      <c r="Q362" s="343">
        <f t="shared" si="234"/>
        <v>1995022.27128</v>
      </c>
      <c r="R362" s="343">
        <f t="shared" si="234"/>
        <v>1995022.27128</v>
      </c>
      <c r="S362" s="343">
        <f t="shared" si="230"/>
        <v>30064.823139999993</v>
      </c>
      <c r="T362" s="343">
        <f t="shared" si="231"/>
        <v>0</v>
      </c>
      <c r="U362" s="343" t="e">
        <f>R362-#REF!</f>
        <v>#REF!</v>
      </c>
      <c r="V362" s="343">
        <f t="shared" si="232"/>
        <v>0</v>
      </c>
      <c r="W362" s="344">
        <f t="shared" si="233"/>
        <v>0</v>
      </c>
      <c r="X362" s="345" t="e">
        <f>O362-#REF!</f>
        <v>#REF!</v>
      </c>
      <c r="Y362" s="346">
        <f t="shared" si="234"/>
        <v>1709194.3805200001</v>
      </c>
      <c r="Z362" s="346">
        <f t="shared" si="234"/>
        <v>1786108.1276433999</v>
      </c>
      <c r="AA362" s="340">
        <f t="shared" si="234"/>
        <v>2124912.7682864405</v>
      </c>
      <c r="AB362" s="340">
        <f t="shared" si="234"/>
        <v>1711382.8</v>
      </c>
      <c r="AC362" s="347"/>
      <c r="AD362" s="347"/>
    </row>
    <row r="363" spans="1:32" ht="33" hidden="1" customHeight="1" thickBot="1">
      <c r="A363" s="258"/>
      <c r="B363" s="327"/>
      <c r="C363" s="328"/>
      <c r="D363" s="328" t="s">
        <v>1474</v>
      </c>
      <c r="E363" s="348"/>
      <c r="F363" s="330"/>
      <c r="G363" s="331"/>
      <c r="H363" s="331"/>
      <c r="I363" s="331"/>
      <c r="J363" s="339"/>
      <c r="K363" s="340"/>
      <c r="L363" s="349"/>
      <c r="M363" s="350">
        <f>M325-M337</f>
        <v>341940.25276786834</v>
      </c>
      <c r="N363" s="350">
        <f t="shared" ref="N363:S363" si="235">N325-N337</f>
        <v>0</v>
      </c>
      <c r="O363" s="350">
        <f t="shared" si="235"/>
        <v>0</v>
      </c>
      <c r="P363" s="350">
        <f t="shared" si="235"/>
        <v>0</v>
      </c>
      <c r="Q363" s="350">
        <f t="shared" si="235"/>
        <v>0</v>
      </c>
      <c r="R363" s="350">
        <f t="shared" si="235"/>
        <v>0</v>
      </c>
      <c r="S363" s="350">
        <f t="shared" si="235"/>
        <v>-341940.25276786834</v>
      </c>
      <c r="T363" s="345"/>
      <c r="U363" s="345"/>
      <c r="V363" s="345"/>
      <c r="W363" s="345"/>
      <c r="X363" s="345"/>
      <c r="Y363" s="351"/>
      <c r="Z363" s="351"/>
      <c r="AA363" s="351"/>
      <c r="AB363" s="351"/>
      <c r="AC363" s="352"/>
      <c r="AD363" s="352"/>
    </row>
    <row r="364" spans="1:32" hidden="1"/>
    <row r="365" spans="1:32" hidden="1">
      <c r="N365" s="103" t="s">
        <v>1475</v>
      </c>
      <c r="P365" s="52">
        <f>P325-P275-P276-P267-P254-P253-P252-P251-P250</f>
        <v>3076291.3482825328</v>
      </c>
    </row>
    <row r="366" spans="1:32" hidden="1">
      <c r="P366" s="52">
        <v>3076348.7330225334</v>
      </c>
    </row>
    <row r="367" spans="1:32" ht="100.8" hidden="1">
      <c r="N367" s="353" t="s">
        <v>1476</v>
      </c>
      <c r="P367" s="52">
        <f>P366*0.12</f>
        <v>369161.84796270396</v>
      </c>
    </row>
    <row r="368" spans="1:32" hidden="1">
      <c r="B368" s="354"/>
      <c r="C368" s="355"/>
      <c r="D368" s="356"/>
      <c r="E368" s="74" t="s">
        <v>1477</v>
      </c>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67"/>
      <c r="AD368" s="67"/>
    </row>
    <row r="369" spans="2:30" hidden="1">
      <c r="B369" s="354"/>
      <c r="C369" s="355"/>
      <c r="D369" s="356"/>
      <c r="E369" s="74" t="s">
        <v>1478</v>
      </c>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67"/>
      <c r="AD369" s="67"/>
    </row>
    <row r="370" spans="2:30" ht="33.6" hidden="1">
      <c r="B370" s="354"/>
      <c r="C370" s="355"/>
      <c r="D370" s="356"/>
      <c r="E370" s="357" t="s">
        <v>1479</v>
      </c>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67"/>
      <c r="AD370" s="67"/>
    </row>
    <row r="371" spans="2:30" ht="33.6" hidden="1">
      <c r="B371" s="354"/>
      <c r="C371" s="355"/>
      <c r="D371" s="356"/>
      <c r="E371" s="357" t="s">
        <v>1480</v>
      </c>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67"/>
      <c r="AD371" s="67"/>
    </row>
    <row r="372" spans="2:30" ht="36" customHeight="1" thickBot="1">
      <c r="B372" s="354"/>
      <c r="C372" s="355"/>
      <c r="D372" s="356"/>
      <c r="E372" s="74" t="s">
        <v>1481</v>
      </c>
      <c r="F372" s="74"/>
      <c r="G372" s="74"/>
      <c r="H372" s="74"/>
      <c r="I372" s="74"/>
      <c r="J372" s="74"/>
      <c r="K372" s="74"/>
      <c r="L372" s="74"/>
      <c r="M372" s="1369" t="s">
        <v>1482</v>
      </c>
      <c r="N372" s="1370"/>
      <c r="O372" s="1370"/>
      <c r="P372" s="1370"/>
      <c r="Q372" s="1370"/>
      <c r="R372" s="1370"/>
      <c r="S372" s="1370"/>
      <c r="T372" s="1370"/>
      <c r="U372" s="1370"/>
      <c r="V372" s="1370"/>
      <c r="W372" s="1370"/>
      <c r="X372" s="1370"/>
      <c r="Y372" s="1370"/>
      <c r="Z372" s="1370"/>
      <c r="AA372" s="1371"/>
    </row>
    <row r="373" spans="2:30" ht="19.5" customHeight="1">
      <c r="B373" s="354"/>
      <c r="C373" s="355"/>
      <c r="D373" s="356"/>
      <c r="E373" s="357" t="s">
        <v>1483</v>
      </c>
      <c r="F373" s="74"/>
      <c r="G373" s="74"/>
      <c r="H373" s="74"/>
      <c r="I373" s="74"/>
      <c r="J373" s="74"/>
      <c r="K373" s="74"/>
      <c r="L373" s="74"/>
      <c r="M373" s="358" t="s">
        <v>1484</v>
      </c>
      <c r="N373" s="359">
        <f>N325</f>
        <v>5167898.7823200021</v>
      </c>
      <c r="O373" s="360">
        <f t="shared" ref="O373:R373" si="236">O325</f>
        <v>4685555.3686300013</v>
      </c>
      <c r="P373" s="360">
        <f t="shared" si="236"/>
        <v>4230752.0730500324</v>
      </c>
      <c r="Q373" s="360">
        <f t="shared" si="236"/>
        <v>4233888.3025800325</v>
      </c>
      <c r="R373" s="361">
        <f t="shared" si="236"/>
        <v>4119204.6253925329</v>
      </c>
      <c r="S373" s="1372"/>
      <c r="T373" s="1373"/>
      <c r="U373" s="362"/>
      <c r="V373" s="74"/>
      <c r="W373" s="74"/>
      <c r="X373" s="363"/>
      <c r="Y373" s="364">
        <f t="shared" ref="Y373:AB373" si="237">Y325</f>
        <v>4508690.1358521767</v>
      </c>
      <c r="Z373" s="361">
        <f t="shared" si="237"/>
        <v>4711581.2005449543</v>
      </c>
      <c r="AA373" s="361">
        <f t="shared" si="237"/>
        <v>13960814.676683201</v>
      </c>
      <c r="AB373" s="361">
        <f t="shared" si="237"/>
        <v>4721067.0160570312</v>
      </c>
      <c r="AC373" s="361">
        <f>AC325</f>
        <v>4756273.0008700285</v>
      </c>
      <c r="AD373" s="365"/>
    </row>
    <row r="374" spans="2:30">
      <c r="B374" s="354"/>
      <c r="C374" s="355"/>
      <c r="D374" s="356"/>
      <c r="E374" s="74"/>
      <c r="F374" s="74"/>
      <c r="G374" s="74"/>
      <c r="H374" s="74"/>
      <c r="I374" s="74"/>
      <c r="J374" s="74"/>
      <c r="K374" s="74"/>
      <c r="L374" s="74"/>
      <c r="M374" s="366" t="s">
        <v>1485</v>
      </c>
      <c r="N374" s="367">
        <f>N373-N375-N376-N377-N378-N379</f>
        <v>3831602.9837900004</v>
      </c>
      <c r="O374" s="368">
        <f>O373-O375-O376-O377-O378-O379</f>
        <v>3557299.0599600007</v>
      </c>
      <c r="P374" s="368">
        <f>P373-P375-P376-P377-P378-P379</f>
        <v>3076291.3482825328</v>
      </c>
      <c r="Q374" s="368">
        <f>Q373-Q375-Q376-Q377-Q378-Q379</f>
        <v>3079427.5778125329</v>
      </c>
      <c r="R374" s="369">
        <f>R373-R375-R376-R377-R378-R379</f>
        <v>2966324.8073225333</v>
      </c>
      <c r="S374" s="1372"/>
      <c r="T374" s="1373"/>
      <c r="U374" s="362"/>
      <c r="V374" s="74"/>
      <c r="W374" s="74"/>
      <c r="X374" s="363"/>
      <c r="Y374" s="370">
        <f t="shared" ref="Y374:AA374" si="238">Y373-Y375-Y376-Y377-Y378-Y379</f>
        <v>2804988.6231713165</v>
      </c>
      <c r="Z374" s="369">
        <f t="shared" si="238"/>
        <v>2954881.3038408109</v>
      </c>
      <c r="AA374" s="369">
        <f t="shared" si="238"/>
        <v>6464635.317824766</v>
      </c>
      <c r="AB374" s="369">
        <f>AB373-AB375-AB376-AB377-AB378-AB379</f>
        <v>2965743.6113728588</v>
      </c>
      <c r="AC374" s="369">
        <f>AC373-AC375-AC376-AC377-AC378-AC379</f>
        <v>2996457.4916355261</v>
      </c>
      <c r="AD374" s="371"/>
    </row>
    <row r="375" spans="2:30">
      <c r="B375" s="354"/>
      <c r="C375" s="355"/>
      <c r="D375" s="356"/>
      <c r="E375" s="74"/>
      <c r="F375" s="74"/>
      <c r="G375" s="74"/>
      <c r="H375" s="74"/>
      <c r="I375" s="74"/>
      <c r="J375" s="74"/>
      <c r="K375" s="74"/>
      <c r="L375" s="74"/>
      <c r="M375" s="372" t="s">
        <v>1486</v>
      </c>
      <c r="N375" s="367">
        <f>N250+N251+N252+N253</f>
        <v>997525.12860000005</v>
      </c>
      <c r="O375" s="368">
        <f>O250+O251+O252+O253</f>
        <v>997511.13563999999</v>
      </c>
      <c r="P375" s="368">
        <f>P250+P251+P252+P253</f>
        <v>997511.13563999999</v>
      </c>
      <c r="Q375" s="368">
        <f>Q250+Q251+Q252+Q253</f>
        <v>997511.13563999999</v>
      </c>
      <c r="R375" s="369">
        <f>R250+R251+R252+R253</f>
        <v>997511.13563999999</v>
      </c>
      <c r="S375" s="1372"/>
      <c r="T375" s="1373"/>
      <c r="U375" s="362"/>
      <c r="V375" s="74"/>
      <c r="W375" s="74"/>
      <c r="X375" s="363"/>
      <c r="Y375" s="370">
        <f t="shared" ref="Y375:AC375" si="239">Y250+Y251+Y252+Y253</f>
        <v>854597.19026000006</v>
      </c>
      <c r="Z375" s="369">
        <f t="shared" si="239"/>
        <v>893054.06382169994</v>
      </c>
      <c r="AA375" s="369">
        <f t="shared" si="239"/>
        <v>1062456.3841432203</v>
      </c>
      <c r="AB375" s="369">
        <f t="shared" si="239"/>
        <v>855691.4</v>
      </c>
      <c r="AC375" s="369">
        <f t="shared" si="239"/>
        <v>855691.4</v>
      </c>
      <c r="AD375" s="371"/>
    </row>
    <row r="376" spans="2:30" ht="50.4">
      <c r="B376" s="354"/>
      <c r="C376" s="355"/>
      <c r="D376" s="356"/>
      <c r="E376" s="74"/>
      <c r="F376" s="74"/>
      <c r="G376" s="74"/>
      <c r="H376" s="74"/>
      <c r="I376" s="74"/>
      <c r="J376" s="74"/>
      <c r="K376" s="74"/>
      <c r="L376" s="74"/>
      <c r="M376" s="373" t="s">
        <v>1487</v>
      </c>
      <c r="N376" s="367">
        <f>N254</f>
        <v>62154.389900000002</v>
      </c>
      <c r="O376" s="368">
        <f t="shared" ref="O376:R376" si="240">O254</f>
        <v>62154.389900000002</v>
      </c>
      <c r="P376" s="368">
        <f t="shared" si="240"/>
        <v>62154.389900000002</v>
      </c>
      <c r="Q376" s="368">
        <f t="shared" si="240"/>
        <v>62154.389900000002</v>
      </c>
      <c r="R376" s="369">
        <f t="shared" si="240"/>
        <v>62154.389900000002</v>
      </c>
      <c r="S376" s="1372"/>
      <c r="T376" s="1373"/>
      <c r="U376" s="362"/>
      <c r="V376" s="74"/>
      <c r="W376" s="74"/>
      <c r="X376" s="363"/>
      <c r="Y376" s="370">
        <f t="shared" ref="Y376:AC376" si="241">Y254</f>
        <v>72470.539999999994</v>
      </c>
      <c r="Z376" s="369">
        <f t="shared" si="241"/>
        <v>75731.714299999992</v>
      </c>
      <c r="AA376" s="369">
        <f t="shared" si="241"/>
        <v>75731.714299999992</v>
      </c>
      <c r="AB376" s="369">
        <f t="shared" si="241"/>
        <v>75141.206897665339</v>
      </c>
      <c r="AC376" s="369">
        <f t="shared" si="241"/>
        <v>75141.206897665339</v>
      </c>
      <c r="AD376" s="371"/>
    </row>
    <row r="377" spans="2:30" ht="84">
      <c r="B377" s="354"/>
      <c r="C377" s="355"/>
      <c r="D377" s="356"/>
      <c r="E377" s="74"/>
      <c r="F377" s="74"/>
      <c r="G377" s="74"/>
      <c r="H377" s="74"/>
      <c r="I377" s="74"/>
      <c r="J377" s="74"/>
      <c r="K377" s="74"/>
      <c r="L377" s="74"/>
      <c r="M377" s="373" t="s">
        <v>1488</v>
      </c>
      <c r="N377" s="367">
        <f>N276</f>
        <v>262313.280030002</v>
      </c>
      <c r="O377" s="368">
        <f t="shared" ref="O377:R377" si="242">O276</f>
        <v>101736.78313000068</v>
      </c>
      <c r="P377" s="368">
        <f t="shared" si="242"/>
        <v>64196.78</v>
      </c>
      <c r="Q377" s="368">
        <f t="shared" si="242"/>
        <v>64196.78</v>
      </c>
      <c r="R377" s="369">
        <f t="shared" si="242"/>
        <v>64196.78</v>
      </c>
      <c r="S377" s="1372"/>
      <c r="T377" s="1373"/>
      <c r="U377" s="362"/>
      <c r="V377" s="74"/>
      <c r="W377" s="74"/>
      <c r="X377" s="363"/>
      <c r="Y377" s="370">
        <f t="shared" ref="Y377:AB377" si="243">Y276</f>
        <v>336598.63571940805</v>
      </c>
      <c r="Z377" s="369">
        <f t="shared" si="243"/>
        <v>354585.75646089728</v>
      </c>
      <c r="AA377" s="369">
        <f t="shared" si="243"/>
        <v>775756.23813897197</v>
      </c>
      <c r="AB377" s="369">
        <f t="shared" si="243"/>
        <v>355981.21535599872</v>
      </c>
      <c r="AC377" s="369">
        <f>AC276</f>
        <v>359574.89899626304</v>
      </c>
      <c r="AD377" s="371"/>
    </row>
    <row r="378" spans="2:30" ht="33.6">
      <c r="B378" s="354"/>
      <c r="C378" s="355"/>
      <c r="D378" s="356"/>
      <c r="E378" s="74"/>
      <c r="F378" s="74"/>
      <c r="G378" s="74"/>
      <c r="H378" s="74"/>
      <c r="I378" s="74"/>
      <c r="J378" s="74"/>
      <c r="K378" s="74"/>
      <c r="L378" s="74"/>
      <c r="M378" s="373" t="s">
        <v>1489</v>
      </c>
      <c r="N378" s="367">
        <f>N275</f>
        <v>0</v>
      </c>
      <c r="O378" s="368">
        <f t="shared" ref="O378:R378" si="244">O275</f>
        <v>0</v>
      </c>
      <c r="P378" s="368">
        <f t="shared" si="244"/>
        <v>0</v>
      </c>
      <c r="Q378" s="368">
        <f t="shared" si="244"/>
        <v>0</v>
      </c>
      <c r="R378" s="369">
        <f t="shared" si="244"/>
        <v>0</v>
      </c>
      <c r="S378" s="1372"/>
      <c r="T378" s="1373"/>
      <c r="U378" s="362"/>
      <c r="V378" s="74"/>
      <c r="W378" s="74"/>
      <c r="X378" s="363"/>
      <c r="Y378" s="370">
        <f t="shared" ref="Y378:AA378" si="245">Y275</f>
        <v>345140.29777159984</v>
      </c>
      <c r="Z378" s="369">
        <f t="shared" si="245"/>
        <v>333453.19945632201</v>
      </c>
      <c r="AA378" s="369">
        <f t="shared" si="245"/>
        <v>5341487.6500000004</v>
      </c>
      <c r="AB378" s="369">
        <f>AB275</f>
        <v>368373.10943581146</v>
      </c>
      <c r="AC378" s="369">
        <f>AC275</f>
        <v>368373.10943581146</v>
      </c>
      <c r="AD378" s="371"/>
    </row>
    <row r="379" spans="2:30">
      <c r="B379" s="354"/>
      <c r="C379" s="355"/>
      <c r="D379" s="356"/>
      <c r="E379" s="74"/>
      <c r="F379" s="74"/>
      <c r="G379" s="74"/>
      <c r="H379" s="74"/>
      <c r="I379" s="74"/>
      <c r="J379" s="74"/>
      <c r="K379" s="74"/>
      <c r="L379" s="74"/>
      <c r="M379" s="373" t="s">
        <v>66</v>
      </c>
      <c r="N379" s="367">
        <f>N267</f>
        <v>14303.000000000005</v>
      </c>
      <c r="O379" s="368">
        <f t="shared" ref="O379:R379" si="246">O267</f>
        <v>-33146</v>
      </c>
      <c r="P379" s="368">
        <f t="shared" si="246"/>
        <v>30598.419227500006</v>
      </c>
      <c r="Q379" s="368">
        <f t="shared" si="246"/>
        <v>30598.419227500006</v>
      </c>
      <c r="R379" s="369">
        <f t="shared" si="246"/>
        <v>29017.512530000004</v>
      </c>
      <c r="S379" s="1372"/>
      <c r="T379" s="1373"/>
      <c r="U379" s="362"/>
      <c r="V379" s="74"/>
      <c r="W379" s="74"/>
      <c r="X379" s="363"/>
      <c r="Y379" s="370">
        <f t="shared" ref="Y379:AB379" si="247">Y267</f>
        <v>94894.848929852014</v>
      </c>
      <c r="Z379" s="369">
        <f t="shared" si="247"/>
        <v>99875.162665224314</v>
      </c>
      <c r="AA379" s="369">
        <f t="shared" si="247"/>
        <v>240747.37227624294</v>
      </c>
      <c r="AB379" s="369">
        <f t="shared" si="247"/>
        <v>100136.47299469695</v>
      </c>
      <c r="AC379" s="369">
        <f>AC267</f>
        <v>101034.89390476303</v>
      </c>
      <c r="AD379" s="371"/>
    </row>
    <row r="380" spans="2:30">
      <c r="B380" s="354"/>
      <c r="C380" s="355"/>
      <c r="D380" s="356"/>
      <c r="E380" s="74"/>
      <c r="F380" s="74"/>
      <c r="G380" s="74"/>
      <c r="H380" s="74"/>
      <c r="I380" s="74"/>
      <c r="J380" s="74"/>
      <c r="K380" s="74"/>
      <c r="L380" s="74"/>
      <c r="M380" s="374"/>
      <c r="N380" s="375"/>
      <c r="O380" s="74"/>
      <c r="P380" s="74"/>
      <c r="Q380" s="74"/>
      <c r="R380" s="376"/>
      <c r="S380" s="1372"/>
      <c r="T380" s="1373"/>
      <c r="U380" s="362"/>
      <c r="V380" s="74"/>
      <c r="W380" s="74"/>
      <c r="X380" s="363"/>
      <c r="Y380" s="377"/>
      <c r="Z380" s="376"/>
      <c r="AA380" s="376"/>
      <c r="AB380" s="376"/>
      <c r="AC380" s="376"/>
      <c r="AD380" s="67"/>
    </row>
    <row r="381" spans="2:30" ht="135" thickBot="1">
      <c r="B381" s="354"/>
      <c r="C381" s="355"/>
      <c r="D381" s="356"/>
      <c r="E381" s="74"/>
      <c r="F381" s="74"/>
      <c r="G381" s="74"/>
      <c r="H381" s="74"/>
      <c r="I381" s="74"/>
      <c r="J381" s="74"/>
      <c r="K381" s="74"/>
      <c r="L381" s="74"/>
      <c r="M381" s="378" t="s">
        <v>1490</v>
      </c>
      <c r="N381" s="379">
        <f>(N96+N276+N293+N201+N286+N300+N301+N302+N303+N204+N304+N305+N307+N310+N311+N312+N202+N203+N295)/0.8</f>
        <v>445294.02626250248</v>
      </c>
      <c r="O381" s="380">
        <f>(O96+O276+O293+O201+O286+O300+O301+O302+O303+O204+O304+O305+O307+O310+O311+O312+O202+O203+O295)/0.8</f>
        <v>216404.54152500085</v>
      </c>
      <c r="P381" s="380">
        <f>(P96+P276+P293+P201+P286+P300+P301+P302+P303+P204+P304+P305+P307+P310+P311+P312+P202+P203+P295)/0.8</f>
        <v>152992.09613749999</v>
      </c>
      <c r="Q381" s="380">
        <f>(Q96+Q276+Q293+Q201+Q286+Q300+Q301+Q302+Q303+Q204+Q304+Q305+Q307+Q310+Q311+Q312+Q202+Q203+Q295)/0.8</f>
        <v>152992.09613749999</v>
      </c>
      <c r="R381" s="381">
        <f>(R96+R276+R293+R201+R286+R300+R301+R302+R303+R204+R304+R305+R307+R310+R311+R312+R202+R203+R295)/0.8</f>
        <v>145087.56265000001</v>
      </c>
      <c r="S381" s="1372"/>
      <c r="T381" s="1373"/>
      <c r="U381" s="362"/>
      <c r="V381" s="74"/>
      <c r="W381" s="74"/>
      <c r="X381" s="363"/>
      <c r="Y381" s="379">
        <f t="shared" ref="Y381:AB381" si="248">(Y96+Y276+Y293+Y201+Y286+Y300+Y301+Y302+Y303+Y204+Y304+Y305+Y307+Y310+Y311+Y312+Y202+Y203+Y295)/0.8</f>
        <v>474474.24464926007</v>
      </c>
      <c r="Z381" s="380">
        <f t="shared" si="248"/>
        <v>499375.81332612154</v>
      </c>
      <c r="AA381" s="381">
        <f t="shared" si="248"/>
        <v>1200963.9883487148</v>
      </c>
      <c r="AB381" s="381">
        <f t="shared" si="248"/>
        <v>500682.36497348471</v>
      </c>
      <c r="AC381" s="381">
        <f>(AC96+AC276+AC293+AC201+AC286+AC300+AC301+AC302+AC303+AC204+AC304+AC305+AC307+AC310+AC311+AC312+AC202+AC203+AC295)/0.8</f>
        <v>505174.46952381509</v>
      </c>
      <c r="AD381" s="382"/>
    </row>
    <row r="382" spans="2:30" ht="27" customHeight="1" thickBot="1">
      <c r="M382" s="383" t="s">
        <v>1491</v>
      </c>
      <c r="N382" s="384">
        <f>N381*0.2</f>
        <v>89058.805252500504</v>
      </c>
      <c r="O382" s="385">
        <f t="shared" ref="O382:Q382" si="249">O381*0.2</f>
        <v>43280.908305000172</v>
      </c>
      <c r="P382" s="385">
        <f t="shared" si="249"/>
        <v>30598.419227499999</v>
      </c>
      <c r="Q382" s="385">
        <f t="shared" si="249"/>
        <v>30598.419227499999</v>
      </c>
      <c r="R382" s="386">
        <f>R381*0.2</f>
        <v>29017.512530000004</v>
      </c>
      <c r="S382" s="1372"/>
      <c r="T382" s="1373"/>
      <c r="Y382" s="387">
        <f t="shared" ref="Y382:AB382" si="250">Y381*0.2</f>
        <v>94894.848929852014</v>
      </c>
      <c r="Z382" s="386">
        <f t="shared" si="250"/>
        <v>99875.162665224314</v>
      </c>
      <c r="AA382" s="386">
        <f t="shared" si="250"/>
        <v>240192.79766974295</v>
      </c>
      <c r="AB382" s="386">
        <f t="shared" si="250"/>
        <v>100136.47299469695</v>
      </c>
      <c r="AC382" s="386">
        <f>AC381*0.2</f>
        <v>101034.89390476303</v>
      </c>
      <c r="AD382" s="382"/>
    </row>
    <row r="383" spans="2:30" ht="17.399999999999999" thickBot="1">
      <c r="S383" s="1373"/>
      <c r="T383" s="1373"/>
    </row>
    <row r="384" spans="2:30" ht="135" thickBot="1">
      <c r="M384" s="388" t="s">
        <v>1492</v>
      </c>
      <c r="N384" s="389">
        <f>N374*12%</f>
        <v>459792.35805480002</v>
      </c>
      <c r="O384" s="390">
        <f>O374*12%</f>
        <v>426875.88719520008</v>
      </c>
      <c r="P384" s="390">
        <f>P374*12%</f>
        <v>369154.9617939039</v>
      </c>
      <c r="Q384" s="390">
        <f>Q374*12%</f>
        <v>369531.30933750392</v>
      </c>
      <c r="R384" s="391">
        <f>R374*12%</f>
        <v>355958.97687870398</v>
      </c>
      <c r="S384" s="1372"/>
      <c r="T384" s="1373"/>
      <c r="Y384" s="392">
        <f t="shared" ref="Y384:AA384" si="251">Y374*12%</f>
        <v>336598.63478055794</v>
      </c>
      <c r="Z384" s="391">
        <f t="shared" si="251"/>
        <v>354585.75646089728</v>
      </c>
      <c r="AA384" s="391">
        <f t="shared" si="251"/>
        <v>775756.23813897185</v>
      </c>
      <c r="AB384" s="391">
        <f>AB374*12%</f>
        <v>355889.23336474306</v>
      </c>
      <c r="AC384" s="391">
        <f>AC374*12%</f>
        <v>359574.8989962631</v>
      </c>
      <c r="AD384" s="67"/>
    </row>
  </sheetData>
  <autoFilter ref="A27:AA322"/>
  <mergeCells count="91">
    <mergeCell ref="M372:AA372"/>
    <mergeCell ref="S373:S384"/>
    <mergeCell ref="T373:T384"/>
    <mergeCell ref="C355:E355"/>
    <mergeCell ref="C356:E356"/>
    <mergeCell ref="C357:E357"/>
    <mergeCell ref="C358:E358"/>
    <mergeCell ref="C359:E359"/>
    <mergeCell ref="C360:E360"/>
    <mergeCell ref="AI243:AI244"/>
    <mergeCell ref="B345:AB345"/>
    <mergeCell ref="B351:B354"/>
    <mergeCell ref="C351:E354"/>
    <mergeCell ref="F351:F354"/>
    <mergeCell ref="J351:J354"/>
    <mergeCell ref="K351:Y351"/>
    <mergeCell ref="K352:K354"/>
    <mergeCell ref="L352:L353"/>
    <mergeCell ref="B335:D335"/>
    <mergeCell ref="G243:G244"/>
    <mergeCell ref="J243:J244"/>
    <mergeCell ref="Y243:Y244"/>
    <mergeCell ref="Z243:Z244"/>
    <mergeCell ref="AE243:AE244"/>
    <mergeCell ref="AF243:AF244"/>
    <mergeCell ref="AG243:AG244"/>
    <mergeCell ref="AD26:AE26"/>
    <mergeCell ref="AH243:AH244"/>
    <mergeCell ref="AB243:AB244"/>
    <mergeCell ref="AD243:AD244"/>
    <mergeCell ref="AF26:AG26"/>
    <mergeCell ref="E207:E209"/>
    <mergeCell ref="E217:E218"/>
    <mergeCell ref="F217:F218"/>
    <mergeCell ref="A243:A244"/>
    <mergeCell ref="B243:B244"/>
    <mergeCell ref="E243:E244"/>
    <mergeCell ref="F243:F244"/>
    <mergeCell ref="E146:E147"/>
    <mergeCell ref="F146:F147"/>
    <mergeCell ref="J146:J147"/>
    <mergeCell ref="E170:E171"/>
    <mergeCell ref="F170:F171"/>
    <mergeCell ref="J170:J171"/>
    <mergeCell ref="F59:F60"/>
    <mergeCell ref="E116:E117"/>
    <mergeCell ref="F116:F117"/>
    <mergeCell ref="A144:A145"/>
    <mergeCell ref="C144:C145"/>
    <mergeCell ref="G25:I25"/>
    <mergeCell ref="J25:L25"/>
    <mergeCell ref="M25:W25"/>
    <mergeCell ref="Z25:AI25"/>
    <mergeCell ref="M26:M27"/>
    <mergeCell ref="N26:N27"/>
    <mergeCell ref="O26:O27"/>
    <mergeCell ref="R26:R27"/>
    <mergeCell ref="S26:S27"/>
    <mergeCell ref="T26:T27"/>
    <mergeCell ref="AH26:AI26"/>
    <mergeCell ref="Y26:Y27"/>
    <mergeCell ref="Z26:Z27"/>
    <mergeCell ref="AA26:AA27"/>
    <mergeCell ref="AB26:AB27"/>
    <mergeCell ref="AC26:AC27"/>
    <mergeCell ref="AE3:AE4"/>
    <mergeCell ref="AF3:AF4"/>
    <mergeCell ref="E23:F23"/>
    <mergeCell ref="B24:AA24"/>
    <mergeCell ref="A25:A27"/>
    <mergeCell ref="B25:B27"/>
    <mergeCell ref="C25:C27"/>
    <mergeCell ref="D25:D27"/>
    <mergeCell ref="E25:E27"/>
    <mergeCell ref="F25:F27"/>
    <mergeCell ref="Q3:Q4"/>
    <mergeCell ref="R3:R4"/>
    <mergeCell ref="S3:S4"/>
    <mergeCell ref="T3:Y3"/>
    <mergeCell ref="Z3:Z4"/>
    <mergeCell ref="AA3:AA4"/>
    <mergeCell ref="O2:AA2"/>
    <mergeCell ref="G3:G4"/>
    <mergeCell ref="H3:H4"/>
    <mergeCell ref="I3:I4"/>
    <mergeCell ref="J3:J4"/>
    <mergeCell ref="K3:K4"/>
    <mergeCell ref="L3:M3"/>
    <mergeCell ref="N3:N4"/>
    <mergeCell ref="O3:O4"/>
    <mergeCell ref="P3:P4"/>
  </mergeCells>
  <dataValidations count="1">
    <dataValidation type="decimal" allowBlank="1" showInputMessage="1" showErrorMessage="1" error="Ввведеное значение неверно" sqref="R6:T6 J6:N6 Y6:AF6">
      <formula1>-1000000000000000</formula1>
      <formula2>1000000000000000</formula2>
    </dataValidation>
  </dataValidations>
  <printOptions horizontalCentered="1"/>
  <pageMargins left="0" right="0" top="0.39370078740157483" bottom="0" header="0" footer="0"/>
  <pageSetup paperSize="8" fitToHeight="0" orientation="landscape" cellComments="asDisplayed"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94"/>
  <sheetViews>
    <sheetView topLeftCell="A9" zoomScale="140" zoomScaleNormal="140" zoomScaleSheetLayoutView="100" workbookViewId="0">
      <pane ySplit="11" topLeftCell="A26" activePane="bottomLeft" state="frozen"/>
      <selection activeCell="G25" sqref="G25"/>
      <selection pane="bottomLeft" activeCell="A25" sqref="A25:AM25"/>
    </sheetView>
  </sheetViews>
  <sheetFormatPr defaultColWidth="0.88671875" defaultRowHeight="13.2"/>
  <cols>
    <col min="1" max="73" width="0.88671875" style="432"/>
    <col min="74" max="74" width="1" style="432" customWidth="1"/>
    <col min="75" max="115" width="0.88671875" style="432"/>
    <col min="116" max="116" width="0.88671875" style="432" customWidth="1"/>
    <col min="117" max="329" width="0.88671875" style="432"/>
    <col min="330" max="330" width="1" style="432" customWidth="1"/>
    <col min="331" max="371" width="0.88671875" style="432"/>
    <col min="372" max="372" width="0.88671875" style="432" customWidth="1"/>
    <col min="373" max="585" width="0.88671875" style="432"/>
    <col min="586" max="586" width="1" style="432" customWidth="1"/>
    <col min="587" max="627" width="0.88671875" style="432"/>
    <col min="628" max="628" width="0.88671875" style="432" customWidth="1"/>
    <col min="629" max="841" width="0.88671875" style="432"/>
    <col min="842" max="842" width="1" style="432" customWidth="1"/>
    <col min="843" max="883" width="0.88671875" style="432"/>
    <col min="884" max="884" width="0.88671875" style="432" customWidth="1"/>
    <col min="885" max="1097" width="0.88671875" style="432"/>
    <col min="1098" max="1098" width="1" style="432" customWidth="1"/>
    <col min="1099" max="1139" width="0.88671875" style="432"/>
    <col min="1140" max="1140" width="0.88671875" style="432" customWidth="1"/>
    <col min="1141" max="1353" width="0.88671875" style="432"/>
    <col min="1354" max="1354" width="1" style="432" customWidth="1"/>
    <col min="1355" max="1395" width="0.88671875" style="432"/>
    <col min="1396" max="1396" width="0.88671875" style="432" customWidth="1"/>
    <col min="1397" max="1609" width="0.88671875" style="432"/>
    <col min="1610" max="1610" width="1" style="432" customWidth="1"/>
    <col min="1611" max="1651" width="0.88671875" style="432"/>
    <col min="1652" max="1652" width="0.88671875" style="432" customWidth="1"/>
    <col min="1653" max="1865" width="0.88671875" style="432"/>
    <col min="1866" max="1866" width="1" style="432" customWidth="1"/>
    <col min="1867" max="1907" width="0.88671875" style="432"/>
    <col min="1908" max="1908" width="0.88671875" style="432" customWidth="1"/>
    <col min="1909" max="2121" width="0.88671875" style="432"/>
    <col min="2122" max="2122" width="1" style="432" customWidth="1"/>
    <col min="2123" max="2163" width="0.88671875" style="432"/>
    <col min="2164" max="2164" width="0.88671875" style="432" customWidth="1"/>
    <col min="2165" max="2377" width="0.88671875" style="432"/>
    <col min="2378" max="2378" width="1" style="432" customWidth="1"/>
    <col min="2379" max="2419" width="0.88671875" style="432"/>
    <col min="2420" max="2420" width="0.88671875" style="432" customWidth="1"/>
    <col min="2421" max="2633" width="0.88671875" style="432"/>
    <col min="2634" max="2634" width="1" style="432" customWidth="1"/>
    <col min="2635" max="2675" width="0.88671875" style="432"/>
    <col min="2676" max="2676" width="0.88671875" style="432" customWidth="1"/>
    <col min="2677" max="2889" width="0.88671875" style="432"/>
    <col min="2890" max="2890" width="1" style="432" customWidth="1"/>
    <col min="2891" max="2931" width="0.88671875" style="432"/>
    <col min="2932" max="2932" width="0.88671875" style="432" customWidth="1"/>
    <col min="2933" max="3145" width="0.88671875" style="432"/>
    <col min="3146" max="3146" width="1" style="432" customWidth="1"/>
    <col min="3147" max="3187" width="0.88671875" style="432"/>
    <col min="3188" max="3188" width="0.88671875" style="432" customWidth="1"/>
    <col min="3189" max="3401" width="0.88671875" style="432"/>
    <col min="3402" max="3402" width="1" style="432" customWidth="1"/>
    <col min="3403" max="3443" width="0.88671875" style="432"/>
    <col min="3444" max="3444" width="0.88671875" style="432" customWidth="1"/>
    <col min="3445" max="3657" width="0.88671875" style="432"/>
    <col min="3658" max="3658" width="1" style="432" customWidth="1"/>
    <col min="3659" max="3699" width="0.88671875" style="432"/>
    <col min="3700" max="3700" width="0.88671875" style="432" customWidth="1"/>
    <col min="3701" max="3913" width="0.88671875" style="432"/>
    <col min="3914" max="3914" width="1" style="432" customWidth="1"/>
    <col min="3915" max="3955" width="0.88671875" style="432"/>
    <col min="3956" max="3956" width="0.88671875" style="432" customWidth="1"/>
    <col min="3957" max="4169" width="0.88671875" style="432"/>
    <col min="4170" max="4170" width="1" style="432" customWidth="1"/>
    <col min="4171" max="4211" width="0.88671875" style="432"/>
    <col min="4212" max="4212" width="0.88671875" style="432" customWidth="1"/>
    <col min="4213" max="4425" width="0.88671875" style="432"/>
    <col min="4426" max="4426" width="1" style="432" customWidth="1"/>
    <col min="4427" max="4467" width="0.88671875" style="432"/>
    <col min="4468" max="4468" width="0.88671875" style="432" customWidth="1"/>
    <col min="4469" max="4681" width="0.88671875" style="432"/>
    <col min="4682" max="4682" width="1" style="432" customWidth="1"/>
    <col min="4683" max="4723" width="0.88671875" style="432"/>
    <col min="4724" max="4724" width="0.88671875" style="432" customWidth="1"/>
    <col min="4725" max="4937" width="0.88671875" style="432"/>
    <col min="4938" max="4938" width="1" style="432" customWidth="1"/>
    <col min="4939" max="4979" width="0.88671875" style="432"/>
    <col min="4980" max="4980" width="0.88671875" style="432" customWidth="1"/>
    <col min="4981" max="5193" width="0.88671875" style="432"/>
    <col min="5194" max="5194" width="1" style="432" customWidth="1"/>
    <col min="5195" max="5235" width="0.88671875" style="432"/>
    <col min="5236" max="5236" width="0.88671875" style="432" customWidth="1"/>
    <col min="5237" max="5449" width="0.88671875" style="432"/>
    <col min="5450" max="5450" width="1" style="432" customWidth="1"/>
    <col min="5451" max="5491" width="0.88671875" style="432"/>
    <col min="5492" max="5492" width="0.88671875" style="432" customWidth="1"/>
    <col min="5493" max="5705" width="0.88671875" style="432"/>
    <col min="5706" max="5706" width="1" style="432" customWidth="1"/>
    <col min="5707" max="5747" width="0.88671875" style="432"/>
    <col min="5748" max="5748" width="0.88671875" style="432" customWidth="1"/>
    <col min="5749" max="5961" width="0.88671875" style="432"/>
    <col min="5962" max="5962" width="1" style="432" customWidth="1"/>
    <col min="5963" max="6003" width="0.88671875" style="432"/>
    <col min="6004" max="6004" width="0.88671875" style="432" customWidth="1"/>
    <col min="6005" max="6217" width="0.88671875" style="432"/>
    <col min="6218" max="6218" width="1" style="432" customWidth="1"/>
    <col min="6219" max="6259" width="0.88671875" style="432"/>
    <col min="6260" max="6260" width="0.88671875" style="432" customWidth="1"/>
    <col min="6261" max="6473" width="0.88671875" style="432"/>
    <col min="6474" max="6474" width="1" style="432" customWidth="1"/>
    <col min="6475" max="6515" width="0.88671875" style="432"/>
    <col min="6516" max="6516" width="0.88671875" style="432" customWidth="1"/>
    <col min="6517" max="6729" width="0.88671875" style="432"/>
    <col min="6730" max="6730" width="1" style="432" customWidth="1"/>
    <col min="6731" max="6771" width="0.88671875" style="432"/>
    <col min="6772" max="6772" width="0.88671875" style="432" customWidth="1"/>
    <col min="6773" max="6985" width="0.88671875" style="432"/>
    <col min="6986" max="6986" width="1" style="432" customWidth="1"/>
    <col min="6987" max="7027" width="0.88671875" style="432"/>
    <col min="7028" max="7028" width="0.88671875" style="432" customWidth="1"/>
    <col min="7029" max="7241" width="0.88671875" style="432"/>
    <col min="7242" max="7242" width="1" style="432" customWidth="1"/>
    <col min="7243" max="7283" width="0.88671875" style="432"/>
    <col min="7284" max="7284" width="0.88671875" style="432" customWidth="1"/>
    <col min="7285" max="7497" width="0.88671875" style="432"/>
    <col min="7498" max="7498" width="1" style="432" customWidth="1"/>
    <col min="7499" max="7539" width="0.88671875" style="432"/>
    <col min="7540" max="7540" width="0.88671875" style="432" customWidth="1"/>
    <col min="7541" max="7753" width="0.88671875" style="432"/>
    <col min="7754" max="7754" width="1" style="432" customWidth="1"/>
    <col min="7755" max="7795" width="0.88671875" style="432"/>
    <col min="7796" max="7796" width="0.88671875" style="432" customWidth="1"/>
    <col min="7797" max="8009" width="0.88671875" style="432"/>
    <col min="8010" max="8010" width="1" style="432" customWidth="1"/>
    <col min="8011" max="8051" width="0.88671875" style="432"/>
    <col min="8052" max="8052" width="0.88671875" style="432" customWidth="1"/>
    <col min="8053" max="8265" width="0.88671875" style="432"/>
    <col min="8266" max="8266" width="1" style="432" customWidth="1"/>
    <col min="8267" max="8307" width="0.88671875" style="432"/>
    <col min="8308" max="8308" width="0.88671875" style="432" customWidth="1"/>
    <col min="8309" max="8521" width="0.88671875" style="432"/>
    <col min="8522" max="8522" width="1" style="432" customWidth="1"/>
    <col min="8523" max="8563" width="0.88671875" style="432"/>
    <col min="8564" max="8564" width="0.88671875" style="432" customWidth="1"/>
    <col min="8565" max="8777" width="0.88671875" style="432"/>
    <col min="8778" max="8778" width="1" style="432" customWidth="1"/>
    <col min="8779" max="8819" width="0.88671875" style="432"/>
    <col min="8820" max="8820" width="0.88671875" style="432" customWidth="1"/>
    <col min="8821" max="9033" width="0.88671875" style="432"/>
    <col min="9034" max="9034" width="1" style="432" customWidth="1"/>
    <col min="9035" max="9075" width="0.88671875" style="432"/>
    <col min="9076" max="9076" width="0.88671875" style="432" customWidth="1"/>
    <col min="9077" max="9289" width="0.88671875" style="432"/>
    <col min="9290" max="9290" width="1" style="432" customWidth="1"/>
    <col min="9291" max="9331" width="0.88671875" style="432"/>
    <col min="9332" max="9332" width="0.88671875" style="432" customWidth="1"/>
    <col min="9333" max="9545" width="0.88671875" style="432"/>
    <col min="9546" max="9546" width="1" style="432" customWidth="1"/>
    <col min="9547" max="9587" width="0.88671875" style="432"/>
    <col min="9588" max="9588" width="0.88671875" style="432" customWidth="1"/>
    <col min="9589" max="9801" width="0.88671875" style="432"/>
    <col min="9802" max="9802" width="1" style="432" customWidth="1"/>
    <col min="9803" max="9843" width="0.88671875" style="432"/>
    <col min="9844" max="9844" width="0.88671875" style="432" customWidth="1"/>
    <col min="9845" max="10057" width="0.88671875" style="432"/>
    <col min="10058" max="10058" width="1" style="432" customWidth="1"/>
    <col min="10059" max="10099" width="0.88671875" style="432"/>
    <col min="10100" max="10100" width="0.88671875" style="432" customWidth="1"/>
    <col min="10101" max="10313" width="0.88671875" style="432"/>
    <col min="10314" max="10314" width="1" style="432" customWidth="1"/>
    <col min="10315" max="10355" width="0.88671875" style="432"/>
    <col min="10356" max="10356" width="0.88671875" style="432" customWidth="1"/>
    <col min="10357" max="10569" width="0.88671875" style="432"/>
    <col min="10570" max="10570" width="1" style="432" customWidth="1"/>
    <col min="10571" max="10611" width="0.88671875" style="432"/>
    <col min="10612" max="10612" width="0.88671875" style="432" customWidth="1"/>
    <col min="10613" max="10825" width="0.88671875" style="432"/>
    <col min="10826" max="10826" width="1" style="432" customWidth="1"/>
    <col min="10827" max="10867" width="0.88671875" style="432"/>
    <col min="10868" max="10868" width="0.88671875" style="432" customWidth="1"/>
    <col min="10869" max="11081" width="0.88671875" style="432"/>
    <col min="11082" max="11082" width="1" style="432" customWidth="1"/>
    <col min="11083" max="11123" width="0.88671875" style="432"/>
    <col min="11124" max="11124" width="0.88671875" style="432" customWidth="1"/>
    <col min="11125" max="11337" width="0.88671875" style="432"/>
    <col min="11338" max="11338" width="1" style="432" customWidth="1"/>
    <col min="11339" max="11379" width="0.88671875" style="432"/>
    <col min="11380" max="11380" width="0.88671875" style="432" customWidth="1"/>
    <col min="11381" max="11593" width="0.88671875" style="432"/>
    <col min="11594" max="11594" width="1" style="432" customWidth="1"/>
    <col min="11595" max="11635" width="0.88671875" style="432"/>
    <col min="11636" max="11636" width="0.88671875" style="432" customWidth="1"/>
    <col min="11637" max="11849" width="0.88671875" style="432"/>
    <col min="11850" max="11850" width="1" style="432" customWidth="1"/>
    <col min="11851" max="11891" width="0.88671875" style="432"/>
    <col min="11892" max="11892" width="0.88671875" style="432" customWidth="1"/>
    <col min="11893" max="12105" width="0.88671875" style="432"/>
    <col min="12106" max="12106" width="1" style="432" customWidth="1"/>
    <col min="12107" max="12147" width="0.88671875" style="432"/>
    <col min="12148" max="12148" width="0.88671875" style="432" customWidth="1"/>
    <col min="12149" max="12361" width="0.88671875" style="432"/>
    <col min="12362" max="12362" width="1" style="432" customWidth="1"/>
    <col min="12363" max="12403" width="0.88671875" style="432"/>
    <col min="12404" max="12404" width="0.88671875" style="432" customWidth="1"/>
    <col min="12405" max="12617" width="0.88671875" style="432"/>
    <col min="12618" max="12618" width="1" style="432" customWidth="1"/>
    <col min="12619" max="12659" width="0.88671875" style="432"/>
    <col min="12660" max="12660" width="0.88671875" style="432" customWidth="1"/>
    <col min="12661" max="12873" width="0.88671875" style="432"/>
    <col min="12874" max="12874" width="1" style="432" customWidth="1"/>
    <col min="12875" max="12915" width="0.88671875" style="432"/>
    <col min="12916" max="12916" width="0.88671875" style="432" customWidth="1"/>
    <col min="12917" max="13129" width="0.88671875" style="432"/>
    <col min="13130" max="13130" width="1" style="432" customWidth="1"/>
    <col min="13131" max="13171" width="0.88671875" style="432"/>
    <col min="13172" max="13172" width="0.88671875" style="432" customWidth="1"/>
    <col min="13173" max="13385" width="0.88671875" style="432"/>
    <col min="13386" max="13386" width="1" style="432" customWidth="1"/>
    <col min="13387" max="13427" width="0.88671875" style="432"/>
    <col min="13428" max="13428" width="0.88671875" style="432" customWidth="1"/>
    <col min="13429" max="13641" width="0.88671875" style="432"/>
    <col min="13642" max="13642" width="1" style="432" customWidth="1"/>
    <col min="13643" max="13683" width="0.88671875" style="432"/>
    <col min="13684" max="13684" width="0.88671875" style="432" customWidth="1"/>
    <col min="13685" max="13897" width="0.88671875" style="432"/>
    <col min="13898" max="13898" width="1" style="432" customWidth="1"/>
    <col min="13899" max="13939" width="0.88671875" style="432"/>
    <col min="13940" max="13940" width="0.88671875" style="432" customWidth="1"/>
    <col min="13941" max="14153" width="0.88671875" style="432"/>
    <col min="14154" max="14154" width="1" style="432" customWidth="1"/>
    <col min="14155" max="14195" width="0.88671875" style="432"/>
    <col min="14196" max="14196" width="0.88671875" style="432" customWidth="1"/>
    <col min="14197" max="14409" width="0.88671875" style="432"/>
    <col min="14410" max="14410" width="1" style="432" customWidth="1"/>
    <col min="14411" max="14451" width="0.88671875" style="432"/>
    <col min="14452" max="14452" width="0.88671875" style="432" customWidth="1"/>
    <col min="14453" max="14665" width="0.88671875" style="432"/>
    <col min="14666" max="14666" width="1" style="432" customWidth="1"/>
    <col min="14667" max="14707" width="0.88671875" style="432"/>
    <col min="14708" max="14708" width="0.88671875" style="432" customWidth="1"/>
    <col min="14709" max="14921" width="0.88671875" style="432"/>
    <col min="14922" max="14922" width="1" style="432" customWidth="1"/>
    <col min="14923" max="14963" width="0.88671875" style="432"/>
    <col min="14964" max="14964" width="0.88671875" style="432" customWidth="1"/>
    <col min="14965" max="15177" width="0.88671875" style="432"/>
    <col min="15178" max="15178" width="1" style="432" customWidth="1"/>
    <col min="15179" max="15219" width="0.88671875" style="432"/>
    <col min="15220" max="15220" width="0.88671875" style="432" customWidth="1"/>
    <col min="15221" max="15433" width="0.88671875" style="432"/>
    <col min="15434" max="15434" width="1" style="432" customWidth="1"/>
    <col min="15435" max="15475" width="0.88671875" style="432"/>
    <col min="15476" max="15476" width="0.88671875" style="432" customWidth="1"/>
    <col min="15477" max="15689" width="0.88671875" style="432"/>
    <col min="15690" max="15690" width="1" style="432" customWidth="1"/>
    <col min="15691" max="15731" width="0.88671875" style="432"/>
    <col min="15732" max="15732" width="0.88671875" style="432" customWidth="1"/>
    <col min="15733" max="15945" width="0.88671875" style="432"/>
    <col min="15946" max="15946" width="1" style="432" customWidth="1"/>
    <col min="15947" max="15987" width="0.88671875" style="432"/>
    <col min="15988" max="15988" width="0.88671875" style="432" customWidth="1"/>
    <col min="15989" max="16201" width="0.88671875" style="432"/>
    <col min="16202" max="16202" width="1" style="432" customWidth="1"/>
    <col min="16203" max="16243" width="0.88671875" style="432"/>
    <col min="16244" max="16244" width="0.88671875" style="432" customWidth="1"/>
    <col min="16245" max="16384" width="0.88671875" style="432"/>
  </cols>
  <sheetData>
    <row r="1" spans="1:155" s="421" customFormat="1" ht="7.8">
      <c r="EY1" s="422" t="s">
        <v>1536</v>
      </c>
    </row>
    <row r="2" spans="1:155" s="423" customFormat="1" ht="3.9" customHeight="1"/>
    <row r="3" spans="1:155" s="424" customFormat="1" ht="9.6">
      <c r="A3" s="1456" t="s">
        <v>1537</v>
      </c>
      <c r="B3" s="1456"/>
      <c r="C3" s="1456"/>
      <c r="D3" s="1456"/>
      <c r="E3" s="1456"/>
      <c r="F3" s="1456"/>
      <c r="G3" s="1456"/>
      <c r="H3" s="1456"/>
      <c r="I3" s="1456"/>
      <c r="J3" s="1456"/>
      <c r="K3" s="1456"/>
      <c r="L3" s="1456"/>
      <c r="M3" s="1456"/>
      <c r="N3" s="1456"/>
      <c r="O3" s="1456"/>
      <c r="P3" s="1456"/>
      <c r="Q3" s="1456"/>
      <c r="R3" s="1456"/>
      <c r="S3" s="1456"/>
      <c r="T3" s="1456"/>
      <c r="U3" s="1456"/>
      <c r="V3" s="1456"/>
      <c r="W3" s="1456"/>
      <c r="X3" s="1456"/>
      <c r="Y3" s="1456"/>
      <c r="Z3" s="1456"/>
      <c r="AA3" s="1456"/>
      <c r="AB3" s="1456"/>
      <c r="AC3" s="1456"/>
      <c r="AD3" s="1456"/>
      <c r="AE3" s="1456"/>
      <c r="AF3" s="1456"/>
      <c r="AG3" s="1456"/>
      <c r="AH3" s="1456"/>
      <c r="AI3" s="1456"/>
      <c r="AJ3" s="1456"/>
      <c r="AK3" s="1456"/>
      <c r="AL3" s="1456"/>
      <c r="AM3" s="1456"/>
      <c r="AN3" s="1456"/>
      <c r="AO3" s="1456"/>
      <c r="AP3" s="1456"/>
      <c r="AQ3" s="1456"/>
      <c r="AR3" s="1456"/>
      <c r="AS3" s="1456"/>
      <c r="AT3" s="1456"/>
      <c r="AU3" s="1456"/>
      <c r="AV3" s="1456"/>
      <c r="AW3" s="1456"/>
      <c r="AX3" s="1456"/>
      <c r="AY3" s="1456"/>
      <c r="AZ3" s="1456"/>
      <c r="BA3" s="1456"/>
      <c r="BB3" s="1456"/>
      <c r="BC3" s="1456"/>
      <c r="BD3" s="1456"/>
      <c r="BE3" s="1456"/>
      <c r="BF3" s="1456"/>
      <c r="BG3" s="1456"/>
      <c r="BH3" s="1456"/>
      <c r="BI3" s="1456"/>
      <c r="BJ3" s="1456"/>
      <c r="BK3" s="1456"/>
      <c r="BL3" s="1456"/>
      <c r="BM3" s="1456"/>
      <c r="BN3" s="1456"/>
      <c r="BO3" s="1456"/>
      <c r="BP3" s="1456"/>
      <c r="BQ3" s="1456"/>
      <c r="BR3" s="1456"/>
      <c r="BS3" s="1456"/>
      <c r="BT3" s="1456"/>
      <c r="BU3" s="1456"/>
      <c r="BV3" s="1456"/>
      <c r="BW3" s="1456"/>
      <c r="BX3" s="1456"/>
      <c r="BY3" s="1456"/>
      <c r="BZ3" s="1456"/>
      <c r="CA3" s="1456"/>
      <c r="CB3" s="1456"/>
      <c r="CC3" s="1456"/>
      <c r="CD3" s="1456"/>
      <c r="CE3" s="1456"/>
      <c r="CF3" s="1456"/>
      <c r="CG3" s="1456"/>
      <c r="CH3" s="1456"/>
      <c r="CI3" s="1456"/>
      <c r="CJ3" s="1456"/>
      <c r="CK3" s="1456"/>
      <c r="CL3" s="1456"/>
      <c r="CM3" s="1456"/>
      <c r="CN3" s="1456"/>
      <c r="CO3" s="1456"/>
      <c r="CP3" s="1456"/>
      <c r="CQ3" s="1456"/>
      <c r="CR3" s="1456"/>
      <c r="CS3" s="1456"/>
      <c r="CT3" s="1456"/>
      <c r="CU3" s="1456"/>
      <c r="CV3" s="1456"/>
      <c r="CW3" s="1456"/>
      <c r="CX3" s="1456"/>
      <c r="CY3" s="1456"/>
      <c r="CZ3" s="1456"/>
      <c r="DA3" s="1456"/>
      <c r="DB3" s="1456"/>
      <c r="DC3" s="1456"/>
      <c r="DD3" s="1456"/>
      <c r="DE3" s="1456"/>
      <c r="DF3" s="1456"/>
      <c r="DG3" s="1456"/>
      <c r="DH3" s="1456"/>
      <c r="DI3" s="1456"/>
      <c r="DJ3" s="1456"/>
      <c r="DK3" s="1456"/>
      <c r="DL3" s="1456"/>
      <c r="DM3" s="1456"/>
      <c r="DN3" s="1456"/>
      <c r="DO3" s="1456"/>
      <c r="DP3" s="1456"/>
      <c r="DQ3" s="1456"/>
      <c r="DR3" s="1456"/>
      <c r="DS3" s="1456"/>
      <c r="DT3" s="1456"/>
      <c r="DU3" s="1456"/>
      <c r="DV3" s="1456"/>
      <c r="DW3" s="1456"/>
      <c r="DX3" s="1456"/>
      <c r="DY3" s="1456"/>
      <c r="DZ3" s="1456"/>
      <c r="EA3" s="1456"/>
      <c r="EB3" s="1456"/>
      <c r="EC3" s="1456"/>
      <c r="ED3" s="1456"/>
      <c r="EE3" s="1456"/>
      <c r="EF3" s="1456"/>
      <c r="EG3" s="1456"/>
      <c r="EH3" s="1456"/>
      <c r="EI3" s="1456"/>
      <c r="EJ3" s="1456"/>
      <c r="EK3" s="1456"/>
      <c r="EL3" s="1456"/>
      <c r="EM3" s="1456"/>
      <c r="EN3" s="1456"/>
      <c r="EO3" s="1456"/>
      <c r="EP3" s="1456"/>
      <c r="EQ3" s="1456"/>
      <c r="ER3" s="1456"/>
      <c r="ES3" s="1456"/>
      <c r="ET3" s="1456"/>
      <c r="EU3" s="1456"/>
      <c r="EV3" s="1456"/>
      <c r="EW3" s="1456"/>
      <c r="EX3" s="1456"/>
      <c r="EY3" s="1456"/>
    </row>
    <row r="4" spans="1:155" s="424" customFormat="1" ht="9.6">
      <c r="A4" s="1456" t="s">
        <v>1538</v>
      </c>
      <c r="B4" s="1456"/>
      <c r="C4" s="1456"/>
      <c r="D4" s="1456"/>
      <c r="E4" s="1456"/>
      <c r="F4" s="1456"/>
      <c r="G4" s="1456"/>
      <c r="H4" s="1456"/>
      <c r="I4" s="1456"/>
      <c r="J4" s="1456"/>
      <c r="K4" s="1456"/>
      <c r="L4" s="1456"/>
      <c r="M4" s="1456"/>
      <c r="N4" s="1456"/>
      <c r="O4" s="1456"/>
      <c r="P4" s="1456"/>
      <c r="Q4" s="1456"/>
      <c r="R4" s="1456"/>
      <c r="S4" s="1456"/>
      <c r="T4" s="1456"/>
      <c r="U4" s="1456"/>
      <c r="V4" s="1456"/>
      <c r="W4" s="1456"/>
      <c r="X4" s="1456"/>
      <c r="Y4" s="1456"/>
      <c r="Z4" s="1456"/>
      <c r="AA4" s="1456"/>
      <c r="AB4" s="1456"/>
      <c r="AC4" s="1456"/>
      <c r="AD4" s="1456"/>
      <c r="AE4" s="1456"/>
      <c r="AF4" s="1456"/>
      <c r="AG4" s="1456"/>
      <c r="AH4" s="1456"/>
      <c r="AI4" s="1456"/>
      <c r="AJ4" s="1456"/>
      <c r="AK4" s="1456"/>
      <c r="AL4" s="1456"/>
      <c r="AM4" s="1456"/>
      <c r="AN4" s="1456"/>
      <c r="AO4" s="1456"/>
      <c r="AP4" s="1456"/>
      <c r="AQ4" s="1456"/>
      <c r="AR4" s="1456"/>
      <c r="AS4" s="1456"/>
      <c r="AT4" s="1456"/>
      <c r="AU4" s="1456"/>
      <c r="AV4" s="1456"/>
      <c r="AW4" s="1456"/>
      <c r="AX4" s="1456"/>
      <c r="AY4" s="1456"/>
      <c r="AZ4" s="1456"/>
      <c r="BA4" s="1456"/>
      <c r="BB4" s="1456"/>
      <c r="BC4" s="1456"/>
      <c r="BD4" s="1456"/>
      <c r="BE4" s="1456"/>
      <c r="BF4" s="1456"/>
      <c r="BG4" s="1456"/>
      <c r="BH4" s="1456"/>
      <c r="BI4" s="1456"/>
      <c r="BJ4" s="1456"/>
      <c r="BK4" s="1456"/>
      <c r="BL4" s="1456"/>
      <c r="BM4" s="1456"/>
      <c r="BN4" s="1456"/>
      <c r="BO4" s="1456"/>
      <c r="BP4" s="1456"/>
      <c r="BQ4" s="1456"/>
      <c r="BR4" s="1456"/>
      <c r="BS4" s="1456"/>
      <c r="BT4" s="1456"/>
      <c r="BU4" s="1456"/>
      <c r="BV4" s="1456"/>
      <c r="BW4" s="1456"/>
      <c r="BX4" s="1456"/>
      <c r="BY4" s="1456"/>
      <c r="BZ4" s="1456"/>
      <c r="CA4" s="1456"/>
      <c r="CB4" s="1456"/>
      <c r="CC4" s="1456"/>
      <c r="CD4" s="1456"/>
      <c r="CE4" s="1456"/>
      <c r="CF4" s="1456"/>
      <c r="CG4" s="1456"/>
      <c r="CH4" s="1456"/>
      <c r="CI4" s="1456"/>
      <c r="CJ4" s="1456"/>
      <c r="CK4" s="1456"/>
      <c r="CL4" s="1456"/>
      <c r="CM4" s="1456"/>
      <c r="CN4" s="1456"/>
      <c r="CO4" s="1456"/>
      <c r="CP4" s="1456"/>
      <c r="CQ4" s="1456"/>
      <c r="CR4" s="1456"/>
      <c r="CS4" s="1456"/>
      <c r="CT4" s="1456"/>
      <c r="CU4" s="1456"/>
      <c r="CV4" s="1456"/>
      <c r="CW4" s="1456"/>
      <c r="CX4" s="1456"/>
      <c r="CY4" s="1456"/>
      <c r="CZ4" s="1456"/>
      <c r="DA4" s="1456"/>
      <c r="DB4" s="1456"/>
      <c r="DC4" s="1456"/>
      <c r="DD4" s="1456"/>
      <c r="DE4" s="1456"/>
      <c r="DF4" s="1456"/>
      <c r="DG4" s="1456"/>
      <c r="DH4" s="1456"/>
      <c r="DI4" s="1456"/>
      <c r="DJ4" s="1456"/>
      <c r="DK4" s="1456"/>
      <c r="DL4" s="1456"/>
      <c r="DM4" s="1456"/>
      <c r="DN4" s="1456"/>
      <c r="DO4" s="1456"/>
      <c r="DP4" s="1456"/>
      <c r="DQ4" s="1456"/>
      <c r="DR4" s="1456"/>
      <c r="DS4" s="1456"/>
      <c r="DT4" s="1456"/>
      <c r="DU4" s="1456"/>
      <c r="DV4" s="1456"/>
      <c r="DW4" s="1456"/>
      <c r="DX4" s="1456"/>
      <c r="DY4" s="1456"/>
      <c r="DZ4" s="1456"/>
      <c r="EA4" s="1456"/>
      <c r="EB4" s="1456"/>
      <c r="EC4" s="1456"/>
      <c r="ED4" s="1456"/>
      <c r="EE4" s="1456"/>
      <c r="EF4" s="1456"/>
      <c r="EG4" s="1456"/>
      <c r="EH4" s="1456"/>
      <c r="EI4" s="1456"/>
      <c r="EJ4" s="1456"/>
      <c r="EK4" s="1456"/>
      <c r="EL4" s="1456"/>
      <c r="EM4" s="1456"/>
      <c r="EN4" s="1456"/>
      <c r="EO4" s="1456"/>
      <c r="EP4" s="1456"/>
      <c r="EQ4" s="1456"/>
      <c r="ER4" s="1456"/>
      <c r="ES4" s="1456"/>
      <c r="ET4" s="1456"/>
      <c r="EU4" s="1456"/>
      <c r="EV4" s="1456"/>
      <c r="EW4" s="1456"/>
      <c r="EX4" s="1456"/>
      <c r="EY4" s="1456"/>
    </row>
    <row r="5" spans="1:155" s="423" customFormat="1" ht="6" customHeight="1"/>
    <row r="6" spans="1:155" s="425" customFormat="1" ht="7.8">
      <c r="A6" s="425" t="s">
        <v>1539</v>
      </c>
      <c r="AN6" s="425" t="s">
        <v>1540</v>
      </c>
    </row>
    <row r="7" spans="1:155" s="425" customFormat="1" ht="7.8">
      <c r="AN7" s="425" t="s">
        <v>1538</v>
      </c>
    </row>
    <row r="8" spans="1:155" s="425" customFormat="1" ht="7.8">
      <c r="A8" s="425" t="s">
        <v>1541</v>
      </c>
      <c r="AN8" s="425" t="s">
        <v>1542</v>
      </c>
    </row>
    <row r="9" spans="1:155" s="425" customFormat="1" ht="7.8">
      <c r="A9" s="425" t="s">
        <v>1543</v>
      </c>
      <c r="AN9" s="425" t="s">
        <v>1544</v>
      </c>
      <c r="EI9" s="426"/>
      <c r="EJ9" s="426"/>
      <c r="EK9" s="426"/>
      <c r="EL9" s="426"/>
      <c r="EM9" s="426"/>
      <c r="EN9" s="426"/>
      <c r="EO9" s="426"/>
      <c r="EP9" s="426"/>
      <c r="EQ9" s="426"/>
      <c r="ER9" s="426"/>
      <c r="ES9" s="426"/>
      <c r="ET9" s="426"/>
      <c r="EU9" s="426"/>
      <c r="EV9" s="426"/>
      <c r="EW9" s="426"/>
      <c r="EX9" s="426"/>
      <c r="EY9" s="426"/>
    </row>
    <row r="10" spans="1:155" s="424" customFormat="1" ht="4.5" customHeight="1">
      <c r="EI10" s="427"/>
      <c r="EJ10" s="427"/>
      <c r="EK10" s="427"/>
      <c r="EL10" s="427"/>
      <c r="EM10" s="427"/>
      <c r="EN10" s="427"/>
      <c r="EO10" s="427"/>
      <c r="EP10" s="427"/>
      <c r="EQ10" s="427"/>
      <c r="ER10" s="427"/>
      <c r="ES10" s="427"/>
      <c r="ET10" s="427"/>
      <c r="EU10" s="427"/>
      <c r="EV10" s="427"/>
      <c r="EW10" s="427"/>
      <c r="EX10" s="427"/>
      <c r="EY10" s="427"/>
    </row>
    <row r="11" spans="1:155" s="425" customFormat="1" ht="7.8">
      <c r="A11" s="425" t="s">
        <v>1545</v>
      </c>
      <c r="DN11" s="1457" t="s">
        <v>1546</v>
      </c>
      <c r="DO11" s="1457"/>
      <c r="DP11" s="1457"/>
      <c r="DQ11" s="1457"/>
      <c r="DR11" s="1457"/>
      <c r="DS11" s="1457"/>
      <c r="DT11" s="1457"/>
      <c r="DU11" s="1457"/>
      <c r="DV11" s="1457"/>
      <c r="DW11" s="1457"/>
      <c r="DX11" s="1457"/>
      <c r="DY11" s="1457"/>
      <c r="DZ11" s="1457"/>
      <c r="EA11" s="1457"/>
      <c r="EB11" s="1457"/>
      <c r="EC11" s="1457"/>
      <c r="ED11" s="1457"/>
      <c r="EE11" s="1457"/>
      <c r="EF11" s="1457"/>
      <c r="EG11" s="1457"/>
      <c r="EH11" s="1457"/>
      <c r="EI11" s="1457"/>
      <c r="EJ11" s="1457"/>
      <c r="EK11" s="1457"/>
      <c r="EL11" s="1457"/>
      <c r="EM11" s="1457"/>
      <c r="EN11" s="1457"/>
      <c r="EO11" s="1457"/>
      <c r="EP11" s="1457"/>
      <c r="EQ11" s="1457"/>
      <c r="ER11" s="1457"/>
      <c r="ES11" s="1457"/>
      <c r="ET11" s="1457"/>
      <c r="EU11" s="1457"/>
      <c r="EV11" s="1457"/>
      <c r="EW11" s="1457"/>
      <c r="EX11" s="1457"/>
      <c r="EY11" s="1457"/>
    </row>
    <row r="12" spans="1:155" s="425" customFormat="1" ht="7.8">
      <c r="A12" s="425" t="s">
        <v>1547</v>
      </c>
      <c r="DN12" s="1458" t="s">
        <v>224</v>
      </c>
      <c r="DO12" s="1458"/>
      <c r="DP12" s="1458"/>
      <c r="DQ12" s="1458"/>
      <c r="DR12" s="1458"/>
      <c r="DS12" s="1458"/>
      <c r="DT12" s="1458"/>
      <c r="DU12" s="1458"/>
      <c r="DV12" s="1458"/>
      <c r="DW12" s="1458"/>
      <c r="DX12" s="1458"/>
      <c r="DY12" s="1458"/>
      <c r="DZ12" s="1458"/>
      <c r="EA12" s="1458"/>
      <c r="EB12" s="1458"/>
      <c r="EC12" s="1458"/>
      <c r="ED12" s="1458"/>
      <c r="EE12" s="1458"/>
      <c r="EF12" s="1458"/>
      <c r="EG12" s="1458"/>
      <c r="EH12" s="1458"/>
      <c r="EI12" s="1458"/>
      <c r="EJ12" s="1458"/>
      <c r="EK12" s="1458"/>
      <c r="EL12" s="1458"/>
      <c r="EM12" s="1458"/>
      <c r="EN12" s="1458"/>
      <c r="EO12" s="1458"/>
      <c r="EP12" s="1458"/>
      <c r="EQ12" s="1458"/>
      <c r="ER12" s="1458"/>
      <c r="ES12" s="1458"/>
      <c r="ET12" s="1458"/>
      <c r="EU12" s="1458"/>
      <c r="EV12" s="1458"/>
      <c r="EW12" s="1458"/>
      <c r="EX12" s="1458"/>
      <c r="EY12" s="1458"/>
    </row>
    <row r="13" spans="1:155" s="425" customFormat="1" ht="7.8">
      <c r="A13" s="425" t="s">
        <v>1548</v>
      </c>
      <c r="DN13" s="1458" t="s">
        <v>1549</v>
      </c>
      <c r="DO13" s="1458"/>
      <c r="DP13" s="1458"/>
      <c r="DQ13" s="1458"/>
      <c r="DR13" s="1458"/>
      <c r="DS13" s="1458"/>
      <c r="DT13" s="1458"/>
      <c r="DU13" s="1458"/>
      <c r="DV13" s="1458"/>
      <c r="DW13" s="1458"/>
      <c r="DX13" s="1458"/>
      <c r="DY13" s="1458"/>
      <c r="DZ13" s="1458"/>
      <c r="EA13" s="1458"/>
      <c r="EB13" s="1458"/>
      <c r="EC13" s="1458"/>
      <c r="ED13" s="1458"/>
      <c r="EE13" s="1458"/>
      <c r="EF13" s="1458"/>
      <c r="EG13" s="1458"/>
      <c r="EH13" s="1458"/>
      <c r="EI13" s="1458"/>
      <c r="EJ13" s="1458"/>
      <c r="EK13" s="1458"/>
      <c r="EL13" s="1458"/>
      <c r="EM13" s="1458"/>
      <c r="EN13" s="1458"/>
      <c r="EO13" s="1458"/>
      <c r="EP13" s="1458"/>
      <c r="EQ13" s="1458"/>
      <c r="ER13" s="1458"/>
      <c r="ES13" s="1458"/>
      <c r="ET13" s="1458"/>
      <c r="EU13" s="1458"/>
      <c r="EV13" s="1458"/>
      <c r="EW13" s="1458"/>
      <c r="EX13" s="1458"/>
      <c r="EY13" s="1458"/>
    </row>
    <row r="14" spans="1:155" s="425" customFormat="1" ht="7.8">
      <c r="A14" s="425" t="s">
        <v>1550</v>
      </c>
      <c r="DN14" s="1458" t="s">
        <v>1551</v>
      </c>
      <c r="DO14" s="1458"/>
      <c r="DP14" s="1458"/>
      <c r="DQ14" s="1458"/>
      <c r="DR14" s="1458"/>
      <c r="DS14" s="1458"/>
      <c r="DT14" s="1458"/>
      <c r="DU14" s="1458"/>
      <c r="DV14" s="1458"/>
      <c r="DW14" s="1458"/>
      <c r="DX14" s="1458"/>
      <c r="DY14" s="1458"/>
      <c r="DZ14" s="1458"/>
      <c r="EA14" s="1458"/>
      <c r="EB14" s="1458"/>
      <c r="EC14" s="1458"/>
      <c r="ED14" s="1458"/>
      <c r="EE14" s="1458"/>
      <c r="EF14" s="1458"/>
      <c r="EG14" s="1458"/>
      <c r="EH14" s="1458"/>
      <c r="EI14" s="1458"/>
      <c r="EJ14" s="1458"/>
      <c r="EK14" s="1458"/>
      <c r="EL14" s="1458"/>
      <c r="EM14" s="1458"/>
      <c r="EN14" s="1458"/>
      <c r="EO14" s="1458"/>
      <c r="EP14" s="1458"/>
      <c r="EQ14" s="1458"/>
      <c r="ER14" s="1458"/>
      <c r="ES14" s="1458"/>
      <c r="ET14" s="1458"/>
      <c r="EU14" s="1458"/>
      <c r="EV14" s="1458"/>
      <c r="EW14" s="1458"/>
      <c r="EX14" s="1458"/>
      <c r="EY14" s="1458"/>
    </row>
    <row r="15" spans="1:155" s="425" customFormat="1" ht="7.8">
      <c r="A15" s="425" t="s">
        <v>1552</v>
      </c>
      <c r="DN15" s="1458" t="s">
        <v>1553</v>
      </c>
      <c r="DO15" s="1458"/>
      <c r="DP15" s="1458"/>
      <c r="DQ15" s="1458"/>
      <c r="DR15" s="1458"/>
      <c r="DS15" s="1458"/>
      <c r="DT15" s="1458"/>
      <c r="DU15" s="1458"/>
      <c r="DV15" s="1458"/>
      <c r="DW15" s="1458"/>
      <c r="DX15" s="1458"/>
      <c r="DY15" s="1458"/>
      <c r="DZ15" s="1458"/>
      <c r="EA15" s="1458"/>
      <c r="EB15" s="1458"/>
      <c r="EC15" s="1458"/>
      <c r="ED15" s="1458"/>
      <c r="EE15" s="1458"/>
      <c r="EF15" s="1458"/>
      <c r="EG15" s="1458"/>
      <c r="EH15" s="1458"/>
      <c r="EI15" s="1458"/>
      <c r="EJ15" s="1458"/>
      <c r="EK15" s="1458"/>
      <c r="EL15" s="1458"/>
      <c r="EM15" s="1458"/>
      <c r="EN15" s="1458"/>
      <c r="EO15" s="1458"/>
      <c r="EP15" s="1458"/>
      <c r="EQ15" s="1458"/>
      <c r="ER15" s="1458"/>
      <c r="ES15" s="1458"/>
      <c r="ET15" s="1458"/>
      <c r="EU15" s="1458"/>
      <c r="EV15" s="1458"/>
      <c r="EW15" s="1458"/>
      <c r="EX15" s="1458"/>
      <c r="EY15" s="1458"/>
    </row>
    <row r="16" spans="1:155" s="425" customFormat="1" ht="7.8">
      <c r="DN16" s="426"/>
      <c r="DO16" s="426"/>
      <c r="DP16" s="426"/>
      <c r="DQ16" s="426"/>
      <c r="DR16" s="426"/>
      <c r="DS16" s="426"/>
      <c r="DT16" s="426"/>
      <c r="DU16" s="426"/>
      <c r="DV16" s="426"/>
      <c r="DW16" s="426"/>
      <c r="DX16" s="426"/>
      <c r="DY16" s="426"/>
      <c r="DZ16" s="426"/>
      <c r="EA16" s="426"/>
      <c r="EB16" s="426"/>
      <c r="EC16" s="426"/>
      <c r="ED16" s="426"/>
      <c r="EE16" s="426"/>
      <c r="EF16" s="426"/>
      <c r="EG16" s="426"/>
      <c r="EH16" s="426"/>
      <c r="EI16" s="426"/>
      <c r="EJ16" s="426"/>
      <c r="EK16" s="426"/>
      <c r="EL16" s="426"/>
      <c r="EM16" s="426"/>
      <c r="EN16" s="426"/>
      <c r="EO16" s="426"/>
      <c r="EP16" s="426"/>
      <c r="EQ16" s="426"/>
      <c r="ER16" s="426"/>
      <c r="ES16" s="426"/>
      <c r="ET16" s="426"/>
      <c r="EU16" s="426"/>
      <c r="EV16" s="426"/>
      <c r="EW16" s="426"/>
      <c r="EX16" s="426"/>
      <c r="EY16" s="426"/>
    </row>
    <row r="17" spans="1:155" s="425" customFormat="1" ht="8.1" customHeight="1"/>
    <row r="18" spans="1:155" s="428" customFormat="1" ht="9" customHeight="1">
      <c r="A18" s="1400" t="s">
        <v>111</v>
      </c>
      <c r="B18" s="1401"/>
      <c r="C18" s="1401"/>
      <c r="D18" s="1401"/>
      <c r="E18" s="1401"/>
      <c r="F18" s="1401"/>
      <c r="G18" s="1401"/>
      <c r="H18" s="1401"/>
      <c r="I18" s="1401"/>
      <c r="J18" s="1401"/>
      <c r="K18" s="1401"/>
      <c r="L18" s="1401"/>
      <c r="M18" s="1401"/>
      <c r="N18" s="1401"/>
      <c r="O18" s="1401"/>
      <c r="P18" s="1401"/>
      <c r="Q18" s="1401"/>
      <c r="R18" s="1401"/>
      <c r="S18" s="1401"/>
      <c r="T18" s="1401"/>
      <c r="U18" s="1401"/>
      <c r="V18" s="1401"/>
      <c r="W18" s="1401"/>
      <c r="X18" s="1401"/>
      <c r="Y18" s="1401"/>
      <c r="Z18" s="1401"/>
      <c r="AA18" s="1401"/>
      <c r="AB18" s="1401"/>
      <c r="AC18" s="1401"/>
      <c r="AD18" s="1401"/>
      <c r="AE18" s="1401"/>
      <c r="AF18" s="1401"/>
      <c r="AG18" s="1401"/>
      <c r="AH18" s="1401"/>
      <c r="AI18" s="1401"/>
      <c r="AJ18" s="1401"/>
      <c r="AK18" s="1401"/>
      <c r="AL18" s="1401"/>
      <c r="AM18" s="1402"/>
      <c r="AN18" s="1400" t="s">
        <v>0</v>
      </c>
      <c r="AO18" s="1401"/>
      <c r="AP18" s="1401"/>
      <c r="AQ18" s="1401"/>
      <c r="AR18" s="1401"/>
      <c r="AS18" s="1401"/>
      <c r="AT18" s="1401"/>
      <c r="AU18" s="1402"/>
      <c r="AV18" s="1400" t="s">
        <v>1554</v>
      </c>
      <c r="AW18" s="1401"/>
      <c r="AX18" s="1401"/>
      <c r="AY18" s="1401"/>
      <c r="AZ18" s="1401"/>
      <c r="BA18" s="1402"/>
      <c r="BB18" s="1400" t="s">
        <v>1555</v>
      </c>
      <c r="BC18" s="1401"/>
      <c r="BD18" s="1401"/>
      <c r="BE18" s="1401"/>
      <c r="BF18" s="1401"/>
      <c r="BG18" s="1401"/>
      <c r="BH18" s="1401"/>
      <c r="BI18" s="1401"/>
      <c r="BJ18" s="1402"/>
      <c r="BK18" s="1406" t="s">
        <v>1556</v>
      </c>
      <c r="BL18" s="1406"/>
      <c r="BM18" s="1406"/>
      <c r="BN18" s="1406"/>
      <c r="BO18" s="1406"/>
      <c r="BP18" s="1406"/>
      <c r="BQ18" s="1406"/>
      <c r="BR18" s="1406"/>
      <c r="BS18" s="1406"/>
      <c r="BT18" s="1406" t="s">
        <v>1557</v>
      </c>
      <c r="BU18" s="1406"/>
      <c r="BV18" s="1406"/>
      <c r="BW18" s="1406"/>
      <c r="BX18" s="1406"/>
      <c r="BY18" s="1406"/>
      <c r="BZ18" s="1406"/>
      <c r="CA18" s="1406"/>
      <c r="CB18" s="1406"/>
      <c r="CC18" s="1406"/>
      <c r="CD18" s="1406"/>
      <c r="CE18" s="1406"/>
      <c r="CF18" s="1406"/>
      <c r="CG18" s="1406"/>
      <c r="CH18" s="1406"/>
      <c r="CI18" s="1406"/>
      <c r="CJ18" s="1406"/>
      <c r="CK18" s="1406"/>
      <c r="CL18" s="1406"/>
      <c r="CM18" s="1406"/>
      <c r="CN18" s="1406"/>
      <c r="CO18" s="1406"/>
      <c r="CP18" s="1406"/>
      <c r="CQ18" s="1406"/>
      <c r="CR18" s="1406"/>
      <c r="CS18" s="1406"/>
      <c r="CT18" s="1406"/>
      <c r="CU18" s="1406"/>
      <c r="CV18" s="1406" t="s">
        <v>1558</v>
      </c>
      <c r="CW18" s="1406"/>
      <c r="CX18" s="1406"/>
      <c r="CY18" s="1406"/>
      <c r="CZ18" s="1406"/>
      <c r="DA18" s="1406"/>
      <c r="DB18" s="1406"/>
      <c r="DC18" s="1406"/>
      <c r="DD18" s="1406"/>
      <c r="DE18" s="1406" t="s">
        <v>1559</v>
      </c>
      <c r="DF18" s="1406"/>
      <c r="DG18" s="1406"/>
      <c r="DH18" s="1406"/>
      <c r="DI18" s="1406"/>
      <c r="DJ18" s="1406"/>
      <c r="DK18" s="1406"/>
      <c r="DL18" s="1406"/>
      <c r="DM18" s="1406"/>
      <c r="DN18" s="1406" t="s">
        <v>1560</v>
      </c>
      <c r="DO18" s="1406"/>
      <c r="DP18" s="1406"/>
      <c r="DQ18" s="1406"/>
      <c r="DR18" s="1406"/>
      <c r="DS18" s="1406"/>
      <c r="DT18" s="1406"/>
      <c r="DU18" s="1406"/>
      <c r="DV18" s="1406"/>
      <c r="DW18" s="1406"/>
      <c r="DX18" s="1406"/>
      <c r="DY18" s="1406"/>
      <c r="DZ18" s="1406"/>
      <c r="EA18" s="1406"/>
      <c r="EB18" s="1406"/>
      <c r="EC18" s="1406"/>
      <c r="ED18" s="1406"/>
      <c r="EE18" s="1406"/>
      <c r="EF18" s="1406"/>
      <c r="EG18" s="1406"/>
      <c r="EH18" s="1406"/>
      <c r="EI18" s="1406"/>
      <c r="EJ18" s="1406"/>
      <c r="EK18" s="1406"/>
      <c r="EL18" s="1406"/>
      <c r="EM18" s="1406"/>
      <c r="EN18" s="1406"/>
      <c r="EO18" s="1406"/>
      <c r="EP18" s="1400" t="s">
        <v>1561</v>
      </c>
      <c r="EQ18" s="1401"/>
      <c r="ER18" s="1401"/>
      <c r="ES18" s="1401"/>
      <c r="ET18" s="1401"/>
      <c r="EU18" s="1401"/>
      <c r="EV18" s="1401"/>
      <c r="EW18" s="1401"/>
      <c r="EX18" s="1401"/>
      <c r="EY18" s="1402"/>
    </row>
    <row r="19" spans="1:155" s="428" customFormat="1" ht="66.75" customHeight="1">
      <c r="A19" s="1403"/>
      <c r="B19" s="1404"/>
      <c r="C19" s="1404"/>
      <c r="D19" s="1404"/>
      <c r="E19" s="1404"/>
      <c r="F19" s="1404"/>
      <c r="G19" s="1404"/>
      <c r="H19" s="1404"/>
      <c r="I19" s="1404"/>
      <c r="J19" s="1404"/>
      <c r="K19" s="1404"/>
      <c r="L19" s="1404"/>
      <c r="M19" s="1404"/>
      <c r="N19" s="1404"/>
      <c r="O19" s="1404"/>
      <c r="P19" s="1404"/>
      <c r="Q19" s="1404"/>
      <c r="R19" s="1404"/>
      <c r="S19" s="1404"/>
      <c r="T19" s="1404"/>
      <c r="U19" s="1404"/>
      <c r="V19" s="1404"/>
      <c r="W19" s="1404"/>
      <c r="X19" s="1404"/>
      <c r="Y19" s="1404"/>
      <c r="Z19" s="1404"/>
      <c r="AA19" s="1404"/>
      <c r="AB19" s="1404"/>
      <c r="AC19" s="1404"/>
      <c r="AD19" s="1404"/>
      <c r="AE19" s="1404"/>
      <c r="AF19" s="1404"/>
      <c r="AG19" s="1404"/>
      <c r="AH19" s="1404"/>
      <c r="AI19" s="1404"/>
      <c r="AJ19" s="1404"/>
      <c r="AK19" s="1404"/>
      <c r="AL19" s="1404"/>
      <c r="AM19" s="1405"/>
      <c r="AN19" s="1403"/>
      <c r="AO19" s="1404"/>
      <c r="AP19" s="1404"/>
      <c r="AQ19" s="1404"/>
      <c r="AR19" s="1404"/>
      <c r="AS19" s="1404"/>
      <c r="AT19" s="1404"/>
      <c r="AU19" s="1405"/>
      <c r="AV19" s="1403"/>
      <c r="AW19" s="1404"/>
      <c r="AX19" s="1404"/>
      <c r="AY19" s="1404"/>
      <c r="AZ19" s="1404"/>
      <c r="BA19" s="1405"/>
      <c r="BB19" s="1403"/>
      <c r="BC19" s="1404"/>
      <c r="BD19" s="1404"/>
      <c r="BE19" s="1404"/>
      <c r="BF19" s="1404"/>
      <c r="BG19" s="1404"/>
      <c r="BH19" s="1404"/>
      <c r="BI19" s="1404"/>
      <c r="BJ19" s="1405"/>
      <c r="BK19" s="1406"/>
      <c r="BL19" s="1406"/>
      <c r="BM19" s="1406"/>
      <c r="BN19" s="1406"/>
      <c r="BO19" s="1406"/>
      <c r="BP19" s="1406"/>
      <c r="BQ19" s="1406"/>
      <c r="BR19" s="1406"/>
      <c r="BS19" s="1406"/>
      <c r="BT19" s="1406" t="s">
        <v>1562</v>
      </c>
      <c r="BU19" s="1406"/>
      <c r="BV19" s="1406"/>
      <c r="BW19" s="1406"/>
      <c r="BX19" s="1406"/>
      <c r="BY19" s="1406"/>
      <c r="BZ19" s="1406"/>
      <c r="CA19" s="1406" t="s">
        <v>1563</v>
      </c>
      <c r="CB19" s="1406"/>
      <c r="CC19" s="1406"/>
      <c r="CD19" s="1406"/>
      <c r="CE19" s="1406"/>
      <c r="CF19" s="1406"/>
      <c r="CG19" s="1406"/>
      <c r="CH19" s="1406" t="s">
        <v>1564</v>
      </c>
      <c r="CI19" s="1406"/>
      <c r="CJ19" s="1406"/>
      <c r="CK19" s="1406"/>
      <c r="CL19" s="1406"/>
      <c r="CM19" s="1406"/>
      <c r="CN19" s="1406"/>
      <c r="CO19" s="1406" t="s">
        <v>1565</v>
      </c>
      <c r="CP19" s="1406"/>
      <c r="CQ19" s="1406"/>
      <c r="CR19" s="1406"/>
      <c r="CS19" s="1406"/>
      <c r="CT19" s="1406"/>
      <c r="CU19" s="1406"/>
      <c r="CV19" s="1406"/>
      <c r="CW19" s="1406"/>
      <c r="CX19" s="1406"/>
      <c r="CY19" s="1406"/>
      <c r="CZ19" s="1406"/>
      <c r="DA19" s="1406"/>
      <c r="DB19" s="1406"/>
      <c r="DC19" s="1406"/>
      <c r="DD19" s="1406"/>
      <c r="DE19" s="1406"/>
      <c r="DF19" s="1406"/>
      <c r="DG19" s="1406"/>
      <c r="DH19" s="1406"/>
      <c r="DI19" s="1406"/>
      <c r="DJ19" s="1406"/>
      <c r="DK19" s="1406"/>
      <c r="DL19" s="1406"/>
      <c r="DM19" s="1406"/>
      <c r="DN19" s="1406" t="s">
        <v>1562</v>
      </c>
      <c r="DO19" s="1406"/>
      <c r="DP19" s="1406"/>
      <c r="DQ19" s="1406"/>
      <c r="DR19" s="1406"/>
      <c r="DS19" s="1406"/>
      <c r="DT19" s="1406"/>
      <c r="DU19" s="1406" t="s">
        <v>1563</v>
      </c>
      <c r="DV19" s="1406"/>
      <c r="DW19" s="1406"/>
      <c r="DX19" s="1406"/>
      <c r="DY19" s="1406"/>
      <c r="DZ19" s="1406"/>
      <c r="EA19" s="1406"/>
      <c r="EB19" s="1406" t="s">
        <v>1564</v>
      </c>
      <c r="EC19" s="1406"/>
      <c r="ED19" s="1406"/>
      <c r="EE19" s="1406"/>
      <c r="EF19" s="1406"/>
      <c r="EG19" s="1406"/>
      <c r="EH19" s="1406"/>
      <c r="EI19" s="1406" t="s">
        <v>1565</v>
      </c>
      <c r="EJ19" s="1406"/>
      <c r="EK19" s="1406"/>
      <c r="EL19" s="1406"/>
      <c r="EM19" s="1406"/>
      <c r="EN19" s="1406"/>
      <c r="EO19" s="1406"/>
      <c r="EP19" s="1403"/>
      <c r="EQ19" s="1404"/>
      <c r="ER19" s="1404"/>
      <c r="ES19" s="1404"/>
      <c r="ET19" s="1404"/>
      <c r="EU19" s="1404"/>
      <c r="EV19" s="1404"/>
      <c r="EW19" s="1404"/>
      <c r="EX19" s="1404"/>
      <c r="EY19" s="1405"/>
    </row>
    <row r="20" spans="1:155" s="429" customFormat="1" ht="18.75" customHeight="1">
      <c r="A20" s="1388">
        <v>1</v>
      </c>
      <c r="B20" s="1389"/>
      <c r="C20" s="1389"/>
      <c r="D20" s="1389"/>
      <c r="E20" s="1389"/>
      <c r="F20" s="1389"/>
      <c r="G20" s="1389"/>
      <c r="H20" s="1389"/>
      <c r="I20" s="1389"/>
      <c r="J20" s="1389"/>
      <c r="K20" s="1389"/>
      <c r="L20" s="1389"/>
      <c r="M20" s="1389"/>
      <c r="N20" s="1389"/>
      <c r="O20" s="1389"/>
      <c r="P20" s="1389"/>
      <c r="Q20" s="1389"/>
      <c r="R20" s="1389"/>
      <c r="S20" s="1389"/>
      <c r="T20" s="1389"/>
      <c r="U20" s="1389"/>
      <c r="V20" s="1389"/>
      <c r="W20" s="1389"/>
      <c r="X20" s="1389"/>
      <c r="Y20" s="1389"/>
      <c r="Z20" s="1389"/>
      <c r="AA20" s="1389"/>
      <c r="AB20" s="1389"/>
      <c r="AC20" s="1389"/>
      <c r="AD20" s="1389"/>
      <c r="AE20" s="1389"/>
      <c r="AF20" s="1389"/>
      <c r="AG20" s="1389"/>
      <c r="AH20" s="1389"/>
      <c r="AI20" s="1389"/>
      <c r="AJ20" s="1389"/>
      <c r="AK20" s="1389"/>
      <c r="AL20" s="1389"/>
      <c r="AM20" s="1390"/>
      <c r="AN20" s="1392">
        <v>2</v>
      </c>
      <c r="AO20" s="1392"/>
      <c r="AP20" s="1392"/>
      <c r="AQ20" s="1392"/>
      <c r="AR20" s="1392"/>
      <c r="AS20" s="1392"/>
      <c r="AT20" s="1392"/>
      <c r="AU20" s="1392"/>
      <c r="AV20" s="1392">
        <v>3</v>
      </c>
      <c r="AW20" s="1392"/>
      <c r="AX20" s="1392"/>
      <c r="AY20" s="1392"/>
      <c r="AZ20" s="1392"/>
      <c r="BA20" s="1392"/>
      <c r="BB20" s="1392">
        <v>4</v>
      </c>
      <c r="BC20" s="1392"/>
      <c r="BD20" s="1392"/>
      <c r="BE20" s="1392"/>
      <c r="BF20" s="1392"/>
      <c r="BG20" s="1392"/>
      <c r="BH20" s="1392"/>
      <c r="BI20" s="1392"/>
      <c r="BJ20" s="1392"/>
      <c r="BK20" s="1392">
        <v>5</v>
      </c>
      <c r="BL20" s="1392"/>
      <c r="BM20" s="1392"/>
      <c r="BN20" s="1392"/>
      <c r="BO20" s="1392"/>
      <c r="BP20" s="1392"/>
      <c r="BQ20" s="1392"/>
      <c r="BR20" s="1392"/>
      <c r="BS20" s="1392"/>
      <c r="BT20" s="1392">
        <v>6</v>
      </c>
      <c r="BU20" s="1392"/>
      <c r="BV20" s="1392"/>
      <c r="BW20" s="1392"/>
      <c r="BX20" s="1392"/>
      <c r="BY20" s="1392"/>
      <c r="BZ20" s="1392"/>
      <c r="CA20" s="1392">
        <v>7</v>
      </c>
      <c r="CB20" s="1392"/>
      <c r="CC20" s="1392"/>
      <c r="CD20" s="1392"/>
      <c r="CE20" s="1392"/>
      <c r="CF20" s="1392"/>
      <c r="CG20" s="1392"/>
      <c r="CH20" s="1393" t="s">
        <v>1566</v>
      </c>
      <c r="CI20" s="1394"/>
      <c r="CJ20" s="1394"/>
      <c r="CK20" s="1394"/>
      <c r="CL20" s="1394"/>
      <c r="CM20" s="1394"/>
      <c r="CN20" s="1395"/>
      <c r="CO20" s="1392">
        <v>9</v>
      </c>
      <c r="CP20" s="1392"/>
      <c r="CQ20" s="1392"/>
      <c r="CR20" s="1392"/>
      <c r="CS20" s="1392"/>
      <c r="CT20" s="1392"/>
      <c r="CU20" s="1392"/>
      <c r="CV20" s="1392">
        <v>10</v>
      </c>
      <c r="CW20" s="1392"/>
      <c r="CX20" s="1392"/>
      <c r="CY20" s="1392"/>
      <c r="CZ20" s="1392"/>
      <c r="DA20" s="1392"/>
      <c r="DB20" s="1392"/>
      <c r="DC20" s="1392"/>
      <c r="DD20" s="1392"/>
      <c r="DE20" s="1392">
        <v>11</v>
      </c>
      <c r="DF20" s="1392"/>
      <c r="DG20" s="1392"/>
      <c r="DH20" s="1392"/>
      <c r="DI20" s="1392"/>
      <c r="DJ20" s="1392"/>
      <c r="DK20" s="1392"/>
      <c r="DL20" s="1392"/>
      <c r="DM20" s="1392"/>
      <c r="DN20" s="1392">
        <v>12</v>
      </c>
      <c r="DO20" s="1392"/>
      <c r="DP20" s="1392"/>
      <c r="DQ20" s="1392"/>
      <c r="DR20" s="1392"/>
      <c r="DS20" s="1392"/>
      <c r="DT20" s="1392"/>
      <c r="DU20" s="1392">
        <v>13</v>
      </c>
      <c r="DV20" s="1392"/>
      <c r="DW20" s="1392"/>
      <c r="DX20" s="1392"/>
      <c r="DY20" s="1392"/>
      <c r="DZ20" s="1392"/>
      <c r="EA20" s="1392"/>
      <c r="EB20" s="1393" t="s">
        <v>1567</v>
      </c>
      <c r="EC20" s="1394"/>
      <c r="ED20" s="1394"/>
      <c r="EE20" s="1394"/>
      <c r="EF20" s="1394"/>
      <c r="EG20" s="1394"/>
      <c r="EH20" s="1395"/>
      <c r="EI20" s="1388">
        <v>15</v>
      </c>
      <c r="EJ20" s="1389"/>
      <c r="EK20" s="1389"/>
      <c r="EL20" s="1389"/>
      <c r="EM20" s="1389"/>
      <c r="EN20" s="1389"/>
      <c r="EO20" s="1390"/>
      <c r="EP20" s="1392">
        <v>16</v>
      </c>
      <c r="EQ20" s="1392"/>
      <c r="ER20" s="1392"/>
      <c r="ES20" s="1392"/>
      <c r="ET20" s="1392"/>
      <c r="EU20" s="1392"/>
      <c r="EV20" s="1392"/>
      <c r="EW20" s="1392"/>
      <c r="EX20" s="1392"/>
      <c r="EY20" s="1392"/>
    </row>
    <row r="21" spans="1:155" s="430" customFormat="1" ht="16.5" customHeight="1">
      <c r="A21" s="1426" t="s">
        <v>1568</v>
      </c>
      <c r="B21" s="1427"/>
      <c r="C21" s="1427"/>
      <c r="D21" s="1427"/>
      <c r="E21" s="1427"/>
      <c r="F21" s="1427"/>
      <c r="G21" s="1427"/>
      <c r="H21" s="1427"/>
      <c r="I21" s="1427"/>
      <c r="J21" s="1427"/>
      <c r="K21" s="1427"/>
      <c r="L21" s="1427"/>
      <c r="M21" s="1427"/>
      <c r="N21" s="1427"/>
      <c r="O21" s="1427"/>
      <c r="P21" s="1427"/>
      <c r="Q21" s="1427"/>
      <c r="R21" s="1427"/>
      <c r="S21" s="1427"/>
      <c r="T21" s="1427"/>
      <c r="U21" s="1427"/>
      <c r="V21" s="1427"/>
      <c r="W21" s="1427"/>
      <c r="X21" s="1427"/>
      <c r="Y21" s="1427"/>
      <c r="Z21" s="1427"/>
      <c r="AA21" s="1427"/>
      <c r="AB21" s="1427"/>
      <c r="AC21" s="1427"/>
      <c r="AD21" s="1427"/>
      <c r="AE21" s="1427"/>
      <c r="AF21" s="1427"/>
      <c r="AG21" s="1427"/>
      <c r="AH21" s="1427"/>
      <c r="AI21" s="1427"/>
      <c r="AJ21" s="1427"/>
      <c r="AK21" s="1427"/>
      <c r="AL21" s="1427"/>
      <c r="AM21" s="1428"/>
      <c r="AN21" s="1420" t="s">
        <v>121</v>
      </c>
      <c r="AO21" s="1421"/>
      <c r="AP21" s="1421"/>
      <c r="AQ21" s="1421"/>
      <c r="AR21" s="1421"/>
      <c r="AS21" s="1421"/>
      <c r="AT21" s="1421"/>
      <c r="AU21" s="1422"/>
      <c r="AV21" s="1423" t="s">
        <v>844</v>
      </c>
      <c r="AW21" s="1424"/>
      <c r="AX21" s="1424"/>
      <c r="AY21" s="1424"/>
      <c r="AZ21" s="1424"/>
      <c r="BA21" s="1425"/>
      <c r="BB21" s="1408">
        <f>CH21+CO21</f>
        <v>8510818</v>
      </c>
      <c r="BC21" s="1409"/>
      <c r="BD21" s="1409"/>
      <c r="BE21" s="1409"/>
      <c r="BF21" s="1409"/>
      <c r="BG21" s="1409"/>
      <c r="BH21" s="1409"/>
      <c r="BI21" s="1409"/>
      <c r="BJ21" s="1410"/>
      <c r="BK21" s="1408">
        <f t="shared" ref="BK21:BK38" si="0">BB21</f>
        <v>8510818</v>
      </c>
      <c r="BL21" s="1409"/>
      <c r="BM21" s="1409"/>
      <c r="BN21" s="1409"/>
      <c r="BO21" s="1409"/>
      <c r="BP21" s="1409"/>
      <c r="BQ21" s="1409"/>
      <c r="BR21" s="1409"/>
      <c r="BS21" s="1410"/>
      <c r="BT21" s="1408">
        <v>8304686</v>
      </c>
      <c r="BU21" s="1409"/>
      <c r="BV21" s="1409"/>
      <c r="BW21" s="1409"/>
      <c r="BX21" s="1409"/>
      <c r="BY21" s="1409"/>
      <c r="BZ21" s="1410"/>
      <c r="CA21" s="1408">
        <v>142554</v>
      </c>
      <c r="CB21" s="1409"/>
      <c r="CC21" s="1409"/>
      <c r="CD21" s="1409"/>
      <c r="CE21" s="1409"/>
      <c r="CF21" s="1409"/>
      <c r="CG21" s="1410"/>
      <c r="CH21" s="1397">
        <f>BT21+CA21</f>
        <v>8447240</v>
      </c>
      <c r="CI21" s="1398"/>
      <c r="CJ21" s="1398"/>
      <c r="CK21" s="1398"/>
      <c r="CL21" s="1398"/>
      <c r="CM21" s="1398"/>
      <c r="CN21" s="1399"/>
      <c r="CO21" s="1408">
        <v>63578</v>
      </c>
      <c r="CP21" s="1409"/>
      <c r="CQ21" s="1409"/>
      <c r="CR21" s="1409"/>
      <c r="CS21" s="1409"/>
      <c r="CT21" s="1409"/>
      <c r="CU21" s="1410"/>
      <c r="CV21" s="1408">
        <v>7436105</v>
      </c>
      <c r="CW21" s="1409"/>
      <c r="CX21" s="1409"/>
      <c r="CY21" s="1409"/>
      <c r="CZ21" s="1409"/>
      <c r="DA21" s="1409"/>
      <c r="DB21" s="1409"/>
      <c r="DC21" s="1409"/>
      <c r="DD21" s="1410"/>
      <c r="DE21" s="1408">
        <v>7436105</v>
      </c>
      <c r="DF21" s="1409"/>
      <c r="DG21" s="1409"/>
      <c r="DH21" s="1409"/>
      <c r="DI21" s="1409"/>
      <c r="DJ21" s="1409"/>
      <c r="DK21" s="1409"/>
      <c r="DL21" s="1409"/>
      <c r="DM21" s="1410"/>
      <c r="DN21" s="1408">
        <v>7161787</v>
      </c>
      <c r="DO21" s="1409"/>
      <c r="DP21" s="1409"/>
      <c r="DQ21" s="1409"/>
      <c r="DR21" s="1409"/>
      <c r="DS21" s="1409"/>
      <c r="DT21" s="1410"/>
      <c r="DU21" s="1408">
        <v>112442</v>
      </c>
      <c r="DV21" s="1409"/>
      <c r="DW21" s="1409"/>
      <c r="DX21" s="1409"/>
      <c r="DY21" s="1409"/>
      <c r="DZ21" s="1409"/>
      <c r="EA21" s="1410"/>
      <c r="EB21" s="1408">
        <v>7274229</v>
      </c>
      <c r="EC21" s="1409"/>
      <c r="ED21" s="1409"/>
      <c r="EE21" s="1409"/>
      <c r="EF21" s="1409"/>
      <c r="EG21" s="1409"/>
      <c r="EH21" s="1410"/>
      <c r="EI21" s="1408">
        <v>161876</v>
      </c>
      <c r="EJ21" s="1409"/>
      <c r="EK21" s="1409"/>
      <c r="EL21" s="1409"/>
      <c r="EM21" s="1409"/>
      <c r="EN21" s="1409"/>
      <c r="EO21" s="1410"/>
      <c r="EP21" s="1408"/>
      <c r="EQ21" s="1409"/>
      <c r="ER21" s="1409"/>
      <c r="ES21" s="1409"/>
      <c r="ET21" s="1409"/>
      <c r="EU21" s="1409"/>
      <c r="EV21" s="1409"/>
      <c r="EW21" s="1409"/>
      <c r="EX21" s="1409"/>
      <c r="EY21" s="1410"/>
    </row>
    <row r="22" spans="1:155" s="430" customFormat="1" ht="7.8">
      <c r="A22" s="1432" t="s">
        <v>1569</v>
      </c>
      <c r="B22" s="1433"/>
      <c r="C22" s="1433"/>
      <c r="D22" s="1433"/>
      <c r="E22" s="1433"/>
      <c r="F22" s="1433"/>
      <c r="G22" s="1433"/>
      <c r="H22" s="1433"/>
      <c r="I22" s="1433"/>
      <c r="J22" s="1433"/>
      <c r="K22" s="1433"/>
      <c r="L22" s="1433"/>
      <c r="M22" s="1433"/>
      <c r="N22" s="1433"/>
      <c r="O22" s="1433"/>
      <c r="P22" s="1433"/>
      <c r="Q22" s="1433"/>
      <c r="R22" s="1433"/>
      <c r="S22" s="1433"/>
      <c r="T22" s="1433"/>
      <c r="U22" s="1433"/>
      <c r="V22" s="1433"/>
      <c r="W22" s="1433"/>
      <c r="X22" s="1433"/>
      <c r="Y22" s="1433"/>
      <c r="Z22" s="1433"/>
      <c r="AA22" s="1433"/>
      <c r="AB22" s="1433"/>
      <c r="AC22" s="1433"/>
      <c r="AD22" s="1433"/>
      <c r="AE22" s="1433"/>
      <c r="AF22" s="1433"/>
      <c r="AG22" s="1433"/>
      <c r="AH22" s="1433"/>
      <c r="AI22" s="1433"/>
      <c r="AJ22" s="1433"/>
      <c r="AK22" s="1433"/>
      <c r="AL22" s="1433"/>
      <c r="AM22" s="1434"/>
      <c r="AN22" s="1420" t="s">
        <v>121</v>
      </c>
      <c r="AO22" s="1421"/>
      <c r="AP22" s="1421"/>
      <c r="AQ22" s="1421"/>
      <c r="AR22" s="1421"/>
      <c r="AS22" s="1421"/>
      <c r="AT22" s="1421"/>
      <c r="AU22" s="1422"/>
      <c r="AV22" s="1423" t="s">
        <v>895</v>
      </c>
      <c r="AW22" s="1424"/>
      <c r="AX22" s="1424"/>
      <c r="AY22" s="1424"/>
      <c r="AZ22" s="1424"/>
      <c r="BA22" s="1425"/>
      <c r="BB22" s="1408">
        <f>CH22+CO22</f>
        <v>3541203</v>
      </c>
      <c r="BC22" s="1409"/>
      <c r="BD22" s="1409"/>
      <c r="BE22" s="1409"/>
      <c r="BF22" s="1409"/>
      <c r="BG22" s="1409"/>
      <c r="BH22" s="1409"/>
      <c r="BI22" s="1409"/>
      <c r="BJ22" s="1410"/>
      <c r="BK22" s="1408">
        <f t="shared" si="0"/>
        <v>3541203</v>
      </c>
      <c r="BL22" s="1409"/>
      <c r="BM22" s="1409"/>
      <c r="BN22" s="1409"/>
      <c r="BO22" s="1409"/>
      <c r="BP22" s="1409"/>
      <c r="BQ22" s="1409"/>
      <c r="BR22" s="1409"/>
      <c r="BS22" s="1410"/>
      <c r="BT22" s="1408">
        <f>BT23+BT24+BT29</f>
        <v>3531363</v>
      </c>
      <c r="BU22" s="1409"/>
      <c r="BV22" s="1409"/>
      <c r="BW22" s="1409"/>
      <c r="BX22" s="1409"/>
      <c r="BY22" s="1409"/>
      <c r="BZ22" s="1410"/>
      <c r="CA22" s="1408">
        <f>CA23+CA24+CA29</f>
        <v>4297</v>
      </c>
      <c r="CB22" s="1409"/>
      <c r="CC22" s="1409"/>
      <c r="CD22" s="1409"/>
      <c r="CE22" s="1409"/>
      <c r="CF22" s="1409"/>
      <c r="CG22" s="1410"/>
      <c r="CH22" s="1397">
        <f t="shared" ref="CH22:CH57" si="1">BT22+CA22</f>
        <v>3535660</v>
      </c>
      <c r="CI22" s="1398"/>
      <c r="CJ22" s="1398"/>
      <c r="CK22" s="1398"/>
      <c r="CL22" s="1398"/>
      <c r="CM22" s="1398"/>
      <c r="CN22" s="1399"/>
      <c r="CO22" s="1408">
        <f>CO23+CO24+CO29</f>
        <v>5543</v>
      </c>
      <c r="CP22" s="1409"/>
      <c r="CQ22" s="1409"/>
      <c r="CR22" s="1409"/>
      <c r="CS22" s="1409"/>
      <c r="CT22" s="1409"/>
      <c r="CU22" s="1410"/>
      <c r="CV22" s="1408">
        <v>2881703</v>
      </c>
      <c r="CW22" s="1409"/>
      <c r="CX22" s="1409"/>
      <c r="CY22" s="1409"/>
      <c r="CZ22" s="1409"/>
      <c r="DA22" s="1409"/>
      <c r="DB22" s="1409"/>
      <c r="DC22" s="1409"/>
      <c r="DD22" s="1410"/>
      <c r="DE22" s="1408">
        <v>2881703</v>
      </c>
      <c r="DF22" s="1409"/>
      <c r="DG22" s="1409"/>
      <c r="DH22" s="1409"/>
      <c r="DI22" s="1409"/>
      <c r="DJ22" s="1409"/>
      <c r="DK22" s="1409"/>
      <c r="DL22" s="1409"/>
      <c r="DM22" s="1410"/>
      <c r="DN22" s="1408">
        <v>2874270</v>
      </c>
      <c r="DO22" s="1409"/>
      <c r="DP22" s="1409"/>
      <c r="DQ22" s="1409"/>
      <c r="DR22" s="1409"/>
      <c r="DS22" s="1409"/>
      <c r="DT22" s="1410"/>
      <c r="DU22" s="1408">
        <v>3913</v>
      </c>
      <c r="DV22" s="1409"/>
      <c r="DW22" s="1409"/>
      <c r="DX22" s="1409"/>
      <c r="DY22" s="1409"/>
      <c r="DZ22" s="1409"/>
      <c r="EA22" s="1410"/>
      <c r="EB22" s="1408">
        <v>2878183</v>
      </c>
      <c r="EC22" s="1409"/>
      <c r="ED22" s="1409"/>
      <c r="EE22" s="1409"/>
      <c r="EF22" s="1409"/>
      <c r="EG22" s="1409"/>
      <c r="EH22" s="1410"/>
      <c r="EI22" s="1408">
        <v>3520</v>
      </c>
      <c r="EJ22" s="1409"/>
      <c r="EK22" s="1409"/>
      <c r="EL22" s="1409"/>
      <c r="EM22" s="1409"/>
      <c r="EN22" s="1409"/>
      <c r="EO22" s="1410"/>
      <c r="EP22" s="1408"/>
      <c r="EQ22" s="1409"/>
      <c r="ER22" s="1409"/>
      <c r="ES22" s="1409"/>
      <c r="ET22" s="1409"/>
      <c r="EU22" s="1409"/>
      <c r="EV22" s="1409"/>
      <c r="EW22" s="1409"/>
      <c r="EX22" s="1409"/>
      <c r="EY22" s="1410"/>
    </row>
    <row r="23" spans="1:155" s="430" customFormat="1" ht="7.8">
      <c r="A23" s="1411" t="s">
        <v>1570</v>
      </c>
      <c r="B23" s="1412"/>
      <c r="C23" s="1412"/>
      <c r="D23" s="1412"/>
      <c r="E23" s="1412"/>
      <c r="F23" s="1412"/>
      <c r="G23" s="1412"/>
      <c r="H23" s="1412"/>
      <c r="I23" s="1412"/>
      <c r="J23" s="1412"/>
      <c r="K23" s="1412"/>
      <c r="L23" s="1412"/>
      <c r="M23" s="1412"/>
      <c r="N23" s="1412"/>
      <c r="O23" s="1412"/>
      <c r="P23" s="1412"/>
      <c r="Q23" s="1412"/>
      <c r="R23" s="1412"/>
      <c r="S23" s="1412"/>
      <c r="T23" s="1412"/>
      <c r="U23" s="1412"/>
      <c r="V23" s="1412"/>
      <c r="W23" s="1412"/>
      <c r="X23" s="1412"/>
      <c r="Y23" s="1412"/>
      <c r="Z23" s="1412"/>
      <c r="AA23" s="1412"/>
      <c r="AB23" s="1412"/>
      <c r="AC23" s="1412"/>
      <c r="AD23" s="1412"/>
      <c r="AE23" s="1412"/>
      <c r="AF23" s="1412"/>
      <c r="AG23" s="1412"/>
      <c r="AH23" s="1412"/>
      <c r="AI23" s="1412"/>
      <c r="AJ23" s="1412"/>
      <c r="AK23" s="1412"/>
      <c r="AL23" s="1412"/>
      <c r="AM23" s="1413"/>
      <c r="AN23" s="1420" t="s">
        <v>121</v>
      </c>
      <c r="AO23" s="1421"/>
      <c r="AP23" s="1421"/>
      <c r="AQ23" s="1421"/>
      <c r="AR23" s="1421"/>
      <c r="AS23" s="1421"/>
      <c r="AT23" s="1421"/>
      <c r="AU23" s="1422"/>
      <c r="AV23" s="1423" t="s">
        <v>900</v>
      </c>
      <c r="AW23" s="1424"/>
      <c r="AX23" s="1424"/>
      <c r="AY23" s="1424"/>
      <c r="AZ23" s="1424"/>
      <c r="BA23" s="1425"/>
      <c r="BB23" s="1408">
        <f>CH23+CO23</f>
        <v>315397</v>
      </c>
      <c r="BC23" s="1409"/>
      <c r="BD23" s="1409"/>
      <c r="BE23" s="1409"/>
      <c r="BF23" s="1409"/>
      <c r="BG23" s="1409"/>
      <c r="BH23" s="1409"/>
      <c r="BI23" s="1409"/>
      <c r="BJ23" s="1410"/>
      <c r="BK23" s="1408">
        <f t="shared" si="0"/>
        <v>315397</v>
      </c>
      <c r="BL23" s="1409"/>
      <c r="BM23" s="1409"/>
      <c r="BN23" s="1409"/>
      <c r="BO23" s="1409"/>
      <c r="BP23" s="1409"/>
      <c r="BQ23" s="1409"/>
      <c r="BR23" s="1409"/>
      <c r="BS23" s="1410"/>
      <c r="BT23" s="1408">
        <f>223179+82483</f>
        <v>305662</v>
      </c>
      <c r="BU23" s="1409"/>
      <c r="BV23" s="1409"/>
      <c r="BW23" s="1409"/>
      <c r="BX23" s="1409"/>
      <c r="BY23" s="1409"/>
      <c r="BZ23" s="1410"/>
      <c r="CA23" s="1408">
        <f>3709+497</f>
        <v>4206</v>
      </c>
      <c r="CB23" s="1409"/>
      <c r="CC23" s="1409"/>
      <c r="CD23" s="1409"/>
      <c r="CE23" s="1409"/>
      <c r="CF23" s="1409"/>
      <c r="CG23" s="1410"/>
      <c r="CH23" s="1397">
        <f t="shared" si="1"/>
        <v>309868</v>
      </c>
      <c r="CI23" s="1398"/>
      <c r="CJ23" s="1398"/>
      <c r="CK23" s="1398"/>
      <c r="CL23" s="1398"/>
      <c r="CM23" s="1398"/>
      <c r="CN23" s="1399"/>
      <c r="CO23" s="1408">
        <f>4165+1364</f>
        <v>5529</v>
      </c>
      <c r="CP23" s="1409"/>
      <c r="CQ23" s="1409"/>
      <c r="CR23" s="1409"/>
      <c r="CS23" s="1409"/>
      <c r="CT23" s="1409"/>
      <c r="CU23" s="1410"/>
      <c r="CV23" s="1408">
        <v>305116</v>
      </c>
      <c r="CW23" s="1409"/>
      <c r="CX23" s="1409"/>
      <c r="CY23" s="1409"/>
      <c r="CZ23" s="1409"/>
      <c r="DA23" s="1409"/>
      <c r="DB23" s="1409"/>
      <c r="DC23" s="1409"/>
      <c r="DD23" s="1410"/>
      <c r="DE23" s="1408">
        <v>305116</v>
      </c>
      <c r="DF23" s="1409"/>
      <c r="DG23" s="1409"/>
      <c r="DH23" s="1409"/>
      <c r="DI23" s="1409"/>
      <c r="DJ23" s="1409"/>
      <c r="DK23" s="1409"/>
      <c r="DL23" s="1409"/>
      <c r="DM23" s="1410"/>
      <c r="DN23" s="1408">
        <v>297782</v>
      </c>
      <c r="DO23" s="1409"/>
      <c r="DP23" s="1409"/>
      <c r="DQ23" s="1409"/>
      <c r="DR23" s="1409"/>
      <c r="DS23" s="1409"/>
      <c r="DT23" s="1410"/>
      <c r="DU23" s="1408">
        <v>3826</v>
      </c>
      <c r="DV23" s="1409"/>
      <c r="DW23" s="1409"/>
      <c r="DX23" s="1409"/>
      <c r="DY23" s="1409"/>
      <c r="DZ23" s="1409"/>
      <c r="EA23" s="1410"/>
      <c r="EB23" s="1408">
        <v>301608</v>
      </c>
      <c r="EC23" s="1409"/>
      <c r="ED23" s="1409"/>
      <c r="EE23" s="1409"/>
      <c r="EF23" s="1409"/>
      <c r="EG23" s="1409"/>
      <c r="EH23" s="1410"/>
      <c r="EI23" s="1408">
        <v>3508</v>
      </c>
      <c r="EJ23" s="1409"/>
      <c r="EK23" s="1409"/>
      <c r="EL23" s="1409"/>
      <c r="EM23" s="1409"/>
      <c r="EN23" s="1409"/>
      <c r="EO23" s="1410"/>
      <c r="EP23" s="1408"/>
      <c r="EQ23" s="1409"/>
      <c r="ER23" s="1409"/>
      <c r="ES23" s="1409"/>
      <c r="ET23" s="1409"/>
      <c r="EU23" s="1409"/>
      <c r="EV23" s="1409"/>
      <c r="EW23" s="1409"/>
      <c r="EX23" s="1409"/>
      <c r="EY23" s="1410"/>
    </row>
    <row r="24" spans="1:155" s="430" customFormat="1" ht="33.75" customHeight="1">
      <c r="A24" s="1411" t="s">
        <v>1571</v>
      </c>
      <c r="B24" s="1412"/>
      <c r="C24" s="1412"/>
      <c r="D24" s="1412"/>
      <c r="E24" s="1412"/>
      <c r="F24" s="1412"/>
      <c r="G24" s="1412"/>
      <c r="H24" s="1412"/>
      <c r="I24" s="1412"/>
      <c r="J24" s="1412"/>
      <c r="K24" s="1412"/>
      <c r="L24" s="1412"/>
      <c r="M24" s="1412"/>
      <c r="N24" s="1412"/>
      <c r="O24" s="1412"/>
      <c r="P24" s="1412"/>
      <c r="Q24" s="1412"/>
      <c r="R24" s="1412"/>
      <c r="S24" s="1412"/>
      <c r="T24" s="1412"/>
      <c r="U24" s="1412"/>
      <c r="V24" s="1412"/>
      <c r="W24" s="1412"/>
      <c r="X24" s="1412"/>
      <c r="Y24" s="1412"/>
      <c r="Z24" s="1412"/>
      <c r="AA24" s="1412"/>
      <c r="AB24" s="1412"/>
      <c r="AC24" s="1412"/>
      <c r="AD24" s="1412"/>
      <c r="AE24" s="1412"/>
      <c r="AF24" s="1412"/>
      <c r="AG24" s="1412"/>
      <c r="AH24" s="1412"/>
      <c r="AI24" s="1412"/>
      <c r="AJ24" s="1412"/>
      <c r="AK24" s="1412"/>
      <c r="AL24" s="1412"/>
      <c r="AM24" s="1413"/>
      <c r="AN24" s="1420" t="s">
        <v>121</v>
      </c>
      <c r="AO24" s="1421"/>
      <c r="AP24" s="1421"/>
      <c r="AQ24" s="1421"/>
      <c r="AR24" s="1421"/>
      <c r="AS24" s="1421"/>
      <c r="AT24" s="1421"/>
      <c r="AU24" s="1422"/>
      <c r="AV24" s="1423" t="s">
        <v>905</v>
      </c>
      <c r="AW24" s="1424"/>
      <c r="AX24" s="1424"/>
      <c r="AY24" s="1424"/>
      <c r="AZ24" s="1424"/>
      <c r="BA24" s="1425"/>
      <c r="BB24" s="1408">
        <f>CH24+CO24</f>
        <v>3193462</v>
      </c>
      <c r="BC24" s="1409"/>
      <c r="BD24" s="1409"/>
      <c r="BE24" s="1409"/>
      <c r="BF24" s="1409"/>
      <c r="BG24" s="1409"/>
      <c r="BH24" s="1409"/>
      <c r="BI24" s="1409"/>
      <c r="BJ24" s="1410"/>
      <c r="BK24" s="1408">
        <f t="shared" si="0"/>
        <v>3193462</v>
      </c>
      <c r="BL24" s="1409"/>
      <c r="BM24" s="1409"/>
      <c r="BN24" s="1409"/>
      <c r="BO24" s="1409"/>
      <c r="BP24" s="1409"/>
      <c r="BQ24" s="1409"/>
      <c r="BR24" s="1409"/>
      <c r="BS24" s="1410"/>
      <c r="BT24" s="1408">
        <v>3193462</v>
      </c>
      <c r="BU24" s="1409"/>
      <c r="BV24" s="1409"/>
      <c r="BW24" s="1409"/>
      <c r="BX24" s="1409"/>
      <c r="BY24" s="1409"/>
      <c r="BZ24" s="1410"/>
      <c r="CA24" s="1408">
        <v>0</v>
      </c>
      <c r="CB24" s="1409"/>
      <c r="CC24" s="1409"/>
      <c r="CD24" s="1409"/>
      <c r="CE24" s="1409"/>
      <c r="CF24" s="1409"/>
      <c r="CG24" s="1410"/>
      <c r="CH24" s="1397">
        <f t="shared" si="1"/>
        <v>3193462</v>
      </c>
      <c r="CI24" s="1398"/>
      <c r="CJ24" s="1398"/>
      <c r="CK24" s="1398"/>
      <c r="CL24" s="1398"/>
      <c r="CM24" s="1398"/>
      <c r="CN24" s="1399"/>
      <c r="CO24" s="1408">
        <v>0</v>
      </c>
      <c r="CP24" s="1409"/>
      <c r="CQ24" s="1409"/>
      <c r="CR24" s="1409"/>
      <c r="CS24" s="1409"/>
      <c r="CT24" s="1409"/>
      <c r="CU24" s="1410"/>
      <c r="CV24" s="1408">
        <v>2547993</v>
      </c>
      <c r="CW24" s="1409"/>
      <c r="CX24" s="1409"/>
      <c r="CY24" s="1409"/>
      <c r="CZ24" s="1409"/>
      <c r="DA24" s="1409"/>
      <c r="DB24" s="1409"/>
      <c r="DC24" s="1409"/>
      <c r="DD24" s="1410"/>
      <c r="DE24" s="1408">
        <v>2547993</v>
      </c>
      <c r="DF24" s="1409"/>
      <c r="DG24" s="1409"/>
      <c r="DH24" s="1409"/>
      <c r="DI24" s="1409"/>
      <c r="DJ24" s="1409"/>
      <c r="DK24" s="1409"/>
      <c r="DL24" s="1409"/>
      <c r="DM24" s="1410"/>
      <c r="DN24" s="1408">
        <v>2547993</v>
      </c>
      <c r="DO24" s="1409"/>
      <c r="DP24" s="1409"/>
      <c r="DQ24" s="1409"/>
      <c r="DR24" s="1409"/>
      <c r="DS24" s="1409"/>
      <c r="DT24" s="1410"/>
      <c r="DU24" s="1408">
        <v>0</v>
      </c>
      <c r="DV24" s="1409"/>
      <c r="DW24" s="1409"/>
      <c r="DX24" s="1409"/>
      <c r="DY24" s="1409"/>
      <c r="DZ24" s="1409"/>
      <c r="EA24" s="1410"/>
      <c r="EB24" s="1408">
        <v>2547993</v>
      </c>
      <c r="EC24" s="1409"/>
      <c r="ED24" s="1409"/>
      <c r="EE24" s="1409"/>
      <c r="EF24" s="1409"/>
      <c r="EG24" s="1409"/>
      <c r="EH24" s="1410"/>
      <c r="EI24" s="1408">
        <v>0</v>
      </c>
      <c r="EJ24" s="1409"/>
      <c r="EK24" s="1409"/>
      <c r="EL24" s="1409"/>
      <c r="EM24" s="1409"/>
      <c r="EN24" s="1409"/>
      <c r="EO24" s="1410"/>
      <c r="EP24" s="1408"/>
      <c r="EQ24" s="1409"/>
      <c r="ER24" s="1409"/>
      <c r="ES24" s="1409"/>
      <c r="ET24" s="1409"/>
      <c r="EU24" s="1409"/>
      <c r="EV24" s="1409"/>
      <c r="EW24" s="1409"/>
      <c r="EX24" s="1409"/>
      <c r="EY24" s="1410"/>
    </row>
    <row r="25" spans="1:155" s="430" customFormat="1" ht="7.8">
      <c r="A25" s="1438" t="s">
        <v>1572</v>
      </c>
      <c r="B25" s="1439"/>
      <c r="C25" s="1439"/>
      <c r="D25" s="1439"/>
      <c r="E25" s="1439"/>
      <c r="F25" s="1439"/>
      <c r="G25" s="1439"/>
      <c r="H25" s="1439"/>
      <c r="I25" s="1439"/>
      <c r="J25" s="1439"/>
      <c r="K25" s="1439"/>
      <c r="L25" s="1439"/>
      <c r="M25" s="1439"/>
      <c r="N25" s="1439"/>
      <c r="O25" s="1439"/>
      <c r="P25" s="1439"/>
      <c r="Q25" s="1439"/>
      <c r="R25" s="1439"/>
      <c r="S25" s="1439"/>
      <c r="T25" s="1439"/>
      <c r="U25" s="1439"/>
      <c r="V25" s="1439"/>
      <c r="W25" s="1439"/>
      <c r="X25" s="1439"/>
      <c r="Y25" s="1439"/>
      <c r="Z25" s="1439"/>
      <c r="AA25" s="1439"/>
      <c r="AB25" s="1439"/>
      <c r="AC25" s="1439"/>
      <c r="AD25" s="1439"/>
      <c r="AE25" s="1439"/>
      <c r="AF25" s="1439"/>
      <c r="AG25" s="1439"/>
      <c r="AH25" s="1439"/>
      <c r="AI25" s="1439"/>
      <c r="AJ25" s="1439"/>
      <c r="AK25" s="1439"/>
      <c r="AL25" s="1439"/>
      <c r="AM25" s="1440"/>
      <c r="AN25" s="1420" t="s">
        <v>121</v>
      </c>
      <c r="AO25" s="1421"/>
      <c r="AP25" s="1421"/>
      <c r="AQ25" s="1421"/>
      <c r="AR25" s="1421"/>
      <c r="AS25" s="1421"/>
      <c r="AT25" s="1421"/>
      <c r="AU25" s="1422"/>
      <c r="AV25" s="1423"/>
      <c r="AW25" s="1424"/>
      <c r="AX25" s="1424"/>
      <c r="AY25" s="1424"/>
      <c r="AZ25" s="1424"/>
      <c r="BA25" s="1425"/>
      <c r="BB25" s="1408"/>
      <c r="BC25" s="1409"/>
      <c r="BD25" s="1409"/>
      <c r="BE25" s="1409"/>
      <c r="BF25" s="1409"/>
      <c r="BG25" s="1409"/>
      <c r="BH25" s="1409"/>
      <c r="BI25" s="1409"/>
      <c r="BJ25" s="1410"/>
      <c r="BK25" s="1408">
        <f t="shared" si="0"/>
        <v>0</v>
      </c>
      <c r="BL25" s="1409"/>
      <c r="BM25" s="1409"/>
      <c r="BN25" s="1409"/>
      <c r="BO25" s="1409"/>
      <c r="BP25" s="1409"/>
      <c r="BQ25" s="1409"/>
      <c r="BR25" s="1409"/>
      <c r="BS25" s="1410"/>
      <c r="BT25" s="1408"/>
      <c r="BU25" s="1409"/>
      <c r="BV25" s="1409"/>
      <c r="BW25" s="1409"/>
      <c r="BX25" s="1409"/>
      <c r="BY25" s="1409"/>
      <c r="BZ25" s="1410"/>
      <c r="CA25" s="1408"/>
      <c r="CB25" s="1409"/>
      <c r="CC25" s="1409"/>
      <c r="CD25" s="1409"/>
      <c r="CE25" s="1409"/>
      <c r="CF25" s="1409"/>
      <c r="CG25" s="1410"/>
      <c r="CH25" s="1397">
        <f t="shared" si="1"/>
        <v>0</v>
      </c>
      <c r="CI25" s="1398"/>
      <c r="CJ25" s="1398"/>
      <c r="CK25" s="1398"/>
      <c r="CL25" s="1398"/>
      <c r="CM25" s="1398"/>
      <c r="CN25" s="1399"/>
      <c r="CO25" s="1408"/>
      <c r="CP25" s="1409"/>
      <c r="CQ25" s="1409"/>
      <c r="CR25" s="1409"/>
      <c r="CS25" s="1409"/>
      <c r="CT25" s="1409"/>
      <c r="CU25" s="1410"/>
      <c r="CV25" s="1408"/>
      <c r="CW25" s="1409"/>
      <c r="CX25" s="1409"/>
      <c r="CY25" s="1409"/>
      <c r="CZ25" s="1409"/>
      <c r="DA25" s="1409"/>
      <c r="DB25" s="1409"/>
      <c r="DC25" s="1409"/>
      <c r="DD25" s="1410"/>
      <c r="DE25" s="1408">
        <v>0</v>
      </c>
      <c r="DF25" s="1409"/>
      <c r="DG25" s="1409"/>
      <c r="DH25" s="1409"/>
      <c r="DI25" s="1409"/>
      <c r="DJ25" s="1409"/>
      <c r="DK25" s="1409"/>
      <c r="DL25" s="1409"/>
      <c r="DM25" s="1410"/>
      <c r="DN25" s="1408"/>
      <c r="DO25" s="1409"/>
      <c r="DP25" s="1409"/>
      <c r="DQ25" s="1409"/>
      <c r="DR25" s="1409"/>
      <c r="DS25" s="1409"/>
      <c r="DT25" s="1410"/>
      <c r="DU25" s="1408"/>
      <c r="DV25" s="1409"/>
      <c r="DW25" s="1409"/>
      <c r="DX25" s="1409"/>
      <c r="DY25" s="1409"/>
      <c r="DZ25" s="1409"/>
      <c r="EA25" s="1410"/>
      <c r="EB25" s="1408">
        <v>0</v>
      </c>
      <c r="EC25" s="1409"/>
      <c r="ED25" s="1409"/>
      <c r="EE25" s="1409"/>
      <c r="EF25" s="1409"/>
      <c r="EG25" s="1409"/>
      <c r="EH25" s="1410"/>
      <c r="EI25" s="1408"/>
      <c r="EJ25" s="1409"/>
      <c r="EK25" s="1409"/>
      <c r="EL25" s="1409"/>
      <c r="EM25" s="1409"/>
      <c r="EN25" s="1409"/>
      <c r="EO25" s="1410"/>
      <c r="EP25" s="1408"/>
      <c r="EQ25" s="1409"/>
      <c r="ER25" s="1409"/>
      <c r="ES25" s="1409"/>
      <c r="ET25" s="1409"/>
      <c r="EU25" s="1409"/>
      <c r="EV25" s="1409"/>
      <c r="EW25" s="1409"/>
      <c r="EX25" s="1409"/>
      <c r="EY25" s="1410"/>
    </row>
    <row r="26" spans="1:155" s="430" customFormat="1" ht="7.8">
      <c r="A26" s="1438" t="s">
        <v>1573</v>
      </c>
      <c r="B26" s="1439"/>
      <c r="C26" s="1439"/>
      <c r="D26" s="1439"/>
      <c r="E26" s="1439"/>
      <c r="F26" s="1439"/>
      <c r="G26" s="1439"/>
      <c r="H26" s="1439"/>
      <c r="I26" s="1439"/>
      <c r="J26" s="1439"/>
      <c r="K26" s="1439"/>
      <c r="L26" s="1439"/>
      <c r="M26" s="1439"/>
      <c r="N26" s="1439"/>
      <c r="O26" s="1439"/>
      <c r="P26" s="1439"/>
      <c r="Q26" s="1439"/>
      <c r="R26" s="1439"/>
      <c r="S26" s="1439"/>
      <c r="T26" s="1439"/>
      <c r="U26" s="1439"/>
      <c r="V26" s="1439"/>
      <c r="W26" s="1439"/>
      <c r="X26" s="1439"/>
      <c r="Y26" s="1439"/>
      <c r="Z26" s="1439"/>
      <c r="AA26" s="1439"/>
      <c r="AB26" s="1439"/>
      <c r="AC26" s="1439"/>
      <c r="AD26" s="1439"/>
      <c r="AE26" s="1439"/>
      <c r="AF26" s="1439"/>
      <c r="AG26" s="1439"/>
      <c r="AH26" s="1439"/>
      <c r="AI26" s="1439"/>
      <c r="AJ26" s="1439"/>
      <c r="AK26" s="1439"/>
      <c r="AL26" s="1439"/>
      <c r="AM26" s="1440"/>
      <c r="AN26" s="1420" t="s">
        <v>121</v>
      </c>
      <c r="AO26" s="1421"/>
      <c r="AP26" s="1421"/>
      <c r="AQ26" s="1421"/>
      <c r="AR26" s="1421"/>
      <c r="AS26" s="1421"/>
      <c r="AT26" s="1421"/>
      <c r="AU26" s="1422"/>
      <c r="AV26" s="1423"/>
      <c r="AW26" s="1424"/>
      <c r="AX26" s="1424"/>
      <c r="AY26" s="1424"/>
      <c r="AZ26" s="1424"/>
      <c r="BA26" s="1425"/>
      <c r="BB26" s="1408"/>
      <c r="BC26" s="1409"/>
      <c r="BD26" s="1409"/>
      <c r="BE26" s="1409"/>
      <c r="BF26" s="1409"/>
      <c r="BG26" s="1409"/>
      <c r="BH26" s="1409"/>
      <c r="BI26" s="1409"/>
      <c r="BJ26" s="1410"/>
      <c r="BK26" s="1408">
        <f t="shared" si="0"/>
        <v>0</v>
      </c>
      <c r="BL26" s="1409"/>
      <c r="BM26" s="1409"/>
      <c r="BN26" s="1409"/>
      <c r="BO26" s="1409"/>
      <c r="BP26" s="1409"/>
      <c r="BQ26" s="1409"/>
      <c r="BR26" s="1409"/>
      <c r="BS26" s="1410"/>
      <c r="BT26" s="1408"/>
      <c r="BU26" s="1409"/>
      <c r="BV26" s="1409"/>
      <c r="BW26" s="1409"/>
      <c r="BX26" s="1409"/>
      <c r="BY26" s="1409"/>
      <c r="BZ26" s="1410"/>
      <c r="CA26" s="1408"/>
      <c r="CB26" s="1409"/>
      <c r="CC26" s="1409"/>
      <c r="CD26" s="1409"/>
      <c r="CE26" s="1409"/>
      <c r="CF26" s="1409"/>
      <c r="CG26" s="1410"/>
      <c r="CH26" s="1397">
        <f t="shared" si="1"/>
        <v>0</v>
      </c>
      <c r="CI26" s="1398"/>
      <c r="CJ26" s="1398"/>
      <c r="CK26" s="1398"/>
      <c r="CL26" s="1398"/>
      <c r="CM26" s="1398"/>
      <c r="CN26" s="1399"/>
      <c r="CO26" s="1408"/>
      <c r="CP26" s="1409"/>
      <c r="CQ26" s="1409"/>
      <c r="CR26" s="1409"/>
      <c r="CS26" s="1409"/>
      <c r="CT26" s="1409"/>
      <c r="CU26" s="1410"/>
      <c r="CV26" s="1408"/>
      <c r="CW26" s="1409"/>
      <c r="CX26" s="1409"/>
      <c r="CY26" s="1409"/>
      <c r="CZ26" s="1409"/>
      <c r="DA26" s="1409"/>
      <c r="DB26" s="1409"/>
      <c r="DC26" s="1409"/>
      <c r="DD26" s="1410"/>
      <c r="DE26" s="1408">
        <v>0</v>
      </c>
      <c r="DF26" s="1409"/>
      <c r="DG26" s="1409"/>
      <c r="DH26" s="1409"/>
      <c r="DI26" s="1409"/>
      <c r="DJ26" s="1409"/>
      <c r="DK26" s="1409"/>
      <c r="DL26" s="1409"/>
      <c r="DM26" s="1410"/>
      <c r="DN26" s="1408"/>
      <c r="DO26" s="1409"/>
      <c r="DP26" s="1409"/>
      <c r="DQ26" s="1409"/>
      <c r="DR26" s="1409"/>
      <c r="DS26" s="1409"/>
      <c r="DT26" s="1410"/>
      <c r="DU26" s="1408"/>
      <c r="DV26" s="1409"/>
      <c r="DW26" s="1409"/>
      <c r="DX26" s="1409"/>
      <c r="DY26" s="1409"/>
      <c r="DZ26" s="1409"/>
      <c r="EA26" s="1410"/>
      <c r="EB26" s="1408">
        <v>0</v>
      </c>
      <c r="EC26" s="1409"/>
      <c r="ED26" s="1409"/>
      <c r="EE26" s="1409"/>
      <c r="EF26" s="1409"/>
      <c r="EG26" s="1409"/>
      <c r="EH26" s="1410"/>
      <c r="EI26" s="1408"/>
      <c r="EJ26" s="1409"/>
      <c r="EK26" s="1409"/>
      <c r="EL26" s="1409"/>
      <c r="EM26" s="1409"/>
      <c r="EN26" s="1409"/>
      <c r="EO26" s="1410"/>
      <c r="EP26" s="1408"/>
      <c r="EQ26" s="1409"/>
      <c r="ER26" s="1409"/>
      <c r="ES26" s="1409"/>
      <c r="ET26" s="1409"/>
      <c r="EU26" s="1409"/>
      <c r="EV26" s="1409"/>
      <c r="EW26" s="1409"/>
      <c r="EX26" s="1409"/>
      <c r="EY26" s="1410"/>
    </row>
    <row r="27" spans="1:155" s="430" customFormat="1" ht="7.8">
      <c r="A27" s="1438" t="s">
        <v>1574</v>
      </c>
      <c r="B27" s="1439"/>
      <c r="C27" s="1439"/>
      <c r="D27" s="1439"/>
      <c r="E27" s="1439"/>
      <c r="F27" s="1439"/>
      <c r="G27" s="1439"/>
      <c r="H27" s="1439"/>
      <c r="I27" s="1439"/>
      <c r="J27" s="1439"/>
      <c r="K27" s="1439"/>
      <c r="L27" s="1439"/>
      <c r="M27" s="1439"/>
      <c r="N27" s="1439"/>
      <c r="O27" s="1439"/>
      <c r="P27" s="1439"/>
      <c r="Q27" s="1439"/>
      <c r="R27" s="1439"/>
      <c r="S27" s="1439"/>
      <c r="T27" s="1439"/>
      <c r="U27" s="1439"/>
      <c r="V27" s="1439"/>
      <c r="W27" s="1439"/>
      <c r="X27" s="1439"/>
      <c r="Y27" s="1439"/>
      <c r="Z27" s="1439"/>
      <c r="AA27" s="1439"/>
      <c r="AB27" s="1439"/>
      <c r="AC27" s="1439"/>
      <c r="AD27" s="1439"/>
      <c r="AE27" s="1439"/>
      <c r="AF27" s="1439"/>
      <c r="AG27" s="1439"/>
      <c r="AH27" s="1439"/>
      <c r="AI27" s="1439"/>
      <c r="AJ27" s="1439"/>
      <c r="AK27" s="1439"/>
      <c r="AL27" s="1439"/>
      <c r="AM27" s="1440"/>
      <c r="AN27" s="1420" t="s">
        <v>121</v>
      </c>
      <c r="AO27" s="1421"/>
      <c r="AP27" s="1421"/>
      <c r="AQ27" s="1421"/>
      <c r="AR27" s="1421"/>
      <c r="AS27" s="1421"/>
      <c r="AT27" s="1421"/>
      <c r="AU27" s="1422"/>
      <c r="AV27" s="1423"/>
      <c r="AW27" s="1424"/>
      <c r="AX27" s="1424"/>
      <c r="AY27" s="1424"/>
      <c r="AZ27" s="1424"/>
      <c r="BA27" s="1425"/>
      <c r="BB27" s="1408"/>
      <c r="BC27" s="1409"/>
      <c r="BD27" s="1409"/>
      <c r="BE27" s="1409"/>
      <c r="BF27" s="1409"/>
      <c r="BG27" s="1409"/>
      <c r="BH27" s="1409"/>
      <c r="BI27" s="1409"/>
      <c r="BJ27" s="1410"/>
      <c r="BK27" s="1408">
        <f t="shared" si="0"/>
        <v>0</v>
      </c>
      <c r="BL27" s="1409"/>
      <c r="BM27" s="1409"/>
      <c r="BN27" s="1409"/>
      <c r="BO27" s="1409"/>
      <c r="BP27" s="1409"/>
      <c r="BQ27" s="1409"/>
      <c r="BR27" s="1409"/>
      <c r="BS27" s="1410"/>
      <c r="BT27" s="1408"/>
      <c r="BU27" s="1409"/>
      <c r="BV27" s="1409"/>
      <c r="BW27" s="1409"/>
      <c r="BX27" s="1409"/>
      <c r="BY27" s="1409"/>
      <c r="BZ27" s="1410"/>
      <c r="CA27" s="1408"/>
      <c r="CB27" s="1409"/>
      <c r="CC27" s="1409"/>
      <c r="CD27" s="1409"/>
      <c r="CE27" s="1409"/>
      <c r="CF27" s="1409"/>
      <c r="CG27" s="1410"/>
      <c r="CH27" s="1397">
        <f t="shared" si="1"/>
        <v>0</v>
      </c>
      <c r="CI27" s="1398"/>
      <c r="CJ27" s="1398"/>
      <c r="CK27" s="1398"/>
      <c r="CL27" s="1398"/>
      <c r="CM27" s="1398"/>
      <c r="CN27" s="1399"/>
      <c r="CO27" s="1408"/>
      <c r="CP27" s="1409"/>
      <c r="CQ27" s="1409"/>
      <c r="CR27" s="1409"/>
      <c r="CS27" s="1409"/>
      <c r="CT27" s="1409"/>
      <c r="CU27" s="1410"/>
      <c r="CV27" s="1408"/>
      <c r="CW27" s="1409"/>
      <c r="CX27" s="1409"/>
      <c r="CY27" s="1409"/>
      <c r="CZ27" s="1409"/>
      <c r="DA27" s="1409"/>
      <c r="DB27" s="1409"/>
      <c r="DC27" s="1409"/>
      <c r="DD27" s="1410"/>
      <c r="DE27" s="1408">
        <v>0</v>
      </c>
      <c r="DF27" s="1409"/>
      <c r="DG27" s="1409"/>
      <c r="DH27" s="1409"/>
      <c r="DI27" s="1409"/>
      <c r="DJ27" s="1409"/>
      <c r="DK27" s="1409"/>
      <c r="DL27" s="1409"/>
      <c r="DM27" s="1410"/>
      <c r="DN27" s="1408"/>
      <c r="DO27" s="1409"/>
      <c r="DP27" s="1409"/>
      <c r="DQ27" s="1409"/>
      <c r="DR27" s="1409"/>
      <c r="DS27" s="1409"/>
      <c r="DT27" s="1410"/>
      <c r="DU27" s="1408"/>
      <c r="DV27" s="1409"/>
      <c r="DW27" s="1409"/>
      <c r="DX27" s="1409"/>
      <c r="DY27" s="1409"/>
      <c r="DZ27" s="1409"/>
      <c r="EA27" s="1410"/>
      <c r="EB27" s="1408">
        <v>0</v>
      </c>
      <c r="EC27" s="1409"/>
      <c r="ED27" s="1409"/>
      <c r="EE27" s="1409"/>
      <c r="EF27" s="1409"/>
      <c r="EG27" s="1409"/>
      <c r="EH27" s="1410"/>
      <c r="EI27" s="1408"/>
      <c r="EJ27" s="1409"/>
      <c r="EK27" s="1409"/>
      <c r="EL27" s="1409"/>
      <c r="EM27" s="1409"/>
      <c r="EN27" s="1409"/>
      <c r="EO27" s="1410"/>
      <c r="EP27" s="1408"/>
      <c r="EQ27" s="1409"/>
      <c r="ER27" s="1409"/>
      <c r="ES27" s="1409"/>
      <c r="ET27" s="1409"/>
      <c r="EU27" s="1409"/>
      <c r="EV27" s="1409"/>
      <c r="EW27" s="1409"/>
      <c r="EX27" s="1409"/>
      <c r="EY27" s="1410"/>
    </row>
    <row r="28" spans="1:155" s="430" customFormat="1" ht="7.8">
      <c r="A28" s="1438" t="s">
        <v>1575</v>
      </c>
      <c r="B28" s="1439"/>
      <c r="C28" s="1439"/>
      <c r="D28" s="1439"/>
      <c r="E28" s="1439"/>
      <c r="F28" s="1439"/>
      <c r="G28" s="1439"/>
      <c r="H28" s="1439"/>
      <c r="I28" s="1439"/>
      <c r="J28" s="1439"/>
      <c r="K28" s="1439"/>
      <c r="L28" s="1439"/>
      <c r="M28" s="1439"/>
      <c r="N28" s="1439"/>
      <c r="O28" s="1439"/>
      <c r="P28" s="1439"/>
      <c r="Q28" s="1439"/>
      <c r="R28" s="1439"/>
      <c r="S28" s="1439"/>
      <c r="T28" s="1439"/>
      <c r="U28" s="1439"/>
      <c r="V28" s="1439"/>
      <c r="W28" s="1439"/>
      <c r="X28" s="1439"/>
      <c r="Y28" s="1439"/>
      <c r="Z28" s="1439"/>
      <c r="AA28" s="1439"/>
      <c r="AB28" s="1439"/>
      <c r="AC28" s="1439"/>
      <c r="AD28" s="1439"/>
      <c r="AE28" s="1439"/>
      <c r="AF28" s="1439"/>
      <c r="AG28" s="1439"/>
      <c r="AH28" s="1439"/>
      <c r="AI28" s="1439"/>
      <c r="AJ28" s="1439"/>
      <c r="AK28" s="1439"/>
      <c r="AL28" s="1439"/>
      <c r="AM28" s="1440"/>
      <c r="AN28" s="1420" t="s">
        <v>121</v>
      </c>
      <c r="AO28" s="1421"/>
      <c r="AP28" s="1421"/>
      <c r="AQ28" s="1421"/>
      <c r="AR28" s="1421"/>
      <c r="AS28" s="1421"/>
      <c r="AT28" s="1421"/>
      <c r="AU28" s="1422"/>
      <c r="AV28" s="1423"/>
      <c r="AW28" s="1424"/>
      <c r="AX28" s="1424"/>
      <c r="AY28" s="1424"/>
      <c r="AZ28" s="1424"/>
      <c r="BA28" s="1425"/>
      <c r="BB28" s="1408"/>
      <c r="BC28" s="1409"/>
      <c r="BD28" s="1409"/>
      <c r="BE28" s="1409"/>
      <c r="BF28" s="1409"/>
      <c r="BG28" s="1409"/>
      <c r="BH28" s="1409"/>
      <c r="BI28" s="1409"/>
      <c r="BJ28" s="1410"/>
      <c r="BK28" s="1408">
        <f t="shared" si="0"/>
        <v>0</v>
      </c>
      <c r="BL28" s="1409"/>
      <c r="BM28" s="1409"/>
      <c r="BN28" s="1409"/>
      <c r="BO28" s="1409"/>
      <c r="BP28" s="1409"/>
      <c r="BQ28" s="1409"/>
      <c r="BR28" s="1409"/>
      <c r="BS28" s="1410"/>
      <c r="BT28" s="1408"/>
      <c r="BU28" s="1409"/>
      <c r="BV28" s="1409"/>
      <c r="BW28" s="1409"/>
      <c r="BX28" s="1409"/>
      <c r="BY28" s="1409"/>
      <c r="BZ28" s="1410"/>
      <c r="CA28" s="1408"/>
      <c r="CB28" s="1409"/>
      <c r="CC28" s="1409"/>
      <c r="CD28" s="1409"/>
      <c r="CE28" s="1409"/>
      <c r="CF28" s="1409"/>
      <c r="CG28" s="1410"/>
      <c r="CH28" s="1397">
        <f t="shared" si="1"/>
        <v>0</v>
      </c>
      <c r="CI28" s="1398"/>
      <c r="CJ28" s="1398"/>
      <c r="CK28" s="1398"/>
      <c r="CL28" s="1398"/>
      <c r="CM28" s="1398"/>
      <c r="CN28" s="1399"/>
      <c r="CO28" s="1408"/>
      <c r="CP28" s="1409"/>
      <c r="CQ28" s="1409"/>
      <c r="CR28" s="1409"/>
      <c r="CS28" s="1409"/>
      <c r="CT28" s="1409"/>
      <c r="CU28" s="1410"/>
      <c r="CV28" s="1408"/>
      <c r="CW28" s="1409"/>
      <c r="CX28" s="1409"/>
      <c r="CY28" s="1409"/>
      <c r="CZ28" s="1409"/>
      <c r="DA28" s="1409"/>
      <c r="DB28" s="1409"/>
      <c r="DC28" s="1409"/>
      <c r="DD28" s="1410"/>
      <c r="DE28" s="1408">
        <v>0</v>
      </c>
      <c r="DF28" s="1409"/>
      <c r="DG28" s="1409"/>
      <c r="DH28" s="1409"/>
      <c r="DI28" s="1409"/>
      <c r="DJ28" s="1409"/>
      <c r="DK28" s="1409"/>
      <c r="DL28" s="1409"/>
      <c r="DM28" s="1410"/>
      <c r="DN28" s="1408"/>
      <c r="DO28" s="1409"/>
      <c r="DP28" s="1409"/>
      <c r="DQ28" s="1409"/>
      <c r="DR28" s="1409"/>
      <c r="DS28" s="1409"/>
      <c r="DT28" s="1410"/>
      <c r="DU28" s="1408"/>
      <c r="DV28" s="1409"/>
      <c r="DW28" s="1409"/>
      <c r="DX28" s="1409"/>
      <c r="DY28" s="1409"/>
      <c r="DZ28" s="1409"/>
      <c r="EA28" s="1410"/>
      <c r="EB28" s="1408">
        <v>0</v>
      </c>
      <c r="EC28" s="1409"/>
      <c r="ED28" s="1409"/>
      <c r="EE28" s="1409"/>
      <c r="EF28" s="1409"/>
      <c r="EG28" s="1409"/>
      <c r="EH28" s="1410"/>
      <c r="EI28" s="1408"/>
      <c r="EJ28" s="1409"/>
      <c r="EK28" s="1409"/>
      <c r="EL28" s="1409"/>
      <c r="EM28" s="1409"/>
      <c r="EN28" s="1409"/>
      <c r="EO28" s="1410"/>
      <c r="EP28" s="1408"/>
      <c r="EQ28" s="1409"/>
      <c r="ER28" s="1409"/>
      <c r="ES28" s="1409"/>
      <c r="ET28" s="1409"/>
      <c r="EU28" s="1409"/>
      <c r="EV28" s="1409"/>
      <c r="EW28" s="1409"/>
      <c r="EX28" s="1409"/>
      <c r="EY28" s="1410"/>
    </row>
    <row r="29" spans="1:155" s="430" customFormat="1" ht="16.5" customHeight="1">
      <c r="A29" s="1411" t="s">
        <v>1576</v>
      </c>
      <c r="B29" s="1412"/>
      <c r="C29" s="1412"/>
      <c r="D29" s="1412"/>
      <c r="E29" s="1412"/>
      <c r="F29" s="1412"/>
      <c r="G29" s="1412"/>
      <c r="H29" s="1412"/>
      <c r="I29" s="1412"/>
      <c r="J29" s="1412"/>
      <c r="K29" s="1412"/>
      <c r="L29" s="1412"/>
      <c r="M29" s="1412"/>
      <c r="N29" s="1412"/>
      <c r="O29" s="1412"/>
      <c r="P29" s="1412"/>
      <c r="Q29" s="1412"/>
      <c r="R29" s="1412"/>
      <c r="S29" s="1412"/>
      <c r="T29" s="1412"/>
      <c r="U29" s="1412"/>
      <c r="V29" s="1412"/>
      <c r="W29" s="1412"/>
      <c r="X29" s="1412"/>
      <c r="Y29" s="1412"/>
      <c r="Z29" s="1412"/>
      <c r="AA29" s="1412"/>
      <c r="AB29" s="1412"/>
      <c r="AC29" s="1412"/>
      <c r="AD29" s="1412"/>
      <c r="AE29" s="1412"/>
      <c r="AF29" s="1412"/>
      <c r="AG29" s="1412"/>
      <c r="AH29" s="1412"/>
      <c r="AI29" s="1412"/>
      <c r="AJ29" s="1412"/>
      <c r="AK29" s="1412"/>
      <c r="AL29" s="1412"/>
      <c r="AM29" s="1413"/>
      <c r="AN29" s="1420" t="s">
        <v>121</v>
      </c>
      <c r="AO29" s="1421"/>
      <c r="AP29" s="1421"/>
      <c r="AQ29" s="1421"/>
      <c r="AR29" s="1421"/>
      <c r="AS29" s="1421"/>
      <c r="AT29" s="1421"/>
      <c r="AU29" s="1422"/>
      <c r="AV29" s="1423" t="s">
        <v>910</v>
      </c>
      <c r="AW29" s="1424"/>
      <c r="AX29" s="1424"/>
      <c r="AY29" s="1424"/>
      <c r="AZ29" s="1424"/>
      <c r="BA29" s="1425"/>
      <c r="BB29" s="1408">
        <f>CH29+CO29</f>
        <v>32344</v>
      </c>
      <c r="BC29" s="1409"/>
      <c r="BD29" s="1409"/>
      <c r="BE29" s="1409"/>
      <c r="BF29" s="1409"/>
      <c r="BG29" s="1409"/>
      <c r="BH29" s="1409"/>
      <c r="BI29" s="1409"/>
      <c r="BJ29" s="1410"/>
      <c r="BK29" s="1408">
        <f t="shared" si="0"/>
        <v>32344</v>
      </c>
      <c r="BL29" s="1409"/>
      <c r="BM29" s="1409"/>
      <c r="BN29" s="1409"/>
      <c r="BO29" s="1409"/>
      <c r="BP29" s="1409"/>
      <c r="BQ29" s="1409"/>
      <c r="BR29" s="1409"/>
      <c r="BS29" s="1410"/>
      <c r="BT29" s="1408">
        <f>32239</f>
        <v>32239</v>
      </c>
      <c r="BU29" s="1409"/>
      <c r="BV29" s="1409"/>
      <c r="BW29" s="1409"/>
      <c r="BX29" s="1409"/>
      <c r="BY29" s="1409"/>
      <c r="BZ29" s="1410"/>
      <c r="CA29" s="1408">
        <f>91</f>
        <v>91</v>
      </c>
      <c r="CB29" s="1409"/>
      <c r="CC29" s="1409"/>
      <c r="CD29" s="1409"/>
      <c r="CE29" s="1409"/>
      <c r="CF29" s="1409"/>
      <c r="CG29" s="1410"/>
      <c r="CH29" s="1397">
        <f t="shared" si="1"/>
        <v>32330</v>
      </c>
      <c r="CI29" s="1398"/>
      <c r="CJ29" s="1398"/>
      <c r="CK29" s="1398"/>
      <c r="CL29" s="1398"/>
      <c r="CM29" s="1398"/>
      <c r="CN29" s="1399"/>
      <c r="CO29" s="1408">
        <f>14</f>
        <v>14</v>
      </c>
      <c r="CP29" s="1409"/>
      <c r="CQ29" s="1409"/>
      <c r="CR29" s="1409"/>
      <c r="CS29" s="1409"/>
      <c r="CT29" s="1409"/>
      <c r="CU29" s="1410"/>
      <c r="CV29" s="1408">
        <v>28594</v>
      </c>
      <c r="CW29" s="1409"/>
      <c r="CX29" s="1409"/>
      <c r="CY29" s="1409"/>
      <c r="CZ29" s="1409"/>
      <c r="DA29" s="1409"/>
      <c r="DB29" s="1409"/>
      <c r="DC29" s="1409"/>
      <c r="DD29" s="1410"/>
      <c r="DE29" s="1408">
        <v>28594</v>
      </c>
      <c r="DF29" s="1409"/>
      <c r="DG29" s="1409"/>
      <c r="DH29" s="1409"/>
      <c r="DI29" s="1409"/>
      <c r="DJ29" s="1409"/>
      <c r="DK29" s="1409"/>
      <c r="DL29" s="1409"/>
      <c r="DM29" s="1410"/>
      <c r="DN29" s="1408">
        <v>28495</v>
      </c>
      <c r="DO29" s="1409"/>
      <c r="DP29" s="1409"/>
      <c r="DQ29" s="1409"/>
      <c r="DR29" s="1409"/>
      <c r="DS29" s="1409"/>
      <c r="DT29" s="1410"/>
      <c r="DU29" s="1408">
        <v>87</v>
      </c>
      <c r="DV29" s="1409"/>
      <c r="DW29" s="1409"/>
      <c r="DX29" s="1409"/>
      <c r="DY29" s="1409"/>
      <c r="DZ29" s="1409"/>
      <c r="EA29" s="1410"/>
      <c r="EB29" s="1408">
        <v>28582</v>
      </c>
      <c r="EC29" s="1409"/>
      <c r="ED29" s="1409"/>
      <c r="EE29" s="1409"/>
      <c r="EF29" s="1409"/>
      <c r="EG29" s="1409"/>
      <c r="EH29" s="1410"/>
      <c r="EI29" s="1408">
        <v>12</v>
      </c>
      <c r="EJ29" s="1409"/>
      <c r="EK29" s="1409"/>
      <c r="EL29" s="1409"/>
      <c r="EM29" s="1409"/>
      <c r="EN29" s="1409"/>
      <c r="EO29" s="1410"/>
      <c r="EP29" s="1408"/>
      <c r="EQ29" s="1409"/>
      <c r="ER29" s="1409"/>
      <c r="ES29" s="1409"/>
      <c r="ET29" s="1409"/>
      <c r="EU29" s="1409"/>
      <c r="EV29" s="1409"/>
      <c r="EW29" s="1409"/>
      <c r="EX29" s="1409"/>
      <c r="EY29" s="1410"/>
    </row>
    <row r="30" spans="1:155" s="430" customFormat="1" ht="16.5" customHeight="1">
      <c r="A30" s="1432" t="s">
        <v>1577</v>
      </c>
      <c r="B30" s="1433"/>
      <c r="C30" s="1433"/>
      <c r="D30" s="1433"/>
      <c r="E30" s="1433"/>
      <c r="F30" s="1433"/>
      <c r="G30" s="1433"/>
      <c r="H30" s="1433"/>
      <c r="I30" s="1433"/>
      <c r="J30" s="1433"/>
      <c r="K30" s="1433"/>
      <c r="L30" s="1433"/>
      <c r="M30" s="1433"/>
      <c r="N30" s="1433"/>
      <c r="O30" s="1433"/>
      <c r="P30" s="1433"/>
      <c r="Q30" s="1433"/>
      <c r="R30" s="1433"/>
      <c r="S30" s="1433"/>
      <c r="T30" s="1433"/>
      <c r="U30" s="1433"/>
      <c r="V30" s="1433"/>
      <c r="W30" s="1433"/>
      <c r="X30" s="1433"/>
      <c r="Y30" s="1433"/>
      <c r="Z30" s="1433"/>
      <c r="AA30" s="1433"/>
      <c r="AB30" s="1433"/>
      <c r="AC30" s="1433"/>
      <c r="AD30" s="1433"/>
      <c r="AE30" s="1433"/>
      <c r="AF30" s="1433"/>
      <c r="AG30" s="1433"/>
      <c r="AH30" s="1433"/>
      <c r="AI30" s="1433"/>
      <c r="AJ30" s="1433"/>
      <c r="AK30" s="1433"/>
      <c r="AL30" s="1433"/>
      <c r="AM30" s="1434"/>
      <c r="AN30" s="1420" t="s">
        <v>121</v>
      </c>
      <c r="AO30" s="1421"/>
      <c r="AP30" s="1421"/>
      <c r="AQ30" s="1421"/>
      <c r="AR30" s="1421"/>
      <c r="AS30" s="1421"/>
      <c r="AT30" s="1421"/>
      <c r="AU30" s="1422"/>
      <c r="AV30" s="1423" t="s">
        <v>940</v>
      </c>
      <c r="AW30" s="1424"/>
      <c r="AX30" s="1424"/>
      <c r="AY30" s="1424"/>
      <c r="AZ30" s="1424"/>
      <c r="BA30" s="1425"/>
      <c r="BB30" s="1408">
        <f>CH30+CO30</f>
        <v>159269</v>
      </c>
      <c r="BC30" s="1409"/>
      <c r="BD30" s="1409"/>
      <c r="BE30" s="1409"/>
      <c r="BF30" s="1409"/>
      <c r="BG30" s="1409"/>
      <c r="BH30" s="1409"/>
      <c r="BI30" s="1409"/>
      <c r="BJ30" s="1410"/>
      <c r="BK30" s="1408">
        <f t="shared" si="0"/>
        <v>159269</v>
      </c>
      <c r="BL30" s="1409"/>
      <c r="BM30" s="1409"/>
      <c r="BN30" s="1409"/>
      <c r="BO30" s="1409"/>
      <c r="BP30" s="1409"/>
      <c r="BQ30" s="1409"/>
      <c r="BR30" s="1409"/>
      <c r="BS30" s="1410"/>
      <c r="BT30" s="1408">
        <f>BT31+BT34</f>
        <v>158423</v>
      </c>
      <c r="BU30" s="1409"/>
      <c r="BV30" s="1409"/>
      <c r="BW30" s="1409"/>
      <c r="BX30" s="1409"/>
      <c r="BY30" s="1409"/>
      <c r="BZ30" s="1410"/>
      <c r="CA30" s="1408">
        <f>CA31+CA34</f>
        <v>679</v>
      </c>
      <c r="CB30" s="1409"/>
      <c r="CC30" s="1409"/>
      <c r="CD30" s="1409"/>
      <c r="CE30" s="1409"/>
      <c r="CF30" s="1409"/>
      <c r="CG30" s="1410"/>
      <c r="CH30" s="1397">
        <f t="shared" si="1"/>
        <v>159102</v>
      </c>
      <c r="CI30" s="1398"/>
      <c r="CJ30" s="1398"/>
      <c r="CK30" s="1398"/>
      <c r="CL30" s="1398"/>
      <c r="CM30" s="1398"/>
      <c r="CN30" s="1399"/>
      <c r="CO30" s="1408">
        <f>CO31+CO34</f>
        <v>167</v>
      </c>
      <c r="CP30" s="1409"/>
      <c r="CQ30" s="1409"/>
      <c r="CR30" s="1409"/>
      <c r="CS30" s="1409"/>
      <c r="CT30" s="1409"/>
      <c r="CU30" s="1410"/>
      <c r="CV30" s="1408">
        <v>136668</v>
      </c>
      <c r="CW30" s="1409"/>
      <c r="CX30" s="1409"/>
      <c r="CY30" s="1409"/>
      <c r="CZ30" s="1409"/>
      <c r="DA30" s="1409"/>
      <c r="DB30" s="1409"/>
      <c r="DC30" s="1409"/>
      <c r="DD30" s="1410"/>
      <c r="DE30" s="1408">
        <v>136668</v>
      </c>
      <c r="DF30" s="1409"/>
      <c r="DG30" s="1409"/>
      <c r="DH30" s="1409"/>
      <c r="DI30" s="1409"/>
      <c r="DJ30" s="1409"/>
      <c r="DK30" s="1409"/>
      <c r="DL30" s="1409"/>
      <c r="DM30" s="1410"/>
      <c r="DN30" s="1408">
        <v>134414</v>
      </c>
      <c r="DO30" s="1409"/>
      <c r="DP30" s="1409"/>
      <c r="DQ30" s="1409"/>
      <c r="DR30" s="1409"/>
      <c r="DS30" s="1409"/>
      <c r="DT30" s="1410"/>
      <c r="DU30" s="1408">
        <v>1970</v>
      </c>
      <c r="DV30" s="1409"/>
      <c r="DW30" s="1409"/>
      <c r="DX30" s="1409"/>
      <c r="DY30" s="1409"/>
      <c r="DZ30" s="1409"/>
      <c r="EA30" s="1410"/>
      <c r="EB30" s="1408">
        <v>136384</v>
      </c>
      <c r="EC30" s="1409"/>
      <c r="ED30" s="1409"/>
      <c r="EE30" s="1409"/>
      <c r="EF30" s="1409"/>
      <c r="EG30" s="1409"/>
      <c r="EH30" s="1410"/>
      <c r="EI30" s="1408">
        <v>284</v>
      </c>
      <c r="EJ30" s="1409"/>
      <c r="EK30" s="1409"/>
      <c r="EL30" s="1409"/>
      <c r="EM30" s="1409"/>
      <c r="EN30" s="1409"/>
      <c r="EO30" s="1410"/>
      <c r="EP30" s="1408"/>
      <c r="EQ30" s="1409"/>
      <c r="ER30" s="1409"/>
      <c r="ES30" s="1409"/>
      <c r="ET30" s="1409"/>
      <c r="EU30" s="1409"/>
      <c r="EV30" s="1409"/>
      <c r="EW30" s="1409"/>
      <c r="EX30" s="1409"/>
      <c r="EY30" s="1410"/>
    </row>
    <row r="31" spans="1:155" s="430" customFormat="1" ht="7.8">
      <c r="A31" s="1411" t="s">
        <v>1034</v>
      </c>
      <c r="B31" s="1412"/>
      <c r="C31" s="1412"/>
      <c r="D31" s="1412"/>
      <c r="E31" s="1412"/>
      <c r="F31" s="1412"/>
      <c r="G31" s="1412"/>
      <c r="H31" s="1412"/>
      <c r="I31" s="1412"/>
      <c r="J31" s="1412"/>
      <c r="K31" s="1412"/>
      <c r="L31" s="1412"/>
      <c r="M31" s="1412"/>
      <c r="N31" s="1412"/>
      <c r="O31" s="1412"/>
      <c r="P31" s="1412"/>
      <c r="Q31" s="1412"/>
      <c r="R31" s="1412"/>
      <c r="S31" s="1412"/>
      <c r="T31" s="1412"/>
      <c r="U31" s="1412"/>
      <c r="V31" s="1412"/>
      <c r="W31" s="1412"/>
      <c r="X31" s="1412"/>
      <c r="Y31" s="1412"/>
      <c r="Z31" s="1412"/>
      <c r="AA31" s="1412"/>
      <c r="AB31" s="1412"/>
      <c r="AC31" s="1412"/>
      <c r="AD31" s="1412"/>
      <c r="AE31" s="1412"/>
      <c r="AF31" s="1412"/>
      <c r="AG31" s="1412"/>
      <c r="AH31" s="1412"/>
      <c r="AI31" s="1412"/>
      <c r="AJ31" s="1412"/>
      <c r="AK31" s="1412"/>
      <c r="AL31" s="1412"/>
      <c r="AM31" s="1413"/>
      <c r="AN31" s="1420" t="s">
        <v>121</v>
      </c>
      <c r="AO31" s="1421"/>
      <c r="AP31" s="1421"/>
      <c r="AQ31" s="1421"/>
      <c r="AR31" s="1421"/>
      <c r="AS31" s="1421"/>
      <c r="AT31" s="1421"/>
      <c r="AU31" s="1422"/>
      <c r="AV31" s="1423" t="s">
        <v>945</v>
      </c>
      <c r="AW31" s="1424"/>
      <c r="AX31" s="1424"/>
      <c r="AY31" s="1424"/>
      <c r="AZ31" s="1424"/>
      <c r="BA31" s="1425"/>
      <c r="BB31" s="1408">
        <f>CH31+CO31</f>
        <v>5017</v>
      </c>
      <c r="BC31" s="1409"/>
      <c r="BD31" s="1409"/>
      <c r="BE31" s="1409"/>
      <c r="BF31" s="1409"/>
      <c r="BG31" s="1409"/>
      <c r="BH31" s="1409"/>
      <c r="BI31" s="1409"/>
      <c r="BJ31" s="1410"/>
      <c r="BK31" s="1408">
        <f t="shared" si="0"/>
        <v>5017</v>
      </c>
      <c r="BL31" s="1409"/>
      <c r="BM31" s="1409"/>
      <c r="BN31" s="1409"/>
      <c r="BO31" s="1409"/>
      <c r="BP31" s="1409"/>
      <c r="BQ31" s="1409"/>
      <c r="BR31" s="1409"/>
      <c r="BS31" s="1410"/>
      <c r="BT31" s="1408">
        <f>1995+3014</f>
        <v>5009</v>
      </c>
      <c r="BU31" s="1409"/>
      <c r="BV31" s="1409"/>
      <c r="BW31" s="1409"/>
      <c r="BX31" s="1409"/>
      <c r="BY31" s="1409"/>
      <c r="BZ31" s="1410"/>
      <c r="CA31" s="1408">
        <f>7</f>
        <v>7</v>
      </c>
      <c r="CB31" s="1409"/>
      <c r="CC31" s="1409"/>
      <c r="CD31" s="1409"/>
      <c r="CE31" s="1409"/>
      <c r="CF31" s="1409"/>
      <c r="CG31" s="1410"/>
      <c r="CH31" s="1397">
        <f t="shared" si="1"/>
        <v>5016</v>
      </c>
      <c r="CI31" s="1398"/>
      <c r="CJ31" s="1398"/>
      <c r="CK31" s="1398"/>
      <c r="CL31" s="1398"/>
      <c r="CM31" s="1398"/>
      <c r="CN31" s="1399"/>
      <c r="CO31" s="1408">
        <f>1</f>
        <v>1</v>
      </c>
      <c r="CP31" s="1409"/>
      <c r="CQ31" s="1409"/>
      <c r="CR31" s="1409"/>
      <c r="CS31" s="1409"/>
      <c r="CT31" s="1409"/>
      <c r="CU31" s="1410"/>
      <c r="CV31" s="1408">
        <v>5332</v>
      </c>
      <c r="CW31" s="1409"/>
      <c r="CX31" s="1409"/>
      <c r="CY31" s="1409"/>
      <c r="CZ31" s="1409"/>
      <c r="DA31" s="1409"/>
      <c r="DB31" s="1409"/>
      <c r="DC31" s="1409"/>
      <c r="DD31" s="1410"/>
      <c r="DE31" s="1408">
        <v>5332</v>
      </c>
      <c r="DF31" s="1409"/>
      <c r="DG31" s="1409"/>
      <c r="DH31" s="1409"/>
      <c r="DI31" s="1409"/>
      <c r="DJ31" s="1409"/>
      <c r="DK31" s="1409"/>
      <c r="DL31" s="1409"/>
      <c r="DM31" s="1410"/>
      <c r="DN31" s="1408">
        <v>5325</v>
      </c>
      <c r="DO31" s="1409"/>
      <c r="DP31" s="1409"/>
      <c r="DQ31" s="1409"/>
      <c r="DR31" s="1409"/>
      <c r="DS31" s="1409"/>
      <c r="DT31" s="1410"/>
      <c r="DU31" s="1408">
        <v>6</v>
      </c>
      <c r="DV31" s="1409"/>
      <c r="DW31" s="1409"/>
      <c r="DX31" s="1409"/>
      <c r="DY31" s="1409"/>
      <c r="DZ31" s="1409"/>
      <c r="EA31" s="1410"/>
      <c r="EB31" s="1408">
        <v>5331</v>
      </c>
      <c r="EC31" s="1409"/>
      <c r="ED31" s="1409"/>
      <c r="EE31" s="1409"/>
      <c r="EF31" s="1409"/>
      <c r="EG31" s="1409"/>
      <c r="EH31" s="1410"/>
      <c r="EI31" s="1408">
        <v>1</v>
      </c>
      <c r="EJ31" s="1409"/>
      <c r="EK31" s="1409"/>
      <c r="EL31" s="1409"/>
      <c r="EM31" s="1409"/>
      <c r="EN31" s="1409"/>
      <c r="EO31" s="1410"/>
      <c r="EP31" s="1408"/>
      <c r="EQ31" s="1409"/>
      <c r="ER31" s="1409"/>
      <c r="ES31" s="1409"/>
      <c r="ET31" s="1409"/>
      <c r="EU31" s="1409"/>
      <c r="EV31" s="1409"/>
      <c r="EW31" s="1409"/>
      <c r="EX31" s="1409"/>
      <c r="EY31" s="1410"/>
    </row>
    <row r="32" spans="1:155" s="430" customFormat="1" ht="7.8">
      <c r="A32" s="1411" t="s">
        <v>1578</v>
      </c>
      <c r="B32" s="1412"/>
      <c r="C32" s="1412"/>
      <c r="D32" s="1412"/>
      <c r="E32" s="1412"/>
      <c r="F32" s="1412"/>
      <c r="G32" s="1412"/>
      <c r="H32" s="1412"/>
      <c r="I32" s="1412"/>
      <c r="J32" s="1412"/>
      <c r="K32" s="1412"/>
      <c r="L32" s="1412"/>
      <c r="M32" s="1412"/>
      <c r="N32" s="1412"/>
      <c r="O32" s="1412"/>
      <c r="P32" s="1412"/>
      <c r="Q32" s="1412"/>
      <c r="R32" s="1412"/>
      <c r="S32" s="1412"/>
      <c r="T32" s="1412"/>
      <c r="U32" s="1412"/>
      <c r="V32" s="1412"/>
      <c r="W32" s="1412"/>
      <c r="X32" s="1412"/>
      <c r="Y32" s="1412"/>
      <c r="Z32" s="1412"/>
      <c r="AA32" s="1412"/>
      <c r="AB32" s="1412"/>
      <c r="AC32" s="1412"/>
      <c r="AD32" s="1412"/>
      <c r="AE32" s="1412"/>
      <c r="AF32" s="1412"/>
      <c r="AG32" s="1412"/>
      <c r="AH32" s="1412"/>
      <c r="AI32" s="1412"/>
      <c r="AJ32" s="1412"/>
      <c r="AK32" s="1412"/>
      <c r="AL32" s="1412"/>
      <c r="AM32" s="1413"/>
      <c r="AN32" s="1420" t="s">
        <v>121</v>
      </c>
      <c r="AO32" s="1421"/>
      <c r="AP32" s="1421"/>
      <c r="AQ32" s="1421"/>
      <c r="AR32" s="1421"/>
      <c r="AS32" s="1421"/>
      <c r="AT32" s="1421"/>
      <c r="AU32" s="1422"/>
      <c r="AV32" s="1423" t="s">
        <v>949</v>
      </c>
      <c r="AW32" s="1424"/>
      <c r="AX32" s="1424"/>
      <c r="AY32" s="1424"/>
      <c r="AZ32" s="1424"/>
      <c r="BA32" s="1425"/>
      <c r="BB32" s="1408"/>
      <c r="BC32" s="1409"/>
      <c r="BD32" s="1409"/>
      <c r="BE32" s="1409"/>
      <c r="BF32" s="1409"/>
      <c r="BG32" s="1409"/>
      <c r="BH32" s="1409"/>
      <c r="BI32" s="1409"/>
      <c r="BJ32" s="1410"/>
      <c r="BK32" s="1408">
        <f t="shared" si="0"/>
        <v>0</v>
      </c>
      <c r="BL32" s="1409"/>
      <c r="BM32" s="1409"/>
      <c r="BN32" s="1409"/>
      <c r="BO32" s="1409"/>
      <c r="BP32" s="1409"/>
      <c r="BQ32" s="1409"/>
      <c r="BR32" s="1409"/>
      <c r="BS32" s="1410"/>
      <c r="BT32" s="1408"/>
      <c r="BU32" s="1409"/>
      <c r="BV32" s="1409"/>
      <c r="BW32" s="1409"/>
      <c r="BX32" s="1409"/>
      <c r="BY32" s="1409"/>
      <c r="BZ32" s="1410"/>
      <c r="CA32" s="1408"/>
      <c r="CB32" s="1409"/>
      <c r="CC32" s="1409"/>
      <c r="CD32" s="1409"/>
      <c r="CE32" s="1409"/>
      <c r="CF32" s="1409"/>
      <c r="CG32" s="1410"/>
      <c r="CH32" s="1397">
        <f t="shared" si="1"/>
        <v>0</v>
      </c>
      <c r="CI32" s="1398"/>
      <c r="CJ32" s="1398"/>
      <c r="CK32" s="1398"/>
      <c r="CL32" s="1398"/>
      <c r="CM32" s="1398"/>
      <c r="CN32" s="1399"/>
      <c r="CO32" s="1408"/>
      <c r="CP32" s="1409"/>
      <c r="CQ32" s="1409"/>
      <c r="CR32" s="1409"/>
      <c r="CS32" s="1409"/>
      <c r="CT32" s="1409"/>
      <c r="CU32" s="1410"/>
      <c r="CV32" s="1408"/>
      <c r="CW32" s="1409"/>
      <c r="CX32" s="1409"/>
      <c r="CY32" s="1409"/>
      <c r="CZ32" s="1409"/>
      <c r="DA32" s="1409"/>
      <c r="DB32" s="1409"/>
      <c r="DC32" s="1409"/>
      <c r="DD32" s="1410"/>
      <c r="DE32" s="1408">
        <v>0</v>
      </c>
      <c r="DF32" s="1409"/>
      <c r="DG32" s="1409"/>
      <c r="DH32" s="1409"/>
      <c r="DI32" s="1409"/>
      <c r="DJ32" s="1409"/>
      <c r="DK32" s="1409"/>
      <c r="DL32" s="1409"/>
      <c r="DM32" s="1410"/>
      <c r="DN32" s="1408"/>
      <c r="DO32" s="1409"/>
      <c r="DP32" s="1409"/>
      <c r="DQ32" s="1409"/>
      <c r="DR32" s="1409"/>
      <c r="DS32" s="1409"/>
      <c r="DT32" s="1410"/>
      <c r="DU32" s="1408"/>
      <c r="DV32" s="1409"/>
      <c r="DW32" s="1409"/>
      <c r="DX32" s="1409"/>
      <c r="DY32" s="1409"/>
      <c r="DZ32" s="1409"/>
      <c r="EA32" s="1410"/>
      <c r="EB32" s="1408">
        <v>0</v>
      </c>
      <c r="EC32" s="1409"/>
      <c r="ED32" s="1409"/>
      <c r="EE32" s="1409"/>
      <c r="EF32" s="1409"/>
      <c r="EG32" s="1409"/>
      <c r="EH32" s="1410"/>
      <c r="EI32" s="1408"/>
      <c r="EJ32" s="1409"/>
      <c r="EK32" s="1409"/>
      <c r="EL32" s="1409"/>
      <c r="EM32" s="1409"/>
      <c r="EN32" s="1409"/>
      <c r="EO32" s="1410"/>
      <c r="EP32" s="1408"/>
      <c r="EQ32" s="1409"/>
      <c r="ER32" s="1409"/>
      <c r="ES32" s="1409"/>
      <c r="ET32" s="1409"/>
      <c r="EU32" s="1409"/>
      <c r="EV32" s="1409"/>
      <c r="EW32" s="1409"/>
      <c r="EX32" s="1409"/>
      <c r="EY32" s="1410"/>
    </row>
    <row r="33" spans="1:155" s="430" customFormat="1" ht="16.5" customHeight="1">
      <c r="A33" s="1411" t="s">
        <v>1579</v>
      </c>
      <c r="B33" s="1412"/>
      <c r="C33" s="1412"/>
      <c r="D33" s="1412"/>
      <c r="E33" s="1412"/>
      <c r="F33" s="1412"/>
      <c r="G33" s="1412"/>
      <c r="H33" s="1412"/>
      <c r="I33" s="1412"/>
      <c r="J33" s="1412"/>
      <c r="K33" s="1412"/>
      <c r="L33" s="1412"/>
      <c r="M33" s="1412"/>
      <c r="N33" s="1412"/>
      <c r="O33" s="1412"/>
      <c r="P33" s="1412"/>
      <c r="Q33" s="1412"/>
      <c r="R33" s="1412"/>
      <c r="S33" s="1412"/>
      <c r="T33" s="1412"/>
      <c r="U33" s="1412"/>
      <c r="V33" s="1412"/>
      <c r="W33" s="1412"/>
      <c r="X33" s="1412"/>
      <c r="Y33" s="1412"/>
      <c r="Z33" s="1412"/>
      <c r="AA33" s="1412"/>
      <c r="AB33" s="1412"/>
      <c r="AC33" s="1412"/>
      <c r="AD33" s="1412"/>
      <c r="AE33" s="1412"/>
      <c r="AF33" s="1412"/>
      <c r="AG33" s="1412"/>
      <c r="AH33" s="1412"/>
      <c r="AI33" s="1412"/>
      <c r="AJ33" s="1412"/>
      <c r="AK33" s="1412"/>
      <c r="AL33" s="1412"/>
      <c r="AM33" s="1413"/>
      <c r="AN33" s="1420" t="s">
        <v>121</v>
      </c>
      <c r="AO33" s="1421"/>
      <c r="AP33" s="1421"/>
      <c r="AQ33" s="1421"/>
      <c r="AR33" s="1421"/>
      <c r="AS33" s="1421"/>
      <c r="AT33" s="1421"/>
      <c r="AU33" s="1422"/>
      <c r="AV33" s="1423" t="s">
        <v>953</v>
      </c>
      <c r="AW33" s="1424"/>
      <c r="AX33" s="1424"/>
      <c r="AY33" s="1424"/>
      <c r="AZ33" s="1424"/>
      <c r="BA33" s="1425"/>
      <c r="BB33" s="1408"/>
      <c r="BC33" s="1409"/>
      <c r="BD33" s="1409"/>
      <c r="BE33" s="1409"/>
      <c r="BF33" s="1409"/>
      <c r="BG33" s="1409"/>
      <c r="BH33" s="1409"/>
      <c r="BI33" s="1409"/>
      <c r="BJ33" s="1410"/>
      <c r="BK33" s="1408">
        <f t="shared" si="0"/>
        <v>0</v>
      </c>
      <c r="BL33" s="1409"/>
      <c r="BM33" s="1409"/>
      <c r="BN33" s="1409"/>
      <c r="BO33" s="1409"/>
      <c r="BP33" s="1409"/>
      <c r="BQ33" s="1409"/>
      <c r="BR33" s="1409"/>
      <c r="BS33" s="1410"/>
      <c r="BT33" s="1408"/>
      <c r="BU33" s="1409"/>
      <c r="BV33" s="1409"/>
      <c r="BW33" s="1409"/>
      <c r="BX33" s="1409"/>
      <c r="BY33" s="1409"/>
      <c r="BZ33" s="1410"/>
      <c r="CA33" s="1408"/>
      <c r="CB33" s="1409"/>
      <c r="CC33" s="1409"/>
      <c r="CD33" s="1409"/>
      <c r="CE33" s="1409"/>
      <c r="CF33" s="1409"/>
      <c r="CG33" s="1410"/>
      <c r="CH33" s="1397">
        <f t="shared" si="1"/>
        <v>0</v>
      </c>
      <c r="CI33" s="1398"/>
      <c r="CJ33" s="1398"/>
      <c r="CK33" s="1398"/>
      <c r="CL33" s="1398"/>
      <c r="CM33" s="1398"/>
      <c r="CN33" s="1399"/>
      <c r="CO33" s="1408"/>
      <c r="CP33" s="1409"/>
      <c r="CQ33" s="1409"/>
      <c r="CR33" s="1409"/>
      <c r="CS33" s="1409"/>
      <c r="CT33" s="1409"/>
      <c r="CU33" s="1410"/>
      <c r="CV33" s="1408"/>
      <c r="CW33" s="1409"/>
      <c r="CX33" s="1409"/>
      <c r="CY33" s="1409"/>
      <c r="CZ33" s="1409"/>
      <c r="DA33" s="1409"/>
      <c r="DB33" s="1409"/>
      <c r="DC33" s="1409"/>
      <c r="DD33" s="1410"/>
      <c r="DE33" s="1408">
        <v>0</v>
      </c>
      <c r="DF33" s="1409"/>
      <c r="DG33" s="1409"/>
      <c r="DH33" s="1409"/>
      <c r="DI33" s="1409"/>
      <c r="DJ33" s="1409"/>
      <c r="DK33" s="1409"/>
      <c r="DL33" s="1409"/>
      <c r="DM33" s="1410"/>
      <c r="DN33" s="1408"/>
      <c r="DO33" s="1409"/>
      <c r="DP33" s="1409"/>
      <c r="DQ33" s="1409"/>
      <c r="DR33" s="1409"/>
      <c r="DS33" s="1409"/>
      <c r="DT33" s="1410"/>
      <c r="DU33" s="1408"/>
      <c r="DV33" s="1409"/>
      <c r="DW33" s="1409"/>
      <c r="DX33" s="1409"/>
      <c r="DY33" s="1409"/>
      <c r="DZ33" s="1409"/>
      <c r="EA33" s="1410"/>
      <c r="EB33" s="1408">
        <v>0</v>
      </c>
      <c r="EC33" s="1409"/>
      <c r="ED33" s="1409"/>
      <c r="EE33" s="1409"/>
      <c r="EF33" s="1409"/>
      <c r="EG33" s="1409"/>
      <c r="EH33" s="1410"/>
      <c r="EI33" s="1408"/>
      <c r="EJ33" s="1409"/>
      <c r="EK33" s="1409"/>
      <c r="EL33" s="1409"/>
      <c r="EM33" s="1409"/>
      <c r="EN33" s="1409"/>
      <c r="EO33" s="1410"/>
      <c r="EP33" s="1408"/>
      <c r="EQ33" s="1409"/>
      <c r="ER33" s="1409"/>
      <c r="ES33" s="1409"/>
      <c r="ET33" s="1409"/>
      <c r="EU33" s="1409"/>
      <c r="EV33" s="1409"/>
      <c r="EW33" s="1409"/>
      <c r="EX33" s="1409"/>
      <c r="EY33" s="1410"/>
    </row>
    <row r="34" spans="1:155" s="430" customFormat="1" ht="16.5" customHeight="1">
      <c r="A34" s="1411" t="s">
        <v>1580</v>
      </c>
      <c r="B34" s="1412"/>
      <c r="C34" s="1412"/>
      <c r="D34" s="1412"/>
      <c r="E34" s="1412"/>
      <c r="F34" s="1412"/>
      <c r="G34" s="1412"/>
      <c r="H34" s="1412"/>
      <c r="I34" s="1412"/>
      <c r="J34" s="1412"/>
      <c r="K34" s="1412"/>
      <c r="L34" s="1412"/>
      <c r="M34" s="1412"/>
      <c r="N34" s="1412"/>
      <c r="O34" s="1412"/>
      <c r="P34" s="1412"/>
      <c r="Q34" s="1412"/>
      <c r="R34" s="1412"/>
      <c r="S34" s="1412"/>
      <c r="T34" s="1412"/>
      <c r="U34" s="1412"/>
      <c r="V34" s="1412"/>
      <c r="W34" s="1412"/>
      <c r="X34" s="1412"/>
      <c r="Y34" s="1412"/>
      <c r="Z34" s="1412"/>
      <c r="AA34" s="1412"/>
      <c r="AB34" s="1412"/>
      <c r="AC34" s="1412"/>
      <c r="AD34" s="1412"/>
      <c r="AE34" s="1412"/>
      <c r="AF34" s="1412"/>
      <c r="AG34" s="1412"/>
      <c r="AH34" s="1412"/>
      <c r="AI34" s="1412"/>
      <c r="AJ34" s="1412"/>
      <c r="AK34" s="1412"/>
      <c r="AL34" s="1412"/>
      <c r="AM34" s="1413"/>
      <c r="AN34" s="1420" t="s">
        <v>121</v>
      </c>
      <c r="AO34" s="1421"/>
      <c r="AP34" s="1421"/>
      <c r="AQ34" s="1421"/>
      <c r="AR34" s="1421"/>
      <c r="AS34" s="1421"/>
      <c r="AT34" s="1421"/>
      <c r="AU34" s="1422"/>
      <c r="AV34" s="1423" t="s">
        <v>958</v>
      </c>
      <c r="AW34" s="1424"/>
      <c r="AX34" s="1424"/>
      <c r="AY34" s="1424"/>
      <c r="AZ34" s="1424"/>
      <c r="BA34" s="1425"/>
      <c r="BB34" s="1408">
        <f>CH34+CO34</f>
        <v>154252</v>
      </c>
      <c r="BC34" s="1409"/>
      <c r="BD34" s="1409"/>
      <c r="BE34" s="1409"/>
      <c r="BF34" s="1409"/>
      <c r="BG34" s="1409"/>
      <c r="BH34" s="1409"/>
      <c r="BI34" s="1409"/>
      <c r="BJ34" s="1410"/>
      <c r="BK34" s="1408">
        <f t="shared" si="0"/>
        <v>154252</v>
      </c>
      <c r="BL34" s="1409"/>
      <c r="BM34" s="1409"/>
      <c r="BN34" s="1409"/>
      <c r="BO34" s="1409"/>
      <c r="BP34" s="1409"/>
      <c r="BQ34" s="1409"/>
      <c r="BR34" s="1409"/>
      <c r="BS34" s="1410"/>
      <c r="BT34" s="1408">
        <f>139159+14255</f>
        <v>153414</v>
      </c>
      <c r="BU34" s="1409"/>
      <c r="BV34" s="1409"/>
      <c r="BW34" s="1409"/>
      <c r="BX34" s="1409"/>
      <c r="BY34" s="1409"/>
      <c r="BZ34" s="1410"/>
      <c r="CA34" s="1408">
        <f>672</f>
        <v>672</v>
      </c>
      <c r="CB34" s="1409"/>
      <c r="CC34" s="1409"/>
      <c r="CD34" s="1409"/>
      <c r="CE34" s="1409"/>
      <c r="CF34" s="1409"/>
      <c r="CG34" s="1410"/>
      <c r="CH34" s="1397">
        <f t="shared" si="1"/>
        <v>154086</v>
      </c>
      <c r="CI34" s="1398"/>
      <c r="CJ34" s="1398"/>
      <c r="CK34" s="1398"/>
      <c r="CL34" s="1398"/>
      <c r="CM34" s="1398"/>
      <c r="CN34" s="1399"/>
      <c r="CO34" s="1408">
        <f>166</f>
        <v>166</v>
      </c>
      <c r="CP34" s="1409"/>
      <c r="CQ34" s="1409"/>
      <c r="CR34" s="1409"/>
      <c r="CS34" s="1409"/>
      <c r="CT34" s="1409"/>
      <c r="CU34" s="1410"/>
      <c r="CV34" s="1408">
        <v>131336</v>
      </c>
      <c r="CW34" s="1409"/>
      <c r="CX34" s="1409"/>
      <c r="CY34" s="1409"/>
      <c r="CZ34" s="1409"/>
      <c r="DA34" s="1409"/>
      <c r="DB34" s="1409"/>
      <c r="DC34" s="1409"/>
      <c r="DD34" s="1410"/>
      <c r="DE34" s="1408">
        <v>131336</v>
      </c>
      <c r="DF34" s="1409"/>
      <c r="DG34" s="1409"/>
      <c r="DH34" s="1409"/>
      <c r="DI34" s="1409"/>
      <c r="DJ34" s="1409"/>
      <c r="DK34" s="1409"/>
      <c r="DL34" s="1409"/>
      <c r="DM34" s="1410"/>
      <c r="DN34" s="1408">
        <v>129089</v>
      </c>
      <c r="DO34" s="1409"/>
      <c r="DP34" s="1409"/>
      <c r="DQ34" s="1409"/>
      <c r="DR34" s="1409"/>
      <c r="DS34" s="1409"/>
      <c r="DT34" s="1410"/>
      <c r="DU34" s="1408">
        <v>1964</v>
      </c>
      <c r="DV34" s="1409"/>
      <c r="DW34" s="1409"/>
      <c r="DX34" s="1409"/>
      <c r="DY34" s="1409"/>
      <c r="DZ34" s="1409"/>
      <c r="EA34" s="1410"/>
      <c r="EB34" s="1408">
        <v>131053</v>
      </c>
      <c r="EC34" s="1409"/>
      <c r="ED34" s="1409"/>
      <c r="EE34" s="1409"/>
      <c r="EF34" s="1409"/>
      <c r="EG34" s="1409"/>
      <c r="EH34" s="1410"/>
      <c r="EI34" s="1408">
        <v>283</v>
      </c>
      <c r="EJ34" s="1409"/>
      <c r="EK34" s="1409"/>
      <c r="EL34" s="1409"/>
      <c r="EM34" s="1409"/>
      <c r="EN34" s="1409"/>
      <c r="EO34" s="1410"/>
      <c r="EP34" s="1408"/>
      <c r="EQ34" s="1409"/>
      <c r="ER34" s="1409"/>
      <c r="ES34" s="1409"/>
      <c r="ET34" s="1409"/>
      <c r="EU34" s="1409"/>
      <c r="EV34" s="1409"/>
      <c r="EW34" s="1409"/>
      <c r="EX34" s="1409"/>
      <c r="EY34" s="1410"/>
    </row>
    <row r="35" spans="1:155" s="430" customFormat="1" ht="7.8">
      <c r="A35" s="1432" t="s">
        <v>544</v>
      </c>
      <c r="B35" s="1433"/>
      <c r="C35" s="1433"/>
      <c r="D35" s="1433"/>
      <c r="E35" s="1433"/>
      <c r="F35" s="1433"/>
      <c r="G35" s="1433"/>
      <c r="H35" s="1433"/>
      <c r="I35" s="1433"/>
      <c r="J35" s="1433"/>
      <c r="K35" s="1433"/>
      <c r="L35" s="1433"/>
      <c r="M35" s="1433"/>
      <c r="N35" s="1433"/>
      <c r="O35" s="1433"/>
      <c r="P35" s="1433"/>
      <c r="Q35" s="1433"/>
      <c r="R35" s="1433"/>
      <c r="S35" s="1433"/>
      <c r="T35" s="1433"/>
      <c r="U35" s="1433"/>
      <c r="V35" s="1433"/>
      <c r="W35" s="1433"/>
      <c r="X35" s="1433"/>
      <c r="Y35" s="1433"/>
      <c r="Z35" s="1433"/>
      <c r="AA35" s="1433"/>
      <c r="AB35" s="1433"/>
      <c r="AC35" s="1433"/>
      <c r="AD35" s="1433"/>
      <c r="AE35" s="1433"/>
      <c r="AF35" s="1433"/>
      <c r="AG35" s="1433"/>
      <c r="AH35" s="1433"/>
      <c r="AI35" s="1433"/>
      <c r="AJ35" s="1433"/>
      <c r="AK35" s="1433"/>
      <c r="AL35" s="1433"/>
      <c r="AM35" s="1434"/>
      <c r="AN35" s="1420" t="s">
        <v>121</v>
      </c>
      <c r="AO35" s="1421"/>
      <c r="AP35" s="1421"/>
      <c r="AQ35" s="1421"/>
      <c r="AR35" s="1421"/>
      <c r="AS35" s="1421"/>
      <c r="AT35" s="1421"/>
      <c r="AU35" s="1422"/>
      <c r="AV35" s="1423" t="s">
        <v>987</v>
      </c>
      <c r="AW35" s="1424"/>
      <c r="AX35" s="1424"/>
      <c r="AY35" s="1424"/>
      <c r="AZ35" s="1424"/>
      <c r="BA35" s="1425"/>
      <c r="BB35" s="1408">
        <f>CH35+CO35</f>
        <v>1011203</v>
      </c>
      <c r="BC35" s="1409"/>
      <c r="BD35" s="1409"/>
      <c r="BE35" s="1409"/>
      <c r="BF35" s="1409"/>
      <c r="BG35" s="1409"/>
      <c r="BH35" s="1409"/>
      <c r="BI35" s="1409"/>
      <c r="BJ35" s="1410"/>
      <c r="BK35" s="1408">
        <f>BB35</f>
        <v>1011203</v>
      </c>
      <c r="BL35" s="1409"/>
      <c r="BM35" s="1409"/>
      <c r="BN35" s="1409"/>
      <c r="BO35" s="1409"/>
      <c r="BP35" s="1409"/>
      <c r="BQ35" s="1409"/>
      <c r="BR35" s="1409"/>
      <c r="BS35" s="1410"/>
      <c r="BT35" s="1408">
        <f>813756+139843</f>
        <v>953599</v>
      </c>
      <c r="BU35" s="1409"/>
      <c r="BV35" s="1409"/>
      <c r="BW35" s="1409"/>
      <c r="BX35" s="1409"/>
      <c r="BY35" s="1409"/>
      <c r="BZ35" s="1410"/>
      <c r="CA35" s="1408">
        <f>37545</f>
        <v>37545</v>
      </c>
      <c r="CB35" s="1409"/>
      <c r="CC35" s="1409"/>
      <c r="CD35" s="1409"/>
      <c r="CE35" s="1409"/>
      <c r="CF35" s="1409"/>
      <c r="CG35" s="1410"/>
      <c r="CH35" s="1397">
        <f t="shared" si="1"/>
        <v>991144</v>
      </c>
      <c r="CI35" s="1398"/>
      <c r="CJ35" s="1398"/>
      <c r="CK35" s="1398"/>
      <c r="CL35" s="1398"/>
      <c r="CM35" s="1398"/>
      <c r="CN35" s="1399"/>
      <c r="CO35" s="1408">
        <f>20059</f>
        <v>20059</v>
      </c>
      <c r="CP35" s="1409"/>
      <c r="CQ35" s="1409"/>
      <c r="CR35" s="1409"/>
      <c r="CS35" s="1409"/>
      <c r="CT35" s="1409"/>
      <c r="CU35" s="1410"/>
      <c r="CV35" s="1408">
        <v>942292</v>
      </c>
      <c r="CW35" s="1409"/>
      <c r="CX35" s="1409"/>
      <c r="CY35" s="1409"/>
      <c r="CZ35" s="1409"/>
      <c r="DA35" s="1409"/>
      <c r="DB35" s="1409"/>
      <c r="DC35" s="1409"/>
      <c r="DD35" s="1410"/>
      <c r="DE35" s="1408">
        <v>942292</v>
      </c>
      <c r="DF35" s="1409"/>
      <c r="DG35" s="1409"/>
      <c r="DH35" s="1409"/>
      <c r="DI35" s="1409"/>
      <c r="DJ35" s="1409"/>
      <c r="DK35" s="1409"/>
      <c r="DL35" s="1409"/>
      <c r="DM35" s="1410"/>
      <c r="DN35" s="1408">
        <v>886228</v>
      </c>
      <c r="DO35" s="1409"/>
      <c r="DP35" s="1409"/>
      <c r="DQ35" s="1409"/>
      <c r="DR35" s="1409"/>
      <c r="DS35" s="1409"/>
      <c r="DT35" s="1410"/>
      <c r="DU35" s="1408">
        <v>33752</v>
      </c>
      <c r="DV35" s="1409"/>
      <c r="DW35" s="1409"/>
      <c r="DX35" s="1409"/>
      <c r="DY35" s="1409"/>
      <c r="DZ35" s="1409"/>
      <c r="EA35" s="1410"/>
      <c r="EB35" s="1408">
        <v>919980</v>
      </c>
      <c r="EC35" s="1409"/>
      <c r="ED35" s="1409"/>
      <c r="EE35" s="1409"/>
      <c r="EF35" s="1409"/>
      <c r="EG35" s="1409"/>
      <c r="EH35" s="1410"/>
      <c r="EI35" s="1408">
        <v>22312</v>
      </c>
      <c r="EJ35" s="1409"/>
      <c r="EK35" s="1409"/>
      <c r="EL35" s="1409"/>
      <c r="EM35" s="1409"/>
      <c r="EN35" s="1409"/>
      <c r="EO35" s="1410"/>
      <c r="EP35" s="1408"/>
      <c r="EQ35" s="1409"/>
      <c r="ER35" s="1409"/>
      <c r="ES35" s="1409"/>
      <c r="ET35" s="1409"/>
      <c r="EU35" s="1409"/>
      <c r="EV35" s="1409"/>
      <c r="EW35" s="1409"/>
      <c r="EX35" s="1409"/>
      <c r="EY35" s="1410"/>
    </row>
    <row r="36" spans="1:155" s="430" customFormat="1" ht="7.8">
      <c r="A36" s="1444" t="s">
        <v>1581</v>
      </c>
      <c r="B36" s="1445"/>
      <c r="C36" s="1445"/>
      <c r="D36" s="1445"/>
      <c r="E36" s="1445"/>
      <c r="F36" s="1445"/>
      <c r="G36" s="1445"/>
      <c r="H36" s="1445"/>
      <c r="I36" s="1445"/>
      <c r="J36" s="1445"/>
      <c r="K36" s="1445"/>
      <c r="L36" s="1445"/>
      <c r="M36" s="1445"/>
      <c r="N36" s="1445"/>
      <c r="O36" s="1445"/>
      <c r="P36" s="1445"/>
      <c r="Q36" s="1445"/>
      <c r="R36" s="1445"/>
      <c r="S36" s="1445"/>
      <c r="T36" s="1445"/>
      <c r="U36" s="1445"/>
      <c r="V36" s="1445"/>
      <c r="W36" s="1445"/>
      <c r="X36" s="1445"/>
      <c r="Y36" s="1445"/>
      <c r="Z36" s="1445"/>
      <c r="AA36" s="1445"/>
      <c r="AB36" s="1445"/>
      <c r="AC36" s="1445"/>
      <c r="AD36" s="1445"/>
      <c r="AE36" s="1445"/>
      <c r="AF36" s="1445"/>
      <c r="AG36" s="1445"/>
      <c r="AH36" s="1445"/>
      <c r="AI36" s="1445"/>
      <c r="AJ36" s="1445"/>
      <c r="AK36" s="1445"/>
      <c r="AL36" s="1445"/>
      <c r="AM36" s="1446"/>
      <c r="AN36" s="1447" t="s">
        <v>121</v>
      </c>
      <c r="AO36" s="1448"/>
      <c r="AP36" s="1448"/>
      <c r="AQ36" s="1448"/>
      <c r="AR36" s="1448"/>
      <c r="AS36" s="1448"/>
      <c r="AT36" s="1448"/>
      <c r="AU36" s="1449"/>
      <c r="AV36" s="1450"/>
      <c r="AW36" s="1451"/>
      <c r="AX36" s="1451"/>
      <c r="AY36" s="1451"/>
      <c r="AZ36" s="1451"/>
      <c r="BA36" s="1452"/>
      <c r="BB36" s="1441">
        <f>CH36+CO36</f>
        <v>312618</v>
      </c>
      <c r="BC36" s="1442"/>
      <c r="BD36" s="1442"/>
      <c r="BE36" s="1442"/>
      <c r="BF36" s="1442"/>
      <c r="BG36" s="1442"/>
      <c r="BH36" s="1442"/>
      <c r="BI36" s="1442"/>
      <c r="BJ36" s="1443"/>
      <c r="BK36" s="1441">
        <f>BB36</f>
        <v>312618</v>
      </c>
      <c r="BL36" s="1442"/>
      <c r="BM36" s="1442"/>
      <c r="BN36" s="1442"/>
      <c r="BO36" s="1442"/>
      <c r="BP36" s="1442"/>
      <c r="BQ36" s="1442"/>
      <c r="BR36" s="1442"/>
      <c r="BS36" s="1443"/>
      <c r="BT36" s="1441">
        <v>298152</v>
      </c>
      <c r="BU36" s="1442"/>
      <c r="BV36" s="1442"/>
      <c r="BW36" s="1442"/>
      <c r="BX36" s="1442"/>
      <c r="BY36" s="1442"/>
      <c r="BZ36" s="1443"/>
      <c r="CA36" s="1441">
        <v>11444</v>
      </c>
      <c r="CB36" s="1442"/>
      <c r="CC36" s="1442"/>
      <c r="CD36" s="1442"/>
      <c r="CE36" s="1442"/>
      <c r="CF36" s="1442"/>
      <c r="CG36" s="1443"/>
      <c r="CH36" s="1453">
        <f t="shared" si="1"/>
        <v>309596</v>
      </c>
      <c r="CI36" s="1454"/>
      <c r="CJ36" s="1454"/>
      <c r="CK36" s="1454"/>
      <c r="CL36" s="1454"/>
      <c r="CM36" s="1454"/>
      <c r="CN36" s="1455"/>
      <c r="CO36" s="1441">
        <v>3022</v>
      </c>
      <c r="CP36" s="1442"/>
      <c r="CQ36" s="1442"/>
      <c r="CR36" s="1442"/>
      <c r="CS36" s="1442"/>
      <c r="CT36" s="1442"/>
      <c r="CU36" s="1443"/>
      <c r="CV36" s="1441">
        <f>EB36+EI36</f>
        <v>289913</v>
      </c>
      <c r="CW36" s="1442"/>
      <c r="CX36" s="1442"/>
      <c r="CY36" s="1442"/>
      <c r="CZ36" s="1442"/>
      <c r="DA36" s="1442"/>
      <c r="DB36" s="1442"/>
      <c r="DC36" s="1442"/>
      <c r="DD36" s="1443"/>
      <c r="DE36" s="1441">
        <f>CV36</f>
        <v>289913</v>
      </c>
      <c r="DF36" s="1442"/>
      <c r="DG36" s="1442"/>
      <c r="DH36" s="1442"/>
      <c r="DI36" s="1442"/>
      <c r="DJ36" s="1442"/>
      <c r="DK36" s="1442"/>
      <c r="DL36" s="1442"/>
      <c r="DM36" s="1443"/>
      <c r="DN36" s="1441">
        <v>279154</v>
      </c>
      <c r="DO36" s="1442"/>
      <c r="DP36" s="1442"/>
      <c r="DQ36" s="1442"/>
      <c r="DR36" s="1442"/>
      <c r="DS36" s="1442"/>
      <c r="DT36" s="1443"/>
      <c r="DU36" s="1441">
        <v>7438</v>
      </c>
      <c r="DV36" s="1442"/>
      <c r="DW36" s="1442"/>
      <c r="DX36" s="1442"/>
      <c r="DY36" s="1442"/>
      <c r="DZ36" s="1442"/>
      <c r="EA36" s="1443"/>
      <c r="EB36" s="1441">
        <f t="shared" ref="EB36:EB42" si="2">DN36+DU36</f>
        <v>286592</v>
      </c>
      <c r="EC36" s="1442"/>
      <c r="ED36" s="1442"/>
      <c r="EE36" s="1442"/>
      <c r="EF36" s="1442"/>
      <c r="EG36" s="1442"/>
      <c r="EH36" s="1443"/>
      <c r="EI36" s="1441">
        <v>3321</v>
      </c>
      <c r="EJ36" s="1442"/>
      <c r="EK36" s="1442"/>
      <c r="EL36" s="1442"/>
      <c r="EM36" s="1442"/>
      <c r="EN36" s="1442"/>
      <c r="EO36" s="1443"/>
      <c r="EP36" s="1441"/>
      <c r="EQ36" s="1442"/>
      <c r="ER36" s="1442"/>
      <c r="ES36" s="1442"/>
      <c r="ET36" s="1442"/>
      <c r="EU36" s="1442"/>
      <c r="EV36" s="1442"/>
      <c r="EW36" s="1442"/>
      <c r="EX36" s="1442"/>
      <c r="EY36" s="1443"/>
    </row>
    <row r="37" spans="1:155" s="430" customFormat="1" ht="7.8">
      <c r="A37" s="1444" t="s">
        <v>1582</v>
      </c>
      <c r="B37" s="1445"/>
      <c r="C37" s="1445"/>
      <c r="D37" s="1445"/>
      <c r="E37" s="1445"/>
      <c r="F37" s="1445"/>
      <c r="G37" s="1445"/>
      <c r="H37" s="1445"/>
      <c r="I37" s="1445"/>
      <c r="J37" s="1445"/>
      <c r="K37" s="1445"/>
      <c r="L37" s="1445"/>
      <c r="M37" s="1445"/>
      <c r="N37" s="1445"/>
      <c r="O37" s="1445"/>
      <c r="P37" s="1445"/>
      <c r="Q37" s="1445"/>
      <c r="R37" s="1445"/>
      <c r="S37" s="1445"/>
      <c r="T37" s="1445"/>
      <c r="U37" s="1445"/>
      <c r="V37" s="1445"/>
      <c r="W37" s="1445"/>
      <c r="X37" s="1445"/>
      <c r="Y37" s="1445"/>
      <c r="Z37" s="1445"/>
      <c r="AA37" s="1445"/>
      <c r="AB37" s="1445"/>
      <c r="AC37" s="1445"/>
      <c r="AD37" s="1445"/>
      <c r="AE37" s="1445"/>
      <c r="AF37" s="1445"/>
      <c r="AG37" s="1445"/>
      <c r="AH37" s="1445"/>
      <c r="AI37" s="1445"/>
      <c r="AJ37" s="1445"/>
      <c r="AK37" s="1445"/>
      <c r="AL37" s="1445"/>
      <c r="AM37" s="1446"/>
      <c r="AN37" s="1447" t="s">
        <v>121</v>
      </c>
      <c r="AO37" s="1448"/>
      <c r="AP37" s="1448"/>
      <c r="AQ37" s="1448"/>
      <c r="AR37" s="1448"/>
      <c r="AS37" s="1448"/>
      <c r="AT37" s="1448"/>
      <c r="AU37" s="1449"/>
      <c r="AV37" s="1450"/>
      <c r="AW37" s="1451"/>
      <c r="AX37" s="1451"/>
      <c r="AY37" s="1451"/>
      <c r="AZ37" s="1451"/>
      <c r="BA37" s="1452"/>
      <c r="BB37" s="1441">
        <f>CH37+CO37</f>
        <v>263437</v>
      </c>
      <c r="BC37" s="1442"/>
      <c r="BD37" s="1442"/>
      <c r="BE37" s="1442"/>
      <c r="BF37" s="1442"/>
      <c r="BG37" s="1442"/>
      <c r="BH37" s="1442"/>
      <c r="BI37" s="1442"/>
      <c r="BJ37" s="1443"/>
      <c r="BK37" s="1441">
        <f t="shared" si="0"/>
        <v>263437</v>
      </c>
      <c r="BL37" s="1442"/>
      <c r="BM37" s="1442"/>
      <c r="BN37" s="1442"/>
      <c r="BO37" s="1442"/>
      <c r="BP37" s="1442"/>
      <c r="BQ37" s="1442"/>
      <c r="BR37" s="1442"/>
      <c r="BS37" s="1443"/>
      <c r="BT37" s="1441">
        <v>234860</v>
      </c>
      <c r="BU37" s="1442"/>
      <c r="BV37" s="1442"/>
      <c r="BW37" s="1442"/>
      <c r="BX37" s="1442"/>
      <c r="BY37" s="1442"/>
      <c r="BZ37" s="1443"/>
      <c r="CA37" s="1441">
        <v>22720</v>
      </c>
      <c r="CB37" s="1442"/>
      <c r="CC37" s="1442"/>
      <c r="CD37" s="1442"/>
      <c r="CE37" s="1442"/>
      <c r="CF37" s="1442"/>
      <c r="CG37" s="1443"/>
      <c r="CH37" s="1453">
        <f t="shared" si="1"/>
        <v>257580</v>
      </c>
      <c r="CI37" s="1454"/>
      <c r="CJ37" s="1454"/>
      <c r="CK37" s="1454"/>
      <c r="CL37" s="1454"/>
      <c r="CM37" s="1454"/>
      <c r="CN37" s="1455"/>
      <c r="CO37" s="1441">
        <v>5857</v>
      </c>
      <c r="CP37" s="1442"/>
      <c r="CQ37" s="1442"/>
      <c r="CR37" s="1442"/>
      <c r="CS37" s="1442"/>
      <c r="CT37" s="1442"/>
      <c r="CU37" s="1443"/>
      <c r="CV37" s="1441">
        <f>EB37+EI37</f>
        <v>249644</v>
      </c>
      <c r="CW37" s="1442"/>
      <c r="CX37" s="1442"/>
      <c r="CY37" s="1442"/>
      <c r="CZ37" s="1442"/>
      <c r="DA37" s="1442"/>
      <c r="DB37" s="1442"/>
      <c r="DC37" s="1442"/>
      <c r="DD37" s="1443"/>
      <c r="DE37" s="1441">
        <f>CV37</f>
        <v>249644</v>
      </c>
      <c r="DF37" s="1442"/>
      <c r="DG37" s="1442"/>
      <c r="DH37" s="1442"/>
      <c r="DI37" s="1442"/>
      <c r="DJ37" s="1442"/>
      <c r="DK37" s="1442"/>
      <c r="DL37" s="1442"/>
      <c r="DM37" s="1443"/>
      <c r="DN37" s="1441">
        <v>221661</v>
      </c>
      <c r="DO37" s="1442"/>
      <c r="DP37" s="1442"/>
      <c r="DQ37" s="1442"/>
      <c r="DR37" s="1442"/>
      <c r="DS37" s="1442"/>
      <c r="DT37" s="1443"/>
      <c r="DU37" s="1441">
        <v>22127</v>
      </c>
      <c r="DV37" s="1442"/>
      <c r="DW37" s="1442"/>
      <c r="DX37" s="1442"/>
      <c r="DY37" s="1442"/>
      <c r="DZ37" s="1442"/>
      <c r="EA37" s="1443"/>
      <c r="EB37" s="1441">
        <f t="shared" si="2"/>
        <v>243788</v>
      </c>
      <c r="EC37" s="1442"/>
      <c r="ED37" s="1442"/>
      <c r="EE37" s="1442"/>
      <c r="EF37" s="1442"/>
      <c r="EG37" s="1442"/>
      <c r="EH37" s="1443"/>
      <c r="EI37" s="1441">
        <v>5856</v>
      </c>
      <c r="EJ37" s="1442"/>
      <c r="EK37" s="1442"/>
      <c r="EL37" s="1442"/>
      <c r="EM37" s="1442"/>
      <c r="EN37" s="1442"/>
      <c r="EO37" s="1443"/>
      <c r="EP37" s="1441"/>
      <c r="EQ37" s="1442"/>
      <c r="ER37" s="1442"/>
      <c r="ES37" s="1442"/>
      <c r="ET37" s="1442"/>
      <c r="EU37" s="1442"/>
      <c r="EV37" s="1442"/>
      <c r="EW37" s="1442"/>
      <c r="EX37" s="1442"/>
      <c r="EY37" s="1443"/>
    </row>
    <row r="38" spans="1:155" s="430" customFormat="1" ht="7.8">
      <c r="A38" s="1444" t="s">
        <v>1583</v>
      </c>
      <c r="B38" s="1445"/>
      <c r="C38" s="1445"/>
      <c r="D38" s="1445"/>
      <c r="E38" s="1445"/>
      <c r="F38" s="1445"/>
      <c r="G38" s="1445"/>
      <c r="H38" s="1445"/>
      <c r="I38" s="1445"/>
      <c r="J38" s="1445"/>
      <c r="K38" s="1445"/>
      <c r="L38" s="1445"/>
      <c r="M38" s="1445"/>
      <c r="N38" s="1445"/>
      <c r="O38" s="1445"/>
      <c r="P38" s="1445"/>
      <c r="Q38" s="1445"/>
      <c r="R38" s="1445"/>
      <c r="S38" s="1445"/>
      <c r="T38" s="1445"/>
      <c r="U38" s="1445"/>
      <c r="V38" s="1445"/>
      <c r="W38" s="1445"/>
      <c r="X38" s="1445"/>
      <c r="Y38" s="1445"/>
      <c r="Z38" s="1445"/>
      <c r="AA38" s="1445"/>
      <c r="AB38" s="1445"/>
      <c r="AC38" s="1445"/>
      <c r="AD38" s="1445"/>
      <c r="AE38" s="1445"/>
      <c r="AF38" s="1445"/>
      <c r="AG38" s="1445"/>
      <c r="AH38" s="1445"/>
      <c r="AI38" s="1445"/>
      <c r="AJ38" s="1445"/>
      <c r="AK38" s="1445"/>
      <c r="AL38" s="1445"/>
      <c r="AM38" s="1446"/>
      <c r="AN38" s="1447" t="s">
        <v>121</v>
      </c>
      <c r="AO38" s="1448"/>
      <c r="AP38" s="1448"/>
      <c r="AQ38" s="1448"/>
      <c r="AR38" s="1448"/>
      <c r="AS38" s="1448"/>
      <c r="AT38" s="1448"/>
      <c r="AU38" s="1449"/>
      <c r="AV38" s="1450"/>
      <c r="AW38" s="1451"/>
      <c r="AX38" s="1451"/>
      <c r="AY38" s="1451"/>
      <c r="AZ38" s="1451"/>
      <c r="BA38" s="1452"/>
      <c r="BB38" s="1441">
        <f>CH38+CO38</f>
        <v>435148</v>
      </c>
      <c r="BC38" s="1442"/>
      <c r="BD38" s="1442"/>
      <c r="BE38" s="1442"/>
      <c r="BF38" s="1442"/>
      <c r="BG38" s="1442"/>
      <c r="BH38" s="1442"/>
      <c r="BI38" s="1442"/>
      <c r="BJ38" s="1443"/>
      <c r="BK38" s="1441">
        <f t="shared" si="0"/>
        <v>435148</v>
      </c>
      <c r="BL38" s="1442"/>
      <c r="BM38" s="1442"/>
      <c r="BN38" s="1442"/>
      <c r="BO38" s="1442"/>
      <c r="BP38" s="1442"/>
      <c r="BQ38" s="1442"/>
      <c r="BR38" s="1442"/>
      <c r="BS38" s="1443"/>
      <c r="BT38" s="1441">
        <f>BT35-BT36-BT37</f>
        <v>420587</v>
      </c>
      <c r="BU38" s="1442"/>
      <c r="BV38" s="1442"/>
      <c r="BW38" s="1442"/>
      <c r="BX38" s="1442"/>
      <c r="BY38" s="1442"/>
      <c r="BZ38" s="1443"/>
      <c r="CA38" s="1441">
        <f>CA35-CA36-CA37</f>
        <v>3381</v>
      </c>
      <c r="CB38" s="1442"/>
      <c r="CC38" s="1442"/>
      <c r="CD38" s="1442"/>
      <c r="CE38" s="1442"/>
      <c r="CF38" s="1442"/>
      <c r="CG38" s="1443"/>
      <c r="CH38" s="1453">
        <f t="shared" si="1"/>
        <v>423968</v>
      </c>
      <c r="CI38" s="1454"/>
      <c r="CJ38" s="1454"/>
      <c r="CK38" s="1454"/>
      <c r="CL38" s="1454"/>
      <c r="CM38" s="1454"/>
      <c r="CN38" s="1455"/>
      <c r="CO38" s="1441">
        <f>CO35-CO36-CO37</f>
        <v>11180</v>
      </c>
      <c r="CP38" s="1442"/>
      <c r="CQ38" s="1442"/>
      <c r="CR38" s="1442"/>
      <c r="CS38" s="1442"/>
      <c r="CT38" s="1442"/>
      <c r="CU38" s="1443"/>
      <c r="CV38" s="1441">
        <f>EB38+EI38</f>
        <v>402735</v>
      </c>
      <c r="CW38" s="1442"/>
      <c r="CX38" s="1442"/>
      <c r="CY38" s="1442"/>
      <c r="CZ38" s="1442"/>
      <c r="DA38" s="1442"/>
      <c r="DB38" s="1442"/>
      <c r="DC38" s="1442"/>
      <c r="DD38" s="1443"/>
      <c r="DE38" s="1441">
        <f>CV38</f>
        <v>402735</v>
      </c>
      <c r="DF38" s="1442"/>
      <c r="DG38" s="1442"/>
      <c r="DH38" s="1442"/>
      <c r="DI38" s="1442"/>
      <c r="DJ38" s="1442"/>
      <c r="DK38" s="1442"/>
      <c r="DL38" s="1442"/>
      <c r="DM38" s="1443"/>
      <c r="DN38" s="1441">
        <v>385413</v>
      </c>
      <c r="DO38" s="1442"/>
      <c r="DP38" s="1442"/>
      <c r="DQ38" s="1442"/>
      <c r="DR38" s="1442"/>
      <c r="DS38" s="1442"/>
      <c r="DT38" s="1443"/>
      <c r="DU38" s="1441">
        <v>4187</v>
      </c>
      <c r="DV38" s="1442"/>
      <c r="DW38" s="1442"/>
      <c r="DX38" s="1442"/>
      <c r="DY38" s="1442"/>
      <c r="DZ38" s="1442"/>
      <c r="EA38" s="1443"/>
      <c r="EB38" s="1441">
        <f t="shared" si="2"/>
        <v>389600</v>
      </c>
      <c r="EC38" s="1442"/>
      <c r="ED38" s="1442"/>
      <c r="EE38" s="1442"/>
      <c r="EF38" s="1442"/>
      <c r="EG38" s="1442"/>
      <c r="EH38" s="1443"/>
      <c r="EI38" s="1441">
        <v>13135</v>
      </c>
      <c r="EJ38" s="1442"/>
      <c r="EK38" s="1442"/>
      <c r="EL38" s="1442"/>
      <c r="EM38" s="1442"/>
      <c r="EN38" s="1442"/>
      <c r="EO38" s="1443"/>
      <c r="EP38" s="1441"/>
      <c r="EQ38" s="1442"/>
      <c r="ER38" s="1442"/>
      <c r="ES38" s="1442"/>
      <c r="ET38" s="1442"/>
      <c r="EU38" s="1442"/>
      <c r="EV38" s="1442"/>
      <c r="EW38" s="1442"/>
      <c r="EX38" s="1442"/>
      <c r="EY38" s="1443"/>
    </row>
    <row r="39" spans="1:155" s="430" customFormat="1" ht="16.5" customHeight="1">
      <c r="A39" s="1435" t="s">
        <v>1584</v>
      </c>
      <c r="B39" s="1436"/>
      <c r="C39" s="1436"/>
      <c r="D39" s="1436"/>
      <c r="E39" s="1436"/>
      <c r="F39" s="1436"/>
      <c r="G39" s="1436"/>
      <c r="H39" s="1436"/>
      <c r="I39" s="1436"/>
      <c r="J39" s="1436"/>
      <c r="K39" s="1436"/>
      <c r="L39" s="1436"/>
      <c r="M39" s="1436"/>
      <c r="N39" s="1436"/>
      <c r="O39" s="1436"/>
      <c r="P39" s="1436"/>
      <c r="Q39" s="1436"/>
      <c r="R39" s="1436"/>
      <c r="S39" s="1436"/>
      <c r="T39" s="1436"/>
      <c r="U39" s="1436"/>
      <c r="V39" s="1436"/>
      <c r="W39" s="1436"/>
      <c r="X39" s="1436"/>
      <c r="Y39" s="1436"/>
      <c r="Z39" s="1436"/>
      <c r="AA39" s="1436"/>
      <c r="AB39" s="1436"/>
      <c r="AC39" s="1436"/>
      <c r="AD39" s="1436"/>
      <c r="AE39" s="1436"/>
      <c r="AF39" s="1436"/>
      <c r="AG39" s="1436"/>
      <c r="AH39" s="1436"/>
      <c r="AI39" s="1436"/>
      <c r="AJ39" s="1436"/>
      <c r="AK39" s="1436"/>
      <c r="AL39" s="1436"/>
      <c r="AM39" s="1437"/>
      <c r="AN39" s="1420" t="s">
        <v>1585</v>
      </c>
      <c r="AO39" s="1421"/>
      <c r="AP39" s="1421"/>
      <c r="AQ39" s="1421"/>
      <c r="AR39" s="1421"/>
      <c r="AS39" s="1421"/>
      <c r="AT39" s="1421"/>
      <c r="AU39" s="1422"/>
      <c r="AV39" s="1423"/>
      <c r="AW39" s="1424"/>
      <c r="AX39" s="1424"/>
      <c r="AY39" s="1424"/>
      <c r="AZ39" s="1424"/>
      <c r="BA39" s="1425"/>
      <c r="BB39" s="1408">
        <v>3065</v>
      </c>
      <c r="BC39" s="1409"/>
      <c r="BD39" s="1409"/>
      <c r="BE39" s="1409"/>
      <c r="BF39" s="1409"/>
      <c r="BG39" s="1409"/>
      <c r="BH39" s="1409"/>
      <c r="BI39" s="1409"/>
      <c r="BJ39" s="1410"/>
      <c r="BK39" s="1408">
        <v>3065</v>
      </c>
      <c r="BL39" s="1409"/>
      <c r="BM39" s="1409"/>
      <c r="BN39" s="1409"/>
      <c r="BO39" s="1409"/>
      <c r="BP39" s="1409"/>
      <c r="BQ39" s="1409"/>
      <c r="BR39" s="1409"/>
      <c r="BS39" s="1410"/>
      <c r="BT39" s="1408">
        <v>2903</v>
      </c>
      <c r="BU39" s="1409"/>
      <c r="BV39" s="1409"/>
      <c r="BW39" s="1409"/>
      <c r="BX39" s="1409"/>
      <c r="BY39" s="1409"/>
      <c r="BZ39" s="1410"/>
      <c r="CA39" s="1408">
        <v>116</v>
      </c>
      <c r="CB39" s="1409"/>
      <c r="CC39" s="1409"/>
      <c r="CD39" s="1409"/>
      <c r="CE39" s="1409"/>
      <c r="CF39" s="1409"/>
      <c r="CG39" s="1410"/>
      <c r="CH39" s="1397">
        <f t="shared" si="1"/>
        <v>3019</v>
      </c>
      <c r="CI39" s="1398"/>
      <c r="CJ39" s="1398"/>
      <c r="CK39" s="1398"/>
      <c r="CL39" s="1398"/>
      <c r="CM39" s="1398"/>
      <c r="CN39" s="1399"/>
      <c r="CO39" s="1408">
        <v>46</v>
      </c>
      <c r="CP39" s="1409"/>
      <c r="CQ39" s="1409"/>
      <c r="CR39" s="1409"/>
      <c r="CS39" s="1409"/>
      <c r="CT39" s="1409"/>
      <c r="CU39" s="1410"/>
      <c r="CV39" s="1408">
        <v>2949</v>
      </c>
      <c r="CW39" s="1409"/>
      <c r="CX39" s="1409"/>
      <c r="CY39" s="1409"/>
      <c r="CZ39" s="1409"/>
      <c r="DA39" s="1409"/>
      <c r="DB39" s="1409"/>
      <c r="DC39" s="1409"/>
      <c r="DD39" s="1410"/>
      <c r="DE39" s="1408">
        <v>2949</v>
      </c>
      <c r="DF39" s="1409"/>
      <c r="DG39" s="1409"/>
      <c r="DH39" s="1409"/>
      <c r="DI39" s="1409"/>
      <c r="DJ39" s="1409"/>
      <c r="DK39" s="1409"/>
      <c r="DL39" s="1409"/>
      <c r="DM39" s="1410"/>
      <c r="DN39" s="1408">
        <v>2785</v>
      </c>
      <c r="DO39" s="1409"/>
      <c r="DP39" s="1409"/>
      <c r="DQ39" s="1409"/>
      <c r="DR39" s="1409"/>
      <c r="DS39" s="1409"/>
      <c r="DT39" s="1410"/>
      <c r="DU39" s="1408">
        <v>109</v>
      </c>
      <c r="DV39" s="1409"/>
      <c r="DW39" s="1409"/>
      <c r="DX39" s="1409"/>
      <c r="DY39" s="1409"/>
      <c r="DZ39" s="1409"/>
      <c r="EA39" s="1410"/>
      <c r="EB39" s="1397">
        <f t="shared" si="2"/>
        <v>2894</v>
      </c>
      <c r="EC39" s="1398"/>
      <c r="ED39" s="1398"/>
      <c r="EE39" s="1398"/>
      <c r="EF39" s="1398"/>
      <c r="EG39" s="1398"/>
      <c r="EH39" s="1399"/>
      <c r="EI39" s="1408">
        <v>55</v>
      </c>
      <c r="EJ39" s="1409"/>
      <c r="EK39" s="1409"/>
      <c r="EL39" s="1409"/>
      <c r="EM39" s="1409"/>
      <c r="EN39" s="1409"/>
      <c r="EO39" s="1410"/>
      <c r="EP39" s="1408"/>
      <c r="EQ39" s="1409"/>
      <c r="ER39" s="1409"/>
      <c r="ES39" s="1409"/>
      <c r="ET39" s="1409"/>
      <c r="EU39" s="1409"/>
      <c r="EV39" s="1409"/>
      <c r="EW39" s="1409"/>
      <c r="EX39" s="1409"/>
      <c r="EY39" s="1410"/>
    </row>
    <row r="40" spans="1:155" s="430" customFormat="1" ht="7.8">
      <c r="A40" s="1438" t="s">
        <v>1581</v>
      </c>
      <c r="B40" s="1439"/>
      <c r="C40" s="1439"/>
      <c r="D40" s="1439"/>
      <c r="E40" s="1439"/>
      <c r="F40" s="1439"/>
      <c r="G40" s="1439"/>
      <c r="H40" s="1439"/>
      <c r="I40" s="1439"/>
      <c r="J40" s="1439"/>
      <c r="K40" s="1439"/>
      <c r="L40" s="1439"/>
      <c r="M40" s="1439"/>
      <c r="N40" s="1439"/>
      <c r="O40" s="1439"/>
      <c r="P40" s="1439"/>
      <c r="Q40" s="1439"/>
      <c r="R40" s="1439"/>
      <c r="S40" s="1439"/>
      <c r="T40" s="1439"/>
      <c r="U40" s="1439"/>
      <c r="V40" s="1439"/>
      <c r="W40" s="1439"/>
      <c r="X40" s="1439"/>
      <c r="Y40" s="1439"/>
      <c r="Z40" s="1439"/>
      <c r="AA40" s="1439"/>
      <c r="AB40" s="1439"/>
      <c r="AC40" s="1439"/>
      <c r="AD40" s="1439"/>
      <c r="AE40" s="1439"/>
      <c r="AF40" s="1439"/>
      <c r="AG40" s="1439"/>
      <c r="AH40" s="1439"/>
      <c r="AI40" s="1439"/>
      <c r="AJ40" s="1439"/>
      <c r="AK40" s="1439"/>
      <c r="AL40" s="1439"/>
      <c r="AM40" s="1440"/>
      <c r="AN40" s="1420" t="s">
        <v>1585</v>
      </c>
      <c r="AO40" s="1421"/>
      <c r="AP40" s="1421"/>
      <c r="AQ40" s="1421"/>
      <c r="AR40" s="1421"/>
      <c r="AS40" s="1421"/>
      <c r="AT40" s="1421"/>
      <c r="AU40" s="1422"/>
      <c r="AV40" s="1423"/>
      <c r="AW40" s="1424"/>
      <c r="AX40" s="1424"/>
      <c r="AY40" s="1424"/>
      <c r="AZ40" s="1424"/>
      <c r="BA40" s="1425"/>
      <c r="BB40" s="1408">
        <v>524</v>
      </c>
      <c r="BC40" s="1409"/>
      <c r="BD40" s="1409"/>
      <c r="BE40" s="1409"/>
      <c r="BF40" s="1409"/>
      <c r="BG40" s="1409"/>
      <c r="BH40" s="1409"/>
      <c r="BI40" s="1409"/>
      <c r="BJ40" s="1410"/>
      <c r="BK40" s="1408">
        <v>524</v>
      </c>
      <c r="BL40" s="1409"/>
      <c r="BM40" s="1409"/>
      <c r="BN40" s="1409"/>
      <c r="BO40" s="1409"/>
      <c r="BP40" s="1409"/>
      <c r="BQ40" s="1409"/>
      <c r="BR40" s="1409"/>
      <c r="BS40" s="1410"/>
      <c r="BT40" s="1408">
        <v>496</v>
      </c>
      <c r="BU40" s="1409"/>
      <c r="BV40" s="1409"/>
      <c r="BW40" s="1409"/>
      <c r="BX40" s="1409"/>
      <c r="BY40" s="1409"/>
      <c r="BZ40" s="1410"/>
      <c r="CA40" s="1408">
        <v>22</v>
      </c>
      <c r="CB40" s="1409"/>
      <c r="CC40" s="1409"/>
      <c r="CD40" s="1409"/>
      <c r="CE40" s="1409"/>
      <c r="CF40" s="1409"/>
      <c r="CG40" s="1410"/>
      <c r="CH40" s="1397">
        <f t="shared" si="1"/>
        <v>518</v>
      </c>
      <c r="CI40" s="1398"/>
      <c r="CJ40" s="1398"/>
      <c r="CK40" s="1398"/>
      <c r="CL40" s="1398"/>
      <c r="CM40" s="1398"/>
      <c r="CN40" s="1399"/>
      <c r="CO40" s="1408">
        <v>6</v>
      </c>
      <c r="CP40" s="1409"/>
      <c r="CQ40" s="1409"/>
      <c r="CR40" s="1409"/>
      <c r="CS40" s="1409"/>
      <c r="CT40" s="1409"/>
      <c r="CU40" s="1410"/>
      <c r="CV40" s="1408">
        <v>490</v>
      </c>
      <c r="CW40" s="1409"/>
      <c r="CX40" s="1409"/>
      <c r="CY40" s="1409"/>
      <c r="CZ40" s="1409"/>
      <c r="DA40" s="1409"/>
      <c r="DB40" s="1409"/>
      <c r="DC40" s="1409"/>
      <c r="DD40" s="1410"/>
      <c r="DE40" s="1408">
        <v>490</v>
      </c>
      <c r="DF40" s="1409"/>
      <c r="DG40" s="1409"/>
      <c r="DH40" s="1409"/>
      <c r="DI40" s="1409"/>
      <c r="DJ40" s="1409"/>
      <c r="DK40" s="1409"/>
      <c r="DL40" s="1409"/>
      <c r="DM40" s="1410"/>
      <c r="DN40" s="1408">
        <v>465</v>
      </c>
      <c r="DO40" s="1409"/>
      <c r="DP40" s="1409"/>
      <c r="DQ40" s="1409"/>
      <c r="DR40" s="1409"/>
      <c r="DS40" s="1409"/>
      <c r="DT40" s="1410"/>
      <c r="DU40" s="1408">
        <v>19</v>
      </c>
      <c r="DV40" s="1409"/>
      <c r="DW40" s="1409"/>
      <c r="DX40" s="1409"/>
      <c r="DY40" s="1409"/>
      <c r="DZ40" s="1409"/>
      <c r="EA40" s="1410"/>
      <c r="EB40" s="1397">
        <f t="shared" si="2"/>
        <v>484</v>
      </c>
      <c r="EC40" s="1398"/>
      <c r="ED40" s="1398"/>
      <c r="EE40" s="1398"/>
      <c r="EF40" s="1398"/>
      <c r="EG40" s="1398"/>
      <c r="EH40" s="1399"/>
      <c r="EI40" s="1408">
        <v>6</v>
      </c>
      <c r="EJ40" s="1409"/>
      <c r="EK40" s="1409"/>
      <c r="EL40" s="1409"/>
      <c r="EM40" s="1409"/>
      <c r="EN40" s="1409"/>
      <c r="EO40" s="1410"/>
      <c r="EP40" s="1408"/>
      <c r="EQ40" s="1409"/>
      <c r="ER40" s="1409"/>
      <c r="ES40" s="1409"/>
      <c r="ET40" s="1409"/>
      <c r="EU40" s="1409"/>
      <c r="EV40" s="1409"/>
      <c r="EW40" s="1409"/>
      <c r="EX40" s="1409"/>
      <c r="EY40" s="1410"/>
    </row>
    <row r="41" spans="1:155" s="430" customFormat="1" ht="7.8">
      <c r="A41" s="1438" t="s">
        <v>1582</v>
      </c>
      <c r="B41" s="1439"/>
      <c r="C41" s="1439"/>
      <c r="D41" s="1439"/>
      <c r="E41" s="1439"/>
      <c r="F41" s="1439"/>
      <c r="G41" s="1439"/>
      <c r="H41" s="1439"/>
      <c r="I41" s="1439"/>
      <c r="J41" s="1439"/>
      <c r="K41" s="1439"/>
      <c r="L41" s="1439"/>
      <c r="M41" s="1439"/>
      <c r="N41" s="1439"/>
      <c r="O41" s="1439"/>
      <c r="P41" s="1439"/>
      <c r="Q41" s="1439"/>
      <c r="R41" s="1439"/>
      <c r="S41" s="1439"/>
      <c r="T41" s="1439"/>
      <c r="U41" s="1439"/>
      <c r="V41" s="1439"/>
      <c r="W41" s="1439"/>
      <c r="X41" s="1439"/>
      <c r="Y41" s="1439"/>
      <c r="Z41" s="1439"/>
      <c r="AA41" s="1439"/>
      <c r="AB41" s="1439"/>
      <c r="AC41" s="1439"/>
      <c r="AD41" s="1439"/>
      <c r="AE41" s="1439"/>
      <c r="AF41" s="1439"/>
      <c r="AG41" s="1439"/>
      <c r="AH41" s="1439"/>
      <c r="AI41" s="1439"/>
      <c r="AJ41" s="1439"/>
      <c r="AK41" s="1439"/>
      <c r="AL41" s="1439"/>
      <c r="AM41" s="1440"/>
      <c r="AN41" s="1420" t="s">
        <v>1585</v>
      </c>
      <c r="AO41" s="1421"/>
      <c r="AP41" s="1421"/>
      <c r="AQ41" s="1421"/>
      <c r="AR41" s="1421"/>
      <c r="AS41" s="1421"/>
      <c r="AT41" s="1421"/>
      <c r="AU41" s="1422"/>
      <c r="AV41" s="1423"/>
      <c r="AW41" s="1424"/>
      <c r="AX41" s="1424"/>
      <c r="AY41" s="1424"/>
      <c r="AZ41" s="1424"/>
      <c r="BA41" s="1425"/>
      <c r="BB41" s="1408">
        <v>832</v>
      </c>
      <c r="BC41" s="1409"/>
      <c r="BD41" s="1409"/>
      <c r="BE41" s="1409"/>
      <c r="BF41" s="1409"/>
      <c r="BG41" s="1409"/>
      <c r="BH41" s="1409"/>
      <c r="BI41" s="1409"/>
      <c r="BJ41" s="1410"/>
      <c r="BK41" s="1408">
        <v>832</v>
      </c>
      <c r="BL41" s="1409"/>
      <c r="BM41" s="1409"/>
      <c r="BN41" s="1409"/>
      <c r="BO41" s="1409"/>
      <c r="BP41" s="1409"/>
      <c r="BQ41" s="1409"/>
      <c r="BR41" s="1409"/>
      <c r="BS41" s="1410"/>
      <c r="BT41" s="1408">
        <v>739</v>
      </c>
      <c r="BU41" s="1409"/>
      <c r="BV41" s="1409"/>
      <c r="BW41" s="1409"/>
      <c r="BX41" s="1409"/>
      <c r="BY41" s="1409"/>
      <c r="BZ41" s="1410"/>
      <c r="CA41" s="1408">
        <v>78</v>
      </c>
      <c r="CB41" s="1409"/>
      <c r="CC41" s="1409"/>
      <c r="CD41" s="1409"/>
      <c r="CE41" s="1409"/>
      <c r="CF41" s="1409"/>
      <c r="CG41" s="1410"/>
      <c r="CH41" s="1397">
        <f t="shared" si="1"/>
        <v>817</v>
      </c>
      <c r="CI41" s="1398"/>
      <c r="CJ41" s="1398"/>
      <c r="CK41" s="1398"/>
      <c r="CL41" s="1398"/>
      <c r="CM41" s="1398"/>
      <c r="CN41" s="1399"/>
      <c r="CO41" s="1408">
        <v>15</v>
      </c>
      <c r="CP41" s="1409"/>
      <c r="CQ41" s="1409"/>
      <c r="CR41" s="1409"/>
      <c r="CS41" s="1409"/>
      <c r="CT41" s="1409"/>
      <c r="CU41" s="1410"/>
      <c r="CV41" s="1408">
        <v>817</v>
      </c>
      <c r="CW41" s="1409"/>
      <c r="CX41" s="1409"/>
      <c r="CY41" s="1409"/>
      <c r="CZ41" s="1409"/>
      <c r="DA41" s="1409"/>
      <c r="DB41" s="1409"/>
      <c r="DC41" s="1409"/>
      <c r="DD41" s="1410"/>
      <c r="DE41" s="1408">
        <v>817</v>
      </c>
      <c r="DF41" s="1409"/>
      <c r="DG41" s="1409"/>
      <c r="DH41" s="1409"/>
      <c r="DI41" s="1409"/>
      <c r="DJ41" s="1409"/>
      <c r="DK41" s="1409"/>
      <c r="DL41" s="1409"/>
      <c r="DM41" s="1410"/>
      <c r="DN41" s="1408">
        <v>727</v>
      </c>
      <c r="DO41" s="1409"/>
      <c r="DP41" s="1409"/>
      <c r="DQ41" s="1409"/>
      <c r="DR41" s="1409"/>
      <c r="DS41" s="1409"/>
      <c r="DT41" s="1410"/>
      <c r="DU41" s="1408">
        <v>72</v>
      </c>
      <c r="DV41" s="1409"/>
      <c r="DW41" s="1409"/>
      <c r="DX41" s="1409"/>
      <c r="DY41" s="1409"/>
      <c r="DZ41" s="1409"/>
      <c r="EA41" s="1410"/>
      <c r="EB41" s="1397">
        <f t="shared" si="2"/>
        <v>799</v>
      </c>
      <c r="EC41" s="1398"/>
      <c r="ED41" s="1398"/>
      <c r="EE41" s="1398"/>
      <c r="EF41" s="1398"/>
      <c r="EG41" s="1398"/>
      <c r="EH41" s="1399"/>
      <c r="EI41" s="1408">
        <v>18</v>
      </c>
      <c r="EJ41" s="1409"/>
      <c r="EK41" s="1409"/>
      <c r="EL41" s="1409"/>
      <c r="EM41" s="1409"/>
      <c r="EN41" s="1409"/>
      <c r="EO41" s="1410"/>
      <c r="EP41" s="1408"/>
      <c r="EQ41" s="1409"/>
      <c r="ER41" s="1409"/>
      <c r="ES41" s="1409"/>
      <c r="ET41" s="1409"/>
      <c r="EU41" s="1409"/>
      <c r="EV41" s="1409"/>
      <c r="EW41" s="1409"/>
      <c r="EX41" s="1409"/>
      <c r="EY41" s="1410"/>
    </row>
    <row r="42" spans="1:155" s="430" customFormat="1" ht="7.8">
      <c r="A42" s="1438" t="s">
        <v>1583</v>
      </c>
      <c r="B42" s="1439"/>
      <c r="C42" s="1439"/>
      <c r="D42" s="1439"/>
      <c r="E42" s="1439"/>
      <c r="F42" s="1439"/>
      <c r="G42" s="1439"/>
      <c r="H42" s="1439"/>
      <c r="I42" s="1439"/>
      <c r="J42" s="1439"/>
      <c r="K42" s="1439"/>
      <c r="L42" s="1439"/>
      <c r="M42" s="1439"/>
      <c r="N42" s="1439"/>
      <c r="O42" s="1439"/>
      <c r="P42" s="1439"/>
      <c r="Q42" s="1439"/>
      <c r="R42" s="1439"/>
      <c r="S42" s="1439"/>
      <c r="T42" s="1439"/>
      <c r="U42" s="1439"/>
      <c r="V42" s="1439"/>
      <c r="W42" s="1439"/>
      <c r="X42" s="1439"/>
      <c r="Y42" s="1439"/>
      <c r="Z42" s="1439"/>
      <c r="AA42" s="1439"/>
      <c r="AB42" s="1439"/>
      <c r="AC42" s="1439"/>
      <c r="AD42" s="1439"/>
      <c r="AE42" s="1439"/>
      <c r="AF42" s="1439"/>
      <c r="AG42" s="1439"/>
      <c r="AH42" s="1439"/>
      <c r="AI42" s="1439"/>
      <c r="AJ42" s="1439"/>
      <c r="AK42" s="1439"/>
      <c r="AL42" s="1439"/>
      <c r="AM42" s="1440"/>
      <c r="AN42" s="1420" t="s">
        <v>1585</v>
      </c>
      <c r="AO42" s="1421"/>
      <c r="AP42" s="1421"/>
      <c r="AQ42" s="1421"/>
      <c r="AR42" s="1421"/>
      <c r="AS42" s="1421"/>
      <c r="AT42" s="1421"/>
      <c r="AU42" s="1422"/>
      <c r="AV42" s="1423"/>
      <c r="AW42" s="1424"/>
      <c r="AX42" s="1424"/>
      <c r="AY42" s="1424"/>
      <c r="AZ42" s="1424"/>
      <c r="BA42" s="1425"/>
      <c r="BB42" s="1408">
        <v>1709</v>
      </c>
      <c r="BC42" s="1409"/>
      <c r="BD42" s="1409"/>
      <c r="BE42" s="1409"/>
      <c r="BF42" s="1409"/>
      <c r="BG42" s="1409"/>
      <c r="BH42" s="1409"/>
      <c r="BI42" s="1409"/>
      <c r="BJ42" s="1410"/>
      <c r="BK42" s="1408">
        <v>1709</v>
      </c>
      <c r="BL42" s="1409"/>
      <c r="BM42" s="1409"/>
      <c r="BN42" s="1409"/>
      <c r="BO42" s="1409"/>
      <c r="BP42" s="1409"/>
      <c r="BQ42" s="1409"/>
      <c r="BR42" s="1409"/>
      <c r="BS42" s="1410"/>
      <c r="BT42" s="1408">
        <v>1668</v>
      </c>
      <c r="BU42" s="1409"/>
      <c r="BV42" s="1409"/>
      <c r="BW42" s="1409"/>
      <c r="BX42" s="1409"/>
      <c r="BY42" s="1409"/>
      <c r="BZ42" s="1410"/>
      <c r="CA42" s="1408">
        <v>16</v>
      </c>
      <c r="CB42" s="1409"/>
      <c r="CC42" s="1409"/>
      <c r="CD42" s="1409"/>
      <c r="CE42" s="1409"/>
      <c r="CF42" s="1409"/>
      <c r="CG42" s="1410"/>
      <c r="CH42" s="1397">
        <f t="shared" si="1"/>
        <v>1684</v>
      </c>
      <c r="CI42" s="1398"/>
      <c r="CJ42" s="1398"/>
      <c r="CK42" s="1398"/>
      <c r="CL42" s="1398"/>
      <c r="CM42" s="1398"/>
      <c r="CN42" s="1399"/>
      <c r="CO42" s="1408">
        <v>25</v>
      </c>
      <c r="CP42" s="1409"/>
      <c r="CQ42" s="1409"/>
      <c r="CR42" s="1409"/>
      <c r="CS42" s="1409"/>
      <c r="CT42" s="1409"/>
      <c r="CU42" s="1410"/>
      <c r="CV42" s="1408">
        <v>1642</v>
      </c>
      <c r="CW42" s="1409"/>
      <c r="CX42" s="1409"/>
      <c r="CY42" s="1409"/>
      <c r="CZ42" s="1409"/>
      <c r="DA42" s="1409"/>
      <c r="DB42" s="1409"/>
      <c r="DC42" s="1409"/>
      <c r="DD42" s="1410"/>
      <c r="DE42" s="1408">
        <v>1642</v>
      </c>
      <c r="DF42" s="1409"/>
      <c r="DG42" s="1409"/>
      <c r="DH42" s="1409"/>
      <c r="DI42" s="1409"/>
      <c r="DJ42" s="1409"/>
      <c r="DK42" s="1409"/>
      <c r="DL42" s="1409"/>
      <c r="DM42" s="1410"/>
      <c r="DN42" s="1408">
        <v>1593</v>
      </c>
      <c r="DO42" s="1409"/>
      <c r="DP42" s="1409"/>
      <c r="DQ42" s="1409"/>
      <c r="DR42" s="1409"/>
      <c r="DS42" s="1409"/>
      <c r="DT42" s="1410"/>
      <c r="DU42" s="1408">
        <v>18</v>
      </c>
      <c r="DV42" s="1409"/>
      <c r="DW42" s="1409"/>
      <c r="DX42" s="1409"/>
      <c r="DY42" s="1409"/>
      <c r="DZ42" s="1409"/>
      <c r="EA42" s="1410"/>
      <c r="EB42" s="1397">
        <f t="shared" si="2"/>
        <v>1611</v>
      </c>
      <c r="EC42" s="1398"/>
      <c r="ED42" s="1398"/>
      <c r="EE42" s="1398"/>
      <c r="EF42" s="1398"/>
      <c r="EG42" s="1398"/>
      <c r="EH42" s="1399"/>
      <c r="EI42" s="1408">
        <v>31</v>
      </c>
      <c r="EJ42" s="1409"/>
      <c r="EK42" s="1409"/>
      <c r="EL42" s="1409"/>
      <c r="EM42" s="1409"/>
      <c r="EN42" s="1409"/>
      <c r="EO42" s="1410"/>
      <c r="EP42" s="1408"/>
      <c r="EQ42" s="1409"/>
      <c r="ER42" s="1409"/>
      <c r="ES42" s="1409"/>
      <c r="ET42" s="1409"/>
      <c r="EU42" s="1409"/>
      <c r="EV42" s="1409"/>
      <c r="EW42" s="1409"/>
      <c r="EX42" s="1409"/>
      <c r="EY42" s="1410"/>
    </row>
    <row r="43" spans="1:155" s="430" customFormat="1" ht="41.25" customHeight="1">
      <c r="A43" s="1432" t="s">
        <v>1586</v>
      </c>
      <c r="B43" s="1433"/>
      <c r="C43" s="1433"/>
      <c r="D43" s="1433"/>
      <c r="E43" s="1433"/>
      <c r="F43" s="1433"/>
      <c r="G43" s="1433"/>
      <c r="H43" s="1433"/>
      <c r="I43" s="1433"/>
      <c r="J43" s="1433"/>
      <c r="K43" s="1433"/>
      <c r="L43" s="1433"/>
      <c r="M43" s="1433"/>
      <c r="N43" s="1433"/>
      <c r="O43" s="1433"/>
      <c r="P43" s="1433"/>
      <c r="Q43" s="1433"/>
      <c r="R43" s="1433"/>
      <c r="S43" s="1433"/>
      <c r="T43" s="1433"/>
      <c r="U43" s="1433"/>
      <c r="V43" s="1433"/>
      <c r="W43" s="1433"/>
      <c r="X43" s="1433"/>
      <c r="Y43" s="1433"/>
      <c r="Z43" s="1433"/>
      <c r="AA43" s="1433"/>
      <c r="AB43" s="1433"/>
      <c r="AC43" s="1433"/>
      <c r="AD43" s="1433"/>
      <c r="AE43" s="1433"/>
      <c r="AF43" s="1433"/>
      <c r="AG43" s="1433"/>
      <c r="AH43" s="1433"/>
      <c r="AI43" s="1433"/>
      <c r="AJ43" s="1433"/>
      <c r="AK43" s="1433"/>
      <c r="AL43" s="1433"/>
      <c r="AM43" s="1434"/>
      <c r="AN43" s="1420" t="s">
        <v>121</v>
      </c>
      <c r="AO43" s="1421"/>
      <c r="AP43" s="1421"/>
      <c r="AQ43" s="1421"/>
      <c r="AR43" s="1421"/>
      <c r="AS43" s="1421"/>
      <c r="AT43" s="1421"/>
      <c r="AU43" s="1422"/>
      <c r="AV43" s="1423" t="s">
        <v>1035</v>
      </c>
      <c r="AW43" s="1424"/>
      <c r="AX43" s="1424"/>
      <c r="AY43" s="1424"/>
      <c r="AZ43" s="1424"/>
      <c r="BA43" s="1425"/>
      <c r="BB43" s="1408">
        <f t="shared" ref="BB43:BB57" si="3">CH43+CO43</f>
        <v>292804</v>
      </c>
      <c r="BC43" s="1409"/>
      <c r="BD43" s="1409"/>
      <c r="BE43" s="1409"/>
      <c r="BF43" s="1409"/>
      <c r="BG43" s="1409"/>
      <c r="BH43" s="1409"/>
      <c r="BI43" s="1409"/>
      <c r="BJ43" s="1410"/>
      <c r="BK43" s="1408">
        <f t="shared" ref="BK43:BK57" si="4">BB43</f>
        <v>292804</v>
      </c>
      <c r="BL43" s="1409"/>
      <c r="BM43" s="1409"/>
      <c r="BN43" s="1409"/>
      <c r="BO43" s="1409"/>
      <c r="BP43" s="1409"/>
      <c r="BQ43" s="1409"/>
      <c r="BR43" s="1409"/>
      <c r="BS43" s="1410"/>
      <c r="BT43" s="1408">
        <f>233651+42070-1</f>
        <v>275720</v>
      </c>
      <c r="BU43" s="1409"/>
      <c r="BV43" s="1409"/>
      <c r="BW43" s="1409"/>
      <c r="BX43" s="1409"/>
      <c r="BY43" s="1409"/>
      <c r="BZ43" s="1410"/>
      <c r="CA43" s="1408">
        <f>11038</f>
        <v>11038</v>
      </c>
      <c r="CB43" s="1409"/>
      <c r="CC43" s="1409"/>
      <c r="CD43" s="1409"/>
      <c r="CE43" s="1409"/>
      <c r="CF43" s="1409"/>
      <c r="CG43" s="1410"/>
      <c r="CH43" s="1397">
        <f t="shared" si="1"/>
        <v>286758</v>
      </c>
      <c r="CI43" s="1398"/>
      <c r="CJ43" s="1398"/>
      <c r="CK43" s="1398"/>
      <c r="CL43" s="1398"/>
      <c r="CM43" s="1398"/>
      <c r="CN43" s="1399"/>
      <c r="CO43" s="1408">
        <f>6046</f>
        <v>6046</v>
      </c>
      <c r="CP43" s="1409"/>
      <c r="CQ43" s="1409"/>
      <c r="CR43" s="1409"/>
      <c r="CS43" s="1409"/>
      <c r="CT43" s="1409"/>
      <c r="CU43" s="1410"/>
      <c r="CV43" s="1408">
        <v>265772</v>
      </c>
      <c r="CW43" s="1409"/>
      <c r="CX43" s="1409"/>
      <c r="CY43" s="1409"/>
      <c r="CZ43" s="1409"/>
      <c r="DA43" s="1409"/>
      <c r="DB43" s="1409"/>
      <c r="DC43" s="1409"/>
      <c r="DD43" s="1410"/>
      <c r="DE43" s="1408">
        <v>265772</v>
      </c>
      <c r="DF43" s="1409"/>
      <c r="DG43" s="1409"/>
      <c r="DH43" s="1409"/>
      <c r="DI43" s="1409"/>
      <c r="DJ43" s="1409"/>
      <c r="DK43" s="1409"/>
      <c r="DL43" s="1409"/>
      <c r="DM43" s="1410"/>
      <c r="DN43" s="1408">
        <v>249162</v>
      </c>
      <c r="DO43" s="1409"/>
      <c r="DP43" s="1409"/>
      <c r="DQ43" s="1409"/>
      <c r="DR43" s="1409"/>
      <c r="DS43" s="1409"/>
      <c r="DT43" s="1410"/>
      <c r="DU43" s="1408">
        <v>9887</v>
      </c>
      <c r="DV43" s="1409"/>
      <c r="DW43" s="1409"/>
      <c r="DX43" s="1409"/>
      <c r="DY43" s="1409"/>
      <c r="DZ43" s="1409"/>
      <c r="EA43" s="1410"/>
      <c r="EB43" s="1408">
        <v>259049</v>
      </c>
      <c r="EC43" s="1409"/>
      <c r="ED43" s="1409"/>
      <c r="EE43" s="1409"/>
      <c r="EF43" s="1409"/>
      <c r="EG43" s="1409"/>
      <c r="EH43" s="1410"/>
      <c r="EI43" s="1408">
        <v>6723</v>
      </c>
      <c r="EJ43" s="1409"/>
      <c r="EK43" s="1409"/>
      <c r="EL43" s="1409"/>
      <c r="EM43" s="1409"/>
      <c r="EN43" s="1409"/>
      <c r="EO43" s="1410"/>
      <c r="EP43" s="1408"/>
      <c r="EQ43" s="1409"/>
      <c r="ER43" s="1409"/>
      <c r="ES43" s="1409"/>
      <c r="ET43" s="1409"/>
      <c r="EU43" s="1409"/>
      <c r="EV43" s="1409"/>
      <c r="EW43" s="1409"/>
      <c r="EX43" s="1409"/>
      <c r="EY43" s="1410"/>
    </row>
    <row r="44" spans="1:155" s="430" customFormat="1" ht="7.8">
      <c r="A44" s="1432" t="s">
        <v>1587</v>
      </c>
      <c r="B44" s="1433"/>
      <c r="C44" s="1433"/>
      <c r="D44" s="1433"/>
      <c r="E44" s="1433"/>
      <c r="F44" s="1433"/>
      <c r="G44" s="1433"/>
      <c r="H44" s="1433"/>
      <c r="I44" s="1433"/>
      <c r="J44" s="1433"/>
      <c r="K44" s="1433"/>
      <c r="L44" s="1433"/>
      <c r="M44" s="1433"/>
      <c r="N44" s="1433"/>
      <c r="O44" s="1433"/>
      <c r="P44" s="1433"/>
      <c r="Q44" s="1433"/>
      <c r="R44" s="1433"/>
      <c r="S44" s="1433"/>
      <c r="T44" s="1433"/>
      <c r="U44" s="1433"/>
      <c r="V44" s="1433"/>
      <c r="W44" s="1433"/>
      <c r="X44" s="1433"/>
      <c r="Y44" s="1433"/>
      <c r="Z44" s="1433"/>
      <c r="AA44" s="1433"/>
      <c r="AB44" s="1433"/>
      <c r="AC44" s="1433"/>
      <c r="AD44" s="1433"/>
      <c r="AE44" s="1433"/>
      <c r="AF44" s="1433"/>
      <c r="AG44" s="1433"/>
      <c r="AH44" s="1433"/>
      <c r="AI44" s="1433"/>
      <c r="AJ44" s="1433"/>
      <c r="AK44" s="1433"/>
      <c r="AL44" s="1433"/>
      <c r="AM44" s="1434"/>
      <c r="AN44" s="1420" t="s">
        <v>121</v>
      </c>
      <c r="AO44" s="1421"/>
      <c r="AP44" s="1421"/>
      <c r="AQ44" s="1421"/>
      <c r="AR44" s="1421"/>
      <c r="AS44" s="1421"/>
      <c r="AT44" s="1421"/>
      <c r="AU44" s="1422"/>
      <c r="AV44" s="1423" t="s">
        <v>1086</v>
      </c>
      <c r="AW44" s="1424"/>
      <c r="AX44" s="1424"/>
      <c r="AY44" s="1424"/>
      <c r="AZ44" s="1424"/>
      <c r="BA44" s="1425"/>
      <c r="BB44" s="1408">
        <f t="shared" si="3"/>
        <v>360666</v>
      </c>
      <c r="BC44" s="1409"/>
      <c r="BD44" s="1409"/>
      <c r="BE44" s="1409"/>
      <c r="BF44" s="1409"/>
      <c r="BG44" s="1409"/>
      <c r="BH44" s="1409"/>
      <c r="BI44" s="1409"/>
      <c r="BJ44" s="1410"/>
      <c r="BK44" s="1408">
        <f t="shared" si="4"/>
        <v>360666</v>
      </c>
      <c r="BL44" s="1409"/>
      <c r="BM44" s="1409"/>
      <c r="BN44" s="1409"/>
      <c r="BO44" s="1409"/>
      <c r="BP44" s="1409"/>
      <c r="BQ44" s="1409"/>
      <c r="BR44" s="1409"/>
      <c r="BS44" s="1410"/>
      <c r="BT44" s="1408">
        <f>350787+9307+1</f>
        <v>360095</v>
      </c>
      <c r="BU44" s="1409"/>
      <c r="BV44" s="1409"/>
      <c r="BW44" s="1409"/>
      <c r="BX44" s="1409"/>
      <c r="BY44" s="1409"/>
      <c r="BZ44" s="1410"/>
      <c r="CA44" s="1408">
        <f>444+19</f>
        <v>463</v>
      </c>
      <c r="CB44" s="1409"/>
      <c r="CC44" s="1409"/>
      <c r="CD44" s="1409"/>
      <c r="CE44" s="1409"/>
      <c r="CF44" s="1409"/>
      <c r="CG44" s="1410"/>
      <c r="CH44" s="1397">
        <f t="shared" si="1"/>
        <v>360558</v>
      </c>
      <c r="CI44" s="1398"/>
      <c r="CJ44" s="1398"/>
      <c r="CK44" s="1398"/>
      <c r="CL44" s="1398"/>
      <c r="CM44" s="1398"/>
      <c r="CN44" s="1399"/>
      <c r="CO44" s="1408">
        <f>108</f>
        <v>108</v>
      </c>
      <c r="CP44" s="1409"/>
      <c r="CQ44" s="1409"/>
      <c r="CR44" s="1409"/>
      <c r="CS44" s="1409"/>
      <c r="CT44" s="1409"/>
      <c r="CU44" s="1410"/>
      <c r="CV44" s="1408">
        <v>321771</v>
      </c>
      <c r="CW44" s="1409"/>
      <c r="CX44" s="1409"/>
      <c r="CY44" s="1409"/>
      <c r="CZ44" s="1409"/>
      <c r="DA44" s="1409"/>
      <c r="DB44" s="1409"/>
      <c r="DC44" s="1409"/>
      <c r="DD44" s="1410"/>
      <c r="DE44" s="1408">
        <v>321771</v>
      </c>
      <c r="DF44" s="1409"/>
      <c r="DG44" s="1409"/>
      <c r="DH44" s="1409"/>
      <c r="DI44" s="1409"/>
      <c r="DJ44" s="1409"/>
      <c r="DK44" s="1409"/>
      <c r="DL44" s="1409"/>
      <c r="DM44" s="1410"/>
      <c r="DN44" s="1408">
        <v>320484</v>
      </c>
      <c r="DO44" s="1409"/>
      <c r="DP44" s="1409"/>
      <c r="DQ44" s="1409"/>
      <c r="DR44" s="1409"/>
      <c r="DS44" s="1409"/>
      <c r="DT44" s="1410"/>
      <c r="DU44" s="1408">
        <v>1196</v>
      </c>
      <c r="DV44" s="1409"/>
      <c r="DW44" s="1409"/>
      <c r="DX44" s="1409"/>
      <c r="DY44" s="1409"/>
      <c r="DZ44" s="1409"/>
      <c r="EA44" s="1410"/>
      <c r="EB44" s="1408">
        <v>321680</v>
      </c>
      <c r="EC44" s="1409"/>
      <c r="ED44" s="1409"/>
      <c r="EE44" s="1409"/>
      <c r="EF44" s="1409"/>
      <c r="EG44" s="1409"/>
      <c r="EH44" s="1410"/>
      <c r="EI44" s="1408">
        <v>91</v>
      </c>
      <c r="EJ44" s="1409"/>
      <c r="EK44" s="1409"/>
      <c r="EL44" s="1409"/>
      <c r="EM44" s="1409"/>
      <c r="EN44" s="1409"/>
      <c r="EO44" s="1410"/>
      <c r="EP44" s="1408"/>
      <c r="EQ44" s="1409"/>
      <c r="ER44" s="1409"/>
      <c r="ES44" s="1409"/>
      <c r="ET44" s="1409"/>
      <c r="EU44" s="1409"/>
      <c r="EV44" s="1409"/>
      <c r="EW44" s="1409"/>
      <c r="EX44" s="1409"/>
      <c r="EY44" s="1410"/>
    </row>
    <row r="45" spans="1:155" s="430" customFormat="1" ht="7.8">
      <c r="A45" s="1432" t="s">
        <v>1588</v>
      </c>
      <c r="B45" s="1433"/>
      <c r="C45" s="1433"/>
      <c r="D45" s="1433"/>
      <c r="E45" s="1433"/>
      <c r="F45" s="1433"/>
      <c r="G45" s="1433"/>
      <c r="H45" s="1433"/>
      <c r="I45" s="1433"/>
      <c r="J45" s="1433"/>
      <c r="K45" s="1433"/>
      <c r="L45" s="1433"/>
      <c r="M45" s="1433"/>
      <c r="N45" s="1433"/>
      <c r="O45" s="1433"/>
      <c r="P45" s="1433"/>
      <c r="Q45" s="1433"/>
      <c r="R45" s="1433"/>
      <c r="S45" s="1433"/>
      <c r="T45" s="1433"/>
      <c r="U45" s="1433"/>
      <c r="V45" s="1433"/>
      <c r="W45" s="1433"/>
      <c r="X45" s="1433"/>
      <c r="Y45" s="1433"/>
      <c r="Z45" s="1433"/>
      <c r="AA45" s="1433"/>
      <c r="AB45" s="1433"/>
      <c r="AC45" s="1433"/>
      <c r="AD45" s="1433"/>
      <c r="AE45" s="1433"/>
      <c r="AF45" s="1433"/>
      <c r="AG45" s="1433"/>
      <c r="AH45" s="1433"/>
      <c r="AI45" s="1433"/>
      <c r="AJ45" s="1433"/>
      <c r="AK45" s="1433"/>
      <c r="AL45" s="1433"/>
      <c r="AM45" s="1434"/>
      <c r="AN45" s="1414" t="s">
        <v>121</v>
      </c>
      <c r="AO45" s="1415"/>
      <c r="AP45" s="1415"/>
      <c r="AQ45" s="1415"/>
      <c r="AR45" s="1415"/>
      <c r="AS45" s="1415"/>
      <c r="AT45" s="1415"/>
      <c r="AU45" s="1416"/>
      <c r="AV45" s="1417" t="s">
        <v>1143</v>
      </c>
      <c r="AW45" s="1418"/>
      <c r="AX45" s="1418"/>
      <c r="AY45" s="1418"/>
      <c r="AZ45" s="1418"/>
      <c r="BA45" s="1419"/>
      <c r="BB45" s="1408">
        <f t="shared" si="3"/>
        <v>1269643</v>
      </c>
      <c r="BC45" s="1409"/>
      <c r="BD45" s="1409"/>
      <c r="BE45" s="1409"/>
      <c r="BF45" s="1409"/>
      <c r="BG45" s="1409"/>
      <c r="BH45" s="1409"/>
      <c r="BI45" s="1409"/>
      <c r="BJ45" s="1410"/>
      <c r="BK45" s="1408">
        <f t="shared" si="4"/>
        <v>1269643</v>
      </c>
      <c r="BL45" s="1409"/>
      <c r="BM45" s="1409"/>
      <c r="BN45" s="1409"/>
      <c r="BO45" s="1409"/>
      <c r="BP45" s="1409"/>
      <c r="BQ45" s="1409"/>
      <c r="BR45" s="1409"/>
      <c r="BS45" s="1410"/>
      <c r="BT45" s="1397">
        <f>BT46+BT47</f>
        <v>1267299</v>
      </c>
      <c r="BU45" s="1398"/>
      <c r="BV45" s="1398"/>
      <c r="BW45" s="1398"/>
      <c r="BX45" s="1398"/>
      <c r="BY45" s="1398"/>
      <c r="BZ45" s="1399"/>
      <c r="CA45" s="1397">
        <f>CA46+CA47</f>
        <v>1964</v>
      </c>
      <c r="CB45" s="1398"/>
      <c r="CC45" s="1398"/>
      <c r="CD45" s="1398"/>
      <c r="CE45" s="1398"/>
      <c r="CF45" s="1398"/>
      <c r="CG45" s="1399"/>
      <c r="CH45" s="1397">
        <f t="shared" si="1"/>
        <v>1269263</v>
      </c>
      <c r="CI45" s="1398"/>
      <c r="CJ45" s="1398"/>
      <c r="CK45" s="1398"/>
      <c r="CL45" s="1398"/>
      <c r="CM45" s="1398"/>
      <c r="CN45" s="1399"/>
      <c r="CO45" s="1397">
        <f>CO46+CO47</f>
        <v>380</v>
      </c>
      <c r="CP45" s="1398"/>
      <c r="CQ45" s="1398"/>
      <c r="CR45" s="1398"/>
      <c r="CS45" s="1398"/>
      <c r="CT45" s="1398"/>
      <c r="CU45" s="1399"/>
      <c r="CV45" s="1408">
        <v>1365276</v>
      </c>
      <c r="CW45" s="1409"/>
      <c r="CX45" s="1409"/>
      <c r="CY45" s="1409"/>
      <c r="CZ45" s="1409"/>
      <c r="DA45" s="1409"/>
      <c r="DB45" s="1409"/>
      <c r="DC45" s="1409"/>
      <c r="DD45" s="1410"/>
      <c r="DE45" s="1408">
        <v>1365276</v>
      </c>
      <c r="DF45" s="1409"/>
      <c r="DG45" s="1409"/>
      <c r="DH45" s="1409"/>
      <c r="DI45" s="1409"/>
      <c r="DJ45" s="1409"/>
      <c r="DK45" s="1409"/>
      <c r="DL45" s="1409"/>
      <c r="DM45" s="1410"/>
      <c r="DN45" s="1397">
        <v>1362823</v>
      </c>
      <c r="DO45" s="1398"/>
      <c r="DP45" s="1398"/>
      <c r="DQ45" s="1398"/>
      <c r="DR45" s="1398"/>
      <c r="DS45" s="1398"/>
      <c r="DT45" s="1399"/>
      <c r="DU45" s="1397">
        <v>2063</v>
      </c>
      <c r="DV45" s="1398"/>
      <c r="DW45" s="1398"/>
      <c r="DX45" s="1398"/>
      <c r="DY45" s="1398"/>
      <c r="DZ45" s="1398"/>
      <c r="EA45" s="1399"/>
      <c r="EB45" s="1408">
        <v>1364886</v>
      </c>
      <c r="EC45" s="1409"/>
      <c r="ED45" s="1409"/>
      <c r="EE45" s="1409"/>
      <c r="EF45" s="1409"/>
      <c r="EG45" s="1409"/>
      <c r="EH45" s="1410"/>
      <c r="EI45" s="1397">
        <v>390</v>
      </c>
      <c r="EJ45" s="1398"/>
      <c r="EK45" s="1398"/>
      <c r="EL45" s="1398"/>
      <c r="EM45" s="1398"/>
      <c r="EN45" s="1398"/>
      <c r="EO45" s="1399"/>
      <c r="EP45" s="1408"/>
      <c r="EQ45" s="1409"/>
      <c r="ER45" s="1409"/>
      <c r="ES45" s="1409"/>
      <c r="ET45" s="1409"/>
      <c r="EU45" s="1409"/>
      <c r="EV45" s="1409"/>
      <c r="EW45" s="1409"/>
      <c r="EX45" s="1409"/>
      <c r="EY45" s="1410"/>
    </row>
    <row r="46" spans="1:155" s="430" customFormat="1" ht="7.8">
      <c r="A46" s="1435" t="s">
        <v>1589</v>
      </c>
      <c r="B46" s="1436"/>
      <c r="C46" s="1436"/>
      <c r="D46" s="1436"/>
      <c r="E46" s="1436"/>
      <c r="F46" s="1436"/>
      <c r="G46" s="1436"/>
      <c r="H46" s="1436"/>
      <c r="I46" s="1436"/>
      <c r="J46" s="1436"/>
      <c r="K46" s="1436"/>
      <c r="L46" s="1436"/>
      <c r="M46" s="1436"/>
      <c r="N46" s="1436"/>
      <c r="O46" s="1436"/>
      <c r="P46" s="1436"/>
      <c r="Q46" s="1436"/>
      <c r="R46" s="1436"/>
      <c r="S46" s="1436"/>
      <c r="T46" s="1436"/>
      <c r="U46" s="1436"/>
      <c r="V46" s="1436"/>
      <c r="W46" s="1436"/>
      <c r="X46" s="1436"/>
      <c r="Y46" s="1436"/>
      <c r="Z46" s="1436"/>
      <c r="AA46" s="1436"/>
      <c r="AB46" s="1436"/>
      <c r="AC46" s="1436"/>
      <c r="AD46" s="1436"/>
      <c r="AE46" s="1436"/>
      <c r="AF46" s="1436"/>
      <c r="AG46" s="1436"/>
      <c r="AH46" s="1436"/>
      <c r="AI46" s="1436"/>
      <c r="AJ46" s="1436"/>
      <c r="AK46" s="1436"/>
      <c r="AL46" s="1436"/>
      <c r="AM46" s="1437"/>
      <c r="AN46" s="1420" t="s">
        <v>121</v>
      </c>
      <c r="AO46" s="1421"/>
      <c r="AP46" s="1421"/>
      <c r="AQ46" s="1421"/>
      <c r="AR46" s="1421"/>
      <c r="AS46" s="1421"/>
      <c r="AT46" s="1421"/>
      <c r="AU46" s="1422"/>
      <c r="AV46" s="1423" t="s">
        <v>1148</v>
      </c>
      <c r="AW46" s="1424"/>
      <c r="AX46" s="1424"/>
      <c r="AY46" s="1424"/>
      <c r="AZ46" s="1424"/>
      <c r="BA46" s="1425"/>
      <c r="BB46" s="1408">
        <f t="shared" si="3"/>
        <v>401017</v>
      </c>
      <c r="BC46" s="1409"/>
      <c r="BD46" s="1409"/>
      <c r="BE46" s="1409"/>
      <c r="BF46" s="1409"/>
      <c r="BG46" s="1409"/>
      <c r="BH46" s="1409"/>
      <c r="BI46" s="1409"/>
      <c r="BJ46" s="1410"/>
      <c r="BK46" s="1408">
        <f t="shared" si="4"/>
        <v>401017</v>
      </c>
      <c r="BL46" s="1409"/>
      <c r="BM46" s="1409"/>
      <c r="BN46" s="1409"/>
      <c r="BO46" s="1409"/>
      <c r="BP46" s="1409"/>
      <c r="BQ46" s="1409"/>
      <c r="BR46" s="1409"/>
      <c r="BS46" s="1410"/>
      <c r="BT46" s="1408">
        <f>376221+22463</f>
        <v>398684</v>
      </c>
      <c r="BU46" s="1409"/>
      <c r="BV46" s="1409"/>
      <c r="BW46" s="1409"/>
      <c r="BX46" s="1409"/>
      <c r="BY46" s="1409"/>
      <c r="BZ46" s="1410"/>
      <c r="CA46" s="1408">
        <f>1955</f>
        <v>1955</v>
      </c>
      <c r="CB46" s="1409"/>
      <c r="CC46" s="1409"/>
      <c r="CD46" s="1409"/>
      <c r="CE46" s="1409"/>
      <c r="CF46" s="1409"/>
      <c r="CG46" s="1410"/>
      <c r="CH46" s="1397">
        <f t="shared" si="1"/>
        <v>400639</v>
      </c>
      <c r="CI46" s="1398"/>
      <c r="CJ46" s="1398"/>
      <c r="CK46" s="1398"/>
      <c r="CL46" s="1398"/>
      <c r="CM46" s="1398"/>
      <c r="CN46" s="1399"/>
      <c r="CO46" s="1408">
        <f>378</f>
        <v>378</v>
      </c>
      <c r="CP46" s="1409"/>
      <c r="CQ46" s="1409"/>
      <c r="CR46" s="1409"/>
      <c r="CS46" s="1409"/>
      <c r="CT46" s="1409"/>
      <c r="CU46" s="1410"/>
      <c r="CV46" s="1408">
        <v>367751</v>
      </c>
      <c r="CW46" s="1409"/>
      <c r="CX46" s="1409"/>
      <c r="CY46" s="1409"/>
      <c r="CZ46" s="1409"/>
      <c r="DA46" s="1409"/>
      <c r="DB46" s="1409"/>
      <c r="DC46" s="1409"/>
      <c r="DD46" s="1410"/>
      <c r="DE46" s="1408">
        <v>367751</v>
      </c>
      <c r="DF46" s="1409"/>
      <c r="DG46" s="1409"/>
      <c r="DH46" s="1409"/>
      <c r="DI46" s="1409"/>
      <c r="DJ46" s="1409"/>
      <c r="DK46" s="1409"/>
      <c r="DL46" s="1409"/>
      <c r="DM46" s="1410"/>
      <c r="DN46" s="1408">
        <v>365312</v>
      </c>
      <c r="DO46" s="1409"/>
      <c r="DP46" s="1409"/>
      <c r="DQ46" s="1409"/>
      <c r="DR46" s="1409"/>
      <c r="DS46" s="1409"/>
      <c r="DT46" s="1410"/>
      <c r="DU46" s="1408">
        <v>2051</v>
      </c>
      <c r="DV46" s="1409"/>
      <c r="DW46" s="1409"/>
      <c r="DX46" s="1409"/>
      <c r="DY46" s="1409"/>
      <c r="DZ46" s="1409"/>
      <c r="EA46" s="1410"/>
      <c r="EB46" s="1408">
        <v>367363</v>
      </c>
      <c r="EC46" s="1409"/>
      <c r="ED46" s="1409"/>
      <c r="EE46" s="1409"/>
      <c r="EF46" s="1409"/>
      <c r="EG46" s="1409"/>
      <c r="EH46" s="1410"/>
      <c r="EI46" s="1408">
        <v>388</v>
      </c>
      <c r="EJ46" s="1409"/>
      <c r="EK46" s="1409"/>
      <c r="EL46" s="1409"/>
      <c r="EM46" s="1409"/>
      <c r="EN46" s="1409"/>
      <c r="EO46" s="1410"/>
      <c r="EP46" s="1408"/>
      <c r="EQ46" s="1409"/>
      <c r="ER46" s="1409"/>
      <c r="ES46" s="1409"/>
      <c r="ET46" s="1409"/>
      <c r="EU46" s="1409"/>
      <c r="EV46" s="1409"/>
      <c r="EW46" s="1409"/>
      <c r="EX46" s="1409"/>
      <c r="EY46" s="1410"/>
    </row>
    <row r="47" spans="1:155" s="430" customFormat="1" ht="7.8">
      <c r="A47" s="1435" t="s">
        <v>1590</v>
      </c>
      <c r="B47" s="1436"/>
      <c r="C47" s="1436"/>
      <c r="D47" s="1436"/>
      <c r="E47" s="1436"/>
      <c r="F47" s="1436"/>
      <c r="G47" s="1436"/>
      <c r="H47" s="1436"/>
      <c r="I47" s="1436"/>
      <c r="J47" s="1436"/>
      <c r="K47" s="1436"/>
      <c r="L47" s="1436"/>
      <c r="M47" s="1436"/>
      <c r="N47" s="1436"/>
      <c r="O47" s="1436"/>
      <c r="P47" s="1436"/>
      <c r="Q47" s="1436"/>
      <c r="R47" s="1436"/>
      <c r="S47" s="1436"/>
      <c r="T47" s="1436"/>
      <c r="U47" s="1436"/>
      <c r="V47" s="1436"/>
      <c r="W47" s="1436"/>
      <c r="X47" s="1436"/>
      <c r="Y47" s="1436"/>
      <c r="Z47" s="1436"/>
      <c r="AA47" s="1436"/>
      <c r="AB47" s="1436"/>
      <c r="AC47" s="1436"/>
      <c r="AD47" s="1436"/>
      <c r="AE47" s="1436"/>
      <c r="AF47" s="1436"/>
      <c r="AG47" s="1436"/>
      <c r="AH47" s="1436"/>
      <c r="AI47" s="1436"/>
      <c r="AJ47" s="1436"/>
      <c r="AK47" s="1436"/>
      <c r="AL47" s="1436"/>
      <c r="AM47" s="1437"/>
      <c r="AN47" s="1420" t="s">
        <v>121</v>
      </c>
      <c r="AO47" s="1421"/>
      <c r="AP47" s="1421"/>
      <c r="AQ47" s="1421"/>
      <c r="AR47" s="1421"/>
      <c r="AS47" s="1421"/>
      <c r="AT47" s="1421"/>
      <c r="AU47" s="1422"/>
      <c r="AV47" s="1423" t="s">
        <v>1155</v>
      </c>
      <c r="AW47" s="1424"/>
      <c r="AX47" s="1424"/>
      <c r="AY47" s="1424"/>
      <c r="AZ47" s="1424"/>
      <c r="BA47" s="1425"/>
      <c r="BB47" s="1408">
        <f t="shared" si="3"/>
        <v>868626</v>
      </c>
      <c r="BC47" s="1409"/>
      <c r="BD47" s="1409"/>
      <c r="BE47" s="1409"/>
      <c r="BF47" s="1409"/>
      <c r="BG47" s="1409"/>
      <c r="BH47" s="1409"/>
      <c r="BI47" s="1409"/>
      <c r="BJ47" s="1410"/>
      <c r="BK47" s="1408">
        <f t="shared" si="4"/>
        <v>868626</v>
      </c>
      <c r="BL47" s="1409"/>
      <c r="BM47" s="1409"/>
      <c r="BN47" s="1409"/>
      <c r="BO47" s="1409"/>
      <c r="BP47" s="1409"/>
      <c r="BQ47" s="1409"/>
      <c r="BR47" s="1409"/>
      <c r="BS47" s="1410"/>
      <c r="BT47" s="1408">
        <f>792945+75670</f>
        <v>868615</v>
      </c>
      <c r="BU47" s="1409"/>
      <c r="BV47" s="1409"/>
      <c r="BW47" s="1409"/>
      <c r="BX47" s="1409"/>
      <c r="BY47" s="1409"/>
      <c r="BZ47" s="1410"/>
      <c r="CA47" s="1408">
        <v>9</v>
      </c>
      <c r="CB47" s="1409"/>
      <c r="CC47" s="1409"/>
      <c r="CD47" s="1409"/>
      <c r="CE47" s="1409"/>
      <c r="CF47" s="1409"/>
      <c r="CG47" s="1410"/>
      <c r="CH47" s="1397">
        <f t="shared" si="1"/>
        <v>868624</v>
      </c>
      <c r="CI47" s="1398"/>
      <c r="CJ47" s="1398"/>
      <c r="CK47" s="1398"/>
      <c r="CL47" s="1398"/>
      <c r="CM47" s="1398"/>
      <c r="CN47" s="1399"/>
      <c r="CO47" s="1408">
        <f>2</f>
        <v>2</v>
      </c>
      <c r="CP47" s="1409"/>
      <c r="CQ47" s="1409"/>
      <c r="CR47" s="1409"/>
      <c r="CS47" s="1409"/>
      <c r="CT47" s="1409"/>
      <c r="CU47" s="1410"/>
      <c r="CV47" s="1408">
        <v>997525</v>
      </c>
      <c r="CW47" s="1409"/>
      <c r="CX47" s="1409"/>
      <c r="CY47" s="1409"/>
      <c r="CZ47" s="1409"/>
      <c r="DA47" s="1409"/>
      <c r="DB47" s="1409"/>
      <c r="DC47" s="1409"/>
      <c r="DD47" s="1410"/>
      <c r="DE47" s="1408">
        <v>997525</v>
      </c>
      <c r="DF47" s="1409"/>
      <c r="DG47" s="1409"/>
      <c r="DH47" s="1409"/>
      <c r="DI47" s="1409"/>
      <c r="DJ47" s="1409"/>
      <c r="DK47" s="1409"/>
      <c r="DL47" s="1409"/>
      <c r="DM47" s="1410"/>
      <c r="DN47" s="1408">
        <v>997511</v>
      </c>
      <c r="DO47" s="1409"/>
      <c r="DP47" s="1409"/>
      <c r="DQ47" s="1409"/>
      <c r="DR47" s="1409"/>
      <c r="DS47" s="1409"/>
      <c r="DT47" s="1410"/>
      <c r="DU47" s="1408">
        <v>12</v>
      </c>
      <c r="DV47" s="1409"/>
      <c r="DW47" s="1409"/>
      <c r="DX47" s="1409"/>
      <c r="DY47" s="1409"/>
      <c r="DZ47" s="1409"/>
      <c r="EA47" s="1410"/>
      <c r="EB47" s="1408">
        <v>997523</v>
      </c>
      <c r="EC47" s="1409"/>
      <c r="ED47" s="1409"/>
      <c r="EE47" s="1409"/>
      <c r="EF47" s="1409"/>
      <c r="EG47" s="1409"/>
      <c r="EH47" s="1410"/>
      <c r="EI47" s="1408">
        <v>2</v>
      </c>
      <c r="EJ47" s="1409"/>
      <c r="EK47" s="1409"/>
      <c r="EL47" s="1409"/>
      <c r="EM47" s="1409"/>
      <c r="EN47" s="1409"/>
      <c r="EO47" s="1410"/>
      <c r="EP47" s="1408"/>
      <c r="EQ47" s="1409"/>
      <c r="ER47" s="1409"/>
      <c r="ES47" s="1409"/>
      <c r="ET47" s="1409"/>
      <c r="EU47" s="1409"/>
      <c r="EV47" s="1409"/>
      <c r="EW47" s="1409"/>
      <c r="EX47" s="1409"/>
      <c r="EY47" s="1410"/>
    </row>
    <row r="48" spans="1:155" s="430" customFormat="1" ht="16.5" customHeight="1">
      <c r="A48" s="1432" t="s">
        <v>1591</v>
      </c>
      <c r="B48" s="1433"/>
      <c r="C48" s="1433"/>
      <c r="D48" s="1433"/>
      <c r="E48" s="1433"/>
      <c r="F48" s="1433"/>
      <c r="G48" s="1433"/>
      <c r="H48" s="1433"/>
      <c r="I48" s="1433"/>
      <c r="J48" s="1433"/>
      <c r="K48" s="1433"/>
      <c r="L48" s="1433"/>
      <c r="M48" s="1433"/>
      <c r="N48" s="1433"/>
      <c r="O48" s="1433"/>
      <c r="P48" s="1433"/>
      <c r="Q48" s="1433"/>
      <c r="R48" s="1433"/>
      <c r="S48" s="1433"/>
      <c r="T48" s="1433"/>
      <c r="U48" s="1433"/>
      <c r="V48" s="1433"/>
      <c r="W48" s="1433"/>
      <c r="X48" s="1433"/>
      <c r="Y48" s="1433"/>
      <c r="Z48" s="1433"/>
      <c r="AA48" s="1433"/>
      <c r="AB48" s="1433"/>
      <c r="AC48" s="1433"/>
      <c r="AD48" s="1433"/>
      <c r="AE48" s="1433"/>
      <c r="AF48" s="1433"/>
      <c r="AG48" s="1433"/>
      <c r="AH48" s="1433"/>
      <c r="AI48" s="1433"/>
      <c r="AJ48" s="1433"/>
      <c r="AK48" s="1433"/>
      <c r="AL48" s="1433"/>
      <c r="AM48" s="1434"/>
      <c r="AN48" s="1420" t="s">
        <v>121</v>
      </c>
      <c r="AO48" s="1421"/>
      <c r="AP48" s="1421"/>
      <c r="AQ48" s="1421"/>
      <c r="AR48" s="1421"/>
      <c r="AS48" s="1421"/>
      <c r="AT48" s="1421"/>
      <c r="AU48" s="1422"/>
      <c r="AV48" s="1423" t="s">
        <v>1195</v>
      </c>
      <c r="AW48" s="1424"/>
      <c r="AX48" s="1424"/>
      <c r="AY48" s="1424"/>
      <c r="AZ48" s="1424"/>
      <c r="BA48" s="1425"/>
      <c r="BB48" s="1408">
        <f t="shared" si="3"/>
        <v>46492</v>
      </c>
      <c r="BC48" s="1409"/>
      <c r="BD48" s="1409"/>
      <c r="BE48" s="1409"/>
      <c r="BF48" s="1409"/>
      <c r="BG48" s="1409"/>
      <c r="BH48" s="1409"/>
      <c r="BI48" s="1409"/>
      <c r="BJ48" s="1410"/>
      <c r="BK48" s="1408">
        <f t="shared" si="4"/>
        <v>46492</v>
      </c>
      <c r="BL48" s="1409"/>
      <c r="BM48" s="1409"/>
      <c r="BN48" s="1409"/>
      <c r="BO48" s="1409"/>
      <c r="BP48" s="1409"/>
      <c r="BQ48" s="1409"/>
      <c r="BR48" s="1409"/>
      <c r="BS48" s="1410"/>
      <c r="BT48" s="1408">
        <f>43768+1439</f>
        <v>45207</v>
      </c>
      <c r="BU48" s="1409"/>
      <c r="BV48" s="1409"/>
      <c r="BW48" s="1409"/>
      <c r="BX48" s="1409"/>
      <c r="BY48" s="1409"/>
      <c r="BZ48" s="1410"/>
      <c r="CA48" s="1408">
        <f>1185</f>
        <v>1185</v>
      </c>
      <c r="CB48" s="1409"/>
      <c r="CC48" s="1409"/>
      <c r="CD48" s="1409"/>
      <c r="CE48" s="1409"/>
      <c r="CF48" s="1409"/>
      <c r="CG48" s="1410"/>
      <c r="CH48" s="1397">
        <f t="shared" si="1"/>
        <v>46392</v>
      </c>
      <c r="CI48" s="1398"/>
      <c r="CJ48" s="1398"/>
      <c r="CK48" s="1398"/>
      <c r="CL48" s="1398"/>
      <c r="CM48" s="1398"/>
      <c r="CN48" s="1399"/>
      <c r="CO48" s="1408">
        <f>100</f>
        <v>100</v>
      </c>
      <c r="CP48" s="1409"/>
      <c r="CQ48" s="1409"/>
      <c r="CR48" s="1409"/>
      <c r="CS48" s="1409"/>
      <c r="CT48" s="1409"/>
      <c r="CU48" s="1410"/>
      <c r="CV48" s="1408">
        <v>39437</v>
      </c>
      <c r="CW48" s="1409"/>
      <c r="CX48" s="1409"/>
      <c r="CY48" s="1409"/>
      <c r="CZ48" s="1409"/>
      <c r="DA48" s="1409"/>
      <c r="DB48" s="1409"/>
      <c r="DC48" s="1409"/>
      <c r="DD48" s="1410"/>
      <c r="DE48" s="1408">
        <v>39437</v>
      </c>
      <c r="DF48" s="1409"/>
      <c r="DG48" s="1409"/>
      <c r="DH48" s="1409"/>
      <c r="DI48" s="1409"/>
      <c r="DJ48" s="1409"/>
      <c r="DK48" s="1409"/>
      <c r="DL48" s="1409"/>
      <c r="DM48" s="1410"/>
      <c r="DN48" s="1408">
        <v>38018</v>
      </c>
      <c r="DO48" s="1409"/>
      <c r="DP48" s="1409"/>
      <c r="DQ48" s="1409"/>
      <c r="DR48" s="1409"/>
      <c r="DS48" s="1409"/>
      <c r="DT48" s="1410"/>
      <c r="DU48" s="1408">
        <v>1323</v>
      </c>
      <c r="DV48" s="1409"/>
      <c r="DW48" s="1409"/>
      <c r="DX48" s="1409"/>
      <c r="DY48" s="1409"/>
      <c r="DZ48" s="1409"/>
      <c r="EA48" s="1410"/>
      <c r="EB48" s="1408">
        <v>39341</v>
      </c>
      <c r="EC48" s="1409"/>
      <c r="ED48" s="1409"/>
      <c r="EE48" s="1409"/>
      <c r="EF48" s="1409"/>
      <c r="EG48" s="1409"/>
      <c r="EH48" s="1410"/>
      <c r="EI48" s="1408">
        <v>96</v>
      </c>
      <c r="EJ48" s="1409"/>
      <c r="EK48" s="1409"/>
      <c r="EL48" s="1409"/>
      <c r="EM48" s="1409"/>
      <c r="EN48" s="1409"/>
      <c r="EO48" s="1410"/>
      <c r="EP48" s="1408"/>
      <c r="EQ48" s="1409"/>
      <c r="ER48" s="1409"/>
      <c r="ES48" s="1409"/>
      <c r="ET48" s="1409"/>
      <c r="EU48" s="1409"/>
      <c r="EV48" s="1409"/>
      <c r="EW48" s="1409"/>
      <c r="EX48" s="1409"/>
      <c r="EY48" s="1410"/>
    </row>
    <row r="49" spans="1:155" s="430" customFormat="1" ht="16.5" customHeight="1">
      <c r="A49" s="1432" t="s">
        <v>1592</v>
      </c>
      <c r="B49" s="1433"/>
      <c r="C49" s="1433"/>
      <c r="D49" s="1433"/>
      <c r="E49" s="1433"/>
      <c r="F49" s="1433"/>
      <c r="G49" s="1433"/>
      <c r="H49" s="1433"/>
      <c r="I49" s="1433"/>
      <c r="J49" s="1433"/>
      <c r="K49" s="1433"/>
      <c r="L49" s="1433"/>
      <c r="M49" s="1433"/>
      <c r="N49" s="1433"/>
      <c r="O49" s="1433"/>
      <c r="P49" s="1433"/>
      <c r="Q49" s="1433"/>
      <c r="R49" s="1433"/>
      <c r="S49" s="1433"/>
      <c r="T49" s="1433"/>
      <c r="U49" s="1433"/>
      <c r="V49" s="1433"/>
      <c r="W49" s="1433"/>
      <c r="X49" s="1433"/>
      <c r="Y49" s="1433"/>
      <c r="Z49" s="1433"/>
      <c r="AA49" s="1433"/>
      <c r="AB49" s="1433"/>
      <c r="AC49" s="1433"/>
      <c r="AD49" s="1433"/>
      <c r="AE49" s="1433"/>
      <c r="AF49" s="1433"/>
      <c r="AG49" s="1433"/>
      <c r="AH49" s="1433"/>
      <c r="AI49" s="1433"/>
      <c r="AJ49" s="1433"/>
      <c r="AK49" s="1433"/>
      <c r="AL49" s="1433"/>
      <c r="AM49" s="1434"/>
      <c r="AN49" s="1420" t="s">
        <v>121</v>
      </c>
      <c r="AO49" s="1421"/>
      <c r="AP49" s="1421"/>
      <c r="AQ49" s="1421"/>
      <c r="AR49" s="1421"/>
      <c r="AS49" s="1421"/>
      <c r="AT49" s="1421"/>
      <c r="AU49" s="1422"/>
      <c r="AV49" s="1423" t="s">
        <v>1281</v>
      </c>
      <c r="AW49" s="1424"/>
      <c r="AX49" s="1424"/>
      <c r="AY49" s="1424"/>
      <c r="AZ49" s="1424"/>
      <c r="BA49" s="1425"/>
      <c r="BB49" s="1408">
        <f t="shared" si="3"/>
        <v>605590</v>
      </c>
      <c r="BC49" s="1409"/>
      <c r="BD49" s="1409"/>
      <c r="BE49" s="1409"/>
      <c r="BF49" s="1409"/>
      <c r="BG49" s="1409"/>
      <c r="BH49" s="1409"/>
      <c r="BI49" s="1409"/>
      <c r="BJ49" s="1410"/>
      <c r="BK49" s="1408">
        <f t="shared" si="4"/>
        <v>605590</v>
      </c>
      <c r="BL49" s="1409"/>
      <c r="BM49" s="1409"/>
      <c r="BN49" s="1409"/>
      <c r="BO49" s="1409"/>
      <c r="BP49" s="1409"/>
      <c r="BQ49" s="1409"/>
      <c r="BR49" s="1409"/>
      <c r="BS49" s="1410"/>
      <c r="BT49" s="1408">
        <v>596159</v>
      </c>
      <c r="BU49" s="1409"/>
      <c r="BV49" s="1409"/>
      <c r="BW49" s="1409"/>
      <c r="BX49" s="1409"/>
      <c r="BY49" s="1409"/>
      <c r="BZ49" s="1410"/>
      <c r="CA49" s="1408">
        <v>8020</v>
      </c>
      <c r="CB49" s="1409"/>
      <c r="CC49" s="1409"/>
      <c r="CD49" s="1409"/>
      <c r="CE49" s="1409"/>
      <c r="CF49" s="1409"/>
      <c r="CG49" s="1410"/>
      <c r="CH49" s="1397">
        <f t="shared" si="1"/>
        <v>604179</v>
      </c>
      <c r="CI49" s="1398"/>
      <c r="CJ49" s="1398"/>
      <c r="CK49" s="1398"/>
      <c r="CL49" s="1398"/>
      <c r="CM49" s="1398"/>
      <c r="CN49" s="1399"/>
      <c r="CO49" s="1408">
        <v>1411</v>
      </c>
      <c r="CP49" s="1409"/>
      <c r="CQ49" s="1409"/>
      <c r="CR49" s="1409"/>
      <c r="CS49" s="1409"/>
      <c r="CT49" s="1409"/>
      <c r="CU49" s="1410"/>
      <c r="CV49" s="1408">
        <v>427242</v>
      </c>
      <c r="CW49" s="1409"/>
      <c r="CX49" s="1409"/>
      <c r="CY49" s="1409"/>
      <c r="CZ49" s="1409"/>
      <c r="DA49" s="1409"/>
      <c r="DB49" s="1409"/>
      <c r="DC49" s="1409"/>
      <c r="DD49" s="1410"/>
      <c r="DE49" s="1408">
        <v>427242</v>
      </c>
      <c r="DF49" s="1409"/>
      <c r="DG49" s="1409"/>
      <c r="DH49" s="1409"/>
      <c r="DI49" s="1409"/>
      <c r="DJ49" s="1409"/>
      <c r="DK49" s="1409"/>
      <c r="DL49" s="1409"/>
      <c r="DM49" s="1410"/>
      <c r="DN49" s="1408">
        <v>419796</v>
      </c>
      <c r="DO49" s="1409"/>
      <c r="DP49" s="1409"/>
      <c r="DQ49" s="1409"/>
      <c r="DR49" s="1409"/>
      <c r="DS49" s="1409"/>
      <c r="DT49" s="1410"/>
      <c r="DU49" s="1408">
        <v>2842</v>
      </c>
      <c r="DV49" s="1409"/>
      <c r="DW49" s="1409"/>
      <c r="DX49" s="1409"/>
      <c r="DY49" s="1409"/>
      <c r="DZ49" s="1409"/>
      <c r="EA49" s="1410"/>
      <c r="EB49" s="1408">
        <v>422638</v>
      </c>
      <c r="EC49" s="1409"/>
      <c r="ED49" s="1409"/>
      <c r="EE49" s="1409"/>
      <c r="EF49" s="1409"/>
      <c r="EG49" s="1409"/>
      <c r="EH49" s="1410"/>
      <c r="EI49" s="1408">
        <v>4604</v>
      </c>
      <c r="EJ49" s="1409"/>
      <c r="EK49" s="1409"/>
      <c r="EL49" s="1409"/>
      <c r="EM49" s="1409"/>
      <c r="EN49" s="1409"/>
      <c r="EO49" s="1410"/>
      <c r="EP49" s="1408"/>
      <c r="EQ49" s="1409"/>
      <c r="ER49" s="1409"/>
      <c r="ES49" s="1409"/>
      <c r="ET49" s="1409"/>
      <c r="EU49" s="1409"/>
      <c r="EV49" s="1409"/>
      <c r="EW49" s="1409"/>
      <c r="EX49" s="1409"/>
      <c r="EY49" s="1410"/>
    </row>
    <row r="50" spans="1:155" s="430" customFormat="1" ht="7.8">
      <c r="A50" s="1432" t="s">
        <v>1305</v>
      </c>
      <c r="B50" s="1433"/>
      <c r="C50" s="1433"/>
      <c r="D50" s="1433"/>
      <c r="E50" s="1433"/>
      <c r="F50" s="1433"/>
      <c r="G50" s="1433"/>
      <c r="H50" s="1433"/>
      <c r="I50" s="1433"/>
      <c r="J50" s="1433"/>
      <c r="K50" s="1433"/>
      <c r="L50" s="1433"/>
      <c r="M50" s="1433"/>
      <c r="N50" s="1433"/>
      <c r="O50" s="1433"/>
      <c r="P50" s="1433"/>
      <c r="Q50" s="1433"/>
      <c r="R50" s="1433"/>
      <c r="S50" s="1433"/>
      <c r="T50" s="1433"/>
      <c r="U50" s="1433"/>
      <c r="V50" s="1433"/>
      <c r="W50" s="1433"/>
      <c r="X50" s="1433"/>
      <c r="Y50" s="1433"/>
      <c r="Z50" s="1433"/>
      <c r="AA50" s="1433"/>
      <c r="AB50" s="1433"/>
      <c r="AC50" s="1433"/>
      <c r="AD50" s="1433"/>
      <c r="AE50" s="1433"/>
      <c r="AF50" s="1433"/>
      <c r="AG50" s="1433"/>
      <c r="AH50" s="1433"/>
      <c r="AI50" s="1433"/>
      <c r="AJ50" s="1433"/>
      <c r="AK50" s="1433"/>
      <c r="AL50" s="1433"/>
      <c r="AM50" s="1434"/>
      <c r="AN50" s="1420" t="s">
        <v>121</v>
      </c>
      <c r="AO50" s="1421"/>
      <c r="AP50" s="1421"/>
      <c r="AQ50" s="1421"/>
      <c r="AR50" s="1421"/>
      <c r="AS50" s="1421"/>
      <c r="AT50" s="1421"/>
      <c r="AU50" s="1422"/>
      <c r="AV50" s="1423" t="s">
        <v>1331</v>
      </c>
      <c r="AW50" s="1424"/>
      <c r="AX50" s="1424"/>
      <c r="AY50" s="1424"/>
      <c r="AZ50" s="1424"/>
      <c r="BA50" s="1425"/>
      <c r="BB50" s="1408">
        <f t="shared" si="3"/>
        <v>324529</v>
      </c>
      <c r="BC50" s="1409"/>
      <c r="BD50" s="1409"/>
      <c r="BE50" s="1409"/>
      <c r="BF50" s="1409"/>
      <c r="BG50" s="1409"/>
      <c r="BH50" s="1409"/>
      <c r="BI50" s="1409"/>
      <c r="BJ50" s="1410"/>
      <c r="BK50" s="1408">
        <f>BB50</f>
        <v>324529</v>
      </c>
      <c r="BL50" s="1409"/>
      <c r="BM50" s="1409"/>
      <c r="BN50" s="1409"/>
      <c r="BO50" s="1409"/>
      <c r="BP50" s="1409"/>
      <c r="BQ50" s="1409"/>
      <c r="BR50" s="1409"/>
      <c r="BS50" s="1410"/>
      <c r="BT50" s="1408">
        <f>BT21-BT22-BT30-BT35-BT43-BT44-BT45-BT48-BT49-BT51</f>
        <v>308694</v>
      </c>
      <c r="BU50" s="1409"/>
      <c r="BV50" s="1409"/>
      <c r="BW50" s="1409"/>
      <c r="BX50" s="1409"/>
      <c r="BY50" s="1409"/>
      <c r="BZ50" s="1410"/>
      <c r="CA50" s="1408">
        <f>CA21-CA22-CA30-CA35-CA43-CA44-CA45-CA48-CA49-CA51</f>
        <v>14498</v>
      </c>
      <c r="CB50" s="1409"/>
      <c r="CC50" s="1409"/>
      <c r="CD50" s="1409"/>
      <c r="CE50" s="1409"/>
      <c r="CF50" s="1409"/>
      <c r="CG50" s="1410"/>
      <c r="CH50" s="1397">
        <f t="shared" si="1"/>
        <v>323192</v>
      </c>
      <c r="CI50" s="1398"/>
      <c r="CJ50" s="1398"/>
      <c r="CK50" s="1398"/>
      <c r="CL50" s="1398"/>
      <c r="CM50" s="1398"/>
      <c r="CN50" s="1399"/>
      <c r="CO50" s="1408">
        <f>CO21-CO22-CO30-CO35-CO43-CO44-CO45-CO48-CO49-CO51</f>
        <v>1337</v>
      </c>
      <c r="CP50" s="1409"/>
      <c r="CQ50" s="1409"/>
      <c r="CR50" s="1409"/>
      <c r="CS50" s="1409"/>
      <c r="CT50" s="1409"/>
      <c r="CU50" s="1410"/>
      <c r="CV50" s="1408">
        <v>368383</v>
      </c>
      <c r="CW50" s="1409"/>
      <c r="CX50" s="1409"/>
      <c r="CY50" s="1409"/>
      <c r="CZ50" s="1409"/>
      <c r="DA50" s="1409"/>
      <c r="DB50" s="1409"/>
      <c r="DC50" s="1409"/>
      <c r="DD50" s="1410"/>
      <c r="DE50" s="1408">
        <v>368383</v>
      </c>
      <c r="DF50" s="1409"/>
      <c r="DG50" s="1409"/>
      <c r="DH50" s="1409"/>
      <c r="DI50" s="1409"/>
      <c r="DJ50" s="1409"/>
      <c r="DK50" s="1409"/>
      <c r="DL50" s="1409"/>
      <c r="DM50" s="1410"/>
      <c r="DN50" s="1408">
        <v>356935</v>
      </c>
      <c r="DO50" s="1409"/>
      <c r="DP50" s="1409"/>
      <c r="DQ50" s="1409"/>
      <c r="DR50" s="1409"/>
      <c r="DS50" s="1409"/>
      <c r="DT50" s="1410"/>
      <c r="DU50" s="1408">
        <v>9985</v>
      </c>
      <c r="DV50" s="1409"/>
      <c r="DW50" s="1409"/>
      <c r="DX50" s="1409"/>
      <c r="DY50" s="1409"/>
      <c r="DZ50" s="1409"/>
      <c r="EA50" s="1410"/>
      <c r="EB50" s="1408">
        <v>366920</v>
      </c>
      <c r="EC50" s="1409"/>
      <c r="ED50" s="1409"/>
      <c r="EE50" s="1409"/>
      <c r="EF50" s="1409"/>
      <c r="EG50" s="1409"/>
      <c r="EH50" s="1410"/>
      <c r="EI50" s="1408">
        <v>1463</v>
      </c>
      <c r="EJ50" s="1409"/>
      <c r="EK50" s="1409"/>
      <c r="EL50" s="1409"/>
      <c r="EM50" s="1409"/>
      <c r="EN50" s="1409"/>
      <c r="EO50" s="1410"/>
      <c r="EP50" s="1408"/>
      <c r="EQ50" s="1409"/>
      <c r="ER50" s="1409"/>
      <c r="ES50" s="1409"/>
      <c r="ET50" s="1409"/>
      <c r="EU50" s="1409"/>
      <c r="EV50" s="1409"/>
      <c r="EW50" s="1409"/>
      <c r="EX50" s="1409"/>
      <c r="EY50" s="1410"/>
    </row>
    <row r="51" spans="1:155" s="430" customFormat="1" ht="16.5" customHeight="1">
      <c r="A51" s="1426" t="s">
        <v>1593</v>
      </c>
      <c r="B51" s="1427"/>
      <c r="C51" s="1427"/>
      <c r="D51" s="1427"/>
      <c r="E51" s="1427"/>
      <c r="F51" s="1427"/>
      <c r="G51" s="1427"/>
      <c r="H51" s="1427"/>
      <c r="I51" s="1427"/>
      <c r="J51" s="1427"/>
      <c r="K51" s="1427"/>
      <c r="L51" s="1427"/>
      <c r="M51" s="1427"/>
      <c r="N51" s="1427"/>
      <c r="O51" s="1427"/>
      <c r="P51" s="1427"/>
      <c r="Q51" s="1427"/>
      <c r="R51" s="1427"/>
      <c r="S51" s="1427"/>
      <c r="T51" s="1427"/>
      <c r="U51" s="1427"/>
      <c r="V51" s="1427"/>
      <c r="W51" s="1427"/>
      <c r="X51" s="1427"/>
      <c r="Y51" s="1427"/>
      <c r="Z51" s="1427"/>
      <c r="AA51" s="1427"/>
      <c r="AB51" s="1427"/>
      <c r="AC51" s="1427"/>
      <c r="AD51" s="1427"/>
      <c r="AE51" s="1427"/>
      <c r="AF51" s="1427"/>
      <c r="AG51" s="1427"/>
      <c r="AH51" s="1427"/>
      <c r="AI51" s="1427"/>
      <c r="AJ51" s="1427"/>
      <c r="AK51" s="1427"/>
      <c r="AL51" s="1427"/>
      <c r="AM51" s="1428"/>
      <c r="AN51" s="1414" t="s">
        <v>121</v>
      </c>
      <c r="AO51" s="1415"/>
      <c r="AP51" s="1415"/>
      <c r="AQ51" s="1415"/>
      <c r="AR51" s="1415"/>
      <c r="AS51" s="1415"/>
      <c r="AT51" s="1415"/>
      <c r="AU51" s="1416"/>
      <c r="AV51" s="1417" t="s">
        <v>1594</v>
      </c>
      <c r="AW51" s="1418"/>
      <c r="AX51" s="1418"/>
      <c r="AY51" s="1418"/>
      <c r="AZ51" s="1418"/>
      <c r="BA51" s="1419"/>
      <c r="BB51" s="1408">
        <f t="shared" si="3"/>
        <v>899419</v>
      </c>
      <c r="BC51" s="1409"/>
      <c r="BD51" s="1409"/>
      <c r="BE51" s="1409"/>
      <c r="BF51" s="1409"/>
      <c r="BG51" s="1409"/>
      <c r="BH51" s="1409"/>
      <c r="BI51" s="1409"/>
      <c r="BJ51" s="1410"/>
      <c r="BK51" s="1408">
        <f>BB51</f>
        <v>899419</v>
      </c>
      <c r="BL51" s="1409"/>
      <c r="BM51" s="1409"/>
      <c r="BN51" s="1409"/>
      <c r="BO51" s="1409"/>
      <c r="BP51" s="1409"/>
      <c r="BQ51" s="1409"/>
      <c r="BR51" s="1409"/>
      <c r="BS51" s="1410"/>
      <c r="BT51" s="1397">
        <f>BT52+BT53+BT54+BT55+BT56</f>
        <v>808127</v>
      </c>
      <c r="BU51" s="1398"/>
      <c r="BV51" s="1398"/>
      <c r="BW51" s="1398"/>
      <c r="BX51" s="1398"/>
      <c r="BY51" s="1398"/>
      <c r="BZ51" s="1399"/>
      <c r="CA51" s="1397">
        <f>CA52+CA53+CA54+CA55+CA56</f>
        <v>62865</v>
      </c>
      <c r="CB51" s="1398"/>
      <c r="CC51" s="1398"/>
      <c r="CD51" s="1398"/>
      <c r="CE51" s="1398"/>
      <c r="CF51" s="1398"/>
      <c r="CG51" s="1399"/>
      <c r="CH51" s="1397">
        <f t="shared" si="1"/>
        <v>870992</v>
      </c>
      <c r="CI51" s="1398"/>
      <c r="CJ51" s="1398"/>
      <c r="CK51" s="1398"/>
      <c r="CL51" s="1398"/>
      <c r="CM51" s="1398"/>
      <c r="CN51" s="1399"/>
      <c r="CO51" s="1397">
        <f>CO52+CO53+CO54+CO55+CO56</f>
        <v>28427</v>
      </c>
      <c r="CP51" s="1398"/>
      <c r="CQ51" s="1398"/>
      <c r="CR51" s="1398"/>
      <c r="CS51" s="1398"/>
      <c r="CT51" s="1398"/>
      <c r="CU51" s="1399"/>
      <c r="CV51" s="1408">
        <v>687561</v>
      </c>
      <c r="CW51" s="1409"/>
      <c r="CX51" s="1409"/>
      <c r="CY51" s="1409"/>
      <c r="CZ51" s="1409"/>
      <c r="DA51" s="1409"/>
      <c r="DB51" s="1409"/>
      <c r="DC51" s="1409"/>
      <c r="DD51" s="1410"/>
      <c r="DE51" s="1408">
        <v>687561</v>
      </c>
      <c r="DF51" s="1409"/>
      <c r="DG51" s="1409"/>
      <c r="DH51" s="1409"/>
      <c r="DI51" s="1409"/>
      <c r="DJ51" s="1409"/>
      <c r="DK51" s="1409"/>
      <c r="DL51" s="1409"/>
      <c r="DM51" s="1410"/>
      <c r="DN51" s="1397">
        <v>519657</v>
      </c>
      <c r="DO51" s="1398"/>
      <c r="DP51" s="1398"/>
      <c r="DQ51" s="1398"/>
      <c r="DR51" s="1398"/>
      <c r="DS51" s="1398"/>
      <c r="DT51" s="1399"/>
      <c r="DU51" s="1397">
        <v>45511</v>
      </c>
      <c r="DV51" s="1398"/>
      <c r="DW51" s="1398"/>
      <c r="DX51" s="1398"/>
      <c r="DY51" s="1398"/>
      <c r="DZ51" s="1398"/>
      <c r="EA51" s="1399"/>
      <c r="EB51" s="1408">
        <v>565168</v>
      </c>
      <c r="EC51" s="1409"/>
      <c r="ED51" s="1409"/>
      <c r="EE51" s="1409"/>
      <c r="EF51" s="1409"/>
      <c r="EG51" s="1409"/>
      <c r="EH51" s="1410"/>
      <c r="EI51" s="1397">
        <v>122393</v>
      </c>
      <c r="EJ51" s="1398"/>
      <c r="EK51" s="1398"/>
      <c r="EL51" s="1398"/>
      <c r="EM51" s="1398"/>
      <c r="EN51" s="1398"/>
      <c r="EO51" s="1399"/>
      <c r="EP51" s="1408"/>
      <c r="EQ51" s="1409"/>
      <c r="ER51" s="1409"/>
      <c r="ES51" s="1409"/>
      <c r="ET51" s="1409"/>
      <c r="EU51" s="1409"/>
      <c r="EV51" s="1409"/>
      <c r="EW51" s="1409"/>
      <c r="EX51" s="1409"/>
      <c r="EY51" s="1410"/>
    </row>
    <row r="52" spans="1:155" s="430" customFormat="1" ht="7.8">
      <c r="A52" s="1432" t="s">
        <v>1595</v>
      </c>
      <c r="B52" s="1433"/>
      <c r="C52" s="1433"/>
      <c r="D52" s="1433"/>
      <c r="E52" s="1433"/>
      <c r="F52" s="1433"/>
      <c r="G52" s="1433"/>
      <c r="H52" s="1433"/>
      <c r="I52" s="1433"/>
      <c r="J52" s="1433"/>
      <c r="K52" s="1433"/>
      <c r="L52" s="1433"/>
      <c r="M52" s="1433"/>
      <c r="N52" s="1433"/>
      <c r="O52" s="1433"/>
      <c r="P52" s="1433"/>
      <c r="Q52" s="1433"/>
      <c r="R52" s="1433"/>
      <c r="S52" s="1433"/>
      <c r="T52" s="1433"/>
      <c r="U52" s="1433"/>
      <c r="V52" s="1433"/>
      <c r="W52" s="1433"/>
      <c r="X52" s="1433"/>
      <c r="Y52" s="1433"/>
      <c r="Z52" s="1433"/>
      <c r="AA52" s="1433"/>
      <c r="AB52" s="1433"/>
      <c r="AC52" s="1433"/>
      <c r="AD52" s="1433"/>
      <c r="AE52" s="1433"/>
      <c r="AF52" s="1433"/>
      <c r="AG52" s="1433"/>
      <c r="AH52" s="1433"/>
      <c r="AI52" s="1433"/>
      <c r="AJ52" s="1433"/>
      <c r="AK52" s="1433"/>
      <c r="AL52" s="1433"/>
      <c r="AM52" s="1434"/>
      <c r="AN52" s="1414" t="s">
        <v>121</v>
      </c>
      <c r="AO52" s="1415"/>
      <c r="AP52" s="1415"/>
      <c r="AQ52" s="1415"/>
      <c r="AR52" s="1415"/>
      <c r="AS52" s="1415"/>
      <c r="AT52" s="1415"/>
      <c r="AU52" s="1416"/>
      <c r="AV52" s="1417" t="s">
        <v>1404</v>
      </c>
      <c r="AW52" s="1418"/>
      <c r="AX52" s="1418"/>
      <c r="AY52" s="1418"/>
      <c r="AZ52" s="1418"/>
      <c r="BA52" s="1419"/>
      <c r="BB52" s="1408">
        <f t="shared" si="3"/>
        <v>0</v>
      </c>
      <c r="BC52" s="1409"/>
      <c r="BD52" s="1409"/>
      <c r="BE52" s="1409"/>
      <c r="BF52" s="1409"/>
      <c r="BG52" s="1409"/>
      <c r="BH52" s="1409"/>
      <c r="BI52" s="1409"/>
      <c r="BJ52" s="1410"/>
      <c r="BK52" s="1408">
        <f t="shared" si="4"/>
        <v>0</v>
      </c>
      <c r="BL52" s="1409"/>
      <c r="BM52" s="1409"/>
      <c r="BN52" s="1409"/>
      <c r="BO52" s="1409"/>
      <c r="BP52" s="1409"/>
      <c r="BQ52" s="1409"/>
      <c r="BR52" s="1409"/>
      <c r="BS52" s="1410"/>
      <c r="BT52" s="1397"/>
      <c r="BU52" s="1398"/>
      <c r="BV52" s="1398"/>
      <c r="BW52" s="1398"/>
      <c r="BX52" s="1398"/>
      <c r="BY52" s="1398"/>
      <c r="BZ52" s="1399"/>
      <c r="CA52" s="1397"/>
      <c r="CB52" s="1398"/>
      <c r="CC52" s="1398"/>
      <c r="CD52" s="1398"/>
      <c r="CE52" s="1398"/>
      <c r="CF52" s="1398"/>
      <c r="CG52" s="1399"/>
      <c r="CH52" s="1397">
        <f t="shared" si="1"/>
        <v>0</v>
      </c>
      <c r="CI52" s="1398"/>
      <c r="CJ52" s="1398"/>
      <c r="CK52" s="1398"/>
      <c r="CL52" s="1398"/>
      <c r="CM52" s="1398"/>
      <c r="CN52" s="1399"/>
      <c r="CO52" s="1397"/>
      <c r="CP52" s="1398"/>
      <c r="CQ52" s="1398"/>
      <c r="CR52" s="1398"/>
      <c r="CS52" s="1398"/>
      <c r="CT52" s="1398"/>
      <c r="CU52" s="1399"/>
      <c r="CV52" s="1408">
        <v>0</v>
      </c>
      <c r="CW52" s="1409"/>
      <c r="CX52" s="1409"/>
      <c r="CY52" s="1409"/>
      <c r="CZ52" s="1409"/>
      <c r="DA52" s="1409"/>
      <c r="DB52" s="1409"/>
      <c r="DC52" s="1409"/>
      <c r="DD52" s="1410"/>
      <c r="DE52" s="1408">
        <v>0</v>
      </c>
      <c r="DF52" s="1409"/>
      <c r="DG52" s="1409"/>
      <c r="DH52" s="1409"/>
      <c r="DI52" s="1409"/>
      <c r="DJ52" s="1409"/>
      <c r="DK52" s="1409"/>
      <c r="DL52" s="1409"/>
      <c r="DM52" s="1410"/>
      <c r="DN52" s="1397"/>
      <c r="DO52" s="1398"/>
      <c r="DP52" s="1398"/>
      <c r="DQ52" s="1398"/>
      <c r="DR52" s="1398"/>
      <c r="DS52" s="1398"/>
      <c r="DT52" s="1399"/>
      <c r="DU52" s="1397"/>
      <c r="DV52" s="1398"/>
      <c r="DW52" s="1398"/>
      <c r="DX52" s="1398"/>
      <c r="DY52" s="1398"/>
      <c r="DZ52" s="1398"/>
      <c r="EA52" s="1399"/>
      <c r="EB52" s="1408">
        <v>0</v>
      </c>
      <c r="EC52" s="1409"/>
      <c r="ED52" s="1409"/>
      <c r="EE52" s="1409"/>
      <c r="EF52" s="1409"/>
      <c r="EG52" s="1409"/>
      <c r="EH52" s="1410"/>
      <c r="EI52" s="1397"/>
      <c r="EJ52" s="1398"/>
      <c r="EK52" s="1398"/>
      <c r="EL52" s="1398"/>
      <c r="EM52" s="1398"/>
      <c r="EN52" s="1398"/>
      <c r="EO52" s="1399"/>
      <c r="EP52" s="1408"/>
      <c r="EQ52" s="1409"/>
      <c r="ER52" s="1409"/>
      <c r="ES52" s="1409"/>
      <c r="ET52" s="1409"/>
      <c r="EU52" s="1409"/>
      <c r="EV52" s="1409"/>
      <c r="EW52" s="1409"/>
      <c r="EX52" s="1409"/>
      <c r="EY52" s="1410"/>
    </row>
    <row r="53" spans="1:155" s="430" customFormat="1" ht="7.8">
      <c r="A53" s="1432" t="s">
        <v>1596</v>
      </c>
      <c r="B53" s="1433"/>
      <c r="C53" s="1433"/>
      <c r="D53" s="1433"/>
      <c r="E53" s="1433"/>
      <c r="F53" s="1433"/>
      <c r="G53" s="1433"/>
      <c r="H53" s="1433"/>
      <c r="I53" s="1433"/>
      <c r="J53" s="1433"/>
      <c r="K53" s="1433"/>
      <c r="L53" s="1433"/>
      <c r="M53" s="1433"/>
      <c r="N53" s="1433"/>
      <c r="O53" s="1433"/>
      <c r="P53" s="1433"/>
      <c r="Q53" s="1433"/>
      <c r="R53" s="1433"/>
      <c r="S53" s="1433"/>
      <c r="T53" s="1433"/>
      <c r="U53" s="1433"/>
      <c r="V53" s="1433"/>
      <c r="W53" s="1433"/>
      <c r="X53" s="1433"/>
      <c r="Y53" s="1433"/>
      <c r="Z53" s="1433"/>
      <c r="AA53" s="1433"/>
      <c r="AB53" s="1433"/>
      <c r="AC53" s="1433"/>
      <c r="AD53" s="1433"/>
      <c r="AE53" s="1433"/>
      <c r="AF53" s="1433"/>
      <c r="AG53" s="1433"/>
      <c r="AH53" s="1433"/>
      <c r="AI53" s="1433"/>
      <c r="AJ53" s="1433"/>
      <c r="AK53" s="1433"/>
      <c r="AL53" s="1433"/>
      <c r="AM53" s="1434"/>
      <c r="AN53" s="1414" t="s">
        <v>121</v>
      </c>
      <c r="AO53" s="1415"/>
      <c r="AP53" s="1415"/>
      <c r="AQ53" s="1415"/>
      <c r="AR53" s="1415"/>
      <c r="AS53" s="1415"/>
      <c r="AT53" s="1415"/>
      <c r="AU53" s="1416"/>
      <c r="AV53" s="1417" t="s">
        <v>1248</v>
      </c>
      <c r="AW53" s="1418"/>
      <c r="AX53" s="1418"/>
      <c r="AY53" s="1418"/>
      <c r="AZ53" s="1418"/>
      <c r="BA53" s="1419"/>
      <c r="BB53" s="1408">
        <f t="shared" si="3"/>
        <v>0</v>
      </c>
      <c r="BC53" s="1409"/>
      <c r="BD53" s="1409"/>
      <c r="BE53" s="1409"/>
      <c r="BF53" s="1409"/>
      <c r="BG53" s="1409"/>
      <c r="BH53" s="1409"/>
      <c r="BI53" s="1409"/>
      <c r="BJ53" s="1410"/>
      <c r="BK53" s="1408">
        <f t="shared" si="4"/>
        <v>0</v>
      </c>
      <c r="BL53" s="1409"/>
      <c r="BM53" s="1409"/>
      <c r="BN53" s="1409"/>
      <c r="BO53" s="1409"/>
      <c r="BP53" s="1409"/>
      <c r="BQ53" s="1409"/>
      <c r="BR53" s="1409"/>
      <c r="BS53" s="1410"/>
      <c r="BT53" s="1397"/>
      <c r="BU53" s="1398"/>
      <c r="BV53" s="1398"/>
      <c r="BW53" s="1398"/>
      <c r="BX53" s="1398"/>
      <c r="BY53" s="1398"/>
      <c r="BZ53" s="1399"/>
      <c r="CA53" s="1397"/>
      <c r="CB53" s="1398"/>
      <c r="CC53" s="1398"/>
      <c r="CD53" s="1398"/>
      <c r="CE53" s="1398"/>
      <c r="CF53" s="1398"/>
      <c r="CG53" s="1399"/>
      <c r="CH53" s="1397">
        <f t="shared" si="1"/>
        <v>0</v>
      </c>
      <c r="CI53" s="1398"/>
      <c r="CJ53" s="1398"/>
      <c r="CK53" s="1398"/>
      <c r="CL53" s="1398"/>
      <c r="CM53" s="1398"/>
      <c r="CN53" s="1399"/>
      <c r="CO53" s="1397"/>
      <c r="CP53" s="1398"/>
      <c r="CQ53" s="1398"/>
      <c r="CR53" s="1398"/>
      <c r="CS53" s="1398"/>
      <c r="CT53" s="1398"/>
      <c r="CU53" s="1399"/>
      <c r="CV53" s="1408">
        <v>0</v>
      </c>
      <c r="CW53" s="1409"/>
      <c r="CX53" s="1409"/>
      <c r="CY53" s="1409"/>
      <c r="CZ53" s="1409"/>
      <c r="DA53" s="1409"/>
      <c r="DB53" s="1409"/>
      <c r="DC53" s="1409"/>
      <c r="DD53" s="1410"/>
      <c r="DE53" s="1408">
        <v>0</v>
      </c>
      <c r="DF53" s="1409"/>
      <c r="DG53" s="1409"/>
      <c r="DH53" s="1409"/>
      <c r="DI53" s="1409"/>
      <c r="DJ53" s="1409"/>
      <c r="DK53" s="1409"/>
      <c r="DL53" s="1409"/>
      <c r="DM53" s="1410"/>
      <c r="DN53" s="1397"/>
      <c r="DO53" s="1398"/>
      <c r="DP53" s="1398"/>
      <c r="DQ53" s="1398"/>
      <c r="DR53" s="1398"/>
      <c r="DS53" s="1398"/>
      <c r="DT53" s="1399"/>
      <c r="DU53" s="1397"/>
      <c r="DV53" s="1398"/>
      <c r="DW53" s="1398"/>
      <c r="DX53" s="1398"/>
      <c r="DY53" s="1398"/>
      <c r="DZ53" s="1398"/>
      <c r="EA53" s="1399"/>
      <c r="EB53" s="1408">
        <v>0</v>
      </c>
      <c r="EC53" s="1409"/>
      <c r="ED53" s="1409"/>
      <c r="EE53" s="1409"/>
      <c r="EF53" s="1409"/>
      <c r="EG53" s="1409"/>
      <c r="EH53" s="1410"/>
      <c r="EI53" s="1397"/>
      <c r="EJ53" s="1398"/>
      <c r="EK53" s="1398"/>
      <c r="EL53" s="1398"/>
      <c r="EM53" s="1398"/>
      <c r="EN53" s="1398"/>
      <c r="EO53" s="1399"/>
      <c r="EP53" s="1408"/>
      <c r="EQ53" s="1409"/>
      <c r="ER53" s="1409"/>
      <c r="ES53" s="1409"/>
      <c r="ET53" s="1409"/>
      <c r="EU53" s="1409"/>
      <c r="EV53" s="1409"/>
      <c r="EW53" s="1409"/>
      <c r="EX53" s="1409"/>
      <c r="EY53" s="1410"/>
    </row>
    <row r="54" spans="1:155" s="430" customFormat="1" ht="7.8">
      <c r="A54" s="1432" t="s">
        <v>1597</v>
      </c>
      <c r="B54" s="1433"/>
      <c r="C54" s="1433"/>
      <c r="D54" s="1433"/>
      <c r="E54" s="1433"/>
      <c r="F54" s="1433"/>
      <c r="G54" s="1433"/>
      <c r="H54" s="1433"/>
      <c r="I54" s="1433"/>
      <c r="J54" s="1433"/>
      <c r="K54" s="1433"/>
      <c r="L54" s="1433"/>
      <c r="M54" s="1433"/>
      <c r="N54" s="1433"/>
      <c r="O54" s="1433"/>
      <c r="P54" s="1433"/>
      <c r="Q54" s="1433"/>
      <c r="R54" s="1433"/>
      <c r="S54" s="1433"/>
      <c r="T54" s="1433"/>
      <c r="U54" s="1433"/>
      <c r="V54" s="1433"/>
      <c r="W54" s="1433"/>
      <c r="X54" s="1433"/>
      <c r="Y54" s="1433"/>
      <c r="Z54" s="1433"/>
      <c r="AA54" s="1433"/>
      <c r="AB54" s="1433"/>
      <c r="AC54" s="1433"/>
      <c r="AD54" s="1433"/>
      <c r="AE54" s="1433"/>
      <c r="AF54" s="1433"/>
      <c r="AG54" s="1433"/>
      <c r="AH54" s="1433"/>
      <c r="AI54" s="1433"/>
      <c r="AJ54" s="1433"/>
      <c r="AK54" s="1433"/>
      <c r="AL54" s="1433"/>
      <c r="AM54" s="1434"/>
      <c r="AN54" s="1414" t="s">
        <v>121</v>
      </c>
      <c r="AO54" s="1415"/>
      <c r="AP54" s="1415"/>
      <c r="AQ54" s="1415"/>
      <c r="AR54" s="1415"/>
      <c r="AS54" s="1415"/>
      <c r="AT54" s="1415"/>
      <c r="AU54" s="1416"/>
      <c r="AV54" s="1417" t="s">
        <v>1598</v>
      </c>
      <c r="AW54" s="1418"/>
      <c r="AX54" s="1418"/>
      <c r="AY54" s="1418"/>
      <c r="AZ54" s="1418"/>
      <c r="BA54" s="1419"/>
      <c r="BB54" s="1408">
        <f t="shared" si="3"/>
        <v>0</v>
      </c>
      <c r="BC54" s="1409"/>
      <c r="BD54" s="1409"/>
      <c r="BE54" s="1409"/>
      <c r="BF54" s="1409"/>
      <c r="BG54" s="1409"/>
      <c r="BH54" s="1409"/>
      <c r="BI54" s="1409"/>
      <c r="BJ54" s="1410"/>
      <c r="BK54" s="1408">
        <f t="shared" si="4"/>
        <v>0</v>
      </c>
      <c r="BL54" s="1409"/>
      <c r="BM54" s="1409"/>
      <c r="BN54" s="1409"/>
      <c r="BO54" s="1409"/>
      <c r="BP54" s="1409"/>
      <c r="BQ54" s="1409"/>
      <c r="BR54" s="1409"/>
      <c r="BS54" s="1410"/>
      <c r="BT54" s="1397"/>
      <c r="BU54" s="1398"/>
      <c r="BV54" s="1398"/>
      <c r="BW54" s="1398"/>
      <c r="BX54" s="1398"/>
      <c r="BY54" s="1398"/>
      <c r="BZ54" s="1399"/>
      <c r="CA54" s="1397"/>
      <c r="CB54" s="1398"/>
      <c r="CC54" s="1398"/>
      <c r="CD54" s="1398"/>
      <c r="CE54" s="1398"/>
      <c r="CF54" s="1398"/>
      <c r="CG54" s="1399"/>
      <c r="CH54" s="1397">
        <f t="shared" si="1"/>
        <v>0</v>
      </c>
      <c r="CI54" s="1398"/>
      <c r="CJ54" s="1398"/>
      <c r="CK54" s="1398"/>
      <c r="CL54" s="1398"/>
      <c r="CM54" s="1398"/>
      <c r="CN54" s="1399"/>
      <c r="CO54" s="1397"/>
      <c r="CP54" s="1398"/>
      <c r="CQ54" s="1398"/>
      <c r="CR54" s="1398"/>
      <c r="CS54" s="1398"/>
      <c r="CT54" s="1398"/>
      <c r="CU54" s="1399"/>
      <c r="CV54" s="1408">
        <v>0</v>
      </c>
      <c r="CW54" s="1409"/>
      <c r="CX54" s="1409"/>
      <c r="CY54" s="1409"/>
      <c r="CZ54" s="1409"/>
      <c r="DA54" s="1409"/>
      <c r="DB54" s="1409"/>
      <c r="DC54" s="1409"/>
      <c r="DD54" s="1410"/>
      <c r="DE54" s="1408">
        <v>0</v>
      </c>
      <c r="DF54" s="1409"/>
      <c r="DG54" s="1409"/>
      <c r="DH54" s="1409"/>
      <c r="DI54" s="1409"/>
      <c r="DJ54" s="1409"/>
      <c r="DK54" s="1409"/>
      <c r="DL54" s="1409"/>
      <c r="DM54" s="1410"/>
      <c r="DN54" s="1397"/>
      <c r="DO54" s="1398"/>
      <c r="DP54" s="1398"/>
      <c r="DQ54" s="1398"/>
      <c r="DR54" s="1398"/>
      <c r="DS54" s="1398"/>
      <c r="DT54" s="1399"/>
      <c r="DU54" s="1397"/>
      <c r="DV54" s="1398"/>
      <c r="DW54" s="1398"/>
      <c r="DX54" s="1398"/>
      <c r="DY54" s="1398"/>
      <c r="DZ54" s="1398"/>
      <c r="EA54" s="1399"/>
      <c r="EB54" s="1408">
        <v>0</v>
      </c>
      <c r="EC54" s="1409"/>
      <c r="ED54" s="1409"/>
      <c r="EE54" s="1409"/>
      <c r="EF54" s="1409"/>
      <c r="EG54" s="1409"/>
      <c r="EH54" s="1410"/>
      <c r="EI54" s="1397"/>
      <c r="EJ54" s="1398"/>
      <c r="EK54" s="1398"/>
      <c r="EL54" s="1398"/>
      <c r="EM54" s="1398"/>
      <c r="EN54" s="1398"/>
      <c r="EO54" s="1399"/>
      <c r="EP54" s="1408"/>
      <c r="EQ54" s="1409"/>
      <c r="ER54" s="1409"/>
      <c r="ES54" s="1409"/>
      <c r="ET54" s="1409"/>
      <c r="EU54" s="1409"/>
      <c r="EV54" s="1409"/>
      <c r="EW54" s="1409"/>
      <c r="EX54" s="1409"/>
      <c r="EY54" s="1410"/>
    </row>
    <row r="55" spans="1:155" s="430" customFormat="1" ht="7.8">
      <c r="A55" s="1432" t="s">
        <v>1599</v>
      </c>
      <c r="B55" s="1433"/>
      <c r="C55" s="1433"/>
      <c r="D55" s="1433"/>
      <c r="E55" s="1433"/>
      <c r="F55" s="1433"/>
      <c r="G55" s="1433"/>
      <c r="H55" s="1433"/>
      <c r="I55" s="1433"/>
      <c r="J55" s="1433"/>
      <c r="K55" s="1433"/>
      <c r="L55" s="1433"/>
      <c r="M55" s="1433"/>
      <c r="N55" s="1433"/>
      <c r="O55" s="1433"/>
      <c r="P55" s="1433"/>
      <c r="Q55" s="1433"/>
      <c r="R55" s="1433"/>
      <c r="S55" s="1433"/>
      <c r="T55" s="1433"/>
      <c r="U55" s="1433"/>
      <c r="V55" s="1433"/>
      <c r="W55" s="1433"/>
      <c r="X55" s="1433"/>
      <c r="Y55" s="1433"/>
      <c r="Z55" s="1433"/>
      <c r="AA55" s="1433"/>
      <c r="AB55" s="1433"/>
      <c r="AC55" s="1433"/>
      <c r="AD55" s="1433"/>
      <c r="AE55" s="1433"/>
      <c r="AF55" s="1433"/>
      <c r="AG55" s="1433"/>
      <c r="AH55" s="1433"/>
      <c r="AI55" s="1433"/>
      <c r="AJ55" s="1433"/>
      <c r="AK55" s="1433"/>
      <c r="AL55" s="1433"/>
      <c r="AM55" s="1434"/>
      <c r="AN55" s="1414" t="s">
        <v>121</v>
      </c>
      <c r="AO55" s="1415"/>
      <c r="AP55" s="1415"/>
      <c r="AQ55" s="1415"/>
      <c r="AR55" s="1415"/>
      <c r="AS55" s="1415"/>
      <c r="AT55" s="1415"/>
      <c r="AU55" s="1416"/>
      <c r="AV55" s="1417" t="s">
        <v>1600</v>
      </c>
      <c r="AW55" s="1418"/>
      <c r="AX55" s="1418"/>
      <c r="AY55" s="1418"/>
      <c r="AZ55" s="1418"/>
      <c r="BA55" s="1419"/>
      <c r="BB55" s="1408">
        <f t="shared" si="3"/>
        <v>90062</v>
      </c>
      <c r="BC55" s="1409"/>
      <c r="BD55" s="1409"/>
      <c r="BE55" s="1409"/>
      <c r="BF55" s="1409"/>
      <c r="BG55" s="1409"/>
      <c r="BH55" s="1409"/>
      <c r="BI55" s="1409"/>
      <c r="BJ55" s="1410"/>
      <c r="BK55" s="1408">
        <f t="shared" si="4"/>
        <v>90062</v>
      </c>
      <c r="BL55" s="1409"/>
      <c r="BM55" s="1409"/>
      <c r="BN55" s="1409"/>
      <c r="BO55" s="1409"/>
      <c r="BP55" s="1409"/>
      <c r="BQ55" s="1409"/>
      <c r="BR55" s="1409"/>
      <c r="BS55" s="1410"/>
      <c r="BT55" s="1397">
        <v>77588</v>
      </c>
      <c r="BU55" s="1398"/>
      <c r="BV55" s="1398"/>
      <c r="BW55" s="1398"/>
      <c r="BX55" s="1398"/>
      <c r="BY55" s="1398"/>
      <c r="BZ55" s="1399"/>
      <c r="CA55" s="1397">
        <v>11412</v>
      </c>
      <c r="CB55" s="1398"/>
      <c r="CC55" s="1398"/>
      <c r="CD55" s="1398"/>
      <c r="CE55" s="1398"/>
      <c r="CF55" s="1398"/>
      <c r="CG55" s="1399"/>
      <c r="CH55" s="1397">
        <f t="shared" si="1"/>
        <v>89000</v>
      </c>
      <c r="CI55" s="1398"/>
      <c r="CJ55" s="1398"/>
      <c r="CK55" s="1398"/>
      <c r="CL55" s="1398"/>
      <c r="CM55" s="1398"/>
      <c r="CN55" s="1399"/>
      <c r="CO55" s="1397">
        <v>1062</v>
      </c>
      <c r="CP55" s="1398"/>
      <c r="CQ55" s="1398"/>
      <c r="CR55" s="1398"/>
      <c r="CS55" s="1398"/>
      <c r="CT55" s="1398"/>
      <c r="CU55" s="1399"/>
      <c r="CV55" s="1408">
        <v>82436</v>
      </c>
      <c r="CW55" s="1409"/>
      <c r="CX55" s="1409"/>
      <c r="CY55" s="1409"/>
      <c r="CZ55" s="1409"/>
      <c r="DA55" s="1409"/>
      <c r="DB55" s="1409"/>
      <c r="DC55" s="1409"/>
      <c r="DD55" s="1410"/>
      <c r="DE55" s="1408">
        <v>82436</v>
      </c>
      <c r="DF55" s="1409"/>
      <c r="DG55" s="1409"/>
      <c r="DH55" s="1409"/>
      <c r="DI55" s="1409"/>
      <c r="DJ55" s="1409"/>
      <c r="DK55" s="1409"/>
      <c r="DL55" s="1409"/>
      <c r="DM55" s="1410"/>
      <c r="DN55" s="1397">
        <v>70210</v>
      </c>
      <c r="DO55" s="1398"/>
      <c r="DP55" s="1398"/>
      <c r="DQ55" s="1398"/>
      <c r="DR55" s="1398"/>
      <c r="DS55" s="1398"/>
      <c r="DT55" s="1399"/>
      <c r="DU55" s="1397">
        <v>4182</v>
      </c>
      <c r="DV55" s="1398"/>
      <c r="DW55" s="1398"/>
      <c r="DX55" s="1398"/>
      <c r="DY55" s="1398"/>
      <c r="DZ55" s="1398"/>
      <c r="EA55" s="1399"/>
      <c r="EB55" s="1408">
        <v>74392</v>
      </c>
      <c r="EC55" s="1409"/>
      <c r="ED55" s="1409"/>
      <c r="EE55" s="1409"/>
      <c r="EF55" s="1409"/>
      <c r="EG55" s="1409"/>
      <c r="EH55" s="1410"/>
      <c r="EI55" s="1397">
        <v>8044</v>
      </c>
      <c r="EJ55" s="1398"/>
      <c r="EK55" s="1398"/>
      <c r="EL55" s="1398"/>
      <c r="EM55" s="1398"/>
      <c r="EN55" s="1398"/>
      <c r="EO55" s="1399"/>
      <c r="EP55" s="1408"/>
      <c r="EQ55" s="1409"/>
      <c r="ER55" s="1409"/>
      <c r="ES55" s="1409"/>
      <c r="ET55" s="1409"/>
      <c r="EU55" s="1409"/>
      <c r="EV55" s="1409"/>
      <c r="EW55" s="1409"/>
      <c r="EX55" s="1409"/>
      <c r="EY55" s="1410"/>
    </row>
    <row r="56" spans="1:155" s="430" customFormat="1" ht="7.8">
      <c r="A56" s="1432" t="s">
        <v>1601</v>
      </c>
      <c r="B56" s="1433"/>
      <c r="C56" s="1433"/>
      <c r="D56" s="1433"/>
      <c r="E56" s="1433"/>
      <c r="F56" s="1433"/>
      <c r="G56" s="1433"/>
      <c r="H56" s="1433"/>
      <c r="I56" s="1433"/>
      <c r="J56" s="1433"/>
      <c r="K56" s="1433"/>
      <c r="L56" s="1433"/>
      <c r="M56" s="1433"/>
      <c r="N56" s="1433"/>
      <c r="O56" s="1433"/>
      <c r="P56" s="1433"/>
      <c r="Q56" s="1433"/>
      <c r="R56" s="1433"/>
      <c r="S56" s="1433"/>
      <c r="T56" s="1433"/>
      <c r="U56" s="1433"/>
      <c r="V56" s="1433"/>
      <c r="W56" s="1433"/>
      <c r="X56" s="1433"/>
      <c r="Y56" s="1433"/>
      <c r="Z56" s="1433"/>
      <c r="AA56" s="1433"/>
      <c r="AB56" s="1433"/>
      <c r="AC56" s="1433"/>
      <c r="AD56" s="1433"/>
      <c r="AE56" s="1433"/>
      <c r="AF56" s="1433"/>
      <c r="AG56" s="1433"/>
      <c r="AH56" s="1433"/>
      <c r="AI56" s="1433"/>
      <c r="AJ56" s="1433"/>
      <c r="AK56" s="1433"/>
      <c r="AL56" s="1433"/>
      <c r="AM56" s="1434"/>
      <c r="AN56" s="1414" t="s">
        <v>121</v>
      </c>
      <c r="AO56" s="1415"/>
      <c r="AP56" s="1415"/>
      <c r="AQ56" s="1415"/>
      <c r="AR56" s="1415"/>
      <c r="AS56" s="1415"/>
      <c r="AT56" s="1415"/>
      <c r="AU56" s="1416"/>
      <c r="AV56" s="1417" t="s">
        <v>1602</v>
      </c>
      <c r="AW56" s="1418"/>
      <c r="AX56" s="1418"/>
      <c r="AY56" s="1418"/>
      <c r="AZ56" s="1418"/>
      <c r="BA56" s="1419"/>
      <c r="BB56" s="1408">
        <f t="shared" si="3"/>
        <v>809357</v>
      </c>
      <c r="BC56" s="1409"/>
      <c r="BD56" s="1409"/>
      <c r="BE56" s="1409"/>
      <c r="BF56" s="1409"/>
      <c r="BG56" s="1409"/>
      <c r="BH56" s="1409"/>
      <c r="BI56" s="1409"/>
      <c r="BJ56" s="1410"/>
      <c r="BK56" s="1408">
        <f>BB56</f>
        <v>809357</v>
      </c>
      <c r="BL56" s="1409"/>
      <c r="BM56" s="1409"/>
      <c r="BN56" s="1409"/>
      <c r="BO56" s="1409"/>
      <c r="BP56" s="1409"/>
      <c r="BQ56" s="1409"/>
      <c r="BR56" s="1409"/>
      <c r="BS56" s="1410"/>
      <c r="BT56" s="1397">
        <f>808127-BT55</f>
        <v>730539</v>
      </c>
      <c r="BU56" s="1398"/>
      <c r="BV56" s="1398"/>
      <c r="BW56" s="1398"/>
      <c r="BX56" s="1398"/>
      <c r="BY56" s="1398"/>
      <c r="BZ56" s="1399"/>
      <c r="CA56" s="1397">
        <f>62865-CA55</f>
        <v>51453</v>
      </c>
      <c r="CB56" s="1398"/>
      <c r="CC56" s="1398"/>
      <c r="CD56" s="1398"/>
      <c r="CE56" s="1398"/>
      <c r="CF56" s="1398"/>
      <c r="CG56" s="1399"/>
      <c r="CH56" s="1397">
        <f t="shared" si="1"/>
        <v>781992</v>
      </c>
      <c r="CI56" s="1398"/>
      <c r="CJ56" s="1398"/>
      <c r="CK56" s="1398"/>
      <c r="CL56" s="1398"/>
      <c r="CM56" s="1398"/>
      <c r="CN56" s="1399"/>
      <c r="CO56" s="1397">
        <f>28427-CO55</f>
        <v>27365</v>
      </c>
      <c r="CP56" s="1398"/>
      <c r="CQ56" s="1398"/>
      <c r="CR56" s="1398"/>
      <c r="CS56" s="1398"/>
      <c r="CT56" s="1398"/>
      <c r="CU56" s="1399"/>
      <c r="CV56" s="1408">
        <v>605125</v>
      </c>
      <c r="CW56" s="1409"/>
      <c r="CX56" s="1409"/>
      <c r="CY56" s="1409"/>
      <c r="CZ56" s="1409"/>
      <c r="DA56" s="1409"/>
      <c r="DB56" s="1409"/>
      <c r="DC56" s="1409"/>
      <c r="DD56" s="1410"/>
      <c r="DE56" s="1408">
        <v>605125</v>
      </c>
      <c r="DF56" s="1409"/>
      <c r="DG56" s="1409"/>
      <c r="DH56" s="1409"/>
      <c r="DI56" s="1409"/>
      <c r="DJ56" s="1409"/>
      <c r="DK56" s="1409"/>
      <c r="DL56" s="1409"/>
      <c r="DM56" s="1410"/>
      <c r="DN56" s="1397">
        <v>449447</v>
      </c>
      <c r="DO56" s="1398"/>
      <c r="DP56" s="1398"/>
      <c r="DQ56" s="1398"/>
      <c r="DR56" s="1398"/>
      <c r="DS56" s="1398"/>
      <c r="DT56" s="1399"/>
      <c r="DU56" s="1397">
        <v>41329</v>
      </c>
      <c r="DV56" s="1398"/>
      <c r="DW56" s="1398"/>
      <c r="DX56" s="1398"/>
      <c r="DY56" s="1398"/>
      <c r="DZ56" s="1398"/>
      <c r="EA56" s="1399"/>
      <c r="EB56" s="1408">
        <v>490776</v>
      </c>
      <c r="EC56" s="1409"/>
      <c r="ED56" s="1409"/>
      <c r="EE56" s="1409"/>
      <c r="EF56" s="1409"/>
      <c r="EG56" s="1409"/>
      <c r="EH56" s="1410"/>
      <c r="EI56" s="1397">
        <v>114349</v>
      </c>
      <c r="EJ56" s="1398"/>
      <c r="EK56" s="1398"/>
      <c r="EL56" s="1398"/>
      <c r="EM56" s="1398"/>
      <c r="EN56" s="1398"/>
      <c r="EO56" s="1399"/>
      <c r="EP56" s="1408"/>
      <c r="EQ56" s="1409"/>
      <c r="ER56" s="1409"/>
      <c r="ES56" s="1409"/>
      <c r="ET56" s="1409"/>
      <c r="EU56" s="1409"/>
      <c r="EV56" s="1409"/>
      <c r="EW56" s="1409"/>
      <c r="EX56" s="1409"/>
      <c r="EY56" s="1410"/>
    </row>
    <row r="57" spans="1:155" s="430" customFormat="1" ht="7.8">
      <c r="A57" s="1426" t="s">
        <v>1603</v>
      </c>
      <c r="B57" s="1427"/>
      <c r="C57" s="1427"/>
      <c r="D57" s="1427"/>
      <c r="E57" s="1427"/>
      <c r="F57" s="1427"/>
      <c r="G57" s="1427"/>
      <c r="H57" s="1427"/>
      <c r="I57" s="1427"/>
      <c r="J57" s="1427"/>
      <c r="K57" s="1427"/>
      <c r="L57" s="1427"/>
      <c r="M57" s="1427"/>
      <c r="N57" s="1427"/>
      <c r="O57" s="1427"/>
      <c r="P57" s="1427"/>
      <c r="Q57" s="1427"/>
      <c r="R57" s="1427"/>
      <c r="S57" s="1427"/>
      <c r="T57" s="1427"/>
      <c r="U57" s="1427"/>
      <c r="V57" s="1427"/>
      <c r="W57" s="1427"/>
      <c r="X57" s="1427"/>
      <c r="Y57" s="1427"/>
      <c r="Z57" s="1427"/>
      <c r="AA57" s="1427"/>
      <c r="AB57" s="1427"/>
      <c r="AC57" s="1427"/>
      <c r="AD57" s="1427"/>
      <c r="AE57" s="1427"/>
      <c r="AF57" s="1427"/>
      <c r="AG57" s="1427"/>
      <c r="AH57" s="1427"/>
      <c r="AI57" s="1427"/>
      <c r="AJ57" s="1427"/>
      <c r="AK57" s="1427"/>
      <c r="AL57" s="1427"/>
      <c r="AM57" s="1428"/>
      <c r="AN57" s="1414" t="s">
        <v>121</v>
      </c>
      <c r="AO57" s="1415"/>
      <c r="AP57" s="1415"/>
      <c r="AQ57" s="1415"/>
      <c r="AR57" s="1415"/>
      <c r="AS57" s="1415"/>
      <c r="AT57" s="1415"/>
      <c r="AU57" s="1416"/>
      <c r="AV57" s="1417" t="s">
        <v>1604</v>
      </c>
      <c r="AW57" s="1418"/>
      <c r="AX57" s="1418"/>
      <c r="AY57" s="1418"/>
      <c r="AZ57" s="1418"/>
      <c r="BA57" s="1419"/>
      <c r="BB57" s="1408">
        <f t="shared" si="3"/>
        <v>134033</v>
      </c>
      <c r="BC57" s="1409"/>
      <c r="BD57" s="1409"/>
      <c r="BE57" s="1409"/>
      <c r="BF57" s="1409"/>
      <c r="BG57" s="1409"/>
      <c r="BH57" s="1409"/>
      <c r="BI57" s="1409"/>
      <c r="BJ57" s="1410"/>
      <c r="BK57" s="1408">
        <f t="shared" si="4"/>
        <v>134033</v>
      </c>
      <c r="BL57" s="1409"/>
      <c r="BM57" s="1409"/>
      <c r="BN57" s="1409"/>
      <c r="BO57" s="1409"/>
      <c r="BP57" s="1409"/>
      <c r="BQ57" s="1409"/>
      <c r="BR57" s="1409"/>
      <c r="BS57" s="1410"/>
      <c r="BT57" s="1397">
        <v>74496</v>
      </c>
      <c r="BU57" s="1398"/>
      <c r="BV57" s="1398"/>
      <c r="BW57" s="1398"/>
      <c r="BX57" s="1398"/>
      <c r="BY57" s="1398"/>
      <c r="BZ57" s="1399"/>
      <c r="CA57" s="1397">
        <v>45788</v>
      </c>
      <c r="CB57" s="1398"/>
      <c r="CC57" s="1398"/>
      <c r="CD57" s="1398"/>
      <c r="CE57" s="1398"/>
      <c r="CF57" s="1398"/>
      <c r="CG57" s="1399"/>
      <c r="CH57" s="1397">
        <f t="shared" si="1"/>
        <v>120284</v>
      </c>
      <c r="CI57" s="1398"/>
      <c r="CJ57" s="1398"/>
      <c r="CK57" s="1398"/>
      <c r="CL57" s="1398"/>
      <c r="CM57" s="1398"/>
      <c r="CN57" s="1399"/>
      <c r="CO57" s="1397">
        <v>13749</v>
      </c>
      <c r="CP57" s="1398"/>
      <c r="CQ57" s="1398"/>
      <c r="CR57" s="1398"/>
      <c r="CS57" s="1398"/>
      <c r="CT57" s="1398"/>
      <c r="CU57" s="1399"/>
      <c r="CV57" s="1408">
        <v>14303</v>
      </c>
      <c r="CW57" s="1409"/>
      <c r="CX57" s="1409"/>
      <c r="CY57" s="1409"/>
      <c r="CZ57" s="1409"/>
      <c r="DA57" s="1409"/>
      <c r="DB57" s="1409"/>
      <c r="DC57" s="1409"/>
      <c r="DD57" s="1410"/>
      <c r="DE57" s="1408">
        <v>14303</v>
      </c>
      <c r="DF57" s="1409"/>
      <c r="DG57" s="1409"/>
      <c r="DH57" s="1409"/>
      <c r="DI57" s="1409"/>
      <c r="DJ57" s="1409"/>
      <c r="DK57" s="1409"/>
      <c r="DL57" s="1409"/>
      <c r="DM57" s="1410"/>
      <c r="DN57" s="1397">
        <v>-33146</v>
      </c>
      <c r="DO57" s="1398"/>
      <c r="DP57" s="1398"/>
      <c r="DQ57" s="1398"/>
      <c r="DR57" s="1398"/>
      <c r="DS57" s="1398"/>
      <c r="DT57" s="1399"/>
      <c r="DU57" s="1397">
        <v>39681</v>
      </c>
      <c r="DV57" s="1398"/>
      <c r="DW57" s="1398"/>
      <c r="DX57" s="1398"/>
      <c r="DY57" s="1398"/>
      <c r="DZ57" s="1398"/>
      <c r="EA57" s="1399"/>
      <c r="EB57" s="1408">
        <v>6535</v>
      </c>
      <c r="EC57" s="1409"/>
      <c r="ED57" s="1409"/>
      <c r="EE57" s="1409"/>
      <c r="EF57" s="1409"/>
      <c r="EG57" s="1409"/>
      <c r="EH57" s="1410"/>
      <c r="EI57" s="1397">
        <v>7768</v>
      </c>
      <c r="EJ57" s="1398"/>
      <c r="EK57" s="1398"/>
      <c r="EL57" s="1398"/>
      <c r="EM57" s="1398"/>
      <c r="EN57" s="1398"/>
      <c r="EO57" s="1399"/>
      <c r="EP57" s="1408"/>
      <c r="EQ57" s="1409"/>
      <c r="ER57" s="1409"/>
      <c r="ES57" s="1409"/>
      <c r="ET57" s="1409"/>
      <c r="EU57" s="1409"/>
      <c r="EV57" s="1409"/>
      <c r="EW57" s="1409"/>
      <c r="EX57" s="1409"/>
      <c r="EY57" s="1410"/>
    </row>
    <row r="58" spans="1:155" s="431" customFormat="1" ht="7.8">
      <c r="A58" s="1429" t="s">
        <v>1605</v>
      </c>
      <c r="B58" s="1430"/>
      <c r="C58" s="1430"/>
      <c r="D58" s="1430"/>
      <c r="E58" s="1430"/>
      <c r="F58" s="1430"/>
      <c r="G58" s="1430"/>
      <c r="H58" s="1430"/>
      <c r="I58" s="1430"/>
      <c r="J58" s="1430"/>
      <c r="K58" s="1430"/>
      <c r="L58" s="1430"/>
      <c r="M58" s="1430"/>
      <c r="N58" s="1430"/>
      <c r="O58" s="1430"/>
      <c r="P58" s="1430"/>
      <c r="Q58" s="1430"/>
      <c r="R58" s="1430"/>
      <c r="S58" s="1430"/>
      <c r="T58" s="1430"/>
      <c r="U58" s="1430"/>
      <c r="V58" s="1430"/>
      <c r="W58" s="1430"/>
      <c r="X58" s="1430"/>
      <c r="Y58" s="1430"/>
      <c r="Z58" s="1430"/>
      <c r="AA58" s="1430"/>
      <c r="AB58" s="1430"/>
      <c r="AC58" s="1430"/>
      <c r="AD58" s="1430"/>
      <c r="AE58" s="1430"/>
      <c r="AF58" s="1430"/>
      <c r="AG58" s="1430"/>
      <c r="AH58" s="1430"/>
      <c r="AI58" s="1430"/>
      <c r="AJ58" s="1430"/>
      <c r="AK58" s="1430"/>
      <c r="AL58" s="1430"/>
      <c r="AM58" s="1430"/>
      <c r="AN58" s="1430"/>
      <c r="AO58" s="1430"/>
      <c r="AP58" s="1430"/>
      <c r="AQ58" s="1430"/>
      <c r="AR58" s="1430"/>
      <c r="AS58" s="1430"/>
      <c r="AT58" s="1430"/>
      <c r="AU58" s="1430"/>
      <c r="AV58" s="1430"/>
      <c r="AW58" s="1430"/>
      <c r="AX58" s="1430"/>
      <c r="AY58" s="1430"/>
      <c r="AZ58" s="1430"/>
      <c r="BA58" s="1430"/>
      <c r="BB58" s="1430"/>
      <c r="BC58" s="1430"/>
      <c r="BD58" s="1430"/>
      <c r="BE58" s="1430"/>
      <c r="BF58" s="1430"/>
      <c r="BG58" s="1430"/>
      <c r="BH58" s="1430"/>
      <c r="BI58" s="1430"/>
      <c r="BJ58" s="1430"/>
      <c r="BK58" s="1430"/>
      <c r="BL58" s="1430"/>
      <c r="BM58" s="1430"/>
      <c r="BN58" s="1430"/>
      <c r="BO58" s="1430"/>
      <c r="BP58" s="1430"/>
      <c r="BQ58" s="1430"/>
      <c r="BR58" s="1430"/>
      <c r="BS58" s="1430"/>
      <c r="BT58" s="1430"/>
      <c r="BU58" s="1430"/>
      <c r="BV58" s="1430"/>
      <c r="BW58" s="1430"/>
      <c r="BX58" s="1430"/>
      <c r="BY58" s="1430"/>
      <c r="BZ58" s="1430"/>
      <c r="CA58" s="1430"/>
      <c r="CB58" s="1430"/>
      <c r="CC58" s="1430"/>
      <c r="CD58" s="1430"/>
      <c r="CE58" s="1430"/>
      <c r="CF58" s="1430"/>
      <c r="CG58" s="1430"/>
      <c r="CH58" s="1430"/>
      <c r="CI58" s="1430"/>
      <c r="CJ58" s="1430"/>
      <c r="CK58" s="1430"/>
      <c r="CL58" s="1430"/>
      <c r="CM58" s="1430"/>
      <c r="CN58" s="1430"/>
      <c r="CO58" s="1430"/>
      <c r="CP58" s="1430"/>
      <c r="CQ58" s="1430"/>
      <c r="CR58" s="1430"/>
      <c r="CS58" s="1430"/>
      <c r="CT58" s="1430"/>
      <c r="CU58" s="1430"/>
      <c r="CV58" s="1430"/>
      <c r="CW58" s="1430"/>
      <c r="CX58" s="1430"/>
      <c r="CY58" s="1430"/>
      <c r="CZ58" s="1430"/>
      <c r="DA58" s="1430"/>
      <c r="DB58" s="1430"/>
      <c r="DC58" s="1430"/>
      <c r="DD58" s="1430"/>
      <c r="DE58" s="1430"/>
      <c r="DF58" s="1430"/>
      <c r="DG58" s="1430"/>
      <c r="DH58" s="1430"/>
      <c r="DI58" s="1430"/>
      <c r="DJ58" s="1430"/>
      <c r="DK58" s="1430"/>
      <c r="DL58" s="1430"/>
      <c r="DM58" s="1430"/>
      <c r="DN58" s="1430"/>
      <c r="DO58" s="1430"/>
      <c r="DP58" s="1430"/>
      <c r="DQ58" s="1430"/>
      <c r="DR58" s="1430"/>
      <c r="DS58" s="1430"/>
      <c r="DT58" s="1430"/>
      <c r="DU58" s="1430"/>
      <c r="DV58" s="1430"/>
      <c r="DW58" s="1430"/>
      <c r="DX58" s="1430"/>
      <c r="DY58" s="1430"/>
      <c r="DZ58" s="1430"/>
      <c r="EA58" s="1430"/>
      <c r="EB58" s="1430"/>
      <c r="EC58" s="1430"/>
      <c r="ED58" s="1430"/>
      <c r="EE58" s="1430"/>
      <c r="EF58" s="1430"/>
      <c r="EG58" s="1430"/>
      <c r="EH58" s="1430"/>
      <c r="EI58" s="1430"/>
      <c r="EJ58" s="1430"/>
      <c r="EK58" s="1430"/>
      <c r="EL58" s="1430"/>
      <c r="EM58" s="1430"/>
      <c r="EN58" s="1430"/>
      <c r="EO58" s="1430"/>
      <c r="EP58" s="1430"/>
      <c r="EQ58" s="1430"/>
      <c r="ER58" s="1430"/>
      <c r="ES58" s="1430"/>
      <c r="ET58" s="1430"/>
      <c r="EU58" s="1430"/>
      <c r="EV58" s="1430"/>
      <c r="EW58" s="1430"/>
      <c r="EX58" s="1430"/>
      <c r="EY58" s="1431"/>
    </row>
    <row r="59" spans="1:155" s="430" customFormat="1" ht="7.8">
      <c r="A59" s="1426" t="s">
        <v>1606</v>
      </c>
      <c r="B59" s="1427"/>
      <c r="C59" s="1427"/>
      <c r="D59" s="1427"/>
      <c r="E59" s="1427"/>
      <c r="F59" s="1427"/>
      <c r="G59" s="1427"/>
      <c r="H59" s="1427"/>
      <c r="I59" s="1427"/>
      <c r="J59" s="1427"/>
      <c r="K59" s="1427"/>
      <c r="L59" s="1427"/>
      <c r="M59" s="1427"/>
      <c r="N59" s="1427"/>
      <c r="O59" s="1427"/>
      <c r="P59" s="1427"/>
      <c r="Q59" s="1427"/>
      <c r="R59" s="1427"/>
      <c r="S59" s="1427"/>
      <c r="T59" s="1427"/>
      <c r="U59" s="1427"/>
      <c r="V59" s="1427"/>
      <c r="W59" s="1427"/>
      <c r="X59" s="1427"/>
      <c r="Y59" s="1427"/>
      <c r="Z59" s="1427"/>
      <c r="AA59" s="1427"/>
      <c r="AB59" s="1427"/>
      <c r="AC59" s="1427"/>
      <c r="AD59" s="1427"/>
      <c r="AE59" s="1427"/>
      <c r="AF59" s="1427"/>
      <c r="AG59" s="1427"/>
      <c r="AH59" s="1427"/>
      <c r="AI59" s="1427"/>
      <c r="AJ59" s="1427"/>
      <c r="AK59" s="1427"/>
      <c r="AL59" s="1427"/>
      <c r="AM59" s="1428"/>
      <c r="AN59" s="1420" t="s">
        <v>121</v>
      </c>
      <c r="AO59" s="1421"/>
      <c r="AP59" s="1421"/>
      <c r="AQ59" s="1421"/>
      <c r="AR59" s="1421"/>
      <c r="AS59" s="1421"/>
      <c r="AT59" s="1421"/>
      <c r="AU59" s="1422"/>
      <c r="AV59" s="1423" t="s">
        <v>1607</v>
      </c>
      <c r="AW59" s="1424"/>
      <c r="AX59" s="1424"/>
      <c r="AY59" s="1424"/>
      <c r="AZ59" s="1424"/>
      <c r="BA59" s="1425"/>
      <c r="BB59" s="1408">
        <f>BT59+CA59+CO59</f>
        <v>7672390</v>
      </c>
      <c r="BC59" s="1409"/>
      <c r="BD59" s="1409"/>
      <c r="BE59" s="1409"/>
      <c r="BF59" s="1409"/>
      <c r="BG59" s="1409"/>
      <c r="BH59" s="1409"/>
      <c r="BI59" s="1409"/>
      <c r="BJ59" s="1410"/>
      <c r="BK59" s="1397">
        <f>BB59</f>
        <v>7672390</v>
      </c>
      <c r="BL59" s="1398"/>
      <c r="BM59" s="1398"/>
      <c r="BN59" s="1398"/>
      <c r="BO59" s="1398"/>
      <c r="BP59" s="1398"/>
      <c r="BQ59" s="1398"/>
      <c r="BR59" s="1398"/>
      <c r="BS59" s="1399"/>
      <c r="BT59" s="1408">
        <f>BT21-BT60</f>
        <v>7482370</v>
      </c>
      <c r="BU59" s="1409"/>
      <c r="BV59" s="1409"/>
      <c r="BW59" s="1409"/>
      <c r="BX59" s="1409"/>
      <c r="BY59" s="1409"/>
      <c r="BZ59" s="1410"/>
      <c r="CA59" s="1408">
        <f>CA21-CA60</f>
        <v>128778</v>
      </c>
      <c r="CB59" s="1409"/>
      <c r="CC59" s="1409"/>
      <c r="CD59" s="1409"/>
      <c r="CE59" s="1409"/>
      <c r="CF59" s="1409"/>
      <c r="CG59" s="1410"/>
      <c r="CH59" s="1408">
        <f>BT59+CA59</f>
        <v>7611148</v>
      </c>
      <c r="CI59" s="1409"/>
      <c r="CJ59" s="1409"/>
      <c r="CK59" s="1409"/>
      <c r="CL59" s="1409"/>
      <c r="CM59" s="1409"/>
      <c r="CN59" s="1410"/>
      <c r="CO59" s="1408">
        <f>CO21-CO60</f>
        <v>61242</v>
      </c>
      <c r="CP59" s="1409"/>
      <c r="CQ59" s="1409"/>
      <c r="CR59" s="1409"/>
      <c r="CS59" s="1409"/>
      <c r="CT59" s="1409"/>
      <c r="CU59" s="1410"/>
      <c r="CV59" s="1408">
        <v>6613917</v>
      </c>
      <c r="CW59" s="1409"/>
      <c r="CX59" s="1409"/>
      <c r="CY59" s="1409"/>
      <c r="CZ59" s="1409"/>
      <c r="DA59" s="1409"/>
      <c r="DB59" s="1409"/>
      <c r="DC59" s="1409"/>
      <c r="DD59" s="1410"/>
      <c r="DE59" s="1408">
        <v>6613917</v>
      </c>
      <c r="DF59" s="1409"/>
      <c r="DG59" s="1409"/>
      <c r="DH59" s="1409"/>
      <c r="DI59" s="1409"/>
      <c r="DJ59" s="1409"/>
      <c r="DK59" s="1409"/>
      <c r="DL59" s="1409"/>
      <c r="DM59" s="1410"/>
      <c r="DN59" s="1408">
        <v>6358209</v>
      </c>
      <c r="DO59" s="1409"/>
      <c r="DP59" s="1409"/>
      <c r="DQ59" s="1409"/>
      <c r="DR59" s="1409"/>
      <c r="DS59" s="1409"/>
      <c r="DT59" s="1410"/>
      <c r="DU59" s="1408">
        <v>96343</v>
      </c>
      <c r="DV59" s="1409"/>
      <c r="DW59" s="1409"/>
      <c r="DX59" s="1409"/>
      <c r="DY59" s="1409"/>
      <c r="DZ59" s="1409"/>
      <c r="EA59" s="1410"/>
      <c r="EB59" s="1408">
        <v>6454552</v>
      </c>
      <c r="EC59" s="1409"/>
      <c r="ED59" s="1409"/>
      <c r="EE59" s="1409"/>
      <c r="EF59" s="1409"/>
      <c r="EG59" s="1409"/>
      <c r="EH59" s="1410"/>
      <c r="EI59" s="1408">
        <v>159365</v>
      </c>
      <c r="EJ59" s="1409"/>
      <c r="EK59" s="1409"/>
      <c r="EL59" s="1409"/>
      <c r="EM59" s="1409"/>
      <c r="EN59" s="1409"/>
      <c r="EO59" s="1410"/>
      <c r="EP59" s="1408"/>
      <c r="EQ59" s="1409"/>
      <c r="ER59" s="1409"/>
      <c r="ES59" s="1409"/>
      <c r="ET59" s="1409"/>
      <c r="EU59" s="1409"/>
      <c r="EV59" s="1409"/>
      <c r="EW59" s="1409"/>
      <c r="EX59" s="1409"/>
      <c r="EY59" s="1410"/>
    </row>
    <row r="60" spans="1:155" s="430" customFormat="1" ht="7.8">
      <c r="A60" s="1426" t="s">
        <v>1608</v>
      </c>
      <c r="B60" s="1427"/>
      <c r="C60" s="1427"/>
      <c r="D60" s="1427"/>
      <c r="E60" s="1427"/>
      <c r="F60" s="1427"/>
      <c r="G60" s="1427"/>
      <c r="H60" s="1427"/>
      <c r="I60" s="1427"/>
      <c r="J60" s="1427"/>
      <c r="K60" s="1427"/>
      <c r="L60" s="1427"/>
      <c r="M60" s="1427"/>
      <c r="N60" s="1427"/>
      <c r="O60" s="1427"/>
      <c r="P60" s="1427"/>
      <c r="Q60" s="1427"/>
      <c r="R60" s="1427"/>
      <c r="S60" s="1427"/>
      <c r="T60" s="1427"/>
      <c r="U60" s="1427"/>
      <c r="V60" s="1427"/>
      <c r="W60" s="1427"/>
      <c r="X60" s="1427"/>
      <c r="Y60" s="1427"/>
      <c r="Z60" s="1427"/>
      <c r="AA60" s="1427"/>
      <c r="AB60" s="1427"/>
      <c r="AC60" s="1427"/>
      <c r="AD60" s="1427"/>
      <c r="AE60" s="1427"/>
      <c r="AF60" s="1427"/>
      <c r="AG60" s="1427"/>
      <c r="AH60" s="1427"/>
      <c r="AI60" s="1427"/>
      <c r="AJ60" s="1427"/>
      <c r="AK60" s="1427"/>
      <c r="AL60" s="1427"/>
      <c r="AM60" s="1428"/>
      <c r="AN60" s="1420" t="s">
        <v>121</v>
      </c>
      <c r="AO60" s="1421"/>
      <c r="AP60" s="1421"/>
      <c r="AQ60" s="1421"/>
      <c r="AR60" s="1421"/>
      <c r="AS60" s="1421"/>
      <c r="AT60" s="1421"/>
      <c r="AU60" s="1422"/>
      <c r="AV60" s="1423" t="s">
        <v>1609</v>
      </c>
      <c r="AW60" s="1424"/>
      <c r="AX60" s="1424"/>
      <c r="AY60" s="1424"/>
      <c r="AZ60" s="1424"/>
      <c r="BA60" s="1425"/>
      <c r="BB60" s="1408">
        <f>BT60+CA60+CO60</f>
        <v>838428</v>
      </c>
      <c r="BC60" s="1409"/>
      <c r="BD60" s="1409"/>
      <c r="BE60" s="1409"/>
      <c r="BF60" s="1409"/>
      <c r="BG60" s="1409"/>
      <c r="BH60" s="1409"/>
      <c r="BI60" s="1409"/>
      <c r="BJ60" s="1410"/>
      <c r="BK60" s="1397">
        <f>BB60</f>
        <v>838428</v>
      </c>
      <c r="BL60" s="1398"/>
      <c r="BM60" s="1398"/>
      <c r="BN60" s="1398"/>
      <c r="BO60" s="1398"/>
      <c r="BP60" s="1398"/>
      <c r="BQ60" s="1398"/>
      <c r="BR60" s="1398"/>
      <c r="BS60" s="1399"/>
      <c r="BT60" s="1408">
        <v>822316</v>
      </c>
      <c r="BU60" s="1409"/>
      <c r="BV60" s="1409"/>
      <c r="BW60" s="1409"/>
      <c r="BX60" s="1409"/>
      <c r="BY60" s="1409"/>
      <c r="BZ60" s="1410"/>
      <c r="CA60" s="1408">
        <v>13776</v>
      </c>
      <c r="CB60" s="1409"/>
      <c r="CC60" s="1409"/>
      <c r="CD60" s="1409"/>
      <c r="CE60" s="1409"/>
      <c r="CF60" s="1409"/>
      <c r="CG60" s="1410"/>
      <c r="CH60" s="1408">
        <f t="shared" ref="CH60:CH66" si="5">BT60+CA60</f>
        <v>836092</v>
      </c>
      <c r="CI60" s="1409"/>
      <c r="CJ60" s="1409"/>
      <c r="CK60" s="1409"/>
      <c r="CL60" s="1409"/>
      <c r="CM60" s="1409"/>
      <c r="CN60" s="1410"/>
      <c r="CO60" s="1408">
        <v>2336</v>
      </c>
      <c r="CP60" s="1409"/>
      <c r="CQ60" s="1409"/>
      <c r="CR60" s="1409"/>
      <c r="CS60" s="1409"/>
      <c r="CT60" s="1409"/>
      <c r="CU60" s="1410"/>
      <c r="CV60" s="1408">
        <v>822188</v>
      </c>
      <c r="CW60" s="1409"/>
      <c r="CX60" s="1409"/>
      <c r="CY60" s="1409"/>
      <c r="CZ60" s="1409"/>
      <c r="DA60" s="1409"/>
      <c r="DB60" s="1409"/>
      <c r="DC60" s="1409"/>
      <c r="DD60" s="1410"/>
      <c r="DE60" s="1408">
        <v>822188</v>
      </c>
      <c r="DF60" s="1409"/>
      <c r="DG60" s="1409"/>
      <c r="DH60" s="1409"/>
      <c r="DI60" s="1409"/>
      <c r="DJ60" s="1409"/>
      <c r="DK60" s="1409"/>
      <c r="DL60" s="1409"/>
      <c r="DM60" s="1410"/>
      <c r="DN60" s="1408">
        <v>803578</v>
      </c>
      <c r="DO60" s="1409"/>
      <c r="DP60" s="1409"/>
      <c r="DQ60" s="1409"/>
      <c r="DR60" s="1409"/>
      <c r="DS60" s="1409"/>
      <c r="DT60" s="1410"/>
      <c r="DU60" s="1408">
        <v>16099</v>
      </c>
      <c r="DV60" s="1409"/>
      <c r="DW60" s="1409"/>
      <c r="DX60" s="1409"/>
      <c r="DY60" s="1409"/>
      <c r="DZ60" s="1409"/>
      <c r="EA60" s="1410"/>
      <c r="EB60" s="1408">
        <v>819677</v>
      </c>
      <c r="EC60" s="1409"/>
      <c r="ED60" s="1409"/>
      <c r="EE60" s="1409"/>
      <c r="EF60" s="1409"/>
      <c r="EG60" s="1409"/>
      <c r="EH60" s="1410"/>
      <c r="EI60" s="1408">
        <v>2511</v>
      </c>
      <c r="EJ60" s="1409"/>
      <c r="EK60" s="1409"/>
      <c r="EL60" s="1409"/>
      <c r="EM60" s="1409"/>
      <c r="EN60" s="1409"/>
      <c r="EO60" s="1410"/>
      <c r="EP60" s="1408"/>
      <c r="EQ60" s="1409"/>
      <c r="ER60" s="1409"/>
      <c r="ES60" s="1409"/>
      <c r="ET60" s="1409"/>
      <c r="EU60" s="1409"/>
      <c r="EV60" s="1409"/>
      <c r="EW60" s="1409"/>
      <c r="EX60" s="1409"/>
      <c r="EY60" s="1410"/>
    </row>
    <row r="61" spans="1:155" s="430" customFormat="1" ht="24.75" customHeight="1">
      <c r="A61" s="1426" t="s">
        <v>1610</v>
      </c>
      <c r="B61" s="1427"/>
      <c r="C61" s="1427"/>
      <c r="D61" s="1427"/>
      <c r="E61" s="1427"/>
      <c r="F61" s="1427"/>
      <c r="G61" s="1427"/>
      <c r="H61" s="1427"/>
      <c r="I61" s="1427"/>
      <c r="J61" s="1427"/>
      <c r="K61" s="1427"/>
      <c r="L61" s="1427"/>
      <c r="M61" s="1427"/>
      <c r="N61" s="1427"/>
      <c r="O61" s="1427"/>
      <c r="P61" s="1427"/>
      <c r="Q61" s="1427"/>
      <c r="R61" s="1427"/>
      <c r="S61" s="1427"/>
      <c r="T61" s="1427"/>
      <c r="U61" s="1427"/>
      <c r="V61" s="1427"/>
      <c r="W61" s="1427"/>
      <c r="X61" s="1427"/>
      <c r="Y61" s="1427"/>
      <c r="Z61" s="1427"/>
      <c r="AA61" s="1427"/>
      <c r="AB61" s="1427"/>
      <c r="AC61" s="1427"/>
      <c r="AD61" s="1427"/>
      <c r="AE61" s="1427"/>
      <c r="AF61" s="1427"/>
      <c r="AG61" s="1427"/>
      <c r="AH61" s="1427"/>
      <c r="AI61" s="1427"/>
      <c r="AJ61" s="1427"/>
      <c r="AK61" s="1427"/>
      <c r="AL61" s="1427"/>
      <c r="AM61" s="1428"/>
      <c r="AN61" s="1414" t="s">
        <v>121</v>
      </c>
      <c r="AO61" s="1415"/>
      <c r="AP61" s="1415"/>
      <c r="AQ61" s="1415"/>
      <c r="AR61" s="1415"/>
      <c r="AS61" s="1415"/>
      <c r="AT61" s="1415"/>
      <c r="AU61" s="1416"/>
      <c r="AV61" s="1417" t="s">
        <v>1611</v>
      </c>
      <c r="AW61" s="1418"/>
      <c r="AX61" s="1418"/>
      <c r="AY61" s="1418"/>
      <c r="AZ61" s="1418"/>
      <c r="BA61" s="1419"/>
      <c r="BB61" s="1408">
        <f t="shared" ref="BB61:BB67" si="6">BT61+CA61+CO61</f>
        <v>0</v>
      </c>
      <c r="BC61" s="1409"/>
      <c r="BD61" s="1409"/>
      <c r="BE61" s="1409"/>
      <c r="BF61" s="1409"/>
      <c r="BG61" s="1409"/>
      <c r="BH61" s="1409"/>
      <c r="BI61" s="1409"/>
      <c r="BJ61" s="1410"/>
      <c r="BK61" s="1397">
        <f>BB61</f>
        <v>0</v>
      </c>
      <c r="BL61" s="1398"/>
      <c r="BM61" s="1398"/>
      <c r="BN61" s="1398"/>
      <c r="BO61" s="1398"/>
      <c r="BP61" s="1398"/>
      <c r="BQ61" s="1398"/>
      <c r="BR61" s="1398"/>
      <c r="BS61" s="1399"/>
      <c r="BT61" s="1397"/>
      <c r="BU61" s="1398"/>
      <c r="BV61" s="1398"/>
      <c r="BW61" s="1398"/>
      <c r="BX61" s="1398"/>
      <c r="BY61" s="1398"/>
      <c r="BZ61" s="1399"/>
      <c r="CA61" s="1397"/>
      <c r="CB61" s="1398"/>
      <c r="CC61" s="1398"/>
      <c r="CD61" s="1398"/>
      <c r="CE61" s="1398"/>
      <c r="CF61" s="1398"/>
      <c r="CG61" s="1399"/>
      <c r="CH61" s="1408">
        <f t="shared" si="5"/>
        <v>0</v>
      </c>
      <c r="CI61" s="1409"/>
      <c r="CJ61" s="1409"/>
      <c r="CK61" s="1409"/>
      <c r="CL61" s="1409"/>
      <c r="CM61" s="1409"/>
      <c r="CN61" s="1410"/>
      <c r="CO61" s="1397">
        <v>0</v>
      </c>
      <c r="CP61" s="1398"/>
      <c r="CQ61" s="1398"/>
      <c r="CR61" s="1398"/>
      <c r="CS61" s="1398"/>
      <c r="CT61" s="1398"/>
      <c r="CU61" s="1399"/>
      <c r="CV61" s="1408">
        <v>704586</v>
      </c>
      <c r="CW61" s="1409"/>
      <c r="CX61" s="1409"/>
      <c r="CY61" s="1409"/>
      <c r="CZ61" s="1409"/>
      <c r="DA61" s="1409"/>
      <c r="DB61" s="1409"/>
      <c r="DC61" s="1409"/>
      <c r="DD61" s="1410"/>
      <c r="DE61" s="1408">
        <v>704586</v>
      </c>
      <c r="DF61" s="1409"/>
      <c r="DG61" s="1409"/>
      <c r="DH61" s="1409"/>
      <c r="DI61" s="1409"/>
      <c r="DJ61" s="1409"/>
      <c r="DK61" s="1409"/>
      <c r="DL61" s="1409"/>
      <c r="DM61" s="1410"/>
      <c r="DN61" s="1397">
        <v>384568</v>
      </c>
      <c r="DO61" s="1398"/>
      <c r="DP61" s="1398"/>
      <c r="DQ61" s="1398"/>
      <c r="DR61" s="1398"/>
      <c r="DS61" s="1398"/>
      <c r="DT61" s="1399"/>
      <c r="DU61" s="1397">
        <v>320018</v>
      </c>
      <c r="DV61" s="1398"/>
      <c r="DW61" s="1398"/>
      <c r="DX61" s="1398"/>
      <c r="DY61" s="1398"/>
      <c r="DZ61" s="1398"/>
      <c r="EA61" s="1399"/>
      <c r="EB61" s="1408">
        <v>704586</v>
      </c>
      <c r="EC61" s="1409"/>
      <c r="ED61" s="1409"/>
      <c r="EE61" s="1409"/>
      <c r="EF61" s="1409"/>
      <c r="EG61" s="1409"/>
      <c r="EH61" s="1410"/>
      <c r="EI61" s="1397">
        <v>0</v>
      </c>
      <c r="EJ61" s="1398"/>
      <c r="EK61" s="1398"/>
      <c r="EL61" s="1398"/>
      <c r="EM61" s="1398"/>
      <c r="EN61" s="1398"/>
      <c r="EO61" s="1399"/>
      <c r="EP61" s="1397"/>
      <c r="EQ61" s="1398"/>
      <c r="ER61" s="1398"/>
      <c r="ES61" s="1398"/>
      <c r="ET61" s="1398"/>
      <c r="EU61" s="1398"/>
      <c r="EV61" s="1398"/>
      <c r="EW61" s="1398"/>
      <c r="EX61" s="1398"/>
      <c r="EY61" s="1399"/>
    </row>
    <row r="62" spans="1:155" s="430" customFormat="1" ht="16.5" customHeight="1">
      <c r="A62" s="1426" t="s">
        <v>1612</v>
      </c>
      <c r="B62" s="1427"/>
      <c r="C62" s="1427"/>
      <c r="D62" s="1427"/>
      <c r="E62" s="1427"/>
      <c r="F62" s="1427"/>
      <c r="G62" s="1427"/>
      <c r="H62" s="1427"/>
      <c r="I62" s="1427"/>
      <c r="J62" s="1427"/>
      <c r="K62" s="1427"/>
      <c r="L62" s="1427"/>
      <c r="M62" s="1427"/>
      <c r="N62" s="1427"/>
      <c r="O62" s="1427"/>
      <c r="P62" s="1427"/>
      <c r="Q62" s="1427"/>
      <c r="R62" s="1427"/>
      <c r="S62" s="1427"/>
      <c r="T62" s="1427"/>
      <c r="U62" s="1427"/>
      <c r="V62" s="1427"/>
      <c r="W62" s="1427"/>
      <c r="X62" s="1427"/>
      <c r="Y62" s="1427"/>
      <c r="Z62" s="1427"/>
      <c r="AA62" s="1427"/>
      <c r="AB62" s="1427"/>
      <c r="AC62" s="1427"/>
      <c r="AD62" s="1427"/>
      <c r="AE62" s="1427"/>
      <c r="AF62" s="1427"/>
      <c r="AG62" s="1427"/>
      <c r="AH62" s="1427"/>
      <c r="AI62" s="1427"/>
      <c r="AJ62" s="1427"/>
      <c r="AK62" s="1427"/>
      <c r="AL62" s="1427"/>
      <c r="AM62" s="1428"/>
      <c r="AN62" s="1420" t="s">
        <v>121</v>
      </c>
      <c r="AO62" s="1421"/>
      <c r="AP62" s="1421"/>
      <c r="AQ62" s="1421"/>
      <c r="AR62" s="1421"/>
      <c r="AS62" s="1421"/>
      <c r="AT62" s="1421"/>
      <c r="AU62" s="1422"/>
      <c r="AV62" s="1423" t="s">
        <v>1613</v>
      </c>
      <c r="AW62" s="1424"/>
      <c r="AX62" s="1424"/>
      <c r="AY62" s="1424"/>
      <c r="AZ62" s="1424"/>
      <c r="BA62" s="1425"/>
      <c r="BB62" s="1408">
        <f t="shared" si="6"/>
        <v>302129</v>
      </c>
      <c r="BC62" s="1409"/>
      <c r="BD62" s="1409"/>
      <c r="BE62" s="1409"/>
      <c r="BF62" s="1409"/>
      <c r="BG62" s="1409"/>
      <c r="BH62" s="1409"/>
      <c r="BI62" s="1409"/>
      <c r="BJ62" s="1410"/>
      <c r="BK62" s="1408">
        <f>BB62</f>
        <v>302129</v>
      </c>
      <c r="BL62" s="1409"/>
      <c r="BM62" s="1409"/>
      <c r="BN62" s="1409"/>
      <c r="BO62" s="1409"/>
      <c r="BP62" s="1409"/>
      <c r="BQ62" s="1409"/>
      <c r="BR62" s="1409"/>
      <c r="BS62" s="1410"/>
      <c r="BT62" s="1408">
        <f>BT63+BT64+BT65+BT66</f>
        <v>300910</v>
      </c>
      <c r="BU62" s="1409"/>
      <c r="BV62" s="1409"/>
      <c r="BW62" s="1409"/>
      <c r="BX62" s="1409"/>
      <c r="BY62" s="1409"/>
      <c r="BZ62" s="1410"/>
      <c r="CA62" s="1408">
        <f>CA63+CA64+CA65+CA66</f>
        <v>997</v>
      </c>
      <c r="CB62" s="1409"/>
      <c r="CC62" s="1409"/>
      <c r="CD62" s="1409"/>
      <c r="CE62" s="1409"/>
      <c r="CF62" s="1409"/>
      <c r="CG62" s="1410"/>
      <c r="CH62" s="1408">
        <f t="shared" si="5"/>
        <v>301907</v>
      </c>
      <c r="CI62" s="1409"/>
      <c r="CJ62" s="1409"/>
      <c r="CK62" s="1409"/>
      <c r="CL62" s="1409"/>
      <c r="CM62" s="1409"/>
      <c r="CN62" s="1410"/>
      <c r="CO62" s="1408">
        <f>CO63+CO64+CO65+CO66</f>
        <v>222</v>
      </c>
      <c r="CP62" s="1409"/>
      <c r="CQ62" s="1409"/>
      <c r="CR62" s="1409"/>
      <c r="CS62" s="1409"/>
      <c r="CT62" s="1409"/>
      <c r="CU62" s="1410"/>
      <c r="CV62" s="1408">
        <v>295052</v>
      </c>
      <c r="CW62" s="1409"/>
      <c r="CX62" s="1409"/>
      <c r="CY62" s="1409"/>
      <c r="CZ62" s="1409"/>
      <c r="DA62" s="1409"/>
      <c r="DB62" s="1409"/>
      <c r="DC62" s="1409"/>
      <c r="DD62" s="1410"/>
      <c r="DE62" s="1408">
        <v>295052</v>
      </c>
      <c r="DF62" s="1409"/>
      <c r="DG62" s="1409"/>
      <c r="DH62" s="1409"/>
      <c r="DI62" s="1409"/>
      <c r="DJ62" s="1409"/>
      <c r="DK62" s="1409"/>
      <c r="DL62" s="1409"/>
      <c r="DM62" s="1410"/>
      <c r="DN62" s="1408">
        <v>292234</v>
      </c>
      <c r="DO62" s="1409"/>
      <c r="DP62" s="1409"/>
      <c r="DQ62" s="1409"/>
      <c r="DR62" s="1409"/>
      <c r="DS62" s="1409"/>
      <c r="DT62" s="1410"/>
      <c r="DU62" s="1408">
        <v>2383</v>
      </c>
      <c r="DV62" s="1409"/>
      <c r="DW62" s="1409"/>
      <c r="DX62" s="1409"/>
      <c r="DY62" s="1409"/>
      <c r="DZ62" s="1409"/>
      <c r="EA62" s="1410"/>
      <c r="EB62" s="1408">
        <v>294617</v>
      </c>
      <c r="EC62" s="1409"/>
      <c r="ED62" s="1409"/>
      <c r="EE62" s="1409"/>
      <c r="EF62" s="1409"/>
      <c r="EG62" s="1409"/>
      <c r="EH62" s="1410"/>
      <c r="EI62" s="1408">
        <v>435</v>
      </c>
      <c r="EJ62" s="1409"/>
      <c r="EK62" s="1409"/>
      <c r="EL62" s="1409"/>
      <c r="EM62" s="1409"/>
      <c r="EN62" s="1409"/>
      <c r="EO62" s="1410"/>
      <c r="EP62" s="1397"/>
      <c r="EQ62" s="1398"/>
      <c r="ER62" s="1398"/>
      <c r="ES62" s="1398"/>
      <c r="ET62" s="1398"/>
      <c r="EU62" s="1398"/>
      <c r="EV62" s="1398"/>
      <c r="EW62" s="1398"/>
      <c r="EX62" s="1398"/>
      <c r="EY62" s="1399"/>
    </row>
    <row r="63" spans="1:155" s="430" customFormat="1" ht="8.1" customHeight="1">
      <c r="A63" s="1411" t="s">
        <v>1614</v>
      </c>
      <c r="B63" s="1412"/>
      <c r="C63" s="1412"/>
      <c r="D63" s="1412"/>
      <c r="E63" s="1412"/>
      <c r="F63" s="1412"/>
      <c r="G63" s="1412"/>
      <c r="H63" s="1412"/>
      <c r="I63" s="1412"/>
      <c r="J63" s="1412"/>
      <c r="K63" s="1412"/>
      <c r="L63" s="1412"/>
      <c r="M63" s="1412"/>
      <c r="N63" s="1412"/>
      <c r="O63" s="1412"/>
      <c r="P63" s="1412"/>
      <c r="Q63" s="1412"/>
      <c r="R63" s="1412"/>
      <c r="S63" s="1412"/>
      <c r="T63" s="1412"/>
      <c r="U63" s="1412"/>
      <c r="V63" s="1412"/>
      <c r="W63" s="1412"/>
      <c r="X63" s="1412"/>
      <c r="Y63" s="1412"/>
      <c r="Z63" s="1412"/>
      <c r="AA63" s="1412"/>
      <c r="AB63" s="1412"/>
      <c r="AC63" s="1412"/>
      <c r="AD63" s="1412"/>
      <c r="AE63" s="1412"/>
      <c r="AF63" s="1412"/>
      <c r="AG63" s="1412"/>
      <c r="AH63" s="1412"/>
      <c r="AI63" s="1412"/>
      <c r="AJ63" s="1412"/>
      <c r="AK63" s="1412"/>
      <c r="AL63" s="1412"/>
      <c r="AM63" s="1413"/>
      <c r="AN63" s="1420" t="s">
        <v>121</v>
      </c>
      <c r="AO63" s="1421"/>
      <c r="AP63" s="1421"/>
      <c r="AQ63" s="1421"/>
      <c r="AR63" s="1421"/>
      <c r="AS63" s="1421"/>
      <c r="AT63" s="1421"/>
      <c r="AU63" s="1422"/>
      <c r="AV63" s="1423"/>
      <c r="AW63" s="1424"/>
      <c r="AX63" s="1424"/>
      <c r="AY63" s="1424"/>
      <c r="AZ63" s="1424"/>
      <c r="BA63" s="1425"/>
      <c r="BB63" s="1408">
        <f t="shared" si="6"/>
        <v>147877</v>
      </c>
      <c r="BC63" s="1409"/>
      <c r="BD63" s="1409"/>
      <c r="BE63" s="1409"/>
      <c r="BF63" s="1409"/>
      <c r="BG63" s="1409"/>
      <c r="BH63" s="1409"/>
      <c r="BI63" s="1409"/>
      <c r="BJ63" s="1410"/>
      <c r="BK63" s="1408">
        <f>BB63</f>
        <v>147877</v>
      </c>
      <c r="BL63" s="1409"/>
      <c r="BM63" s="1409"/>
      <c r="BN63" s="1409"/>
      <c r="BO63" s="1409"/>
      <c r="BP63" s="1409"/>
      <c r="BQ63" s="1409"/>
      <c r="BR63" s="1409"/>
      <c r="BS63" s="1410"/>
      <c r="BT63" s="1408">
        <f>131488+16063-55</f>
        <v>147496</v>
      </c>
      <c r="BU63" s="1409"/>
      <c r="BV63" s="1409"/>
      <c r="BW63" s="1409"/>
      <c r="BX63" s="1409"/>
      <c r="BY63" s="1409"/>
      <c r="BZ63" s="1410"/>
      <c r="CA63" s="1408">
        <f>325</f>
        <v>325</v>
      </c>
      <c r="CB63" s="1409"/>
      <c r="CC63" s="1409"/>
      <c r="CD63" s="1409"/>
      <c r="CE63" s="1409"/>
      <c r="CF63" s="1409"/>
      <c r="CG63" s="1410"/>
      <c r="CH63" s="1408">
        <f t="shared" si="5"/>
        <v>147821</v>
      </c>
      <c r="CI63" s="1409"/>
      <c r="CJ63" s="1409"/>
      <c r="CK63" s="1409"/>
      <c r="CL63" s="1409"/>
      <c r="CM63" s="1409"/>
      <c r="CN63" s="1410"/>
      <c r="CO63" s="1408">
        <f>56</f>
        <v>56</v>
      </c>
      <c r="CP63" s="1409"/>
      <c r="CQ63" s="1409"/>
      <c r="CR63" s="1409"/>
      <c r="CS63" s="1409"/>
      <c r="CT63" s="1409"/>
      <c r="CU63" s="1410"/>
      <c r="CV63" s="1408">
        <v>163716</v>
      </c>
      <c r="CW63" s="1409"/>
      <c r="CX63" s="1409"/>
      <c r="CY63" s="1409"/>
      <c r="CZ63" s="1409"/>
      <c r="DA63" s="1409"/>
      <c r="DB63" s="1409"/>
      <c r="DC63" s="1409"/>
      <c r="DD63" s="1410"/>
      <c r="DE63" s="1408">
        <v>163716</v>
      </c>
      <c r="DF63" s="1409"/>
      <c r="DG63" s="1409"/>
      <c r="DH63" s="1409"/>
      <c r="DI63" s="1409"/>
      <c r="DJ63" s="1409"/>
      <c r="DK63" s="1409"/>
      <c r="DL63" s="1409"/>
      <c r="DM63" s="1410"/>
      <c r="DN63" s="1408">
        <v>163145</v>
      </c>
      <c r="DO63" s="1409"/>
      <c r="DP63" s="1409"/>
      <c r="DQ63" s="1409"/>
      <c r="DR63" s="1409"/>
      <c r="DS63" s="1409"/>
      <c r="DT63" s="1410"/>
      <c r="DU63" s="1408">
        <v>419</v>
      </c>
      <c r="DV63" s="1409"/>
      <c r="DW63" s="1409"/>
      <c r="DX63" s="1409"/>
      <c r="DY63" s="1409"/>
      <c r="DZ63" s="1409"/>
      <c r="EA63" s="1410"/>
      <c r="EB63" s="1408">
        <v>163564</v>
      </c>
      <c r="EC63" s="1409"/>
      <c r="ED63" s="1409"/>
      <c r="EE63" s="1409"/>
      <c r="EF63" s="1409"/>
      <c r="EG63" s="1409"/>
      <c r="EH63" s="1410"/>
      <c r="EI63" s="1408">
        <v>152</v>
      </c>
      <c r="EJ63" s="1409"/>
      <c r="EK63" s="1409"/>
      <c r="EL63" s="1409"/>
      <c r="EM63" s="1409"/>
      <c r="EN63" s="1409"/>
      <c r="EO63" s="1410"/>
      <c r="EP63" s="1397"/>
      <c r="EQ63" s="1398"/>
      <c r="ER63" s="1398"/>
      <c r="ES63" s="1398"/>
      <c r="ET63" s="1398"/>
      <c r="EU63" s="1398"/>
      <c r="EV63" s="1398"/>
      <c r="EW63" s="1398"/>
      <c r="EX63" s="1398"/>
      <c r="EY63" s="1399"/>
    </row>
    <row r="64" spans="1:155" s="430" customFormat="1" ht="7.8">
      <c r="A64" s="1411" t="s">
        <v>1615</v>
      </c>
      <c r="B64" s="1412"/>
      <c r="C64" s="1412"/>
      <c r="D64" s="1412"/>
      <c r="E64" s="1412"/>
      <c r="F64" s="1412"/>
      <c r="G64" s="1412"/>
      <c r="H64" s="1412"/>
      <c r="I64" s="1412"/>
      <c r="J64" s="1412"/>
      <c r="K64" s="1412"/>
      <c r="L64" s="1412"/>
      <c r="M64" s="1412"/>
      <c r="N64" s="1412"/>
      <c r="O64" s="1412"/>
      <c r="P64" s="1412"/>
      <c r="Q64" s="1412"/>
      <c r="R64" s="1412"/>
      <c r="S64" s="1412"/>
      <c r="T64" s="1412"/>
      <c r="U64" s="1412"/>
      <c r="V64" s="1412"/>
      <c r="W64" s="1412"/>
      <c r="X64" s="1412"/>
      <c r="Y64" s="1412"/>
      <c r="Z64" s="1412"/>
      <c r="AA64" s="1412"/>
      <c r="AB64" s="1412"/>
      <c r="AC64" s="1412"/>
      <c r="AD64" s="1412"/>
      <c r="AE64" s="1412"/>
      <c r="AF64" s="1412"/>
      <c r="AG64" s="1412"/>
      <c r="AH64" s="1412"/>
      <c r="AI64" s="1412"/>
      <c r="AJ64" s="1412"/>
      <c r="AK64" s="1412"/>
      <c r="AL64" s="1412"/>
      <c r="AM64" s="1413"/>
      <c r="AN64" s="1420" t="s">
        <v>121</v>
      </c>
      <c r="AO64" s="1421"/>
      <c r="AP64" s="1421"/>
      <c r="AQ64" s="1421"/>
      <c r="AR64" s="1421"/>
      <c r="AS64" s="1421"/>
      <c r="AT64" s="1421"/>
      <c r="AU64" s="1422"/>
      <c r="AV64" s="1423"/>
      <c r="AW64" s="1424"/>
      <c r="AX64" s="1424"/>
      <c r="AY64" s="1424"/>
      <c r="AZ64" s="1424"/>
      <c r="BA64" s="1425"/>
      <c r="BB64" s="1408">
        <f t="shared" si="6"/>
        <v>0</v>
      </c>
      <c r="BC64" s="1409"/>
      <c r="BD64" s="1409"/>
      <c r="BE64" s="1409"/>
      <c r="BF64" s="1409"/>
      <c r="BG64" s="1409"/>
      <c r="BH64" s="1409"/>
      <c r="BI64" s="1409"/>
      <c r="BJ64" s="1410"/>
      <c r="BK64" s="1408">
        <v>0</v>
      </c>
      <c r="BL64" s="1409"/>
      <c r="BM64" s="1409"/>
      <c r="BN64" s="1409"/>
      <c r="BO64" s="1409"/>
      <c r="BP64" s="1409"/>
      <c r="BQ64" s="1409"/>
      <c r="BR64" s="1409"/>
      <c r="BS64" s="1410"/>
      <c r="BT64" s="1408">
        <v>0</v>
      </c>
      <c r="BU64" s="1409"/>
      <c r="BV64" s="1409"/>
      <c r="BW64" s="1409"/>
      <c r="BX64" s="1409"/>
      <c r="BY64" s="1409"/>
      <c r="BZ64" s="1410"/>
      <c r="CA64" s="1408">
        <v>0</v>
      </c>
      <c r="CB64" s="1409"/>
      <c r="CC64" s="1409"/>
      <c r="CD64" s="1409"/>
      <c r="CE64" s="1409"/>
      <c r="CF64" s="1409"/>
      <c r="CG64" s="1410"/>
      <c r="CH64" s="1408">
        <f t="shared" si="5"/>
        <v>0</v>
      </c>
      <c r="CI64" s="1409"/>
      <c r="CJ64" s="1409"/>
      <c r="CK64" s="1409"/>
      <c r="CL64" s="1409"/>
      <c r="CM64" s="1409"/>
      <c r="CN64" s="1410"/>
      <c r="CO64" s="1408">
        <v>0</v>
      </c>
      <c r="CP64" s="1409"/>
      <c r="CQ64" s="1409"/>
      <c r="CR64" s="1409"/>
      <c r="CS64" s="1409"/>
      <c r="CT64" s="1409"/>
      <c r="CU64" s="1410"/>
      <c r="CV64" s="1408">
        <v>0</v>
      </c>
      <c r="CW64" s="1409"/>
      <c r="CX64" s="1409"/>
      <c r="CY64" s="1409"/>
      <c r="CZ64" s="1409"/>
      <c r="DA64" s="1409"/>
      <c r="DB64" s="1409"/>
      <c r="DC64" s="1409"/>
      <c r="DD64" s="1410"/>
      <c r="DE64" s="1408">
        <v>0</v>
      </c>
      <c r="DF64" s="1409"/>
      <c r="DG64" s="1409"/>
      <c r="DH64" s="1409"/>
      <c r="DI64" s="1409"/>
      <c r="DJ64" s="1409"/>
      <c r="DK64" s="1409"/>
      <c r="DL64" s="1409"/>
      <c r="DM64" s="1410"/>
      <c r="DN64" s="1408">
        <v>0</v>
      </c>
      <c r="DO64" s="1409"/>
      <c r="DP64" s="1409"/>
      <c r="DQ64" s="1409"/>
      <c r="DR64" s="1409"/>
      <c r="DS64" s="1409"/>
      <c r="DT64" s="1410"/>
      <c r="DU64" s="1408">
        <v>0</v>
      </c>
      <c r="DV64" s="1409"/>
      <c r="DW64" s="1409"/>
      <c r="DX64" s="1409"/>
      <c r="DY64" s="1409"/>
      <c r="DZ64" s="1409"/>
      <c r="EA64" s="1410"/>
      <c r="EB64" s="1408">
        <v>0</v>
      </c>
      <c r="EC64" s="1409"/>
      <c r="ED64" s="1409"/>
      <c r="EE64" s="1409"/>
      <c r="EF64" s="1409"/>
      <c r="EG64" s="1409"/>
      <c r="EH64" s="1410"/>
      <c r="EI64" s="1408">
        <v>0</v>
      </c>
      <c r="EJ64" s="1409"/>
      <c r="EK64" s="1409"/>
      <c r="EL64" s="1409"/>
      <c r="EM64" s="1409"/>
      <c r="EN64" s="1409"/>
      <c r="EO64" s="1410"/>
      <c r="EP64" s="1397"/>
      <c r="EQ64" s="1398"/>
      <c r="ER64" s="1398"/>
      <c r="ES64" s="1398"/>
      <c r="ET64" s="1398"/>
      <c r="EU64" s="1398"/>
      <c r="EV64" s="1398"/>
      <c r="EW64" s="1398"/>
      <c r="EX64" s="1398"/>
      <c r="EY64" s="1399"/>
    </row>
    <row r="65" spans="1:155" s="430" customFormat="1" ht="16.5" customHeight="1">
      <c r="A65" s="1411" t="s">
        <v>1616</v>
      </c>
      <c r="B65" s="1412"/>
      <c r="C65" s="1412"/>
      <c r="D65" s="1412"/>
      <c r="E65" s="1412"/>
      <c r="F65" s="1412"/>
      <c r="G65" s="1412"/>
      <c r="H65" s="1412"/>
      <c r="I65" s="1412"/>
      <c r="J65" s="1412"/>
      <c r="K65" s="1412"/>
      <c r="L65" s="1412"/>
      <c r="M65" s="1412"/>
      <c r="N65" s="1412"/>
      <c r="O65" s="1412"/>
      <c r="P65" s="1412"/>
      <c r="Q65" s="1412"/>
      <c r="R65" s="1412"/>
      <c r="S65" s="1412"/>
      <c r="T65" s="1412"/>
      <c r="U65" s="1412"/>
      <c r="V65" s="1412"/>
      <c r="W65" s="1412"/>
      <c r="X65" s="1412"/>
      <c r="Y65" s="1412"/>
      <c r="Z65" s="1412"/>
      <c r="AA65" s="1412"/>
      <c r="AB65" s="1412"/>
      <c r="AC65" s="1412"/>
      <c r="AD65" s="1412"/>
      <c r="AE65" s="1412"/>
      <c r="AF65" s="1412"/>
      <c r="AG65" s="1412"/>
      <c r="AH65" s="1412"/>
      <c r="AI65" s="1412"/>
      <c r="AJ65" s="1412"/>
      <c r="AK65" s="1412"/>
      <c r="AL65" s="1412"/>
      <c r="AM65" s="1413"/>
      <c r="AN65" s="1414" t="s">
        <v>121</v>
      </c>
      <c r="AO65" s="1415"/>
      <c r="AP65" s="1415"/>
      <c r="AQ65" s="1415"/>
      <c r="AR65" s="1415"/>
      <c r="AS65" s="1415"/>
      <c r="AT65" s="1415"/>
      <c r="AU65" s="1416"/>
      <c r="AV65" s="1417"/>
      <c r="AW65" s="1418"/>
      <c r="AX65" s="1418"/>
      <c r="AY65" s="1418"/>
      <c r="AZ65" s="1418"/>
      <c r="BA65" s="1419"/>
      <c r="BB65" s="1408">
        <f t="shared" si="6"/>
        <v>154252</v>
      </c>
      <c r="BC65" s="1409"/>
      <c r="BD65" s="1409"/>
      <c r="BE65" s="1409"/>
      <c r="BF65" s="1409"/>
      <c r="BG65" s="1409"/>
      <c r="BH65" s="1409"/>
      <c r="BI65" s="1409"/>
      <c r="BJ65" s="1410"/>
      <c r="BK65" s="1397">
        <f>BB65</f>
        <v>154252</v>
      </c>
      <c r="BL65" s="1398"/>
      <c r="BM65" s="1398"/>
      <c r="BN65" s="1398"/>
      <c r="BO65" s="1398"/>
      <c r="BP65" s="1398"/>
      <c r="BQ65" s="1398"/>
      <c r="BR65" s="1398"/>
      <c r="BS65" s="1399"/>
      <c r="BT65" s="1408">
        <f>BT34</f>
        <v>153414</v>
      </c>
      <c r="BU65" s="1409"/>
      <c r="BV65" s="1409"/>
      <c r="BW65" s="1409"/>
      <c r="BX65" s="1409"/>
      <c r="BY65" s="1409"/>
      <c r="BZ65" s="1410"/>
      <c r="CA65" s="1408">
        <f>CA34</f>
        <v>672</v>
      </c>
      <c r="CB65" s="1409"/>
      <c r="CC65" s="1409"/>
      <c r="CD65" s="1409"/>
      <c r="CE65" s="1409"/>
      <c r="CF65" s="1409"/>
      <c r="CG65" s="1410"/>
      <c r="CH65" s="1408">
        <f t="shared" si="5"/>
        <v>154086</v>
      </c>
      <c r="CI65" s="1409"/>
      <c r="CJ65" s="1409"/>
      <c r="CK65" s="1409"/>
      <c r="CL65" s="1409"/>
      <c r="CM65" s="1409"/>
      <c r="CN65" s="1410"/>
      <c r="CO65" s="1408">
        <f>CO34</f>
        <v>166</v>
      </c>
      <c r="CP65" s="1409"/>
      <c r="CQ65" s="1409"/>
      <c r="CR65" s="1409"/>
      <c r="CS65" s="1409"/>
      <c r="CT65" s="1409"/>
      <c r="CU65" s="1410"/>
      <c r="CV65" s="1408">
        <v>131336</v>
      </c>
      <c r="CW65" s="1409"/>
      <c r="CX65" s="1409"/>
      <c r="CY65" s="1409"/>
      <c r="CZ65" s="1409"/>
      <c r="DA65" s="1409"/>
      <c r="DB65" s="1409"/>
      <c r="DC65" s="1409"/>
      <c r="DD65" s="1410"/>
      <c r="DE65" s="1408">
        <v>131336</v>
      </c>
      <c r="DF65" s="1409"/>
      <c r="DG65" s="1409"/>
      <c r="DH65" s="1409"/>
      <c r="DI65" s="1409"/>
      <c r="DJ65" s="1409"/>
      <c r="DK65" s="1409"/>
      <c r="DL65" s="1409"/>
      <c r="DM65" s="1410"/>
      <c r="DN65" s="1397">
        <v>129089</v>
      </c>
      <c r="DO65" s="1398"/>
      <c r="DP65" s="1398"/>
      <c r="DQ65" s="1398"/>
      <c r="DR65" s="1398"/>
      <c r="DS65" s="1398"/>
      <c r="DT65" s="1399"/>
      <c r="DU65" s="1397">
        <v>1964</v>
      </c>
      <c r="DV65" s="1398"/>
      <c r="DW65" s="1398"/>
      <c r="DX65" s="1398"/>
      <c r="DY65" s="1398"/>
      <c r="DZ65" s="1398"/>
      <c r="EA65" s="1399"/>
      <c r="EB65" s="1408">
        <v>131053</v>
      </c>
      <c r="EC65" s="1409"/>
      <c r="ED65" s="1409"/>
      <c r="EE65" s="1409"/>
      <c r="EF65" s="1409"/>
      <c r="EG65" s="1409"/>
      <c r="EH65" s="1410"/>
      <c r="EI65" s="1397">
        <v>283</v>
      </c>
      <c r="EJ65" s="1398"/>
      <c r="EK65" s="1398"/>
      <c r="EL65" s="1398"/>
      <c r="EM65" s="1398"/>
      <c r="EN65" s="1398"/>
      <c r="EO65" s="1399"/>
      <c r="EP65" s="1397"/>
      <c r="EQ65" s="1398"/>
      <c r="ER65" s="1398"/>
      <c r="ES65" s="1398"/>
      <c r="ET65" s="1398"/>
      <c r="EU65" s="1398"/>
      <c r="EV65" s="1398"/>
      <c r="EW65" s="1398"/>
      <c r="EX65" s="1398"/>
      <c r="EY65" s="1399"/>
    </row>
    <row r="66" spans="1:155" s="430" customFormat="1" ht="8.1" customHeight="1">
      <c r="A66" s="1411" t="s">
        <v>1617</v>
      </c>
      <c r="B66" s="1412"/>
      <c r="C66" s="1412"/>
      <c r="D66" s="1412"/>
      <c r="E66" s="1412"/>
      <c r="F66" s="1412"/>
      <c r="G66" s="1412"/>
      <c r="H66" s="1412"/>
      <c r="I66" s="1412"/>
      <c r="J66" s="1412"/>
      <c r="K66" s="1412"/>
      <c r="L66" s="1412"/>
      <c r="M66" s="1412"/>
      <c r="N66" s="1412"/>
      <c r="O66" s="1412"/>
      <c r="P66" s="1412"/>
      <c r="Q66" s="1412"/>
      <c r="R66" s="1412"/>
      <c r="S66" s="1412"/>
      <c r="T66" s="1412"/>
      <c r="U66" s="1412"/>
      <c r="V66" s="1412"/>
      <c r="W66" s="1412"/>
      <c r="X66" s="1412"/>
      <c r="Y66" s="1412"/>
      <c r="Z66" s="1412"/>
      <c r="AA66" s="1412"/>
      <c r="AB66" s="1412"/>
      <c r="AC66" s="1412"/>
      <c r="AD66" s="1412"/>
      <c r="AE66" s="1412"/>
      <c r="AF66" s="1412"/>
      <c r="AG66" s="1412"/>
      <c r="AH66" s="1412"/>
      <c r="AI66" s="1412"/>
      <c r="AJ66" s="1412"/>
      <c r="AK66" s="1412"/>
      <c r="AL66" s="1412"/>
      <c r="AM66" s="1413"/>
      <c r="AN66" s="1420" t="s">
        <v>121</v>
      </c>
      <c r="AO66" s="1421"/>
      <c r="AP66" s="1421"/>
      <c r="AQ66" s="1421"/>
      <c r="AR66" s="1421"/>
      <c r="AS66" s="1421"/>
      <c r="AT66" s="1421"/>
      <c r="AU66" s="1422"/>
      <c r="AV66" s="1423"/>
      <c r="AW66" s="1424"/>
      <c r="AX66" s="1424"/>
      <c r="AY66" s="1424"/>
      <c r="AZ66" s="1424"/>
      <c r="BA66" s="1425"/>
      <c r="BB66" s="1408">
        <f t="shared" si="6"/>
        <v>0</v>
      </c>
      <c r="BC66" s="1409"/>
      <c r="BD66" s="1409"/>
      <c r="BE66" s="1409"/>
      <c r="BF66" s="1409"/>
      <c r="BG66" s="1409"/>
      <c r="BH66" s="1409"/>
      <c r="BI66" s="1409"/>
      <c r="BJ66" s="1410"/>
      <c r="BK66" s="1408">
        <f>BB66</f>
        <v>0</v>
      </c>
      <c r="BL66" s="1409"/>
      <c r="BM66" s="1409"/>
      <c r="BN66" s="1409"/>
      <c r="BO66" s="1409"/>
      <c r="BP66" s="1409"/>
      <c r="BQ66" s="1409"/>
      <c r="BR66" s="1409"/>
      <c r="BS66" s="1410"/>
      <c r="BT66" s="1397"/>
      <c r="BU66" s="1398"/>
      <c r="BV66" s="1398"/>
      <c r="BW66" s="1398"/>
      <c r="BX66" s="1398"/>
      <c r="BY66" s="1398"/>
      <c r="BZ66" s="1399"/>
      <c r="CA66" s="1408"/>
      <c r="CB66" s="1409"/>
      <c r="CC66" s="1409"/>
      <c r="CD66" s="1409"/>
      <c r="CE66" s="1409"/>
      <c r="CF66" s="1409"/>
      <c r="CG66" s="1410"/>
      <c r="CH66" s="1408">
        <f t="shared" si="5"/>
        <v>0</v>
      </c>
      <c r="CI66" s="1409"/>
      <c r="CJ66" s="1409"/>
      <c r="CK66" s="1409"/>
      <c r="CL66" s="1409"/>
      <c r="CM66" s="1409"/>
      <c r="CN66" s="1410"/>
      <c r="CO66" s="1408">
        <v>0</v>
      </c>
      <c r="CP66" s="1409"/>
      <c r="CQ66" s="1409"/>
      <c r="CR66" s="1409"/>
      <c r="CS66" s="1409"/>
      <c r="CT66" s="1409"/>
      <c r="CU66" s="1410"/>
      <c r="CV66" s="1408">
        <v>0</v>
      </c>
      <c r="CW66" s="1409"/>
      <c r="CX66" s="1409"/>
      <c r="CY66" s="1409"/>
      <c r="CZ66" s="1409"/>
      <c r="DA66" s="1409"/>
      <c r="DB66" s="1409"/>
      <c r="DC66" s="1409"/>
      <c r="DD66" s="1410"/>
      <c r="DE66" s="1408">
        <v>0</v>
      </c>
      <c r="DF66" s="1409"/>
      <c r="DG66" s="1409"/>
      <c r="DH66" s="1409"/>
      <c r="DI66" s="1409"/>
      <c r="DJ66" s="1409"/>
      <c r="DK66" s="1409"/>
      <c r="DL66" s="1409"/>
      <c r="DM66" s="1410"/>
      <c r="DN66" s="1408"/>
      <c r="DO66" s="1409"/>
      <c r="DP66" s="1409"/>
      <c r="DQ66" s="1409"/>
      <c r="DR66" s="1409"/>
      <c r="DS66" s="1409"/>
      <c r="DT66" s="1410"/>
      <c r="DU66" s="1408"/>
      <c r="DV66" s="1409"/>
      <c r="DW66" s="1409"/>
      <c r="DX66" s="1409"/>
      <c r="DY66" s="1409"/>
      <c r="DZ66" s="1409"/>
      <c r="EA66" s="1410"/>
      <c r="EB66" s="1408">
        <v>0</v>
      </c>
      <c r="EC66" s="1409"/>
      <c r="ED66" s="1409"/>
      <c r="EE66" s="1409"/>
      <c r="EF66" s="1409"/>
      <c r="EG66" s="1409"/>
      <c r="EH66" s="1410"/>
      <c r="EI66" s="1408">
        <v>0</v>
      </c>
      <c r="EJ66" s="1409"/>
      <c r="EK66" s="1409"/>
      <c r="EL66" s="1409"/>
      <c r="EM66" s="1409"/>
      <c r="EN66" s="1409"/>
      <c r="EO66" s="1410"/>
      <c r="EP66" s="1408"/>
      <c r="EQ66" s="1409"/>
      <c r="ER66" s="1409"/>
      <c r="ES66" s="1409"/>
      <c r="ET66" s="1409"/>
      <c r="EU66" s="1409"/>
      <c r="EV66" s="1409"/>
      <c r="EW66" s="1409"/>
      <c r="EX66" s="1409"/>
      <c r="EY66" s="1410"/>
    </row>
    <row r="67" spans="1:155" s="430" customFormat="1" ht="24.75" customHeight="1">
      <c r="A67" s="1411" t="s">
        <v>1618</v>
      </c>
      <c r="B67" s="1412"/>
      <c r="C67" s="1412"/>
      <c r="D67" s="1412"/>
      <c r="E67" s="1412"/>
      <c r="F67" s="1412"/>
      <c r="G67" s="1412"/>
      <c r="H67" s="1412"/>
      <c r="I67" s="1412"/>
      <c r="J67" s="1412"/>
      <c r="K67" s="1412"/>
      <c r="L67" s="1412"/>
      <c r="M67" s="1412"/>
      <c r="N67" s="1412"/>
      <c r="O67" s="1412"/>
      <c r="P67" s="1412"/>
      <c r="Q67" s="1412"/>
      <c r="R67" s="1412"/>
      <c r="S67" s="1412"/>
      <c r="T67" s="1412"/>
      <c r="U67" s="1412"/>
      <c r="V67" s="1412"/>
      <c r="W67" s="1412"/>
      <c r="X67" s="1412"/>
      <c r="Y67" s="1412"/>
      <c r="Z67" s="1412"/>
      <c r="AA67" s="1412"/>
      <c r="AB67" s="1412"/>
      <c r="AC67" s="1412"/>
      <c r="AD67" s="1412"/>
      <c r="AE67" s="1412"/>
      <c r="AF67" s="1412"/>
      <c r="AG67" s="1412"/>
      <c r="AH67" s="1412"/>
      <c r="AI67" s="1412"/>
      <c r="AJ67" s="1412"/>
      <c r="AK67" s="1412"/>
      <c r="AL67" s="1412"/>
      <c r="AM67" s="1413"/>
      <c r="AN67" s="1414" t="s">
        <v>121</v>
      </c>
      <c r="AO67" s="1415"/>
      <c r="AP67" s="1415"/>
      <c r="AQ67" s="1415"/>
      <c r="AR67" s="1415"/>
      <c r="AS67" s="1415"/>
      <c r="AT67" s="1415"/>
      <c r="AU67" s="1416"/>
      <c r="AV67" s="1417" t="s">
        <v>1619</v>
      </c>
      <c r="AW67" s="1418"/>
      <c r="AX67" s="1418"/>
      <c r="AY67" s="1418"/>
      <c r="AZ67" s="1418"/>
      <c r="BA67" s="1419"/>
      <c r="BB67" s="1385">
        <f t="shared" si="6"/>
        <v>0</v>
      </c>
      <c r="BC67" s="1385"/>
      <c r="BD67" s="1385"/>
      <c r="BE67" s="1385"/>
      <c r="BF67" s="1385"/>
      <c r="BG67" s="1385"/>
      <c r="BH67" s="1385"/>
      <c r="BI67" s="1385"/>
      <c r="BJ67" s="1385"/>
      <c r="BK67" s="1397">
        <f>BB67</f>
        <v>0</v>
      </c>
      <c r="BL67" s="1398"/>
      <c r="BM67" s="1398"/>
      <c r="BN67" s="1398"/>
      <c r="BO67" s="1398"/>
      <c r="BP67" s="1398"/>
      <c r="BQ67" s="1398"/>
      <c r="BR67" s="1398"/>
      <c r="BS67" s="1399"/>
      <c r="BT67" s="1385"/>
      <c r="BU67" s="1385"/>
      <c r="BV67" s="1385"/>
      <c r="BW67" s="1385"/>
      <c r="BX67" s="1385"/>
      <c r="BY67" s="1385"/>
      <c r="BZ67" s="1385"/>
      <c r="CA67" s="1397"/>
      <c r="CB67" s="1398"/>
      <c r="CC67" s="1398"/>
      <c r="CD67" s="1398"/>
      <c r="CE67" s="1398"/>
      <c r="CF67" s="1398"/>
      <c r="CG67" s="1399"/>
      <c r="CH67" s="1397">
        <f>BT67+CA67</f>
        <v>0</v>
      </c>
      <c r="CI67" s="1398"/>
      <c r="CJ67" s="1398"/>
      <c r="CK67" s="1398"/>
      <c r="CL67" s="1398"/>
      <c r="CM67" s="1398"/>
      <c r="CN67" s="1399"/>
      <c r="CO67" s="1397">
        <v>0</v>
      </c>
      <c r="CP67" s="1398"/>
      <c r="CQ67" s="1398"/>
      <c r="CR67" s="1398"/>
      <c r="CS67" s="1398"/>
      <c r="CT67" s="1398"/>
      <c r="CU67" s="1399"/>
      <c r="CV67" s="1397">
        <v>0</v>
      </c>
      <c r="CW67" s="1398"/>
      <c r="CX67" s="1398"/>
      <c r="CY67" s="1398"/>
      <c r="CZ67" s="1398"/>
      <c r="DA67" s="1398"/>
      <c r="DB67" s="1398"/>
      <c r="DC67" s="1398"/>
      <c r="DD67" s="1399"/>
      <c r="DE67" s="1397">
        <v>0</v>
      </c>
      <c r="DF67" s="1398"/>
      <c r="DG67" s="1398"/>
      <c r="DH67" s="1398"/>
      <c r="DI67" s="1398"/>
      <c r="DJ67" s="1398"/>
      <c r="DK67" s="1398"/>
      <c r="DL67" s="1398"/>
      <c r="DM67" s="1399"/>
      <c r="DN67" s="1397"/>
      <c r="DO67" s="1398"/>
      <c r="DP67" s="1398"/>
      <c r="DQ67" s="1398"/>
      <c r="DR67" s="1398"/>
      <c r="DS67" s="1398"/>
      <c r="DT67" s="1399"/>
      <c r="DU67" s="1397"/>
      <c r="DV67" s="1398"/>
      <c r="DW67" s="1398"/>
      <c r="DX67" s="1398"/>
      <c r="DY67" s="1398"/>
      <c r="DZ67" s="1398"/>
      <c r="EA67" s="1399"/>
      <c r="EB67" s="1385">
        <v>0</v>
      </c>
      <c r="EC67" s="1385"/>
      <c r="ED67" s="1385"/>
      <c r="EE67" s="1385"/>
      <c r="EF67" s="1385"/>
      <c r="EG67" s="1385"/>
      <c r="EH67" s="1385"/>
      <c r="EI67" s="1397">
        <v>0</v>
      </c>
      <c r="EJ67" s="1398"/>
      <c r="EK67" s="1398"/>
      <c r="EL67" s="1398"/>
      <c r="EM67" s="1398"/>
      <c r="EN67" s="1398"/>
      <c r="EO67" s="1399"/>
      <c r="EP67" s="1397"/>
      <c r="EQ67" s="1398"/>
      <c r="ER67" s="1398"/>
      <c r="ES67" s="1398"/>
      <c r="ET67" s="1398"/>
      <c r="EU67" s="1398"/>
      <c r="EV67" s="1398"/>
      <c r="EW67" s="1398"/>
      <c r="EX67" s="1398"/>
      <c r="EY67" s="1399"/>
    </row>
    <row r="68" spans="1:155" ht="3" customHeight="1"/>
    <row r="69" spans="1:155" s="421" customFormat="1" ht="8.1" customHeight="1">
      <c r="A69" s="433" t="s">
        <v>1620</v>
      </c>
    </row>
    <row r="70" spans="1:155" s="425" customFormat="1" ht="8.1" customHeight="1">
      <c r="A70" s="434" t="s">
        <v>1621</v>
      </c>
    </row>
    <row r="71" spans="1:155" s="425" customFormat="1" ht="8.1" customHeight="1">
      <c r="A71" s="434" t="s">
        <v>1622</v>
      </c>
    </row>
    <row r="72" spans="1:155" s="421" customFormat="1" ht="8.25" customHeight="1">
      <c r="A72" s="433" t="s">
        <v>1623</v>
      </c>
    </row>
    <row r="73" spans="1:155" s="421" customFormat="1" ht="9" customHeight="1">
      <c r="A73" s="435"/>
      <c r="EY73" s="422" t="s">
        <v>1624</v>
      </c>
    </row>
    <row r="74" spans="1:155" s="436" customFormat="1" ht="8.1" customHeight="1">
      <c r="A74" s="1407" t="s">
        <v>1625</v>
      </c>
      <c r="B74" s="1407"/>
      <c r="C74" s="1407"/>
      <c r="D74" s="1407"/>
      <c r="E74" s="1407"/>
      <c r="F74" s="1407"/>
      <c r="G74" s="1407"/>
      <c r="H74" s="1407"/>
      <c r="I74" s="1407"/>
      <c r="J74" s="1407"/>
      <c r="K74" s="1407"/>
      <c r="L74" s="1407"/>
      <c r="M74" s="1407"/>
      <c r="N74" s="1407"/>
      <c r="O74" s="1407"/>
      <c r="P74" s="1407"/>
      <c r="Q74" s="1407"/>
      <c r="R74" s="1407"/>
      <c r="S74" s="1407"/>
      <c r="T74" s="1407"/>
      <c r="U74" s="1407"/>
      <c r="V74" s="1407"/>
      <c r="W74" s="1407"/>
      <c r="X74" s="1407"/>
      <c r="Y74" s="1407"/>
      <c r="Z74" s="1407"/>
      <c r="AA74" s="1407"/>
      <c r="AB74" s="1407"/>
      <c r="AC74" s="1407"/>
      <c r="AD74" s="1407"/>
      <c r="AE74" s="1407"/>
      <c r="AF74" s="1407"/>
      <c r="AG74" s="1407"/>
      <c r="AH74" s="1407"/>
      <c r="AI74" s="1407"/>
      <c r="AJ74" s="1407"/>
      <c r="AK74" s="1407"/>
      <c r="AL74" s="1407"/>
      <c r="AM74" s="1407"/>
      <c r="AN74" s="1407"/>
      <c r="AO74" s="1407"/>
      <c r="AP74" s="1407"/>
      <c r="AQ74" s="1407"/>
      <c r="AR74" s="1407"/>
      <c r="AS74" s="1407"/>
      <c r="AT74" s="1407"/>
      <c r="AU74" s="1407"/>
      <c r="AV74" s="1407"/>
      <c r="AW74" s="1407"/>
      <c r="AX74" s="1407"/>
      <c r="AY74" s="1407"/>
      <c r="AZ74" s="1407"/>
      <c r="BA74" s="1407"/>
      <c r="BB74" s="1407"/>
      <c r="BC74" s="1407"/>
      <c r="BD74" s="1407"/>
      <c r="BE74" s="1407"/>
      <c r="BF74" s="1407"/>
      <c r="BG74" s="1407"/>
      <c r="BH74" s="1407"/>
      <c r="BI74" s="1407"/>
      <c r="BJ74" s="1407"/>
      <c r="BK74" s="1407"/>
      <c r="BL74" s="1407"/>
      <c r="BM74" s="1407"/>
      <c r="BN74" s="1407"/>
      <c r="BO74" s="1407"/>
      <c r="BP74" s="1407"/>
      <c r="BQ74" s="1407"/>
      <c r="BR74" s="1407"/>
      <c r="BS74" s="1407"/>
      <c r="BT74" s="1407"/>
      <c r="BU74" s="1407"/>
      <c r="BV74" s="1407"/>
      <c r="BW74" s="1407"/>
      <c r="BX74" s="1407"/>
      <c r="BY74" s="1407"/>
      <c r="BZ74" s="1407"/>
      <c r="CA74" s="1407"/>
      <c r="CB74" s="1407"/>
      <c r="CC74" s="1407"/>
      <c r="CD74" s="1407"/>
      <c r="CE74" s="1407"/>
      <c r="CF74" s="1407"/>
      <c r="CG74" s="1407"/>
      <c r="CH74" s="1407"/>
      <c r="CI74" s="1407"/>
      <c r="CJ74" s="1407"/>
      <c r="CK74" s="1407"/>
      <c r="CL74" s="1407"/>
      <c r="CM74" s="1407"/>
      <c r="CN74" s="1407"/>
      <c r="CO74" s="1407"/>
      <c r="CP74" s="1407"/>
      <c r="CQ74" s="1407"/>
      <c r="CR74" s="1407"/>
      <c r="CS74" s="1407"/>
      <c r="CT74" s="1407"/>
      <c r="CU74" s="1407"/>
      <c r="CV74" s="1407"/>
      <c r="CW74" s="1407"/>
      <c r="CX74" s="1407"/>
      <c r="CY74" s="1407"/>
      <c r="CZ74" s="1407"/>
      <c r="DA74" s="1407"/>
      <c r="DB74" s="1407"/>
      <c r="DC74" s="1407"/>
      <c r="DD74" s="1407"/>
      <c r="DE74" s="1407"/>
      <c r="DF74" s="1407"/>
      <c r="DG74" s="1407"/>
      <c r="DH74" s="1407"/>
      <c r="DI74" s="1407"/>
      <c r="DJ74" s="1407"/>
      <c r="DK74" s="1407"/>
      <c r="DL74" s="1407"/>
      <c r="DM74" s="1407"/>
      <c r="DN74" s="1407"/>
      <c r="DO74" s="1407"/>
      <c r="DP74" s="1407"/>
      <c r="DQ74" s="1407"/>
      <c r="DR74" s="1407"/>
      <c r="DS74" s="1407"/>
      <c r="DT74" s="1407"/>
      <c r="DU74" s="1407"/>
      <c r="DV74" s="1407"/>
      <c r="DW74" s="1407"/>
      <c r="DX74" s="1407"/>
      <c r="DY74" s="1407"/>
      <c r="DZ74" s="1407"/>
      <c r="EA74" s="1407"/>
      <c r="EB74" s="1407"/>
      <c r="EC74" s="1407"/>
      <c r="ED74" s="1407"/>
      <c r="EE74" s="1407"/>
      <c r="EF74" s="1407"/>
      <c r="EG74" s="1407"/>
      <c r="EH74" s="1407"/>
      <c r="EI74" s="1407"/>
      <c r="EJ74" s="1407"/>
      <c r="EK74" s="1407"/>
      <c r="EL74" s="1407"/>
      <c r="EM74" s="1407"/>
      <c r="EN74" s="1407"/>
      <c r="EO74" s="1407"/>
      <c r="EP74" s="1407"/>
      <c r="EQ74" s="1407"/>
      <c r="ER74" s="1407"/>
      <c r="ES74" s="1407"/>
      <c r="ET74" s="1407"/>
      <c r="EU74" s="1407"/>
      <c r="EV74" s="1407"/>
      <c r="EW74" s="1407"/>
      <c r="EX74" s="1407"/>
      <c r="EY74" s="1407"/>
    </row>
    <row r="75" spans="1:155" s="428" customFormat="1" ht="9" customHeight="1">
      <c r="A75" s="1400" t="s">
        <v>111</v>
      </c>
      <c r="B75" s="1401"/>
      <c r="C75" s="1401"/>
      <c r="D75" s="1401"/>
      <c r="E75" s="1401"/>
      <c r="F75" s="1401"/>
      <c r="G75" s="1401"/>
      <c r="H75" s="1401"/>
      <c r="I75" s="1401"/>
      <c r="J75" s="1401"/>
      <c r="K75" s="1401"/>
      <c r="L75" s="1401"/>
      <c r="M75" s="1401"/>
      <c r="N75" s="1401"/>
      <c r="O75" s="1401"/>
      <c r="P75" s="1401"/>
      <c r="Q75" s="1401"/>
      <c r="R75" s="1401"/>
      <c r="S75" s="1401"/>
      <c r="T75" s="1401"/>
      <c r="U75" s="1401"/>
      <c r="V75" s="1401"/>
      <c r="W75" s="1401"/>
      <c r="X75" s="1401"/>
      <c r="Y75" s="1401"/>
      <c r="Z75" s="1401"/>
      <c r="AA75" s="1401"/>
      <c r="AB75" s="1401"/>
      <c r="AC75" s="1401"/>
      <c r="AD75" s="1401"/>
      <c r="AE75" s="1401"/>
      <c r="AF75" s="1401"/>
      <c r="AG75" s="1401"/>
      <c r="AH75" s="1401"/>
      <c r="AI75" s="1401"/>
      <c r="AJ75" s="1401"/>
      <c r="AK75" s="1401"/>
      <c r="AL75" s="1401"/>
      <c r="AM75" s="1402"/>
      <c r="AN75" s="1400" t="s">
        <v>0</v>
      </c>
      <c r="AO75" s="1401"/>
      <c r="AP75" s="1401"/>
      <c r="AQ75" s="1401"/>
      <c r="AR75" s="1401"/>
      <c r="AS75" s="1401"/>
      <c r="AT75" s="1401"/>
      <c r="AU75" s="1402"/>
      <c r="AV75" s="1400" t="s">
        <v>1554</v>
      </c>
      <c r="AW75" s="1401"/>
      <c r="AX75" s="1401"/>
      <c r="AY75" s="1401"/>
      <c r="AZ75" s="1401"/>
      <c r="BA75" s="1402"/>
      <c r="BB75" s="1400" t="s">
        <v>1626</v>
      </c>
      <c r="BC75" s="1401"/>
      <c r="BD75" s="1401"/>
      <c r="BE75" s="1401"/>
      <c r="BF75" s="1401"/>
      <c r="BG75" s="1401"/>
      <c r="BH75" s="1401"/>
      <c r="BI75" s="1401"/>
      <c r="BJ75" s="1402"/>
      <c r="BK75" s="1406" t="s">
        <v>1556</v>
      </c>
      <c r="BL75" s="1406"/>
      <c r="BM75" s="1406"/>
      <c r="BN75" s="1406"/>
      <c r="BO75" s="1406"/>
      <c r="BP75" s="1406"/>
      <c r="BQ75" s="1406"/>
      <c r="BR75" s="1406"/>
      <c r="BS75" s="1406"/>
      <c r="BT75" s="1406" t="s">
        <v>1557</v>
      </c>
      <c r="BU75" s="1406"/>
      <c r="BV75" s="1406"/>
      <c r="BW75" s="1406"/>
      <c r="BX75" s="1406"/>
      <c r="BY75" s="1406"/>
      <c r="BZ75" s="1406"/>
      <c r="CA75" s="1406"/>
      <c r="CB75" s="1406"/>
      <c r="CC75" s="1406"/>
      <c r="CD75" s="1406"/>
      <c r="CE75" s="1406"/>
      <c r="CF75" s="1406"/>
      <c r="CG75" s="1406"/>
      <c r="CH75" s="1406"/>
      <c r="CI75" s="1406"/>
      <c r="CJ75" s="1406"/>
      <c r="CK75" s="1406"/>
      <c r="CL75" s="1406"/>
      <c r="CM75" s="1406"/>
      <c r="CN75" s="1406"/>
      <c r="CO75" s="1406"/>
      <c r="CP75" s="1406"/>
      <c r="CQ75" s="1406"/>
      <c r="CR75" s="1406"/>
      <c r="CS75" s="1406"/>
      <c r="CT75" s="1406"/>
      <c r="CU75" s="1406"/>
      <c r="CV75" s="1406" t="s">
        <v>1627</v>
      </c>
      <c r="CW75" s="1406"/>
      <c r="CX75" s="1406"/>
      <c r="CY75" s="1406"/>
      <c r="CZ75" s="1406"/>
      <c r="DA75" s="1406"/>
      <c r="DB75" s="1406"/>
      <c r="DC75" s="1406"/>
      <c r="DD75" s="1406"/>
      <c r="DE75" s="1406" t="s">
        <v>1559</v>
      </c>
      <c r="DF75" s="1406"/>
      <c r="DG75" s="1406"/>
      <c r="DH75" s="1406"/>
      <c r="DI75" s="1406"/>
      <c r="DJ75" s="1406"/>
      <c r="DK75" s="1406"/>
      <c r="DL75" s="1406"/>
      <c r="DM75" s="1406"/>
      <c r="DN75" s="1406" t="s">
        <v>1560</v>
      </c>
      <c r="DO75" s="1406"/>
      <c r="DP75" s="1406"/>
      <c r="DQ75" s="1406"/>
      <c r="DR75" s="1406"/>
      <c r="DS75" s="1406"/>
      <c r="DT75" s="1406"/>
      <c r="DU75" s="1406"/>
      <c r="DV75" s="1406"/>
      <c r="DW75" s="1406"/>
      <c r="DX75" s="1406"/>
      <c r="DY75" s="1406"/>
      <c r="DZ75" s="1406"/>
      <c r="EA75" s="1406"/>
      <c r="EB75" s="1406"/>
      <c r="EC75" s="1406"/>
      <c r="ED75" s="1406"/>
      <c r="EE75" s="1406"/>
      <c r="EF75" s="1406"/>
      <c r="EG75" s="1406"/>
      <c r="EH75" s="1406"/>
      <c r="EI75" s="1406"/>
      <c r="EJ75" s="1406"/>
      <c r="EK75" s="1406"/>
      <c r="EL75" s="1406"/>
      <c r="EM75" s="1406"/>
      <c r="EN75" s="1406"/>
      <c r="EO75" s="1406"/>
      <c r="EP75" s="1400" t="s">
        <v>1561</v>
      </c>
      <c r="EQ75" s="1401"/>
      <c r="ER75" s="1401"/>
      <c r="ES75" s="1401"/>
      <c r="ET75" s="1401"/>
      <c r="EU75" s="1401"/>
      <c r="EV75" s="1401"/>
      <c r="EW75" s="1401"/>
      <c r="EX75" s="1401"/>
      <c r="EY75" s="1402"/>
    </row>
    <row r="76" spans="1:155" s="428" customFormat="1" ht="66.75" customHeight="1">
      <c r="A76" s="1403"/>
      <c r="B76" s="1404"/>
      <c r="C76" s="1404"/>
      <c r="D76" s="1404"/>
      <c r="E76" s="1404"/>
      <c r="F76" s="1404"/>
      <c r="G76" s="1404"/>
      <c r="H76" s="1404"/>
      <c r="I76" s="1404"/>
      <c r="J76" s="1404"/>
      <c r="K76" s="1404"/>
      <c r="L76" s="1404"/>
      <c r="M76" s="1404"/>
      <c r="N76" s="1404"/>
      <c r="O76" s="1404"/>
      <c r="P76" s="1404"/>
      <c r="Q76" s="1404"/>
      <c r="R76" s="1404"/>
      <c r="S76" s="1404"/>
      <c r="T76" s="1404"/>
      <c r="U76" s="1404"/>
      <c r="V76" s="1404"/>
      <c r="W76" s="1404"/>
      <c r="X76" s="1404"/>
      <c r="Y76" s="1404"/>
      <c r="Z76" s="1404"/>
      <c r="AA76" s="1404"/>
      <c r="AB76" s="1404"/>
      <c r="AC76" s="1404"/>
      <c r="AD76" s="1404"/>
      <c r="AE76" s="1404"/>
      <c r="AF76" s="1404"/>
      <c r="AG76" s="1404"/>
      <c r="AH76" s="1404"/>
      <c r="AI76" s="1404"/>
      <c r="AJ76" s="1404"/>
      <c r="AK76" s="1404"/>
      <c r="AL76" s="1404"/>
      <c r="AM76" s="1405"/>
      <c r="AN76" s="1403"/>
      <c r="AO76" s="1404"/>
      <c r="AP76" s="1404"/>
      <c r="AQ76" s="1404"/>
      <c r="AR76" s="1404"/>
      <c r="AS76" s="1404"/>
      <c r="AT76" s="1404"/>
      <c r="AU76" s="1405"/>
      <c r="AV76" s="1403"/>
      <c r="AW76" s="1404"/>
      <c r="AX76" s="1404"/>
      <c r="AY76" s="1404"/>
      <c r="AZ76" s="1404"/>
      <c r="BA76" s="1405"/>
      <c r="BB76" s="1403"/>
      <c r="BC76" s="1404"/>
      <c r="BD76" s="1404"/>
      <c r="BE76" s="1404"/>
      <c r="BF76" s="1404"/>
      <c r="BG76" s="1404"/>
      <c r="BH76" s="1404"/>
      <c r="BI76" s="1404"/>
      <c r="BJ76" s="1405"/>
      <c r="BK76" s="1406"/>
      <c r="BL76" s="1406"/>
      <c r="BM76" s="1406"/>
      <c r="BN76" s="1406"/>
      <c r="BO76" s="1406"/>
      <c r="BP76" s="1406"/>
      <c r="BQ76" s="1406"/>
      <c r="BR76" s="1406"/>
      <c r="BS76" s="1406"/>
      <c r="BT76" s="1406" t="s">
        <v>1562</v>
      </c>
      <c r="BU76" s="1406"/>
      <c r="BV76" s="1406"/>
      <c r="BW76" s="1406"/>
      <c r="BX76" s="1406"/>
      <c r="BY76" s="1406"/>
      <c r="BZ76" s="1406"/>
      <c r="CA76" s="1406" t="s">
        <v>1563</v>
      </c>
      <c r="CB76" s="1406"/>
      <c r="CC76" s="1406"/>
      <c r="CD76" s="1406"/>
      <c r="CE76" s="1406"/>
      <c r="CF76" s="1406"/>
      <c r="CG76" s="1406"/>
      <c r="CH76" s="1406" t="s">
        <v>1564</v>
      </c>
      <c r="CI76" s="1406"/>
      <c r="CJ76" s="1406"/>
      <c r="CK76" s="1406"/>
      <c r="CL76" s="1406"/>
      <c r="CM76" s="1406"/>
      <c r="CN76" s="1406"/>
      <c r="CO76" s="1406" t="s">
        <v>1565</v>
      </c>
      <c r="CP76" s="1406"/>
      <c r="CQ76" s="1406"/>
      <c r="CR76" s="1406"/>
      <c r="CS76" s="1406"/>
      <c r="CT76" s="1406"/>
      <c r="CU76" s="1406"/>
      <c r="CV76" s="1406"/>
      <c r="CW76" s="1406"/>
      <c r="CX76" s="1406"/>
      <c r="CY76" s="1406"/>
      <c r="CZ76" s="1406"/>
      <c r="DA76" s="1406"/>
      <c r="DB76" s="1406"/>
      <c r="DC76" s="1406"/>
      <c r="DD76" s="1406"/>
      <c r="DE76" s="1406"/>
      <c r="DF76" s="1406"/>
      <c r="DG76" s="1406"/>
      <c r="DH76" s="1406"/>
      <c r="DI76" s="1406"/>
      <c r="DJ76" s="1406"/>
      <c r="DK76" s="1406"/>
      <c r="DL76" s="1406"/>
      <c r="DM76" s="1406"/>
      <c r="DN76" s="1406" t="s">
        <v>1562</v>
      </c>
      <c r="DO76" s="1406"/>
      <c r="DP76" s="1406"/>
      <c r="DQ76" s="1406"/>
      <c r="DR76" s="1406"/>
      <c r="DS76" s="1406"/>
      <c r="DT76" s="1406"/>
      <c r="DU76" s="1406" t="s">
        <v>1563</v>
      </c>
      <c r="DV76" s="1406"/>
      <c r="DW76" s="1406"/>
      <c r="DX76" s="1406"/>
      <c r="DY76" s="1406"/>
      <c r="DZ76" s="1406"/>
      <c r="EA76" s="1406"/>
      <c r="EB76" s="1406" t="s">
        <v>1564</v>
      </c>
      <c r="EC76" s="1406"/>
      <c r="ED76" s="1406"/>
      <c r="EE76" s="1406"/>
      <c r="EF76" s="1406"/>
      <c r="EG76" s="1406"/>
      <c r="EH76" s="1406"/>
      <c r="EI76" s="1406" t="s">
        <v>1565</v>
      </c>
      <c r="EJ76" s="1406"/>
      <c r="EK76" s="1406"/>
      <c r="EL76" s="1406"/>
      <c r="EM76" s="1406"/>
      <c r="EN76" s="1406"/>
      <c r="EO76" s="1406"/>
      <c r="EP76" s="1403"/>
      <c r="EQ76" s="1404"/>
      <c r="ER76" s="1404"/>
      <c r="ES76" s="1404"/>
      <c r="ET76" s="1404"/>
      <c r="EU76" s="1404"/>
      <c r="EV76" s="1404"/>
      <c r="EW76" s="1404"/>
      <c r="EX76" s="1404"/>
      <c r="EY76" s="1405"/>
    </row>
    <row r="77" spans="1:155" s="429" customFormat="1" ht="18.75" customHeight="1">
      <c r="A77" s="1388">
        <v>1</v>
      </c>
      <c r="B77" s="1389"/>
      <c r="C77" s="1389"/>
      <c r="D77" s="1389"/>
      <c r="E77" s="1389"/>
      <c r="F77" s="1389"/>
      <c r="G77" s="1389"/>
      <c r="H77" s="1389"/>
      <c r="I77" s="1389"/>
      <c r="J77" s="1389"/>
      <c r="K77" s="1389"/>
      <c r="L77" s="1389"/>
      <c r="M77" s="1389"/>
      <c r="N77" s="1389"/>
      <c r="O77" s="1389"/>
      <c r="P77" s="1389"/>
      <c r="Q77" s="1389"/>
      <c r="R77" s="1389"/>
      <c r="S77" s="1389"/>
      <c r="T77" s="1389"/>
      <c r="U77" s="1389"/>
      <c r="V77" s="1389"/>
      <c r="W77" s="1389"/>
      <c r="X77" s="1389"/>
      <c r="Y77" s="1389"/>
      <c r="Z77" s="1389"/>
      <c r="AA77" s="1389"/>
      <c r="AB77" s="1389"/>
      <c r="AC77" s="1389"/>
      <c r="AD77" s="1389"/>
      <c r="AE77" s="1389"/>
      <c r="AF77" s="1389"/>
      <c r="AG77" s="1389"/>
      <c r="AH77" s="1389"/>
      <c r="AI77" s="1389"/>
      <c r="AJ77" s="1389"/>
      <c r="AK77" s="1389"/>
      <c r="AL77" s="1389"/>
      <c r="AM77" s="1390"/>
      <c r="AN77" s="1392">
        <v>2</v>
      </c>
      <c r="AO77" s="1392"/>
      <c r="AP77" s="1392"/>
      <c r="AQ77" s="1392"/>
      <c r="AR77" s="1392"/>
      <c r="AS77" s="1392"/>
      <c r="AT77" s="1392"/>
      <c r="AU77" s="1392"/>
      <c r="AV77" s="1392">
        <v>3</v>
      </c>
      <c r="AW77" s="1392"/>
      <c r="AX77" s="1392"/>
      <c r="AY77" s="1392"/>
      <c r="AZ77" s="1392"/>
      <c r="BA77" s="1392"/>
      <c r="BB77" s="1392">
        <v>4</v>
      </c>
      <c r="BC77" s="1392"/>
      <c r="BD77" s="1392"/>
      <c r="BE77" s="1392"/>
      <c r="BF77" s="1392"/>
      <c r="BG77" s="1392"/>
      <c r="BH77" s="1392"/>
      <c r="BI77" s="1392"/>
      <c r="BJ77" s="1392"/>
      <c r="BK77" s="1392">
        <v>5</v>
      </c>
      <c r="BL77" s="1392"/>
      <c r="BM77" s="1392"/>
      <c r="BN77" s="1392"/>
      <c r="BO77" s="1392"/>
      <c r="BP77" s="1392"/>
      <c r="BQ77" s="1392"/>
      <c r="BR77" s="1392"/>
      <c r="BS77" s="1392"/>
      <c r="BT77" s="1392">
        <v>6</v>
      </c>
      <c r="BU77" s="1392"/>
      <c r="BV77" s="1392"/>
      <c r="BW77" s="1392"/>
      <c r="BX77" s="1392"/>
      <c r="BY77" s="1392"/>
      <c r="BZ77" s="1392"/>
      <c r="CA77" s="1392">
        <v>7</v>
      </c>
      <c r="CB77" s="1392"/>
      <c r="CC77" s="1392"/>
      <c r="CD77" s="1392"/>
      <c r="CE77" s="1392"/>
      <c r="CF77" s="1392"/>
      <c r="CG77" s="1392"/>
      <c r="CH77" s="1393" t="s">
        <v>1566</v>
      </c>
      <c r="CI77" s="1394"/>
      <c r="CJ77" s="1394"/>
      <c r="CK77" s="1394"/>
      <c r="CL77" s="1394"/>
      <c r="CM77" s="1394"/>
      <c r="CN77" s="1395"/>
      <c r="CO77" s="1392">
        <v>9</v>
      </c>
      <c r="CP77" s="1392"/>
      <c r="CQ77" s="1392"/>
      <c r="CR77" s="1392"/>
      <c r="CS77" s="1392"/>
      <c r="CT77" s="1392"/>
      <c r="CU77" s="1392"/>
      <c r="CV77" s="1396">
        <v>10</v>
      </c>
      <c r="CW77" s="1396"/>
      <c r="CX77" s="1396"/>
      <c r="CY77" s="1396"/>
      <c r="CZ77" s="1396"/>
      <c r="DA77" s="1396"/>
      <c r="DB77" s="1396"/>
      <c r="DC77" s="1396"/>
      <c r="DD77" s="1396"/>
      <c r="DE77" s="1396">
        <v>11</v>
      </c>
      <c r="DF77" s="1396"/>
      <c r="DG77" s="1396"/>
      <c r="DH77" s="1396"/>
      <c r="DI77" s="1396"/>
      <c r="DJ77" s="1396"/>
      <c r="DK77" s="1396"/>
      <c r="DL77" s="1396"/>
      <c r="DM77" s="1396"/>
      <c r="DN77" s="1396">
        <v>12</v>
      </c>
      <c r="DO77" s="1396"/>
      <c r="DP77" s="1396"/>
      <c r="DQ77" s="1396"/>
      <c r="DR77" s="1396"/>
      <c r="DS77" s="1396"/>
      <c r="DT77" s="1396"/>
      <c r="DU77" s="1396">
        <v>13</v>
      </c>
      <c r="DV77" s="1396"/>
      <c r="DW77" s="1396"/>
      <c r="DX77" s="1396"/>
      <c r="DY77" s="1396"/>
      <c r="DZ77" s="1396"/>
      <c r="EA77" s="1396"/>
      <c r="EB77" s="1393" t="s">
        <v>1567</v>
      </c>
      <c r="EC77" s="1394"/>
      <c r="ED77" s="1394"/>
      <c r="EE77" s="1394"/>
      <c r="EF77" s="1394"/>
      <c r="EG77" s="1394"/>
      <c r="EH77" s="1395"/>
      <c r="EI77" s="1388">
        <v>15</v>
      </c>
      <c r="EJ77" s="1389"/>
      <c r="EK77" s="1389"/>
      <c r="EL77" s="1389"/>
      <c r="EM77" s="1389"/>
      <c r="EN77" s="1389"/>
      <c r="EO77" s="1390"/>
      <c r="EP77" s="1392">
        <v>16</v>
      </c>
      <c r="EQ77" s="1392"/>
      <c r="ER77" s="1392"/>
      <c r="ES77" s="1392"/>
      <c r="ET77" s="1392"/>
      <c r="EU77" s="1392"/>
      <c r="EV77" s="1392"/>
      <c r="EW77" s="1392"/>
      <c r="EX77" s="1392"/>
      <c r="EY77" s="1392"/>
    </row>
    <row r="78" spans="1:155" s="430" customFormat="1" ht="8.1" customHeight="1">
      <c r="A78" s="1383" t="s">
        <v>1628</v>
      </c>
      <c r="B78" s="1383"/>
      <c r="C78" s="1383"/>
      <c r="D78" s="1383"/>
      <c r="E78" s="1383"/>
      <c r="F78" s="1383"/>
      <c r="G78" s="1383"/>
      <c r="H78" s="1383"/>
      <c r="I78" s="1383"/>
      <c r="J78" s="1383"/>
      <c r="K78" s="1383"/>
      <c r="L78" s="1383"/>
      <c r="M78" s="1383"/>
      <c r="N78" s="1383"/>
      <c r="O78" s="1383"/>
      <c r="P78" s="1383"/>
      <c r="Q78" s="1383"/>
      <c r="R78" s="1383"/>
      <c r="S78" s="1383"/>
      <c r="T78" s="1383"/>
      <c r="U78" s="1383"/>
      <c r="V78" s="1383"/>
      <c r="W78" s="1383"/>
      <c r="X78" s="1383"/>
      <c r="Y78" s="1383"/>
      <c r="Z78" s="1383"/>
      <c r="AA78" s="1383"/>
      <c r="AB78" s="1383"/>
      <c r="AC78" s="1383"/>
      <c r="AD78" s="1383"/>
      <c r="AE78" s="1383"/>
      <c r="AF78" s="1383"/>
      <c r="AG78" s="1383"/>
      <c r="AH78" s="1383"/>
      <c r="AI78" s="1383"/>
      <c r="AJ78" s="1383"/>
      <c r="AK78" s="1383"/>
      <c r="AL78" s="1383"/>
      <c r="AM78" s="1383"/>
      <c r="AN78" s="1382" t="s">
        <v>121</v>
      </c>
      <c r="AO78" s="1382"/>
      <c r="AP78" s="1382"/>
      <c r="AQ78" s="1382"/>
      <c r="AR78" s="1382"/>
      <c r="AS78" s="1382"/>
      <c r="AT78" s="1382"/>
      <c r="AU78" s="1382"/>
      <c r="AV78" s="1384" t="s">
        <v>1629</v>
      </c>
      <c r="AW78" s="1384"/>
      <c r="AX78" s="1384"/>
      <c r="AY78" s="1384"/>
      <c r="AZ78" s="1384"/>
      <c r="BA78" s="1384"/>
      <c r="BB78" s="1381">
        <v>767479</v>
      </c>
      <c r="BC78" s="1381"/>
      <c r="BD78" s="1381"/>
      <c r="BE78" s="1381"/>
      <c r="BF78" s="1381"/>
      <c r="BG78" s="1381"/>
      <c r="BH78" s="1381"/>
      <c r="BI78" s="1381"/>
      <c r="BJ78" s="1381"/>
      <c r="BK78" s="1381">
        <v>767479</v>
      </c>
      <c r="BL78" s="1381"/>
      <c r="BM78" s="1381"/>
      <c r="BN78" s="1381"/>
      <c r="BO78" s="1381"/>
      <c r="BP78" s="1381"/>
      <c r="BQ78" s="1381"/>
      <c r="BR78" s="1381"/>
      <c r="BS78" s="1381"/>
      <c r="BT78" s="1382" t="s">
        <v>118</v>
      </c>
      <c r="BU78" s="1382"/>
      <c r="BV78" s="1382"/>
      <c r="BW78" s="1382"/>
      <c r="BX78" s="1382"/>
      <c r="BY78" s="1382"/>
      <c r="BZ78" s="1382"/>
      <c r="CA78" s="1382" t="s">
        <v>118</v>
      </c>
      <c r="CB78" s="1382"/>
      <c r="CC78" s="1382"/>
      <c r="CD78" s="1382"/>
      <c r="CE78" s="1382"/>
      <c r="CF78" s="1382"/>
      <c r="CG78" s="1382"/>
      <c r="CH78" s="1382" t="s">
        <v>118</v>
      </c>
      <c r="CI78" s="1382"/>
      <c r="CJ78" s="1382"/>
      <c r="CK78" s="1382"/>
      <c r="CL78" s="1382"/>
      <c r="CM78" s="1382"/>
      <c r="CN78" s="1382"/>
      <c r="CO78" s="1382" t="s">
        <v>118</v>
      </c>
      <c r="CP78" s="1382"/>
      <c r="CQ78" s="1382"/>
      <c r="CR78" s="1382"/>
      <c r="CS78" s="1382"/>
      <c r="CT78" s="1382"/>
      <c r="CU78" s="1382"/>
      <c r="CV78" s="1387">
        <v>1337238</v>
      </c>
      <c r="CW78" s="1387"/>
      <c r="CX78" s="1387"/>
      <c r="CY78" s="1387"/>
      <c r="CZ78" s="1387"/>
      <c r="DA78" s="1387"/>
      <c r="DB78" s="1387"/>
      <c r="DC78" s="1387"/>
      <c r="DD78" s="1387"/>
      <c r="DE78" s="1387">
        <v>1337238</v>
      </c>
      <c r="DF78" s="1387"/>
      <c r="DG78" s="1387"/>
      <c r="DH78" s="1387"/>
      <c r="DI78" s="1387"/>
      <c r="DJ78" s="1387"/>
      <c r="DK78" s="1387"/>
      <c r="DL78" s="1387"/>
      <c r="DM78" s="1387"/>
      <c r="DN78" s="1386" t="s">
        <v>118</v>
      </c>
      <c r="DO78" s="1386"/>
      <c r="DP78" s="1386"/>
      <c r="DQ78" s="1386"/>
      <c r="DR78" s="1386"/>
      <c r="DS78" s="1386"/>
      <c r="DT78" s="1386"/>
      <c r="DU78" s="1386" t="s">
        <v>118</v>
      </c>
      <c r="DV78" s="1386"/>
      <c r="DW78" s="1386"/>
      <c r="DX78" s="1386"/>
      <c r="DY78" s="1386"/>
      <c r="DZ78" s="1386"/>
      <c r="EA78" s="1386"/>
      <c r="EB78" s="1382" t="s">
        <v>118</v>
      </c>
      <c r="EC78" s="1382"/>
      <c r="ED78" s="1382"/>
      <c r="EE78" s="1382"/>
      <c r="EF78" s="1382"/>
      <c r="EG78" s="1382"/>
      <c r="EH78" s="1382"/>
      <c r="EI78" s="1382" t="s">
        <v>118</v>
      </c>
      <c r="EJ78" s="1382"/>
      <c r="EK78" s="1382"/>
      <c r="EL78" s="1382"/>
      <c r="EM78" s="1382"/>
      <c r="EN78" s="1382"/>
      <c r="EO78" s="1382"/>
      <c r="EP78" s="1381"/>
      <c r="EQ78" s="1381"/>
      <c r="ER78" s="1381"/>
      <c r="ES78" s="1381"/>
      <c r="ET78" s="1381"/>
      <c r="EU78" s="1381"/>
      <c r="EV78" s="1381"/>
      <c r="EW78" s="1381"/>
      <c r="EX78" s="1381"/>
      <c r="EY78" s="1381"/>
    </row>
    <row r="79" spans="1:155" s="430" customFormat="1" ht="8.1" customHeight="1">
      <c r="A79" s="1391" t="s">
        <v>1630</v>
      </c>
      <c r="B79" s="1391"/>
      <c r="C79" s="1391"/>
      <c r="D79" s="1391"/>
      <c r="E79" s="1391"/>
      <c r="F79" s="1391"/>
      <c r="G79" s="1391"/>
      <c r="H79" s="1391"/>
      <c r="I79" s="1391"/>
      <c r="J79" s="1391"/>
      <c r="K79" s="1391"/>
      <c r="L79" s="1391"/>
      <c r="M79" s="1391"/>
      <c r="N79" s="1391"/>
      <c r="O79" s="1391"/>
      <c r="P79" s="1391"/>
      <c r="Q79" s="1391"/>
      <c r="R79" s="1391"/>
      <c r="S79" s="1391"/>
      <c r="T79" s="1391"/>
      <c r="U79" s="1391"/>
      <c r="V79" s="1391"/>
      <c r="W79" s="1391"/>
      <c r="X79" s="1391"/>
      <c r="Y79" s="1391"/>
      <c r="Z79" s="1391"/>
      <c r="AA79" s="1391"/>
      <c r="AB79" s="1391"/>
      <c r="AC79" s="1391"/>
      <c r="AD79" s="1391"/>
      <c r="AE79" s="1391"/>
      <c r="AF79" s="1391"/>
      <c r="AG79" s="1391"/>
      <c r="AH79" s="1391"/>
      <c r="AI79" s="1391"/>
      <c r="AJ79" s="1391"/>
      <c r="AK79" s="1391"/>
      <c r="AL79" s="1391"/>
      <c r="AM79" s="1391"/>
      <c r="AN79" s="1382" t="s">
        <v>121</v>
      </c>
      <c r="AO79" s="1382"/>
      <c r="AP79" s="1382"/>
      <c r="AQ79" s="1382"/>
      <c r="AR79" s="1382"/>
      <c r="AS79" s="1382"/>
      <c r="AT79" s="1382"/>
      <c r="AU79" s="1382"/>
      <c r="AV79" s="1384" t="s">
        <v>63</v>
      </c>
      <c r="AW79" s="1384"/>
      <c r="AX79" s="1384"/>
      <c r="AY79" s="1384"/>
      <c r="AZ79" s="1384"/>
      <c r="BA79" s="1384"/>
      <c r="BB79" s="1382" t="s">
        <v>118</v>
      </c>
      <c r="BC79" s="1382"/>
      <c r="BD79" s="1382"/>
      <c r="BE79" s="1382"/>
      <c r="BF79" s="1382"/>
      <c r="BG79" s="1382"/>
      <c r="BH79" s="1382"/>
      <c r="BI79" s="1382"/>
      <c r="BJ79" s="1382"/>
      <c r="BK79" s="1382" t="s">
        <v>118</v>
      </c>
      <c r="BL79" s="1382"/>
      <c r="BM79" s="1382"/>
      <c r="BN79" s="1382"/>
      <c r="BO79" s="1382"/>
      <c r="BP79" s="1382"/>
      <c r="BQ79" s="1382"/>
      <c r="BR79" s="1382"/>
      <c r="BS79" s="1382"/>
      <c r="BT79" s="1385">
        <v>47945</v>
      </c>
      <c r="BU79" s="1385"/>
      <c r="BV79" s="1385"/>
      <c r="BW79" s="1385"/>
      <c r="BX79" s="1385"/>
      <c r="BY79" s="1385"/>
      <c r="BZ79" s="1385"/>
      <c r="CA79" s="1385">
        <v>41541</v>
      </c>
      <c r="CB79" s="1385"/>
      <c r="CC79" s="1385"/>
      <c r="CD79" s="1385"/>
      <c r="CE79" s="1385"/>
      <c r="CF79" s="1385"/>
      <c r="CG79" s="1385"/>
      <c r="CH79" s="1382" t="s">
        <v>118</v>
      </c>
      <c r="CI79" s="1382"/>
      <c r="CJ79" s="1382"/>
      <c r="CK79" s="1382"/>
      <c r="CL79" s="1382"/>
      <c r="CM79" s="1382"/>
      <c r="CN79" s="1382"/>
      <c r="CO79" s="1382" t="s">
        <v>118</v>
      </c>
      <c r="CP79" s="1382"/>
      <c r="CQ79" s="1382"/>
      <c r="CR79" s="1382"/>
      <c r="CS79" s="1382"/>
      <c r="CT79" s="1382"/>
      <c r="CU79" s="1382"/>
      <c r="CV79" s="1386" t="s">
        <v>118</v>
      </c>
      <c r="CW79" s="1386"/>
      <c r="CX79" s="1386"/>
      <c r="CY79" s="1386"/>
      <c r="CZ79" s="1386"/>
      <c r="DA79" s="1386"/>
      <c r="DB79" s="1386"/>
      <c r="DC79" s="1386"/>
      <c r="DD79" s="1386"/>
      <c r="DE79" s="1386" t="s">
        <v>118</v>
      </c>
      <c r="DF79" s="1386"/>
      <c r="DG79" s="1386"/>
      <c r="DH79" s="1386"/>
      <c r="DI79" s="1386"/>
      <c r="DJ79" s="1386"/>
      <c r="DK79" s="1386"/>
      <c r="DL79" s="1386"/>
      <c r="DM79" s="1386"/>
      <c r="DN79" s="1387">
        <v>755692</v>
      </c>
      <c r="DO79" s="1387"/>
      <c r="DP79" s="1387"/>
      <c r="DQ79" s="1387"/>
      <c r="DR79" s="1387"/>
      <c r="DS79" s="1387"/>
      <c r="DT79" s="1387"/>
      <c r="DU79" s="1387">
        <v>12120</v>
      </c>
      <c r="DV79" s="1387"/>
      <c r="DW79" s="1387"/>
      <c r="DX79" s="1387"/>
      <c r="DY79" s="1387"/>
      <c r="DZ79" s="1387"/>
      <c r="EA79" s="1387"/>
      <c r="EB79" s="1382" t="s">
        <v>118</v>
      </c>
      <c r="EC79" s="1382"/>
      <c r="ED79" s="1382"/>
      <c r="EE79" s="1382"/>
      <c r="EF79" s="1382"/>
      <c r="EG79" s="1382"/>
      <c r="EH79" s="1382"/>
      <c r="EI79" s="1382" t="s">
        <v>118</v>
      </c>
      <c r="EJ79" s="1382"/>
      <c r="EK79" s="1382"/>
      <c r="EL79" s="1382"/>
      <c r="EM79" s="1382"/>
      <c r="EN79" s="1382"/>
      <c r="EO79" s="1382"/>
      <c r="EP79" s="1381"/>
      <c r="EQ79" s="1381"/>
      <c r="ER79" s="1381"/>
      <c r="ES79" s="1381"/>
      <c r="ET79" s="1381"/>
      <c r="EU79" s="1381"/>
      <c r="EV79" s="1381"/>
      <c r="EW79" s="1381"/>
      <c r="EX79" s="1381"/>
      <c r="EY79" s="1381"/>
    </row>
    <row r="80" spans="1:155" s="430" customFormat="1" ht="32.25" customHeight="1">
      <c r="A80" s="1383" t="s">
        <v>1631</v>
      </c>
      <c r="B80" s="1383"/>
      <c r="C80" s="1383"/>
      <c r="D80" s="1383"/>
      <c r="E80" s="1383"/>
      <c r="F80" s="1383"/>
      <c r="G80" s="1383"/>
      <c r="H80" s="1383"/>
      <c r="I80" s="1383"/>
      <c r="J80" s="1383"/>
      <c r="K80" s="1383"/>
      <c r="L80" s="1383"/>
      <c r="M80" s="1383"/>
      <c r="N80" s="1383"/>
      <c r="O80" s="1383"/>
      <c r="P80" s="1383"/>
      <c r="Q80" s="1383"/>
      <c r="R80" s="1383"/>
      <c r="S80" s="1383"/>
      <c r="T80" s="1383"/>
      <c r="U80" s="1383"/>
      <c r="V80" s="1383"/>
      <c r="W80" s="1383"/>
      <c r="X80" s="1383"/>
      <c r="Y80" s="1383"/>
      <c r="Z80" s="1383"/>
      <c r="AA80" s="1383"/>
      <c r="AB80" s="1383"/>
      <c r="AC80" s="1383"/>
      <c r="AD80" s="1383"/>
      <c r="AE80" s="1383"/>
      <c r="AF80" s="1383"/>
      <c r="AG80" s="1383"/>
      <c r="AH80" s="1383"/>
      <c r="AI80" s="1383"/>
      <c r="AJ80" s="1383"/>
      <c r="AK80" s="1383"/>
      <c r="AL80" s="1383"/>
      <c r="AM80" s="1383"/>
      <c r="AN80" s="1382" t="s">
        <v>121</v>
      </c>
      <c r="AO80" s="1382"/>
      <c r="AP80" s="1382"/>
      <c r="AQ80" s="1382"/>
      <c r="AR80" s="1382"/>
      <c r="AS80" s="1382"/>
      <c r="AT80" s="1382"/>
      <c r="AU80" s="1382"/>
      <c r="AV80" s="1384" t="s">
        <v>1632</v>
      </c>
      <c r="AW80" s="1384"/>
      <c r="AX80" s="1384"/>
      <c r="AY80" s="1384"/>
      <c r="AZ80" s="1384"/>
      <c r="BA80" s="1384"/>
      <c r="BB80" s="1382" t="s">
        <v>118</v>
      </c>
      <c r="BC80" s="1382"/>
      <c r="BD80" s="1382"/>
      <c r="BE80" s="1382"/>
      <c r="BF80" s="1382"/>
      <c r="BG80" s="1382"/>
      <c r="BH80" s="1382"/>
      <c r="BI80" s="1382"/>
      <c r="BJ80" s="1382"/>
      <c r="BK80" s="1382" t="s">
        <v>118</v>
      </c>
      <c r="BL80" s="1382"/>
      <c r="BM80" s="1382"/>
      <c r="BN80" s="1382"/>
      <c r="BO80" s="1382"/>
      <c r="BP80" s="1382"/>
      <c r="BQ80" s="1382"/>
      <c r="BR80" s="1382"/>
      <c r="BS80" s="1382"/>
      <c r="BT80" s="1381">
        <v>2500000</v>
      </c>
      <c r="BU80" s="1381"/>
      <c r="BV80" s="1381"/>
      <c r="BW80" s="1381"/>
      <c r="BX80" s="1381"/>
      <c r="BY80" s="1381"/>
      <c r="BZ80" s="1381"/>
      <c r="CA80" s="1381"/>
      <c r="CB80" s="1381"/>
      <c r="CC80" s="1381"/>
      <c r="CD80" s="1381"/>
      <c r="CE80" s="1381"/>
      <c r="CF80" s="1381"/>
      <c r="CG80" s="1381"/>
      <c r="CH80" s="1382" t="s">
        <v>118</v>
      </c>
      <c r="CI80" s="1382"/>
      <c r="CJ80" s="1382"/>
      <c r="CK80" s="1382"/>
      <c r="CL80" s="1382"/>
      <c r="CM80" s="1382"/>
      <c r="CN80" s="1382"/>
      <c r="CO80" s="1382" t="s">
        <v>118</v>
      </c>
      <c r="CP80" s="1382"/>
      <c r="CQ80" s="1382"/>
      <c r="CR80" s="1382"/>
      <c r="CS80" s="1382"/>
      <c r="CT80" s="1382"/>
      <c r="CU80" s="1382"/>
      <c r="CV80" s="1382" t="s">
        <v>118</v>
      </c>
      <c r="CW80" s="1382"/>
      <c r="CX80" s="1382"/>
      <c r="CY80" s="1382"/>
      <c r="CZ80" s="1382"/>
      <c r="DA80" s="1382"/>
      <c r="DB80" s="1382"/>
      <c r="DC80" s="1382"/>
      <c r="DD80" s="1382"/>
      <c r="DE80" s="1382" t="s">
        <v>118</v>
      </c>
      <c r="DF80" s="1382"/>
      <c r="DG80" s="1382"/>
      <c r="DH80" s="1382"/>
      <c r="DI80" s="1382"/>
      <c r="DJ80" s="1382"/>
      <c r="DK80" s="1382"/>
      <c r="DL80" s="1382"/>
      <c r="DM80" s="1382"/>
      <c r="DN80" s="1381">
        <v>3522500</v>
      </c>
      <c r="DO80" s="1381"/>
      <c r="DP80" s="1381"/>
      <c r="DQ80" s="1381"/>
      <c r="DR80" s="1381"/>
      <c r="DS80" s="1381"/>
      <c r="DT80" s="1381"/>
      <c r="DU80" s="1381"/>
      <c r="DV80" s="1381"/>
      <c r="DW80" s="1381"/>
      <c r="DX80" s="1381"/>
      <c r="DY80" s="1381"/>
      <c r="DZ80" s="1381"/>
      <c r="EA80" s="1381"/>
      <c r="EB80" s="1382" t="s">
        <v>118</v>
      </c>
      <c r="EC80" s="1382"/>
      <c r="ED80" s="1382"/>
      <c r="EE80" s="1382"/>
      <c r="EF80" s="1382"/>
      <c r="EG80" s="1382"/>
      <c r="EH80" s="1382"/>
      <c r="EI80" s="1382" t="s">
        <v>118</v>
      </c>
      <c r="EJ80" s="1382"/>
      <c r="EK80" s="1382"/>
      <c r="EL80" s="1382"/>
      <c r="EM80" s="1382"/>
      <c r="EN80" s="1382"/>
      <c r="EO80" s="1382"/>
      <c r="EP80" s="1381"/>
      <c r="EQ80" s="1381"/>
      <c r="ER80" s="1381"/>
      <c r="ES80" s="1381"/>
      <c r="ET80" s="1381"/>
      <c r="EU80" s="1381"/>
      <c r="EV80" s="1381"/>
      <c r="EW80" s="1381"/>
      <c r="EX80" s="1381"/>
      <c r="EY80" s="1381"/>
    </row>
    <row r="81" spans="1:155" s="430" customFormat="1" ht="32.25" customHeight="1">
      <c r="A81" s="1383" t="s">
        <v>1633</v>
      </c>
      <c r="B81" s="1383"/>
      <c r="C81" s="1383"/>
      <c r="D81" s="1383"/>
      <c r="E81" s="1383"/>
      <c r="F81" s="1383"/>
      <c r="G81" s="1383"/>
      <c r="H81" s="1383"/>
      <c r="I81" s="1383"/>
      <c r="J81" s="1383"/>
      <c r="K81" s="1383"/>
      <c r="L81" s="1383"/>
      <c r="M81" s="1383"/>
      <c r="N81" s="1383"/>
      <c r="O81" s="1383"/>
      <c r="P81" s="1383"/>
      <c r="Q81" s="1383"/>
      <c r="R81" s="1383"/>
      <c r="S81" s="1383"/>
      <c r="T81" s="1383"/>
      <c r="U81" s="1383"/>
      <c r="V81" s="1383"/>
      <c r="W81" s="1383"/>
      <c r="X81" s="1383"/>
      <c r="Y81" s="1383"/>
      <c r="Z81" s="1383"/>
      <c r="AA81" s="1383"/>
      <c r="AB81" s="1383"/>
      <c r="AC81" s="1383"/>
      <c r="AD81" s="1383"/>
      <c r="AE81" s="1383"/>
      <c r="AF81" s="1383"/>
      <c r="AG81" s="1383"/>
      <c r="AH81" s="1383"/>
      <c r="AI81" s="1383"/>
      <c r="AJ81" s="1383"/>
      <c r="AK81" s="1383"/>
      <c r="AL81" s="1383"/>
      <c r="AM81" s="1383"/>
      <c r="AN81" s="1382" t="s">
        <v>121</v>
      </c>
      <c r="AO81" s="1382"/>
      <c r="AP81" s="1382"/>
      <c r="AQ81" s="1382"/>
      <c r="AR81" s="1382"/>
      <c r="AS81" s="1382"/>
      <c r="AT81" s="1382"/>
      <c r="AU81" s="1382"/>
      <c r="AV81" s="1384" t="s">
        <v>1634</v>
      </c>
      <c r="AW81" s="1384"/>
      <c r="AX81" s="1384"/>
      <c r="AY81" s="1384"/>
      <c r="AZ81" s="1384"/>
      <c r="BA81" s="1384"/>
      <c r="BB81" s="1382" t="s">
        <v>118</v>
      </c>
      <c r="BC81" s="1382"/>
      <c r="BD81" s="1382"/>
      <c r="BE81" s="1382"/>
      <c r="BF81" s="1382"/>
      <c r="BG81" s="1382"/>
      <c r="BH81" s="1382"/>
      <c r="BI81" s="1382"/>
      <c r="BJ81" s="1382"/>
      <c r="BK81" s="1382" t="s">
        <v>118</v>
      </c>
      <c r="BL81" s="1382"/>
      <c r="BM81" s="1382"/>
      <c r="BN81" s="1382"/>
      <c r="BO81" s="1382"/>
      <c r="BP81" s="1382"/>
      <c r="BQ81" s="1382"/>
      <c r="BR81" s="1382"/>
      <c r="BS81" s="1382"/>
      <c r="BT81" s="1381">
        <v>1708618</v>
      </c>
      <c r="BU81" s="1381"/>
      <c r="BV81" s="1381"/>
      <c r="BW81" s="1381"/>
      <c r="BX81" s="1381"/>
      <c r="BY81" s="1381"/>
      <c r="BZ81" s="1381"/>
      <c r="CA81" s="1381"/>
      <c r="CB81" s="1381"/>
      <c r="CC81" s="1381"/>
      <c r="CD81" s="1381"/>
      <c r="CE81" s="1381"/>
      <c r="CF81" s="1381"/>
      <c r="CG81" s="1381"/>
      <c r="CH81" s="1382" t="s">
        <v>118</v>
      </c>
      <c r="CI81" s="1382"/>
      <c r="CJ81" s="1382"/>
      <c r="CK81" s="1382"/>
      <c r="CL81" s="1382"/>
      <c r="CM81" s="1382"/>
      <c r="CN81" s="1382"/>
      <c r="CO81" s="1382" t="s">
        <v>118</v>
      </c>
      <c r="CP81" s="1382"/>
      <c r="CQ81" s="1382"/>
      <c r="CR81" s="1382"/>
      <c r="CS81" s="1382"/>
      <c r="CT81" s="1382"/>
      <c r="CU81" s="1382"/>
      <c r="CV81" s="1382" t="s">
        <v>118</v>
      </c>
      <c r="CW81" s="1382"/>
      <c r="CX81" s="1382"/>
      <c r="CY81" s="1382"/>
      <c r="CZ81" s="1382"/>
      <c r="DA81" s="1382"/>
      <c r="DB81" s="1382"/>
      <c r="DC81" s="1382"/>
      <c r="DD81" s="1382"/>
      <c r="DE81" s="1382" t="s">
        <v>118</v>
      </c>
      <c r="DF81" s="1382"/>
      <c r="DG81" s="1382"/>
      <c r="DH81" s="1382"/>
      <c r="DI81" s="1382"/>
      <c r="DJ81" s="1382"/>
      <c r="DK81" s="1382"/>
      <c r="DL81" s="1382"/>
      <c r="DM81" s="1382"/>
      <c r="DN81" s="1381">
        <v>665500</v>
      </c>
      <c r="DO81" s="1381"/>
      <c r="DP81" s="1381"/>
      <c r="DQ81" s="1381"/>
      <c r="DR81" s="1381"/>
      <c r="DS81" s="1381"/>
      <c r="DT81" s="1381"/>
      <c r="DU81" s="1381"/>
      <c r="DV81" s="1381"/>
      <c r="DW81" s="1381"/>
      <c r="DX81" s="1381"/>
      <c r="DY81" s="1381"/>
      <c r="DZ81" s="1381"/>
      <c r="EA81" s="1381"/>
      <c r="EB81" s="1382" t="s">
        <v>118</v>
      </c>
      <c r="EC81" s="1382"/>
      <c r="ED81" s="1382"/>
      <c r="EE81" s="1382"/>
      <c r="EF81" s="1382"/>
      <c r="EG81" s="1382"/>
      <c r="EH81" s="1382"/>
      <c r="EI81" s="1382" t="s">
        <v>118</v>
      </c>
      <c r="EJ81" s="1382"/>
      <c r="EK81" s="1382"/>
      <c r="EL81" s="1382"/>
      <c r="EM81" s="1382"/>
      <c r="EN81" s="1382"/>
      <c r="EO81" s="1382"/>
      <c r="EP81" s="1381"/>
      <c r="EQ81" s="1381"/>
      <c r="ER81" s="1381"/>
      <c r="ES81" s="1381"/>
      <c r="ET81" s="1381"/>
      <c r="EU81" s="1381"/>
      <c r="EV81" s="1381"/>
      <c r="EW81" s="1381"/>
      <c r="EX81" s="1381"/>
      <c r="EY81" s="1381"/>
    </row>
    <row r="82" spans="1:155" s="430" customFormat="1" ht="8.1" customHeight="1">
      <c r="A82" s="1383" t="s">
        <v>1635</v>
      </c>
      <c r="B82" s="1383"/>
      <c r="C82" s="1383"/>
      <c r="D82" s="1383"/>
      <c r="E82" s="1383"/>
      <c r="F82" s="1383"/>
      <c r="G82" s="1383"/>
      <c r="H82" s="1383"/>
      <c r="I82" s="1383"/>
      <c r="J82" s="1383"/>
      <c r="K82" s="1383"/>
      <c r="L82" s="1383"/>
      <c r="M82" s="1383"/>
      <c r="N82" s="1383"/>
      <c r="O82" s="1383"/>
      <c r="P82" s="1383"/>
      <c r="Q82" s="1383"/>
      <c r="R82" s="1383"/>
      <c r="S82" s="1383"/>
      <c r="T82" s="1383"/>
      <c r="U82" s="1383"/>
      <c r="V82" s="1383"/>
      <c r="W82" s="1383"/>
      <c r="X82" s="1383"/>
      <c r="Y82" s="1383"/>
      <c r="Z82" s="1383"/>
      <c r="AA82" s="1383"/>
      <c r="AB82" s="1383"/>
      <c r="AC82" s="1383"/>
      <c r="AD82" s="1383"/>
      <c r="AE82" s="1383"/>
      <c r="AF82" s="1383"/>
      <c r="AG82" s="1383"/>
      <c r="AH82" s="1383"/>
      <c r="AI82" s="1383"/>
      <c r="AJ82" s="1383"/>
      <c r="AK82" s="1383"/>
      <c r="AL82" s="1383"/>
      <c r="AM82" s="1383"/>
      <c r="AN82" s="1382" t="s">
        <v>121</v>
      </c>
      <c r="AO82" s="1382"/>
      <c r="AP82" s="1382"/>
      <c r="AQ82" s="1382"/>
      <c r="AR82" s="1382"/>
      <c r="AS82" s="1382"/>
      <c r="AT82" s="1382"/>
      <c r="AU82" s="1382"/>
      <c r="AV82" s="1384" t="s">
        <v>1636</v>
      </c>
      <c r="AW82" s="1384"/>
      <c r="AX82" s="1384"/>
      <c r="AY82" s="1384"/>
      <c r="AZ82" s="1384"/>
      <c r="BA82" s="1384"/>
      <c r="BB82" s="1381">
        <f>CH82</f>
        <v>4078564</v>
      </c>
      <c r="BC82" s="1381"/>
      <c r="BD82" s="1381"/>
      <c r="BE82" s="1381"/>
      <c r="BF82" s="1381"/>
      <c r="BG82" s="1381"/>
      <c r="BH82" s="1381"/>
      <c r="BI82" s="1381"/>
      <c r="BJ82" s="1381"/>
      <c r="BK82" s="1381">
        <f>BB82</f>
        <v>4078564</v>
      </c>
      <c r="BL82" s="1381"/>
      <c r="BM82" s="1381"/>
      <c r="BN82" s="1381"/>
      <c r="BO82" s="1381"/>
      <c r="BP82" s="1381"/>
      <c r="BQ82" s="1381"/>
      <c r="BR82" s="1381"/>
      <c r="BS82" s="1381"/>
      <c r="BT82" s="1382" t="s">
        <v>118</v>
      </c>
      <c r="BU82" s="1382"/>
      <c r="BV82" s="1382"/>
      <c r="BW82" s="1382"/>
      <c r="BX82" s="1382"/>
      <c r="BY82" s="1382"/>
      <c r="BZ82" s="1382"/>
      <c r="CA82" s="1382" t="s">
        <v>118</v>
      </c>
      <c r="CB82" s="1382"/>
      <c r="CC82" s="1382"/>
      <c r="CD82" s="1382"/>
      <c r="CE82" s="1382"/>
      <c r="CF82" s="1382"/>
      <c r="CG82" s="1382"/>
      <c r="CH82" s="1381">
        <v>4078564</v>
      </c>
      <c r="CI82" s="1381"/>
      <c r="CJ82" s="1381"/>
      <c r="CK82" s="1381"/>
      <c r="CL82" s="1381"/>
      <c r="CM82" s="1381"/>
      <c r="CN82" s="1381"/>
      <c r="CO82" s="1381"/>
      <c r="CP82" s="1381"/>
      <c r="CQ82" s="1381"/>
      <c r="CR82" s="1381"/>
      <c r="CS82" s="1381"/>
      <c r="CT82" s="1381"/>
      <c r="CU82" s="1381"/>
      <c r="CV82" s="1381">
        <f>DE82</f>
        <v>4581516</v>
      </c>
      <c r="CW82" s="1381"/>
      <c r="CX82" s="1381"/>
      <c r="CY82" s="1381"/>
      <c r="CZ82" s="1381"/>
      <c r="DA82" s="1381"/>
      <c r="DB82" s="1381"/>
      <c r="DC82" s="1381"/>
      <c r="DD82" s="1381"/>
      <c r="DE82" s="1381">
        <f>EB82</f>
        <v>4581516</v>
      </c>
      <c r="DF82" s="1381"/>
      <c r="DG82" s="1381"/>
      <c r="DH82" s="1381"/>
      <c r="DI82" s="1381"/>
      <c r="DJ82" s="1381"/>
      <c r="DK82" s="1381"/>
      <c r="DL82" s="1381"/>
      <c r="DM82" s="1381"/>
      <c r="DN82" s="1382" t="s">
        <v>118</v>
      </c>
      <c r="DO82" s="1382"/>
      <c r="DP82" s="1382"/>
      <c r="DQ82" s="1382"/>
      <c r="DR82" s="1382"/>
      <c r="DS82" s="1382"/>
      <c r="DT82" s="1382"/>
      <c r="DU82" s="1382" t="s">
        <v>118</v>
      </c>
      <c r="DV82" s="1382"/>
      <c r="DW82" s="1382"/>
      <c r="DX82" s="1382"/>
      <c r="DY82" s="1382"/>
      <c r="DZ82" s="1382"/>
      <c r="EA82" s="1382"/>
      <c r="EB82" s="1381">
        <v>4581516</v>
      </c>
      <c r="EC82" s="1381"/>
      <c r="ED82" s="1381"/>
      <c r="EE82" s="1381"/>
      <c r="EF82" s="1381"/>
      <c r="EG82" s="1381"/>
      <c r="EH82" s="1381"/>
      <c r="EI82" s="1381"/>
      <c r="EJ82" s="1381"/>
      <c r="EK82" s="1381"/>
      <c r="EL82" s="1381"/>
      <c r="EM82" s="1381"/>
      <c r="EN82" s="1381"/>
      <c r="EO82" s="1381"/>
      <c r="EP82" s="1381"/>
      <c r="EQ82" s="1381"/>
      <c r="ER82" s="1381"/>
      <c r="ES82" s="1381"/>
      <c r="ET82" s="1381"/>
      <c r="EU82" s="1381"/>
      <c r="EV82" s="1381"/>
      <c r="EW82" s="1381"/>
      <c r="EX82" s="1381"/>
      <c r="EY82" s="1381"/>
    </row>
    <row r="83" spans="1:155" s="430" customFormat="1" ht="8.1" customHeight="1">
      <c r="A83" s="1383" t="s">
        <v>1637</v>
      </c>
      <c r="B83" s="1383"/>
      <c r="C83" s="1383"/>
      <c r="D83" s="1383"/>
      <c r="E83" s="1383"/>
      <c r="F83" s="1383"/>
      <c r="G83" s="1383"/>
      <c r="H83" s="1383"/>
      <c r="I83" s="1383"/>
      <c r="J83" s="1383"/>
      <c r="K83" s="1383"/>
      <c r="L83" s="1383"/>
      <c r="M83" s="1383"/>
      <c r="N83" s="1383"/>
      <c r="O83" s="1383"/>
      <c r="P83" s="1383"/>
      <c r="Q83" s="1383"/>
      <c r="R83" s="1383"/>
      <c r="S83" s="1383"/>
      <c r="T83" s="1383"/>
      <c r="U83" s="1383"/>
      <c r="V83" s="1383"/>
      <c r="W83" s="1383"/>
      <c r="X83" s="1383"/>
      <c r="Y83" s="1383"/>
      <c r="Z83" s="1383"/>
      <c r="AA83" s="1383"/>
      <c r="AB83" s="1383"/>
      <c r="AC83" s="1383"/>
      <c r="AD83" s="1383"/>
      <c r="AE83" s="1383"/>
      <c r="AF83" s="1383"/>
      <c r="AG83" s="1383"/>
      <c r="AH83" s="1383"/>
      <c r="AI83" s="1383"/>
      <c r="AJ83" s="1383"/>
      <c r="AK83" s="1383"/>
      <c r="AL83" s="1383"/>
      <c r="AM83" s="1383"/>
      <c r="AN83" s="1382" t="s">
        <v>121</v>
      </c>
      <c r="AO83" s="1382"/>
      <c r="AP83" s="1382"/>
      <c r="AQ83" s="1382"/>
      <c r="AR83" s="1382"/>
      <c r="AS83" s="1382"/>
      <c r="AT83" s="1382"/>
      <c r="AU83" s="1382"/>
      <c r="AV83" s="1384" t="s">
        <v>1638</v>
      </c>
      <c r="AW83" s="1384"/>
      <c r="AX83" s="1384"/>
      <c r="AY83" s="1384"/>
      <c r="AZ83" s="1384"/>
      <c r="BA83" s="1384"/>
      <c r="BB83" s="1381">
        <f>CH83</f>
        <v>3060679</v>
      </c>
      <c r="BC83" s="1381"/>
      <c r="BD83" s="1381"/>
      <c r="BE83" s="1381"/>
      <c r="BF83" s="1381"/>
      <c r="BG83" s="1381"/>
      <c r="BH83" s="1381"/>
      <c r="BI83" s="1381"/>
      <c r="BJ83" s="1381"/>
      <c r="BK83" s="1381">
        <f>BB83</f>
        <v>3060679</v>
      </c>
      <c r="BL83" s="1381"/>
      <c r="BM83" s="1381"/>
      <c r="BN83" s="1381"/>
      <c r="BO83" s="1381"/>
      <c r="BP83" s="1381"/>
      <c r="BQ83" s="1381"/>
      <c r="BR83" s="1381"/>
      <c r="BS83" s="1381"/>
      <c r="BT83" s="1382" t="s">
        <v>118</v>
      </c>
      <c r="BU83" s="1382"/>
      <c r="BV83" s="1382"/>
      <c r="BW83" s="1382"/>
      <c r="BX83" s="1382"/>
      <c r="BY83" s="1382"/>
      <c r="BZ83" s="1382"/>
      <c r="CA83" s="1382" t="s">
        <v>118</v>
      </c>
      <c r="CB83" s="1382"/>
      <c r="CC83" s="1382"/>
      <c r="CD83" s="1382"/>
      <c r="CE83" s="1382"/>
      <c r="CF83" s="1382"/>
      <c r="CG83" s="1382"/>
      <c r="CH83" s="1385">
        <v>3060679</v>
      </c>
      <c r="CI83" s="1385"/>
      <c r="CJ83" s="1385"/>
      <c r="CK83" s="1385"/>
      <c r="CL83" s="1385"/>
      <c r="CM83" s="1385"/>
      <c r="CN83" s="1385"/>
      <c r="CO83" s="1381"/>
      <c r="CP83" s="1381"/>
      <c r="CQ83" s="1381"/>
      <c r="CR83" s="1381"/>
      <c r="CS83" s="1381"/>
      <c r="CT83" s="1381"/>
      <c r="CU83" s="1381"/>
      <c r="CV83" s="1381">
        <f>DE83</f>
        <v>3102087</v>
      </c>
      <c r="CW83" s="1381"/>
      <c r="CX83" s="1381"/>
      <c r="CY83" s="1381"/>
      <c r="CZ83" s="1381"/>
      <c r="DA83" s="1381"/>
      <c r="DB83" s="1381"/>
      <c r="DC83" s="1381"/>
      <c r="DD83" s="1381"/>
      <c r="DE83" s="1381">
        <f>EB83</f>
        <v>3102087</v>
      </c>
      <c r="DF83" s="1381"/>
      <c r="DG83" s="1381"/>
      <c r="DH83" s="1381"/>
      <c r="DI83" s="1381"/>
      <c r="DJ83" s="1381"/>
      <c r="DK83" s="1381"/>
      <c r="DL83" s="1381"/>
      <c r="DM83" s="1381"/>
      <c r="DN83" s="1382" t="s">
        <v>118</v>
      </c>
      <c r="DO83" s="1382"/>
      <c r="DP83" s="1382"/>
      <c r="DQ83" s="1382"/>
      <c r="DR83" s="1382"/>
      <c r="DS83" s="1382"/>
      <c r="DT83" s="1382"/>
      <c r="DU83" s="1382" t="s">
        <v>118</v>
      </c>
      <c r="DV83" s="1382"/>
      <c r="DW83" s="1382"/>
      <c r="DX83" s="1382"/>
      <c r="DY83" s="1382"/>
      <c r="DZ83" s="1382"/>
      <c r="EA83" s="1382"/>
      <c r="EB83" s="1381">
        <v>3102087</v>
      </c>
      <c r="EC83" s="1381"/>
      <c r="ED83" s="1381"/>
      <c r="EE83" s="1381"/>
      <c r="EF83" s="1381"/>
      <c r="EG83" s="1381"/>
      <c r="EH83" s="1381"/>
      <c r="EI83" s="1381"/>
      <c r="EJ83" s="1381"/>
      <c r="EK83" s="1381"/>
      <c r="EL83" s="1381"/>
      <c r="EM83" s="1381"/>
      <c r="EN83" s="1381"/>
      <c r="EO83" s="1381"/>
      <c r="EP83" s="1381"/>
      <c r="EQ83" s="1381"/>
      <c r="ER83" s="1381"/>
      <c r="ES83" s="1381"/>
      <c r="ET83" s="1381"/>
      <c r="EU83" s="1381"/>
      <c r="EV83" s="1381"/>
      <c r="EW83" s="1381"/>
      <c r="EX83" s="1381"/>
      <c r="EY83" s="1381"/>
    </row>
    <row r="84" spans="1:155" s="430" customFormat="1" ht="8.1" customHeight="1">
      <c r="A84" s="1383" t="s">
        <v>1639</v>
      </c>
      <c r="B84" s="1383"/>
      <c r="C84" s="1383"/>
      <c r="D84" s="1383"/>
      <c r="E84" s="1383"/>
      <c r="F84" s="1383"/>
      <c r="G84" s="1383"/>
      <c r="H84" s="1383"/>
      <c r="I84" s="1383"/>
      <c r="J84" s="1383"/>
      <c r="K84" s="1383"/>
      <c r="L84" s="1383"/>
      <c r="M84" s="1383"/>
      <c r="N84" s="1383"/>
      <c r="O84" s="1383"/>
      <c r="P84" s="1383"/>
      <c r="Q84" s="1383"/>
      <c r="R84" s="1383"/>
      <c r="S84" s="1383"/>
      <c r="T84" s="1383"/>
      <c r="U84" s="1383"/>
      <c r="V84" s="1383"/>
      <c r="W84" s="1383"/>
      <c r="X84" s="1383"/>
      <c r="Y84" s="1383"/>
      <c r="Z84" s="1383"/>
      <c r="AA84" s="1383"/>
      <c r="AB84" s="1383"/>
      <c r="AC84" s="1383"/>
      <c r="AD84" s="1383"/>
      <c r="AE84" s="1383"/>
      <c r="AF84" s="1383"/>
      <c r="AG84" s="1383"/>
      <c r="AH84" s="1383"/>
      <c r="AI84" s="1383"/>
      <c r="AJ84" s="1383"/>
      <c r="AK84" s="1383"/>
      <c r="AL84" s="1383"/>
      <c r="AM84" s="1383"/>
      <c r="AN84" s="1382" t="s">
        <v>121</v>
      </c>
      <c r="AO84" s="1382"/>
      <c r="AP84" s="1382"/>
      <c r="AQ84" s="1382"/>
      <c r="AR84" s="1382"/>
      <c r="AS84" s="1382"/>
      <c r="AT84" s="1382"/>
      <c r="AU84" s="1382"/>
      <c r="AV84" s="1384" t="s">
        <v>1640</v>
      </c>
      <c r="AW84" s="1384"/>
      <c r="AX84" s="1384"/>
      <c r="AY84" s="1384"/>
      <c r="AZ84" s="1384"/>
      <c r="BA84" s="1384"/>
      <c r="BB84" s="1381">
        <f>CH84</f>
        <v>2559100</v>
      </c>
      <c r="BC84" s="1381"/>
      <c r="BD84" s="1381"/>
      <c r="BE84" s="1381"/>
      <c r="BF84" s="1381"/>
      <c r="BG84" s="1381"/>
      <c r="BH84" s="1381"/>
      <c r="BI84" s="1381"/>
      <c r="BJ84" s="1381"/>
      <c r="BK84" s="1381">
        <f>BB84</f>
        <v>2559100</v>
      </c>
      <c r="BL84" s="1381"/>
      <c r="BM84" s="1381"/>
      <c r="BN84" s="1381"/>
      <c r="BO84" s="1381"/>
      <c r="BP84" s="1381"/>
      <c r="BQ84" s="1381"/>
      <c r="BR84" s="1381"/>
      <c r="BS84" s="1381"/>
      <c r="BT84" s="1382" t="s">
        <v>118</v>
      </c>
      <c r="BU84" s="1382"/>
      <c r="BV84" s="1382"/>
      <c r="BW84" s="1382"/>
      <c r="BX84" s="1382"/>
      <c r="BY84" s="1382"/>
      <c r="BZ84" s="1382"/>
      <c r="CA84" s="1382" t="s">
        <v>118</v>
      </c>
      <c r="CB84" s="1382"/>
      <c r="CC84" s="1382"/>
      <c r="CD84" s="1382"/>
      <c r="CE84" s="1382"/>
      <c r="CF84" s="1382"/>
      <c r="CG84" s="1382"/>
      <c r="CH84" s="1381">
        <v>2559100</v>
      </c>
      <c r="CI84" s="1381"/>
      <c r="CJ84" s="1381"/>
      <c r="CK84" s="1381"/>
      <c r="CL84" s="1381"/>
      <c r="CM84" s="1381"/>
      <c r="CN84" s="1381"/>
      <c r="CO84" s="1381"/>
      <c r="CP84" s="1381"/>
      <c r="CQ84" s="1381"/>
      <c r="CR84" s="1381"/>
      <c r="CS84" s="1381"/>
      <c r="CT84" s="1381"/>
      <c r="CU84" s="1381"/>
      <c r="CV84" s="1381">
        <f>DE84</f>
        <v>2688985</v>
      </c>
      <c r="CW84" s="1381"/>
      <c r="CX84" s="1381"/>
      <c r="CY84" s="1381"/>
      <c r="CZ84" s="1381"/>
      <c r="DA84" s="1381"/>
      <c r="DB84" s="1381"/>
      <c r="DC84" s="1381"/>
      <c r="DD84" s="1381"/>
      <c r="DE84" s="1381">
        <f>EB84</f>
        <v>2688985</v>
      </c>
      <c r="DF84" s="1381"/>
      <c r="DG84" s="1381"/>
      <c r="DH84" s="1381"/>
      <c r="DI84" s="1381"/>
      <c r="DJ84" s="1381"/>
      <c r="DK84" s="1381"/>
      <c r="DL84" s="1381"/>
      <c r="DM84" s="1381"/>
      <c r="DN84" s="1382" t="s">
        <v>118</v>
      </c>
      <c r="DO84" s="1382"/>
      <c r="DP84" s="1382"/>
      <c r="DQ84" s="1382"/>
      <c r="DR84" s="1382"/>
      <c r="DS84" s="1382"/>
      <c r="DT84" s="1382"/>
      <c r="DU84" s="1382" t="s">
        <v>118</v>
      </c>
      <c r="DV84" s="1382"/>
      <c r="DW84" s="1382"/>
      <c r="DX84" s="1382"/>
      <c r="DY84" s="1382"/>
      <c r="DZ84" s="1382"/>
      <c r="EA84" s="1382"/>
      <c r="EB84" s="1381">
        <v>2688985</v>
      </c>
      <c r="EC84" s="1381"/>
      <c r="ED84" s="1381"/>
      <c r="EE84" s="1381"/>
      <c r="EF84" s="1381"/>
      <c r="EG84" s="1381"/>
      <c r="EH84" s="1381"/>
      <c r="EI84" s="1381"/>
      <c r="EJ84" s="1381"/>
      <c r="EK84" s="1381"/>
      <c r="EL84" s="1381"/>
      <c r="EM84" s="1381"/>
      <c r="EN84" s="1381"/>
      <c r="EO84" s="1381"/>
      <c r="EP84" s="1381"/>
      <c r="EQ84" s="1381"/>
      <c r="ER84" s="1381"/>
      <c r="ES84" s="1381"/>
      <c r="ET84" s="1381"/>
      <c r="EU84" s="1381"/>
      <c r="EV84" s="1381"/>
      <c r="EW84" s="1381"/>
      <c r="EX84" s="1381"/>
      <c r="EY84" s="1381"/>
    </row>
    <row r="85" spans="1:155" ht="3" customHeight="1">
      <c r="EB85" s="437"/>
      <c r="EC85" s="437"/>
      <c r="ED85" s="437"/>
      <c r="EE85" s="437"/>
      <c r="EF85" s="437"/>
      <c r="EG85" s="437"/>
      <c r="EH85" s="437"/>
      <c r="EI85" s="437"/>
      <c r="EJ85" s="437"/>
      <c r="EK85" s="437"/>
      <c r="EL85" s="437"/>
      <c r="EM85" s="437"/>
      <c r="EN85" s="437"/>
      <c r="EO85" s="437"/>
      <c r="EP85" s="437"/>
      <c r="EQ85" s="437"/>
      <c r="ER85" s="437"/>
      <c r="ES85" s="437"/>
      <c r="ET85" s="437"/>
      <c r="EU85" s="437"/>
      <c r="EV85" s="437"/>
      <c r="EW85" s="437"/>
      <c r="EX85" s="437"/>
      <c r="EY85" s="437"/>
    </row>
    <row r="86" spans="1:155" s="421" customFormat="1" ht="8.4" customHeight="1">
      <c r="A86" s="433" t="s">
        <v>1620</v>
      </c>
    </row>
    <row r="87" spans="1:155" s="425" customFormat="1" ht="8.1" customHeight="1">
      <c r="A87" s="434" t="s">
        <v>1621</v>
      </c>
    </row>
    <row r="88" spans="1:155" s="425" customFormat="1" ht="8.1" customHeight="1">
      <c r="A88" s="434" t="s">
        <v>1622</v>
      </c>
    </row>
    <row r="89" spans="1:155" s="425" customFormat="1" ht="7.8"/>
    <row r="90" spans="1:155" s="424" customFormat="1" ht="9" customHeight="1">
      <c r="A90" s="424" t="s">
        <v>1641</v>
      </c>
      <c r="DN90" s="1379"/>
      <c r="DO90" s="1379"/>
      <c r="DP90" s="1379"/>
      <c r="DQ90" s="1379"/>
      <c r="DR90" s="1379"/>
      <c r="DS90" s="1379"/>
      <c r="DT90" s="1379"/>
      <c r="DU90" s="1379"/>
      <c r="DV90" s="1379"/>
      <c r="DW90" s="1379"/>
      <c r="DX90" s="1379"/>
      <c r="DY90" s="1379"/>
      <c r="DZ90" s="1379"/>
      <c r="EA90" s="1379"/>
      <c r="EB90" s="1379"/>
      <c r="EC90" s="1379"/>
      <c r="ED90" s="1379"/>
      <c r="EE90" s="1379"/>
      <c r="EF90" s="1379"/>
      <c r="EG90" s="1379"/>
      <c r="EH90" s="1379"/>
      <c r="EJ90" s="1379" t="s">
        <v>1642</v>
      </c>
      <c r="EK90" s="1379"/>
      <c r="EL90" s="1379"/>
      <c r="EM90" s="1379"/>
      <c r="EN90" s="1379"/>
      <c r="EO90" s="1379"/>
      <c r="EP90" s="1379"/>
      <c r="EQ90" s="1379"/>
      <c r="ER90" s="1379"/>
      <c r="ES90" s="1379"/>
      <c r="ET90" s="1379"/>
      <c r="EU90" s="1379"/>
      <c r="EV90" s="1379"/>
      <c r="EW90" s="1379"/>
      <c r="EX90" s="1379"/>
      <c r="EY90" s="1379"/>
    </row>
    <row r="91" spans="1:155" s="425" customFormat="1" ht="8.1" customHeight="1">
      <c r="DN91" s="1380" t="s">
        <v>1643</v>
      </c>
      <c r="DO91" s="1380"/>
      <c r="DP91" s="1380"/>
      <c r="DQ91" s="1380"/>
      <c r="DR91" s="1380"/>
      <c r="DS91" s="1380"/>
      <c r="DT91" s="1380"/>
      <c r="DU91" s="1380"/>
      <c r="DV91" s="1380"/>
      <c r="DW91" s="1380"/>
      <c r="DX91" s="1380"/>
      <c r="DY91" s="1380"/>
      <c r="DZ91" s="1380"/>
      <c r="EA91" s="1380"/>
      <c r="EB91" s="1380"/>
      <c r="EC91" s="1380"/>
      <c r="ED91" s="1380"/>
      <c r="EE91" s="1380"/>
      <c r="EF91" s="1380"/>
      <c r="EG91" s="1380"/>
      <c r="EH91" s="1380"/>
      <c r="EJ91" s="1380" t="s">
        <v>1644</v>
      </c>
      <c r="EK91" s="1380"/>
      <c r="EL91" s="1380"/>
      <c r="EM91" s="1380"/>
      <c r="EN91" s="1380"/>
      <c r="EO91" s="1380"/>
      <c r="EP91" s="1380"/>
      <c r="EQ91" s="1380"/>
      <c r="ER91" s="1380"/>
      <c r="ES91" s="1380"/>
      <c r="ET91" s="1380"/>
      <c r="EU91" s="1380"/>
      <c r="EV91" s="1380"/>
      <c r="EW91" s="1380"/>
      <c r="EX91" s="1380"/>
      <c r="EY91" s="1380"/>
    </row>
    <row r="92" spans="1:155" s="424" customFormat="1" ht="9" customHeight="1">
      <c r="A92" s="424" t="s">
        <v>1645</v>
      </c>
      <c r="DN92" s="1379"/>
      <c r="DO92" s="1379"/>
      <c r="DP92" s="1379"/>
      <c r="DQ92" s="1379"/>
      <c r="DR92" s="1379"/>
      <c r="DS92" s="1379"/>
      <c r="DT92" s="1379"/>
      <c r="DU92" s="1379"/>
      <c r="DV92" s="1379"/>
      <c r="DW92" s="1379"/>
      <c r="DX92" s="1379"/>
      <c r="DY92" s="1379"/>
      <c r="DZ92" s="1379"/>
      <c r="EA92" s="1379"/>
      <c r="EB92" s="1379"/>
      <c r="EC92" s="1379"/>
      <c r="ED92" s="1379"/>
      <c r="EE92" s="1379"/>
      <c r="EF92" s="1379"/>
      <c r="EG92" s="1379"/>
      <c r="EH92" s="1379"/>
      <c r="EJ92" s="1379" t="s">
        <v>1646</v>
      </c>
      <c r="EK92" s="1379"/>
      <c r="EL92" s="1379"/>
      <c r="EM92" s="1379"/>
      <c r="EN92" s="1379"/>
      <c r="EO92" s="1379"/>
      <c r="EP92" s="1379"/>
      <c r="EQ92" s="1379"/>
      <c r="ER92" s="1379"/>
      <c r="ES92" s="1379"/>
      <c r="ET92" s="1379"/>
      <c r="EU92" s="1379"/>
      <c r="EV92" s="1379"/>
      <c r="EW92" s="1379"/>
      <c r="EX92" s="1379"/>
      <c r="EY92" s="1379"/>
    </row>
    <row r="93" spans="1:155" s="425" customFormat="1" ht="8.25" customHeight="1">
      <c r="A93" s="425" t="s">
        <v>1647</v>
      </c>
      <c r="DN93" s="1380" t="s">
        <v>1643</v>
      </c>
      <c r="DO93" s="1380"/>
      <c r="DP93" s="1380"/>
      <c r="DQ93" s="1380"/>
      <c r="DR93" s="1380"/>
      <c r="DS93" s="1380"/>
      <c r="DT93" s="1380"/>
      <c r="DU93" s="1380"/>
      <c r="DV93" s="1380"/>
      <c r="DW93" s="1380"/>
      <c r="DX93" s="1380"/>
      <c r="DY93" s="1380"/>
      <c r="DZ93" s="1380"/>
      <c r="EA93" s="1380"/>
      <c r="EB93" s="1380"/>
      <c r="EC93" s="1380"/>
      <c r="ED93" s="1380"/>
      <c r="EE93" s="1380"/>
      <c r="EF93" s="1380"/>
      <c r="EG93" s="1380"/>
      <c r="EH93" s="1380"/>
      <c r="EJ93" s="1380" t="s">
        <v>1644</v>
      </c>
      <c r="EK93" s="1380"/>
      <c r="EL93" s="1380"/>
      <c r="EM93" s="1380"/>
      <c r="EN93" s="1380"/>
      <c r="EO93" s="1380"/>
      <c r="EP93" s="1380"/>
      <c r="EQ93" s="1380"/>
      <c r="ER93" s="1380"/>
      <c r="ES93" s="1380"/>
      <c r="ET93" s="1380"/>
      <c r="EU93" s="1380"/>
      <c r="EV93" s="1380"/>
      <c r="EW93" s="1380"/>
      <c r="EX93" s="1380"/>
      <c r="EY93" s="1380"/>
    </row>
    <row r="94" spans="1:155" ht="3" customHeight="1"/>
  </sheetData>
  <mergeCells count="933">
    <mergeCell ref="A3:EY3"/>
    <mergeCell ref="A4:EY4"/>
    <mergeCell ref="DN11:EY11"/>
    <mergeCell ref="DN12:EY12"/>
    <mergeCell ref="DN13:EY13"/>
    <mergeCell ref="DN14:EY14"/>
    <mergeCell ref="DN15:EY15"/>
    <mergeCell ref="A18:AM19"/>
    <mergeCell ref="AN18:AU19"/>
    <mergeCell ref="AV18:BA19"/>
    <mergeCell ref="BB18:BJ19"/>
    <mergeCell ref="BK18:BS19"/>
    <mergeCell ref="BT18:CU18"/>
    <mergeCell ref="CV18:DD19"/>
    <mergeCell ref="DE18:DM19"/>
    <mergeCell ref="DN18:EO18"/>
    <mergeCell ref="EP18:EY19"/>
    <mergeCell ref="BT19:BZ19"/>
    <mergeCell ref="CA19:CG19"/>
    <mergeCell ref="CH19:CN19"/>
    <mergeCell ref="CO19:CU19"/>
    <mergeCell ref="DN19:DT19"/>
    <mergeCell ref="DU19:EA19"/>
    <mergeCell ref="EB19:EH19"/>
    <mergeCell ref="EI19:EO19"/>
    <mergeCell ref="DU20:EA20"/>
    <mergeCell ref="EB20:EH20"/>
    <mergeCell ref="EI20:EO20"/>
    <mergeCell ref="EP20:EY20"/>
    <mergeCell ref="A21:AM21"/>
    <mergeCell ref="AN21:AU21"/>
    <mergeCell ref="AV21:BA21"/>
    <mergeCell ref="BB21:BJ21"/>
    <mergeCell ref="BK21:BS21"/>
    <mergeCell ref="BT21:BZ21"/>
    <mergeCell ref="CA20:CG20"/>
    <mergeCell ref="CH20:CN20"/>
    <mergeCell ref="CO20:CU20"/>
    <mergeCell ref="CV20:DD20"/>
    <mergeCell ref="DE20:DM20"/>
    <mergeCell ref="DN20:DT20"/>
    <mergeCell ref="A20:AM20"/>
    <mergeCell ref="AN20:AU20"/>
    <mergeCell ref="AV20:BA20"/>
    <mergeCell ref="BB20:BJ20"/>
    <mergeCell ref="BK20:BS20"/>
    <mergeCell ref="BT20:BZ20"/>
    <mergeCell ref="DU21:EA21"/>
    <mergeCell ref="EI21:EO21"/>
    <mergeCell ref="EP21:EY21"/>
    <mergeCell ref="A22:AM22"/>
    <mergeCell ref="AN22:AU22"/>
    <mergeCell ref="AV22:BA22"/>
    <mergeCell ref="BB22:BJ22"/>
    <mergeCell ref="BK22:BS22"/>
    <mergeCell ref="BT22:BZ22"/>
    <mergeCell ref="CA21:CG21"/>
    <mergeCell ref="CH21:CN21"/>
    <mergeCell ref="CO21:CU21"/>
    <mergeCell ref="CV21:DD21"/>
    <mergeCell ref="DE21:DM21"/>
    <mergeCell ref="DN21:DT21"/>
    <mergeCell ref="DU22:EA22"/>
    <mergeCell ref="EB22:EH22"/>
    <mergeCell ref="EI22:EO22"/>
    <mergeCell ref="EP22:EY22"/>
    <mergeCell ref="CV22:DD22"/>
    <mergeCell ref="DE22:DM22"/>
    <mergeCell ref="DN22:DT22"/>
    <mergeCell ref="BB23:BJ23"/>
    <mergeCell ref="BK23:BS23"/>
    <mergeCell ref="BT23:BZ23"/>
    <mergeCell ref="CA22:CG22"/>
    <mergeCell ref="CH22:CN22"/>
    <mergeCell ref="CO22:CU22"/>
    <mergeCell ref="EB21:EH21"/>
    <mergeCell ref="DU23:EA23"/>
    <mergeCell ref="EB23:EH23"/>
    <mergeCell ref="EI23:EO23"/>
    <mergeCell ref="EP23:EY23"/>
    <mergeCell ref="A24:AM24"/>
    <mergeCell ref="AN24:AU24"/>
    <mergeCell ref="AV24:BA24"/>
    <mergeCell ref="BB24:BJ24"/>
    <mergeCell ref="BK24:BS24"/>
    <mergeCell ref="BT24:BZ24"/>
    <mergeCell ref="CA23:CG23"/>
    <mergeCell ref="CH23:CN23"/>
    <mergeCell ref="CO23:CU23"/>
    <mergeCell ref="CV23:DD23"/>
    <mergeCell ref="DE23:DM23"/>
    <mergeCell ref="DN23:DT23"/>
    <mergeCell ref="DU24:EA24"/>
    <mergeCell ref="EB24:EH24"/>
    <mergeCell ref="EI24:EO24"/>
    <mergeCell ref="EP24:EY24"/>
    <mergeCell ref="CV24:DD24"/>
    <mergeCell ref="DE24:DM24"/>
    <mergeCell ref="DN24:DT24"/>
    <mergeCell ref="A23:AM23"/>
    <mergeCell ref="AN23:AU23"/>
    <mergeCell ref="AV23:BA23"/>
    <mergeCell ref="AN25:AU25"/>
    <mergeCell ref="AV25:BA25"/>
    <mergeCell ref="BB25:BJ25"/>
    <mergeCell ref="BK25:BS25"/>
    <mergeCell ref="BT25:BZ25"/>
    <mergeCell ref="CA24:CG24"/>
    <mergeCell ref="CH24:CN24"/>
    <mergeCell ref="CO24:CU24"/>
    <mergeCell ref="CA26:CG26"/>
    <mergeCell ref="CH26:CN26"/>
    <mergeCell ref="CO26:CU26"/>
    <mergeCell ref="DU25:EA25"/>
    <mergeCell ref="EB25:EH25"/>
    <mergeCell ref="EI25:EO25"/>
    <mergeCell ref="EP25:EY25"/>
    <mergeCell ref="A26:AM26"/>
    <mergeCell ref="AN26:AU26"/>
    <mergeCell ref="AV26:BA26"/>
    <mergeCell ref="BB26:BJ26"/>
    <mergeCell ref="BK26:BS26"/>
    <mergeCell ref="BT26:BZ26"/>
    <mergeCell ref="CA25:CG25"/>
    <mergeCell ref="CH25:CN25"/>
    <mergeCell ref="CO25:CU25"/>
    <mergeCell ref="CV25:DD25"/>
    <mergeCell ref="DE25:DM25"/>
    <mergeCell ref="DN25:DT25"/>
    <mergeCell ref="DU26:EA26"/>
    <mergeCell ref="EB26:EH26"/>
    <mergeCell ref="EI26:EO26"/>
    <mergeCell ref="EP26:EY26"/>
    <mergeCell ref="CV26:DD26"/>
    <mergeCell ref="DE26:DM26"/>
    <mergeCell ref="DN26:DT26"/>
    <mergeCell ref="A25:AM25"/>
    <mergeCell ref="EB27:EH27"/>
    <mergeCell ref="EI27:EO27"/>
    <mergeCell ref="EP27:EY27"/>
    <mergeCell ref="A28:AM28"/>
    <mergeCell ref="AN28:AU28"/>
    <mergeCell ref="AV28:BA28"/>
    <mergeCell ref="BB28:BJ28"/>
    <mergeCell ref="BK28:BS28"/>
    <mergeCell ref="BT28:BZ28"/>
    <mergeCell ref="CA27:CG27"/>
    <mergeCell ref="CH27:CN27"/>
    <mergeCell ref="CO27:CU27"/>
    <mergeCell ref="CV27:DD27"/>
    <mergeCell ref="DE27:DM27"/>
    <mergeCell ref="DN27:DT27"/>
    <mergeCell ref="DU28:EA28"/>
    <mergeCell ref="EB28:EH28"/>
    <mergeCell ref="EI28:EO28"/>
    <mergeCell ref="EP28:EY28"/>
    <mergeCell ref="CV28:DD28"/>
    <mergeCell ref="DE28:DM28"/>
    <mergeCell ref="DN28:DT28"/>
    <mergeCell ref="A27:AM27"/>
    <mergeCell ref="AN27:AU27"/>
    <mergeCell ref="AV29:BA29"/>
    <mergeCell ref="BB29:BJ29"/>
    <mergeCell ref="BK29:BS29"/>
    <mergeCell ref="BT29:BZ29"/>
    <mergeCell ref="CA28:CG28"/>
    <mergeCell ref="CH28:CN28"/>
    <mergeCell ref="CO28:CU28"/>
    <mergeCell ref="DU27:EA27"/>
    <mergeCell ref="AV27:BA27"/>
    <mergeCell ref="BB27:BJ27"/>
    <mergeCell ref="BK27:BS27"/>
    <mergeCell ref="BT27:BZ27"/>
    <mergeCell ref="DU29:EA29"/>
    <mergeCell ref="EB29:EH29"/>
    <mergeCell ref="EI29:EO29"/>
    <mergeCell ref="EP29:EY29"/>
    <mergeCell ref="A30:AM30"/>
    <mergeCell ref="AN30:AU30"/>
    <mergeCell ref="AV30:BA30"/>
    <mergeCell ref="BB30:BJ30"/>
    <mergeCell ref="BK30:BS30"/>
    <mergeCell ref="BT30:BZ30"/>
    <mergeCell ref="CA29:CG29"/>
    <mergeCell ref="CH29:CN29"/>
    <mergeCell ref="CO29:CU29"/>
    <mergeCell ref="CV29:DD29"/>
    <mergeCell ref="DE29:DM29"/>
    <mergeCell ref="DN29:DT29"/>
    <mergeCell ref="DU30:EA30"/>
    <mergeCell ref="EB30:EH30"/>
    <mergeCell ref="EI30:EO30"/>
    <mergeCell ref="EP30:EY30"/>
    <mergeCell ref="CV30:DD30"/>
    <mergeCell ref="DE30:DM30"/>
    <mergeCell ref="DN30:DT30"/>
    <mergeCell ref="A29:AM29"/>
    <mergeCell ref="AN29:AU29"/>
    <mergeCell ref="AN31:AU31"/>
    <mergeCell ref="AV31:BA31"/>
    <mergeCell ref="BB31:BJ31"/>
    <mergeCell ref="BK31:BS31"/>
    <mergeCell ref="BT31:BZ31"/>
    <mergeCell ref="CA30:CG30"/>
    <mergeCell ref="CH30:CN30"/>
    <mergeCell ref="CO30:CU30"/>
    <mergeCell ref="CA32:CG32"/>
    <mergeCell ref="CH32:CN32"/>
    <mergeCell ref="CO32:CU32"/>
    <mergeCell ref="DU31:EA31"/>
    <mergeCell ref="EB31:EH31"/>
    <mergeCell ref="EI31:EO31"/>
    <mergeCell ref="EP31:EY31"/>
    <mergeCell ref="A32:AM32"/>
    <mergeCell ref="AN32:AU32"/>
    <mergeCell ref="AV32:BA32"/>
    <mergeCell ref="BB32:BJ32"/>
    <mergeCell ref="BK32:BS32"/>
    <mergeCell ref="BT32:BZ32"/>
    <mergeCell ref="CA31:CG31"/>
    <mergeCell ref="CH31:CN31"/>
    <mergeCell ref="CO31:CU31"/>
    <mergeCell ref="CV31:DD31"/>
    <mergeCell ref="DE31:DM31"/>
    <mergeCell ref="DN31:DT31"/>
    <mergeCell ref="DU32:EA32"/>
    <mergeCell ref="EB32:EH32"/>
    <mergeCell ref="EI32:EO32"/>
    <mergeCell ref="EP32:EY32"/>
    <mergeCell ref="CV32:DD32"/>
    <mergeCell ref="DE32:DM32"/>
    <mergeCell ref="DN32:DT32"/>
    <mergeCell ref="A31:AM31"/>
    <mergeCell ref="EB33:EH33"/>
    <mergeCell ref="EI33:EO33"/>
    <mergeCell ref="EP33:EY33"/>
    <mergeCell ref="A34:AM34"/>
    <mergeCell ref="AN34:AU34"/>
    <mergeCell ref="AV34:BA34"/>
    <mergeCell ref="BB34:BJ34"/>
    <mergeCell ref="BK34:BS34"/>
    <mergeCell ref="BT34:BZ34"/>
    <mergeCell ref="CA33:CG33"/>
    <mergeCell ref="CH33:CN33"/>
    <mergeCell ref="CO33:CU33"/>
    <mergeCell ref="CV33:DD33"/>
    <mergeCell ref="DE33:DM33"/>
    <mergeCell ref="DN33:DT33"/>
    <mergeCell ref="DU34:EA34"/>
    <mergeCell ref="EB34:EH34"/>
    <mergeCell ref="EI34:EO34"/>
    <mergeCell ref="EP34:EY34"/>
    <mergeCell ref="CV34:DD34"/>
    <mergeCell ref="DE34:DM34"/>
    <mergeCell ref="DN34:DT34"/>
    <mergeCell ref="A33:AM33"/>
    <mergeCell ref="AN33:AU33"/>
    <mergeCell ref="AV35:BA35"/>
    <mergeCell ref="BB35:BJ35"/>
    <mergeCell ref="BK35:BS35"/>
    <mergeCell ref="BT35:BZ35"/>
    <mergeCell ref="CA34:CG34"/>
    <mergeCell ref="CH34:CN34"/>
    <mergeCell ref="CO34:CU34"/>
    <mergeCell ref="DU33:EA33"/>
    <mergeCell ref="AV33:BA33"/>
    <mergeCell ref="BB33:BJ33"/>
    <mergeCell ref="BK33:BS33"/>
    <mergeCell ref="BT33:BZ33"/>
    <mergeCell ref="DU35:EA35"/>
    <mergeCell ref="EB35:EH35"/>
    <mergeCell ref="EI35:EO35"/>
    <mergeCell ref="EP35:EY35"/>
    <mergeCell ref="A36:AM36"/>
    <mergeCell ref="AN36:AU36"/>
    <mergeCell ref="AV36:BA36"/>
    <mergeCell ref="BB36:BJ36"/>
    <mergeCell ref="BK36:BS36"/>
    <mergeCell ref="BT36:BZ36"/>
    <mergeCell ref="CA35:CG35"/>
    <mergeCell ref="CH35:CN35"/>
    <mergeCell ref="CO35:CU35"/>
    <mergeCell ref="CV35:DD35"/>
    <mergeCell ref="DE35:DM35"/>
    <mergeCell ref="DN35:DT35"/>
    <mergeCell ref="DU36:EA36"/>
    <mergeCell ref="EB36:EH36"/>
    <mergeCell ref="EI36:EO36"/>
    <mergeCell ref="EP36:EY36"/>
    <mergeCell ref="CV36:DD36"/>
    <mergeCell ref="DE36:DM36"/>
    <mergeCell ref="DN36:DT36"/>
    <mergeCell ref="A35:AM35"/>
    <mergeCell ref="AN35:AU35"/>
    <mergeCell ref="AN37:AU37"/>
    <mergeCell ref="AV37:BA37"/>
    <mergeCell ref="BB37:BJ37"/>
    <mergeCell ref="BK37:BS37"/>
    <mergeCell ref="BT37:BZ37"/>
    <mergeCell ref="CA36:CG36"/>
    <mergeCell ref="CH36:CN36"/>
    <mergeCell ref="CO36:CU36"/>
    <mergeCell ref="CA38:CG38"/>
    <mergeCell ref="CH38:CN38"/>
    <mergeCell ref="CO38:CU38"/>
    <mergeCell ref="DU37:EA37"/>
    <mergeCell ref="EB37:EH37"/>
    <mergeCell ref="EI37:EO37"/>
    <mergeCell ref="EP37:EY37"/>
    <mergeCell ref="A38:AM38"/>
    <mergeCell ref="AN38:AU38"/>
    <mergeCell ref="AV38:BA38"/>
    <mergeCell ref="BB38:BJ38"/>
    <mergeCell ref="BK38:BS38"/>
    <mergeCell ref="BT38:BZ38"/>
    <mergeCell ref="CA37:CG37"/>
    <mergeCell ref="CH37:CN37"/>
    <mergeCell ref="CO37:CU37"/>
    <mergeCell ref="CV37:DD37"/>
    <mergeCell ref="DE37:DM37"/>
    <mergeCell ref="DN37:DT37"/>
    <mergeCell ref="DU38:EA38"/>
    <mergeCell ref="EB38:EH38"/>
    <mergeCell ref="EI38:EO38"/>
    <mergeCell ref="EP38:EY38"/>
    <mergeCell ref="CV38:DD38"/>
    <mergeCell ref="DE38:DM38"/>
    <mergeCell ref="DN38:DT38"/>
    <mergeCell ref="A37:AM37"/>
    <mergeCell ref="EB39:EH39"/>
    <mergeCell ref="EI39:EO39"/>
    <mergeCell ref="EP39:EY39"/>
    <mergeCell ref="A40:AM40"/>
    <mergeCell ref="AN40:AU40"/>
    <mergeCell ref="AV40:BA40"/>
    <mergeCell ref="BB40:BJ40"/>
    <mergeCell ref="BK40:BS40"/>
    <mergeCell ref="BT40:BZ40"/>
    <mergeCell ref="CA39:CG39"/>
    <mergeCell ref="CH39:CN39"/>
    <mergeCell ref="CO39:CU39"/>
    <mergeCell ref="CV39:DD39"/>
    <mergeCell ref="DE39:DM39"/>
    <mergeCell ref="DN39:DT39"/>
    <mergeCell ref="DU40:EA40"/>
    <mergeCell ref="EB40:EH40"/>
    <mergeCell ref="EI40:EO40"/>
    <mergeCell ref="EP40:EY40"/>
    <mergeCell ref="CV40:DD40"/>
    <mergeCell ref="DE40:DM40"/>
    <mergeCell ref="DN40:DT40"/>
    <mergeCell ref="A39:AM39"/>
    <mergeCell ref="AN39:AU39"/>
    <mergeCell ref="AV41:BA41"/>
    <mergeCell ref="BB41:BJ41"/>
    <mergeCell ref="BK41:BS41"/>
    <mergeCell ref="BT41:BZ41"/>
    <mergeCell ref="CA40:CG40"/>
    <mergeCell ref="CH40:CN40"/>
    <mergeCell ref="CO40:CU40"/>
    <mergeCell ref="DU39:EA39"/>
    <mergeCell ref="AV39:BA39"/>
    <mergeCell ref="BB39:BJ39"/>
    <mergeCell ref="BK39:BS39"/>
    <mergeCell ref="BT39:BZ39"/>
    <mergeCell ref="DU41:EA41"/>
    <mergeCell ref="EB41:EH41"/>
    <mergeCell ref="EI41:EO41"/>
    <mergeCell ref="EP41:EY41"/>
    <mergeCell ref="A42:AM42"/>
    <mergeCell ref="AN42:AU42"/>
    <mergeCell ref="AV42:BA42"/>
    <mergeCell ref="BB42:BJ42"/>
    <mergeCell ref="BK42:BS42"/>
    <mergeCell ref="BT42:BZ42"/>
    <mergeCell ref="CA41:CG41"/>
    <mergeCell ref="CH41:CN41"/>
    <mergeCell ref="CO41:CU41"/>
    <mergeCell ref="CV41:DD41"/>
    <mergeCell ref="DE41:DM41"/>
    <mergeCell ref="DN41:DT41"/>
    <mergeCell ref="DU42:EA42"/>
    <mergeCell ref="EB42:EH42"/>
    <mergeCell ref="EI42:EO42"/>
    <mergeCell ref="EP42:EY42"/>
    <mergeCell ref="CV42:DD42"/>
    <mergeCell ref="DE42:DM42"/>
    <mergeCell ref="DN42:DT42"/>
    <mergeCell ref="A41:AM41"/>
    <mergeCell ref="AN41:AU41"/>
    <mergeCell ref="AN43:AU43"/>
    <mergeCell ref="AV43:BA43"/>
    <mergeCell ref="BB43:BJ43"/>
    <mergeCell ref="BK43:BS43"/>
    <mergeCell ref="BT43:BZ43"/>
    <mergeCell ref="CA42:CG42"/>
    <mergeCell ref="CH42:CN42"/>
    <mergeCell ref="CO42:CU42"/>
    <mergeCell ref="CA44:CG44"/>
    <mergeCell ref="CH44:CN44"/>
    <mergeCell ref="CO44:CU44"/>
    <mergeCell ref="DU43:EA43"/>
    <mergeCell ref="EB43:EH43"/>
    <mergeCell ref="EI43:EO43"/>
    <mergeCell ref="EP43:EY43"/>
    <mergeCell ref="A44:AM44"/>
    <mergeCell ref="AN44:AU44"/>
    <mergeCell ref="AV44:BA44"/>
    <mergeCell ref="BB44:BJ44"/>
    <mergeCell ref="BK44:BS44"/>
    <mergeCell ref="BT44:BZ44"/>
    <mergeCell ref="CA43:CG43"/>
    <mergeCell ref="CH43:CN43"/>
    <mergeCell ref="CO43:CU43"/>
    <mergeCell ref="CV43:DD43"/>
    <mergeCell ref="DE43:DM43"/>
    <mergeCell ref="DN43:DT43"/>
    <mergeCell ref="DU44:EA44"/>
    <mergeCell ref="EB44:EH44"/>
    <mergeCell ref="EI44:EO44"/>
    <mergeCell ref="EP44:EY44"/>
    <mergeCell ref="CV44:DD44"/>
    <mergeCell ref="DE44:DM44"/>
    <mergeCell ref="DN44:DT44"/>
    <mergeCell ref="A43:AM43"/>
    <mergeCell ref="EB45:EH45"/>
    <mergeCell ref="EI45:EO45"/>
    <mergeCell ref="EP45:EY45"/>
    <mergeCell ref="A46:AM46"/>
    <mergeCell ref="AN46:AU46"/>
    <mergeCell ref="AV46:BA46"/>
    <mergeCell ref="BB46:BJ46"/>
    <mergeCell ref="BK46:BS46"/>
    <mergeCell ref="BT46:BZ46"/>
    <mergeCell ref="CA45:CG45"/>
    <mergeCell ref="CH45:CN45"/>
    <mergeCell ref="CO45:CU45"/>
    <mergeCell ref="CV45:DD45"/>
    <mergeCell ref="DE45:DM45"/>
    <mergeCell ref="DN45:DT45"/>
    <mergeCell ref="DU46:EA46"/>
    <mergeCell ref="EB46:EH46"/>
    <mergeCell ref="EI46:EO46"/>
    <mergeCell ref="EP46:EY46"/>
    <mergeCell ref="CV46:DD46"/>
    <mergeCell ref="DE46:DM46"/>
    <mergeCell ref="DN46:DT46"/>
    <mergeCell ref="A45:AM45"/>
    <mergeCell ref="AN45:AU45"/>
    <mergeCell ref="AV47:BA47"/>
    <mergeCell ref="BB47:BJ47"/>
    <mergeCell ref="BK47:BS47"/>
    <mergeCell ref="BT47:BZ47"/>
    <mergeCell ref="CA46:CG46"/>
    <mergeCell ref="CH46:CN46"/>
    <mergeCell ref="CO46:CU46"/>
    <mergeCell ref="DU45:EA45"/>
    <mergeCell ref="AV45:BA45"/>
    <mergeCell ref="BB45:BJ45"/>
    <mergeCell ref="BK45:BS45"/>
    <mergeCell ref="BT45:BZ45"/>
    <mergeCell ref="DU47:EA47"/>
    <mergeCell ref="EB47:EH47"/>
    <mergeCell ref="EI47:EO47"/>
    <mergeCell ref="EP47:EY47"/>
    <mergeCell ref="A48:AM48"/>
    <mergeCell ref="AN48:AU48"/>
    <mergeCell ref="AV48:BA48"/>
    <mergeCell ref="BB48:BJ48"/>
    <mergeCell ref="BK48:BS48"/>
    <mergeCell ref="BT48:BZ48"/>
    <mergeCell ref="CA47:CG47"/>
    <mergeCell ref="CH47:CN47"/>
    <mergeCell ref="CO47:CU47"/>
    <mergeCell ref="CV47:DD47"/>
    <mergeCell ref="DE47:DM47"/>
    <mergeCell ref="DN47:DT47"/>
    <mergeCell ref="DU48:EA48"/>
    <mergeCell ref="EB48:EH48"/>
    <mergeCell ref="EI48:EO48"/>
    <mergeCell ref="EP48:EY48"/>
    <mergeCell ref="CV48:DD48"/>
    <mergeCell ref="DE48:DM48"/>
    <mergeCell ref="DN48:DT48"/>
    <mergeCell ref="A47:AM47"/>
    <mergeCell ref="AN47:AU47"/>
    <mergeCell ref="AN49:AU49"/>
    <mergeCell ref="AV49:BA49"/>
    <mergeCell ref="BB49:BJ49"/>
    <mergeCell ref="BK49:BS49"/>
    <mergeCell ref="BT49:BZ49"/>
    <mergeCell ref="CA48:CG48"/>
    <mergeCell ref="CH48:CN48"/>
    <mergeCell ref="CO48:CU48"/>
    <mergeCell ref="CA50:CG50"/>
    <mergeCell ref="CH50:CN50"/>
    <mergeCell ref="CO50:CU50"/>
    <mergeCell ref="DU49:EA49"/>
    <mergeCell ref="EB49:EH49"/>
    <mergeCell ref="EI49:EO49"/>
    <mergeCell ref="EP49:EY49"/>
    <mergeCell ref="A50:AM50"/>
    <mergeCell ref="AN50:AU50"/>
    <mergeCell ref="AV50:BA50"/>
    <mergeCell ref="BB50:BJ50"/>
    <mergeCell ref="BK50:BS50"/>
    <mergeCell ref="BT50:BZ50"/>
    <mergeCell ref="CA49:CG49"/>
    <mergeCell ref="CH49:CN49"/>
    <mergeCell ref="CO49:CU49"/>
    <mergeCell ref="CV49:DD49"/>
    <mergeCell ref="DE49:DM49"/>
    <mergeCell ref="DN49:DT49"/>
    <mergeCell ref="DU50:EA50"/>
    <mergeCell ref="EB50:EH50"/>
    <mergeCell ref="EI50:EO50"/>
    <mergeCell ref="EP50:EY50"/>
    <mergeCell ref="CV50:DD50"/>
    <mergeCell ref="DE50:DM50"/>
    <mergeCell ref="DN50:DT50"/>
    <mergeCell ref="A49:AM49"/>
    <mergeCell ref="EB51:EH51"/>
    <mergeCell ref="EI51:EO51"/>
    <mergeCell ref="EP51:EY51"/>
    <mergeCell ref="A52:AM52"/>
    <mergeCell ref="AN52:AU52"/>
    <mergeCell ref="AV52:BA52"/>
    <mergeCell ref="BB52:BJ52"/>
    <mergeCell ref="BK52:BS52"/>
    <mergeCell ref="BT52:BZ52"/>
    <mergeCell ref="CA51:CG51"/>
    <mergeCell ref="CH51:CN51"/>
    <mergeCell ref="CO51:CU51"/>
    <mergeCell ref="CV51:DD51"/>
    <mergeCell ref="DE51:DM51"/>
    <mergeCell ref="DN51:DT51"/>
    <mergeCell ref="DU52:EA52"/>
    <mergeCell ref="EB52:EH52"/>
    <mergeCell ref="EI52:EO52"/>
    <mergeCell ref="EP52:EY52"/>
    <mergeCell ref="CV52:DD52"/>
    <mergeCell ref="DE52:DM52"/>
    <mergeCell ref="DN52:DT52"/>
    <mergeCell ref="A51:AM51"/>
    <mergeCell ref="AN51:AU51"/>
    <mergeCell ref="AV53:BA53"/>
    <mergeCell ref="BB53:BJ53"/>
    <mergeCell ref="BK53:BS53"/>
    <mergeCell ref="BT53:BZ53"/>
    <mergeCell ref="CA52:CG52"/>
    <mergeCell ref="CH52:CN52"/>
    <mergeCell ref="CO52:CU52"/>
    <mergeCell ref="DU51:EA51"/>
    <mergeCell ref="AV51:BA51"/>
    <mergeCell ref="BB51:BJ51"/>
    <mergeCell ref="BK51:BS51"/>
    <mergeCell ref="BT51:BZ51"/>
    <mergeCell ref="DU53:EA53"/>
    <mergeCell ref="EB53:EH53"/>
    <mergeCell ref="EI53:EO53"/>
    <mergeCell ref="EP53:EY53"/>
    <mergeCell ref="A54:AM54"/>
    <mergeCell ref="AN54:AU54"/>
    <mergeCell ref="AV54:BA54"/>
    <mergeCell ref="BB54:BJ54"/>
    <mergeCell ref="BK54:BS54"/>
    <mergeCell ref="BT54:BZ54"/>
    <mergeCell ref="CA53:CG53"/>
    <mergeCell ref="CH53:CN53"/>
    <mergeCell ref="CO53:CU53"/>
    <mergeCell ref="CV53:DD53"/>
    <mergeCell ref="DE53:DM53"/>
    <mergeCell ref="DN53:DT53"/>
    <mergeCell ref="DU54:EA54"/>
    <mergeCell ref="EB54:EH54"/>
    <mergeCell ref="EI54:EO54"/>
    <mergeCell ref="EP54:EY54"/>
    <mergeCell ref="CV54:DD54"/>
    <mergeCell ref="DE54:DM54"/>
    <mergeCell ref="DN54:DT54"/>
    <mergeCell ref="A53:AM53"/>
    <mergeCell ref="AN53:AU53"/>
    <mergeCell ref="AN55:AU55"/>
    <mergeCell ref="AV55:BA55"/>
    <mergeCell ref="BB55:BJ55"/>
    <mergeCell ref="BK55:BS55"/>
    <mergeCell ref="BT55:BZ55"/>
    <mergeCell ref="CA54:CG54"/>
    <mergeCell ref="CH54:CN54"/>
    <mergeCell ref="CO54:CU54"/>
    <mergeCell ref="CA56:CG56"/>
    <mergeCell ref="CH56:CN56"/>
    <mergeCell ref="CO56:CU56"/>
    <mergeCell ref="DU55:EA55"/>
    <mergeCell ref="EB55:EH55"/>
    <mergeCell ref="EI55:EO55"/>
    <mergeCell ref="EP55:EY55"/>
    <mergeCell ref="A56:AM56"/>
    <mergeCell ref="AN56:AU56"/>
    <mergeCell ref="AV56:BA56"/>
    <mergeCell ref="BB56:BJ56"/>
    <mergeCell ref="BK56:BS56"/>
    <mergeCell ref="BT56:BZ56"/>
    <mergeCell ref="CA55:CG55"/>
    <mergeCell ref="CH55:CN55"/>
    <mergeCell ref="CO55:CU55"/>
    <mergeCell ref="CV55:DD55"/>
    <mergeCell ref="DE55:DM55"/>
    <mergeCell ref="DN55:DT55"/>
    <mergeCell ref="DU56:EA56"/>
    <mergeCell ref="EB56:EH56"/>
    <mergeCell ref="EI56:EO56"/>
    <mergeCell ref="EP56:EY56"/>
    <mergeCell ref="CV56:DD56"/>
    <mergeCell ref="DE56:DM56"/>
    <mergeCell ref="DN56:DT56"/>
    <mergeCell ref="A55:AM55"/>
    <mergeCell ref="EP59:EY59"/>
    <mergeCell ref="CV59:DD59"/>
    <mergeCell ref="DE59:DM59"/>
    <mergeCell ref="A57:AM57"/>
    <mergeCell ref="AN57:AU57"/>
    <mergeCell ref="AV57:BA57"/>
    <mergeCell ref="BB57:BJ57"/>
    <mergeCell ref="BK57:BS57"/>
    <mergeCell ref="BT57:BZ57"/>
    <mergeCell ref="BT59:BZ59"/>
    <mergeCell ref="CA59:CG59"/>
    <mergeCell ref="CH59:CN59"/>
    <mergeCell ref="CO59:CU59"/>
    <mergeCell ref="DU57:EA57"/>
    <mergeCell ref="EB57:EH57"/>
    <mergeCell ref="EI57:EO57"/>
    <mergeCell ref="EP57:EY57"/>
    <mergeCell ref="A58:EY58"/>
    <mergeCell ref="A59:AM59"/>
    <mergeCell ref="AN59:AU59"/>
    <mergeCell ref="AV59:BA59"/>
    <mergeCell ref="BB59:BJ59"/>
    <mergeCell ref="BK59:BS59"/>
    <mergeCell ref="CA57:CG57"/>
    <mergeCell ref="CH57:CN57"/>
    <mergeCell ref="CO57:CU57"/>
    <mergeCell ref="CV57:DD57"/>
    <mergeCell ref="DE57:DM57"/>
    <mergeCell ref="DN57:DT57"/>
    <mergeCell ref="DN59:DT59"/>
    <mergeCell ref="DU59:EA59"/>
    <mergeCell ref="EB59:EH59"/>
    <mergeCell ref="EI59:EO59"/>
    <mergeCell ref="A61:AM61"/>
    <mergeCell ref="AN61:AU61"/>
    <mergeCell ref="AV61:BA61"/>
    <mergeCell ref="BB61:BJ61"/>
    <mergeCell ref="BK61:BS61"/>
    <mergeCell ref="BT60:BZ60"/>
    <mergeCell ref="CA60:CG60"/>
    <mergeCell ref="CH60:CN60"/>
    <mergeCell ref="CO60:CU60"/>
    <mergeCell ref="A60:AM60"/>
    <mergeCell ref="AN60:AU60"/>
    <mergeCell ref="AV60:BA60"/>
    <mergeCell ref="BB60:BJ60"/>
    <mergeCell ref="BK60:BS60"/>
    <mergeCell ref="BT61:BZ61"/>
    <mergeCell ref="CA61:CG61"/>
    <mergeCell ref="CH61:CN61"/>
    <mergeCell ref="CO61:CU61"/>
    <mergeCell ref="DN60:DT60"/>
    <mergeCell ref="DU60:EA60"/>
    <mergeCell ref="EB60:EH60"/>
    <mergeCell ref="EI60:EO60"/>
    <mergeCell ref="EP60:EY60"/>
    <mergeCell ref="CV60:DD60"/>
    <mergeCell ref="DE60:DM60"/>
    <mergeCell ref="DN61:DT61"/>
    <mergeCell ref="DU61:EA61"/>
    <mergeCell ref="EB61:EH61"/>
    <mergeCell ref="EI61:EO61"/>
    <mergeCell ref="EP61:EY61"/>
    <mergeCell ref="CV61:DD61"/>
    <mergeCell ref="DE61:DM61"/>
    <mergeCell ref="A63:AM63"/>
    <mergeCell ref="AN63:AU63"/>
    <mergeCell ref="AV63:BA63"/>
    <mergeCell ref="BB63:BJ63"/>
    <mergeCell ref="BK63:BS63"/>
    <mergeCell ref="BT62:BZ62"/>
    <mergeCell ref="CA62:CG62"/>
    <mergeCell ref="CH62:CN62"/>
    <mergeCell ref="CO62:CU62"/>
    <mergeCell ref="A62:AM62"/>
    <mergeCell ref="AN62:AU62"/>
    <mergeCell ref="AV62:BA62"/>
    <mergeCell ref="BB62:BJ62"/>
    <mergeCell ref="BK62:BS62"/>
    <mergeCell ref="BT63:BZ63"/>
    <mergeCell ref="CA63:CG63"/>
    <mergeCell ref="CH63:CN63"/>
    <mergeCell ref="CO63:CU63"/>
    <mergeCell ref="DN62:DT62"/>
    <mergeCell ref="DU62:EA62"/>
    <mergeCell ref="EB62:EH62"/>
    <mergeCell ref="EI62:EO62"/>
    <mergeCell ref="EP62:EY62"/>
    <mergeCell ref="CV62:DD62"/>
    <mergeCell ref="DE62:DM62"/>
    <mergeCell ref="DN63:DT63"/>
    <mergeCell ref="DU63:EA63"/>
    <mergeCell ref="EB63:EH63"/>
    <mergeCell ref="EI63:EO63"/>
    <mergeCell ref="EP63:EY63"/>
    <mergeCell ref="CV63:DD63"/>
    <mergeCell ref="DE63:DM63"/>
    <mergeCell ref="EI64:EO64"/>
    <mergeCell ref="EP64:EY64"/>
    <mergeCell ref="A65:AM65"/>
    <mergeCell ref="AN65:AU65"/>
    <mergeCell ref="AV65:BA65"/>
    <mergeCell ref="BB65:BJ65"/>
    <mergeCell ref="BK65:BS65"/>
    <mergeCell ref="BT64:BZ64"/>
    <mergeCell ref="CA64:CG64"/>
    <mergeCell ref="CH64:CN64"/>
    <mergeCell ref="CO64:CU64"/>
    <mergeCell ref="CV64:DD64"/>
    <mergeCell ref="DE64:DM64"/>
    <mergeCell ref="DN65:DT65"/>
    <mergeCell ref="DU65:EA65"/>
    <mergeCell ref="EB65:EH65"/>
    <mergeCell ref="EI65:EO65"/>
    <mergeCell ref="EP65:EY65"/>
    <mergeCell ref="CV65:DD65"/>
    <mergeCell ref="DE65:DM65"/>
    <mergeCell ref="A64:AM64"/>
    <mergeCell ref="AN64:AU64"/>
    <mergeCell ref="AV64:BA64"/>
    <mergeCell ref="BB64:BJ64"/>
    <mergeCell ref="BB66:BJ66"/>
    <mergeCell ref="BK66:BS66"/>
    <mergeCell ref="BT65:BZ65"/>
    <mergeCell ref="CA65:CG65"/>
    <mergeCell ref="CH65:CN65"/>
    <mergeCell ref="CO65:CU65"/>
    <mergeCell ref="DN64:DT64"/>
    <mergeCell ref="DU64:EA64"/>
    <mergeCell ref="EB64:EH64"/>
    <mergeCell ref="BK64:BS64"/>
    <mergeCell ref="DN66:DT66"/>
    <mergeCell ref="DU66:EA66"/>
    <mergeCell ref="EB66:EH66"/>
    <mergeCell ref="EI66:EO66"/>
    <mergeCell ref="EP66:EY66"/>
    <mergeCell ref="A67:AM67"/>
    <mergeCell ref="AN67:AU67"/>
    <mergeCell ref="AV67:BA67"/>
    <mergeCell ref="BB67:BJ67"/>
    <mergeCell ref="BK67:BS67"/>
    <mergeCell ref="BT66:BZ66"/>
    <mergeCell ref="CA66:CG66"/>
    <mergeCell ref="CH66:CN66"/>
    <mergeCell ref="CO66:CU66"/>
    <mergeCell ref="CV66:DD66"/>
    <mergeCell ref="DE66:DM66"/>
    <mergeCell ref="DN67:DT67"/>
    <mergeCell ref="DU67:EA67"/>
    <mergeCell ref="EB67:EH67"/>
    <mergeCell ref="EI67:EO67"/>
    <mergeCell ref="EP67:EY67"/>
    <mergeCell ref="A66:AM66"/>
    <mergeCell ref="AN66:AU66"/>
    <mergeCell ref="AV66:BA66"/>
    <mergeCell ref="BT67:BZ67"/>
    <mergeCell ref="CA67:CG67"/>
    <mergeCell ref="CH67:CN67"/>
    <mergeCell ref="CO67:CU67"/>
    <mergeCell ref="CV67:DD67"/>
    <mergeCell ref="DE67:DM67"/>
    <mergeCell ref="EP75:EY76"/>
    <mergeCell ref="BT76:BZ76"/>
    <mergeCell ref="CA76:CG76"/>
    <mergeCell ref="CH76:CN76"/>
    <mergeCell ref="CO76:CU76"/>
    <mergeCell ref="DN76:DT76"/>
    <mergeCell ref="DU76:EA76"/>
    <mergeCell ref="BT75:CU75"/>
    <mergeCell ref="EB76:EH76"/>
    <mergeCell ref="EI76:EO76"/>
    <mergeCell ref="DE75:DM76"/>
    <mergeCell ref="DN75:EO75"/>
    <mergeCell ref="CV75:DD76"/>
    <mergeCell ref="A74:EY74"/>
    <mergeCell ref="A75:AM76"/>
    <mergeCell ref="AN75:AU76"/>
    <mergeCell ref="AV75:BA76"/>
    <mergeCell ref="BB75:BJ76"/>
    <mergeCell ref="BK75:BS76"/>
    <mergeCell ref="EI78:EO78"/>
    <mergeCell ref="EP78:EY78"/>
    <mergeCell ref="CV78:DD78"/>
    <mergeCell ref="DE78:DM78"/>
    <mergeCell ref="DN78:DT78"/>
    <mergeCell ref="DU78:EA78"/>
    <mergeCell ref="EB78:EH78"/>
    <mergeCell ref="CO78:CU78"/>
    <mergeCell ref="EI77:EO77"/>
    <mergeCell ref="EP77:EY77"/>
    <mergeCell ref="CV77:DD77"/>
    <mergeCell ref="DE77:DM77"/>
    <mergeCell ref="DN77:DT77"/>
    <mergeCell ref="DU77:EA77"/>
    <mergeCell ref="EB77:EH77"/>
    <mergeCell ref="CO77:CU77"/>
    <mergeCell ref="A77:AM77"/>
    <mergeCell ref="A79:AM79"/>
    <mergeCell ref="AN79:AU79"/>
    <mergeCell ref="AV79:BA79"/>
    <mergeCell ref="BB79:BJ79"/>
    <mergeCell ref="BK79:BS79"/>
    <mergeCell ref="BT79:BZ79"/>
    <mergeCell ref="CA79:CG79"/>
    <mergeCell ref="CH79:CN79"/>
    <mergeCell ref="A78:AM78"/>
    <mergeCell ref="AN78:AU78"/>
    <mergeCell ref="AV78:BA78"/>
    <mergeCell ref="BB78:BJ78"/>
    <mergeCell ref="BK78:BS78"/>
    <mergeCell ref="BT78:BZ78"/>
    <mergeCell ref="CA78:CG78"/>
    <mergeCell ref="AN77:AU77"/>
    <mergeCell ref="AV77:BA77"/>
    <mergeCell ref="BB77:BJ77"/>
    <mergeCell ref="BK77:BS77"/>
    <mergeCell ref="BT77:BZ77"/>
    <mergeCell ref="CA77:CG77"/>
    <mergeCell ref="CH77:CN77"/>
    <mergeCell ref="CH78:CN78"/>
    <mergeCell ref="CO80:CU80"/>
    <mergeCell ref="EI79:EO79"/>
    <mergeCell ref="EP79:EY79"/>
    <mergeCell ref="A80:AM80"/>
    <mergeCell ref="AN80:AU80"/>
    <mergeCell ref="AV80:BA80"/>
    <mergeCell ref="BB80:BJ80"/>
    <mergeCell ref="BK80:BS80"/>
    <mergeCell ref="BT80:BZ80"/>
    <mergeCell ref="CA80:CG80"/>
    <mergeCell ref="CH80:CN80"/>
    <mergeCell ref="CO79:CU79"/>
    <mergeCell ref="CV79:DD79"/>
    <mergeCell ref="DE79:DM79"/>
    <mergeCell ref="DN79:DT79"/>
    <mergeCell ref="DU79:EA79"/>
    <mergeCell ref="EB79:EH79"/>
    <mergeCell ref="EI80:EO80"/>
    <mergeCell ref="EP80:EY80"/>
    <mergeCell ref="CV80:DD80"/>
    <mergeCell ref="DE80:DM80"/>
    <mergeCell ref="DN80:DT80"/>
    <mergeCell ref="DU80:EA80"/>
    <mergeCell ref="EB80:EH80"/>
    <mergeCell ref="A82:AM82"/>
    <mergeCell ref="AN82:AU82"/>
    <mergeCell ref="AV82:BA82"/>
    <mergeCell ref="BB82:BJ82"/>
    <mergeCell ref="BK82:BS82"/>
    <mergeCell ref="BT82:BZ82"/>
    <mergeCell ref="CA82:CG82"/>
    <mergeCell ref="CH82:CN82"/>
    <mergeCell ref="CO81:CU81"/>
    <mergeCell ref="A81:AM81"/>
    <mergeCell ref="AN81:AU81"/>
    <mergeCell ref="AV81:BA81"/>
    <mergeCell ref="BB81:BJ81"/>
    <mergeCell ref="BK81:BS81"/>
    <mergeCell ref="BT81:BZ81"/>
    <mergeCell ref="CA81:CG81"/>
    <mergeCell ref="CH81:CN81"/>
    <mergeCell ref="AV83:BA83"/>
    <mergeCell ref="BB83:BJ83"/>
    <mergeCell ref="BK83:BS83"/>
    <mergeCell ref="BT83:BZ83"/>
    <mergeCell ref="CA83:CG83"/>
    <mergeCell ref="CH83:CN83"/>
    <mergeCell ref="CO82:CU82"/>
    <mergeCell ref="EI81:EO81"/>
    <mergeCell ref="EP81:EY81"/>
    <mergeCell ref="CV81:DD81"/>
    <mergeCell ref="DE81:DM81"/>
    <mergeCell ref="DN81:DT81"/>
    <mergeCell ref="DU81:EA81"/>
    <mergeCell ref="EB81:EH81"/>
    <mergeCell ref="EI82:EO82"/>
    <mergeCell ref="EP82:EY82"/>
    <mergeCell ref="CV82:DD82"/>
    <mergeCell ref="DE82:DM82"/>
    <mergeCell ref="DN82:DT82"/>
    <mergeCell ref="DU82:EA82"/>
    <mergeCell ref="EB82:EH82"/>
    <mergeCell ref="CO84:CU84"/>
    <mergeCell ref="CV84:DD84"/>
    <mergeCell ref="DE84:DM84"/>
    <mergeCell ref="DN84:DT84"/>
    <mergeCell ref="DU84:EA84"/>
    <mergeCell ref="EB84:EH84"/>
    <mergeCell ref="EI83:EO83"/>
    <mergeCell ref="EP83:EY83"/>
    <mergeCell ref="A84:AM84"/>
    <mergeCell ref="AN84:AU84"/>
    <mergeCell ref="AV84:BA84"/>
    <mergeCell ref="BB84:BJ84"/>
    <mergeCell ref="BK84:BS84"/>
    <mergeCell ref="BT84:BZ84"/>
    <mergeCell ref="CA84:CG84"/>
    <mergeCell ref="CH84:CN84"/>
    <mergeCell ref="CO83:CU83"/>
    <mergeCell ref="CV83:DD83"/>
    <mergeCell ref="DE83:DM83"/>
    <mergeCell ref="DN83:DT83"/>
    <mergeCell ref="DU83:EA83"/>
    <mergeCell ref="EB83:EH83"/>
    <mergeCell ref="A83:AM83"/>
    <mergeCell ref="AN83:AU83"/>
    <mergeCell ref="DN92:EH92"/>
    <mergeCell ref="EJ92:EY92"/>
    <mergeCell ref="DN93:EH93"/>
    <mergeCell ref="EJ93:EY93"/>
    <mergeCell ref="EI84:EO84"/>
    <mergeCell ref="EP84:EY84"/>
    <mergeCell ref="DN90:EH90"/>
    <mergeCell ref="EJ90:EY90"/>
    <mergeCell ref="DN91:EH91"/>
    <mergeCell ref="EJ91:EY91"/>
  </mergeCells>
  <pageMargins left="0.78740157480314965" right="0.70866141732283472" top="0.59055118110236227" bottom="0.39370078740157483" header="0.19685039370078741" footer="0.19685039370078741"/>
  <pageSetup paperSize="8" scale="140" fitToHeight="2" orientation="landscape" r:id="rId1"/>
  <headerFooter alignWithMargins="0">
    <oddHeader>&amp;R&amp;"Times New Roman,обычный"&amp;7Подготовлено с использованием системы &amp;"Times New Roman,полужирный"КонсультантПлюс</oddHeader>
  </headerFooter>
  <rowBreaks count="1" manualBreakCount="1">
    <brk id="72" max="154"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Y94"/>
  <sheetViews>
    <sheetView view="pageBreakPreview" topLeftCell="A9" zoomScaleNormal="150" zoomScaleSheetLayoutView="100" workbookViewId="0">
      <pane ySplit="11" topLeftCell="A20" activePane="bottomLeft" state="frozen"/>
      <selection activeCell="A9" sqref="A9"/>
      <selection pane="bottomLeft" activeCell="BT34" sqref="BT34:BZ34"/>
    </sheetView>
  </sheetViews>
  <sheetFormatPr defaultColWidth="0.88671875" defaultRowHeight="13.2"/>
  <cols>
    <col min="1" max="73" width="0.88671875" style="432"/>
    <col min="74" max="74" width="1" style="432" customWidth="1"/>
    <col min="75" max="115" width="0.88671875" style="432"/>
    <col min="116" max="116" width="0.88671875" style="432" customWidth="1"/>
    <col min="117" max="329" width="0.88671875" style="432"/>
    <col min="330" max="330" width="1" style="432" customWidth="1"/>
    <col min="331" max="371" width="0.88671875" style="432"/>
    <col min="372" max="372" width="0.88671875" style="432" customWidth="1"/>
    <col min="373" max="585" width="0.88671875" style="432"/>
    <col min="586" max="586" width="1" style="432" customWidth="1"/>
    <col min="587" max="627" width="0.88671875" style="432"/>
    <col min="628" max="628" width="0.88671875" style="432" customWidth="1"/>
    <col min="629" max="841" width="0.88671875" style="432"/>
    <col min="842" max="842" width="1" style="432" customWidth="1"/>
    <col min="843" max="883" width="0.88671875" style="432"/>
    <col min="884" max="884" width="0.88671875" style="432" customWidth="1"/>
    <col min="885" max="1097" width="0.88671875" style="432"/>
    <col min="1098" max="1098" width="1" style="432" customWidth="1"/>
    <col min="1099" max="1139" width="0.88671875" style="432"/>
    <col min="1140" max="1140" width="0.88671875" style="432" customWidth="1"/>
    <col min="1141" max="1353" width="0.88671875" style="432"/>
    <col min="1354" max="1354" width="1" style="432" customWidth="1"/>
    <col min="1355" max="1395" width="0.88671875" style="432"/>
    <col min="1396" max="1396" width="0.88671875" style="432" customWidth="1"/>
    <col min="1397" max="1609" width="0.88671875" style="432"/>
    <col min="1610" max="1610" width="1" style="432" customWidth="1"/>
    <col min="1611" max="1651" width="0.88671875" style="432"/>
    <col min="1652" max="1652" width="0.88671875" style="432" customWidth="1"/>
    <col min="1653" max="1865" width="0.88671875" style="432"/>
    <col min="1866" max="1866" width="1" style="432" customWidth="1"/>
    <col min="1867" max="1907" width="0.88671875" style="432"/>
    <col min="1908" max="1908" width="0.88671875" style="432" customWidth="1"/>
    <col min="1909" max="2121" width="0.88671875" style="432"/>
    <col min="2122" max="2122" width="1" style="432" customWidth="1"/>
    <col min="2123" max="2163" width="0.88671875" style="432"/>
    <col min="2164" max="2164" width="0.88671875" style="432" customWidth="1"/>
    <col min="2165" max="2377" width="0.88671875" style="432"/>
    <col min="2378" max="2378" width="1" style="432" customWidth="1"/>
    <col min="2379" max="2419" width="0.88671875" style="432"/>
    <col min="2420" max="2420" width="0.88671875" style="432" customWidth="1"/>
    <col min="2421" max="2633" width="0.88671875" style="432"/>
    <col min="2634" max="2634" width="1" style="432" customWidth="1"/>
    <col min="2635" max="2675" width="0.88671875" style="432"/>
    <col min="2676" max="2676" width="0.88671875" style="432" customWidth="1"/>
    <col min="2677" max="2889" width="0.88671875" style="432"/>
    <col min="2890" max="2890" width="1" style="432" customWidth="1"/>
    <col min="2891" max="2931" width="0.88671875" style="432"/>
    <col min="2932" max="2932" width="0.88671875" style="432" customWidth="1"/>
    <col min="2933" max="3145" width="0.88671875" style="432"/>
    <col min="3146" max="3146" width="1" style="432" customWidth="1"/>
    <col min="3147" max="3187" width="0.88671875" style="432"/>
    <col min="3188" max="3188" width="0.88671875" style="432" customWidth="1"/>
    <col min="3189" max="3401" width="0.88671875" style="432"/>
    <col min="3402" max="3402" width="1" style="432" customWidth="1"/>
    <col min="3403" max="3443" width="0.88671875" style="432"/>
    <col min="3444" max="3444" width="0.88671875" style="432" customWidth="1"/>
    <col min="3445" max="3657" width="0.88671875" style="432"/>
    <col min="3658" max="3658" width="1" style="432" customWidth="1"/>
    <col min="3659" max="3699" width="0.88671875" style="432"/>
    <col min="3700" max="3700" width="0.88671875" style="432" customWidth="1"/>
    <col min="3701" max="3913" width="0.88671875" style="432"/>
    <col min="3914" max="3914" width="1" style="432" customWidth="1"/>
    <col min="3915" max="3955" width="0.88671875" style="432"/>
    <col min="3956" max="3956" width="0.88671875" style="432" customWidth="1"/>
    <col min="3957" max="4169" width="0.88671875" style="432"/>
    <col min="4170" max="4170" width="1" style="432" customWidth="1"/>
    <col min="4171" max="4211" width="0.88671875" style="432"/>
    <col min="4212" max="4212" width="0.88671875" style="432" customWidth="1"/>
    <col min="4213" max="4425" width="0.88671875" style="432"/>
    <col min="4426" max="4426" width="1" style="432" customWidth="1"/>
    <col min="4427" max="4467" width="0.88671875" style="432"/>
    <col min="4468" max="4468" width="0.88671875" style="432" customWidth="1"/>
    <col min="4469" max="4681" width="0.88671875" style="432"/>
    <col min="4682" max="4682" width="1" style="432" customWidth="1"/>
    <col min="4683" max="4723" width="0.88671875" style="432"/>
    <col min="4724" max="4724" width="0.88671875" style="432" customWidth="1"/>
    <col min="4725" max="4937" width="0.88671875" style="432"/>
    <col min="4938" max="4938" width="1" style="432" customWidth="1"/>
    <col min="4939" max="4979" width="0.88671875" style="432"/>
    <col min="4980" max="4980" width="0.88671875" style="432" customWidth="1"/>
    <col min="4981" max="5193" width="0.88671875" style="432"/>
    <col min="5194" max="5194" width="1" style="432" customWidth="1"/>
    <col min="5195" max="5235" width="0.88671875" style="432"/>
    <col min="5236" max="5236" width="0.88671875" style="432" customWidth="1"/>
    <col min="5237" max="5449" width="0.88671875" style="432"/>
    <col min="5450" max="5450" width="1" style="432" customWidth="1"/>
    <col min="5451" max="5491" width="0.88671875" style="432"/>
    <col min="5492" max="5492" width="0.88671875" style="432" customWidth="1"/>
    <col min="5493" max="5705" width="0.88671875" style="432"/>
    <col min="5706" max="5706" width="1" style="432" customWidth="1"/>
    <col min="5707" max="5747" width="0.88671875" style="432"/>
    <col min="5748" max="5748" width="0.88671875" style="432" customWidth="1"/>
    <col min="5749" max="5961" width="0.88671875" style="432"/>
    <col min="5962" max="5962" width="1" style="432" customWidth="1"/>
    <col min="5963" max="6003" width="0.88671875" style="432"/>
    <col min="6004" max="6004" width="0.88671875" style="432" customWidth="1"/>
    <col min="6005" max="6217" width="0.88671875" style="432"/>
    <col min="6218" max="6218" width="1" style="432" customWidth="1"/>
    <col min="6219" max="6259" width="0.88671875" style="432"/>
    <col min="6260" max="6260" width="0.88671875" style="432" customWidth="1"/>
    <col min="6261" max="6473" width="0.88671875" style="432"/>
    <col min="6474" max="6474" width="1" style="432" customWidth="1"/>
    <col min="6475" max="6515" width="0.88671875" style="432"/>
    <col min="6516" max="6516" width="0.88671875" style="432" customWidth="1"/>
    <col min="6517" max="6729" width="0.88671875" style="432"/>
    <col min="6730" max="6730" width="1" style="432" customWidth="1"/>
    <col min="6731" max="6771" width="0.88671875" style="432"/>
    <col min="6772" max="6772" width="0.88671875" style="432" customWidth="1"/>
    <col min="6773" max="6985" width="0.88671875" style="432"/>
    <col min="6986" max="6986" width="1" style="432" customWidth="1"/>
    <col min="6987" max="7027" width="0.88671875" style="432"/>
    <col min="7028" max="7028" width="0.88671875" style="432" customWidth="1"/>
    <col min="7029" max="7241" width="0.88671875" style="432"/>
    <col min="7242" max="7242" width="1" style="432" customWidth="1"/>
    <col min="7243" max="7283" width="0.88671875" style="432"/>
    <col min="7284" max="7284" width="0.88671875" style="432" customWidth="1"/>
    <col min="7285" max="7497" width="0.88671875" style="432"/>
    <col min="7498" max="7498" width="1" style="432" customWidth="1"/>
    <col min="7499" max="7539" width="0.88671875" style="432"/>
    <col min="7540" max="7540" width="0.88671875" style="432" customWidth="1"/>
    <col min="7541" max="7753" width="0.88671875" style="432"/>
    <col min="7754" max="7754" width="1" style="432" customWidth="1"/>
    <col min="7755" max="7795" width="0.88671875" style="432"/>
    <col min="7796" max="7796" width="0.88671875" style="432" customWidth="1"/>
    <col min="7797" max="8009" width="0.88671875" style="432"/>
    <col min="8010" max="8010" width="1" style="432" customWidth="1"/>
    <col min="8011" max="8051" width="0.88671875" style="432"/>
    <col min="8052" max="8052" width="0.88671875" style="432" customWidth="1"/>
    <col min="8053" max="8265" width="0.88671875" style="432"/>
    <col min="8266" max="8266" width="1" style="432" customWidth="1"/>
    <col min="8267" max="8307" width="0.88671875" style="432"/>
    <col min="8308" max="8308" width="0.88671875" style="432" customWidth="1"/>
    <col min="8309" max="8521" width="0.88671875" style="432"/>
    <col min="8522" max="8522" width="1" style="432" customWidth="1"/>
    <col min="8523" max="8563" width="0.88671875" style="432"/>
    <col min="8564" max="8564" width="0.88671875" style="432" customWidth="1"/>
    <col min="8565" max="8777" width="0.88671875" style="432"/>
    <col min="8778" max="8778" width="1" style="432" customWidth="1"/>
    <col min="8779" max="8819" width="0.88671875" style="432"/>
    <col min="8820" max="8820" width="0.88671875" style="432" customWidth="1"/>
    <col min="8821" max="9033" width="0.88671875" style="432"/>
    <col min="9034" max="9034" width="1" style="432" customWidth="1"/>
    <col min="9035" max="9075" width="0.88671875" style="432"/>
    <col min="9076" max="9076" width="0.88671875" style="432" customWidth="1"/>
    <col min="9077" max="9289" width="0.88671875" style="432"/>
    <col min="9290" max="9290" width="1" style="432" customWidth="1"/>
    <col min="9291" max="9331" width="0.88671875" style="432"/>
    <col min="9332" max="9332" width="0.88671875" style="432" customWidth="1"/>
    <col min="9333" max="9545" width="0.88671875" style="432"/>
    <col min="9546" max="9546" width="1" style="432" customWidth="1"/>
    <col min="9547" max="9587" width="0.88671875" style="432"/>
    <col min="9588" max="9588" width="0.88671875" style="432" customWidth="1"/>
    <col min="9589" max="9801" width="0.88671875" style="432"/>
    <col min="9802" max="9802" width="1" style="432" customWidth="1"/>
    <col min="9803" max="9843" width="0.88671875" style="432"/>
    <col min="9844" max="9844" width="0.88671875" style="432" customWidth="1"/>
    <col min="9845" max="10057" width="0.88671875" style="432"/>
    <col min="10058" max="10058" width="1" style="432" customWidth="1"/>
    <col min="10059" max="10099" width="0.88671875" style="432"/>
    <col min="10100" max="10100" width="0.88671875" style="432" customWidth="1"/>
    <col min="10101" max="10313" width="0.88671875" style="432"/>
    <col min="10314" max="10314" width="1" style="432" customWidth="1"/>
    <col min="10315" max="10355" width="0.88671875" style="432"/>
    <col min="10356" max="10356" width="0.88671875" style="432" customWidth="1"/>
    <col min="10357" max="10569" width="0.88671875" style="432"/>
    <col min="10570" max="10570" width="1" style="432" customWidth="1"/>
    <col min="10571" max="10611" width="0.88671875" style="432"/>
    <col min="10612" max="10612" width="0.88671875" style="432" customWidth="1"/>
    <col min="10613" max="10825" width="0.88671875" style="432"/>
    <col min="10826" max="10826" width="1" style="432" customWidth="1"/>
    <col min="10827" max="10867" width="0.88671875" style="432"/>
    <col min="10868" max="10868" width="0.88671875" style="432" customWidth="1"/>
    <col min="10869" max="11081" width="0.88671875" style="432"/>
    <col min="11082" max="11082" width="1" style="432" customWidth="1"/>
    <col min="11083" max="11123" width="0.88671875" style="432"/>
    <col min="11124" max="11124" width="0.88671875" style="432" customWidth="1"/>
    <col min="11125" max="11337" width="0.88671875" style="432"/>
    <col min="11338" max="11338" width="1" style="432" customWidth="1"/>
    <col min="11339" max="11379" width="0.88671875" style="432"/>
    <col min="11380" max="11380" width="0.88671875" style="432" customWidth="1"/>
    <col min="11381" max="11593" width="0.88671875" style="432"/>
    <col min="11594" max="11594" width="1" style="432" customWidth="1"/>
    <col min="11595" max="11635" width="0.88671875" style="432"/>
    <col min="11636" max="11636" width="0.88671875" style="432" customWidth="1"/>
    <col min="11637" max="11849" width="0.88671875" style="432"/>
    <col min="11850" max="11850" width="1" style="432" customWidth="1"/>
    <col min="11851" max="11891" width="0.88671875" style="432"/>
    <col min="11892" max="11892" width="0.88671875" style="432" customWidth="1"/>
    <col min="11893" max="12105" width="0.88671875" style="432"/>
    <col min="12106" max="12106" width="1" style="432" customWidth="1"/>
    <col min="12107" max="12147" width="0.88671875" style="432"/>
    <col min="12148" max="12148" width="0.88671875" style="432" customWidth="1"/>
    <col min="12149" max="12361" width="0.88671875" style="432"/>
    <col min="12362" max="12362" width="1" style="432" customWidth="1"/>
    <col min="12363" max="12403" width="0.88671875" style="432"/>
    <col min="12404" max="12404" width="0.88671875" style="432" customWidth="1"/>
    <col min="12405" max="12617" width="0.88671875" style="432"/>
    <col min="12618" max="12618" width="1" style="432" customWidth="1"/>
    <col min="12619" max="12659" width="0.88671875" style="432"/>
    <col min="12660" max="12660" width="0.88671875" style="432" customWidth="1"/>
    <col min="12661" max="12873" width="0.88671875" style="432"/>
    <col min="12874" max="12874" width="1" style="432" customWidth="1"/>
    <col min="12875" max="12915" width="0.88671875" style="432"/>
    <col min="12916" max="12916" width="0.88671875" style="432" customWidth="1"/>
    <col min="12917" max="13129" width="0.88671875" style="432"/>
    <col min="13130" max="13130" width="1" style="432" customWidth="1"/>
    <col min="13131" max="13171" width="0.88671875" style="432"/>
    <col min="13172" max="13172" width="0.88671875" style="432" customWidth="1"/>
    <col min="13173" max="13385" width="0.88671875" style="432"/>
    <col min="13386" max="13386" width="1" style="432" customWidth="1"/>
    <col min="13387" max="13427" width="0.88671875" style="432"/>
    <col min="13428" max="13428" width="0.88671875" style="432" customWidth="1"/>
    <col min="13429" max="13641" width="0.88671875" style="432"/>
    <col min="13642" max="13642" width="1" style="432" customWidth="1"/>
    <col min="13643" max="13683" width="0.88671875" style="432"/>
    <col min="13684" max="13684" width="0.88671875" style="432" customWidth="1"/>
    <col min="13685" max="13897" width="0.88671875" style="432"/>
    <col min="13898" max="13898" width="1" style="432" customWidth="1"/>
    <col min="13899" max="13939" width="0.88671875" style="432"/>
    <col min="13940" max="13940" width="0.88671875" style="432" customWidth="1"/>
    <col min="13941" max="14153" width="0.88671875" style="432"/>
    <col min="14154" max="14154" width="1" style="432" customWidth="1"/>
    <col min="14155" max="14195" width="0.88671875" style="432"/>
    <col min="14196" max="14196" width="0.88671875" style="432" customWidth="1"/>
    <col min="14197" max="14409" width="0.88671875" style="432"/>
    <col min="14410" max="14410" width="1" style="432" customWidth="1"/>
    <col min="14411" max="14451" width="0.88671875" style="432"/>
    <col min="14452" max="14452" width="0.88671875" style="432" customWidth="1"/>
    <col min="14453" max="14665" width="0.88671875" style="432"/>
    <col min="14666" max="14666" width="1" style="432" customWidth="1"/>
    <col min="14667" max="14707" width="0.88671875" style="432"/>
    <col min="14708" max="14708" width="0.88671875" style="432" customWidth="1"/>
    <col min="14709" max="14921" width="0.88671875" style="432"/>
    <col min="14922" max="14922" width="1" style="432" customWidth="1"/>
    <col min="14923" max="14963" width="0.88671875" style="432"/>
    <col min="14964" max="14964" width="0.88671875" style="432" customWidth="1"/>
    <col min="14965" max="15177" width="0.88671875" style="432"/>
    <col min="15178" max="15178" width="1" style="432" customWidth="1"/>
    <col min="15179" max="15219" width="0.88671875" style="432"/>
    <col min="15220" max="15220" width="0.88671875" style="432" customWidth="1"/>
    <col min="15221" max="15433" width="0.88671875" style="432"/>
    <col min="15434" max="15434" width="1" style="432" customWidth="1"/>
    <col min="15435" max="15475" width="0.88671875" style="432"/>
    <col min="15476" max="15476" width="0.88671875" style="432" customWidth="1"/>
    <col min="15477" max="15689" width="0.88671875" style="432"/>
    <col min="15690" max="15690" width="1" style="432" customWidth="1"/>
    <col min="15691" max="15731" width="0.88671875" style="432"/>
    <col min="15732" max="15732" width="0.88671875" style="432" customWidth="1"/>
    <col min="15733" max="15945" width="0.88671875" style="432"/>
    <col min="15946" max="15946" width="1" style="432" customWidth="1"/>
    <col min="15947" max="15987" width="0.88671875" style="432"/>
    <col min="15988" max="15988" width="0.88671875" style="432" customWidth="1"/>
    <col min="15989" max="16201" width="0.88671875" style="432"/>
    <col min="16202" max="16202" width="1" style="432" customWidth="1"/>
    <col min="16203" max="16243" width="0.88671875" style="432"/>
    <col min="16244" max="16244" width="0.88671875" style="432" customWidth="1"/>
    <col min="16245" max="16384" width="0.88671875" style="432"/>
  </cols>
  <sheetData>
    <row r="1" spans="1:155" s="421" customFormat="1" ht="7.8">
      <c r="EY1" s="422" t="s">
        <v>1536</v>
      </c>
    </row>
    <row r="2" spans="1:155" s="423" customFormat="1" ht="3.9" customHeight="1"/>
    <row r="3" spans="1:155" s="424" customFormat="1" ht="9.6">
      <c r="A3" s="1456" t="s">
        <v>1537</v>
      </c>
      <c r="B3" s="1456"/>
      <c r="C3" s="1456"/>
      <c r="D3" s="1456"/>
      <c r="E3" s="1456"/>
      <c r="F3" s="1456"/>
      <c r="G3" s="1456"/>
      <c r="H3" s="1456"/>
      <c r="I3" s="1456"/>
      <c r="J3" s="1456"/>
      <c r="K3" s="1456"/>
      <c r="L3" s="1456"/>
      <c r="M3" s="1456"/>
      <c r="N3" s="1456"/>
      <c r="O3" s="1456"/>
      <c r="P3" s="1456"/>
      <c r="Q3" s="1456"/>
      <c r="R3" s="1456"/>
      <c r="S3" s="1456"/>
      <c r="T3" s="1456"/>
      <c r="U3" s="1456"/>
      <c r="V3" s="1456"/>
      <c r="W3" s="1456"/>
      <c r="X3" s="1456"/>
      <c r="Y3" s="1456"/>
      <c r="Z3" s="1456"/>
      <c r="AA3" s="1456"/>
      <c r="AB3" s="1456"/>
      <c r="AC3" s="1456"/>
      <c r="AD3" s="1456"/>
      <c r="AE3" s="1456"/>
      <c r="AF3" s="1456"/>
      <c r="AG3" s="1456"/>
      <c r="AH3" s="1456"/>
      <c r="AI3" s="1456"/>
      <c r="AJ3" s="1456"/>
      <c r="AK3" s="1456"/>
      <c r="AL3" s="1456"/>
      <c r="AM3" s="1456"/>
      <c r="AN3" s="1456"/>
      <c r="AO3" s="1456"/>
      <c r="AP3" s="1456"/>
      <c r="AQ3" s="1456"/>
      <c r="AR3" s="1456"/>
      <c r="AS3" s="1456"/>
      <c r="AT3" s="1456"/>
      <c r="AU3" s="1456"/>
      <c r="AV3" s="1456"/>
      <c r="AW3" s="1456"/>
      <c r="AX3" s="1456"/>
      <c r="AY3" s="1456"/>
      <c r="AZ3" s="1456"/>
      <c r="BA3" s="1456"/>
      <c r="BB3" s="1456"/>
      <c r="BC3" s="1456"/>
      <c r="BD3" s="1456"/>
      <c r="BE3" s="1456"/>
      <c r="BF3" s="1456"/>
      <c r="BG3" s="1456"/>
      <c r="BH3" s="1456"/>
      <c r="BI3" s="1456"/>
      <c r="BJ3" s="1456"/>
      <c r="BK3" s="1456"/>
      <c r="BL3" s="1456"/>
      <c r="BM3" s="1456"/>
      <c r="BN3" s="1456"/>
      <c r="BO3" s="1456"/>
      <c r="BP3" s="1456"/>
      <c r="BQ3" s="1456"/>
      <c r="BR3" s="1456"/>
      <c r="BS3" s="1456"/>
      <c r="BT3" s="1456"/>
      <c r="BU3" s="1456"/>
      <c r="BV3" s="1456"/>
      <c r="BW3" s="1456"/>
      <c r="BX3" s="1456"/>
      <c r="BY3" s="1456"/>
      <c r="BZ3" s="1456"/>
      <c r="CA3" s="1456"/>
      <c r="CB3" s="1456"/>
      <c r="CC3" s="1456"/>
      <c r="CD3" s="1456"/>
      <c r="CE3" s="1456"/>
      <c r="CF3" s="1456"/>
      <c r="CG3" s="1456"/>
      <c r="CH3" s="1456"/>
      <c r="CI3" s="1456"/>
      <c r="CJ3" s="1456"/>
      <c r="CK3" s="1456"/>
      <c r="CL3" s="1456"/>
      <c r="CM3" s="1456"/>
      <c r="CN3" s="1456"/>
      <c r="CO3" s="1456"/>
      <c r="CP3" s="1456"/>
      <c r="CQ3" s="1456"/>
      <c r="CR3" s="1456"/>
      <c r="CS3" s="1456"/>
      <c r="CT3" s="1456"/>
      <c r="CU3" s="1456"/>
      <c r="CV3" s="1456"/>
      <c r="CW3" s="1456"/>
      <c r="CX3" s="1456"/>
      <c r="CY3" s="1456"/>
      <c r="CZ3" s="1456"/>
      <c r="DA3" s="1456"/>
      <c r="DB3" s="1456"/>
      <c r="DC3" s="1456"/>
      <c r="DD3" s="1456"/>
      <c r="DE3" s="1456"/>
      <c r="DF3" s="1456"/>
      <c r="DG3" s="1456"/>
      <c r="DH3" s="1456"/>
      <c r="DI3" s="1456"/>
      <c r="DJ3" s="1456"/>
      <c r="DK3" s="1456"/>
      <c r="DL3" s="1456"/>
      <c r="DM3" s="1456"/>
      <c r="DN3" s="1456"/>
      <c r="DO3" s="1456"/>
      <c r="DP3" s="1456"/>
      <c r="DQ3" s="1456"/>
      <c r="DR3" s="1456"/>
      <c r="DS3" s="1456"/>
      <c r="DT3" s="1456"/>
      <c r="DU3" s="1456"/>
      <c r="DV3" s="1456"/>
      <c r="DW3" s="1456"/>
      <c r="DX3" s="1456"/>
      <c r="DY3" s="1456"/>
      <c r="DZ3" s="1456"/>
      <c r="EA3" s="1456"/>
      <c r="EB3" s="1456"/>
      <c r="EC3" s="1456"/>
      <c r="ED3" s="1456"/>
      <c r="EE3" s="1456"/>
      <c r="EF3" s="1456"/>
      <c r="EG3" s="1456"/>
      <c r="EH3" s="1456"/>
      <c r="EI3" s="1456"/>
      <c r="EJ3" s="1456"/>
      <c r="EK3" s="1456"/>
      <c r="EL3" s="1456"/>
      <c r="EM3" s="1456"/>
      <c r="EN3" s="1456"/>
      <c r="EO3" s="1456"/>
      <c r="EP3" s="1456"/>
      <c r="EQ3" s="1456"/>
      <c r="ER3" s="1456"/>
      <c r="ES3" s="1456"/>
      <c r="ET3" s="1456"/>
      <c r="EU3" s="1456"/>
      <c r="EV3" s="1456"/>
      <c r="EW3" s="1456"/>
      <c r="EX3" s="1456"/>
      <c r="EY3" s="1456"/>
    </row>
    <row r="4" spans="1:155" s="424" customFormat="1" ht="9.6">
      <c r="A4" s="1456" t="s">
        <v>1538</v>
      </c>
      <c r="B4" s="1456"/>
      <c r="C4" s="1456"/>
      <c r="D4" s="1456"/>
      <c r="E4" s="1456"/>
      <c r="F4" s="1456"/>
      <c r="G4" s="1456"/>
      <c r="H4" s="1456"/>
      <c r="I4" s="1456"/>
      <c r="J4" s="1456"/>
      <c r="K4" s="1456"/>
      <c r="L4" s="1456"/>
      <c r="M4" s="1456"/>
      <c r="N4" s="1456"/>
      <c r="O4" s="1456"/>
      <c r="P4" s="1456"/>
      <c r="Q4" s="1456"/>
      <c r="R4" s="1456"/>
      <c r="S4" s="1456"/>
      <c r="T4" s="1456"/>
      <c r="U4" s="1456"/>
      <c r="V4" s="1456"/>
      <c r="W4" s="1456"/>
      <c r="X4" s="1456"/>
      <c r="Y4" s="1456"/>
      <c r="Z4" s="1456"/>
      <c r="AA4" s="1456"/>
      <c r="AB4" s="1456"/>
      <c r="AC4" s="1456"/>
      <c r="AD4" s="1456"/>
      <c r="AE4" s="1456"/>
      <c r="AF4" s="1456"/>
      <c r="AG4" s="1456"/>
      <c r="AH4" s="1456"/>
      <c r="AI4" s="1456"/>
      <c r="AJ4" s="1456"/>
      <c r="AK4" s="1456"/>
      <c r="AL4" s="1456"/>
      <c r="AM4" s="1456"/>
      <c r="AN4" s="1456"/>
      <c r="AO4" s="1456"/>
      <c r="AP4" s="1456"/>
      <c r="AQ4" s="1456"/>
      <c r="AR4" s="1456"/>
      <c r="AS4" s="1456"/>
      <c r="AT4" s="1456"/>
      <c r="AU4" s="1456"/>
      <c r="AV4" s="1456"/>
      <c r="AW4" s="1456"/>
      <c r="AX4" s="1456"/>
      <c r="AY4" s="1456"/>
      <c r="AZ4" s="1456"/>
      <c r="BA4" s="1456"/>
      <c r="BB4" s="1456"/>
      <c r="BC4" s="1456"/>
      <c r="BD4" s="1456"/>
      <c r="BE4" s="1456"/>
      <c r="BF4" s="1456"/>
      <c r="BG4" s="1456"/>
      <c r="BH4" s="1456"/>
      <c r="BI4" s="1456"/>
      <c r="BJ4" s="1456"/>
      <c r="BK4" s="1456"/>
      <c r="BL4" s="1456"/>
      <c r="BM4" s="1456"/>
      <c r="BN4" s="1456"/>
      <c r="BO4" s="1456"/>
      <c r="BP4" s="1456"/>
      <c r="BQ4" s="1456"/>
      <c r="BR4" s="1456"/>
      <c r="BS4" s="1456"/>
      <c r="BT4" s="1456"/>
      <c r="BU4" s="1456"/>
      <c r="BV4" s="1456"/>
      <c r="BW4" s="1456"/>
      <c r="BX4" s="1456"/>
      <c r="BY4" s="1456"/>
      <c r="BZ4" s="1456"/>
      <c r="CA4" s="1456"/>
      <c r="CB4" s="1456"/>
      <c r="CC4" s="1456"/>
      <c r="CD4" s="1456"/>
      <c r="CE4" s="1456"/>
      <c r="CF4" s="1456"/>
      <c r="CG4" s="1456"/>
      <c r="CH4" s="1456"/>
      <c r="CI4" s="1456"/>
      <c r="CJ4" s="1456"/>
      <c r="CK4" s="1456"/>
      <c r="CL4" s="1456"/>
      <c r="CM4" s="1456"/>
      <c r="CN4" s="1456"/>
      <c r="CO4" s="1456"/>
      <c r="CP4" s="1456"/>
      <c r="CQ4" s="1456"/>
      <c r="CR4" s="1456"/>
      <c r="CS4" s="1456"/>
      <c r="CT4" s="1456"/>
      <c r="CU4" s="1456"/>
      <c r="CV4" s="1456"/>
      <c r="CW4" s="1456"/>
      <c r="CX4" s="1456"/>
      <c r="CY4" s="1456"/>
      <c r="CZ4" s="1456"/>
      <c r="DA4" s="1456"/>
      <c r="DB4" s="1456"/>
      <c r="DC4" s="1456"/>
      <c r="DD4" s="1456"/>
      <c r="DE4" s="1456"/>
      <c r="DF4" s="1456"/>
      <c r="DG4" s="1456"/>
      <c r="DH4" s="1456"/>
      <c r="DI4" s="1456"/>
      <c r="DJ4" s="1456"/>
      <c r="DK4" s="1456"/>
      <c r="DL4" s="1456"/>
      <c r="DM4" s="1456"/>
      <c r="DN4" s="1456"/>
      <c r="DO4" s="1456"/>
      <c r="DP4" s="1456"/>
      <c r="DQ4" s="1456"/>
      <c r="DR4" s="1456"/>
      <c r="DS4" s="1456"/>
      <c r="DT4" s="1456"/>
      <c r="DU4" s="1456"/>
      <c r="DV4" s="1456"/>
      <c r="DW4" s="1456"/>
      <c r="DX4" s="1456"/>
      <c r="DY4" s="1456"/>
      <c r="DZ4" s="1456"/>
      <c r="EA4" s="1456"/>
      <c r="EB4" s="1456"/>
      <c r="EC4" s="1456"/>
      <c r="ED4" s="1456"/>
      <c r="EE4" s="1456"/>
      <c r="EF4" s="1456"/>
      <c r="EG4" s="1456"/>
      <c r="EH4" s="1456"/>
      <c r="EI4" s="1456"/>
      <c r="EJ4" s="1456"/>
      <c r="EK4" s="1456"/>
      <c r="EL4" s="1456"/>
      <c r="EM4" s="1456"/>
      <c r="EN4" s="1456"/>
      <c r="EO4" s="1456"/>
      <c r="EP4" s="1456"/>
      <c r="EQ4" s="1456"/>
      <c r="ER4" s="1456"/>
      <c r="ES4" s="1456"/>
      <c r="ET4" s="1456"/>
      <c r="EU4" s="1456"/>
      <c r="EV4" s="1456"/>
      <c r="EW4" s="1456"/>
      <c r="EX4" s="1456"/>
      <c r="EY4" s="1456"/>
    </row>
    <row r="5" spans="1:155" s="423" customFormat="1" ht="6" customHeight="1"/>
    <row r="6" spans="1:155" s="425" customFormat="1" ht="7.8">
      <c r="A6" s="425" t="s">
        <v>1539</v>
      </c>
      <c r="AN6" s="425" t="s">
        <v>1540</v>
      </c>
    </row>
    <row r="7" spans="1:155" s="425" customFormat="1" ht="7.8">
      <c r="AN7" s="425" t="s">
        <v>1538</v>
      </c>
    </row>
    <row r="8" spans="1:155" s="425" customFormat="1" ht="7.8">
      <c r="A8" s="425" t="s">
        <v>1541</v>
      </c>
      <c r="AN8" s="425" t="s">
        <v>1542</v>
      </c>
    </row>
    <row r="9" spans="1:155" s="425" customFormat="1" ht="7.8">
      <c r="A9" s="425" t="s">
        <v>1543</v>
      </c>
      <c r="AN9" s="425" t="s">
        <v>1544</v>
      </c>
      <c r="EI9" s="426"/>
      <c r="EJ9" s="426"/>
      <c r="EK9" s="426"/>
      <c r="EL9" s="426"/>
      <c r="EM9" s="426"/>
      <c r="EN9" s="426"/>
      <c r="EO9" s="426"/>
      <c r="EP9" s="426"/>
      <c r="EQ9" s="426"/>
      <c r="ER9" s="426"/>
      <c r="ES9" s="426"/>
      <c r="ET9" s="426"/>
      <c r="EU9" s="426"/>
      <c r="EV9" s="426"/>
      <c r="EW9" s="426"/>
      <c r="EX9" s="426"/>
      <c r="EY9" s="426"/>
    </row>
    <row r="10" spans="1:155" s="424" customFormat="1" ht="4.5" customHeight="1">
      <c r="EI10" s="427"/>
      <c r="EJ10" s="427"/>
      <c r="EK10" s="427"/>
      <c r="EL10" s="427"/>
      <c r="EM10" s="427"/>
      <c r="EN10" s="427"/>
      <c r="EO10" s="427"/>
      <c r="EP10" s="427"/>
      <c r="EQ10" s="427"/>
      <c r="ER10" s="427"/>
      <c r="ES10" s="427"/>
      <c r="ET10" s="427"/>
      <c r="EU10" s="427"/>
      <c r="EV10" s="427"/>
      <c r="EW10" s="427"/>
      <c r="EX10" s="427"/>
      <c r="EY10" s="427"/>
    </row>
    <row r="11" spans="1:155" s="425" customFormat="1" ht="7.8">
      <c r="A11" s="425" t="s">
        <v>1545</v>
      </c>
      <c r="DN11" s="1457" t="s">
        <v>1546</v>
      </c>
      <c r="DO11" s="1457"/>
      <c r="DP11" s="1457"/>
      <c r="DQ11" s="1457"/>
      <c r="DR11" s="1457"/>
      <c r="DS11" s="1457"/>
      <c r="DT11" s="1457"/>
      <c r="DU11" s="1457"/>
      <c r="DV11" s="1457"/>
      <c r="DW11" s="1457"/>
      <c r="DX11" s="1457"/>
      <c r="DY11" s="1457"/>
      <c r="DZ11" s="1457"/>
      <c r="EA11" s="1457"/>
      <c r="EB11" s="1457"/>
      <c r="EC11" s="1457"/>
      <c r="ED11" s="1457"/>
      <c r="EE11" s="1457"/>
      <c r="EF11" s="1457"/>
      <c r="EG11" s="1457"/>
      <c r="EH11" s="1457"/>
      <c r="EI11" s="1457"/>
      <c r="EJ11" s="1457"/>
      <c r="EK11" s="1457"/>
      <c r="EL11" s="1457"/>
      <c r="EM11" s="1457"/>
      <c r="EN11" s="1457"/>
      <c r="EO11" s="1457"/>
      <c r="EP11" s="1457"/>
      <c r="EQ11" s="1457"/>
      <c r="ER11" s="1457"/>
      <c r="ES11" s="1457"/>
      <c r="ET11" s="1457"/>
      <c r="EU11" s="1457"/>
      <c r="EV11" s="1457"/>
      <c r="EW11" s="1457"/>
      <c r="EX11" s="1457"/>
      <c r="EY11" s="1457"/>
    </row>
    <row r="12" spans="1:155" s="425" customFormat="1" ht="7.8">
      <c r="A12" s="425" t="s">
        <v>1547</v>
      </c>
      <c r="DN12" s="1459" t="s">
        <v>224</v>
      </c>
      <c r="DO12" s="1459"/>
      <c r="DP12" s="1459"/>
      <c r="DQ12" s="1459"/>
      <c r="DR12" s="1459"/>
      <c r="DS12" s="1459"/>
      <c r="DT12" s="1459"/>
      <c r="DU12" s="1459"/>
      <c r="DV12" s="1459"/>
      <c r="DW12" s="1459"/>
      <c r="DX12" s="1459"/>
      <c r="DY12" s="1459"/>
      <c r="DZ12" s="1459"/>
      <c r="EA12" s="1459"/>
      <c r="EB12" s="1459"/>
      <c r="EC12" s="1459"/>
      <c r="ED12" s="1459"/>
      <c r="EE12" s="1459"/>
      <c r="EF12" s="1459"/>
      <c r="EG12" s="1459"/>
      <c r="EH12" s="1459"/>
      <c r="EI12" s="1459"/>
      <c r="EJ12" s="1459"/>
      <c r="EK12" s="1459"/>
      <c r="EL12" s="1459"/>
      <c r="EM12" s="1459"/>
      <c r="EN12" s="1459"/>
      <c r="EO12" s="1459"/>
      <c r="EP12" s="1459"/>
      <c r="EQ12" s="1459"/>
      <c r="ER12" s="1459"/>
      <c r="ES12" s="1459"/>
      <c r="ET12" s="1459"/>
      <c r="EU12" s="1459"/>
      <c r="EV12" s="1459"/>
      <c r="EW12" s="1459"/>
      <c r="EX12" s="1459"/>
      <c r="EY12" s="1459"/>
    </row>
    <row r="13" spans="1:155" s="425" customFormat="1" ht="7.8">
      <c r="A13" s="425" t="s">
        <v>1548</v>
      </c>
      <c r="DN13" s="1459" t="s">
        <v>1549</v>
      </c>
      <c r="DO13" s="1459"/>
      <c r="DP13" s="1459"/>
      <c r="DQ13" s="1459"/>
      <c r="DR13" s="1459"/>
      <c r="DS13" s="1459"/>
      <c r="DT13" s="1459"/>
      <c r="DU13" s="1459"/>
      <c r="DV13" s="1459"/>
      <c r="DW13" s="1459"/>
      <c r="DX13" s="1459"/>
      <c r="DY13" s="1459"/>
      <c r="DZ13" s="1459"/>
      <c r="EA13" s="1459"/>
      <c r="EB13" s="1459"/>
      <c r="EC13" s="1459"/>
      <c r="ED13" s="1459"/>
      <c r="EE13" s="1459"/>
      <c r="EF13" s="1459"/>
      <c r="EG13" s="1459"/>
      <c r="EH13" s="1459"/>
      <c r="EI13" s="1459"/>
      <c r="EJ13" s="1459"/>
      <c r="EK13" s="1459"/>
      <c r="EL13" s="1459"/>
      <c r="EM13" s="1459"/>
      <c r="EN13" s="1459"/>
      <c r="EO13" s="1459"/>
      <c r="EP13" s="1459"/>
      <c r="EQ13" s="1459"/>
      <c r="ER13" s="1459"/>
      <c r="ES13" s="1459"/>
      <c r="ET13" s="1459"/>
      <c r="EU13" s="1459"/>
      <c r="EV13" s="1459"/>
      <c r="EW13" s="1459"/>
      <c r="EX13" s="1459"/>
      <c r="EY13" s="1459"/>
    </row>
    <row r="14" spans="1:155" s="425" customFormat="1" ht="7.8">
      <c r="A14" s="425" t="s">
        <v>1550</v>
      </c>
      <c r="DN14" s="1459" t="s">
        <v>1551</v>
      </c>
      <c r="DO14" s="1459"/>
      <c r="DP14" s="1459"/>
      <c r="DQ14" s="1459"/>
      <c r="DR14" s="1459"/>
      <c r="DS14" s="1459"/>
      <c r="DT14" s="1459"/>
      <c r="DU14" s="1459"/>
      <c r="DV14" s="1459"/>
      <c r="DW14" s="1459"/>
      <c r="DX14" s="1459"/>
      <c r="DY14" s="1459"/>
      <c r="DZ14" s="1459"/>
      <c r="EA14" s="1459"/>
      <c r="EB14" s="1459"/>
      <c r="EC14" s="1459"/>
      <c r="ED14" s="1459"/>
      <c r="EE14" s="1459"/>
      <c r="EF14" s="1459"/>
      <c r="EG14" s="1459"/>
      <c r="EH14" s="1459"/>
      <c r="EI14" s="1459"/>
      <c r="EJ14" s="1459"/>
      <c r="EK14" s="1459"/>
      <c r="EL14" s="1459"/>
      <c r="EM14" s="1459"/>
      <c r="EN14" s="1459"/>
      <c r="EO14" s="1459"/>
      <c r="EP14" s="1459"/>
      <c r="EQ14" s="1459"/>
      <c r="ER14" s="1459"/>
      <c r="ES14" s="1459"/>
      <c r="ET14" s="1459"/>
      <c r="EU14" s="1459"/>
      <c r="EV14" s="1459"/>
      <c r="EW14" s="1459"/>
      <c r="EX14" s="1459"/>
      <c r="EY14" s="1459"/>
    </row>
    <row r="15" spans="1:155" s="425" customFormat="1" ht="7.8">
      <c r="A15" s="425" t="s">
        <v>1552</v>
      </c>
      <c r="DN15" s="1459" t="s">
        <v>1553</v>
      </c>
      <c r="DO15" s="1459"/>
      <c r="DP15" s="1459"/>
      <c r="DQ15" s="1459"/>
      <c r="DR15" s="1459"/>
      <c r="DS15" s="1459"/>
      <c r="DT15" s="1459"/>
      <c r="DU15" s="1459"/>
      <c r="DV15" s="1459"/>
      <c r="DW15" s="1459"/>
      <c r="DX15" s="1459"/>
      <c r="DY15" s="1459"/>
      <c r="DZ15" s="1459"/>
      <c r="EA15" s="1459"/>
      <c r="EB15" s="1459"/>
      <c r="EC15" s="1459"/>
      <c r="ED15" s="1459"/>
      <c r="EE15" s="1459"/>
      <c r="EF15" s="1459"/>
      <c r="EG15" s="1459"/>
      <c r="EH15" s="1459"/>
      <c r="EI15" s="1459"/>
      <c r="EJ15" s="1459"/>
      <c r="EK15" s="1459"/>
      <c r="EL15" s="1459"/>
      <c r="EM15" s="1459"/>
      <c r="EN15" s="1459"/>
      <c r="EO15" s="1459"/>
      <c r="EP15" s="1459"/>
      <c r="EQ15" s="1459"/>
      <c r="ER15" s="1459"/>
      <c r="ES15" s="1459"/>
      <c r="ET15" s="1459"/>
      <c r="EU15" s="1459"/>
      <c r="EV15" s="1459"/>
      <c r="EW15" s="1459"/>
      <c r="EX15" s="1459"/>
      <c r="EY15" s="1459"/>
    </row>
    <row r="16" spans="1:155" s="425" customFormat="1" ht="7.8">
      <c r="DN16" s="426"/>
      <c r="DO16" s="426"/>
      <c r="DP16" s="426"/>
      <c r="DQ16" s="426"/>
      <c r="DR16" s="426"/>
      <c r="DS16" s="426"/>
      <c r="DT16" s="426"/>
      <c r="DU16" s="426"/>
      <c r="DV16" s="426"/>
      <c r="DW16" s="426"/>
      <c r="DX16" s="426"/>
      <c r="DY16" s="426"/>
      <c r="DZ16" s="426"/>
      <c r="EA16" s="426"/>
      <c r="EB16" s="426"/>
      <c r="EC16" s="426"/>
      <c r="ED16" s="426"/>
      <c r="EE16" s="426"/>
      <c r="EF16" s="426"/>
      <c r="EG16" s="426"/>
      <c r="EH16" s="426"/>
      <c r="EI16" s="426"/>
      <c r="EJ16" s="426"/>
      <c r="EK16" s="426"/>
      <c r="EL16" s="426"/>
      <c r="EM16" s="426"/>
      <c r="EN16" s="426"/>
      <c r="EO16" s="426"/>
      <c r="EP16" s="426"/>
      <c r="EQ16" s="426"/>
      <c r="ER16" s="426"/>
      <c r="ES16" s="426"/>
      <c r="ET16" s="426"/>
      <c r="EU16" s="426"/>
      <c r="EV16" s="426"/>
      <c r="EW16" s="426"/>
      <c r="EX16" s="426"/>
      <c r="EY16" s="426"/>
    </row>
    <row r="17" spans="1:155" s="425" customFormat="1" ht="8.1" customHeight="1"/>
    <row r="18" spans="1:155" s="428" customFormat="1" ht="9" customHeight="1">
      <c r="A18" s="1460" t="s">
        <v>111</v>
      </c>
      <c r="B18" s="1461"/>
      <c r="C18" s="1461"/>
      <c r="D18" s="1461"/>
      <c r="E18" s="1461"/>
      <c r="F18" s="1461"/>
      <c r="G18" s="1461"/>
      <c r="H18" s="1461"/>
      <c r="I18" s="1461"/>
      <c r="J18" s="1461"/>
      <c r="K18" s="1461"/>
      <c r="L18" s="1461"/>
      <c r="M18" s="1461"/>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c r="AL18" s="1461"/>
      <c r="AM18" s="1462"/>
      <c r="AN18" s="1460" t="s">
        <v>0</v>
      </c>
      <c r="AO18" s="1461"/>
      <c r="AP18" s="1461"/>
      <c r="AQ18" s="1461"/>
      <c r="AR18" s="1461"/>
      <c r="AS18" s="1461"/>
      <c r="AT18" s="1461"/>
      <c r="AU18" s="1462"/>
      <c r="AV18" s="1460" t="s">
        <v>1554</v>
      </c>
      <c r="AW18" s="1461"/>
      <c r="AX18" s="1461"/>
      <c r="AY18" s="1461"/>
      <c r="AZ18" s="1461"/>
      <c r="BA18" s="1462"/>
      <c r="BB18" s="1460" t="s">
        <v>1555</v>
      </c>
      <c r="BC18" s="1461"/>
      <c r="BD18" s="1461"/>
      <c r="BE18" s="1461"/>
      <c r="BF18" s="1461"/>
      <c r="BG18" s="1461"/>
      <c r="BH18" s="1461"/>
      <c r="BI18" s="1461"/>
      <c r="BJ18" s="1462"/>
      <c r="BK18" s="1463" t="s">
        <v>1556</v>
      </c>
      <c r="BL18" s="1463"/>
      <c r="BM18" s="1463"/>
      <c r="BN18" s="1463"/>
      <c r="BO18" s="1463"/>
      <c r="BP18" s="1463"/>
      <c r="BQ18" s="1463"/>
      <c r="BR18" s="1463"/>
      <c r="BS18" s="1463"/>
      <c r="BT18" s="1463" t="s">
        <v>1557</v>
      </c>
      <c r="BU18" s="1463"/>
      <c r="BV18" s="1463"/>
      <c r="BW18" s="1463"/>
      <c r="BX18" s="1463"/>
      <c r="BY18" s="1463"/>
      <c r="BZ18" s="1463"/>
      <c r="CA18" s="1463"/>
      <c r="CB18" s="1463"/>
      <c r="CC18" s="1463"/>
      <c r="CD18" s="1463"/>
      <c r="CE18" s="1463"/>
      <c r="CF18" s="1463"/>
      <c r="CG18" s="1463"/>
      <c r="CH18" s="1463"/>
      <c r="CI18" s="1463"/>
      <c r="CJ18" s="1463"/>
      <c r="CK18" s="1463"/>
      <c r="CL18" s="1463"/>
      <c r="CM18" s="1463"/>
      <c r="CN18" s="1463"/>
      <c r="CO18" s="1463"/>
      <c r="CP18" s="1463"/>
      <c r="CQ18" s="1463"/>
      <c r="CR18" s="1463"/>
      <c r="CS18" s="1463"/>
      <c r="CT18" s="1463"/>
      <c r="CU18" s="1463"/>
      <c r="CV18" s="1463" t="s">
        <v>1558</v>
      </c>
      <c r="CW18" s="1463"/>
      <c r="CX18" s="1463"/>
      <c r="CY18" s="1463"/>
      <c r="CZ18" s="1463"/>
      <c r="DA18" s="1463"/>
      <c r="DB18" s="1463"/>
      <c r="DC18" s="1463"/>
      <c r="DD18" s="1463"/>
      <c r="DE18" s="1463" t="s">
        <v>1559</v>
      </c>
      <c r="DF18" s="1463"/>
      <c r="DG18" s="1463"/>
      <c r="DH18" s="1463"/>
      <c r="DI18" s="1463"/>
      <c r="DJ18" s="1463"/>
      <c r="DK18" s="1463"/>
      <c r="DL18" s="1463"/>
      <c r="DM18" s="1463"/>
      <c r="DN18" s="1463" t="s">
        <v>1560</v>
      </c>
      <c r="DO18" s="1463"/>
      <c r="DP18" s="1463"/>
      <c r="DQ18" s="1463"/>
      <c r="DR18" s="1463"/>
      <c r="DS18" s="1463"/>
      <c r="DT18" s="1463"/>
      <c r="DU18" s="1463"/>
      <c r="DV18" s="1463"/>
      <c r="DW18" s="1463"/>
      <c r="DX18" s="1463"/>
      <c r="DY18" s="1463"/>
      <c r="DZ18" s="1463"/>
      <c r="EA18" s="1463"/>
      <c r="EB18" s="1463"/>
      <c r="EC18" s="1463"/>
      <c r="ED18" s="1463"/>
      <c r="EE18" s="1463"/>
      <c r="EF18" s="1463"/>
      <c r="EG18" s="1463"/>
      <c r="EH18" s="1463"/>
      <c r="EI18" s="1463"/>
      <c r="EJ18" s="1463"/>
      <c r="EK18" s="1463"/>
      <c r="EL18" s="1463"/>
      <c r="EM18" s="1463"/>
      <c r="EN18" s="1463"/>
      <c r="EO18" s="1463"/>
      <c r="EP18" s="1460" t="s">
        <v>1561</v>
      </c>
      <c r="EQ18" s="1461"/>
      <c r="ER18" s="1461"/>
      <c r="ES18" s="1461"/>
      <c r="ET18" s="1461"/>
      <c r="EU18" s="1461"/>
      <c r="EV18" s="1461"/>
      <c r="EW18" s="1461"/>
      <c r="EX18" s="1461"/>
      <c r="EY18" s="1462"/>
    </row>
    <row r="19" spans="1:155" s="428" customFormat="1" ht="66.75" customHeight="1">
      <c r="A19" s="1403"/>
      <c r="B19" s="1404"/>
      <c r="C19" s="1404"/>
      <c r="D19" s="1404"/>
      <c r="E19" s="1404"/>
      <c r="F19" s="1404"/>
      <c r="G19" s="1404"/>
      <c r="H19" s="1404"/>
      <c r="I19" s="1404"/>
      <c r="J19" s="1404"/>
      <c r="K19" s="1404"/>
      <c r="L19" s="1404"/>
      <c r="M19" s="1404"/>
      <c r="N19" s="1404"/>
      <c r="O19" s="1404"/>
      <c r="P19" s="1404"/>
      <c r="Q19" s="1404"/>
      <c r="R19" s="1404"/>
      <c r="S19" s="1404"/>
      <c r="T19" s="1404"/>
      <c r="U19" s="1404"/>
      <c r="V19" s="1404"/>
      <c r="W19" s="1404"/>
      <c r="X19" s="1404"/>
      <c r="Y19" s="1404"/>
      <c r="Z19" s="1404"/>
      <c r="AA19" s="1404"/>
      <c r="AB19" s="1404"/>
      <c r="AC19" s="1404"/>
      <c r="AD19" s="1404"/>
      <c r="AE19" s="1404"/>
      <c r="AF19" s="1404"/>
      <c r="AG19" s="1404"/>
      <c r="AH19" s="1404"/>
      <c r="AI19" s="1404"/>
      <c r="AJ19" s="1404"/>
      <c r="AK19" s="1404"/>
      <c r="AL19" s="1404"/>
      <c r="AM19" s="1405"/>
      <c r="AN19" s="1403"/>
      <c r="AO19" s="1404"/>
      <c r="AP19" s="1404"/>
      <c r="AQ19" s="1404"/>
      <c r="AR19" s="1404"/>
      <c r="AS19" s="1404"/>
      <c r="AT19" s="1404"/>
      <c r="AU19" s="1405"/>
      <c r="AV19" s="1403"/>
      <c r="AW19" s="1404"/>
      <c r="AX19" s="1404"/>
      <c r="AY19" s="1404"/>
      <c r="AZ19" s="1404"/>
      <c r="BA19" s="1405"/>
      <c r="BB19" s="1403"/>
      <c r="BC19" s="1404"/>
      <c r="BD19" s="1404"/>
      <c r="BE19" s="1404"/>
      <c r="BF19" s="1404"/>
      <c r="BG19" s="1404"/>
      <c r="BH19" s="1404"/>
      <c r="BI19" s="1404"/>
      <c r="BJ19" s="1405"/>
      <c r="BK19" s="1463"/>
      <c r="BL19" s="1463"/>
      <c r="BM19" s="1463"/>
      <c r="BN19" s="1463"/>
      <c r="BO19" s="1463"/>
      <c r="BP19" s="1463"/>
      <c r="BQ19" s="1463"/>
      <c r="BR19" s="1463"/>
      <c r="BS19" s="1463"/>
      <c r="BT19" s="1463" t="s">
        <v>1562</v>
      </c>
      <c r="BU19" s="1463"/>
      <c r="BV19" s="1463"/>
      <c r="BW19" s="1463"/>
      <c r="BX19" s="1463"/>
      <c r="BY19" s="1463"/>
      <c r="BZ19" s="1463"/>
      <c r="CA19" s="1463" t="s">
        <v>1563</v>
      </c>
      <c r="CB19" s="1463"/>
      <c r="CC19" s="1463"/>
      <c r="CD19" s="1463"/>
      <c r="CE19" s="1463"/>
      <c r="CF19" s="1463"/>
      <c r="CG19" s="1463"/>
      <c r="CH19" s="1463" t="s">
        <v>1564</v>
      </c>
      <c r="CI19" s="1463"/>
      <c r="CJ19" s="1463"/>
      <c r="CK19" s="1463"/>
      <c r="CL19" s="1463"/>
      <c r="CM19" s="1463"/>
      <c r="CN19" s="1463"/>
      <c r="CO19" s="1463" t="s">
        <v>1565</v>
      </c>
      <c r="CP19" s="1463"/>
      <c r="CQ19" s="1463"/>
      <c r="CR19" s="1463"/>
      <c r="CS19" s="1463"/>
      <c r="CT19" s="1463"/>
      <c r="CU19" s="1463"/>
      <c r="CV19" s="1463"/>
      <c r="CW19" s="1463"/>
      <c r="CX19" s="1463"/>
      <c r="CY19" s="1463"/>
      <c r="CZ19" s="1463"/>
      <c r="DA19" s="1463"/>
      <c r="DB19" s="1463"/>
      <c r="DC19" s="1463"/>
      <c r="DD19" s="1463"/>
      <c r="DE19" s="1463"/>
      <c r="DF19" s="1463"/>
      <c r="DG19" s="1463"/>
      <c r="DH19" s="1463"/>
      <c r="DI19" s="1463"/>
      <c r="DJ19" s="1463"/>
      <c r="DK19" s="1463"/>
      <c r="DL19" s="1463"/>
      <c r="DM19" s="1463"/>
      <c r="DN19" s="1463" t="s">
        <v>1562</v>
      </c>
      <c r="DO19" s="1463"/>
      <c r="DP19" s="1463"/>
      <c r="DQ19" s="1463"/>
      <c r="DR19" s="1463"/>
      <c r="DS19" s="1463"/>
      <c r="DT19" s="1463"/>
      <c r="DU19" s="1463" t="s">
        <v>1563</v>
      </c>
      <c r="DV19" s="1463"/>
      <c r="DW19" s="1463"/>
      <c r="DX19" s="1463"/>
      <c r="DY19" s="1463"/>
      <c r="DZ19" s="1463"/>
      <c r="EA19" s="1463"/>
      <c r="EB19" s="1463" t="s">
        <v>1564</v>
      </c>
      <c r="EC19" s="1463"/>
      <c r="ED19" s="1463"/>
      <c r="EE19" s="1463"/>
      <c r="EF19" s="1463"/>
      <c r="EG19" s="1463"/>
      <c r="EH19" s="1463"/>
      <c r="EI19" s="1463" t="s">
        <v>1565</v>
      </c>
      <c r="EJ19" s="1463"/>
      <c r="EK19" s="1463"/>
      <c r="EL19" s="1463"/>
      <c r="EM19" s="1463"/>
      <c r="EN19" s="1463"/>
      <c r="EO19" s="1463"/>
      <c r="EP19" s="1403"/>
      <c r="EQ19" s="1404"/>
      <c r="ER19" s="1404"/>
      <c r="ES19" s="1404"/>
      <c r="ET19" s="1404"/>
      <c r="EU19" s="1404"/>
      <c r="EV19" s="1404"/>
      <c r="EW19" s="1404"/>
      <c r="EX19" s="1404"/>
      <c r="EY19" s="1405"/>
    </row>
    <row r="20" spans="1:155" s="429" customFormat="1" ht="18.75" customHeight="1">
      <c r="A20" s="1468">
        <v>1</v>
      </c>
      <c r="B20" s="1469"/>
      <c r="C20" s="1469"/>
      <c r="D20" s="1469"/>
      <c r="E20" s="1469"/>
      <c r="F20" s="1469"/>
      <c r="G20" s="1469"/>
      <c r="H20" s="1469"/>
      <c r="I20" s="1469"/>
      <c r="J20" s="1469"/>
      <c r="K20" s="1469"/>
      <c r="L20" s="1469"/>
      <c r="M20" s="1469"/>
      <c r="N20" s="1469"/>
      <c r="O20" s="1469"/>
      <c r="P20" s="1469"/>
      <c r="Q20" s="1469"/>
      <c r="R20" s="1469"/>
      <c r="S20" s="1469"/>
      <c r="T20" s="1469"/>
      <c r="U20" s="1469"/>
      <c r="V20" s="1469"/>
      <c r="W20" s="1469"/>
      <c r="X20" s="1469"/>
      <c r="Y20" s="1469"/>
      <c r="Z20" s="1469"/>
      <c r="AA20" s="1469"/>
      <c r="AB20" s="1469"/>
      <c r="AC20" s="1469"/>
      <c r="AD20" s="1469"/>
      <c r="AE20" s="1469"/>
      <c r="AF20" s="1469"/>
      <c r="AG20" s="1469"/>
      <c r="AH20" s="1469"/>
      <c r="AI20" s="1469"/>
      <c r="AJ20" s="1469"/>
      <c r="AK20" s="1469"/>
      <c r="AL20" s="1469"/>
      <c r="AM20" s="1470"/>
      <c r="AN20" s="1464">
        <v>2</v>
      </c>
      <c r="AO20" s="1464"/>
      <c r="AP20" s="1464"/>
      <c r="AQ20" s="1464"/>
      <c r="AR20" s="1464"/>
      <c r="AS20" s="1464"/>
      <c r="AT20" s="1464"/>
      <c r="AU20" s="1464"/>
      <c r="AV20" s="1464">
        <v>3</v>
      </c>
      <c r="AW20" s="1464"/>
      <c r="AX20" s="1464"/>
      <c r="AY20" s="1464"/>
      <c r="AZ20" s="1464"/>
      <c r="BA20" s="1464"/>
      <c r="BB20" s="1464">
        <v>4</v>
      </c>
      <c r="BC20" s="1464"/>
      <c r="BD20" s="1464"/>
      <c r="BE20" s="1464"/>
      <c r="BF20" s="1464"/>
      <c r="BG20" s="1464"/>
      <c r="BH20" s="1464"/>
      <c r="BI20" s="1464"/>
      <c r="BJ20" s="1464"/>
      <c r="BK20" s="1464">
        <v>5</v>
      </c>
      <c r="BL20" s="1464"/>
      <c r="BM20" s="1464"/>
      <c r="BN20" s="1464"/>
      <c r="BO20" s="1464"/>
      <c r="BP20" s="1464"/>
      <c r="BQ20" s="1464"/>
      <c r="BR20" s="1464"/>
      <c r="BS20" s="1464"/>
      <c r="BT20" s="1464">
        <v>6</v>
      </c>
      <c r="BU20" s="1464"/>
      <c r="BV20" s="1464"/>
      <c r="BW20" s="1464"/>
      <c r="BX20" s="1464"/>
      <c r="BY20" s="1464"/>
      <c r="BZ20" s="1464"/>
      <c r="CA20" s="1464">
        <v>7</v>
      </c>
      <c r="CB20" s="1464"/>
      <c r="CC20" s="1464"/>
      <c r="CD20" s="1464"/>
      <c r="CE20" s="1464"/>
      <c r="CF20" s="1464"/>
      <c r="CG20" s="1464"/>
      <c r="CH20" s="1465" t="s">
        <v>1566</v>
      </c>
      <c r="CI20" s="1466"/>
      <c r="CJ20" s="1466"/>
      <c r="CK20" s="1466"/>
      <c r="CL20" s="1466"/>
      <c r="CM20" s="1466"/>
      <c r="CN20" s="1467"/>
      <c r="CO20" s="1464">
        <v>9</v>
      </c>
      <c r="CP20" s="1464"/>
      <c r="CQ20" s="1464"/>
      <c r="CR20" s="1464"/>
      <c r="CS20" s="1464"/>
      <c r="CT20" s="1464"/>
      <c r="CU20" s="1464"/>
      <c r="CV20" s="1464">
        <v>10</v>
      </c>
      <c r="CW20" s="1464"/>
      <c r="CX20" s="1464"/>
      <c r="CY20" s="1464"/>
      <c r="CZ20" s="1464"/>
      <c r="DA20" s="1464"/>
      <c r="DB20" s="1464"/>
      <c r="DC20" s="1464"/>
      <c r="DD20" s="1464"/>
      <c r="DE20" s="1464">
        <v>11</v>
      </c>
      <c r="DF20" s="1464"/>
      <c r="DG20" s="1464"/>
      <c r="DH20" s="1464"/>
      <c r="DI20" s="1464"/>
      <c r="DJ20" s="1464"/>
      <c r="DK20" s="1464"/>
      <c r="DL20" s="1464"/>
      <c r="DM20" s="1464"/>
      <c r="DN20" s="1464">
        <v>12</v>
      </c>
      <c r="DO20" s="1464"/>
      <c r="DP20" s="1464"/>
      <c r="DQ20" s="1464"/>
      <c r="DR20" s="1464"/>
      <c r="DS20" s="1464"/>
      <c r="DT20" s="1464"/>
      <c r="DU20" s="1464">
        <v>13</v>
      </c>
      <c r="DV20" s="1464"/>
      <c r="DW20" s="1464"/>
      <c r="DX20" s="1464"/>
      <c r="DY20" s="1464"/>
      <c r="DZ20" s="1464"/>
      <c r="EA20" s="1464"/>
      <c r="EB20" s="1465" t="s">
        <v>1567</v>
      </c>
      <c r="EC20" s="1466"/>
      <c r="ED20" s="1466"/>
      <c r="EE20" s="1466"/>
      <c r="EF20" s="1466"/>
      <c r="EG20" s="1466"/>
      <c r="EH20" s="1467"/>
      <c r="EI20" s="1468">
        <v>15</v>
      </c>
      <c r="EJ20" s="1469"/>
      <c r="EK20" s="1469"/>
      <c r="EL20" s="1469"/>
      <c r="EM20" s="1469"/>
      <c r="EN20" s="1469"/>
      <c r="EO20" s="1470"/>
      <c r="EP20" s="1464">
        <v>16</v>
      </c>
      <c r="EQ20" s="1464"/>
      <c r="ER20" s="1464"/>
      <c r="ES20" s="1464"/>
      <c r="ET20" s="1464"/>
      <c r="EU20" s="1464"/>
      <c r="EV20" s="1464"/>
      <c r="EW20" s="1464"/>
      <c r="EX20" s="1464"/>
      <c r="EY20" s="1464"/>
    </row>
    <row r="21" spans="1:155" s="430" customFormat="1" ht="16.5" customHeight="1">
      <c r="A21" s="1471" t="s">
        <v>1568</v>
      </c>
      <c r="B21" s="1472"/>
      <c r="C21" s="1472"/>
      <c r="D21" s="1472"/>
      <c r="E21" s="1472"/>
      <c r="F21" s="1472"/>
      <c r="G21" s="1472"/>
      <c r="H21" s="1472"/>
      <c r="I21" s="1472"/>
      <c r="J21" s="1472"/>
      <c r="K21" s="1472"/>
      <c r="L21" s="1472"/>
      <c r="M21" s="1472"/>
      <c r="N21" s="1472"/>
      <c r="O21" s="1472"/>
      <c r="P21" s="1472"/>
      <c r="Q21" s="1472"/>
      <c r="R21" s="1472"/>
      <c r="S21" s="1472"/>
      <c r="T21" s="1472"/>
      <c r="U21" s="1472"/>
      <c r="V21" s="1472"/>
      <c r="W21" s="1472"/>
      <c r="X21" s="1472"/>
      <c r="Y21" s="1472"/>
      <c r="Z21" s="1472"/>
      <c r="AA21" s="1472"/>
      <c r="AB21" s="1472"/>
      <c r="AC21" s="1472"/>
      <c r="AD21" s="1472"/>
      <c r="AE21" s="1472"/>
      <c r="AF21" s="1472"/>
      <c r="AG21" s="1472"/>
      <c r="AH21" s="1472"/>
      <c r="AI21" s="1472"/>
      <c r="AJ21" s="1472"/>
      <c r="AK21" s="1472"/>
      <c r="AL21" s="1472"/>
      <c r="AM21" s="1473"/>
      <c r="AN21" s="1474" t="s">
        <v>121</v>
      </c>
      <c r="AO21" s="1475"/>
      <c r="AP21" s="1475"/>
      <c r="AQ21" s="1475"/>
      <c r="AR21" s="1475"/>
      <c r="AS21" s="1475"/>
      <c r="AT21" s="1475"/>
      <c r="AU21" s="1476"/>
      <c r="AV21" s="1477" t="s">
        <v>844</v>
      </c>
      <c r="AW21" s="1478"/>
      <c r="AX21" s="1478"/>
      <c r="AY21" s="1478"/>
      <c r="AZ21" s="1478"/>
      <c r="BA21" s="1479"/>
      <c r="BB21" s="1480">
        <f>CH21+CO21</f>
        <v>8510818</v>
      </c>
      <c r="BC21" s="1481"/>
      <c r="BD21" s="1481"/>
      <c r="BE21" s="1481"/>
      <c r="BF21" s="1481"/>
      <c r="BG21" s="1481"/>
      <c r="BH21" s="1481"/>
      <c r="BI21" s="1481"/>
      <c r="BJ21" s="1482"/>
      <c r="BK21" s="1480">
        <f t="shared" ref="BK21:BK38" si="0">BB21</f>
        <v>8510818</v>
      </c>
      <c r="BL21" s="1481"/>
      <c r="BM21" s="1481"/>
      <c r="BN21" s="1481"/>
      <c r="BO21" s="1481"/>
      <c r="BP21" s="1481"/>
      <c r="BQ21" s="1481"/>
      <c r="BR21" s="1481"/>
      <c r="BS21" s="1482"/>
      <c r="BT21" s="1480">
        <v>8304686</v>
      </c>
      <c r="BU21" s="1481"/>
      <c r="BV21" s="1481"/>
      <c r="BW21" s="1481"/>
      <c r="BX21" s="1481"/>
      <c r="BY21" s="1481"/>
      <c r="BZ21" s="1482"/>
      <c r="CA21" s="1480">
        <v>142554</v>
      </c>
      <c r="CB21" s="1481"/>
      <c r="CC21" s="1481"/>
      <c r="CD21" s="1481"/>
      <c r="CE21" s="1481"/>
      <c r="CF21" s="1481"/>
      <c r="CG21" s="1482"/>
      <c r="CH21" s="1486">
        <f>BT21+CA21</f>
        <v>8447240</v>
      </c>
      <c r="CI21" s="1487"/>
      <c r="CJ21" s="1487"/>
      <c r="CK21" s="1487"/>
      <c r="CL21" s="1487"/>
      <c r="CM21" s="1487"/>
      <c r="CN21" s="1488"/>
      <c r="CO21" s="1480">
        <v>63578</v>
      </c>
      <c r="CP21" s="1481"/>
      <c r="CQ21" s="1481"/>
      <c r="CR21" s="1481"/>
      <c r="CS21" s="1481"/>
      <c r="CT21" s="1481"/>
      <c r="CU21" s="1482"/>
      <c r="CV21" s="1480">
        <v>7436105</v>
      </c>
      <c r="CW21" s="1481"/>
      <c r="CX21" s="1481"/>
      <c r="CY21" s="1481"/>
      <c r="CZ21" s="1481"/>
      <c r="DA21" s="1481"/>
      <c r="DB21" s="1481"/>
      <c r="DC21" s="1481"/>
      <c r="DD21" s="1482"/>
      <c r="DE21" s="1480">
        <v>7436105</v>
      </c>
      <c r="DF21" s="1481"/>
      <c r="DG21" s="1481"/>
      <c r="DH21" s="1481"/>
      <c r="DI21" s="1481"/>
      <c r="DJ21" s="1481"/>
      <c r="DK21" s="1481"/>
      <c r="DL21" s="1481"/>
      <c r="DM21" s="1482"/>
      <c r="DN21" s="1480">
        <v>7161787</v>
      </c>
      <c r="DO21" s="1481"/>
      <c r="DP21" s="1481"/>
      <c r="DQ21" s="1481"/>
      <c r="DR21" s="1481"/>
      <c r="DS21" s="1481"/>
      <c r="DT21" s="1482"/>
      <c r="DU21" s="1480">
        <v>112442</v>
      </c>
      <c r="DV21" s="1481"/>
      <c r="DW21" s="1481"/>
      <c r="DX21" s="1481"/>
      <c r="DY21" s="1481"/>
      <c r="DZ21" s="1481"/>
      <c r="EA21" s="1482"/>
      <c r="EB21" s="1480">
        <v>7274229</v>
      </c>
      <c r="EC21" s="1481"/>
      <c r="ED21" s="1481"/>
      <c r="EE21" s="1481"/>
      <c r="EF21" s="1481"/>
      <c r="EG21" s="1481"/>
      <c r="EH21" s="1482"/>
      <c r="EI21" s="1480">
        <v>161876</v>
      </c>
      <c r="EJ21" s="1481"/>
      <c r="EK21" s="1481"/>
      <c r="EL21" s="1481"/>
      <c r="EM21" s="1481"/>
      <c r="EN21" s="1481"/>
      <c r="EO21" s="1482"/>
      <c r="EP21" s="1480"/>
      <c r="EQ21" s="1481"/>
      <c r="ER21" s="1481"/>
      <c r="ES21" s="1481"/>
      <c r="ET21" s="1481"/>
      <c r="EU21" s="1481"/>
      <c r="EV21" s="1481"/>
      <c r="EW21" s="1481"/>
      <c r="EX21" s="1481"/>
      <c r="EY21" s="1482"/>
    </row>
    <row r="22" spans="1:155" s="430" customFormat="1" ht="7.8">
      <c r="A22" s="1483" t="s">
        <v>1569</v>
      </c>
      <c r="B22" s="1484"/>
      <c r="C22" s="1484"/>
      <c r="D22" s="1484"/>
      <c r="E22" s="1484"/>
      <c r="F22" s="1484"/>
      <c r="G22" s="1484"/>
      <c r="H22" s="1484"/>
      <c r="I22" s="1484"/>
      <c r="J22" s="1484"/>
      <c r="K22" s="1484"/>
      <c r="L22" s="1484"/>
      <c r="M22" s="1484"/>
      <c r="N22" s="1484"/>
      <c r="O22" s="1484"/>
      <c r="P22" s="1484"/>
      <c r="Q22" s="1484"/>
      <c r="R22" s="1484"/>
      <c r="S22" s="1484"/>
      <c r="T22" s="1484"/>
      <c r="U22" s="1484"/>
      <c r="V22" s="1484"/>
      <c r="W22" s="1484"/>
      <c r="X22" s="1484"/>
      <c r="Y22" s="1484"/>
      <c r="Z22" s="1484"/>
      <c r="AA22" s="1484"/>
      <c r="AB22" s="1484"/>
      <c r="AC22" s="1484"/>
      <c r="AD22" s="1484"/>
      <c r="AE22" s="1484"/>
      <c r="AF22" s="1484"/>
      <c r="AG22" s="1484"/>
      <c r="AH22" s="1484"/>
      <c r="AI22" s="1484"/>
      <c r="AJ22" s="1484"/>
      <c r="AK22" s="1484"/>
      <c r="AL22" s="1484"/>
      <c r="AM22" s="1485"/>
      <c r="AN22" s="1474" t="s">
        <v>121</v>
      </c>
      <c r="AO22" s="1475"/>
      <c r="AP22" s="1475"/>
      <c r="AQ22" s="1475"/>
      <c r="AR22" s="1475"/>
      <c r="AS22" s="1475"/>
      <c r="AT22" s="1475"/>
      <c r="AU22" s="1476"/>
      <c r="AV22" s="1477" t="s">
        <v>895</v>
      </c>
      <c r="AW22" s="1478"/>
      <c r="AX22" s="1478"/>
      <c r="AY22" s="1478"/>
      <c r="AZ22" s="1478"/>
      <c r="BA22" s="1479"/>
      <c r="BB22" s="1480">
        <f>CH22+CO22</f>
        <v>3541203</v>
      </c>
      <c r="BC22" s="1481"/>
      <c r="BD22" s="1481"/>
      <c r="BE22" s="1481"/>
      <c r="BF22" s="1481"/>
      <c r="BG22" s="1481"/>
      <c r="BH22" s="1481"/>
      <c r="BI22" s="1481"/>
      <c r="BJ22" s="1482"/>
      <c r="BK22" s="1480">
        <f t="shared" si="0"/>
        <v>3541203</v>
      </c>
      <c r="BL22" s="1481"/>
      <c r="BM22" s="1481"/>
      <c r="BN22" s="1481"/>
      <c r="BO22" s="1481"/>
      <c r="BP22" s="1481"/>
      <c r="BQ22" s="1481"/>
      <c r="BR22" s="1481"/>
      <c r="BS22" s="1482"/>
      <c r="BT22" s="1480">
        <f>BT23+BT24+BT29</f>
        <v>3531363</v>
      </c>
      <c r="BU22" s="1481"/>
      <c r="BV22" s="1481"/>
      <c r="BW22" s="1481"/>
      <c r="BX22" s="1481"/>
      <c r="BY22" s="1481"/>
      <c r="BZ22" s="1482"/>
      <c r="CA22" s="1480">
        <f>CA23+CA24+CA29</f>
        <v>4297</v>
      </c>
      <c r="CB22" s="1481"/>
      <c r="CC22" s="1481"/>
      <c r="CD22" s="1481"/>
      <c r="CE22" s="1481"/>
      <c r="CF22" s="1481"/>
      <c r="CG22" s="1482"/>
      <c r="CH22" s="1486">
        <f t="shared" ref="CH22:CH57" si="1">BT22+CA22</f>
        <v>3535660</v>
      </c>
      <c r="CI22" s="1487"/>
      <c r="CJ22" s="1487"/>
      <c r="CK22" s="1487"/>
      <c r="CL22" s="1487"/>
      <c r="CM22" s="1487"/>
      <c r="CN22" s="1488"/>
      <c r="CO22" s="1480">
        <f>CO23+CO24+CO29</f>
        <v>5543</v>
      </c>
      <c r="CP22" s="1481"/>
      <c r="CQ22" s="1481"/>
      <c r="CR22" s="1481"/>
      <c r="CS22" s="1481"/>
      <c r="CT22" s="1481"/>
      <c r="CU22" s="1482"/>
      <c r="CV22" s="1480">
        <v>2881703</v>
      </c>
      <c r="CW22" s="1481"/>
      <c r="CX22" s="1481"/>
      <c r="CY22" s="1481"/>
      <c r="CZ22" s="1481"/>
      <c r="DA22" s="1481"/>
      <c r="DB22" s="1481"/>
      <c r="DC22" s="1481"/>
      <c r="DD22" s="1482"/>
      <c r="DE22" s="1480">
        <v>2881703</v>
      </c>
      <c r="DF22" s="1481"/>
      <c r="DG22" s="1481"/>
      <c r="DH22" s="1481"/>
      <c r="DI22" s="1481"/>
      <c r="DJ22" s="1481"/>
      <c r="DK22" s="1481"/>
      <c r="DL22" s="1481"/>
      <c r="DM22" s="1482"/>
      <c r="DN22" s="1480">
        <v>2874270</v>
      </c>
      <c r="DO22" s="1481"/>
      <c r="DP22" s="1481"/>
      <c r="DQ22" s="1481"/>
      <c r="DR22" s="1481"/>
      <c r="DS22" s="1481"/>
      <c r="DT22" s="1482"/>
      <c r="DU22" s="1480">
        <v>3913</v>
      </c>
      <c r="DV22" s="1481"/>
      <c r="DW22" s="1481"/>
      <c r="DX22" s="1481"/>
      <c r="DY22" s="1481"/>
      <c r="DZ22" s="1481"/>
      <c r="EA22" s="1482"/>
      <c r="EB22" s="1480">
        <v>2878183</v>
      </c>
      <c r="EC22" s="1481"/>
      <c r="ED22" s="1481"/>
      <c r="EE22" s="1481"/>
      <c r="EF22" s="1481"/>
      <c r="EG22" s="1481"/>
      <c r="EH22" s="1482"/>
      <c r="EI22" s="1480">
        <v>3520</v>
      </c>
      <c r="EJ22" s="1481"/>
      <c r="EK22" s="1481"/>
      <c r="EL22" s="1481"/>
      <c r="EM22" s="1481"/>
      <c r="EN22" s="1481"/>
      <c r="EO22" s="1482"/>
      <c r="EP22" s="1480"/>
      <c r="EQ22" s="1481"/>
      <c r="ER22" s="1481"/>
      <c r="ES22" s="1481"/>
      <c r="ET22" s="1481"/>
      <c r="EU22" s="1481"/>
      <c r="EV22" s="1481"/>
      <c r="EW22" s="1481"/>
      <c r="EX22" s="1481"/>
      <c r="EY22" s="1482"/>
    </row>
    <row r="23" spans="1:155" s="430" customFormat="1" ht="7.8">
      <c r="A23" s="1489" t="s">
        <v>1570</v>
      </c>
      <c r="B23" s="1490"/>
      <c r="C23" s="1490"/>
      <c r="D23" s="1490"/>
      <c r="E23" s="1490"/>
      <c r="F23" s="1490"/>
      <c r="G23" s="1490"/>
      <c r="H23" s="1490"/>
      <c r="I23" s="1490"/>
      <c r="J23" s="1490"/>
      <c r="K23" s="1490"/>
      <c r="L23" s="1490"/>
      <c r="M23" s="1490"/>
      <c r="N23" s="1490"/>
      <c r="O23" s="1490"/>
      <c r="P23" s="1490"/>
      <c r="Q23" s="1490"/>
      <c r="R23" s="1490"/>
      <c r="S23" s="1490"/>
      <c r="T23" s="1490"/>
      <c r="U23" s="1490"/>
      <c r="V23" s="1490"/>
      <c r="W23" s="1490"/>
      <c r="X23" s="1490"/>
      <c r="Y23" s="1490"/>
      <c r="Z23" s="1490"/>
      <c r="AA23" s="1490"/>
      <c r="AB23" s="1490"/>
      <c r="AC23" s="1490"/>
      <c r="AD23" s="1490"/>
      <c r="AE23" s="1490"/>
      <c r="AF23" s="1490"/>
      <c r="AG23" s="1490"/>
      <c r="AH23" s="1490"/>
      <c r="AI23" s="1490"/>
      <c r="AJ23" s="1490"/>
      <c r="AK23" s="1490"/>
      <c r="AL23" s="1490"/>
      <c r="AM23" s="1491"/>
      <c r="AN23" s="1474" t="s">
        <v>121</v>
      </c>
      <c r="AO23" s="1475"/>
      <c r="AP23" s="1475"/>
      <c r="AQ23" s="1475"/>
      <c r="AR23" s="1475"/>
      <c r="AS23" s="1475"/>
      <c r="AT23" s="1475"/>
      <c r="AU23" s="1476"/>
      <c r="AV23" s="1477" t="s">
        <v>900</v>
      </c>
      <c r="AW23" s="1478"/>
      <c r="AX23" s="1478"/>
      <c r="AY23" s="1478"/>
      <c r="AZ23" s="1478"/>
      <c r="BA23" s="1479"/>
      <c r="BB23" s="1480">
        <f>CH23+CO23</f>
        <v>315397</v>
      </c>
      <c r="BC23" s="1481"/>
      <c r="BD23" s="1481"/>
      <c r="BE23" s="1481"/>
      <c r="BF23" s="1481"/>
      <c r="BG23" s="1481"/>
      <c r="BH23" s="1481"/>
      <c r="BI23" s="1481"/>
      <c r="BJ23" s="1482"/>
      <c r="BK23" s="1480">
        <f t="shared" si="0"/>
        <v>315397</v>
      </c>
      <c r="BL23" s="1481"/>
      <c r="BM23" s="1481"/>
      <c r="BN23" s="1481"/>
      <c r="BO23" s="1481"/>
      <c r="BP23" s="1481"/>
      <c r="BQ23" s="1481"/>
      <c r="BR23" s="1481"/>
      <c r="BS23" s="1482"/>
      <c r="BT23" s="1480">
        <f>223179+82483</f>
        <v>305662</v>
      </c>
      <c r="BU23" s="1481"/>
      <c r="BV23" s="1481"/>
      <c r="BW23" s="1481"/>
      <c r="BX23" s="1481"/>
      <c r="BY23" s="1481"/>
      <c r="BZ23" s="1482"/>
      <c r="CA23" s="1480">
        <f>3709+497</f>
        <v>4206</v>
      </c>
      <c r="CB23" s="1481"/>
      <c r="CC23" s="1481"/>
      <c r="CD23" s="1481"/>
      <c r="CE23" s="1481"/>
      <c r="CF23" s="1481"/>
      <c r="CG23" s="1482"/>
      <c r="CH23" s="1486">
        <f t="shared" si="1"/>
        <v>309868</v>
      </c>
      <c r="CI23" s="1487"/>
      <c r="CJ23" s="1487"/>
      <c r="CK23" s="1487"/>
      <c r="CL23" s="1487"/>
      <c r="CM23" s="1487"/>
      <c r="CN23" s="1488"/>
      <c r="CO23" s="1480">
        <f>4165+1364</f>
        <v>5529</v>
      </c>
      <c r="CP23" s="1481"/>
      <c r="CQ23" s="1481"/>
      <c r="CR23" s="1481"/>
      <c r="CS23" s="1481"/>
      <c r="CT23" s="1481"/>
      <c r="CU23" s="1482"/>
      <c r="CV23" s="1480">
        <v>305116</v>
      </c>
      <c r="CW23" s="1481"/>
      <c r="CX23" s="1481"/>
      <c r="CY23" s="1481"/>
      <c r="CZ23" s="1481"/>
      <c r="DA23" s="1481"/>
      <c r="DB23" s="1481"/>
      <c r="DC23" s="1481"/>
      <c r="DD23" s="1482"/>
      <c r="DE23" s="1480">
        <v>305116</v>
      </c>
      <c r="DF23" s="1481"/>
      <c r="DG23" s="1481"/>
      <c r="DH23" s="1481"/>
      <c r="DI23" s="1481"/>
      <c r="DJ23" s="1481"/>
      <c r="DK23" s="1481"/>
      <c r="DL23" s="1481"/>
      <c r="DM23" s="1482"/>
      <c r="DN23" s="1480">
        <v>297782</v>
      </c>
      <c r="DO23" s="1481"/>
      <c r="DP23" s="1481"/>
      <c r="DQ23" s="1481"/>
      <c r="DR23" s="1481"/>
      <c r="DS23" s="1481"/>
      <c r="DT23" s="1482"/>
      <c r="DU23" s="1480">
        <v>3826</v>
      </c>
      <c r="DV23" s="1481"/>
      <c r="DW23" s="1481"/>
      <c r="DX23" s="1481"/>
      <c r="DY23" s="1481"/>
      <c r="DZ23" s="1481"/>
      <c r="EA23" s="1482"/>
      <c r="EB23" s="1480">
        <v>301608</v>
      </c>
      <c r="EC23" s="1481"/>
      <c r="ED23" s="1481"/>
      <c r="EE23" s="1481"/>
      <c r="EF23" s="1481"/>
      <c r="EG23" s="1481"/>
      <c r="EH23" s="1482"/>
      <c r="EI23" s="1480">
        <v>3508</v>
      </c>
      <c r="EJ23" s="1481"/>
      <c r="EK23" s="1481"/>
      <c r="EL23" s="1481"/>
      <c r="EM23" s="1481"/>
      <c r="EN23" s="1481"/>
      <c r="EO23" s="1482"/>
      <c r="EP23" s="1480"/>
      <c r="EQ23" s="1481"/>
      <c r="ER23" s="1481"/>
      <c r="ES23" s="1481"/>
      <c r="ET23" s="1481"/>
      <c r="EU23" s="1481"/>
      <c r="EV23" s="1481"/>
      <c r="EW23" s="1481"/>
      <c r="EX23" s="1481"/>
      <c r="EY23" s="1482"/>
    </row>
    <row r="24" spans="1:155" s="430" customFormat="1" ht="33.75" customHeight="1">
      <c r="A24" s="1489" t="s">
        <v>1571</v>
      </c>
      <c r="B24" s="1490"/>
      <c r="C24" s="1490"/>
      <c r="D24" s="1490"/>
      <c r="E24" s="1490"/>
      <c r="F24" s="1490"/>
      <c r="G24" s="1490"/>
      <c r="H24" s="1490"/>
      <c r="I24" s="1490"/>
      <c r="J24" s="1490"/>
      <c r="K24" s="1490"/>
      <c r="L24" s="1490"/>
      <c r="M24" s="1490"/>
      <c r="N24" s="1490"/>
      <c r="O24" s="1490"/>
      <c r="P24" s="1490"/>
      <c r="Q24" s="1490"/>
      <c r="R24" s="1490"/>
      <c r="S24" s="1490"/>
      <c r="T24" s="1490"/>
      <c r="U24" s="1490"/>
      <c r="V24" s="1490"/>
      <c r="W24" s="1490"/>
      <c r="X24" s="1490"/>
      <c r="Y24" s="1490"/>
      <c r="Z24" s="1490"/>
      <c r="AA24" s="1490"/>
      <c r="AB24" s="1490"/>
      <c r="AC24" s="1490"/>
      <c r="AD24" s="1490"/>
      <c r="AE24" s="1490"/>
      <c r="AF24" s="1490"/>
      <c r="AG24" s="1490"/>
      <c r="AH24" s="1490"/>
      <c r="AI24" s="1490"/>
      <c r="AJ24" s="1490"/>
      <c r="AK24" s="1490"/>
      <c r="AL24" s="1490"/>
      <c r="AM24" s="1491"/>
      <c r="AN24" s="1474" t="s">
        <v>121</v>
      </c>
      <c r="AO24" s="1475"/>
      <c r="AP24" s="1475"/>
      <c r="AQ24" s="1475"/>
      <c r="AR24" s="1475"/>
      <c r="AS24" s="1475"/>
      <c r="AT24" s="1475"/>
      <c r="AU24" s="1476"/>
      <c r="AV24" s="1477" t="s">
        <v>905</v>
      </c>
      <c r="AW24" s="1478"/>
      <c r="AX24" s="1478"/>
      <c r="AY24" s="1478"/>
      <c r="AZ24" s="1478"/>
      <c r="BA24" s="1479"/>
      <c r="BB24" s="1480">
        <f>CH24+CO24</f>
        <v>3193462</v>
      </c>
      <c r="BC24" s="1481"/>
      <c r="BD24" s="1481"/>
      <c r="BE24" s="1481"/>
      <c r="BF24" s="1481"/>
      <c r="BG24" s="1481"/>
      <c r="BH24" s="1481"/>
      <c r="BI24" s="1481"/>
      <c r="BJ24" s="1482"/>
      <c r="BK24" s="1480">
        <f t="shared" si="0"/>
        <v>3193462</v>
      </c>
      <c r="BL24" s="1481"/>
      <c r="BM24" s="1481"/>
      <c r="BN24" s="1481"/>
      <c r="BO24" s="1481"/>
      <c r="BP24" s="1481"/>
      <c r="BQ24" s="1481"/>
      <c r="BR24" s="1481"/>
      <c r="BS24" s="1482"/>
      <c r="BT24" s="1480">
        <v>3193462</v>
      </c>
      <c r="BU24" s="1481"/>
      <c r="BV24" s="1481"/>
      <c r="BW24" s="1481"/>
      <c r="BX24" s="1481"/>
      <c r="BY24" s="1481"/>
      <c r="BZ24" s="1482"/>
      <c r="CA24" s="1480">
        <v>0</v>
      </c>
      <c r="CB24" s="1481"/>
      <c r="CC24" s="1481"/>
      <c r="CD24" s="1481"/>
      <c r="CE24" s="1481"/>
      <c r="CF24" s="1481"/>
      <c r="CG24" s="1482"/>
      <c r="CH24" s="1486">
        <f t="shared" si="1"/>
        <v>3193462</v>
      </c>
      <c r="CI24" s="1487"/>
      <c r="CJ24" s="1487"/>
      <c r="CK24" s="1487"/>
      <c r="CL24" s="1487"/>
      <c r="CM24" s="1487"/>
      <c r="CN24" s="1488"/>
      <c r="CO24" s="1480">
        <v>0</v>
      </c>
      <c r="CP24" s="1481"/>
      <c r="CQ24" s="1481"/>
      <c r="CR24" s="1481"/>
      <c r="CS24" s="1481"/>
      <c r="CT24" s="1481"/>
      <c r="CU24" s="1482"/>
      <c r="CV24" s="1480">
        <v>2547993</v>
      </c>
      <c r="CW24" s="1481"/>
      <c r="CX24" s="1481"/>
      <c r="CY24" s="1481"/>
      <c r="CZ24" s="1481"/>
      <c r="DA24" s="1481"/>
      <c r="DB24" s="1481"/>
      <c r="DC24" s="1481"/>
      <c r="DD24" s="1482"/>
      <c r="DE24" s="1480">
        <v>2547993</v>
      </c>
      <c r="DF24" s="1481"/>
      <c r="DG24" s="1481"/>
      <c r="DH24" s="1481"/>
      <c r="DI24" s="1481"/>
      <c r="DJ24" s="1481"/>
      <c r="DK24" s="1481"/>
      <c r="DL24" s="1481"/>
      <c r="DM24" s="1482"/>
      <c r="DN24" s="1480">
        <v>2547993</v>
      </c>
      <c r="DO24" s="1481"/>
      <c r="DP24" s="1481"/>
      <c r="DQ24" s="1481"/>
      <c r="DR24" s="1481"/>
      <c r="DS24" s="1481"/>
      <c r="DT24" s="1482"/>
      <c r="DU24" s="1480">
        <v>0</v>
      </c>
      <c r="DV24" s="1481"/>
      <c r="DW24" s="1481"/>
      <c r="DX24" s="1481"/>
      <c r="DY24" s="1481"/>
      <c r="DZ24" s="1481"/>
      <c r="EA24" s="1482"/>
      <c r="EB24" s="1480">
        <v>2547993</v>
      </c>
      <c r="EC24" s="1481"/>
      <c r="ED24" s="1481"/>
      <c r="EE24" s="1481"/>
      <c r="EF24" s="1481"/>
      <c r="EG24" s="1481"/>
      <c r="EH24" s="1482"/>
      <c r="EI24" s="1480">
        <v>0</v>
      </c>
      <c r="EJ24" s="1481"/>
      <c r="EK24" s="1481"/>
      <c r="EL24" s="1481"/>
      <c r="EM24" s="1481"/>
      <c r="EN24" s="1481"/>
      <c r="EO24" s="1482"/>
      <c r="EP24" s="1480"/>
      <c r="EQ24" s="1481"/>
      <c r="ER24" s="1481"/>
      <c r="ES24" s="1481"/>
      <c r="ET24" s="1481"/>
      <c r="EU24" s="1481"/>
      <c r="EV24" s="1481"/>
      <c r="EW24" s="1481"/>
      <c r="EX24" s="1481"/>
      <c r="EY24" s="1482"/>
    </row>
    <row r="25" spans="1:155" s="430" customFormat="1" ht="7.8">
      <c r="A25" s="1492" t="s">
        <v>1572</v>
      </c>
      <c r="B25" s="1493"/>
      <c r="C25" s="1493"/>
      <c r="D25" s="1493"/>
      <c r="E25" s="1493"/>
      <c r="F25" s="1493"/>
      <c r="G25" s="1493"/>
      <c r="H25" s="1493"/>
      <c r="I25" s="1493"/>
      <c r="J25" s="1493"/>
      <c r="K25" s="1493"/>
      <c r="L25" s="1493"/>
      <c r="M25" s="1493"/>
      <c r="N25" s="1493"/>
      <c r="O25" s="1493"/>
      <c r="P25" s="1493"/>
      <c r="Q25" s="1493"/>
      <c r="R25" s="1493"/>
      <c r="S25" s="1493"/>
      <c r="T25" s="1493"/>
      <c r="U25" s="1493"/>
      <c r="V25" s="1493"/>
      <c r="W25" s="1493"/>
      <c r="X25" s="1493"/>
      <c r="Y25" s="1493"/>
      <c r="Z25" s="1493"/>
      <c r="AA25" s="1493"/>
      <c r="AB25" s="1493"/>
      <c r="AC25" s="1493"/>
      <c r="AD25" s="1493"/>
      <c r="AE25" s="1493"/>
      <c r="AF25" s="1493"/>
      <c r="AG25" s="1493"/>
      <c r="AH25" s="1493"/>
      <c r="AI25" s="1493"/>
      <c r="AJ25" s="1493"/>
      <c r="AK25" s="1493"/>
      <c r="AL25" s="1493"/>
      <c r="AM25" s="1494"/>
      <c r="AN25" s="1474" t="s">
        <v>121</v>
      </c>
      <c r="AO25" s="1475"/>
      <c r="AP25" s="1475"/>
      <c r="AQ25" s="1475"/>
      <c r="AR25" s="1475"/>
      <c r="AS25" s="1475"/>
      <c r="AT25" s="1475"/>
      <c r="AU25" s="1476"/>
      <c r="AV25" s="1477"/>
      <c r="AW25" s="1478"/>
      <c r="AX25" s="1478"/>
      <c r="AY25" s="1478"/>
      <c r="AZ25" s="1478"/>
      <c r="BA25" s="1479"/>
      <c r="BB25" s="1480"/>
      <c r="BC25" s="1481"/>
      <c r="BD25" s="1481"/>
      <c r="BE25" s="1481"/>
      <c r="BF25" s="1481"/>
      <c r="BG25" s="1481"/>
      <c r="BH25" s="1481"/>
      <c r="BI25" s="1481"/>
      <c r="BJ25" s="1482"/>
      <c r="BK25" s="1480">
        <f t="shared" si="0"/>
        <v>0</v>
      </c>
      <c r="BL25" s="1481"/>
      <c r="BM25" s="1481"/>
      <c r="BN25" s="1481"/>
      <c r="BO25" s="1481"/>
      <c r="BP25" s="1481"/>
      <c r="BQ25" s="1481"/>
      <c r="BR25" s="1481"/>
      <c r="BS25" s="1482"/>
      <c r="BT25" s="1480"/>
      <c r="BU25" s="1481"/>
      <c r="BV25" s="1481"/>
      <c r="BW25" s="1481"/>
      <c r="BX25" s="1481"/>
      <c r="BY25" s="1481"/>
      <c r="BZ25" s="1482"/>
      <c r="CA25" s="1480"/>
      <c r="CB25" s="1481"/>
      <c r="CC25" s="1481"/>
      <c r="CD25" s="1481"/>
      <c r="CE25" s="1481"/>
      <c r="CF25" s="1481"/>
      <c r="CG25" s="1482"/>
      <c r="CH25" s="1486">
        <f t="shared" si="1"/>
        <v>0</v>
      </c>
      <c r="CI25" s="1487"/>
      <c r="CJ25" s="1487"/>
      <c r="CK25" s="1487"/>
      <c r="CL25" s="1487"/>
      <c r="CM25" s="1487"/>
      <c r="CN25" s="1488"/>
      <c r="CO25" s="1480"/>
      <c r="CP25" s="1481"/>
      <c r="CQ25" s="1481"/>
      <c r="CR25" s="1481"/>
      <c r="CS25" s="1481"/>
      <c r="CT25" s="1481"/>
      <c r="CU25" s="1482"/>
      <c r="CV25" s="1480"/>
      <c r="CW25" s="1481"/>
      <c r="CX25" s="1481"/>
      <c r="CY25" s="1481"/>
      <c r="CZ25" s="1481"/>
      <c r="DA25" s="1481"/>
      <c r="DB25" s="1481"/>
      <c r="DC25" s="1481"/>
      <c r="DD25" s="1482"/>
      <c r="DE25" s="1480">
        <v>0</v>
      </c>
      <c r="DF25" s="1481"/>
      <c r="DG25" s="1481"/>
      <c r="DH25" s="1481"/>
      <c r="DI25" s="1481"/>
      <c r="DJ25" s="1481"/>
      <c r="DK25" s="1481"/>
      <c r="DL25" s="1481"/>
      <c r="DM25" s="1482"/>
      <c r="DN25" s="1480"/>
      <c r="DO25" s="1481"/>
      <c r="DP25" s="1481"/>
      <c r="DQ25" s="1481"/>
      <c r="DR25" s="1481"/>
      <c r="DS25" s="1481"/>
      <c r="DT25" s="1482"/>
      <c r="DU25" s="1480"/>
      <c r="DV25" s="1481"/>
      <c r="DW25" s="1481"/>
      <c r="DX25" s="1481"/>
      <c r="DY25" s="1481"/>
      <c r="DZ25" s="1481"/>
      <c r="EA25" s="1482"/>
      <c r="EB25" s="1480">
        <v>0</v>
      </c>
      <c r="EC25" s="1481"/>
      <c r="ED25" s="1481"/>
      <c r="EE25" s="1481"/>
      <c r="EF25" s="1481"/>
      <c r="EG25" s="1481"/>
      <c r="EH25" s="1482"/>
      <c r="EI25" s="1480"/>
      <c r="EJ25" s="1481"/>
      <c r="EK25" s="1481"/>
      <c r="EL25" s="1481"/>
      <c r="EM25" s="1481"/>
      <c r="EN25" s="1481"/>
      <c r="EO25" s="1482"/>
      <c r="EP25" s="1480"/>
      <c r="EQ25" s="1481"/>
      <c r="ER25" s="1481"/>
      <c r="ES25" s="1481"/>
      <c r="ET25" s="1481"/>
      <c r="EU25" s="1481"/>
      <c r="EV25" s="1481"/>
      <c r="EW25" s="1481"/>
      <c r="EX25" s="1481"/>
      <c r="EY25" s="1482"/>
    </row>
    <row r="26" spans="1:155" s="430" customFormat="1" ht="7.8">
      <c r="A26" s="1492" t="s">
        <v>1573</v>
      </c>
      <c r="B26" s="1493"/>
      <c r="C26" s="1493"/>
      <c r="D26" s="1493"/>
      <c r="E26" s="1493"/>
      <c r="F26" s="1493"/>
      <c r="G26" s="1493"/>
      <c r="H26" s="1493"/>
      <c r="I26" s="1493"/>
      <c r="J26" s="1493"/>
      <c r="K26" s="1493"/>
      <c r="L26" s="1493"/>
      <c r="M26" s="1493"/>
      <c r="N26" s="1493"/>
      <c r="O26" s="1493"/>
      <c r="P26" s="1493"/>
      <c r="Q26" s="1493"/>
      <c r="R26" s="1493"/>
      <c r="S26" s="1493"/>
      <c r="T26" s="1493"/>
      <c r="U26" s="1493"/>
      <c r="V26" s="1493"/>
      <c r="W26" s="1493"/>
      <c r="X26" s="1493"/>
      <c r="Y26" s="1493"/>
      <c r="Z26" s="1493"/>
      <c r="AA26" s="1493"/>
      <c r="AB26" s="1493"/>
      <c r="AC26" s="1493"/>
      <c r="AD26" s="1493"/>
      <c r="AE26" s="1493"/>
      <c r="AF26" s="1493"/>
      <c r="AG26" s="1493"/>
      <c r="AH26" s="1493"/>
      <c r="AI26" s="1493"/>
      <c r="AJ26" s="1493"/>
      <c r="AK26" s="1493"/>
      <c r="AL26" s="1493"/>
      <c r="AM26" s="1494"/>
      <c r="AN26" s="1474" t="s">
        <v>121</v>
      </c>
      <c r="AO26" s="1475"/>
      <c r="AP26" s="1475"/>
      <c r="AQ26" s="1475"/>
      <c r="AR26" s="1475"/>
      <c r="AS26" s="1475"/>
      <c r="AT26" s="1475"/>
      <c r="AU26" s="1476"/>
      <c r="AV26" s="1477"/>
      <c r="AW26" s="1478"/>
      <c r="AX26" s="1478"/>
      <c r="AY26" s="1478"/>
      <c r="AZ26" s="1478"/>
      <c r="BA26" s="1479"/>
      <c r="BB26" s="1480"/>
      <c r="BC26" s="1481"/>
      <c r="BD26" s="1481"/>
      <c r="BE26" s="1481"/>
      <c r="BF26" s="1481"/>
      <c r="BG26" s="1481"/>
      <c r="BH26" s="1481"/>
      <c r="BI26" s="1481"/>
      <c r="BJ26" s="1482"/>
      <c r="BK26" s="1480">
        <f t="shared" si="0"/>
        <v>0</v>
      </c>
      <c r="BL26" s="1481"/>
      <c r="BM26" s="1481"/>
      <c r="BN26" s="1481"/>
      <c r="BO26" s="1481"/>
      <c r="BP26" s="1481"/>
      <c r="BQ26" s="1481"/>
      <c r="BR26" s="1481"/>
      <c r="BS26" s="1482"/>
      <c r="BT26" s="1480"/>
      <c r="BU26" s="1481"/>
      <c r="BV26" s="1481"/>
      <c r="BW26" s="1481"/>
      <c r="BX26" s="1481"/>
      <c r="BY26" s="1481"/>
      <c r="BZ26" s="1482"/>
      <c r="CA26" s="1480"/>
      <c r="CB26" s="1481"/>
      <c r="CC26" s="1481"/>
      <c r="CD26" s="1481"/>
      <c r="CE26" s="1481"/>
      <c r="CF26" s="1481"/>
      <c r="CG26" s="1482"/>
      <c r="CH26" s="1486">
        <f t="shared" si="1"/>
        <v>0</v>
      </c>
      <c r="CI26" s="1487"/>
      <c r="CJ26" s="1487"/>
      <c r="CK26" s="1487"/>
      <c r="CL26" s="1487"/>
      <c r="CM26" s="1487"/>
      <c r="CN26" s="1488"/>
      <c r="CO26" s="1480"/>
      <c r="CP26" s="1481"/>
      <c r="CQ26" s="1481"/>
      <c r="CR26" s="1481"/>
      <c r="CS26" s="1481"/>
      <c r="CT26" s="1481"/>
      <c r="CU26" s="1482"/>
      <c r="CV26" s="1480"/>
      <c r="CW26" s="1481"/>
      <c r="CX26" s="1481"/>
      <c r="CY26" s="1481"/>
      <c r="CZ26" s="1481"/>
      <c r="DA26" s="1481"/>
      <c r="DB26" s="1481"/>
      <c r="DC26" s="1481"/>
      <c r="DD26" s="1482"/>
      <c r="DE26" s="1480">
        <v>0</v>
      </c>
      <c r="DF26" s="1481"/>
      <c r="DG26" s="1481"/>
      <c r="DH26" s="1481"/>
      <c r="DI26" s="1481"/>
      <c r="DJ26" s="1481"/>
      <c r="DK26" s="1481"/>
      <c r="DL26" s="1481"/>
      <c r="DM26" s="1482"/>
      <c r="DN26" s="1480"/>
      <c r="DO26" s="1481"/>
      <c r="DP26" s="1481"/>
      <c r="DQ26" s="1481"/>
      <c r="DR26" s="1481"/>
      <c r="DS26" s="1481"/>
      <c r="DT26" s="1482"/>
      <c r="DU26" s="1480"/>
      <c r="DV26" s="1481"/>
      <c r="DW26" s="1481"/>
      <c r="DX26" s="1481"/>
      <c r="DY26" s="1481"/>
      <c r="DZ26" s="1481"/>
      <c r="EA26" s="1482"/>
      <c r="EB26" s="1480">
        <v>0</v>
      </c>
      <c r="EC26" s="1481"/>
      <c r="ED26" s="1481"/>
      <c r="EE26" s="1481"/>
      <c r="EF26" s="1481"/>
      <c r="EG26" s="1481"/>
      <c r="EH26" s="1482"/>
      <c r="EI26" s="1480"/>
      <c r="EJ26" s="1481"/>
      <c r="EK26" s="1481"/>
      <c r="EL26" s="1481"/>
      <c r="EM26" s="1481"/>
      <c r="EN26" s="1481"/>
      <c r="EO26" s="1482"/>
      <c r="EP26" s="1480"/>
      <c r="EQ26" s="1481"/>
      <c r="ER26" s="1481"/>
      <c r="ES26" s="1481"/>
      <c r="ET26" s="1481"/>
      <c r="EU26" s="1481"/>
      <c r="EV26" s="1481"/>
      <c r="EW26" s="1481"/>
      <c r="EX26" s="1481"/>
      <c r="EY26" s="1482"/>
    </row>
    <row r="27" spans="1:155" s="430" customFormat="1" ht="7.8">
      <c r="A27" s="1492" t="s">
        <v>1574</v>
      </c>
      <c r="B27" s="1493"/>
      <c r="C27" s="1493"/>
      <c r="D27" s="1493"/>
      <c r="E27" s="1493"/>
      <c r="F27" s="1493"/>
      <c r="G27" s="1493"/>
      <c r="H27" s="1493"/>
      <c r="I27" s="1493"/>
      <c r="J27" s="1493"/>
      <c r="K27" s="1493"/>
      <c r="L27" s="1493"/>
      <c r="M27" s="1493"/>
      <c r="N27" s="1493"/>
      <c r="O27" s="1493"/>
      <c r="P27" s="1493"/>
      <c r="Q27" s="1493"/>
      <c r="R27" s="1493"/>
      <c r="S27" s="1493"/>
      <c r="T27" s="1493"/>
      <c r="U27" s="1493"/>
      <c r="V27" s="1493"/>
      <c r="W27" s="1493"/>
      <c r="X27" s="1493"/>
      <c r="Y27" s="1493"/>
      <c r="Z27" s="1493"/>
      <c r="AA27" s="1493"/>
      <c r="AB27" s="1493"/>
      <c r="AC27" s="1493"/>
      <c r="AD27" s="1493"/>
      <c r="AE27" s="1493"/>
      <c r="AF27" s="1493"/>
      <c r="AG27" s="1493"/>
      <c r="AH27" s="1493"/>
      <c r="AI27" s="1493"/>
      <c r="AJ27" s="1493"/>
      <c r="AK27" s="1493"/>
      <c r="AL27" s="1493"/>
      <c r="AM27" s="1494"/>
      <c r="AN27" s="1474" t="s">
        <v>121</v>
      </c>
      <c r="AO27" s="1475"/>
      <c r="AP27" s="1475"/>
      <c r="AQ27" s="1475"/>
      <c r="AR27" s="1475"/>
      <c r="AS27" s="1475"/>
      <c r="AT27" s="1475"/>
      <c r="AU27" s="1476"/>
      <c r="AV27" s="1477"/>
      <c r="AW27" s="1478"/>
      <c r="AX27" s="1478"/>
      <c r="AY27" s="1478"/>
      <c r="AZ27" s="1478"/>
      <c r="BA27" s="1479"/>
      <c r="BB27" s="1480"/>
      <c r="BC27" s="1481"/>
      <c r="BD27" s="1481"/>
      <c r="BE27" s="1481"/>
      <c r="BF27" s="1481"/>
      <c r="BG27" s="1481"/>
      <c r="BH27" s="1481"/>
      <c r="BI27" s="1481"/>
      <c r="BJ27" s="1482"/>
      <c r="BK27" s="1480">
        <f t="shared" si="0"/>
        <v>0</v>
      </c>
      <c r="BL27" s="1481"/>
      <c r="BM27" s="1481"/>
      <c r="BN27" s="1481"/>
      <c r="BO27" s="1481"/>
      <c r="BP27" s="1481"/>
      <c r="BQ27" s="1481"/>
      <c r="BR27" s="1481"/>
      <c r="BS27" s="1482"/>
      <c r="BT27" s="1480"/>
      <c r="BU27" s="1481"/>
      <c r="BV27" s="1481"/>
      <c r="BW27" s="1481"/>
      <c r="BX27" s="1481"/>
      <c r="BY27" s="1481"/>
      <c r="BZ27" s="1482"/>
      <c r="CA27" s="1480"/>
      <c r="CB27" s="1481"/>
      <c r="CC27" s="1481"/>
      <c r="CD27" s="1481"/>
      <c r="CE27" s="1481"/>
      <c r="CF27" s="1481"/>
      <c r="CG27" s="1482"/>
      <c r="CH27" s="1486">
        <f t="shared" si="1"/>
        <v>0</v>
      </c>
      <c r="CI27" s="1487"/>
      <c r="CJ27" s="1487"/>
      <c r="CK27" s="1487"/>
      <c r="CL27" s="1487"/>
      <c r="CM27" s="1487"/>
      <c r="CN27" s="1488"/>
      <c r="CO27" s="1480"/>
      <c r="CP27" s="1481"/>
      <c r="CQ27" s="1481"/>
      <c r="CR27" s="1481"/>
      <c r="CS27" s="1481"/>
      <c r="CT27" s="1481"/>
      <c r="CU27" s="1482"/>
      <c r="CV27" s="1480"/>
      <c r="CW27" s="1481"/>
      <c r="CX27" s="1481"/>
      <c r="CY27" s="1481"/>
      <c r="CZ27" s="1481"/>
      <c r="DA27" s="1481"/>
      <c r="DB27" s="1481"/>
      <c r="DC27" s="1481"/>
      <c r="DD27" s="1482"/>
      <c r="DE27" s="1480">
        <v>0</v>
      </c>
      <c r="DF27" s="1481"/>
      <c r="DG27" s="1481"/>
      <c r="DH27" s="1481"/>
      <c r="DI27" s="1481"/>
      <c r="DJ27" s="1481"/>
      <c r="DK27" s="1481"/>
      <c r="DL27" s="1481"/>
      <c r="DM27" s="1482"/>
      <c r="DN27" s="1480"/>
      <c r="DO27" s="1481"/>
      <c r="DP27" s="1481"/>
      <c r="DQ27" s="1481"/>
      <c r="DR27" s="1481"/>
      <c r="DS27" s="1481"/>
      <c r="DT27" s="1482"/>
      <c r="DU27" s="1480"/>
      <c r="DV27" s="1481"/>
      <c r="DW27" s="1481"/>
      <c r="DX27" s="1481"/>
      <c r="DY27" s="1481"/>
      <c r="DZ27" s="1481"/>
      <c r="EA27" s="1482"/>
      <c r="EB27" s="1480">
        <v>0</v>
      </c>
      <c r="EC27" s="1481"/>
      <c r="ED27" s="1481"/>
      <c r="EE27" s="1481"/>
      <c r="EF27" s="1481"/>
      <c r="EG27" s="1481"/>
      <c r="EH27" s="1482"/>
      <c r="EI27" s="1480"/>
      <c r="EJ27" s="1481"/>
      <c r="EK27" s="1481"/>
      <c r="EL27" s="1481"/>
      <c r="EM27" s="1481"/>
      <c r="EN27" s="1481"/>
      <c r="EO27" s="1482"/>
      <c r="EP27" s="1480"/>
      <c r="EQ27" s="1481"/>
      <c r="ER27" s="1481"/>
      <c r="ES27" s="1481"/>
      <c r="ET27" s="1481"/>
      <c r="EU27" s="1481"/>
      <c r="EV27" s="1481"/>
      <c r="EW27" s="1481"/>
      <c r="EX27" s="1481"/>
      <c r="EY27" s="1482"/>
    </row>
    <row r="28" spans="1:155" s="430" customFormat="1" ht="7.8">
      <c r="A28" s="1492" t="s">
        <v>1575</v>
      </c>
      <c r="B28" s="1493"/>
      <c r="C28" s="1493"/>
      <c r="D28" s="1493"/>
      <c r="E28" s="1493"/>
      <c r="F28" s="1493"/>
      <c r="G28" s="1493"/>
      <c r="H28" s="1493"/>
      <c r="I28" s="1493"/>
      <c r="J28" s="1493"/>
      <c r="K28" s="1493"/>
      <c r="L28" s="1493"/>
      <c r="M28" s="1493"/>
      <c r="N28" s="1493"/>
      <c r="O28" s="1493"/>
      <c r="P28" s="1493"/>
      <c r="Q28" s="1493"/>
      <c r="R28" s="1493"/>
      <c r="S28" s="1493"/>
      <c r="T28" s="1493"/>
      <c r="U28" s="1493"/>
      <c r="V28" s="1493"/>
      <c r="W28" s="1493"/>
      <c r="X28" s="1493"/>
      <c r="Y28" s="1493"/>
      <c r="Z28" s="1493"/>
      <c r="AA28" s="1493"/>
      <c r="AB28" s="1493"/>
      <c r="AC28" s="1493"/>
      <c r="AD28" s="1493"/>
      <c r="AE28" s="1493"/>
      <c r="AF28" s="1493"/>
      <c r="AG28" s="1493"/>
      <c r="AH28" s="1493"/>
      <c r="AI28" s="1493"/>
      <c r="AJ28" s="1493"/>
      <c r="AK28" s="1493"/>
      <c r="AL28" s="1493"/>
      <c r="AM28" s="1494"/>
      <c r="AN28" s="1474" t="s">
        <v>121</v>
      </c>
      <c r="AO28" s="1475"/>
      <c r="AP28" s="1475"/>
      <c r="AQ28" s="1475"/>
      <c r="AR28" s="1475"/>
      <c r="AS28" s="1475"/>
      <c r="AT28" s="1475"/>
      <c r="AU28" s="1476"/>
      <c r="AV28" s="1477"/>
      <c r="AW28" s="1478"/>
      <c r="AX28" s="1478"/>
      <c r="AY28" s="1478"/>
      <c r="AZ28" s="1478"/>
      <c r="BA28" s="1479"/>
      <c r="BB28" s="1480"/>
      <c r="BC28" s="1481"/>
      <c r="BD28" s="1481"/>
      <c r="BE28" s="1481"/>
      <c r="BF28" s="1481"/>
      <c r="BG28" s="1481"/>
      <c r="BH28" s="1481"/>
      <c r="BI28" s="1481"/>
      <c r="BJ28" s="1482"/>
      <c r="BK28" s="1480">
        <f t="shared" si="0"/>
        <v>0</v>
      </c>
      <c r="BL28" s="1481"/>
      <c r="BM28" s="1481"/>
      <c r="BN28" s="1481"/>
      <c r="BO28" s="1481"/>
      <c r="BP28" s="1481"/>
      <c r="BQ28" s="1481"/>
      <c r="BR28" s="1481"/>
      <c r="BS28" s="1482"/>
      <c r="BT28" s="1480"/>
      <c r="BU28" s="1481"/>
      <c r="BV28" s="1481"/>
      <c r="BW28" s="1481"/>
      <c r="BX28" s="1481"/>
      <c r="BY28" s="1481"/>
      <c r="BZ28" s="1482"/>
      <c r="CA28" s="1480"/>
      <c r="CB28" s="1481"/>
      <c r="CC28" s="1481"/>
      <c r="CD28" s="1481"/>
      <c r="CE28" s="1481"/>
      <c r="CF28" s="1481"/>
      <c r="CG28" s="1482"/>
      <c r="CH28" s="1486">
        <f t="shared" si="1"/>
        <v>0</v>
      </c>
      <c r="CI28" s="1487"/>
      <c r="CJ28" s="1487"/>
      <c r="CK28" s="1487"/>
      <c r="CL28" s="1487"/>
      <c r="CM28" s="1487"/>
      <c r="CN28" s="1488"/>
      <c r="CO28" s="1480"/>
      <c r="CP28" s="1481"/>
      <c r="CQ28" s="1481"/>
      <c r="CR28" s="1481"/>
      <c r="CS28" s="1481"/>
      <c r="CT28" s="1481"/>
      <c r="CU28" s="1482"/>
      <c r="CV28" s="1480"/>
      <c r="CW28" s="1481"/>
      <c r="CX28" s="1481"/>
      <c r="CY28" s="1481"/>
      <c r="CZ28" s="1481"/>
      <c r="DA28" s="1481"/>
      <c r="DB28" s="1481"/>
      <c r="DC28" s="1481"/>
      <c r="DD28" s="1482"/>
      <c r="DE28" s="1480">
        <v>0</v>
      </c>
      <c r="DF28" s="1481"/>
      <c r="DG28" s="1481"/>
      <c r="DH28" s="1481"/>
      <c r="DI28" s="1481"/>
      <c r="DJ28" s="1481"/>
      <c r="DK28" s="1481"/>
      <c r="DL28" s="1481"/>
      <c r="DM28" s="1482"/>
      <c r="DN28" s="1480"/>
      <c r="DO28" s="1481"/>
      <c r="DP28" s="1481"/>
      <c r="DQ28" s="1481"/>
      <c r="DR28" s="1481"/>
      <c r="DS28" s="1481"/>
      <c r="DT28" s="1482"/>
      <c r="DU28" s="1480"/>
      <c r="DV28" s="1481"/>
      <c r="DW28" s="1481"/>
      <c r="DX28" s="1481"/>
      <c r="DY28" s="1481"/>
      <c r="DZ28" s="1481"/>
      <c r="EA28" s="1482"/>
      <c r="EB28" s="1480">
        <v>0</v>
      </c>
      <c r="EC28" s="1481"/>
      <c r="ED28" s="1481"/>
      <c r="EE28" s="1481"/>
      <c r="EF28" s="1481"/>
      <c r="EG28" s="1481"/>
      <c r="EH28" s="1482"/>
      <c r="EI28" s="1480"/>
      <c r="EJ28" s="1481"/>
      <c r="EK28" s="1481"/>
      <c r="EL28" s="1481"/>
      <c r="EM28" s="1481"/>
      <c r="EN28" s="1481"/>
      <c r="EO28" s="1482"/>
      <c r="EP28" s="1480"/>
      <c r="EQ28" s="1481"/>
      <c r="ER28" s="1481"/>
      <c r="ES28" s="1481"/>
      <c r="ET28" s="1481"/>
      <c r="EU28" s="1481"/>
      <c r="EV28" s="1481"/>
      <c r="EW28" s="1481"/>
      <c r="EX28" s="1481"/>
      <c r="EY28" s="1482"/>
    </row>
    <row r="29" spans="1:155" s="430" customFormat="1" ht="16.5" customHeight="1">
      <c r="A29" s="1489" t="s">
        <v>1576</v>
      </c>
      <c r="B29" s="1490"/>
      <c r="C29" s="1490"/>
      <c r="D29" s="1490"/>
      <c r="E29" s="1490"/>
      <c r="F29" s="1490"/>
      <c r="G29" s="1490"/>
      <c r="H29" s="1490"/>
      <c r="I29" s="1490"/>
      <c r="J29" s="1490"/>
      <c r="K29" s="1490"/>
      <c r="L29" s="1490"/>
      <c r="M29" s="1490"/>
      <c r="N29" s="1490"/>
      <c r="O29" s="1490"/>
      <c r="P29" s="1490"/>
      <c r="Q29" s="1490"/>
      <c r="R29" s="1490"/>
      <c r="S29" s="1490"/>
      <c r="T29" s="1490"/>
      <c r="U29" s="1490"/>
      <c r="V29" s="1490"/>
      <c r="W29" s="1490"/>
      <c r="X29" s="1490"/>
      <c r="Y29" s="1490"/>
      <c r="Z29" s="1490"/>
      <c r="AA29" s="1490"/>
      <c r="AB29" s="1490"/>
      <c r="AC29" s="1490"/>
      <c r="AD29" s="1490"/>
      <c r="AE29" s="1490"/>
      <c r="AF29" s="1490"/>
      <c r="AG29" s="1490"/>
      <c r="AH29" s="1490"/>
      <c r="AI29" s="1490"/>
      <c r="AJ29" s="1490"/>
      <c r="AK29" s="1490"/>
      <c r="AL29" s="1490"/>
      <c r="AM29" s="1491"/>
      <c r="AN29" s="1474" t="s">
        <v>121</v>
      </c>
      <c r="AO29" s="1475"/>
      <c r="AP29" s="1475"/>
      <c r="AQ29" s="1475"/>
      <c r="AR29" s="1475"/>
      <c r="AS29" s="1475"/>
      <c r="AT29" s="1475"/>
      <c r="AU29" s="1476"/>
      <c r="AV29" s="1477" t="s">
        <v>910</v>
      </c>
      <c r="AW29" s="1478"/>
      <c r="AX29" s="1478"/>
      <c r="AY29" s="1478"/>
      <c r="AZ29" s="1478"/>
      <c r="BA29" s="1479"/>
      <c r="BB29" s="1480">
        <f>CH29+CO29</f>
        <v>32344</v>
      </c>
      <c r="BC29" s="1481"/>
      <c r="BD29" s="1481"/>
      <c r="BE29" s="1481"/>
      <c r="BF29" s="1481"/>
      <c r="BG29" s="1481"/>
      <c r="BH29" s="1481"/>
      <c r="BI29" s="1481"/>
      <c r="BJ29" s="1482"/>
      <c r="BK29" s="1480">
        <f t="shared" si="0"/>
        <v>32344</v>
      </c>
      <c r="BL29" s="1481"/>
      <c r="BM29" s="1481"/>
      <c r="BN29" s="1481"/>
      <c r="BO29" s="1481"/>
      <c r="BP29" s="1481"/>
      <c r="BQ29" s="1481"/>
      <c r="BR29" s="1481"/>
      <c r="BS29" s="1482"/>
      <c r="BT29" s="1480">
        <f>32239</f>
        <v>32239</v>
      </c>
      <c r="BU29" s="1481"/>
      <c r="BV29" s="1481"/>
      <c r="BW29" s="1481"/>
      <c r="BX29" s="1481"/>
      <c r="BY29" s="1481"/>
      <c r="BZ29" s="1482"/>
      <c r="CA29" s="1480">
        <f>91</f>
        <v>91</v>
      </c>
      <c r="CB29" s="1481"/>
      <c r="CC29" s="1481"/>
      <c r="CD29" s="1481"/>
      <c r="CE29" s="1481"/>
      <c r="CF29" s="1481"/>
      <c r="CG29" s="1482"/>
      <c r="CH29" s="1486">
        <f t="shared" si="1"/>
        <v>32330</v>
      </c>
      <c r="CI29" s="1487"/>
      <c r="CJ29" s="1487"/>
      <c r="CK29" s="1487"/>
      <c r="CL29" s="1487"/>
      <c r="CM29" s="1487"/>
      <c r="CN29" s="1488"/>
      <c r="CO29" s="1480">
        <f>14</f>
        <v>14</v>
      </c>
      <c r="CP29" s="1481"/>
      <c r="CQ29" s="1481"/>
      <c r="CR29" s="1481"/>
      <c r="CS29" s="1481"/>
      <c r="CT29" s="1481"/>
      <c r="CU29" s="1482"/>
      <c r="CV29" s="1480">
        <v>28594</v>
      </c>
      <c r="CW29" s="1481"/>
      <c r="CX29" s="1481"/>
      <c r="CY29" s="1481"/>
      <c r="CZ29" s="1481"/>
      <c r="DA29" s="1481"/>
      <c r="DB29" s="1481"/>
      <c r="DC29" s="1481"/>
      <c r="DD29" s="1482"/>
      <c r="DE29" s="1480">
        <v>28594</v>
      </c>
      <c r="DF29" s="1481"/>
      <c r="DG29" s="1481"/>
      <c r="DH29" s="1481"/>
      <c r="DI29" s="1481"/>
      <c r="DJ29" s="1481"/>
      <c r="DK29" s="1481"/>
      <c r="DL29" s="1481"/>
      <c r="DM29" s="1482"/>
      <c r="DN29" s="1480">
        <v>28495</v>
      </c>
      <c r="DO29" s="1481"/>
      <c r="DP29" s="1481"/>
      <c r="DQ29" s="1481"/>
      <c r="DR29" s="1481"/>
      <c r="DS29" s="1481"/>
      <c r="DT29" s="1482"/>
      <c r="DU29" s="1480">
        <v>87</v>
      </c>
      <c r="DV29" s="1481"/>
      <c r="DW29" s="1481"/>
      <c r="DX29" s="1481"/>
      <c r="DY29" s="1481"/>
      <c r="DZ29" s="1481"/>
      <c r="EA29" s="1482"/>
      <c r="EB29" s="1480">
        <v>28582</v>
      </c>
      <c r="EC29" s="1481"/>
      <c r="ED29" s="1481"/>
      <c r="EE29" s="1481"/>
      <c r="EF29" s="1481"/>
      <c r="EG29" s="1481"/>
      <c r="EH29" s="1482"/>
      <c r="EI29" s="1480">
        <v>12</v>
      </c>
      <c r="EJ29" s="1481"/>
      <c r="EK29" s="1481"/>
      <c r="EL29" s="1481"/>
      <c r="EM29" s="1481"/>
      <c r="EN29" s="1481"/>
      <c r="EO29" s="1482"/>
      <c r="EP29" s="1480"/>
      <c r="EQ29" s="1481"/>
      <c r="ER29" s="1481"/>
      <c r="ES29" s="1481"/>
      <c r="ET29" s="1481"/>
      <c r="EU29" s="1481"/>
      <c r="EV29" s="1481"/>
      <c r="EW29" s="1481"/>
      <c r="EX29" s="1481"/>
      <c r="EY29" s="1482"/>
    </row>
    <row r="30" spans="1:155" s="430" customFormat="1" ht="16.5" customHeight="1">
      <c r="A30" s="1483" t="s">
        <v>1577</v>
      </c>
      <c r="B30" s="1484"/>
      <c r="C30" s="1484"/>
      <c r="D30" s="1484"/>
      <c r="E30" s="1484"/>
      <c r="F30" s="1484"/>
      <c r="G30" s="1484"/>
      <c r="H30" s="1484"/>
      <c r="I30" s="1484"/>
      <c r="J30" s="1484"/>
      <c r="K30" s="1484"/>
      <c r="L30" s="1484"/>
      <c r="M30" s="1484"/>
      <c r="N30" s="1484"/>
      <c r="O30" s="1484"/>
      <c r="P30" s="1484"/>
      <c r="Q30" s="1484"/>
      <c r="R30" s="1484"/>
      <c r="S30" s="1484"/>
      <c r="T30" s="1484"/>
      <c r="U30" s="1484"/>
      <c r="V30" s="1484"/>
      <c r="W30" s="1484"/>
      <c r="X30" s="1484"/>
      <c r="Y30" s="1484"/>
      <c r="Z30" s="1484"/>
      <c r="AA30" s="1484"/>
      <c r="AB30" s="1484"/>
      <c r="AC30" s="1484"/>
      <c r="AD30" s="1484"/>
      <c r="AE30" s="1484"/>
      <c r="AF30" s="1484"/>
      <c r="AG30" s="1484"/>
      <c r="AH30" s="1484"/>
      <c r="AI30" s="1484"/>
      <c r="AJ30" s="1484"/>
      <c r="AK30" s="1484"/>
      <c r="AL30" s="1484"/>
      <c r="AM30" s="1485"/>
      <c r="AN30" s="1474" t="s">
        <v>121</v>
      </c>
      <c r="AO30" s="1475"/>
      <c r="AP30" s="1475"/>
      <c r="AQ30" s="1475"/>
      <c r="AR30" s="1475"/>
      <c r="AS30" s="1475"/>
      <c r="AT30" s="1475"/>
      <c r="AU30" s="1476"/>
      <c r="AV30" s="1477" t="s">
        <v>940</v>
      </c>
      <c r="AW30" s="1478"/>
      <c r="AX30" s="1478"/>
      <c r="AY30" s="1478"/>
      <c r="AZ30" s="1478"/>
      <c r="BA30" s="1479"/>
      <c r="BB30" s="1480">
        <f>CH30+CO30</f>
        <v>213269</v>
      </c>
      <c r="BC30" s="1481"/>
      <c r="BD30" s="1481"/>
      <c r="BE30" s="1481"/>
      <c r="BF30" s="1481"/>
      <c r="BG30" s="1481"/>
      <c r="BH30" s="1481"/>
      <c r="BI30" s="1481"/>
      <c r="BJ30" s="1482"/>
      <c r="BK30" s="1480">
        <f t="shared" si="0"/>
        <v>213269</v>
      </c>
      <c r="BL30" s="1481"/>
      <c r="BM30" s="1481"/>
      <c r="BN30" s="1481"/>
      <c r="BO30" s="1481"/>
      <c r="BP30" s="1481"/>
      <c r="BQ30" s="1481"/>
      <c r="BR30" s="1481"/>
      <c r="BS30" s="1482"/>
      <c r="BT30" s="1480">
        <f>BT31+BT34</f>
        <v>212423</v>
      </c>
      <c r="BU30" s="1481"/>
      <c r="BV30" s="1481"/>
      <c r="BW30" s="1481"/>
      <c r="BX30" s="1481"/>
      <c r="BY30" s="1481"/>
      <c r="BZ30" s="1482"/>
      <c r="CA30" s="1480">
        <f>CA31+CA34</f>
        <v>679</v>
      </c>
      <c r="CB30" s="1481"/>
      <c r="CC30" s="1481"/>
      <c r="CD30" s="1481"/>
      <c r="CE30" s="1481"/>
      <c r="CF30" s="1481"/>
      <c r="CG30" s="1482"/>
      <c r="CH30" s="1486">
        <f t="shared" si="1"/>
        <v>213102</v>
      </c>
      <c r="CI30" s="1487"/>
      <c r="CJ30" s="1487"/>
      <c r="CK30" s="1487"/>
      <c r="CL30" s="1487"/>
      <c r="CM30" s="1487"/>
      <c r="CN30" s="1488"/>
      <c r="CO30" s="1480">
        <f>CO31+CO34</f>
        <v>167</v>
      </c>
      <c r="CP30" s="1481"/>
      <c r="CQ30" s="1481"/>
      <c r="CR30" s="1481"/>
      <c r="CS30" s="1481"/>
      <c r="CT30" s="1481"/>
      <c r="CU30" s="1482"/>
      <c r="CV30" s="1480">
        <v>136668</v>
      </c>
      <c r="CW30" s="1481"/>
      <c r="CX30" s="1481"/>
      <c r="CY30" s="1481"/>
      <c r="CZ30" s="1481"/>
      <c r="DA30" s="1481"/>
      <c r="DB30" s="1481"/>
      <c r="DC30" s="1481"/>
      <c r="DD30" s="1482"/>
      <c r="DE30" s="1480">
        <v>136668</v>
      </c>
      <c r="DF30" s="1481"/>
      <c r="DG30" s="1481"/>
      <c r="DH30" s="1481"/>
      <c r="DI30" s="1481"/>
      <c r="DJ30" s="1481"/>
      <c r="DK30" s="1481"/>
      <c r="DL30" s="1481"/>
      <c r="DM30" s="1482"/>
      <c r="DN30" s="1480">
        <v>134414</v>
      </c>
      <c r="DO30" s="1481"/>
      <c r="DP30" s="1481"/>
      <c r="DQ30" s="1481"/>
      <c r="DR30" s="1481"/>
      <c r="DS30" s="1481"/>
      <c r="DT30" s="1482"/>
      <c r="DU30" s="1480">
        <v>1970</v>
      </c>
      <c r="DV30" s="1481"/>
      <c r="DW30" s="1481"/>
      <c r="DX30" s="1481"/>
      <c r="DY30" s="1481"/>
      <c r="DZ30" s="1481"/>
      <c r="EA30" s="1482"/>
      <c r="EB30" s="1480">
        <v>136384</v>
      </c>
      <c r="EC30" s="1481"/>
      <c r="ED30" s="1481"/>
      <c r="EE30" s="1481"/>
      <c r="EF30" s="1481"/>
      <c r="EG30" s="1481"/>
      <c r="EH30" s="1482"/>
      <c r="EI30" s="1480">
        <v>284</v>
      </c>
      <c r="EJ30" s="1481"/>
      <c r="EK30" s="1481"/>
      <c r="EL30" s="1481"/>
      <c r="EM30" s="1481"/>
      <c r="EN30" s="1481"/>
      <c r="EO30" s="1482"/>
      <c r="EP30" s="1480"/>
      <c r="EQ30" s="1481"/>
      <c r="ER30" s="1481"/>
      <c r="ES30" s="1481"/>
      <c r="ET30" s="1481"/>
      <c r="EU30" s="1481"/>
      <c r="EV30" s="1481"/>
      <c r="EW30" s="1481"/>
      <c r="EX30" s="1481"/>
      <c r="EY30" s="1482"/>
    </row>
    <row r="31" spans="1:155" s="430" customFormat="1" ht="7.8">
      <c r="A31" s="1489" t="s">
        <v>1034</v>
      </c>
      <c r="B31" s="1490"/>
      <c r="C31" s="1490"/>
      <c r="D31" s="1490"/>
      <c r="E31" s="1490"/>
      <c r="F31" s="1490"/>
      <c r="G31" s="1490"/>
      <c r="H31" s="1490"/>
      <c r="I31" s="1490"/>
      <c r="J31" s="1490"/>
      <c r="K31" s="1490"/>
      <c r="L31" s="1490"/>
      <c r="M31" s="1490"/>
      <c r="N31" s="1490"/>
      <c r="O31" s="1490"/>
      <c r="P31" s="1490"/>
      <c r="Q31" s="1490"/>
      <c r="R31" s="1490"/>
      <c r="S31" s="1490"/>
      <c r="T31" s="1490"/>
      <c r="U31" s="1490"/>
      <c r="V31" s="1490"/>
      <c r="W31" s="1490"/>
      <c r="X31" s="1490"/>
      <c r="Y31" s="1490"/>
      <c r="Z31" s="1490"/>
      <c r="AA31" s="1490"/>
      <c r="AB31" s="1490"/>
      <c r="AC31" s="1490"/>
      <c r="AD31" s="1490"/>
      <c r="AE31" s="1490"/>
      <c r="AF31" s="1490"/>
      <c r="AG31" s="1490"/>
      <c r="AH31" s="1490"/>
      <c r="AI31" s="1490"/>
      <c r="AJ31" s="1490"/>
      <c r="AK31" s="1490"/>
      <c r="AL31" s="1490"/>
      <c r="AM31" s="1491"/>
      <c r="AN31" s="1474" t="s">
        <v>121</v>
      </c>
      <c r="AO31" s="1475"/>
      <c r="AP31" s="1475"/>
      <c r="AQ31" s="1475"/>
      <c r="AR31" s="1475"/>
      <c r="AS31" s="1475"/>
      <c r="AT31" s="1475"/>
      <c r="AU31" s="1476"/>
      <c r="AV31" s="1477" t="s">
        <v>945</v>
      </c>
      <c r="AW31" s="1478"/>
      <c r="AX31" s="1478"/>
      <c r="AY31" s="1478"/>
      <c r="AZ31" s="1478"/>
      <c r="BA31" s="1479"/>
      <c r="BB31" s="1480">
        <f>CH31+CO31</f>
        <v>5017</v>
      </c>
      <c r="BC31" s="1481"/>
      <c r="BD31" s="1481"/>
      <c r="BE31" s="1481"/>
      <c r="BF31" s="1481"/>
      <c r="BG31" s="1481"/>
      <c r="BH31" s="1481"/>
      <c r="BI31" s="1481"/>
      <c r="BJ31" s="1482"/>
      <c r="BK31" s="1480">
        <f t="shared" si="0"/>
        <v>5017</v>
      </c>
      <c r="BL31" s="1481"/>
      <c r="BM31" s="1481"/>
      <c r="BN31" s="1481"/>
      <c r="BO31" s="1481"/>
      <c r="BP31" s="1481"/>
      <c r="BQ31" s="1481"/>
      <c r="BR31" s="1481"/>
      <c r="BS31" s="1482"/>
      <c r="BT31" s="1480">
        <f>1995+3014</f>
        <v>5009</v>
      </c>
      <c r="BU31" s="1481"/>
      <c r="BV31" s="1481"/>
      <c r="BW31" s="1481"/>
      <c r="BX31" s="1481"/>
      <c r="BY31" s="1481"/>
      <c r="BZ31" s="1482"/>
      <c r="CA31" s="1480">
        <f>7</f>
        <v>7</v>
      </c>
      <c r="CB31" s="1481"/>
      <c r="CC31" s="1481"/>
      <c r="CD31" s="1481"/>
      <c r="CE31" s="1481"/>
      <c r="CF31" s="1481"/>
      <c r="CG31" s="1482"/>
      <c r="CH31" s="1486">
        <f t="shared" si="1"/>
        <v>5016</v>
      </c>
      <c r="CI31" s="1487"/>
      <c r="CJ31" s="1487"/>
      <c r="CK31" s="1487"/>
      <c r="CL31" s="1487"/>
      <c r="CM31" s="1487"/>
      <c r="CN31" s="1488"/>
      <c r="CO31" s="1480">
        <f>1</f>
        <v>1</v>
      </c>
      <c r="CP31" s="1481"/>
      <c r="CQ31" s="1481"/>
      <c r="CR31" s="1481"/>
      <c r="CS31" s="1481"/>
      <c r="CT31" s="1481"/>
      <c r="CU31" s="1482"/>
      <c r="CV31" s="1480">
        <v>5332</v>
      </c>
      <c r="CW31" s="1481"/>
      <c r="CX31" s="1481"/>
      <c r="CY31" s="1481"/>
      <c r="CZ31" s="1481"/>
      <c r="DA31" s="1481"/>
      <c r="DB31" s="1481"/>
      <c r="DC31" s="1481"/>
      <c r="DD31" s="1482"/>
      <c r="DE31" s="1480">
        <v>5332</v>
      </c>
      <c r="DF31" s="1481"/>
      <c r="DG31" s="1481"/>
      <c r="DH31" s="1481"/>
      <c r="DI31" s="1481"/>
      <c r="DJ31" s="1481"/>
      <c r="DK31" s="1481"/>
      <c r="DL31" s="1481"/>
      <c r="DM31" s="1482"/>
      <c r="DN31" s="1480">
        <v>5325</v>
      </c>
      <c r="DO31" s="1481"/>
      <c r="DP31" s="1481"/>
      <c r="DQ31" s="1481"/>
      <c r="DR31" s="1481"/>
      <c r="DS31" s="1481"/>
      <c r="DT31" s="1482"/>
      <c r="DU31" s="1480">
        <v>6</v>
      </c>
      <c r="DV31" s="1481"/>
      <c r="DW31" s="1481"/>
      <c r="DX31" s="1481"/>
      <c r="DY31" s="1481"/>
      <c r="DZ31" s="1481"/>
      <c r="EA31" s="1482"/>
      <c r="EB31" s="1480">
        <v>5331</v>
      </c>
      <c r="EC31" s="1481"/>
      <c r="ED31" s="1481"/>
      <c r="EE31" s="1481"/>
      <c r="EF31" s="1481"/>
      <c r="EG31" s="1481"/>
      <c r="EH31" s="1482"/>
      <c r="EI31" s="1480">
        <v>1</v>
      </c>
      <c r="EJ31" s="1481"/>
      <c r="EK31" s="1481"/>
      <c r="EL31" s="1481"/>
      <c r="EM31" s="1481"/>
      <c r="EN31" s="1481"/>
      <c r="EO31" s="1482"/>
      <c r="EP31" s="1480"/>
      <c r="EQ31" s="1481"/>
      <c r="ER31" s="1481"/>
      <c r="ES31" s="1481"/>
      <c r="ET31" s="1481"/>
      <c r="EU31" s="1481"/>
      <c r="EV31" s="1481"/>
      <c r="EW31" s="1481"/>
      <c r="EX31" s="1481"/>
      <c r="EY31" s="1482"/>
    </row>
    <row r="32" spans="1:155" s="430" customFormat="1" ht="7.8">
      <c r="A32" s="1489" t="s">
        <v>1578</v>
      </c>
      <c r="B32" s="1490"/>
      <c r="C32" s="1490"/>
      <c r="D32" s="1490"/>
      <c r="E32" s="1490"/>
      <c r="F32" s="1490"/>
      <c r="G32" s="1490"/>
      <c r="H32" s="1490"/>
      <c r="I32" s="1490"/>
      <c r="J32" s="1490"/>
      <c r="K32" s="1490"/>
      <c r="L32" s="1490"/>
      <c r="M32" s="1490"/>
      <c r="N32" s="1490"/>
      <c r="O32" s="1490"/>
      <c r="P32" s="1490"/>
      <c r="Q32" s="1490"/>
      <c r="R32" s="1490"/>
      <c r="S32" s="1490"/>
      <c r="T32" s="1490"/>
      <c r="U32" s="1490"/>
      <c r="V32" s="1490"/>
      <c r="W32" s="1490"/>
      <c r="X32" s="1490"/>
      <c r="Y32" s="1490"/>
      <c r="Z32" s="1490"/>
      <c r="AA32" s="1490"/>
      <c r="AB32" s="1490"/>
      <c r="AC32" s="1490"/>
      <c r="AD32" s="1490"/>
      <c r="AE32" s="1490"/>
      <c r="AF32" s="1490"/>
      <c r="AG32" s="1490"/>
      <c r="AH32" s="1490"/>
      <c r="AI32" s="1490"/>
      <c r="AJ32" s="1490"/>
      <c r="AK32" s="1490"/>
      <c r="AL32" s="1490"/>
      <c r="AM32" s="1491"/>
      <c r="AN32" s="1474" t="s">
        <v>121</v>
      </c>
      <c r="AO32" s="1475"/>
      <c r="AP32" s="1475"/>
      <c r="AQ32" s="1475"/>
      <c r="AR32" s="1475"/>
      <c r="AS32" s="1475"/>
      <c r="AT32" s="1475"/>
      <c r="AU32" s="1476"/>
      <c r="AV32" s="1477" t="s">
        <v>949</v>
      </c>
      <c r="AW32" s="1478"/>
      <c r="AX32" s="1478"/>
      <c r="AY32" s="1478"/>
      <c r="AZ32" s="1478"/>
      <c r="BA32" s="1479"/>
      <c r="BB32" s="1480"/>
      <c r="BC32" s="1481"/>
      <c r="BD32" s="1481"/>
      <c r="BE32" s="1481"/>
      <c r="BF32" s="1481"/>
      <c r="BG32" s="1481"/>
      <c r="BH32" s="1481"/>
      <c r="BI32" s="1481"/>
      <c r="BJ32" s="1482"/>
      <c r="BK32" s="1480">
        <f t="shared" si="0"/>
        <v>0</v>
      </c>
      <c r="BL32" s="1481"/>
      <c r="BM32" s="1481"/>
      <c r="BN32" s="1481"/>
      <c r="BO32" s="1481"/>
      <c r="BP32" s="1481"/>
      <c r="BQ32" s="1481"/>
      <c r="BR32" s="1481"/>
      <c r="BS32" s="1482"/>
      <c r="BT32" s="1480"/>
      <c r="BU32" s="1481"/>
      <c r="BV32" s="1481"/>
      <c r="BW32" s="1481"/>
      <c r="BX32" s="1481"/>
      <c r="BY32" s="1481"/>
      <c r="BZ32" s="1482"/>
      <c r="CA32" s="1480"/>
      <c r="CB32" s="1481"/>
      <c r="CC32" s="1481"/>
      <c r="CD32" s="1481"/>
      <c r="CE32" s="1481"/>
      <c r="CF32" s="1481"/>
      <c r="CG32" s="1482"/>
      <c r="CH32" s="1486">
        <f t="shared" si="1"/>
        <v>0</v>
      </c>
      <c r="CI32" s="1487"/>
      <c r="CJ32" s="1487"/>
      <c r="CK32" s="1487"/>
      <c r="CL32" s="1487"/>
      <c r="CM32" s="1487"/>
      <c r="CN32" s="1488"/>
      <c r="CO32" s="1480"/>
      <c r="CP32" s="1481"/>
      <c r="CQ32" s="1481"/>
      <c r="CR32" s="1481"/>
      <c r="CS32" s="1481"/>
      <c r="CT32" s="1481"/>
      <c r="CU32" s="1482"/>
      <c r="CV32" s="1480"/>
      <c r="CW32" s="1481"/>
      <c r="CX32" s="1481"/>
      <c r="CY32" s="1481"/>
      <c r="CZ32" s="1481"/>
      <c r="DA32" s="1481"/>
      <c r="DB32" s="1481"/>
      <c r="DC32" s="1481"/>
      <c r="DD32" s="1482"/>
      <c r="DE32" s="1480">
        <v>0</v>
      </c>
      <c r="DF32" s="1481"/>
      <c r="DG32" s="1481"/>
      <c r="DH32" s="1481"/>
      <c r="DI32" s="1481"/>
      <c r="DJ32" s="1481"/>
      <c r="DK32" s="1481"/>
      <c r="DL32" s="1481"/>
      <c r="DM32" s="1482"/>
      <c r="DN32" s="1480"/>
      <c r="DO32" s="1481"/>
      <c r="DP32" s="1481"/>
      <c r="DQ32" s="1481"/>
      <c r="DR32" s="1481"/>
      <c r="DS32" s="1481"/>
      <c r="DT32" s="1482"/>
      <c r="DU32" s="1480"/>
      <c r="DV32" s="1481"/>
      <c r="DW32" s="1481"/>
      <c r="DX32" s="1481"/>
      <c r="DY32" s="1481"/>
      <c r="DZ32" s="1481"/>
      <c r="EA32" s="1482"/>
      <c r="EB32" s="1480">
        <v>0</v>
      </c>
      <c r="EC32" s="1481"/>
      <c r="ED32" s="1481"/>
      <c r="EE32" s="1481"/>
      <c r="EF32" s="1481"/>
      <c r="EG32" s="1481"/>
      <c r="EH32" s="1482"/>
      <c r="EI32" s="1480"/>
      <c r="EJ32" s="1481"/>
      <c r="EK32" s="1481"/>
      <c r="EL32" s="1481"/>
      <c r="EM32" s="1481"/>
      <c r="EN32" s="1481"/>
      <c r="EO32" s="1482"/>
      <c r="EP32" s="1480"/>
      <c r="EQ32" s="1481"/>
      <c r="ER32" s="1481"/>
      <c r="ES32" s="1481"/>
      <c r="ET32" s="1481"/>
      <c r="EU32" s="1481"/>
      <c r="EV32" s="1481"/>
      <c r="EW32" s="1481"/>
      <c r="EX32" s="1481"/>
      <c r="EY32" s="1482"/>
    </row>
    <row r="33" spans="1:155" s="430" customFormat="1" ht="16.5" customHeight="1">
      <c r="A33" s="1489" t="s">
        <v>1579</v>
      </c>
      <c r="B33" s="1490"/>
      <c r="C33" s="1490"/>
      <c r="D33" s="1490"/>
      <c r="E33" s="1490"/>
      <c r="F33" s="1490"/>
      <c r="G33" s="1490"/>
      <c r="H33" s="1490"/>
      <c r="I33" s="1490"/>
      <c r="J33" s="1490"/>
      <c r="K33" s="1490"/>
      <c r="L33" s="1490"/>
      <c r="M33" s="1490"/>
      <c r="N33" s="1490"/>
      <c r="O33" s="1490"/>
      <c r="P33" s="1490"/>
      <c r="Q33" s="1490"/>
      <c r="R33" s="1490"/>
      <c r="S33" s="1490"/>
      <c r="T33" s="1490"/>
      <c r="U33" s="1490"/>
      <c r="V33" s="1490"/>
      <c r="W33" s="1490"/>
      <c r="X33" s="1490"/>
      <c r="Y33" s="1490"/>
      <c r="Z33" s="1490"/>
      <c r="AA33" s="1490"/>
      <c r="AB33" s="1490"/>
      <c r="AC33" s="1490"/>
      <c r="AD33" s="1490"/>
      <c r="AE33" s="1490"/>
      <c r="AF33" s="1490"/>
      <c r="AG33" s="1490"/>
      <c r="AH33" s="1490"/>
      <c r="AI33" s="1490"/>
      <c r="AJ33" s="1490"/>
      <c r="AK33" s="1490"/>
      <c r="AL33" s="1490"/>
      <c r="AM33" s="1491"/>
      <c r="AN33" s="1474" t="s">
        <v>121</v>
      </c>
      <c r="AO33" s="1475"/>
      <c r="AP33" s="1475"/>
      <c r="AQ33" s="1475"/>
      <c r="AR33" s="1475"/>
      <c r="AS33" s="1475"/>
      <c r="AT33" s="1475"/>
      <c r="AU33" s="1476"/>
      <c r="AV33" s="1477" t="s">
        <v>953</v>
      </c>
      <c r="AW33" s="1478"/>
      <c r="AX33" s="1478"/>
      <c r="AY33" s="1478"/>
      <c r="AZ33" s="1478"/>
      <c r="BA33" s="1479"/>
      <c r="BB33" s="1480"/>
      <c r="BC33" s="1481"/>
      <c r="BD33" s="1481"/>
      <c r="BE33" s="1481"/>
      <c r="BF33" s="1481"/>
      <c r="BG33" s="1481"/>
      <c r="BH33" s="1481"/>
      <c r="BI33" s="1481"/>
      <c r="BJ33" s="1482"/>
      <c r="BK33" s="1480">
        <f t="shared" si="0"/>
        <v>0</v>
      </c>
      <c r="BL33" s="1481"/>
      <c r="BM33" s="1481"/>
      <c r="BN33" s="1481"/>
      <c r="BO33" s="1481"/>
      <c r="BP33" s="1481"/>
      <c r="BQ33" s="1481"/>
      <c r="BR33" s="1481"/>
      <c r="BS33" s="1482"/>
      <c r="BT33" s="1480"/>
      <c r="BU33" s="1481"/>
      <c r="BV33" s="1481"/>
      <c r="BW33" s="1481"/>
      <c r="BX33" s="1481"/>
      <c r="BY33" s="1481"/>
      <c r="BZ33" s="1482"/>
      <c r="CA33" s="1480"/>
      <c r="CB33" s="1481"/>
      <c r="CC33" s="1481"/>
      <c r="CD33" s="1481"/>
      <c r="CE33" s="1481"/>
      <c r="CF33" s="1481"/>
      <c r="CG33" s="1482"/>
      <c r="CH33" s="1486">
        <f t="shared" si="1"/>
        <v>0</v>
      </c>
      <c r="CI33" s="1487"/>
      <c r="CJ33" s="1487"/>
      <c r="CK33" s="1487"/>
      <c r="CL33" s="1487"/>
      <c r="CM33" s="1487"/>
      <c r="CN33" s="1488"/>
      <c r="CO33" s="1480"/>
      <c r="CP33" s="1481"/>
      <c r="CQ33" s="1481"/>
      <c r="CR33" s="1481"/>
      <c r="CS33" s="1481"/>
      <c r="CT33" s="1481"/>
      <c r="CU33" s="1482"/>
      <c r="CV33" s="1480"/>
      <c r="CW33" s="1481"/>
      <c r="CX33" s="1481"/>
      <c r="CY33" s="1481"/>
      <c r="CZ33" s="1481"/>
      <c r="DA33" s="1481"/>
      <c r="DB33" s="1481"/>
      <c r="DC33" s="1481"/>
      <c r="DD33" s="1482"/>
      <c r="DE33" s="1480">
        <v>0</v>
      </c>
      <c r="DF33" s="1481"/>
      <c r="DG33" s="1481"/>
      <c r="DH33" s="1481"/>
      <c r="DI33" s="1481"/>
      <c r="DJ33" s="1481"/>
      <c r="DK33" s="1481"/>
      <c r="DL33" s="1481"/>
      <c r="DM33" s="1482"/>
      <c r="DN33" s="1480"/>
      <c r="DO33" s="1481"/>
      <c r="DP33" s="1481"/>
      <c r="DQ33" s="1481"/>
      <c r="DR33" s="1481"/>
      <c r="DS33" s="1481"/>
      <c r="DT33" s="1482"/>
      <c r="DU33" s="1480"/>
      <c r="DV33" s="1481"/>
      <c r="DW33" s="1481"/>
      <c r="DX33" s="1481"/>
      <c r="DY33" s="1481"/>
      <c r="DZ33" s="1481"/>
      <c r="EA33" s="1482"/>
      <c r="EB33" s="1480">
        <v>0</v>
      </c>
      <c r="EC33" s="1481"/>
      <c r="ED33" s="1481"/>
      <c r="EE33" s="1481"/>
      <c r="EF33" s="1481"/>
      <c r="EG33" s="1481"/>
      <c r="EH33" s="1482"/>
      <c r="EI33" s="1480"/>
      <c r="EJ33" s="1481"/>
      <c r="EK33" s="1481"/>
      <c r="EL33" s="1481"/>
      <c r="EM33" s="1481"/>
      <c r="EN33" s="1481"/>
      <c r="EO33" s="1482"/>
      <c r="EP33" s="1480"/>
      <c r="EQ33" s="1481"/>
      <c r="ER33" s="1481"/>
      <c r="ES33" s="1481"/>
      <c r="ET33" s="1481"/>
      <c r="EU33" s="1481"/>
      <c r="EV33" s="1481"/>
      <c r="EW33" s="1481"/>
      <c r="EX33" s="1481"/>
      <c r="EY33" s="1482"/>
    </row>
    <row r="34" spans="1:155" s="430" customFormat="1" ht="16.5" customHeight="1">
      <c r="A34" s="1489" t="s">
        <v>1580</v>
      </c>
      <c r="B34" s="1490"/>
      <c r="C34" s="1490"/>
      <c r="D34" s="1490"/>
      <c r="E34" s="1490"/>
      <c r="F34" s="1490"/>
      <c r="G34" s="1490"/>
      <c r="H34" s="1490"/>
      <c r="I34" s="1490"/>
      <c r="J34" s="1490"/>
      <c r="K34" s="1490"/>
      <c r="L34" s="1490"/>
      <c r="M34" s="1490"/>
      <c r="N34" s="1490"/>
      <c r="O34" s="1490"/>
      <c r="P34" s="1490"/>
      <c r="Q34" s="1490"/>
      <c r="R34" s="1490"/>
      <c r="S34" s="1490"/>
      <c r="T34" s="1490"/>
      <c r="U34" s="1490"/>
      <c r="V34" s="1490"/>
      <c r="W34" s="1490"/>
      <c r="X34" s="1490"/>
      <c r="Y34" s="1490"/>
      <c r="Z34" s="1490"/>
      <c r="AA34" s="1490"/>
      <c r="AB34" s="1490"/>
      <c r="AC34" s="1490"/>
      <c r="AD34" s="1490"/>
      <c r="AE34" s="1490"/>
      <c r="AF34" s="1490"/>
      <c r="AG34" s="1490"/>
      <c r="AH34" s="1490"/>
      <c r="AI34" s="1490"/>
      <c r="AJ34" s="1490"/>
      <c r="AK34" s="1490"/>
      <c r="AL34" s="1490"/>
      <c r="AM34" s="1491"/>
      <c r="AN34" s="1474" t="s">
        <v>121</v>
      </c>
      <c r="AO34" s="1475"/>
      <c r="AP34" s="1475"/>
      <c r="AQ34" s="1475"/>
      <c r="AR34" s="1475"/>
      <c r="AS34" s="1475"/>
      <c r="AT34" s="1475"/>
      <c r="AU34" s="1476"/>
      <c r="AV34" s="1477" t="s">
        <v>958</v>
      </c>
      <c r="AW34" s="1478"/>
      <c r="AX34" s="1478"/>
      <c r="AY34" s="1478"/>
      <c r="AZ34" s="1478"/>
      <c r="BA34" s="1479"/>
      <c r="BB34" s="1480">
        <f>CH34+CO34</f>
        <v>208252</v>
      </c>
      <c r="BC34" s="1481"/>
      <c r="BD34" s="1481"/>
      <c r="BE34" s="1481"/>
      <c r="BF34" s="1481"/>
      <c r="BG34" s="1481"/>
      <c r="BH34" s="1481"/>
      <c r="BI34" s="1481"/>
      <c r="BJ34" s="1482"/>
      <c r="BK34" s="1480">
        <f t="shared" si="0"/>
        <v>208252</v>
      </c>
      <c r="BL34" s="1481"/>
      <c r="BM34" s="1481"/>
      <c r="BN34" s="1481"/>
      <c r="BO34" s="1481"/>
      <c r="BP34" s="1481"/>
      <c r="BQ34" s="1481"/>
      <c r="BR34" s="1481"/>
      <c r="BS34" s="1482"/>
      <c r="BT34" s="1480">
        <f>193159+14255</f>
        <v>207414</v>
      </c>
      <c r="BU34" s="1481"/>
      <c r="BV34" s="1481"/>
      <c r="BW34" s="1481"/>
      <c r="BX34" s="1481"/>
      <c r="BY34" s="1481"/>
      <c r="BZ34" s="1482"/>
      <c r="CA34" s="1480">
        <f>672</f>
        <v>672</v>
      </c>
      <c r="CB34" s="1481"/>
      <c r="CC34" s="1481"/>
      <c r="CD34" s="1481"/>
      <c r="CE34" s="1481"/>
      <c r="CF34" s="1481"/>
      <c r="CG34" s="1482"/>
      <c r="CH34" s="1486">
        <f t="shared" si="1"/>
        <v>208086</v>
      </c>
      <c r="CI34" s="1487"/>
      <c r="CJ34" s="1487"/>
      <c r="CK34" s="1487"/>
      <c r="CL34" s="1487"/>
      <c r="CM34" s="1487"/>
      <c r="CN34" s="1488"/>
      <c r="CO34" s="1480">
        <f>166</f>
        <v>166</v>
      </c>
      <c r="CP34" s="1481"/>
      <c r="CQ34" s="1481"/>
      <c r="CR34" s="1481"/>
      <c r="CS34" s="1481"/>
      <c r="CT34" s="1481"/>
      <c r="CU34" s="1482"/>
      <c r="CV34" s="1480">
        <v>131336</v>
      </c>
      <c r="CW34" s="1481"/>
      <c r="CX34" s="1481"/>
      <c r="CY34" s="1481"/>
      <c r="CZ34" s="1481"/>
      <c r="DA34" s="1481"/>
      <c r="DB34" s="1481"/>
      <c r="DC34" s="1481"/>
      <c r="DD34" s="1482"/>
      <c r="DE34" s="1480">
        <v>131336</v>
      </c>
      <c r="DF34" s="1481"/>
      <c r="DG34" s="1481"/>
      <c r="DH34" s="1481"/>
      <c r="DI34" s="1481"/>
      <c r="DJ34" s="1481"/>
      <c r="DK34" s="1481"/>
      <c r="DL34" s="1481"/>
      <c r="DM34" s="1482"/>
      <c r="DN34" s="1480">
        <v>129089</v>
      </c>
      <c r="DO34" s="1481"/>
      <c r="DP34" s="1481"/>
      <c r="DQ34" s="1481"/>
      <c r="DR34" s="1481"/>
      <c r="DS34" s="1481"/>
      <c r="DT34" s="1482"/>
      <c r="DU34" s="1480">
        <v>1964</v>
      </c>
      <c r="DV34" s="1481"/>
      <c r="DW34" s="1481"/>
      <c r="DX34" s="1481"/>
      <c r="DY34" s="1481"/>
      <c r="DZ34" s="1481"/>
      <c r="EA34" s="1482"/>
      <c r="EB34" s="1480">
        <v>131053</v>
      </c>
      <c r="EC34" s="1481"/>
      <c r="ED34" s="1481"/>
      <c r="EE34" s="1481"/>
      <c r="EF34" s="1481"/>
      <c r="EG34" s="1481"/>
      <c r="EH34" s="1482"/>
      <c r="EI34" s="1480">
        <v>283</v>
      </c>
      <c r="EJ34" s="1481"/>
      <c r="EK34" s="1481"/>
      <c r="EL34" s="1481"/>
      <c r="EM34" s="1481"/>
      <c r="EN34" s="1481"/>
      <c r="EO34" s="1482"/>
      <c r="EP34" s="1480"/>
      <c r="EQ34" s="1481"/>
      <c r="ER34" s="1481"/>
      <c r="ES34" s="1481"/>
      <c r="ET34" s="1481"/>
      <c r="EU34" s="1481"/>
      <c r="EV34" s="1481"/>
      <c r="EW34" s="1481"/>
      <c r="EX34" s="1481"/>
      <c r="EY34" s="1482"/>
    </row>
    <row r="35" spans="1:155" s="430" customFormat="1" ht="7.8">
      <c r="A35" s="1483" t="s">
        <v>544</v>
      </c>
      <c r="B35" s="1484"/>
      <c r="C35" s="1484"/>
      <c r="D35" s="1484"/>
      <c r="E35" s="1484"/>
      <c r="F35" s="1484"/>
      <c r="G35" s="1484"/>
      <c r="H35" s="1484"/>
      <c r="I35" s="1484"/>
      <c r="J35" s="1484"/>
      <c r="K35" s="1484"/>
      <c r="L35" s="1484"/>
      <c r="M35" s="1484"/>
      <c r="N35" s="1484"/>
      <c r="O35" s="1484"/>
      <c r="P35" s="1484"/>
      <c r="Q35" s="1484"/>
      <c r="R35" s="1484"/>
      <c r="S35" s="1484"/>
      <c r="T35" s="1484"/>
      <c r="U35" s="1484"/>
      <c r="V35" s="1484"/>
      <c r="W35" s="1484"/>
      <c r="X35" s="1484"/>
      <c r="Y35" s="1484"/>
      <c r="Z35" s="1484"/>
      <c r="AA35" s="1484"/>
      <c r="AB35" s="1484"/>
      <c r="AC35" s="1484"/>
      <c r="AD35" s="1484"/>
      <c r="AE35" s="1484"/>
      <c r="AF35" s="1484"/>
      <c r="AG35" s="1484"/>
      <c r="AH35" s="1484"/>
      <c r="AI35" s="1484"/>
      <c r="AJ35" s="1484"/>
      <c r="AK35" s="1484"/>
      <c r="AL35" s="1484"/>
      <c r="AM35" s="1485"/>
      <c r="AN35" s="1474" t="s">
        <v>121</v>
      </c>
      <c r="AO35" s="1475"/>
      <c r="AP35" s="1475"/>
      <c r="AQ35" s="1475"/>
      <c r="AR35" s="1475"/>
      <c r="AS35" s="1475"/>
      <c r="AT35" s="1475"/>
      <c r="AU35" s="1476"/>
      <c r="AV35" s="1477" t="s">
        <v>987</v>
      </c>
      <c r="AW35" s="1478"/>
      <c r="AX35" s="1478"/>
      <c r="AY35" s="1478"/>
      <c r="AZ35" s="1478"/>
      <c r="BA35" s="1479"/>
      <c r="BB35" s="1480">
        <f>CH35+CO35</f>
        <v>1011203</v>
      </c>
      <c r="BC35" s="1481"/>
      <c r="BD35" s="1481"/>
      <c r="BE35" s="1481"/>
      <c r="BF35" s="1481"/>
      <c r="BG35" s="1481"/>
      <c r="BH35" s="1481"/>
      <c r="BI35" s="1481"/>
      <c r="BJ35" s="1482"/>
      <c r="BK35" s="1480">
        <f>BB35</f>
        <v>1011203</v>
      </c>
      <c r="BL35" s="1481"/>
      <c r="BM35" s="1481"/>
      <c r="BN35" s="1481"/>
      <c r="BO35" s="1481"/>
      <c r="BP35" s="1481"/>
      <c r="BQ35" s="1481"/>
      <c r="BR35" s="1481"/>
      <c r="BS35" s="1482"/>
      <c r="BT35" s="1480">
        <f>813756+139843</f>
        <v>953599</v>
      </c>
      <c r="BU35" s="1481"/>
      <c r="BV35" s="1481"/>
      <c r="BW35" s="1481"/>
      <c r="BX35" s="1481"/>
      <c r="BY35" s="1481"/>
      <c r="BZ35" s="1482"/>
      <c r="CA35" s="1480">
        <f>37545</f>
        <v>37545</v>
      </c>
      <c r="CB35" s="1481"/>
      <c r="CC35" s="1481"/>
      <c r="CD35" s="1481"/>
      <c r="CE35" s="1481"/>
      <c r="CF35" s="1481"/>
      <c r="CG35" s="1482"/>
      <c r="CH35" s="1486">
        <f t="shared" si="1"/>
        <v>991144</v>
      </c>
      <c r="CI35" s="1487"/>
      <c r="CJ35" s="1487"/>
      <c r="CK35" s="1487"/>
      <c r="CL35" s="1487"/>
      <c r="CM35" s="1487"/>
      <c r="CN35" s="1488"/>
      <c r="CO35" s="1480">
        <f>20059</f>
        <v>20059</v>
      </c>
      <c r="CP35" s="1481"/>
      <c r="CQ35" s="1481"/>
      <c r="CR35" s="1481"/>
      <c r="CS35" s="1481"/>
      <c r="CT35" s="1481"/>
      <c r="CU35" s="1482"/>
      <c r="CV35" s="1480">
        <v>942292</v>
      </c>
      <c r="CW35" s="1481"/>
      <c r="CX35" s="1481"/>
      <c r="CY35" s="1481"/>
      <c r="CZ35" s="1481"/>
      <c r="DA35" s="1481"/>
      <c r="DB35" s="1481"/>
      <c r="DC35" s="1481"/>
      <c r="DD35" s="1482"/>
      <c r="DE35" s="1480">
        <v>942292</v>
      </c>
      <c r="DF35" s="1481"/>
      <c r="DG35" s="1481"/>
      <c r="DH35" s="1481"/>
      <c r="DI35" s="1481"/>
      <c r="DJ35" s="1481"/>
      <c r="DK35" s="1481"/>
      <c r="DL35" s="1481"/>
      <c r="DM35" s="1482"/>
      <c r="DN35" s="1480">
        <v>886228</v>
      </c>
      <c r="DO35" s="1481"/>
      <c r="DP35" s="1481"/>
      <c r="DQ35" s="1481"/>
      <c r="DR35" s="1481"/>
      <c r="DS35" s="1481"/>
      <c r="DT35" s="1482"/>
      <c r="DU35" s="1480">
        <v>33752</v>
      </c>
      <c r="DV35" s="1481"/>
      <c r="DW35" s="1481"/>
      <c r="DX35" s="1481"/>
      <c r="DY35" s="1481"/>
      <c r="DZ35" s="1481"/>
      <c r="EA35" s="1482"/>
      <c r="EB35" s="1480">
        <v>919980</v>
      </c>
      <c r="EC35" s="1481"/>
      <c r="ED35" s="1481"/>
      <c r="EE35" s="1481"/>
      <c r="EF35" s="1481"/>
      <c r="EG35" s="1481"/>
      <c r="EH35" s="1482"/>
      <c r="EI35" s="1480">
        <v>22312</v>
      </c>
      <c r="EJ35" s="1481"/>
      <c r="EK35" s="1481"/>
      <c r="EL35" s="1481"/>
      <c r="EM35" s="1481"/>
      <c r="EN35" s="1481"/>
      <c r="EO35" s="1482"/>
      <c r="EP35" s="1480"/>
      <c r="EQ35" s="1481"/>
      <c r="ER35" s="1481"/>
      <c r="ES35" s="1481"/>
      <c r="ET35" s="1481"/>
      <c r="EU35" s="1481"/>
      <c r="EV35" s="1481"/>
      <c r="EW35" s="1481"/>
      <c r="EX35" s="1481"/>
      <c r="EY35" s="1482"/>
    </row>
    <row r="36" spans="1:155" s="430" customFormat="1" ht="7.8">
      <c r="A36" s="1495" t="s">
        <v>1581</v>
      </c>
      <c r="B36" s="1496"/>
      <c r="C36" s="1496"/>
      <c r="D36" s="1496"/>
      <c r="E36" s="1496"/>
      <c r="F36" s="1496"/>
      <c r="G36" s="1496"/>
      <c r="H36" s="1496"/>
      <c r="I36" s="1496"/>
      <c r="J36" s="1496"/>
      <c r="K36" s="1496"/>
      <c r="L36" s="1496"/>
      <c r="M36" s="1496"/>
      <c r="N36" s="1496"/>
      <c r="O36" s="1496"/>
      <c r="P36" s="1496"/>
      <c r="Q36" s="1496"/>
      <c r="R36" s="1496"/>
      <c r="S36" s="1496"/>
      <c r="T36" s="1496"/>
      <c r="U36" s="1496"/>
      <c r="V36" s="1496"/>
      <c r="W36" s="1496"/>
      <c r="X36" s="1496"/>
      <c r="Y36" s="1496"/>
      <c r="Z36" s="1496"/>
      <c r="AA36" s="1496"/>
      <c r="AB36" s="1496"/>
      <c r="AC36" s="1496"/>
      <c r="AD36" s="1496"/>
      <c r="AE36" s="1496"/>
      <c r="AF36" s="1496"/>
      <c r="AG36" s="1496"/>
      <c r="AH36" s="1496"/>
      <c r="AI36" s="1496"/>
      <c r="AJ36" s="1496"/>
      <c r="AK36" s="1496"/>
      <c r="AL36" s="1496"/>
      <c r="AM36" s="1497"/>
      <c r="AN36" s="1498" t="s">
        <v>121</v>
      </c>
      <c r="AO36" s="1499"/>
      <c r="AP36" s="1499"/>
      <c r="AQ36" s="1499"/>
      <c r="AR36" s="1499"/>
      <c r="AS36" s="1499"/>
      <c r="AT36" s="1499"/>
      <c r="AU36" s="1500"/>
      <c r="AV36" s="1501"/>
      <c r="AW36" s="1502"/>
      <c r="AX36" s="1502"/>
      <c r="AY36" s="1502"/>
      <c r="AZ36" s="1502"/>
      <c r="BA36" s="1503"/>
      <c r="BB36" s="1504">
        <f>CH36+CO36</f>
        <v>312618</v>
      </c>
      <c r="BC36" s="1505"/>
      <c r="BD36" s="1505"/>
      <c r="BE36" s="1505"/>
      <c r="BF36" s="1505"/>
      <c r="BG36" s="1505"/>
      <c r="BH36" s="1505"/>
      <c r="BI36" s="1505"/>
      <c r="BJ36" s="1506"/>
      <c r="BK36" s="1504">
        <f>BB36</f>
        <v>312618</v>
      </c>
      <c r="BL36" s="1505"/>
      <c r="BM36" s="1505"/>
      <c r="BN36" s="1505"/>
      <c r="BO36" s="1505"/>
      <c r="BP36" s="1505"/>
      <c r="BQ36" s="1505"/>
      <c r="BR36" s="1505"/>
      <c r="BS36" s="1506"/>
      <c r="BT36" s="1504">
        <v>298152</v>
      </c>
      <c r="BU36" s="1505"/>
      <c r="BV36" s="1505"/>
      <c r="BW36" s="1505"/>
      <c r="BX36" s="1505"/>
      <c r="BY36" s="1505"/>
      <c r="BZ36" s="1506"/>
      <c r="CA36" s="1504">
        <v>11444</v>
      </c>
      <c r="CB36" s="1505"/>
      <c r="CC36" s="1505"/>
      <c r="CD36" s="1505"/>
      <c r="CE36" s="1505"/>
      <c r="CF36" s="1505"/>
      <c r="CG36" s="1506"/>
      <c r="CH36" s="1507">
        <f t="shared" si="1"/>
        <v>309596</v>
      </c>
      <c r="CI36" s="1508"/>
      <c r="CJ36" s="1508"/>
      <c r="CK36" s="1508"/>
      <c r="CL36" s="1508"/>
      <c r="CM36" s="1508"/>
      <c r="CN36" s="1509"/>
      <c r="CO36" s="1504">
        <v>3022</v>
      </c>
      <c r="CP36" s="1505"/>
      <c r="CQ36" s="1505"/>
      <c r="CR36" s="1505"/>
      <c r="CS36" s="1505"/>
      <c r="CT36" s="1505"/>
      <c r="CU36" s="1506"/>
      <c r="CV36" s="1504">
        <f>EB36+EI36</f>
        <v>289913</v>
      </c>
      <c r="CW36" s="1505"/>
      <c r="CX36" s="1505"/>
      <c r="CY36" s="1505"/>
      <c r="CZ36" s="1505"/>
      <c r="DA36" s="1505"/>
      <c r="DB36" s="1505"/>
      <c r="DC36" s="1505"/>
      <c r="DD36" s="1506"/>
      <c r="DE36" s="1504">
        <f>CV36</f>
        <v>289913</v>
      </c>
      <c r="DF36" s="1505"/>
      <c r="DG36" s="1505"/>
      <c r="DH36" s="1505"/>
      <c r="DI36" s="1505"/>
      <c r="DJ36" s="1505"/>
      <c r="DK36" s="1505"/>
      <c r="DL36" s="1505"/>
      <c r="DM36" s="1506"/>
      <c r="DN36" s="1504">
        <v>279154</v>
      </c>
      <c r="DO36" s="1505"/>
      <c r="DP36" s="1505"/>
      <c r="DQ36" s="1505"/>
      <c r="DR36" s="1505"/>
      <c r="DS36" s="1505"/>
      <c r="DT36" s="1506"/>
      <c r="DU36" s="1504">
        <v>7438</v>
      </c>
      <c r="DV36" s="1505"/>
      <c r="DW36" s="1505"/>
      <c r="DX36" s="1505"/>
      <c r="DY36" s="1505"/>
      <c r="DZ36" s="1505"/>
      <c r="EA36" s="1506"/>
      <c r="EB36" s="1504">
        <f t="shared" ref="EB36:EB42" si="2">DN36+DU36</f>
        <v>286592</v>
      </c>
      <c r="EC36" s="1505"/>
      <c r="ED36" s="1505"/>
      <c r="EE36" s="1505"/>
      <c r="EF36" s="1505"/>
      <c r="EG36" s="1505"/>
      <c r="EH36" s="1506"/>
      <c r="EI36" s="1504">
        <v>3321</v>
      </c>
      <c r="EJ36" s="1505"/>
      <c r="EK36" s="1505"/>
      <c r="EL36" s="1505"/>
      <c r="EM36" s="1505"/>
      <c r="EN36" s="1505"/>
      <c r="EO36" s="1506"/>
      <c r="EP36" s="1504"/>
      <c r="EQ36" s="1505"/>
      <c r="ER36" s="1505"/>
      <c r="ES36" s="1505"/>
      <c r="ET36" s="1505"/>
      <c r="EU36" s="1505"/>
      <c r="EV36" s="1505"/>
      <c r="EW36" s="1505"/>
      <c r="EX36" s="1505"/>
      <c r="EY36" s="1506"/>
    </row>
    <row r="37" spans="1:155" s="430" customFormat="1" ht="7.8">
      <c r="A37" s="1495" t="s">
        <v>1582</v>
      </c>
      <c r="B37" s="1496"/>
      <c r="C37" s="1496"/>
      <c r="D37" s="1496"/>
      <c r="E37" s="1496"/>
      <c r="F37" s="1496"/>
      <c r="G37" s="1496"/>
      <c r="H37" s="1496"/>
      <c r="I37" s="1496"/>
      <c r="J37" s="1496"/>
      <c r="K37" s="1496"/>
      <c r="L37" s="1496"/>
      <c r="M37" s="1496"/>
      <c r="N37" s="1496"/>
      <c r="O37" s="1496"/>
      <c r="P37" s="1496"/>
      <c r="Q37" s="1496"/>
      <c r="R37" s="1496"/>
      <c r="S37" s="1496"/>
      <c r="T37" s="1496"/>
      <c r="U37" s="1496"/>
      <c r="V37" s="1496"/>
      <c r="W37" s="1496"/>
      <c r="X37" s="1496"/>
      <c r="Y37" s="1496"/>
      <c r="Z37" s="1496"/>
      <c r="AA37" s="1496"/>
      <c r="AB37" s="1496"/>
      <c r="AC37" s="1496"/>
      <c r="AD37" s="1496"/>
      <c r="AE37" s="1496"/>
      <c r="AF37" s="1496"/>
      <c r="AG37" s="1496"/>
      <c r="AH37" s="1496"/>
      <c r="AI37" s="1496"/>
      <c r="AJ37" s="1496"/>
      <c r="AK37" s="1496"/>
      <c r="AL37" s="1496"/>
      <c r="AM37" s="1497"/>
      <c r="AN37" s="1498" t="s">
        <v>121</v>
      </c>
      <c r="AO37" s="1499"/>
      <c r="AP37" s="1499"/>
      <c r="AQ37" s="1499"/>
      <c r="AR37" s="1499"/>
      <c r="AS37" s="1499"/>
      <c r="AT37" s="1499"/>
      <c r="AU37" s="1500"/>
      <c r="AV37" s="1501"/>
      <c r="AW37" s="1502"/>
      <c r="AX37" s="1502"/>
      <c r="AY37" s="1502"/>
      <c r="AZ37" s="1502"/>
      <c r="BA37" s="1503"/>
      <c r="BB37" s="1504">
        <f>CH37+CO37</f>
        <v>263437</v>
      </c>
      <c r="BC37" s="1505"/>
      <c r="BD37" s="1505"/>
      <c r="BE37" s="1505"/>
      <c r="BF37" s="1505"/>
      <c r="BG37" s="1505"/>
      <c r="BH37" s="1505"/>
      <c r="BI37" s="1505"/>
      <c r="BJ37" s="1506"/>
      <c r="BK37" s="1504">
        <f t="shared" si="0"/>
        <v>263437</v>
      </c>
      <c r="BL37" s="1505"/>
      <c r="BM37" s="1505"/>
      <c r="BN37" s="1505"/>
      <c r="BO37" s="1505"/>
      <c r="BP37" s="1505"/>
      <c r="BQ37" s="1505"/>
      <c r="BR37" s="1505"/>
      <c r="BS37" s="1506"/>
      <c r="BT37" s="1504">
        <v>234860</v>
      </c>
      <c r="BU37" s="1505"/>
      <c r="BV37" s="1505"/>
      <c r="BW37" s="1505"/>
      <c r="BX37" s="1505"/>
      <c r="BY37" s="1505"/>
      <c r="BZ37" s="1506"/>
      <c r="CA37" s="1504">
        <v>22720</v>
      </c>
      <c r="CB37" s="1505"/>
      <c r="CC37" s="1505"/>
      <c r="CD37" s="1505"/>
      <c r="CE37" s="1505"/>
      <c r="CF37" s="1505"/>
      <c r="CG37" s="1506"/>
      <c r="CH37" s="1507">
        <f t="shared" si="1"/>
        <v>257580</v>
      </c>
      <c r="CI37" s="1508"/>
      <c r="CJ37" s="1508"/>
      <c r="CK37" s="1508"/>
      <c r="CL37" s="1508"/>
      <c r="CM37" s="1508"/>
      <c r="CN37" s="1509"/>
      <c r="CO37" s="1504">
        <v>5857</v>
      </c>
      <c r="CP37" s="1505"/>
      <c r="CQ37" s="1505"/>
      <c r="CR37" s="1505"/>
      <c r="CS37" s="1505"/>
      <c r="CT37" s="1505"/>
      <c r="CU37" s="1506"/>
      <c r="CV37" s="1504">
        <f>EB37+EI37</f>
        <v>249644</v>
      </c>
      <c r="CW37" s="1505"/>
      <c r="CX37" s="1505"/>
      <c r="CY37" s="1505"/>
      <c r="CZ37" s="1505"/>
      <c r="DA37" s="1505"/>
      <c r="DB37" s="1505"/>
      <c r="DC37" s="1505"/>
      <c r="DD37" s="1506"/>
      <c r="DE37" s="1504">
        <f>CV37</f>
        <v>249644</v>
      </c>
      <c r="DF37" s="1505"/>
      <c r="DG37" s="1505"/>
      <c r="DH37" s="1505"/>
      <c r="DI37" s="1505"/>
      <c r="DJ37" s="1505"/>
      <c r="DK37" s="1505"/>
      <c r="DL37" s="1505"/>
      <c r="DM37" s="1506"/>
      <c r="DN37" s="1504">
        <v>221661</v>
      </c>
      <c r="DO37" s="1505"/>
      <c r="DP37" s="1505"/>
      <c r="DQ37" s="1505"/>
      <c r="DR37" s="1505"/>
      <c r="DS37" s="1505"/>
      <c r="DT37" s="1506"/>
      <c r="DU37" s="1504">
        <v>22127</v>
      </c>
      <c r="DV37" s="1505"/>
      <c r="DW37" s="1505"/>
      <c r="DX37" s="1505"/>
      <c r="DY37" s="1505"/>
      <c r="DZ37" s="1505"/>
      <c r="EA37" s="1506"/>
      <c r="EB37" s="1504">
        <f t="shared" si="2"/>
        <v>243788</v>
      </c>
      <c r="EC37" s="1505"/>
      <c r="ED37" s="1505"/>
      <c r="EE37" s="1505"/>
      <c r="EF37" s="1505"/>
      <c r="EG37" s="1505"/>
      <c r="EH37" s="1506"/>
      <c r="EI37" s="1504">
        <v>5856</v>
      </c>
      <c r="EJ37" s="1505"/>
      <c r="EK37" s="1505"/>
      <c r="EL37" s="1505"/>
      <c r="EM37" s="1505"/>
      <c r="EN37" s="1505"/>
      <c r="EO37" s="1506"/>
      <c r="EP37" s="1504"/>
      <c r="EQ37" s="1505"/>
      <c r="ER37" s="1505"/>
      <c r="ES37" s="1505"/>
      <c r="ET37" s="1505"/>
      <c r="EU37" s="1505"/>
      <c r="EV37" s="1505"/>
      <c r="EW37" s="1505"/>
      <c r="EX37" s="1505"/>
      <c r="EY37" s="1506"/>
    </row>
    <row r="38" spans="1:155" s="430" customFormat="1" ht="7.8">
      <c r="A38" s="1495" t="s">
        <v>1583</v>
      </c>
      <c r="B38" s="1496"/>
      <c r="C38" s="1496"/>
      <c r="D38" s="1496"/>
      <c r="E38" s="1496"/>
      <c r="F38" s="1496"/>
      <c r="G38" s="1496"/>
      <c r="H38" s="1496"/>
      <c r="I38" s="1496"/>
      <c r="J38" s="1496"/>
      <c r="K38" s="1496"/>
      <c r="L38" s="1496"/>
      <c r="M38" s="1496"/>
      <c r="N38" s="1496"/>
      <c r="O38" s="1496"/>
      <c r="P38" s="1496"/>
      <c r="Q38" s="1496"/>
      <c r="R38" s="1496"/>
      <c r="S38" s="1496"/>
      <c r="T38" s="1496"/>
      <c r="U38" s="1496"/>
      <c r="V38" s="1496"/>
      <c r="W38" s="1496"/>
      <c r="X38" s="1496"/>
      <c r="Y38" s="1496"/>
      <c r="Z38" s="1496"/>
      <c r="AA38" s="1496"/>
      <c r="AB38" s="1496"/>
      <c r="AC38" s="1496"/>
      <c r="AD38" s="1496"/>
      <c r="AE38" s="1496"/>
      <c r="AF38" s="1496"/>
      <c r="AG38" s="1496"/>
      <c r="AH38" s="1496"/>
      <c r="AI38" s="1496"/>
      <c r="AJ38" s="1496"/>
      <c r="AK38" s="1496"/>
      <c r="AL38" s="1496"/>
      <c r="AM38" s="1497"/>
      <c r="AN38" s="1498" t="s">
        <v>121</v>
      </c>
      <c r="AO38" s="1499"/>
      <c r="AP38" s="1499"/>
      <c r="AQ38" s="1499"/>
      <c r="AR38" s="1499"/>
      <c r="AS38" s="1499"/>
      <c r="AT38" s="1499"/>
      <c r="AU38" s="1500"/>
      <c r="AV38" s="1501"/>
      <c r="AW38" s="1502"/>
      <c r="AX38" s="1502"/>
      <c r="AY38" s="1502"/>
      <c r="AZ38" s="1502"/>
      <c r="BA38" s="1503"/>
      <c r="BB38" s="1504">
        <f>CH38+CO38</f>
        <v>435148</v>
      </c>
      <c r="BC38" s="1505"/>
      <c r="BD38" s="1505"/>
      <c r="BE38" s="1505"/>
      <c r="BF38" s="1505"/>
      <c r="BG38" s="1505"/>
      <c r="BH38" s="1505"/>
      <c r="BI38" s="1505"/>
      <c r="BJ38" s="1506"/>
      <c r="BK38" s="1504">
        <f t="shared" si="0"/>
        <v>435148</v>
      </c>
      <c r="BL38" s="1505"/>
      <c r="BM38" s="1505"/>
      <c r="BN38" s="1505"/>
      <c r="BO38" s="1505"/>
      <c r="BP38" s="1505"/>
      <c r="BQ38" s="1505"/>
      <c r="BR38" s="1505"/>
      <c r="BS38" s="1506"/>
      <c r="BT38" s="1504">
        <f>BT35-BT36-BT37</f>
        <v>420587</v>
      </c>
      <c r="BU38" s="1505"/>
      <c r="BV38" s="1505"/>
      <c r="BW38" s="1505"/>
      <c r="BX38" s="1505"/>
      <c r="BY38" s="1505"/>
      <c r="BZ38" s="1506"/>
      <c r="CA38" s="1504">
        <f>CA35-CA36-CA37</f>
        <v>3381</v>
      </c>
      <c r="CB38" s="1505"/>
      <c r="CC38" s="1505"/>
      <c r="CD38" s="1505"/>
      <c r="CE38" s="1505"/>
      <c r="CF38" s="1505"/>
      <c r="CG38" s="1506"/>
      <c r="CH38" s="1507">
        <f t="shared" si="1"/>
        <v>423968</v>
      </c>
      <c r="CI38" s="1508"/>
      <c r="CJ38" s="1508"/>
      <c r="CK38" s="1508"/>
      <c r="CL38" s="1508"/>
      <c r="CM38" s="1508"/>
      <c r="CN38" s="1509"/>
      <c r="CO38" s="1504">
        <f>CO35-CO36-CO37</f>
        <v>11180</v>
      </c>
      <c r="CP38" s="1505"/>
      <c r="CQ38" s="1505"/>
      <c r="CR38" s="1505"/>
      <c r="CS38" s="1505"/>
      <c r="CT38" s="1505"/>
      <c r="CU38" s="1506"/>
      <c r="CV38" s="1504">
        <f>EB38+EI38</f>
        <v>402735</v>
      </c>
      <c r="CW38" s="1505"/>
      <c r="CX38" s="1505"/>
      <c r="CY38" s="1505"/>
      <c r="CZ38" s="1505"/>
      <c r="DA38" s="1505"/>
      <c r="DB38" s="1505"/>
      <c r="DC38" s="1505"/>
      <c r="DD38" s="1506"/>
      <c r="DE38" s="1504">
        <f>CV38</f>
        <v>402735</v>
      </c>
      <c r="DF38" s="1505"/>
      <c r="DG38" s="1505"/>
      <c r="DH38" s="1505"/>
      <c r="DI38" s="1505"/>
      <c r="DJ38" s="1505"/>
      <c r="DK38" s="1505"/>
      <c r="DL38" s="1505"/>
      <c r="DM38" s="1506"/>
      <c r="DN38" s="1504">
        <v>385413</v>
      </c>
      <c r="DO38" s="1505"/>
      <c r="DP38" s="1505"/>
      <c r="DQ38" s="1505"/>
      <c r="DR38" s="1505"/>
      <c r="DS38" s="1505"/>
      <c r="DT38" s="1506"/>
      <c r="DU38" s="1504">
        <v>4187</v>
      </c>
      <c r="DV38" s="1505"/>
      <c r="DW38" s="1505"/>
      <c r="DX38" s="1505"/>
      <c r="DY38" s="1505"/>
      <c r="DZ38" s="1505"/>
      <c r="EA38" s="1506"/>
      <c r="EB38" s="1504">
        <f t="shared" si="2"/>
        <v>389600</v>
      </c>
      <c r="EC38" s="1505"/>
      <c r="ED38" s="1505"/>
      <c r="EE38" s="1505"/>
      <c r="EF38" s="1505"/>
      <c r="EG38" s="1505"/>
      <c r="EH38" s="1506"/>
      <c r="EI38" s="1504">
        <v>13135</v>
      </c>
      <c r="EJ38" s="1505"/>
      <c r="EK38" s="1505"/>
      <c r="EL38" s="1505"/>
      <c r="EM38" s="1505"/>
      <c r="EN38" s="1505"/>
      <c r="EO38" s="1506"/>
      <c r="EP38" s="1504"/>
      <c r="EQ38" s="1505"/>
      <c r="ER38" s="1505"/>
      <c r="ES38" s="1505"/>
      <c r="ET38" s="1505"/>
      <c r="EU38" s="1505"/>
      <c r="EV38" s="1505"/>
      <c r="EW38" s="1505"/>
      <c r="EX38" s="1505"/>
      <c r="EY38" s="1506"/>
    </row>
    <row r="39" spans="1:155" s="430" customFormat="1" ht="16.5" customHeight="1">
      <c r="A39" s="1510" t="s">
        <v>1584</v>
      </c>
      <c r="B39" s="1511"/>
      <c r="C39" s="1511"/>
      <c r="D39" s="1511"/>
      <c r="E39" s="1511"/>
      <c r="F39" s="1511"/>
      <c r="G39" s="1511"/>
      <c r="H39" s="1511"/>
      <c r="I39" s="1511"/>
      <c r="J39" s="1511"/>
      <c r="K39" s="1511"/>
      <c r="L39" s="1511"/>
      <c r="M39" s="1511"/>
      <c r="N39" s="1511"/>
      <c r="O39" s="1511"/>
      <c r="P39" s="1511"/>
      <c r="Q39" s="1511"/>
      <c r="R39" s="1511"/>
      <c r="S39" s="1511"/>
      <c r="T39" s="1511"/>
      <c r="U39" s="1511"/>
      <c r="V39" s="1511"/>
      <c r="W39" s="1511"/>
      <c r="X39" s="1511"/>
      <c r="Y39" s="1511"/>
      <c r="Z39" s="1511"/>
      <c r="AA39" s="1511"/>
      <c r="AB39" s="1511"/>
      <c r="AC39" s="1511"/>
      <c r="AD39" s="1511"/>
      <c r="AE39" s="1511"/>
      <c r="AF39" s="1511"/>
      <c r="AG39" s="1511"/>
      <c r="AH39" s="1511"/>
      <c r="AI39" s="1511"/>
      <c r="AJ39" s="1511"/>
      <c r="AK39" s="1511"/>
      <c r="AL39" s="1511"/>
      <c r="AM39" s="1512"/>
      <c r="AN39" s="1474" t="s">
        <v>1585</v>
      </c>
      <c r="AO39" s="1475"/>
      <c r="AP39" s="1475"/>
      <c r="AQ39" s="1475"/>
      <c r="AR39" s="1475"/>
      <c r="AS39" s="1475"/>
      <c r="AT39" s="1475"/>
      <c r="AU39" s="1476"/>
      <c r="AV39" s="1477"/>
      <c r="AW39" s="1478"/>
      <c r="AX39" s="1478"/>
      <c r="AY39" s="1478"/>
      <c r="AZ39" s="1478"/>
      <c r="BA39" s="1479"/>
      <c r="BB39" s="1480">
        <v>3065</v>
      </c>
      <c r="BC39" s="1481"/>
      <c r="BD39" s="1481"/>
      <c r="BE39" s="1481"/>
      <c r="BF39" s="1481"/>
      <c r="BG39" s="1481"/>
      <c r="BH39" s="1481"/>
      <c r="BI39" s="1481"/>
      <c r="BJ39" s="1482"/>
      <c r="BK39" s="1480">
        <v>3065</v>
      </c>
      <c r="BL39" s="1481"/>
      <c r="BM39" s="1481"/>
      <c r="BN39" s="1481"/>
      <c r="BO39" s="1481"/>
      <c r="BP39" s="1481"/>
      <c r="BQ39" s="1481"/>
      <c r="BR39" s="1481"/>
      <c r="BS39" s="1482"/>
      <c r="BT39" s="1480">
        <v>2903</v>
      </c>
      <c r="BU39" s="1481"/>
      <c r="BV39" s="1481"/>
      <c r="BW39" s="1481"/>
      <c r="BX39" s="1481"/>
      <c r="BY39" s="1481"/>
      <c r="BZ39" s="1482"/>
      <c r="CA39" s="1480">
        <v>116</v>
      </c>
      <c r="CB39" s="1481"/>
      <c r="CC39" s="1481"/>
      <c r="CD39" s="1481"/>
      <c r="CE39" s="1481"/>
      <c r="CF39" s="1481"/>
      <c r="CG39" s="1482"/>
      <c r="CH39" s="1486">
        <f t="shared" si="1"/>
        <v>3019</v>
      </c>
      <c r="CI39" s="1487"/>
      <c r="CJ39" s="1487"/>
      <c r="CK39" s="1487"/>
      <c r="CL39" s="1487"/>
      <c r="CM39" s="1487"/>
      <c r="CN39" s="1488"/>
      <c r="CO39" s="1480">
        <v>46</v>
      </c>
      <c r="CP39" s="1481"/>
      <c r="CQ39" s="1481"/>
      <c r="CR39" s="1481"/>
      <c r="CS39" s="1481"/>
      <c r="CT39" s="1481"/>
      <c r="CU39" s="1482"/>
      <c r="CV39" s="1480">
        <v>2949</v>
      </c>
      <c r="CW39" s="1481"/>
      <c r="CX39" s="1481"/>
      <c r="CY39" s="1481"/>
      <c r="CZ39" s="1481"/>
      <c r="DA39" s="1481"/>
      <c r="DB39" s="1481"/>
      <c r="DC39" s="1481"/>
      <c r="DD39" s="1482"/>
      <c r="DE39" s="1480">
        <v>2949</v>
      </c>
      <c r="DF39" s="1481"/>
      <c r="DG39" s="1481"/>
      <c r="DH39" s="1481"/>
      <c r="DI39" s="1481"/>
      <c r="DJ39" s="1481"/>
      <c r="DK39" s="1481"/>
      <c r="DL39" s="1481"/>
      <c r="DM39" s="1482"/>
      <c r="DN39" s="1480">
        <v>2785</v>
      </c>
      <c r="DO39" s="1481"/>
      <c r="DP39" s="1481"/>
      <c r="DQ39" s="1481"/>
      <c r="DR39" s="1481"/>
      <c r="DS39" s="1481"/>
      <c r="DT39" s="1482"/>
      <c r="DU39" s="1480">
        <v>109</v>
      </c>
      <c r="DV39" s="1481"/>
      <c r="DW39" s="1481"/>
      <c r="DX39" s="1481"/>
      <c r="DY39" s="1481"/>
      <c r="DZ39" s="1481"/>
      <c r="EA39" s="1482"/>
      <c r="EB39" s="1486">
        <f t="shared" si="2"/>
        <v>2894</v>
      </c>
      <c r="EC39" s="1487"/>
      <c r="ED39" s="1487"/>
      <c r="EE39" s="1487"/>
      <c r="EF39" s="1487"/>
      <c r="EG39" s="1487"/>
      <c r="EH39" s="1488"/>
      <c r="EI39" s="1480">
        <v>55</v>
      </c>
      <c r="EJ39" s="1481"/>
      <c r="EK39" s="1481"/>
      <c r="EL39" s="1481"/>
      <c r="EM39" s="1481"/>
      <c r="EN39" s="1481"/>
      <c r="EO39" s="1482"/>
      <c r="EP39" s="1480"/>
      <c r="EQ39" s="1481"/>
      <c r="ER39" s="1481"/>
      <c r="ES39" s="1481"/>
      <c r="ET39" s="1481"/>
      <c r="EU39" s="1481"/>
      <c r="EV39" s="1481"/>
      <c r="EW39" s="1481"/>
      <c r="EX39" s="1481"/>
      <c r="EY39" s="1482"/>
    </row>
    <row r="40" spans="1:155" s="430" customFormat="1" ht="7.8">
      <c r="A40" s="1492" t="s">
        <v>1581</v>
      </c>
      <c r="B40" s="1493"/>
      <c r="C40" s="1493"/>
      <c r="D40" s="1493"/>
      <c r="E40" s="1493"/>
      <c r="F40" s="1493"/>
      <c r="G40" s="1493"/>
      <c r="H40" s="1493"/>
      <c r="I40" s="1493"/>
      <c r="J40" s="1493"/>
      <c r="K40" s="1493"/>
      <c r="L40" s="1493"/>
      <c r="M40" s="1493"/>
      <c r="N40" s="1493"/>
      <c r="O40" s="1493"/>
      <c r="P40" s="1493"/>
      <c r="Q40" s="1493"/>
      <c r="R40" s="1493"/>
      <c r="S40" s="1493"/>
      <c r="T40" s="1493"/>
      <c r="U40" s="1493"/>
      <c r="V40" s="1493"/>
      <c r="W40" s="1493"/>
      <c r="X40" s="1493"/>
      <c r="Y40" s="1493"/>
      <c r="Z40" s="1493"/>
      <c r="AA40" s="1493"/>
      <c r="AB40" s="1493"/>
      <c r="AC40" s="1493"/>
      <c r="AD40" s="1493"/>
      <c r="AE40" s="1493"/>
      <c r="AF40" s="1493"/>
      <c r="AG40" s="1493"/>
      <c r="AH40" s="1493"/>
      <c r="AI40" s="1493"/>
      <c r="AJ40" s="1493"/>
      <c r="AK40" s="1493"/>
      <c r="AL40" s="1493"/>
      <c r="AM40" s="1494"/>
      <c r="AN40" s="1474" t="s">
        <v>1585</v>
      </c>
      <c r="AO40" s="1475"/>
      <c r="AP40" s="1475"/>
      <c r="AQ40" s="1475"/>
      <c r="AR40" s="1475"/>
      <c r="AS40" s="1475"/>
      <c r="AT40" s="1475"/>
      <c r="AU40" s="1476"/>
      <c r="AV40" s="1477"/>
      <c r="AW40" s="1478"/>
      <c r="AX40" s="1478"/>
      <c r="AY40" s="1478"/>
      <c r="AZ40" s="1478"/>
      <c r="BA40" s="1479"/>
      <c r="BB40" s="1480">
        <v>524</v>
      </c>
      <c r="BC40" s="1481"/>
      <c r="BD40" s="1481"/>
      <c r="BE40" s="1481"/>
      <c r="BF40" s="1481"/>
      <c r="BG40" s="1481"/>
      <c r="BH40" s="1481"/>
      <c r="BI40" s="1481"/>
      <c r="BJ40" s="1482"/>
      <c r="BK40" s="1480">
        <v>524</v>
      </c>
      <c r="BL40" s="1481"/>
      <c r="BM40" s="1481"/>
      <c r="BN40" s="1481"/>
      <c r="BO40" s="1481"/>
      <c r="BP40" s="1481"/>
      <c r="BQ40" s="1481"/>
      <c r="BR40" s="1481"/>
      <c r="BS40" s="1482"/>
      <c r="BT40" s="1480">
        <v>496</v>
      </c>
      <c r="BU40" s="1481"/>
      <c r="BV40" s="1481"/>
      <c r="BW40" s="1481"/>
      <c r="BX40" s="1481"/>
      <c r="BY40" s="1481"/>
      <c r="BZ40" s="1482"/>
      <c r="CA40" s="1480">
        <v>22</v>
      </c>
      <c r="CB40" s="1481"/>
      <c r="CC40" s="1481"/>
      <c r="CD40" s="1481"/>
      <c r="CE40" s="1481"/>
      <c r="CF40" s="1481"/>
      <c r="CG40" s="1482"/>
      <c r="CH40" s="1486">
        <f t="shared" si="1"/>
        <v>518</v>
      </c>
      <c r="CI40" s="1487"/>
      <c r="CJ40" s="1487"/>
      <c r="CK40" s="1487"/>
      <c r="CL40" s="1487"/>
      <c r="CM40" s="1487"/>
      <c r="CN40" s="1488"/>
      <c r="CO40" s="1480">
        <v>6</v>
      </c>
      <c r="CP40" s="1481"/>
      <c r="CQ40" s="1481"/>
      <c r="CR40" s="1481"/>
      <c r="CS40" s="1481"/>
      <c r="CT40" s="1481"/>
      <c r="CU40" s="1482"/>
      <c r="CV40" s="1480">
        <v>490</v>
      </c>
      <c r="CW40" s="1481"/>
      <c r="CX40" s="1481"/>
      <c r="CY40" s="1481"/>
      <c r="CZ40" s="1481"/>
      <c r="DA40" s="1481"/>
      <c r="DB40" s="1481"/>
      <c r="DC40" s="1481"/>
      <c r="DD40" s="1482"/>
      <c r="DE40" s="1480">
        <v>490</v>
      </c>
      <c r="DF40" s="1481"/>
      <c r="DG40" s="1481"/>
      <c r="DH40" s="1481"/>
      <c r="DI40" s="1481"/>
      <c r="DJ40" s="1481"/>
      <c r="DK40" s="1481"/>
      <c r="DL40" s="1481"/>
      <c r="DM40" s="1482"/>
      <c r="DN40" s="1480">
        <v>465</v>
      </c>
      <c r="DO40" s="1481"/>
      <c r="DP40" s="1481"/>
      <c r="DQ40" s="1481"/>
      <c r="DR40" s="1481"/>
      <c r="DS40" s="1481"/>
      <c r="DT40" s="1482"/>
      <c r="DU40" s="1480">
        <v>19</v>
      </c>
      <c r="DV40" s="1481"/>
      <c r="DW40" s="1481"/>
      <c r="DX40" s="1481"/>
      <c r="DY40" s="1481"/>
      <c r="DZ40" s="1481"/>
      <c r="EA40" s="1482"/>
      <c r="EB40" s="1486">
        <f t="shared" si="2"/>
        <v>484</v>
      </c>
      <c r="EC40" s="1487"/>
      <c r="ED40" s="1487"/>
      <c r="EE40" s="1487"/>
      <c r="EF40" s="1487"/>
      <c r="EG40" s="1487"/>
      <c r="EH40" s="1488"/>
      <c r="EI40" s="1480">
        <v>6</v>
      </c>
      <c r="EJ40" s="1481"/>
      <c r="EK40" s="1481"/>
      <c r="EL40" s="1481"/>
      <c r="EM40" s="1481"/>
      <c r="EN40" s="1481"/>
      <c r="EO40" s="1482"/>
      <c r="EP40" s="1480"/>
      <c r="EQ40" s="1481"/>
      <c r="ER40" s="1481"/>
      <c r="ES40" s="1481"/>
      <c r="ET40" s="1481"/>
      <c r="EU40" s="1481"/>
      <c r="EV40" s="1481"/>
      <c r="EW40" s="1481"/>
      <c r="EX40" s="1481"/>
      <c r="EY40" s="1482"/>
    </row>
    <row r="41" spans="1:155" s="430" customFormat="1" ht="7.8">
      <c r="A41" s="1492" t="s">
        <v>1582</v>
      </c>
      <c r="B41" s="1493"/>
      <c r="C41" s="1493"/>
      <c r="D41" s="1493"/>
      <c r="E41" s="1493"/>
      <c r="F41" s="1493"/>
      <c r="G41" s="1493"/>
      <c r="H41" s="1493"/>
      <c r="I41" s="1493"/>
      <c r="J41" s="1493"/>
      <c r="K41" s="1493"/>
      <c r="L41" s="1493"/>
      <c r="M41" s="1493"/>
      <c r="N41" s="1493"/>
      <c r="O41" s="1493"/>
      <c r="P41" s="1493"/>
      <c r="Q41" s="1493"/>
      <c r="R41" s="1493"/>
      <c r="S41" s="1493"/>
      <c r="T41" s="1493"/>
      <c r="U41" s="1493"/>
      <c r="V41" s="1493"/>
      <c r="W41" s="1493"/>
      <c r="X41" s="1493"/>
      <c r="Y41" s="1493"/>
      <c r="Z41" s="1493"/>
      <c r="AA41" s="1493"/>
      <c r="AB41" s="1493"/>
      <c r="AC41" s="1493"/>
      <c r="AD41" s="1493"/>
      <c r="AE41" s="1493"/>
      <c r="AF41" s="1493"/>
      <c r="AG41" s="1493"/>
      <c r="AH41" s="1493"/>
      <c r="AI41" s="1493"/>
      <c r="AJ41" s="1493"/>
      <c r="AK41" s="1493"/>
      <c r="AL41" s="1493"/>
      <c r="AM41" s="1494"/>
      <c r="AN41" s="1474" t="s">
        <v>1585</v>
      </c>
      <c r="AO41" s="1475"/>
      <c r="AP41" s="1475"/>
      <c r="AQ41" s="1475"/>
      <c r="AR41" s="1475"/>
      <c r="AS41" s="1475"/>
      <c r="AT41" s="1475"/>
      <c r="AU41" s="1476"/>
      <c r="AV41" s="1477"/>
      <c r="AW41" s="1478"/>
      <c r="AX41" s="1478"/>
      <c r="AY41" s="1478"/>
      <c r="AZ41" s="1478"/>
      <c r="BA41" s="1479"/>
      <c r="BB41" s="1480">
        <v>832</v>
      </c>
      <c r="BC41" s="1481"/>
      <c r="BD41" s="1481"/>
      <c r="BE41" s="1481"/>
      <c r="BF41" s="1481"/>
      <c r="BG41" s="1481"/>
      <c r="BH41" s="1481"/>
      <c r="BI41" s="1481"/>
      <c r="BJ41" s="1482"/>
      <c r="BK41" s="1480">
        <v>832</v>
      </c>
      <c r="BL41" s="1481"/>
      <c r="BM41" s="1481"/>
      <c r="BN41" s="1481"/>
      <c r="BO41" s="1481"/>
      <c r="BP41" s="1481"/>
      <c r="BQ41" s="1481"/>
      <c r="BR41" s="1481"/>
      <c r="BS41" s="1482"/>
      <c r="BT41" s="1480">
        <v>739</v>
      </c>
      <c r="BU41" s="1481"/>
      <c r="BV41" s="1481"/>
      <c r="BW41" s="1481"/>
      <c r="BX41" s="1481"/>
      <c r="BY41" s="1481"/>
      <c r="BZ41" s="1482"/>
      <c r="CA41" s="1480">
        <v>78</v>
      </c>
      <c r="CB41" s="1481"/>
      <c r="CC41" s="1481"/>
      <c r="CD41" s="1481"/>
      <c r="CE41" s="1481"/>
      <c r="CF41" s="1481"/>
      <c r="CG41" s="1482"/>
      <c r="CH41" s="1486">
        <f t="shared" si="1"/>
        <v>817</v>
      </c>
      <c r="CI41" s="1487"/>
      <c r="CJ41" s="1487"/>
      <c r="CK41" s="1487"/>
      <c r="CL41" s="1487"/>
      <c r="CM41" s="1487"/>
      <c r="CN41" s="1488"/>
      <c r="CO41" s="1480">
        <v>15</v>
      </c>
      <c r="CP41" s="1481"/>
      <c r="CQ41" s="1481"/>
      <c r="CR41" s="1481"/>
      <c r="CS41" s="1481"/>
      <c r="CT41" s="1481"/>
      <c r="CU41" s="1482"/>
      <c r="CV41" s="1480">
        <v>817</v>
      </c>
      <c r="CW41" s="1481"/>
      <c r="CX41" s="1481"/>
      <c r="CY41" s="1481"/>
      <c r="CZ41" s="1481"/>
      <c r="DA41" s="1481"/>
      <c r="DB41" s="1481"/>
      <c r="DC41" s="1481"/>
      <c r="DD41" s="1482"/>
      <c r="DE41" s="1480">
        <v>817</v>
      </c>
      <c r="DF41" s="1481"/>
      <c r="DG41" s="1481"/>
      <c r="DH41" s="1481"/>
      <c r="DI41" s="1481"/>
      <c r="DJ41" s="1481"/>
      <c r="DK41" s="1481"/>
      <c r="DL41" s="1481"/>
      <c r="DM41" s="1482"/>
      <c r="DN41" s="1480">
        <v>727</v>
      </c>
      <c r="DO41" s="1481"/>
      <c r="DP41" s="1481"/>
      <c r="DQ41" s="1481"/>
      <c r="DR41" s="1481"/>
      <c r="DS41" s="1481"/>
      <c r="DT41" s="1482"/>
      <c r="DU41" s="1480">
        <v>72</v>
      </c>
      <c r="DV41" s="1481"/>
      <c r="DW41" s="1481"/>
      <c r="DX41" s="1481"/>
      <c r="DY41" s="1481"/>
      <c r="DZ41" s="1481"/>
      <c r="EA41" s="1482"/>
      <c r="EB41" s="1486">
        <f t="shared" si="2"/>
        <v>799</v>
      </c>
      <c r="EC41" s="1487"/>
      <c r="ED41" s="1487"/>
      <c r="EE41" s="1487"/>
      <c r="EF41" s="1487"/>
      <c r="EG41" s="1487"/>
      <c r="EH41" s="1488"/>
      <c r="EI41" s="1480">
        <v>18</v>
      </c>
      <c r="EJ41" s="1481"/>
      <c r="EK41" s="1481"/>
      <c r="EL41" s="1481"/>
      <c r="EM41" s="1481"/>
      <c r="EN41" s="1481"/>
      <c r="EO41" s="1482"/>
      <c r="EP41" s="1480"/>
      <c r="EQ41" s="1481"/>
      <c r="ER41" s="1481"/>
      <c r="ES41" s="1481"/>
      <c r="ET41" s="1481"/>
      <c r="EU41" s="1481"/>
      <c r="EV41" s="1481"/>
      <c r="EW41" s="1481"/>
      <c r="EX41" s="1481"/>
      <c r="EY41" s="1482"/>
    </row>
    <row r="42" spans="1:155" s="430" customFormat="1" ht="7.8">
      <c r="A42" s="1492" t="s">
        <v>1583</v>
      </c>
      <c r="B42" s="1493"/>
      <c r="C42" s="1493"/>
      <c r="D42" s="1493"/>
      <c r="E42" s="1493"/>
      <c r="F42" s="1493"/>
      <c r="G42" s="1493"/>
      <c r="H42" s="1493"/>
      <c r="I42" s="1493"/>
      <c r="J42" s="1493"/>
      <c r="K42" s="1493"/>
      <c r="L42" s="1493"/>
      <c r="M42" s="1493"/>
      <c r="N42" s="1493"/>
      <c r="O42" s="1493"/>
      <c r="P42" s="1493"/>
      <c r="Q42" s="1493"/>
      <c r="R42" s="1493"/>
      <c r="S42" s="1493"/>
      <c r="T42" s="1493"/>
      <c r="U42" s="1493"/>
      <c r="V42" s="1493"/>
      <c r="W42" s="1493"/>
      <c r="X42" s="1493"/>
      <c r="Y42" s="1493"/>
      <c r="Z42" s="1493"/>
      <c r="AA42" s="1493"/>
      <c r="AB42" s="1493"/>
      <c r="AC42" s="1493"/>
      <c r="AD42" s="1493"/>
      <c r="AE42" s="1493"/>
      <c r="AF42" s="1493"/>
      <c r="AG42" s="1493"/>
      <c r="AH42" s="1493"/>
      <c r="AI42" s="1493"/>
      <c r="AJ42" s="1493"/>
      <c r="AK42" s="1493"/>
      <c r="AL42" s="1493"/>
      <c r="AM42" s="1494"/>
      <c r="AN42" s="1474" t="s">
        <v>1585</v>
      </c>
      <c r="AO42" s="1475"/>
      <c r="AP42" s="1475"/>
      <c r="AQ42" s="1475"/>
      <c r="AR42" s="1475"/>
      <c r="AS42" s="1475"/>
      <c r="AT42" s="1475"/>
      <c r="AU42" s="1476"/>
      <c r="AV42" s="1477"/>
      <c r="AW42" s="1478"/>
      <c r="AX42" s="1478"/>
      <c r="AY42" s="1478"/>
      <c r="AZ42" s="1478"/>
      <c r="BA42" s="1479"/>
      <c r="BB42" s="1480">
        <v>1709</v>
      </c>
      <c r="BC42" s="1481"/>
      <c r="BD42" s="1481"/>
      <c r="BE42" s="1481"/>
      <c r="BF42" s="1481"/>
      <c r="BG42" s="1481"/>
      <c r="BH42" s="1481"/>
      <c r="BI42" s="1481"/>
      <c r="BJ42" s="1482"/>
      <c r="BK42" s="1480">
        <v>1709</v>
      </c>
      <c r="BL42" s="1481"/>
      <c r="BM42" s="1481"/>
      <c r="BN42" s="1481"/>
      <c r="BO42" s="1481"/>
      <c r="BP42" s="1481"/>
      <c r="BQ42" s="1481"/>
      <c r="BR42" s="1481"/>
      <c r="BS42" s="1482"/>
      <c r="BT42" s="1480">
        <v>1668</v>
      </c>
      <c r="BU42" s="1481"/>
      <c r="BV42" s="1481"/>
      <c r="BW42" s="1481"/>
      <c r="BX42" s="1481"/>
      <c r="BY42" s="1481"/>
      <c r="BZ42" s="1482"/>
      <c r="CA42" s="1480">
        <v>16</v>
      </c>
      <c r="CB42" s="1481"/>
      <c r="CC42" s="1481"/>
      <c r="CD42" s="1481"/>
      <c r="CE42" s="1481"/>
      <c r="CF42" s="1481"/>
      <c r="CG42" s="1482"/>
      <c r="CH42" s="1486">
        <f t="shared" si="1"/>
        <v>1684</v>
      </c>
      <c r="CI42" s="1487"/>
      <c r="CJ42" s="1487"/>
      <c r="CK42" s="1487"/>
      <c r="CL42" s="1487"/>
      <c r="CM42" s="1487"/>
      <c r="CN42" s="1488"/>
      <c r="CO42" s="1480">
        <v>25</v>
      </c>
      <c r="CP42" s="1481"/>
      <c r="CQ42" s="1481"/>
      <c r="CR42" s="1481"/>
      <c r="CS42" s="1481"/>
      <c r="CT42" s="1481"/>
      <c r="CU42" s="1482"/>
      <c r="CV42" s="1480">
        <v>1642</v>
      </c>
      <c r="CW42" s="1481"/>
      <c r="CX42" s="1481"/>
      <c r="CY42" s="1481"/>
      <c r="CZ42" s="1481"/>
      <c r="DA42" s="1481"/>
      <c r="DB42" s="1481"/>
      <c r="DC42" s="1481"/>
      <c r="DD42" s="1482"/>
      <c r="DE42" s="1480">
        <v>1642</v>
      </c>
      <c r="DF42" s="1481"/>
      <c r="DG42" s="1481"/>
      <c r="DH42" s="1481"/>
      <c r="DI42" s="1481"/>
      <c r="DJ42" s="1481"/>
      <c r="DK42" s="1481"/>
      <c r="DL42" s="1481"/>
      <c r="DM42" s="1482"/>
      <c r="DN42" s="1480">
        <v>1593</v>
      </c>
      <c r="DO42" s="1481"/>
      <c r="DP42" s="1481"/>
      <c r="DQ42" s="1481"/>
      <c r="DR42" s="1481"/>
      <c r="DS42" s="1481"/>
      <c r="DT42" s="1482"/>
      <c r="DU42" s="1480">
        <v>18</v>
      </c>
      <c r="DV42" s="1481"/>
      <c r="DW42" s="1481"/>
      <c r="DX42" s="1481"/>
      <c r="DY42" s="1481"/>
      <c r="DZ42" s="1481"/>
      <c r="EA42" s="1482"/>
      <c r="EB42" s="1486">
        <f t="shared" si="2"/>
        <v>1611</v>
      </c>
      <c r="EC42" s="1487"/>
      <c r="ED42" s="1487"/>
      <c r="EE42" s="1487"/>
      <c r="EF42" s="1487"/>
      <c r="EG42" s="1487"/>
      <c r="EH42" s="1488"/>
      <c r="EI42" s="1480">
        <v>31</v>
      </c>
      <c r="EJ42" s="1481"/>
      <c r="EK42" s="1481"/>
      <c r="EL42" s="1481"/>
      <c r="EM42" s="1481"/>
      <c r="EN42" s="1481"/>
      <c r="EO42" s="1482"/>
      <c r="EP42" s="1480"/>
      <c r="EQ42" s="1481"/>
      <c r="ER42" s="1481"/>
      <c r="ES42" s="1481"/>
      <c r="ET42" s="1481"/>
      <c r="EU42" s="1481"/>
      <c r="EV42" s="1481"/>
      <c r="EW42" s="1481"/>
      <c r="EX42" s="1481"/>
      <c r="EY42" s="1482"/>
    </row>
    <row r="43" spans="1:155" s="430" customFormat="1" ht="41.25" customHeight="1">
      <c r="A43" s="1483" t="s">
        <v>1586</v>
      </c>
      <c r="B43" s="1484"/>
      <c r="C43" s="1484"/>
      <c r="D43" s="1484"/>
      <c r="E43" s="1484"/>
      <c r="F43" s="1484"/>
      <c r="G43" s="1484"/>
      <c r="H43" s="1484"/>
      <c r="I43" s="1484"/>
      <c r="J43" s="1484"/>
      <c r="K43" s="1484"/>
      <c r="L43" s="1484"/>
      <c r="M43" s="1484"/>
      <c r="N43" s="1484"/>
      <c r="O43" s="1484"/>
      <c r="P43" s="1484"/>
      <c r="Q43" s="1484"/>
      <c r="R43" s="1484"/>
      <c r="S43" s="1484"/>
      <c r="T43" s="1484"/>
      <c r="U43" s="1484"/>
      <c r="V43" s="1484"/>
      <c r="W43" s="1484"/>
      <c r="X43" s="1484"/>
      <c r="Y43" s="1484"/>
      <c r="Z43" s="1484"/>
      <c r="AA43" s="1484"/>
      <c r="AB43" s="1484"/>
      <c r="AC43" s="1484"/>
      <c r="AD43" s="1484"/>
      <c r="AE43" s="1484"/>
      <c r="AF43" s="1484"/>
      <c r="AG43" s="1484"/>
      <c r="AH43" s="1484"/>
      <c r="AI43" s="1484"/>
      <c r="AJ43" s="1484"/>
      <c r="AK43" s="1484"/>
      <c r="AL43" s="1484"/>
      <c r="AM43" s="1485"/>
      <c r="AN43" s="1474" t="s">
        <v>121</v>
      </c>
      <c r="AO43" s="1475"/>
      <c r="AP43" s="1475"/>
      <c r="AQ43" s="1475"/>
      <c r="AR43" s="1475"/>
      <c r="AS43" s="1475"/>
      <c r="AT43" s="1475"/>
      <c r="AU43" s="1476"/>
      <c r="AV43" s="1477" t="s">
        <v>1035</v>
      </c>
      <c r="AW43" s="1478"/>
      <c r="AX43" s="1478"/>
      <c r="AY43" s="1478"/>
      <c r="AZ43" s="1478"/>
      <c r="BA43" s="1479"/>
      <c r="BB43" s="1480">
        <f t="shared" ref="BB43:BB57" si="3">CH43+CO43</f>
        <v>292804</v>
      </c>
      <c r="BC43" s="1481"/>
      <c r="BD43" s="1481"/>
      <c r="BE43" s="1481"/>
      <c r="BF43" s="1481"/>
      <c r="BG43" s="1481"/>
      <c r="BH43" s="1481"/>
      <c r="BI43" s="1481"/>
      <c r="BJ43" s="1482"/>
      <c r="BK43" s="1480">
        <f t="shared" ref="BK43:BK57" si="4">BB43</f>
        <v>292804</v>
      </c>
      <c r="BL43" s="1481"/>
      <c r="BM43" s="1481"/>
      <c r="BN43" s="1481"/>
      <c r="BO43" s="1481"/>
      <c r="BP43" s="1481"/>
      <c r="BQ43" s="1481"/>
      <c r="BR43" s="1481"/>
      <c r="BS43" s="1482"/>
      <c r="BT43" s="1480">
        <f>233651+42070-1</f>
        <v>275720</v>
      </c>
      <c r="BU43" s="1481"/>
      <c r="BV43" s="1481"/>
      <c r="BW43" s="1481"/>
      <c r="BX43" s="1481"/>
      <c r="BY43" s="1481"/>
      <c r="BZ43" s="1482"/>
      <c r="CA43" s="1480">
        <f>11038</f>
        <v>11038</v>
      </c>
      <c r="CB43" s="1481"/>
      <c r="CC43" s="1481"/>
      <c r="CD43" s="1481"/>
      <c r="CE43" s="1481"/>
      <c r="CF43" s="1481"/>
      <c r="CG43" s="1482"/>
      <c r="CH43" s="1486">
        <f t="shared" si="1"/>
        <v>286758</v>
      </c>
      <c r="CI43" s="1487"/>
      <c r="CJ43" s="1487"/>
      <c r="CK43" s="1487"/>
      <c r="CL43" s="1487"/>
      <c r="CM43" s="1487"/>
      <c r="CN43" s="1488"/>
      <c r="CO43" s="1480">
        <f>6046</f>
        <v>6046</v>
      </c>
      <c r="CP43" s="1481"/>
      <c r="CQ43" s="1481"/>
      <c r="CR43" s="1481"/>
      <c r="CS43" s="1481"/>
      <c r="CT43" s="1481"/>
      <c r="CU43" s="1482"/>
      <c r="CV43" s="1480">
        <v>265772</v>
      </c>
      <c r="CW43" s="1481"/>
      <c r="CX43" s="1481"/>
      <c r="CY43" s="1481"/>
      <c r="CZ43" s="1481"/>
      <c r="DA43" s="1481"/>
      <c r="DB43" s="1481"/>
      <c r="DC43" s="1481"/>
      <c r="DD43" s="1482"/>
      <c r="DE43" s="1480">
        <v>265772</v>
      </c>
      <c r="DF43" s="1481"/>
      <c r="DG43" s="1481"/>
      <c r="DH43" s="1481"/>
      <c r="DI43" s="1481"/>
      <c r="DJ43" s="1481"/>
      <c r="DK43" s="1481"/>
      <c r="DL43" s="1481"/>
      <c r="DM43" s="1482"/>
      <c r="DN43" s="1480">
        <v>249162</v>
      </c>
      <c r="DO43" s="1481"/>
      <c r="DP43" s="1481"/>
      <c r="DQ43" s="1481"/>
      <c r="DR43" s="1481"/>
      <c r="DS43" s="1481"/>
      <c r="DT43" s="1482"/>
      <c r="DU43" s="1480">
        <v>9887</v>
      </c>
      <c r="DV43" s="1481"/>
      <c r="DW43" s="1481"/>
      <c r="DX43" s="1481"/>
      <c r="DY43" s="1481"/>
      <c r="DZ43" s="1481"/>
      <c r="EA43" s="1482"/>
      <c r="EB43" s="1480">
        <v>259049</v>
      </c>
      <c r="EC43" s="1481"/>
      <c r="ED43" s="1481"/>
      <c r="EE43" s="1481"/>
      <c r="EF43" s="1481"/>
      <c r="EG43" s="1481"/>
      <c r="EH43" s="1482"/>
      <c r="EI43" s="1480">
        <v>6723</v>
      </c>
      <c r="EJ43" s="1481"/>
      <c r="EK43" s="1481"/>
      <c r="EL43" s="1481"/>
      <c r="EM43" s="1481"/>
      <c r="EN43" s="1481"/>
      <c r="EO43" s="1482"/>
      <c r="EP43" s="1480"/>
      <c r="EQ43" s="1481"/>
      <c r="ER43" s="1481"/>
      <c r="ES43" s="1481"/>
      <c r="ET43" s="1481"/>
      <c r="EU43" s="1481"/>
      <c r="EV43" s="1481"/>
      <c r="EW43" s="1481"/>
      <c r="EX43" s="1481"/>
      <c r="EY43" s="1482"/>
    </row>
    <row r="44" spans="1:155" s="430" customFormat="1" ht="7.8">
      <c r="A44" s="1483" t="s">
        <v>1587</v>
      </c>
      <c r="B44" s="1484"/>
      <c r="C44" s="1484"/>
      <c r="D44" s="1484"/>
      <c r="E44" s="1484"/>
      <c r="F44" s="1484"/>
      <c r="G44" s="1484"/>
      <c r="H44" s="1484"/>
      <c r="I44" s="1484"/>
      <c r="J44" s="1484"/>
      <c r="K44" s="1484"/>
      <c r="L44" s="1484"/>
      <c r="M44" s="1484"/>
      <c r="N44" s="1484"/>
      <c r="O44" s="1484"/>
      <c r="P44" s="1484"/>
      <c r="Q44" s="1484"/>
      <c r="R44" s="1484"/>
      <c r="S44" s="1484"/>
      <c r="T44" s="1484"/>
      <c r="U44" s="1484"/>
      <c r="V44" s="1484"/>
      <c r="W44" s="1484"/>
      <c r="X44" s="1484"/>
      <c r="Y44" s="1484"/>
      <c r="Z44" s="1484"/>
      <c r="AA44" s="1484"/>
      <c r="AB44" s="1484"/>
      <c r="AC44" s="1484"/>
      <c r="AD44" s="1484"/>
      <c r="AE44" s="1484"/>
      <c r="AF44" s="1484"/>
      <c r="AG44" s="1484"/>
      <c r="AH44" s="1484"/>
      <c r="AI44" s="1484"/>
      <c r="AJ44" s="1484"/>
      <c r="AK44" s="1484"/>
      <c r="AL44" s="1484"/>
      <c r="AM44" s="1485"/>
      <c r="AN44" s="1474" t="s">
        <v>121</v>
      </c>
      <c r="AO44" s="1475"/>
      <c r="AP44" s="1475"/>
      <c r="AQ44" s="1475"/>
      <c r="AR44" s="1475"/>
      <c r="AS44" s="1475"/>
      <c r="AT44" s="1475"/>
      <c r="AU44" s="1476"/>
      <c r="AV44" s="1477" t="s">
        <v>1086</v>
      </c>
      <c r="AW44" s="1478"/>
      <c r="AX44" s="1478"/>
      <c r="AY44" s="1478"/>
      <c r="AZ44" s="1478"/>
      <c r="BA44" s="1479"/>
      <c r="BB44" s="1480">
        <f t="shared" si="3"/>
        <v>360666</v>
      </c>
      <c r="BC44" s="1481"/>
      <c r="BD44" s="1481"/>
      <c r="BE44" s="1481"/>
      <c r="BF44" s="1481"/>
      <c r="BG44" s="1481"/>
      <c r="BH44" s="1481"/>
      <c r="BI44" s="1481"/>
      <c r="BJ44" s="1482"/>
      <c r="BK44" s="1480">
        <f t="shared" si="4"/>
        <v>360666</v>
      </c>
      <c r="BL44" s="1481"/>
      <c r="BM44" s="1481"/>
      <c r="BN44" s="1481"/>
      <c r="BO44" s="1481"/>
      <c r="BP44" s="1481"/>
      <c r="BQ44" s="1481"/>
      <c r="BR44" s="1481"/>
      <c r="BS44" s="1482"/>
      <c r="BT44" s="1480">
        <f>350787+9307+1</f>
        <v>360095</v>
      </c>
      <c r="BU44" s="1481"/>
      <c r="BV44" s="1481"/>
      <c r="BW44" s="1481"/>
      <c r="BX44" s="1481"/>
      <c r="BY44" s="1481"/>
      <c r="BZ44" s="1482"/>
      <c r="CA44" s="1480">
        <f>444+19</f>
        <v>463</v>
      </c>
      <c r="CB44" s="1481"/>
      <c r="CC44" s="1481"/>
      <c r="CD44" s="1481"/>
      <c r="CE44" s="1481"/>
      <c r="CF44" s="1481"/>
      <c r="CG44" s="1482"/>
      <c r="CH44" s="1486">
        <f t="shared" si="1"/>
        <v>360558</v>
      </c>
      <c r="CI44" s="1487"/>
      <c r="CJ44" s="1487"/>
      <c r="CK44" s="1487"/>
      <c r="CL44" s="1487"/>
      <c r="CM44" s="1487"/>
      <c r="CN44" s="1488"/>
      <c r="CO44" s="1480">
        <f>108</f>
        <v>108</v>
      </c>
      <c r="CP44" s="1481"/>
      <c r="CQ44" s="1481"/>
      <c r="CR44" s="1481"/>
      <c r="CS44" s="1481"/>
      <c r="CT44" s="1481"/>
      <c r="CU44" s="1482"/>
      <c r="CV44" s="1480">
        <v>321771</v>
      </c>
      <c r="CW44" s="1481"/>
      <c r="CX44" s="1481"/>
      <c r="CY44" s="1481"/>
      <c r="CZ44" s="1481"/>
      <c r="DA44" s="1481"/>
      <c r="DB44" s="1481"/>
      <c r="DC44" s="1481"/>
      <c r="DD44" s="1482"/>
      <c r="DE44" s="1480">
        <v>321771</v>
      </c>
      <c r="DF44" s="1481"/>
      <c r="DG44" s="1481"/>
      <c r="DH44" s="1481"/>
      <c r="DI44" s="1481"/>
      <c r="DJ44" s="1481"/>
      <c r="DK44" s="1481"/>
      <c r="DL44" s="1481"/>
      <c r="DM44" s="1482"/>
      <c r="DN44" s="1480">
        <v>320484</v>
      </c>
      <c r="DO44" s="1481"/>
      <c r="DP44" s="1481"/>
      <c r="DQ44" s="1481"/>
      <c r="DR44" s="1481"/>
      <c r="DS44" s="1481"/>
      <c r="DT44" s="1482"/>
      <c r="DU44" s="1480">
        <v>1196</v>
      </c>
      <c r="DV44" s="1481"/>
      <c r="DW44" s="1481"/>
      <c r="DX44" s="1481"/>
      <c r="DY44" s="1481"/>
      <c r="DZ44" s="1481"/>
      <c r="EA44" s="1482"/>
      <c r="EB44" s="1480">
        <v>321680</v>
      </c>
      <c r="EC44" s="1481"/>
      <c r="ED44" s="1481"/>
      <c r="EE44" s="1481"/>
      <c r="EF44" s="1481"/>
      <c r="EG44" s="1481"/>
      <c r="EH44" s="1482"/>
      <c r="EI44" s="1480">
        <v>91</v>
      </c>
      <c r="EJ44" s="1481"/>
      <c r="EK44" s="1481"/>
      <c r="EL44" s="1481"/>
      <c r="EM44" s="1481"/>
      <c r="EN44" s="1481"/>
      <c r="EO44" s="1482"/>
      <c r="EP44" s="1480"/>
      <c r="EQ44" s="1481"/>
      <c r="ER44" s="1481"/>
      <c r="ES44" s="1481"/>
      <c r="ET44" s="1481"/>
      <c r="EU44" s="1481"/>
      <c r="EV44" s="1481"/>
      <c r="EW44" s="1481"/>
      <c r="EX44" s="1481"/>
      <c r="EY44" s="1482"/>
    </row>
    <row r="45" spans="1:155" s="430" customFormat="1" ht="7.8">
      <c r="A45" s="1483" t="s">
        <v>1588</v>
      </c>
      <c r="B45" s="1484"/>
      <c r="C45" s="1484"/>
      <c r="D45" s="1484"/>
      <c r="E45" s="1484"/>
      <c r="F45" s="1484"/>
      <c r="G45" s="1484"/>
      <c r="H45" s="1484"/>
      <c r="I45" s="1484"/>
      <c r="J45" s="1484"/>
      <c r="K45" s="1484"/>
      <c r="L45" s="1484"/>
      <c r="M45" s="1484"/>
      <c r="N45" s="1484"/>
      <c r="O45" s="1484"/>
      <c r="P45" s="1484"/>
      <c r="Q45" s="1484"/>
      <c r="R45" s="1484"/>
      <c r="S45" s="1484"/>
      <c r="T45" s="1484"/>
      <c r="U45" s="1484"/>
      <c r="V45" s="1484"/>
      <c r="W45" s="1484"/>
      <c r="X45" s="1484"/>
      <c r="Y45" s="1484"/>
      <c r="Z45" s="1484"/>
      <c r="AA45" s="1484"/>
      <c r="AB45" s="1484"/>
      <c r="AC45" s="1484"/>
      <c r="AD45" s="1484"/>
      <c r="AE45" s="1484"/>
      <c r="AF45" s="1484"/>
      <c r="AG45" s="1484"/>
      <c r="AH45" s="1484"/>
      <c r="AI45" s="1484"/>
      <c r="AJ45" s="1484"/>
      <c r="AK45" s="1484"/>
      <c r="AL45" s="1484"/>
      <c r="AM45" s="1485"/>
      <c r="AN45" s="1513" t="s">
        <v>121</v>
      </c>
      <c r="AO45" s="1514"/>
      <c r="AP45" s="1514"/>
      <c r="AQ45" s="1514"/>
      <c r="AR45" s="1514"/>
      <c r="AS45" s="1514"/>
      <c r="AT45" s="1514"/>
      <c r="AU45" s="1515"/>
      <c r="AV45" s="1516" t="s">
        <v>1143</v>
      </c>
      <c r="AW45" s="1517"/>
      <c r="AX45" s="1517"/>
      <c r="AY45" s="1517"/>
      <c r="AZ45" s="1517"/>
      <c r="BA45" s="1518"/>
      <c r="BB45" s="1480">
        <f t="shared" si="3"/>
        <v>1269643</v>
      </c>
      <c r="BC45" s="1481"/>
      <c r="BD45" s="1481"/>
      <c r="BE45" s="1481"/>
      <c r="BF45" s="1481"/>
      <c r="BG45" s="1481"/>
      <c r="BH45" s="1481"/>
      <c r="BI45" s="1481"/>
      <c r="BJ45" s="1482"/>
      <c r="BK45" s="1480">
        <f t="shared" si="4"/>
        <v>1269643</v>
      </c>
      <c r="BL45" s="1481"/>
      <c r="BM45" s="1481"/>
      <c r="BN45" s="1481"/>
      <c r="BO45" s="1481"/>
      <c r="BP45" s="1481"/>
      <c r="BQ45" s="1481"/>
      <c r="BR45" s="1481"/>
      <c r="BS45" s="1482"/>
      <c r="BT45" s="1486">
        <f>BT46+BT47</f>
        <v>1267299</v>
      </c>
      <c r="BU45" s="1487"/>
      <c r="BV45" s="1487"/>
      <c r="BW45" s="1487"/>
      <c r="BX45" s="1487"/>
      <c r="BY45" s="1487"/>
      <c r="BZ45" s="1488"/>
      <c r="CA45" s="1486">
        <f>CA46+CA47</f>
        <v>1964</v>
      </c>
      <c r="CB45" s="1487"/>
      <c r="CC45" s="1487"/>
      <c r="CD45" s="1487"/>
      <c r="CE45" s="1487"/>
      <c r="CF45" s="1487"/>
      <c r="CG45" s="1488"/>
      <c r="CH45" s="1486">
        <f t="shared" si="1"/>
        <v>1269263</v>
      </c>
      <c r="CI45" s="1487"/>
      <c r="CJ45" s="1487"/>
      <c r="CK45" s="1487"/>
      <c r="CL45" s="1487"/>
      <c r="CM45" s="1487"/>
      <c r="CN45" s="1488"/>
      <c r="CO45" s="1486">
        <f>CO46+CO47</f>
        <v>380</v>
      </c>
      <c r="CP45" s="1487"/>
      <c r="CQ45" s="1487"/>
      <c r="CR45" s="1487"/>
      <c r="CS45" s="1487"/>
      <c r="CT45" s="1487"/>
      <c r="CU45" s="1488"/>
      <c r="CV45" s="1480">
        <v>1365276</v>
      </c>
      <c r="CW45" s="1481"/>
      <c r="CX45" s="1481"/>
      <c r="CY45" s="1481"/>
      <c r="CZ45" s="1481"/>
      <c r="DA45" s="1481"/>
      <c r="DB45" s="1481"/>
      <c r="DC45" s="1481"/>
      <c r="DD45" s="1482"/>
      <c r="DE45" s="1480">
        <v>1365276</v>
      </c>
      <c r="DF45" s="1481"/>
      <c r="DG45" s="1481"/>
      <c r="DH45" s="1481"/>
      <c r="DI45" s="1481"/>
      <c r="DJ45" s="1481"/>
      <c r="DK45" s="1481"/>
      <c r="DL45" s="1481"/>
      <c r="DM45" s="1482"/>
      <c r="DN45" s="1486">
        <v>1362823</v>
      </c>
      <c r="DO45" s="1487"/>
      <c r="DP45" s="1487"/>
      <c r="DQ45" s="1487"/>
      <c r="DR45" s="1487"/>
      <c r="DS45" s="1487"/>
      <c r="DT45" s="1488"/>
      <c r="DU45" s="1486">
        <v>2063</v>
      </c>
      <c r="DV45" s="1487"/>
      <c r="DW45" s="1487"/>
      <c r="DX45" s="1487"/>
      <c r="DY45" s="1487"/>
      <c r="DZ45" s="1487"/>
      <c r="EA45" s="1488"/>
      <c r="EB45" s="1480">
        <v>1364886</v>
      </c>
      <c r="EC45" s="1481"/>
      <c r="ED45" s="1481"/>
      <c r="EE45" s="1481"/>
      <c r="EF45" s="1481"/>
      <c r="EG45" s="1481"/>
      <c r="EH45" s="1482"/>
      <c r="EI45" s="1486">
        <v>390</v>
      </c>
      <c r="EJ45" s="1487"/>
      <c r="EK45" s="1487"/>
      <c r="EL45" s="1487"/>
      <c r="EM45" s="1487"/>
      <c r="EN45" s="1487"/>
      <c r="EO45" s="1488"/>
      <c r="EP45" s="1480"/>
      <c r="EQ45" s="1481"/>
      <c r="ER45" s="1481"/>
      <c r="ES45" s="1481"/>
      <c r="ET45" s="1481"/>
      <c r="EU45" s="1481"/>
      <c r="EV45" s="1481"/>
      <c r="EW45" s="1481"/>
      <c r="EX45" s="1481"/>
      <c r="EY45" s="1482"/>
    </row>
    <row r="46" spans="1:155" s="430" customFormat="1" ht="7.8">
      <c r="A46" s="1510" t="s">
        <v>1589</v>
      </c>
      <c r="B46" s="1511"/>
      <c r="C46" s="1511"/>
      <c r="D46" s="1511"/>
      <c r="E46" s="1511"/>
      <c r="F46" s="1511"/>
      <c r="G46" s="1511"/>
      <c r="H46" s="1511"/>
      <c r="I46" s="1511"/>
      <c r="J46" s="1511"/>
      <c r="K46" s="1511"/>
      <c r="L46" s="1511"/>
      <c r="M46" s="1511"/>
      <c r="N46" s="1511"/>
      <c r="O46" s="1511"/>
      <c r="P46" s="1511"/>
      <c r="Q46" s="1511"/>
      <c r="R46" s="1511"/>
      <c r="S46" s="1511"/>
      <c r="T46" s="1511"/>
      <c r="U46" s="1511"/>
      <c r="V46" s="1511"/>
      <c r="W46" s="1511"/>
      <c r="X46" s="1511"/>
      <c r="Y46" s="1511"/>
      <c r="Z46" s="1511"/>
      <c r="AA46" s="1511"/>
      <c r="AB46" s="1511"/>
      <c r="AC46" s="1511"/>
      <c r="AD46" s="1511"/>
      <c r="AE46" s="1511"/>
      <c r="AF46" s="1511"/>
      <c r="AG46" s="1511"/>
      <c r="AH46" s="1511"/>
      <c r="AI46" s="1511"/>
      <c r="AJ46" s="1511"/>
      <c r="AK46" s="1511"/>
      <c r="AL46" s="1511"/>
      <c r="AM46" s="1512"/>
      <c r="AN46" s="1474" t="s">
        <v>121</v>
      </c>
      <c r="AO46" s="1475"/>
      <c r="AP46" s="1475"/>
      <c r="AQ46" s="1475"/>
      <c r="AR46" s="1475"/>
      <c r="AS46" s="1475"/>
      <c r="AT46" s="1475"/>
      <c r="AU46" s="1476"/>
      <c r="AV46" s="1477" t="s">
        <v>1148</v>
      </c>
      <c r="AW46" s="1478"/>
      <c r="AX46" s="1478"/>
      <c r="AY46" s="1478"/>
      <c r="AZ46" s="1478"/>
      <c r="BA46" s="1479"/>
      <c r="BB46" s="1480">
        <f t="shared" si="3"/>
        <v>401017</v>
      </c>
      <c r="BC46" s="1481"/>
      <c r="BD46" s="1481"/>
      <c r="BE46" s="1481"/>
      <c r="BF46" s="1481"/>
      <c r="BG46" s="1481"/>
      <c r="BH46" s="1481"/>
      <c r="BI46" s="1481"/>
      <c r="BJ46" s="1482"/>
      <c r="BK46" s="1480">
        <f t="shared" si="4"/>
        <v>401017</v>
      </c>
      <c r="BL46" s="1481"/>
      <c r="BM46" s="1481"/>
      <c r="BN46" s="1481"/>
      <c r="BO46" s="1481"/>
      <c r="BP46" s="1481"/>
      <c r="BQ46" s="1481"/>
      <c r="BR46" s="1481"/>
      <c r="BS46" s="1482"/>
      <c r="BT46" s="1480">
        <f>376221+22463</f>
        <v>398684</v>
      </c>
      <c r="BU46" s="1481"/>
      <c r="BV46" s="1481"/>
      <c r="BW46" s="1481"/>
      <c r="BX46" s="1481"/>
      <c r="BY46" s="1481"/>
      <c r="BZ46" s="1482"/>
      <c r="CA46" s="1480">
        <f>1955</f>
        <v>1955</v>
      </c>
      <c r="CB46" s="1481"/>
      <c r="CC46" s="1481"/>
      <c r="CD46" s="1481"/>
      <c r="CE46" s="1481"/>
      <c r="CF46" s="1481"/>
      <c r="CG46" s="1482"/>
      <c r="CH46" s="1486">
        <f t="shared" si="1"/>
        <v>400639</v>
      </c>
      <c r="CI46" s="1487"/>
      <c r="CJ46" s="1487"/>
      <c r="CK46" s="1487"/>
      <c r="CL46" s="1487"/>
      <c r="CM46" s="1487"/>
      <c r="CN46" s="1488"/>
      <c r="CO46" s="1480">
        <f>378</f>
        <v>378</v>
      </c>
      <c r="CP46" s="1481"/>
      <c r="CQ46" s="1481"/>
      <c r="CR46" s="1481"/>
      <c r="CS46" s="1481"/>
      <c r="CT46" s="1481"/>
      <c r="CU46" s="1482"/>
      <c r="CV46" s="1480">
        <v>367751</v>
      </c>
      <c r="CW46" s="1481"/>
      <c r="CX46" s="1481"/>
      <c r="CY46" s="1481"/>
      <c r="CZ46" s="1481"/>
      <c r="DA46" s="1481"/>
      <c r="DB46" s="1481"/>
      <c r="DC46" s="1481"/>
      <c r="DD46" s="1482"/>
      <c r="DE46" s="1480">
        <v>367751</v>
      </c>
      <c r="DF46" s="1481"/>
      <c r="DG46" s="1481"/>
      <c r="DH46" s="1481"/>
      <c r="DI46" s="1481"/>
      <c r="DJ46" s="1481"/>
      <c r="DK46" s="1481"/>
      <c r="DL46" s="1481"/>
      <c r="DM46" s="1482"/>
      <c r="DN46" s="1480">
        <v>365312</v>
      </c>
      <c r="DO46" s="1481"/>
      <c r="DP46" s="1481"/>
      <c r="DQ46" s="1481"/>
      <c r="DR46" s="1481"/>
      <c r="DS46" s="1481"/>
      <c r="DT46" s="1482"/>
      <c r="DU46" s="1480">
        <v>2051</v>
      </c>
      <c r="DV46" s="1481"/>
      <c r="DW46" s="1481"/>
      <c r="DX46" s="1481"/>
      <c r="DY46" s="1481"/>
      <c r="DZ46" s="1481"/>
      <c r="EA46" s="1482"/>
      <c r="EB46" s="1480">
        <v>367363</v>
      </c>
      <c r="EC46" s="1481"/>
      <c r="ED46" s="1481"/>
      <c r="EE46" s="1481"/>
      <c r="EF46" s="1481"/>
      <c r="EG46" s="1481"/>
      <c r="EH46" s="1482"/>
      <c r="EI46" s="1480">
        <v>388</v>
      </c>
      <c r="EJ46" s="1481"/>
      <c r="EK46" s="1481"/>
      <c r="EL46" s="1481"/>
      <c r="EM46" s="1481"/>
      <c r="EN46" s="1481"/>
      <c r="EO46" s="1482"/>
      <c r="EP46" s="1480"/>
      <c r="EQ46" s="1481"/>
      <c r="ER46" s="1481"/>
      <c r="ES46" s="1481"/>
      <c r="ET46" s="1481"/>
      <c r="EU46" s="1481"/>
      <c r="EV46" s="1481"/>
      <c r="EW46" s="1481"/>
      <c r="EX46" s="1481"/>
      <c r="EY46" s="1482"/>
    </row>
    <row r="47" spans="1:155" s="430" customFormat="1" ht="7.8">
      <c r="A47" s="1510" t="s">
        <v>1590</v>
      </c>
      <c r="B47" s="1511"/>
      <c r="C47" s="1511"/>
      <c r="D47" s="1511"/>
      <c r="E47" s="1511"/>
      <c r="F47" s="1511"/>
      <c r="G47" s="1511"/>
      <c r="H47" s="1511"/>
      <c r="I47" s="1511"/>
      <c r="J47" s="1511"/>
      <c r="K47" s="1511"/>
      <c r="L47" s="1511"/>
      <c r="M47" s="1511"/>
      <c r="N47" s="1511"/>
      <c r="O47" s="1511"/>
      <c r="P47" s="1511"/>
      <c r="Q47" s="1511"/>
      <c r="R47" s="1511"/>
      <c r="S47" s="1511"/>
      <c r="T47" s="1511"/>
      <c r="U47" s="1511"/>
      <c r="V47" s="1511"/>
      <c r="W47" s="1511"/>
      <c r="X47" s="1511"/>
      <c r="Y47" s="1511"/>
      <c r="Z47" s="1511"/>
      <c r="AA47" s="1511"/>
      <c r="AB47" s="1511"/>
      <c r="AC47" s="1511"/>
      <c r="AD47" s="1511"/>
      <c r="AE47" s="1511"/>
      <c r="AF47" s="1511"/>
      <c r="AG47" s="1511"/>
      <c r="AH47" s="1511"/>
      <c r="AI47" s="1511"/>
      <c r="AJ47" s="1511"/>
      <c r="AK47" s="1511"/>
      <c r="AL47" s="1511"/>
      <c r="AM47" s="1512"/>
      <c r="AN47" s="1474" t="s">
        <v>121</v>
      </c>
      <c r="AO47" s="1475"/>
      <c r="AP47" s="1475"/>
      <c r="AQ47" s="1475"/>
      <c r="AR47" s="1475"/>
      <c r="AS47" s="1475"/>
      <c r="AT47" s="1475"/>
      <c r="AU47" s="1476"/>
      <c r="AV47" s="1477" t="s">
        <v>1155</v>
      </c>
      <c r="AW47" s="1478"/>
      <c r="AX47" s="1478"/>
      <c r="AY47" s="1478"/>
      <c r="AZ47" s="1478"/>
      <c r="BA47" s="1479"/>
      <c r="BB47" s="1480">
        <f t="shared" si="3"/>
        <v>868626</v>
      </c>
      <c r="BC47" s="1481"/>
      <c r="BD47" s="1481"/>
      <c r="BE47" s="1481"/>
      <c r="BF47" s="1481"/>
      <c r="BG47" s="1481"/>
      <c r="BH47" s="1481"/>
      <c r="BI47" s="1481"/>
      <c r="BJ47" s="1482"/>
      <c r="BK47" s="1480">
        <f t="shared" si="4"/>
        <v>868626</v>
      </c>
      <c r="BL47" s="1481"/>
      <c r="BM47" s="1481"/>
      <c r="BN47" s="1481"/>
      <c r="BO47" s="1481"/>
      <c r="BP47" s="1481"/>
      <c r="BQ47" s="1481"/>
      <c r="BR47" s="1481"/>
      <c r="BS47" s="1482"/>
      <c r="BT47" s="1480">
        <f>792945+75670</f>
        <v>868615</v>
      </c>
      <c r="BU47" s="1481"/>
      <c r="BV47" s="1481"/>
      <c r="BW47" s="1481"/>
      <c r="BX47" s="1481"/>
      <c r="BY47" s="1481"/>
      <c r="BZ47" s="1482"/>
      <c r="CA47" s="1480">
        <v>9</v>
      </c>
      <c r="CB47" s="1481"/>
      <c r="CC47" s="1481"/>
      <c r="CD47" s="1481"/>
      <c r="CE47" s="1481"/>
      <c r="CF47" s="1481"/>
      <c r="CG47" s="1482"/>
      <c r="CH47" s="1486">
        <f t="shared" si="1"/>
        <v>868624</v>
      </c>
      <c r="CI47" s="1487"/>
      <c r="CJ47" s="1487"/>
      <c r="CK47" s="1487"/>
      <c r="CL47" s="1487"/>
      <c r="CM47" s="1487"/>
      <c r="CN47" s="1488"/>
      <c r="CO47" s="1480">
        <f>2</f>
        <v>2</v>
      </c>
      <c r="CP47" s="1481"/>
      <c r="CQ47" s="1481"/>
      <c r="CR47" s="1481"/>
      <c r="CS47" s="1481"/>
      <c r="CT47" s="1481"/>
      <c r="CU47" s="1482"/>
      <c r="CV47" s="1480">
        <v>997525</v>
      </c>
      <c r="CW47" s="1481"/>
      <c r="CX47" s="1481"/>
      <c r="CY47" s="1481"/>
      <c r="CZ47" s="1481"/>
      <c r="DA47" s="1481"/>
      <c r="DB47" s="1481"/>
      <c r="DC47" s="1481"/>
      <c r="DD47" s="1482"/>
      <c r="DE47" s="1480">
        <v>997525</v>
      </c>
      <c r="DF47" s="1481"/>
      <c r="DG47" s="1481"/>
      <c r="DH47" s="1481"/>
      <c r="DI47" s="1481"/>
      <c r="DJ47" s="1481"/>
      <c r="DK47" s="1481"/>
      <c r="DL47" s="1481"/>
      <c r="DM47" s="1482"/>
      <c r="DN47" s="1480">
        <v>997511</v>
      </c>
      <c r="DO47" s="1481"/>
      <c r="DP47" s="1481"/>
      <c r="DQ47" s="1481"/>
      <c r="DR47" s="1481"/>
      <c r="DS47" s="1481"/>
      <c r="DT47" s="1482"/>
      <c r="DU47" s="1480">
        <v>12</v>
      </c>
      <c r="DV47" s="1481"/>
      <c r="DW47" s="1481"/>
      <c r="DX47" s="1481"/>
      <c r="DY47" s="1481"/>
      <c r="DZ47" s="1481"/>
      <c r="EA47" s="1482"/>
      <c r="EB47" s="1480">
        <v>997523</v>
      </c>
      <c r="EC47" s="1481"/>
      <c r="ED47" s="1481"/>
      <c r="EE47" s="1481"/>
      <c r="EF47" s="1481"/>
      <c r="EG47" s="1481"/>
      <c r="EH47" s="1482"/>
      <c r="EI47" s="1480">
        <v>2</v>
      </c>
      <c r="EJ47" s="1481"/>
      <c r="EK47" s="1481"/>
      <c r="EL47" s="1481"/>
      <c r="EM47" s="1481"/>
      <c r="EN47" s="1481"/>
      <c r="EO47" s="1482"/>
      <c r="EP47" s="1480"/>
      <c r="EQ47" s="1481"/>
      <c r="ER47" s="1481"/>
      <c r="ES47" s="1481"/>
      <c r="ET47" s="1481"/>
      <c r="EU47" s="1481"/>
      <c r="EV47" s="1481"/>
      <c r="EW47" s="1481"/>
      <c r="EX47" s="1481"/>
      <c r="EY47" s="1482"/>
    </row>
    <row r="48" spans="1:155" s="430" customFormat="1" ht="16.5" customHeight="1">
      <c r="A48" s="1483" t="s">
        <v>1591</v>
      </c>
      <c r="B48" s="1484"/>
      <c r="C48" s="1484"/>
      <c r="D48" s="1484"/>
      <c r="E48" s="1484"/>
      <c r="F48" s="1484"/>
      <c r="G48" s="1484"/>
      <c r="H48" s="1484"/>
      <c r="I48" s="1484"/>
      <c r="J48" s="1484"/>
      <c r="K48" s="1484"/>
      <c r="L48" s="1484"/>
      <c r="M48" s="1484"/>
      <c r="N48" s="1484"/>
      <c r="O48" s="1484"/>
      <c r="P48" s="1484"/>
      <c r="Q48" s="1484"/>
      <c r="R48" s="1484"/>
      <c r="S48" s="1484"/>
      <c r="T48" s="1484"/>
      <c r="U48" s="1484"/>
      <c r="V48" s="1484"/>
      <c r="W48" s="1484"/>
      <c r="X48" s="1484"/>
      <c r="Y48" s="1484"/>
      <c r="Z48" s="1484"/>
      <c r="AA48" s="1484"/>
      <c r="AB48" s="1484"/>
      <c r="AC48" s="1484"/>
      <c r="AD48" s="1484"/>
      <c r="AE48" s="1484"/>
      <c r="AF48" s="1484"/>
      <c r="AG48" s="1484"/>
      <c r="AH48" s="1484"/>
      <c r="AI48" s="1484"/>
      <c r="AJ48" s="1484"/>
      <c r="AK48" s="1484"/>
      <c r="AL48" s="1484"/>
      <c r="AM48" s="1485"/>
      <c r="AN48" s="1474" t="s">
        <v>121</v>
      </c>
      <c r="AO48" s="1475"/>
      <c r="AP48" s="1475"/>
      <c r="AQ48" s="1475"/>
      <c r="AR48" s="1475"/>
      <c r="AS48" s="1475"/>
      <c r="AT48" s="1475"/>
      <c r="AU48" s="1476"/>
      <c r="AV48" s="1477" t="s">
        <v>1195</v>
      </c>
      <c r="AW48" s="1478"/>
      <c r="AX48" s="1478"/>
      <c r="AY48" s="1478"/>
      <c r="AZ48" s="1478"/>
      <c r="BA48" s="1479"/>
      <c r="BB48" s="1480">
        <f t="shared" si="3"/>
        <v>46492</v>
      </c>
      <c r="BC48" s="1481"/>
      <c r="BD48" s="1481"/>
      <c r="BE48" s="1481"/>
      <c r="BF48" s="1481"/>
      <c r="BG48" s="1481"/>
      <c r="BH48" s="1481"/>
      <c r="BI48" s="1481"/>
      <c r="BJ48" s="1482"/>
      <c r="BK48" s="1480">
        <f t="shared" si="4"/>
        <v>46492</v>
      </c>
      <c r="BL48" s="1481"/>
      <c r="BM48" s="1481"/>
      <c r="BN48" s="1481"/>
      <c r="BO48" s="1481"/>
      <c r="BP48" s="1481"/>
      <c r="BQ48" s="1481"/>
      <c r="BR48" s="1481"/>
      <c r="BS48" s="1482"/>
      <c r="BT48" s="1480">
        <f>43768+1439</f>
        <v>45207</v>
      </c>
      <c r="BU48" s="1481"/>
      <c r="BV48" s="1481"/>
      <c r="BW48" s="1481"/>
      <c r="BX48" s="1481"/>
      <c r="BY48" s="1481"/>
      <c r="BZ48" s="1482"/>
      <c r="CA48" s="1480">
        <f>1185</f>
        <v>1185</v>
      </c>
      <c r="CB48" s="1481"/>
      <c r="CC48" s="1481"/>
      <c r="CD48" s="1481"/>
      <c r="CE48" s="1481"/>
      <c r="CF48" s="1481"/>
      <c r="CG48" s="1482"/>
      <c r="CH48" s="1486">
        <f t="shared" si="1"/>
        <v>46392</v>
      </c>
      <c r="CI48" s="1487"/>
      <c r="CJ48" s="1487"/>
      <c r="CK48" s="1487"/>
      <c r="CL48" s="1487"/>
      <c r="CM48" s="1487"/>
      <c r="CN48" s="1488"/>
      <c r="CO48" s="1480">
        <f>100</f>
        <v>100</v>
      </c>
      <c r="CP48" s="1481"/>
      <c r="CQ48" s="1481"/>
      <c r="CR48" s="1481"/>
      <c r="CS48" s="1481"/>
      <c r="CT48" s="1481"/>
      <c r="CU48" s="1482"/>
      <c r="CV48" s="1480">
        <v>39437</v>
      </c>
      <c r="CW48" s="1481"/>
      <c r="CX48" s="1481"/>
      <c r="CY48" s="1481"/>
      <c r="CZ48" s="1481"/>
      <c r="DA48" s="1481"/>
      <c r="DB48" s="1481"/>
      <c r="DC48" s="1481"/>
      <c r="DD48" s="1482"/>
      <c r="DE48" s="1480">
        <v>39437</v>
      </c>
      <c r="DF48" s="1481"/>
      <c r="DG48" s="1481"/>
      <c r="DH48" s="1481"/>
      <c r="DI48" s="1481"/>
      <c r="DJ48" s="1481"/>
      <c r="DK48" s="1481"/>
      <c r="DL48" s="1481"/>
      <c r="DM48" s="1482"/>
      <c r="DN48" s="1480">
        <v>38018</v>
      </c>
      <c r="DO48" s="1481"/>
      <c r="DP48" s="1481"/>
      <c r="DQ48" s="1481"/>
      <c r="DR48" s="1481"/>
      <c r="DS48" s="1481"/>
      <c r="DT48" s="1482"/>
      <c r="DU48" s="1480">
        <v>1323</v>
      </c>
      <c r="DV48" s="1481"/>
      <c r="DW48" s="1481"/>
      <c r="DX48" s="1481"/>
      <c r="DY48" s="1481"/>
      <c r="DZ48" s="1481"/>
      <c r="EA48" s="1482"/>
      <c r="EB48" s="1480">
        <v>39341</v>
      </c>
      <c r="EC48" s="1481"/>
      <c r="ED48" s="1481"/>
      <c r="EE48" s="1481"/>
      <c r="EF48" s="1481"/>
      <c r="EG48" s="1481"/>
      <c r="EH48" s="1482"/>
      <c r="EI48" s="1480">
        <v>96</v>
      </c>
      <c r="EJ48" s="1481"/>
      <c r="EK48" s="1481"/>
      <c r="EL48" s="1481"/>
      <c r="EM48" s="1481"/>
      <c r="EN48" s="1481"/>
      <c r="EO48" s="1482"/>
      <c r="EP48" s="1480"/>
      <c r="EQ48" s="1481"/>
      <c r="ER48" s="1481"/>
      <c r="ES48" s="1481"/>
      <c r="ET48" s="1481"/>
      <c r="EU48" s="1481"/>
      <c r="EV48" s="1481"/>
      <c r="EW48" s="1481"/>
      <c r="EX48" s="1481"/>
      <c r="EY48" s="1482"/>
    </row>
    <row r="49" spans="1:155" s="430" customFormat="1" ht="16.5" customHeight="1">
      <c r="A49" s="1483" t="s">
        <v>1592</v>
      </c>
      <c r="B49" s="1484"/>
      <c r="C49" s="1484"/>
      <c r="D49" s="1484"/>
      <c r="E49" s="1484"/>
      <c r="F49" s="1484"/>
      <c r="G49" s="1484"/>
      <c r="H49" s="1484"/>
      <c r="I49" s="1484"/>
      <c r="J49" s="1484"/>
      <c r="K49" s="1484"/>
      <c r="L49" s="1484"/>
      <c r="M49" s="1484"/>
      <c r="N49" s="1484"/>
      <c r="O49" s="1484"/>
      <c r="P49" s="1484"/>
      <c r="Q49" s="1484"/>
      <c r="R49" s="1484"/>
      <c r="S49" s="1484"/>
      <c r="T49" s="1484"/>
      <c r="U49" s="1484"/>
      <c r="V49" s="1484"/>
      <c r="W49" s="1484"/>
      <c r="X49" s="1484"/>
      <c r="Y49" s="1484"/>
      <c r="Z49" s="1484"/>
      <c r="AA49" s="1484"/>
      <c r="AB49" s="1484"/>
      <c r="AC49" s="1484"/>
      <c r="AD49" s="1484"/>
      <c r="AE49" s="1484"/>
      <c r="AF49" s="1484"/>
      <c r="AG49" s="1484"/>
      <c r="AH49" s="1484"/>
      <c r="AI49" s="1484"/>
      <c r="AJ49" s="1484"/>
      <c r="AK49" s="1484"/>
      <c r="AL49" s="1484"/>
      <c r="AM49" s="1485"/>
      <c r="AN49" s="1474" t="s">
        <v>121</v>
      </c>
      <c r="AO49" s="1475"/>
      <c r="AP49" s="1475"/>
      <c r="AQ49" s="1475"/>
      <c r="AR49" s="1475"/>
      <c r="AS49" s="1475"/>
      <c r="AT49" s="1475"/>
      <c r="AU49" s="1476"/>
      <c r="AV49" s="1477" t="s">
        <v>1281</v>
      </c>
      <c r="AW49" s="1478"/>
      <c r="AX49" s="1478"/>
      <c r="AY49" s="1478"/>
      <c r="AZ49" s="1478"/>
      <c r="BA49" s="1479"/>
      <c r="BB49" s="1480">
        <f t="shared" si="3"/>
        <v>605590</v>
      </c>
      <c r="BC49" s="1481"/>
      <c r="BD49" s="1481"/>
      <c r="BE49" s="1481"/>
      <c r="BF49" s="1481"/>
      <c r="BG49" s="1481"/>
      <c r="BH49" s="1481"/>
      <c r="BI49" s="1481"/>
      <c r="BJ49" s="1482"/>
      <c r="BK49" s="1480">
        <f t="shared" si="4"/>
        <v>605590</v>
      </c>
      <c r="BL49" s="1481"/>
      <c r="BM49" s="1481"/>
      <c r="BN49" s="1481"/>
      <c r="BO49" s="1481"/>
      <c r="BP49" s="1481"/>
      <c r="BQ49" s="1481"/>
      <c r="BR49" s="1481"/>
      <c r="BS49" s="1482"/>
      <c r="BT49" s="1480">
        <v>596159</v>
      </c>
      <c r="BU49" s="1481"/>
      <c r="BV49" s="1481"/>
      <c r="BW49" s="1481"/>
      <c r="BX49" s="1481"/>
      <c r="BY49" s="1481"/>
      <c r="BZ49" s="1482"/>
      <c r="CA49" s="1480">
        <v>8020</v>
      </c>
      <c r="CB49" s="1481"/>
      <c r="CC49" s="1481"/>
      <c r="CD49" s="1481"/>
      <c r="CE49" s="1481"/>
      <c r="CF49" s="1481"/>
      <c r="CG49" s="1482"/>
      <c r="CH49" s="1486">
        <f t="shared" si="1"/>
        <v>604179</v>
      </c>
      <c r="CI49" s="1487"/>
      <c r="CJ49" s="1487"/>
      <c r="CK49" s="1487"/>
      <c r="CL49" s="1487"/>
      <c r="CM49" s="1487"/>
      <c r="CN49" s="1488"/>
      <c r="CO49" s="1480">
        <v>1411</v>
      </c>
      <c r="CP49" s="1481"/>
      <c r="CQ49" s="1481"/>
      <c r="CR49" s="1481"/>
      <c r="CS49" s="1481"/>
      <c r="CT49" s="1481"/>
      <c r="CU49" s="1482"/>
      <c r="CV49" s="1480">
        <v>427242</v>
      </c>
      <c r="CW49" s="1481"/>
      <c r="CX49" s="1481"/>
      <c r="CY49" s="1481"/>
      <c r="CZ49" s="1481"/>
      <c r="DA49" s="1481"/>
      <c r="DB49" s="1481"/>
      <c r="DC49" s="1481"/>
      <c r="DD49" s="1482"/>
      <c r="DE49" s="1480">
        <v>427242</v>
      </c>
      <c r="DF49" s="1481"/>
      <c r="DG49" s="1481"/>
      <c r="DH49" s="1481"/>
      <c r="DI49" s="1481"/>
      <c r="DJ49" s="1481"/>
      <c r="DK49" s="1481"/>
      <c r="DL49" s="1481"/>
      <c r="DM49" s="1482"/>
      <c r="DN49" s="1480">
        <v>419796</v>
      </c>
      <c r="DO49" s="1481"/>
      <c r="DP49" s="1481"/>
      <c r="DQ49" s="1481"/>
      <c r="DR49" s="1481"/>
      <c r="DS49" s="1481"/>
      <c r="DT49" s="1482"/>
      <c r="DU49" s="1480">
        <v>2842</v>
      </c>
      <c r="DV49" s="1481"/>
      <c r="DW49" s="1481"/>
      <c r="DX49" s="1481"/>
      <c r="DY49" s="1481"/>
      <c r="DZ49" s="1481"/>
      <c r="EA49" s="1482"/>
      <c r="EB49" s="1480">
        <v>422638</v>
      </c>
      <c r="EC49" s="1481"/>
      <c r="ED49" s="1481"/>
      <c r="EE49" s="1481"/>
      <c r="EF49" s="1481"/>
      <c r="EG49" s="1481"/>
      <c r="EH49" s="1482"/>
      <c r="EI49" s="1480">
        <v>4604</v>
      </c>
      <c r="EJ49" s="1481"/>
      <c r="EK49" s="1481"/>
      <c r="EL49" s="1481"/>
      <c r="EM49" s="1481"/>
      <c r="EN49" s="1481"/>
      <c r="EO49" s="1482"/>
      <c r="EP49" s="1480"/>
      <c r="EQ49" s="1481"/>
      <c r="ER49" s="1481"/>
      <c r="ES49" s="1481"/>
      <c r="ET49" s="1481"/>
      <c r="EU49" s="1481"/>
      <c r="EV49" s="1481"/>
      <c r="EW49" s="1481"/>
      <c r="EX49" s="1481"/>
      <c r="EY49" s="1482"/>
    </row>
    <row r="50" spans="1:155" s="430" customFormat="1" ht="7.8">
      <c r="A50" s="1483" t="s">
        <v>1305</v>
      </c>
      <c r="B50" s="1484"/>
      <c r="C50" s="1484"/>
      <c r="D50" s="1484"/>
      <c r="E50" s="1484"/>
      <c r="F50" s="1484"/>
      <c r="G50" s="1484"/>
      <c r="H50" s="1484"/>
      <c r="I50" s="1484"/>
      <c r="J50" s="1484"/>
      <c r="K50" s="1484"/>
      <c r="L50" s="1484"/>
      <c r="M50" s="1484"/>
      <c r="N50" s="1484"/>
      <c r="O50" s="1484"/>
      <c r="P50" s="1484"/>
      <c r="Q50" s="1484"/>
      <c r="R50" s="1484"/>
      <c r="S50" s="1484"/>
      <c r="T50" s="1484"/>
      <c r="U50" s="1484"/>
      <c r="V50" s="1484"/>
      <c r="W50" s="1484"/>
      <c r="X50" s="1484"/>
      <c r="Y50" s="1484"/>
      <c r="Z50" s="1484"/>
      <c r="AA50" s="1484"/>
      <c r="AB50" s="1484"/>
      <c r="AC50" s="1484"/>
      <c r="AD50" s="1484"/>
      <c r="AE50" s="1484"/>
      <c r="AF50" s="1484"/>
      <c r="AG50" s="1484"/>
      <c r="AH50" s="1484"/>
      <c r="AI50" s="1484"/>
      <c r="AJ50" s="1484"/>
      <c r="AK50" s="1484"/>
      <c r="AL50" s="1484"/>
      <c r="AM50" s="1485"/>
      <c r="AN50" s="1474" t="s">
        <v>121</v>
      </c>
      <c r="AO50" s="1475"/>
      <c r="AP50" s="1475"/>
      <c r="AQ50" s="1475"/>
      <c r="AR50" s="1475"/>
      <c r="AS50" s="1475"/>
      <c r="AT50" s="1475"/>
      <c r="AU50" s="1476"/>
      <c r="AV50" s="1477" t="s">
        <v>1331</v>
      </c>
      <c r="AW50" s="1478"/>
      <c r="AX50" s="1478"/>
      <c r="AY50" s="1478"/>
      <c r="AZ50" s="1478"/>
      <c r="BA50" s="1479"/>
      <c r="BB50" s="1480">
        <f t="shared" si="3"/>
        <v>270529</v>
      </c>
      <c r="BC50" s="1481"/>
      <c r="BD50" s="1481"/>
      <c r="BE50" s="1481"/>
      <c r="BF50" s="1481"/>
      <c r="BG50" s="1481"/>
      <c r="BH50" s="1481"/>
      <c r="BI50" s="1481"/>
      <c r="BJ50" s="1482"/>
      <c r="BK50" s="1480">
        <f>BB50</f>
        <v>270529</v>
      </c>
      <c r="BL50" s="1481"/>
      <c r="BM50" s="1481"/>
      <c r="BN50" s="1481"/>
      <c r="BO50" s="1481"/>
      <c r="BP50" s="1481"/>
      <c r="BQ50" s="1481"/>
      <c r="BR50" s="1481"/>
      <c r="BS50" s="1482"/>
      <c r="BT50" s="1480">
        <f>BT21-BT22-BT30-BT35-BT43-BT44-BT45-BT48-BT49-BT51</f>
        <v>254694</v>
      </c>
      <c r="BU50" s="1481"/>
      <c r="BV50" s="1481"/>
      <c r="BW50" s="1481"/>
      <c r="BX50" s="1481"/>
      <c r="BY50" s="1481"/>
      <c r="BZ50" s="1482"/>
      <c r="CA50" s="1480">
        <f>CA21-CA22-CA30-CA35-CA43-CA44-CA45-CA48-CA49-CA51</f>
        <v>14498</v>
      </c>
      <c r="CB50" s="1481"/>
      <c r="CC50" s="1481"/>
      <c r="CD50" s="1481"/>
      <c r="CE50" s="1481"/>
      <c r="CF50" s="1481"/>
      <c r="CG50" s="1482"/>
      <c r="CH50" s="1486">
        <f t="shared" si="1"/>
        <v>269192</v>
      </c>
      <c r="CI50" s="1487"/>
      <c r="CJ50" s="1487"/>
      <c r="CK50" s="1487"/>
      <c r="CL50" s="1487"/>
      <c r="CM50" s="1487"/>
      <c r="CN50" s="1488"/>
      <c r="CO50" s="1480">
        <f>CO21-CO22-CO30-CO35-CO43-CO44-CO45-CO48-CO49-CO51</f>
        <v>1337</v>
      </c>
      <c r="CP50" s="1481"/>
      <c r="CQ50" s="1481"/>
      <c r="CR50" s="1481"/>
      <c r="CS50" s="1481"/>
      <c r="CT50" s="1481"/>
      <c r="CU50" s="1482"/>
      <c r="CV50" s="1480">
        <v>368383</v>
      </c>
      <c r="CW50" s="1481"/>
      <c r="CX50" s="1481"/>
      <c r="CY50" s="1481"/>
      <c r="CZ50" s="1481"/>
      <c r="DA50" s="1481"/>
      <c r="DB50" s="1481"/>
      <c r="DC50" s="1481"/>
      <c r="DD50" s="1482"/>
      <c r="DE50" s="1480">
        <v>368383</v>
      </c>
      <c r="DF50" s="1481"/>
      <c r="DG50" s="1481"/>
      <c r="DH50" s="1481"/>
      <c r="DI50" s="1481"/>
      <c r="DJ50" s="1481"/>
      <c r="DK50" s="1481"/>
      <c r="DL50" s="1481"/>
      <c r="DM50" s="1482"/>
      <c r="DN50" s="1480">
        <v>356935</v>
      </c>
      <c r="DO50" s="1481"/>
      <c r="DP50" s="1481"/>
      <c r="DQ50" s="1481"/>
      <c r="DR50" s="1481"/>
      <c r="DS50" s="1481"/>
      <c r="DT50" s="1482"/>
      <c r="DU50" s="1480">
        <v>9985</v>
      </c>
      <c r="DV50" s="1481"/>
      <c r="DW50" s="1481"/>
      <c r="DX50" s="1481"/>
      <c r="DY50" s="1481"/>
      <c r="DZ50" s="1481"/>
      <c r="EA50" s="1482"/>
      <c r="EB50" s="1480">
        <v>366920</v>
      </c>
      <c r="EC50" s="1481"/>
      <c r="ED50" s="1481"/>
      <c r="EE50" s="1481"/>
      <c r="EF50" s="1481"/>
      <c r="EG50" s="1481"/>
      <c r="EH50" s="1482"/>
      <c r="EI50" s="1480">
        <v>1463</v>
      </c>
      <c r="EJ50" s="1481"/>
      <c r="EK50" s="1481"/>
      <c r="EL50" s="1481"/>
      <c r="EM50" s="1481"/>
      <c r="EN50" s="1481"/>
      <c r="EO50" s="1482"/>
      <c r="EP50" s="1480"/>
      <c r="EQ50" s="1481"/>
      <c r="ER50" s="1481"/>
      <c r="ES50" s="1481"/>
      <c r="ET50" s="1481"/>
      <c r="EU50" s="1481"/>
      <c r="EV50" s="1481"/>
      <c r="EW50" s="1481"/>
      <c r="EX50" s="1481"/>
      <c r="EY50" s="1482"/>
    </row>
    <row r="51" spans="1:155" s="430" customFormat="1" ht="16.5" customHeight="1">
      <c r="A51" s="1471" t="s">
        <v>1593</v>
      </c>
      <c r="B51" s="1472"/>
      <c r="C51" s="1472"/>
      <c r="D51" s="1472"/>
      <c r="E51" s="1472"/>
      <c r="F51" s="1472"/>
      <c r="G51" s="1472"/>
      <c r="H51" s="1472"/>
      <c r="I51" s="1472"/>
      <c r="J51" s="1472"/>
      <c r="K51" s="1472"/>
      <c r="L51" s="1472"/>
      <c r="M51" s="1472"/>
      <c r="N51" s="1472"/>
      <c r="O51" s="1472"/>
      <c r="P51" s="1472"/>
      <c r="Q51" s="1472"/>
      <c r="R51" s="1472"/>
      <c r="S51" s="1472"/>
      <c r="T51" s="1472"/>
      <c r="U51" s="1472"/>
      <c r="V51" s="1472"/>
      <c r="W51" s="1472"/>
      <c r="X51" s="1472"/>
      <c r="Y51" s="1472"/>
      <c r="Z51" s="1472"/>
      <c r="AA51" s="1472"/>
      <c r="AB51" s="1472"/>
      <c r="AC51" s="1472"/>
      <c r="AD51" s="1472"/>
      <c r="AE51" s="1472"/>
      <c r="AF51" s="1472"/>
      <c r="AG51" s="1472"/>
      <c r="AH51" s="1472"/>
      <c r="AI51" s="1472"/>
      <c r="AJ51" s="1472"/>
      <c r="AK51" s="1472"/>
      <c r="AL51" s="1472"/>
      <c r="AM51" s="1473"/>
      <c r="AN51" s="1513" t="s">
        <v>121</v>
      </c>
      <c r="AO51" s="1514"/>
      <c r="AP51" s="1514"/>
      <c r="AQ51" s="1514"/>
      <c r="AR51" s="1514"/>
      <c r="AS51" s="1514"/>
      <c r="AT51" s="1514"/>
      <c r="AU51" s="1515"/>
      <c r="AV51" s="1516" t="s">
        <v>1594</v>
      </c>
      <c r="AW51" s="1517"/>
      <c r="AX51" s="1517"/>
      <c r="AY51" s="1517"/>
      <c r="AZ51" s="1517"/>
      <c r="BA51" s="1518"/>
      <c r="BB51" s="1480">
        <f t="shared" si="3"/>
        <v>899419</v>
      </c>
      <c r="BC51" s="1481"/>
      <c r="BD51" s="1481"/>
      <c r="BE51" s="1481"/>
      <c r="BF51" s="1481"/>
      <c r="BG51" s="1481"/>
      <c r="BH51" s="1481"/>
      <c r="BI51" s="1481"/>
      <c r="BJ51" s="1482"/>
      <c r="BK51" s="1480">
        <f t="shared" si="4"/>
        <v>899419</v>
      </c>
      <c r="BL51" s="1481"/>
      <c r="BM51" s="1481"/>
      <c r="BN51" s="1481"/>
      <c r="BO51" s="1481"/>
      <c r="BP51" s="1481"/>
      <c r="BQ51" s="1481"/>
      <c r="BR51" s="1481"/>
      <c r="BS51" s="1482"/>
      <c r="BT51" s="1486">
        <f>BT52+BT53+BT54+BT55+BT56</f>
        <v>808127</v>
      </c>
      <c r="BU51" s="1487"/>
      <c r="BV51" s="1487"/>
      <c r="BW51" s="1487"/>
      <c r="BX51" s="1487"/>
      <c r="BY51" s="1487"/>
      <c r="BZ51" s="1488"/>
      <c r="CA51" s="1486">
        <f>CA52+CA53+CA54+CA55+CA56</f>
        <v>62865</v>
      </c>
      <c r="CB51" s="1487"/>
      <c r="CC51" s="1487"/>
      <c r="CD51" s="1487"/>
      <c r="CE51" s="1487"/>
      <c r="CF51" s="1487"/>
      <c r="CG51" s="1488"/>
      <c r="CH51" s="1486">
        <f t="shared" si="1"/>
        <v>870992</v>
      </c>
      <c r="CI51" s="1487"/>
      <c r="CJ51" s="1487"/>
      <c r="CK51" s="1487"/>
      <c r="CL51" s="1487"/>
      <c r="CM51" s="1487"/>
      <c r="CN51" s="1488"/>
      <c r="CO51" s="1486">
        <f>CO52+CO53+CO54+CO55+CO56</f>
        <v>28427</v>
      </c>
      <c r="CP51" s="1487"/>
      <c r="CQ51" s="1487"/>
      <c r="CR51" s="1487"/>
      <c r="CS51" s="1487"/>
      <c r="CT51" s="1487"/>
      <c r="CU51" s="1488"/>
      <c r="CV51" s="1480">
        <v>687561</v>
      </c>
      <c r="CW51" s="1481"/>
      <c r="CX51" s="1481"/>
      <c r="CY51" s="1481"/>
      <c r="CZ51" s="1481"/>
      <c r="DA51" s="1481"/>
      <c r="DB51" s="1481"/>
      <c r="DC51" s="1481"/>
      <c r="DD51" s="1482"/>
      <c r="DE51" s="1480">
        <v>687561</v>
      </c>
      <c r="DF51" s="1481"/>
      <c r="DG51" s="1481"/>
      <c r="DH51" s="1481"/>
      <c r="DI51" s="1481"/>
      <c r="DJ51" s="1481"/>
      <c r="DK51" s="1481"/>
      <c r="DL51" s="1481"/>
      <c r="DM51" s="1482"/>
      <c r="DN51" s="1486">
        <v>519657</v>
      </c>
      <c r="DO51" s="1487"/>
      <c r="DP51" s="1487"/>
      <c r="DQ51" s="1487"/>
      <c r="DR51" s="1487"/>
      <c r="DS51" s="1487"/>
      <c r="DT51" s="1488"/>
      <c r="DU51" s="1486">
        <v>45511</v>
      </c>
      <c r="DV51" s="1487"/>
      <c r="DW51" s="1487"/>
      <c r="DX51" s="1487"/>
      <c r="DY51" s="1487"/>
      <c r="DZ51" s="1487"/>
      <c r="EA51" s="1488"/>
      <c r="EB51" s="1480">
        <v>565168</v>
      </c>
      <c r="EC51" s="1481"/>
      <c r="ED51" s="1481"/>
      <c r="EE51" s="1481"/>
      <c r="EF51" s="1481"/>
      <c r="EG51" s="1481"/>
      <c r="EH51" s="1482"/>
      <c r="EI51" s="1486">
        <v>122393</v>
      </c>
      <c r="EJ51" s="1487"/>
      <c r="EK51" s="1487"/>
      <c r="EL51" s="1487"/>
      <c r="EM51" s="1487"/>
      <c r="EN51" s="1487"/>
      <c r="EO51" s="1488"/>
      <c r="EP51" s="1480"/>
      <c r="EQ51" s="1481"/>
      <c r="ER51" s="1481"/>
      <c r="ES51" s="1481"/>
      <c r="ET51" s="1481"/>
      <c r="EU51" s="1481"/>
      <c r="EV51" s="1481"/>
      <c r="EW51" s="1481"/>
      <c r="EX51" s="1481"/>
      <c r="EY51" s="1482"/>
    </row>
    <row r="52" spans="1:155" s="430" customFormat="1" ht="7.8">
      <c r="A52" s="1483" t="s">
        <v>1595</v>
      </c>
      <c r="B52" s="1484"/>
      <c r="C52" s="1484"/>
      <c r="D52" s="1484"/>
      <c r="E52" s="1484"/>
      <c r="F52" s="1484"/>
      <c r="G52" s="1484"/>
      <c r="H52" s="1484"/>
      <c r="I52" s="1484"/>
      <c r="J52" s="1484"/>
      <c r="K52" s="1484"/>
      <c r="L52" s="1484"/>
      <c r="M52" s="1484"/>
      <c r="N52" s="1484"/>
      <c r="O52" s="1484"/>
      <c r="P52" s="1484"/>
      <c r="Q52" s="1484"/>
      <c r="R52" s="1484"/>
      <c r="S52" s="1484"/>
      <c r="T52" s="1484"/>
      <c r="U52" s="1484"/>
      <c r="V52" s="1484"/>
      <c r="W52" s="1484"/>
      <c r="X52" s="1484"/>
      <c r="Y52" s="1484"/>
      <c r="Z52" s="1484"/>
      <c r="AA52" s="1484"/>
      <c r="AB52" s="1484"/>
      <c r="AC52" s="1484"/>
      <c r="AD52" s="1484"/>
      <c r="AE52" s="1484"/>
      <c r="AF52" s="1484"/>
      <c r="AG52" s="1484"/>
      <c r="AH52" s="1484"/>
      <c r="AI52" s="1484"/>
      <c r="AJ52" s="1484"/>
      <c r="AK52" s="1484"/>
      <c r="AL52" s="1484"/>
      <c r="AM52" s="1485"/>
      <c r="AN52" s="1513" t="s">
        <v>121</v>
      </c>
      <c r="AO52" s="1514"/>
      <c r="AP52" s="1514"/>
      <c r="AQ52" s="1514"/>
      <c r="AR52" s="1514"/>
      <c r="AS52" s="1514"/>
      <c r="AT52" s="1514"/>
      <c r="AU52" s="1515"/>
      <c r="AV52" s="1516" t="s">
        <v>1404</v>
      </c>
      <c r="AW52" s="1517"/>
      <c r="AX52" s="1517"/>
      <c r="AY52" s="1517"/>
      <c r="AZ52" s="1517"/>
      <c r="BA52" s="1518"/>
      <c r="BB52" s="1480">
        <f t="shared" si="3"/>
        <v>0</v>
      </c>
      <c r="BC52" s="1481"/>
      <c r="BD52" s="1481"/>
      <c r="BE52" s="1481"/>
      <c r="BF52" s="1481"/>
      <c r="BG52" s="1481"/>
      <c r="BH52" s="1481"/>
      <c r="BI52" s="1481"/>
      <c r="BJ52" s="1482"/>
      <c r="BK52" s="1480">
        <f t="shared" si="4"/>
        <v>0</v>
      </c>
      <c r="BL52" s="1481"/>
      <c r="BM52" s="1481"/>
      <c r="BN52" s="1481"/>
      <c r="BO52" s="1481"/>
      <c r="BP52" s="1481"/>
      <c r="BQ52" s="1481"/>
      <c r="BR52" s="1481"/>
      <c r="BS52" s="1482"/>
      <c r="BT52" s="1486"/>
      <c r="BU52" s="1487"/>
      <c r="BV52" s="1487"/>
      <c r="BW52" s="1487"/>
      <c r="BX52" s="1487"/>
      <c r="BY52" s="1487"/>
      <c r="BZ52" s="1488"/>
      <c r="CA52" s="1486"/>
      <c r="CB52" s="1487"/>
      <c r="CC52" s="1487"/>
      <c r="CD52" s="1487"/>
      <c r="CE52" s="1487"/>
      <c r="CF52" s="1487"/>
      <c r="CG52" s="1488"/>
      <c r="CH52" s="1486">
        <f t="shared" si="1"/>
        <v>0</v>
      </c>
      <c r="CI52" s="1487"/>
      <c r="CJ52" s="1487"/>
      <c r="CK52" s="1487"/>
      <c r="CL52" s="1487"/>
      <c r="CM52" s="1487"/>
      <c r="CN52" s="1488"/>
      <c r="CO52" s="1486"/>
      <c r="CP52" s="1487"/>
      <c r="CQ52" s="1487"/>
      <c r="CR52" s="1487"/>
      <c r="CS52" s="1487"/>
      <c r="CT52" s="1487"/>
      <c r="CU52" s="1488"/>
      <c r="CV52" s="1480">
        <v>0</v>
      </c>
      <c r="CW52" s="1481"/>
      <c r="CX52" s="1481"/>
      <c r="CY52" s="1481"/>
      <c r="CZ52" s="1481"/>
      <c r="DA52" s="1481"/>
      <c r="DB52" s="1481"/>
      <c r="DC52" s="1481"/>
      <c r="DD52" s="1482"/>
      <c r="DE52" s="1480">
        <v>0</v>
      </c>
      <c r="DF52" s="1481"/>
      <c r="DG52" s="1481"/>
      <c r="DH52" s="1481"/>
      <c r="DI52" s="1481"/>
      <c r="DJ52" s="1481"/>
      <c r="DK52" s="1481"/>
      <c r="DL52" s="1481"/>
      <c r="DM52" s="1482"/>
      <c r="DN52" s="1486"/>
      <c r="DO52" s="1487"/>
      <c r="DP52" s="1487"/>
      <c r="DQ52" s="1487"/>
      <c r="DR52" s="1487"/>
      <c r="DS52" s="1487"/>
      <c r="DT52" s="1488"/>
      <c r="DU52" s="1486"/>
      <c r="DV52" s="1487"/>
      <c r="DW52" s="1487"/>
      <c r="DX52" s="1487"/>
      <c r="DY52" s="1487"/>
      <c r="DZ52" s="1487"/>
      <c r="EA52" s="1488"/>
      <c r="EB52" s="1480">
        <v>0</v>
      </c>
      <c r="EC52" s="1481"/>
      <c r="ED52" s="1481"/>
      <c r="EE52" s="1481"/>
      <c r="EF52" s="1481"/>
      <c r="EG52" s="1481"/>
      <c r="EH52" s="1482"/>
      <c r="EI52" s="1486"/>
      <c r="EJ52" s="1487"/>
      <c r="EK52" s="1487"/>
      <c r="EL52" s="1487"/>
      <c r="EM52" s="1487"/>
      <c r="EN52" s="1487"/>
      <c r="EO52" s="1488"/>
      <c r="EP52" s="1480"/>
      <c r="EQ52" s="1481"/>
      <c r="ER52" s="1481"/>
      <c r="ES52" s="1481"/>
      <c r="ET52" s="1481"/>
      <c r="EU52" s="1481"/>
      <c r="EV52" s="1481"/>
      <c r="EW52" s="1481"/>
      <c r="EX52" s="1481"/>
      <c r="EY52" s="1482"/>
    </row>
    <row r="53" spans="1:155" s="430" customFormat="1" ht="7.8">
      <c r="A53" s="1483" t="s">
        <v>1596</v>
      </c>
      <c r="B53" s="1484"/>
      <c r="C53" s="1484"/>
      <c r="D53" s="1484"/>
      <c r="E53" s="1484"/>
      <c r="F53" s="1484"/>
      <c r="G53" s="1484"/>
      <c r="H53" s="1484"/>
      <c r="I53" s="1484"/>
      <c r="J53" s="1484"/>
      <c r="K53" s="1484"/>
      <c r="L53" s="1484"/>
      <c r="M53" s="1484"/>
      <c r="N53" s="1484"/>
      <c r="O53" s="1484"/>
      <c r="P53" s="1484"/>
      <c r="Q53" s="1484"/>
      <c r="R53" s="1484"/>
      <c r="S53" s="1484"/>
      <c r="T53" s="1484"/>
      <c r="U53" s="1484"/>
      <c r="V53" s="1484"/>
      <c r="W53" s="1484"/>
      <c r="X53" s="1484"/>
      <c r="Y53" s="1484"/>
      <c r="Z53" s="1484"/>
      <c r="AA53" s="1484"/>
      <c r="AB53" s="1484"/>
      <c r="AC53" s="1484"/>
      <c r="AD53" s="1484"/>
      <c r="AE53" s="1484"/>
      <c r="AF53" s="1484"/>
      <c r="AG53" s="1484"/>
      <c r="AH53" s="1484"/>
      <c r="AI53" s="1484"/>
      <c r="AJ53" s="1484"/>
      <c r="AK53" s="1484"/>
      <c r="AL53" s="1484"/>
      <c r="AM53" s="1485"/>
      <c r="AN53" s="1513" t="s">
        <v>121</v>
      </c>
      <c r="AO53" s="1514"/>
      <c r="AP53" s="1514"/>
      <c r="AQ53" s="1514"/>
      <c r="AR53" s="1514"/>
      <c r="AS53" s="1514"/>
      <c r="AT53" s="1514"/>
      <c r="AU53" s="1515"/>
      <c r="AV53" s="1516" t="s">
        <v>1248</v>
      </c>
      <c r="AW53" s="1517"/>
      <c r="AX53" s="1517"/>
      <c r="AY53" s="1517"/>
      <c r="AZ53" s="1517"/>
      <c r="BA53" s="1518"/>
      <c r="BB53" s="1480">
        <f t="shared" si="3"/>
        <v>0</v>
      </c>
      <c r="BC53" s="1481"/>
      <c r="BD53" s="1481"/>
      <c r="BE53" s="1481"/>
      <c r="BF53" s="1481"/>
      <c r="BG53" s="1481"/>
      <c r="BH53" s="1481"/>
      <c r="BI53" s="1481"/>
      <c r="BJ53" s="1482"/>
      <c r="BK53" s="1480">
        <f t="shared" si="4"/>
        <v>0</v>
      </c>
      <c r="BL53" s="1481"/>
      <c r="BM53" s="1481"/>
      <c r="BN53" s="1481"/>
      <c r="BO53" s="1481"/>
      <c r="BP53" s="1481"/>
      <c r="BQ53" s="1481"/>
      <c r="BR53" s="1481"/>
      <c r="BS53" s="1482"/>
      <c r="BT53" s="1486"/>
      <c r="BU53" s="1487"/>
      <c r="BV53" s="1487"/>
      <c r="BW53" s="1487"/>
      <c r="BX53" s="1487"/>
      <c r="BY53" s="1487"/>
      <c r="BZ53" s="1488"/>
      <c r="CA53" s="1486"/>
      <c r="CB53" s="1487"/>
      <c r="CC53" s="1487"/>
      <c r="CD53" s="1487"/>
      <c r="CE53" s="1487"/>
      <c r="CF53" s="1487"/>
      <c r="CG53" s="1488"/>
      <c r="CH53" s="1486">
        <f t="shared" si="1"/>
        <v>0</v>
      </c>
      <c r="CI53" s="1487"/>
      <c r="CJ53" s="1487"/>
      <c r="CK53" s="1487"/>
      <c r="CL53" s="1487"/>
      <c r="CM53" s="1487"/>
      <c r="CN53" s="1488"/>
      <c r="CO53" s="1486"/>
      <c r="CP53" s="1487"/>
      <c r="CQ53" s="1487"/>
      <c r="CR53" s="1487"/>
      <c r="CS53" s="1487"/>
      <c r="CT53" s="1487"/>
      <c r="CU53" s="1488"/>
      <c r="CV53" s="1480">
        <v>0</v>
      </c>
      <c r="CW53" s="1481"/>
      <c r="CX53" s="1481"/>
      <c r="CY53" s="1481"/>
      <c r="CZ53" s="1481"/>
      <c r="DA53" s="1481"/>
      <c r="DB53" s="1481"/>
      <c r="DC53" s="1481"/>
      <c r="DD53" s="1482"/>
      <c r="DE53" s="1480">
        <v>0</v>
      </c>
      <c r="DF53" s="1481"/>
      <c r="DG53" s="1481"/>
      <c r="DH53" s="1481"/>
      <c r="DI53" s="1481"/>
      <c r="DJ53" s="1481"/>
      <c r="DK53" s="1481"/>
      <c r="DL53" s="1481"/>
      <c r="DM53" s="1482"/>
      <c r="DN53" s="1486"/>
      <c r="DO53" s="1487"/>
      <c r="DP53" s="1487"/>
      <c r="DQ53" s="1487"/>
      <c r="DR53" s="1487"/>
      <c r="DS53" s="1487"/>
      <c r="DT53" s="1488"/>
      <c r="DU53" s="1486"/>
      <c r="DV53" s="1487"/>
      <c r="DW53" s="1487"/>
      <c r="DX53" s="1487"/>
      <c r="DY53" s="1487"/>
      <c r="DZ53" s="1487"/>
      <c r="EA53" s="1488"/>
      <c r="EB53" s="1480">
        <v>0</v>
      </c>
      <c r="EC53" s="1481"/>
      <c r="ED53" s="1481"/>
      <c r="EE53" s="1481"/>
      <c r="EF53" s="1481"/>
      <c r="EG53" s="1481"/>
      <c r="EH53" s="1482"/>
      <c r="EI53" s="1486"/>
      <c r="EJ53" s="1487"/>
      <c r="EK53" s="1487"/>
      <c r="EL53" s="1487"/>
      <c r="EM53" s="1487"/>
      <c r="EN53" s="1487"/>
      <c r="EO53" s="1488"/>
      <c r="EP53" s="1480"/>
      <c r="EQ53" s="1481"/>
      <c r="ER53" s="1481"/>
      <c r="ES53" s="1481"/>
      <c r="ET53" s="1481"/>
      <c r="EU53" s="1481"/>
      <c r="EV53" s="1481"/>
      <c r="EW53" s="1481"/>
      <c r="EX53" s="1481"/>
      <c r="EY53" s="1482"/>
    </row>
    <row r="54" spans="1:155" s="430" customFormat="1" ht="7.8">
      <c r="A54" s="1483" t="s">
        <v>1597</v>
      </c>
      <c r="B54" s="1484"/>
      <c r="C54" s="1484"/>
      <c r="D54" s="1484"/>
      <c r="E54" s="1484"/>
      <c r="F54" s="1484"/>
      <c r="G54" s="1484"/>
      <c r="H54" s="1484"/>
      <c r="I54" s="1484"/>
      <c r="J54" s="1484"/>
      <c r="K54" s="1484"/>
      <c r="L54" s="1484"/>
      <c r="M54" s="1484"/>
      <c r="N54" s="1484"/>
      <c r="O54" s="1484"/>
      <c r="P54" s="1484"/>
      <c r="Q54" s="1484"/>
      <c r="R54" s="1484"/>
      <c r="S54" s="1484"/>
      <c r="T54" s="1484"/>
      <c r="U54" s="1484"/>
      <c r="V54" s="1484"/>
      <c r="W54" s="1484"/>
      <c r="X54" s="1484"/>
      <c r="Y54" s="1484"/>
      <c r="Z54" s="1484"/>
      <c r="AA54" s="1484"/>
      <c r="AB54" s="1484"/>
      <c r="AC54" s="1484"/>
      <c r="AD54" s="1484"/>
      <c r="AE54" s="1484"/>
      <c r="AF54" s="1484"/>
      <c r="AG54" s="1484"/>
      <c r="AH54" s="1484"/>
      <c r="AI54" s="1484"/>
      <c r="AJ54" s="1484"/>
      <c r="AK54" s="1484"/>
      <c r="AL54" s="1484"/>
      <c r="AM54" s="1485"/>
      <c r="AN54" s="1513" t="s">
        <v>121</v>
      </c>
      <c r="AO54" s="1514"/>
      <c r="AP54" s="1514"/>
      <c r="AQ54" s="1514"/>
      <c r="AR54" s="1514"/>
      <c r="AS54" s="1514"/>
      <c r="AT54" s="1514"/>
      <c r="AU54" s="1515"/>
      <c r="AV54" s="1516" t="s">
        <v>1598</v>
      </c>
      <c r="AW54" s="1517"/>
      <c r="AX54" s="1517"/>
      <c r="AY54" s="1517"/>
      <c r="AZ54" s="1517"/>
      <c r="BA54" s="1518"/>
      <c r="BB54" s="1480">
        <f t="shared" si="3"/>
        <v>0</v>
      </c>
      <c r="BC54" s="1481"/>
      <c r="BD54" s="1481"/>
      <c r="BE54" s="1481"/>
      <c r="BF54" s="1481"/>
      <c r="BG54" s="1481"/>
      <c r="BH54" s="1481"/>
      <c r="BI54" s="1481"/>
      <c r="BJ54" s="1482"/>
      <c r="BK54" s="1480">
        <f t="shared" si="4"/>
        <v>0</v>
      </c>
      <c r="BL54" s="1481"/>
      <c r="BM54" s="1481"/>
      <c r="BN54" s="1481"/>
      <c r="BO54" s="1481"/>
      <c r="BP54" s="1481"/>
      <c r="BQ54" s="1481"/>
      <c r="BR54" s="1481"/>
      <c r="BS54" s="1482"/>
      <c r="BT54" s="1486"/>
      <c r="BU54" s="1487"/>
      <c r="BV54" s="1487"/>
      <c r="BW54" s="1487"/>
      <c r="BX54" s="1487"/>
      <c r="BY54" s="1487"/>
      <c r="BZ54" s="1488"/>
      <c r="CA54" s="1486"/>
      <c r="CB54" s="1487"/>
      <c r="CC54" s="1487"/>
      <c r="CD54" s="1487"/>
      <c r="CE54" s="1487"/>
      <c r="CF54" s="1487"/>
      <c r="CG54" s="1488"/>
      <c r="CH54" s="1486">
        <f t="shared" si="1"/>
        <v>0</v>
      </c>
      <c r="CI54" s="1487"/>
      <c r="CJ54" s="1487"/>
      <c r="CK54" s="1487"/>
      <c r="CL54" s="1487"/>
      <c r="CM54" s="1487"/>
      <c r="CN54" s="1488"/>
      <c r="CO54" s="1486"/>
      <c r="CP54" s="1487"/>
      <c r="CQ54" s="1487"/>
      <c r="CR54" s="1487"/>
      <c r="CS54" s="1487"/>
      <c r="CT54" s="1487"/>
      <c r="CU54" s="1488"/>
      <c r="CV54" s="1480">
        <v>0</v>
      </c>
      <c r="CW54" s="1481"/>
      <c r="CX54" s="1481"/>
      <c r="CY54" s="1481"/>
      <c r="CZ54" s="1481"/>
      <c r="DA54" s="1481"/>
      <c r="DB54" s="1481"/>
      <c r="DC54" s="1481"/>
      <c r="DD54" s="1482"/>
      <c r="DE54" s="1480">
        <v>0</v>
      </c>
      <c r="DF54" s="1481"/>
      <c r="DG54" s="1481"/>
      <c r="DH54" s="1481"/>
      <c r="DI54" s="1481"/>
      <c r="DJ54" s="1481"/>
      <c r="DK54" s="1481"/>
      <c r="DL54" s="1481"/>
      <c r="DM54" s="1482"/>
      <c r="DN54" s="1486"/>
      <c r="DO54" s="1487"/>
      <c r="DP54" s="1487"/>
      <c r="DQ54" s="1487"/>
      <c r="DR54" s="1487"/>
      <c r="DS54" s="1487"/>
      <c r="DT54" s="1488"/>
      <c r="DU54" s="1486"/>
      <c r="DV54" s="1487"/>
      <c r="DW54" s="1487"/>
      <c r="DX54" s="1487"/>
      <c r="DY54" s="1487"/>
      <c r="DZ54" s="1487"/>
      <c r="EA54" s="1488"/>
      <c r="EB54" s="1480">
        <v>0</v>
      </c>
      <c r="EC54" s="1481"/>
      <c r="ED54" s="1481"/>
      <c r="EE54" s="1481"/>
      <c r="EF54" s="1481"/>
      <c r="EG54" s="1481"/>
      <c r="EH54" s="1482"/>
      <c r="EI54" s="1486"/>
      <c r="EJ54" s="1487"/>
      <c r="EK54" s="1487"/>
      <c r="EL54" s="1487"/>
      <c r="EM54" s="1487"/>
      <c r="EN54" s="1487"/>
      <c r="EO54" s="1488"/>
      <c r="EP54" s="1480"/>
      <c r="EQ54" s="1481"/>
      <c r="ER54" s="1481"/>
      <c r="ES54" s="1481"/>
      <c r="ET54" s="1481"/>
      <c r="EU54" s="1481"/>
      <c r="EV54" s="1481"/>
      <c r="EW54" s="1481"/>
      <c r="EX54" s="1481"/>
      <c r="EY54" s="1482"/>
    </row>
    <row r="55" spans="1:155" s="430" customFormat="1" ht="7.8">
      <c r="A55" s="1483" t="s">
        <v>1599</v>
      </c>
      <c r="B55" s="1484"/>
      <c r="C55" s="1484"/>
      <c r="D55" s="1484"/>
      <c r="E55" s="1484"/>
      <c r="F55" s="1484"/>
      <c r="G55" s="1484"/>
      <c r="H55" s="1484"/>
      <c r="I55" s="1484"/>
      <c r="J55" s="1484"/>
      <c r="K55" s="1484"/>
      <c r="L55" s="1484"/>
      <c r="M55" s="1484"/>
      <c r="N55" s="1484"/>
      <c r="O55" s="1484"/>
      <c r="P55" s="1484"/>
      <c r="Q55" s="1484"/>
      <c r="R55" s="1484"/>
      <c r="S55" s="1484"/>
      <c r="T55" s="1484"/>
      <c r="U55" s="1484"/>
      <c r="V55" s="1484"/>
      <c r="W55" s="1484"/>
      <c r="X55" s="1484"/>
      <c r="Y55" s="1484"/>
      <c r="Z55" s="1484"/>
      <c r="AA55" s="1484"/>
      <c r="AB55" s="1484"/>
      <c r="AC55" s="1484"/>
      <c r="AD55" s="1484"/>
      <c r="AE55" s="1484"/>
      <c r="AF55" s="1484"/>
      <c r="AG55" s="1484"/>
      <c r="AH55" s="1484"/>
      <c r="AI55" s="1484"/>
      <c r="AJ55" s="1484"/>
      <c r="AK55" s="1484"/>
      <c r="AL55" s="1484"/>
      <c r="AM55" s="1485"/>
      <c r="AN55" s="1513" t="s">
        <v>121</v>
      </c>
      <c r="AO55" s="1514"/>
      <c r="AP55" s="1514"/>
      <c r="AQ55" s="1514"/>
      <c r="AR55" s="1514"/>
      <c r="AS55" s="1514"/>
      <c r="AT55" s="1514"/>
      <c r="AU55" s="1515"/>
      <c r="AV55" s="1516" t="s">
        <v>1600</v>
      </c>
      <c r="AW55" s="1517"/>
      <c r="AX55" s="1517"/>
      <c r="AY55" s="1517"/>
      <c r="AZ55" s="1517"/>
      <c r="BA55" s="1518"/>
      <c r="BB55" s="1480">
        <f t="shared" si="3"/>
        <v>90062</v>
      </c>
      <c r="BC55" s="1481"/>
      <c r="BD55" s="1481"/>
      <c r="BE55" s="1481"/>
      <c r="BF55" s="1481"/>
      <c r="BG55" s="1481"/>
      <c r="BH55" s="1481"/>
      <c r="BI55" s="1481"/>
      <c r="BJ55" s="1482"/>
      <c r="BK55" s="1480">
        <f t="shared" si="4"/>
        <v>90062</v>
      </c>
      <c r="BL55" s="1481"/>
      <c r="BM55" s="1481"/>
      <c r="BN55" s="1481"/>
      <c r="BO55" s="1481"/>
      <c r="BP55" s="1481"/>
      <c r="BQ55" s="1481"/>
      <c r="BR55" s="1481"/>
      <c r="BS55" s="1482"/>
      <c r="BT55" s="1486">
        <v>77588</v>
      </c>
      <c r="BU55" s="1487"/>
      <c r="BV55" s="1487"/>
      <c r="BW55" s="1487"/>
      <c r="BX55" s="1487"/>
      <c r="BY55" s="1487"/>
      <c r="BZ55" s="1488"/>
      <c r="CA55" s="1486">
        <v>11412</v>
      </c>
      <c r="CB55" s="1487"/>
      <c r="CC55" s="1487"/>
      <c r="CD55" s="1487"/>
      <c r="CE55" s="1487"/>
      <c r="CF55" s="1487"/>
      <c r="CG55" s="1488"/>
      <c r="CH55" s="1486">
        <f t="shared" si="1"/>
        <v>89000</v>
      </c>
      <c r="CI55" s="1487"/>
      <c r="CJ55" s="1487"/>
      <c r="CK55" s="1487"/>
      <c r="CL55" s="1487"/>
      <c r="CM55" s="1487"/>
      <c r="CN55" s="1488"/>
      <c r="CO55" s="1486">
        <v>1062</v>
      </c>
      <c r="CP55" s="1487"/>
      <c r="CQ55" s="1487"/>
      <c r="CR55" s="1487"/>
      <c r="CS55" s="1487"/>
      <c r="CT55" s="1487"/>
      <c r="CU55" s="1488"/>
      <c r="CV55" s="1480">
        <v>82436</v>
      </c>
      <c r="CW55" s="1481"/>
      <c r="CX55" s="1481"/>
      <c r="CY55" s="1481"/>
      <c r="CZ55" s="1481"/>
      <c r="DA55" s="1481"/>
      <c r="DB55" s="1481"/>
      <c r="DC55" s="1481"/>
      <c r="DD55" s="1482"/>
      <c r="DE55" s="1480">
        <v>82436</v>
      </c>
      <c r="DF55" s="1481"/>
      <c r="DG55" s="1481"/>
      <c r="DH55" s="1481"/>
      <c r="DI55" s="1481"/>
      <c r="DJ55" s="1481"/>
      <c r="DK55" s="1481"/>
      <c r="DL55" s="1481"/>
      <c r="DM55" s="1482"/>
      <c r="DN55" s="1486">
        <v>70210</v>
      </c>
      <c r="DO55" s="1487"/>
      <c r="DP55" s="1487"/>
      <c r="DQ55" s="1487"/>
      <c r="DR55" s="1487"/>
      <c r="DS55" s="1487"/>
      <c r="DT55" s="1488"/>
      <c r="DU55" s="1486">
        <v>4182</v>
      </c>
      <c r="DV55" s="1487"/>
      <c r="DW55" s="1487"/>
      <c r="DX55" s="1487"/>
      <c r="DY55" s="1487"/>
      <c r="DZ55" s="1487"/>
      <c r="EA55" s="1488"/>
      <c r="EB55" s="1480">
        <v>74392</v>
      </c>
      <c r="EC55" s="1481"/>
      <c r="ED55" s="1481"/>
      <c r="EE55" s="1481"/>
      <c r="EF55" s="1481"/>
      <c r="EG55" s="1481"/>
      <c r="EH55" s="1482"/>
      <c r="EI55" s="1486">
        <v>8044</v>
      </c>
      <c r="EJ55" s="1487"/>
      <c r="EK55" s="1487"/>
      <c r="EL55" s="1487"/>
      <c r="EM55" s="1487"/>
      <c r="EN55" s="1487"/>
      <c r="EO55" s="1488"/>
      <c r="EP55" s="1480"/>
      <c r="EQ55" s="1481"/>
      <c r="ER55" s="1481"/>
      <c r="ES55" s="1481"/>
      <c r="ET55" s="1481"/>
      <c r="EU55" s="1481"/>
      <c r="EV55" s="1481"/>
      <c r="EW55" s="1481"/>
      <c r="EX55" s="1481"/>
      <c r="EY55" s="1482"/>
    </row>
    <row r="56" spans="1:155" s="430" customFormat="1" ht="7.8">
      <c r="A56" s="1483" t="s">
        <v>1601</v>
      </c>
      <c r="B56" s="1484"/>
      <c r="C56" s="1484"/>
      <c r="D56" s="1484"/>
      <c r="E56" s="1484"/>
      <c r="F56" s="1484"/>
      <c r="G56" s="1484"/>
      <c r="H56" s="1484"/>
      <c r="I56" s="1484"/>
      <c r="J56" s="1484"/>
      <c r="K56" s="1484"/>
      <c r="L56" s="1484"/>
      <c r="M56" s="1484"/>
      <c r="N56" s="1484"/>
      <c r="O56" s="1484"/>
      <c r="P56" s="1484"/>
      <c r="Q56" s="1484"/>
      <c r="R56" s="1484"/>
      <c r="S56" s="1484"/>
      <c r="T56" s="1484"/>
      <c r="U56" s="1484"/>
      <c r="V56" s="1484"/>
      <c r="W56" s="1484"/>
      <c r="X56" s="1484"/>
      <c r="Y56" s="1484"/>
      <c r="Z56" s="1484"/>
      <c r="AA56" s="1484"/>
      <c r="AB56" s="1484"/>
      <c r="AC56" s="1484"/>
      <c r="AD56" s="1484"/>
      <c r="AE56" s="1484"/>
      <c r="AF56" s="1484"/>
      <c r="AG56" s="1484"/>
      <c r="AH56" s="1484"/>
      <c r="AI56" s="1484"/>
      <c r="AJ56" s="1484"/>
      <c r="AK56" s="1484"/>
      <c r="AL56" s="1484"/>
      <c r="AM56" s="1485"/>
      <c r="AN56" s="1513" t="s">
        <v>121</v>
      </c>
      <c r="AO56" s="1514"/>
      <c r="AP56" s="1514"/>
      <c r="AQ56" s="1514"/>
      <c r="AR56" s="1514"/>
      <c r="AS56" s="1514"/>
      <c r="AT56" s="1514"/>
      <c r="AU56" s="1515"/>
      <c r="AV56" s="1516" t="s">
        <v>1602</v>
      </c>
      <c r="AW56" s="1517"/>
      <c r="AX56" s="1517"/>
      <c r="AY56" s="1517"/>
      <c r="AZ56" s="1517"/>
      <c r="BA56" s="1518"/>
      <c r="BB56" s="1480">
        <f t="shared" si="3"/>
        <v>809357</v>
      </c>
      <c r="BC56" s="1481"/>
      <c r="BD56" s="1481"/>
      <c r="BE56" s="1481"/>
      <c r="BF56" s="1481"/>
      <c r="BG56" s="1481"/>
      <c r="BH56" s="1481"/>
      <c r="BI56" s="1481"/>
      <c r="BJ56" s="1482"/>
      <c r="BK56" s="1480">
        <f>BB56</f>
        <v>809357</v>
      </c>
      <c r="BL56" s="1481"/>
      <c r="BM56" s="1481"/>
      <c r="BN56" s="1481"/>
      <c r="BO56" s="1481"/>
      <c r="BP56" s="1481"/>
      <c r="BQ56" s="1481"/>
      <c r="BR56" s="1481"/>
      <c r="BS56" s="1482"/>
      <c r="BT56" s="1486">
        <f>808127-BT55</f>
        <v>730539</v>
      </c>
      <c r="BU56" s="1487"/>
      <c r="BV56" s="1487"/>
      <c r="BW56" s="1487"/>
      <c r="BX56" s="1487"/>
      <c r="BY56" s="1487"/>
      <c r="BZ56" s="1488"/>
      <c r="CA56" s="1486">
        <f>62865-CA55</f>
        <v>51453</v>
      </c>
      <c r="CB56" s="1487"/>
      <c r="CC56" s="1487"/>
      <c r="CD56" s="1487"/>
      <c r="CE56" s="1487"/>
      <c r="CF56" s="1487"/>
      <c r="CG56" s="1488"/>
      <c r="CH56" s="1486">
        <f t="shared" si="1"/>
        <v>781992</v>
      </c>
      <c r="CI56" s="1487"/>
      <c r="CJ56" s="1487"/>
      <c r="CK56" s="1487"/>
      <c r="CL56" s="1487"/>
      <c r="CM56" s="1487"/>
      <c r="CN56" s="1488"/>
      <c r="CO56" s="1486">
        <f>28427-CO55</f>
        <v>27365</v>
      </c>
      <c r="CP56" s="1487"/>
      <c r="CQ56" s="1487"/>
      <c r="CR56" s="1487"/>
      <c r="CS56" s="1487"/>
      <c r="CT56" s="1487"/>
      <c r="CU56" s="1488"/>
      <c r="CV56" s="1480">
        <v>605125</v>
      </c>
      <c r="CW56" s="1481"/>
      <c r="CX56" s="1481"/>
      <c r="CY56" s="1481"/>
      <c r="CZ56" s="1481"/>
      <c r="DA56" s="1481"/>
      <c r="DB56" s="1481"/>
      <c r="DC56" s="1481"/>
      <c r="DD56" s="1482"/>
      <c r="DE56" s="1480">
        <v>605125</v>
      </c>
      <c r="DF56" s="1481"/>
      <c r="DG56" s="1481"/>
      <c r="DH56" s="1481"/>
      <c r="DI56" s="1481"/>
      <c r="DJ56" s="1481"/>
      <c r="DK56" s="1481"/>
      <c r="DL56" s="1481"/>
      <c r="DM56" s="1482"/>
      <c r="DN56" s="1486">
        <v>449447</v>
      </c>
      <c r="DO56" s="1487"/>
      <c r="DP56" s="1487"/>
      <c r="DQ56" s="1487"/>
      <c r="DR56" s="1487"/>
      <c r="DS56" s="1487"/>
      <c r="DT56" s="1488"/>
      <c r="DU56" s="1486">
        <v>41329</v>
      </c>
      <c r="DV56" s="1487"/>
      <c r="DW56" s="1487"/>
      <c r="DX56" s="1487"/>
      <c r="DY56" s="1487"/>
      <c r="DZ56" s="1487"/>
      <c r="EA56" s="1488"/>
      <c r="EB56" s="1480">
        <v>490776</v>
      </c>
      <c r="EC56" s="1481"/>
      <c r="ED56" s="1481"/>
      <c r="EE56" s="1481"/>
      <c r="EF56" s="1481"/>
      <c r="EG56" s="1481"/>
      <c r="EH56" s="1482"/>
      <c r="EI56" s="1486">
        <v>114349</v>
      </c>
      <c r="EJ56" s="1487"/>
      <c r="EK56" s="1487"/>
      <c r="EL56" s="1487"/>
      <c r="EM56" s="1487"/>
      <c r="EN56" s="1487"/>
      <c r="EO56" s="1488"/>
      <c r="EP56" s="1480"/>
      <c r="EQ56" s="1481"/>
      <c r="ER56" s="1481"/>
      <c r="ES56" s="1481"/>
      <c r="ET56" s="1481"/>
      <c r="EU56" s="1481"/>
      <c r="EV56" s="1481"/>
      <c r="EW56" s="1481"/>
      <c r="EX56" s="1481"/>
      <c r="EY56" s="1482"/>
    </row>
    <row r="57" spans="1:155" s="430" customFormat="1" ht="7.8">
      <c r="A57" s="1471" t="s">
        <v>1603</v>
      </c>
      <c r="B57" s="1472"/>
      <c r="C57" s="1472"/>
      <c r="D57" s="1472"/>
      <c r="E57" s="1472"/>
      <c r="F57" s="1472"/>
      <c r="G57" s="1472"/>
      <c r="H57" s="1472"/>
      <c r="I57" s="1472"/>
      <c r="J57" s="1472"/>
      <c r="K57" s="1472"/>
      <c r="L57" s="1472"/>
      <c r="M57" s="1472"/>
      <c r="N57" s="1472"/>
      <c r="O57" s="1472"/>
      <c r="P57" s="1472"/>
      <c r="Q57" s="1472"/>
      <c r="R57" s="1472"/>
      <c r="S57" s="1472"/>
      <c r="T57" s="1472"/>
      <c r="U57" s="1472"/>
      <c r="V57" s="1472"/>
      <c r="W57" s="1472"/>
      <c r="X57" s="1472"/>
      <c r="Y57" s="1472"/>
      <c r="Z57" s="1472"/>
      <c r="AA57" s="1472"/>
      <c r="AB57" s="1472"/>
      <c r="AC57" s="1472"/>
      <c r="AD57" s="1472"/>
      <c r="AE57" s="1472"/>
      <c r="AF57" s="1472"/>
      <c r="AG57" s="1472"/>
      <c r="AH57" s="1472"/>
      <c r="AI57" s="1472"/>
      <c r="AJ57" s="1472"/>
      <c r="AK57" s="1472"/>
      <c r="AL57" s="1472"/>
      <c r="AM57" s="1473"/>
      <c r="AN57" s="1513" t="s">
        <v>121</v>
      </c>
      <c r="AO57" s="1514"/>
      <c r="AP57" s="1514"/>
      <c r="AQ57" s="1514"/>
      <c r="AR57" s="1514"/>
      <c r="AS57" s="1514"/>
      <c r="AT57" s="1514"/>
      <c r="AU57" s="1515"/>
      <c r="AV57" s="1516" t="s">
        <v>1604</v>
      </c>
      <c r="AW57" s="1517"/>
      <c r="AX57" s="1517"/>
      <c r="AY57" s="1517"/>
      <c r="AZ57" s="1517"/>
      <c r="BA57" s="1518"/>
      <c r="BB57" s="1480">
        <f t="shared" si="3"/>
        <v>134033</v>
      </c>
      <c r="BC57" s="1481"/>
      <c r="BD57" s="1481"/>
      <c r="BE57" s="1481"/>
      <c r="BF57" s="1481"/>
      <c r="BG57" s="1481"/>
      <c r="BH57" s="1481"/>
      <c r="BI57" s="1481"/>
      <c r="BJ57" s="1482"/>
      <c r="BK57" s="1480">
        <f t="shared" si="4"/>
        <v>134033</v>
      </c>
      <c r="BL57" s="1481"/>
      <c r="BM57" s="1481"/>
      <c r="BN57" s="1481"/>
      <c r="BO57" s="1481"/>
      <c r="BP57" s="1481"/>
      <c r="BQ57" s="1481"/>
      <c r="BR57" s="1481"/>
      <c r="BS57" s="1482"/>
      <c r="BT57" s="1486">
        <v>74496</v>
      </c>
      <c r="BU57" s="1487"/>
      <c r="BV57" s="1487"/>
      <c r="BW57" s="1487"/>
      <c r="BX57" s="1487"/>
      <c r="BY57" s="1487"/>
      <c r="BZ57" s="1488"/>
      <c r="CA57" s="1486">
        <v>45788</v>
      </c>
      <c r="CB57" s="1487"/>
      <c r="CC57" s="1487"/>
      <c r="CD57" s="1487"/>
      <c r="CE57" s="1487"/>
      <c r="CF57" s="1487"/>
      <c r="CG57" s="1488"/>
      <c r="CH57" s="1486">
        <f t="shared" si="1"/>
        <v>120284</v>
      </c>
      <c r="CI57" s="1487"/>
      <c r="CJ57" s="1487"/>
      <c r="CK57" s="1487"/>
      <c r="CL57" s="1487"/>
      <c r="CM57" s="1487"/>
      <c r="CN57" s="1488"/>
      <c r="CO57" s="1486">
        <v>13749</v>
      </c>
      <c r="CP57" s="1487"/>
      <c r="CQ57" s="1487"/>
      <c r="CR57" s="1487"/>
      <c r="CS57" s="1487"/>
      <c r="CT57" s="1487"/>
      <c r="CU57" s="1488"/>
      <c r="CV57" s="1480">
        <v>14303</v>
      </c>
      <c r="CW57" s="1481"/>
      <c r="CX57" s="1481"/>
      <c r="CY57" s="1481"/>
      <c r="CZ57" s="1481"/>
      <c r="DA57" s="1481"/>
      <c r="DB57" s="1481"/>
      <c r="DC57" s="1481"/>
      <c r="DD57" s="1482"/>
      <c r="DE57" s="1480">
        <v>14303</v>
      </c>
      <c r="DF57" s="1481"/>
      <c r="DG57" s="1481"/>
      <c r="DH57" s="1481"/>
      <c r="DI57" s="1481"/>
      <c r="DJ57" s="1481"/>
      <c r="DK57" s="1481"/>
      <c r="DL57" s="1481"/>
      <c r="DM57" s="1482"/>
      <c r="DN57" s="1486">
        <v>-33146</v>
      </c>
      <c r="DO57" s="1487"/>
      <c r="DP57" s="1487"/>
      <c r="DQ57" s="1487"/>
      <c r="DR57" s="1487"/>
      <c r="DS57" s="1487"/>
      <c r="DT57" s="1488"/>
      <c r="DU57" s="1486">
        <v>39681</v>
      </c>
      <c r="DV57" s="1487"/>
      <c r="DW57" s="1487"/>
      <c r="DX57" s="1487"/>
      <c r="DY57" s="1487"/>
      <c r="DZ57" s="1487"/>
      <c r="EA57" s="1488"/>
      <c r="EB57" s="1480">
        <v>6535</v>
      </c>
      <c r="EC57" s="1481"/>
      <c r="ED57" s="1481"/>
      <c r="EE57" s="1481"/>
      <c r="EF57" s="1481"/>
      <c r="EG57" s="1481"/>
      <c r="EH57" s="1482"/>
      <c r="EI57" s="1486">
        <v>7768</v>
      </c>
      <c r="EJ57" s="1487"/>
      <c r="EK57" s="1487"/>
      <c r="EL57" s="1487"/>
      <c r="EM57" s="1487"/>
      <c r="EN57" s="1487"/>
      <c r="EO57" s="1488"/>
      <c r="EP57" s="1480"/>
      <c r="EQ57" s="1481"/>
      <c r="ER57" s="1481"/>
      <c r="ES57" s="1481"/>
      <c r="ET57" s="1481"/>
      <c r="EU57" s="1481"/>
      <c r="EV57" s="1481"/>
      <c r="EW57" s="1481"/>
      <c r="EX57" s="1481"/>
      <c r="EY57" s="1482"/>
    </row>
    <row r="58" spans="1:155" s="431" customFormat="1" ht="7.8">
      <c r="A58" s="1519" t="s">
        <v>1605</v>
      </c>
      <c r="B58" s="1520"/>
      <c r="C58" s="1520"/>
      <c r="D58" s="1520"/>
      <c r="E58" s="1520"/>
      <c r="F58" s="1520"/>
      <c r="G58" s="1520"/>
      <c r="H58" s="1520"/>
      <c r="I58" s="1520"/>
      <c r="J58" s="1520"/>
      <c r="K58" s="1520"/>
      <c r="L58" s="1520"/>
      <c r="M58" s="1520"/>
      <c r="N58" s="1520"/>
      <c r="O58" s="1520"/>
      <c r="P58" s="1520"/>
      <c r="Q58" s="1520"/>
      <c r="R58" s="1520"/>
      <c r="S58" s="1520"/>
      <c r="T58" s="1520"/>
      <c r="U58" s="1520"/>
      <c r="V58" s="1520"/>
      <c r="W58" s="1520"/>
      <c r="X58" s="1520"/>
      <c r="Y58" s="1520"/>
      <c r="Z58" s="1520"/>
      <c r="AA58" s="1520"/>
      <c r="AB58" s="1520"/>
      <c r="AC58" s="1520"/>
      <c r="AD58" s="1520"/>
      <c r="AE58" s="1520"/>
      <c r="AF58" s="1520"/>
      <c r="AG58" s="1520"/>
      <c r="AH58" s="1520"/>
      <c r="AI58" s="1520"/>
      <c r="AJ58" s="1520"/>
      <c r="AK58" s="1520"/>
      <c r="AL58" s="1520"/>
      <c r="AM58" s="1520"/>
      <c r="AN58" s="1520"/>
      <c r="AO58" s="1520"/>
      <c r="AP58" s="1520"/>
      <c r="AQ58" s="1520"/>
      <c r="AR58" s="1520"/>
      <c r="AS58" s="1520"/>
      <c r="AT58" s="1520"/>
      <c r="AU58" s="1520"/>
      <c r="AV58" s="1520"/>
      <c r="AW58" s="1520"/>
      <c r="AX58" s="1520"/>
      <c r="AY58" s="1520"/>
      <c r="AZ58" s="1520"/>
      <c r="BA58" s="1520"/>
      <c r="BB58" s="1520"/>
      <c r="BC58" s="1520"/>
      <c r="BD58" s="1520"/>
      <c r="BE58" s="1520"/>
      <c r="BF58" s="1520"/>
      <c r="BG58" s="1520"/>
      <c r="BH58" s="1520"/>
      <c r="BI58" s="1520"/>
      <c r="BJ58" s="1520"/>
      <c r="BK58" s="1520"/>
      <c r="BL58" s="1520"/>
      <c r="BM58" s="1520"/>
      <c r="BN58" s="1520"/>
      <c r="BO58" s="1520"/>
      <c r="BP58" s="1520"/>
      <c r="BQ58" s="1520"/>
      <c r="BR58" s="1520"/>
      <c r="BS58" s="1520"/>
      <c r="BT58" s="1520"/>
      <c r="BU58" s="1520"/>
      <c r="BV58" s="1520"/>
      <c r="BW58" s="1520"/>
      <c r="BX58" s="1520"/>
      <c r="BY58" s="1520"/>
      <c r="BZ58" s="1520"/>
      <c r="CA58" s="1520"/>
      <c r="CB58" s="1520"/>
      <c r="CC58" s="1520"/>
      <c r="CD58" s="1520"/>
      <c r="CE58" s="1520"/>
      <c r="CF58" s="1520"/>
      <c r="CG58" s="1520"/>
      <c r="CH58" s="1520"/>
      <c r="CI58" s="1520"/>
      <c r="CJ58" s="1520"/>
      <c r="CK58" s="1520"/>
      <c r="CL58" s="1520"/>
      <c r="CM58" s="1520"/>
      <c r="CN58" s="1520"/>
      <c r="CO58" s="1520"/>
      <c r="CP58" s="1520"/>
      <c r="CQ58" s="1520"/>
      <c r="CR58" s="1520"/>
      <c r="CS58" s="1520"/>
      <c r="CT58" s="1520"/>
      <c r="CU58" s="1520"/>
      <c r="CV58" s="1520"/>
      <c r="CW58" s="1520"/>
      <c r="CX58" s="1520"/>
      <c r="CY58" s="1520"/>
      <c r="CZ58" s="1520"/>
      <c r="DA58" s="1520"/>
      <c r="DB58" s="1520"/>
      <c r="DC58" s="1520"/>
      <c r="DD58" s="1520"/>
      <c r="DE58" s="1520"/>
      <c r="DF58" s="1520"/>
      <c r="DG58" s="1520"/>
      <c r="DH58" s="1520"/>
      <c r="DI58" s="1520"/>
      <c r="DJ58" s="1520"/>
      <c r="DK58" s="1520"/>
      <c r="DL58" s="1520"/>
      <c r="DM58" s="1520"/>
      <c r="DN58" s="1520"/>
      <c r="DO58" s="1520"/>
      <c r="DP58" s="1520"/>
      <c r="DQ58" s="1520"/>
      <c r="DR58" s="1520"/>
      <c r="DS58" s="1520"/>
      <c r="DT58" s="1520"/>
      <c r="DU58" s="1520"/>
      <c r="DV58" s="1520"/>
      <c r="DW58" s="1520"/>
      <c r="DX58" s="1520"/>
      <c r="DY58" s="1520"/>
      <c r="DZ58" s="1520"/>
      <c r="EA58" s="1520"/>
      <c r="EB58" s="1520"/>
      <c r="EC58" s="1520"/>
      <c r="ED58" s="1520"/>
      <c r="EE58" s="1520"/>
      <c r="EF58" s="1520"/>
      <c r="EG58" s="1520"/>
      <c r="EH58" s="1520"/>
      <c r="EI58" s="1520"/>
      <c r="EJ58" s="1520"/>
      <c r="EK58" s="1520"/>
      <c r="EL58" s="1520"/>
      <c r="EM58" s="1520"/>
      <c r="EN58" s="1520"/>
      <c r="EO58" s="1520"/>
      <c r="EP58" s="1520"/>
      <c r="EQ58" s="1520"/>
      <c r="ER58" s="1520"/>
      <c r="ES58" s="1520"/>
      <c r="ET58" s="1520"/>
      <c r="EU58" s="1520"/>
      <c r="EV58" s="1520"/>
      <c r="EW58" s="1520"/>
      <c r="EX58" s="1520"/>
      <c r="EY58" s="1521"/>
    </row>
    <row r="59" spans="1:155" s="430" customFormat="1" ht="7.8">
      <c r="A59" s="1471" t="s">
        <v>1606</v>
      </c>
      <c r="B59" s="1472"/>
      <c r="C59" s="1472"/>
      <c r="D59" s="1472"/>
      <c r="E59" s="1472"/>
      <c r="F59" s="1472"/>
      <c r="G59" s="1472"/>
      <c r="H59" s="1472"/>
      <c r="I59" s="1472"/>
      <c r="J59" s="1472"/>
      <c r="K59" s="1472"/>
      <c r="L59" s="1472"/>
      <c r="M59" s="1472"/>
      <c r="N59" s="1472"/>
      <c r="O59" s="1472"/>
      <c r="P59" s="1472"/>
      <c r="Q59" s="1472"/>
      <c r="R59" s="1472"/>
      <c r="S59" s="1472"/>
      <c r="T59" s="1472"/>
      <c r="U59" s="1472"/>
      <c r="V59" s="1472"/>
      <c r="W59" s="1472"/>
      <c r="X59" s="1472"/>
      <c r="Y59" s="1472"/>
      <c r="Z59" s="1472"/>
      <c r="AA59" s="1472"/>
      <c r="AB59" s="1472"/>
      <c r="AC59" s="1472"/>
      <c r="AD59" s="1472"/>
      <c r="AE59" s="1472"/>
      <c r="AF59" s="1472"/>
      <c r="AG59" s="1472"/>
      <c r="AH59" s="1472"/>
      <c r="AI59" s="1472"/>
      <c r="AJ59" s="1472"/>
      <c r="AK59" s="1472"/>
      <c r="AL59" s="1472"/>
      <c r="AM59" s="1473"/>
      <c r="AN59" s="1474" t="s">
        <v>121</v>
      </c>
      <c r="AO59" s="1475"/>
      <c r="AP59" s="1475"/>
      <c r="AQ59" s="1475"/>
      <c r="AR59" s="1475"/>
      <c r="AS59" s="1475"/>
      <c r="AT59" s="1475"/>
      <c r="AU59" s="1476"/>
      <c r="AV59" s="1477" t="s">
        <v>1607</v>
      </c>
      <c r="AW59" s="1478"/>
      <c r="AX59" s="1478"/>
      <c r="AY59" s="1478"/>
      <c r="AZ59" s="1478"/>
      <c r="BA59" s="1479"/>
      <c r="BB59" s="1480">
        <f>BT59+CA59+CO59</f>
        <v>7672390</v>
      </c>
      <c r="BC59" s="1481"/>
      <c r="BD59" s="1481"/>
      <c r="BE59" s="1481"/>
      <c r="BF59" s="1481"/>
      <c r="BG59" s="1481"/>
      <c r="BH59" s="1481"/>
      <c r="BI59" s="1481"/>
      <c r="BJ59" s="1482"/>
      <c r="BK59" s="1486">
        <f>BB59</f>
        <v>7672390</v>
      </c>
      <c r="BL59" s="1487"/>
      <c r="BM59" s="1487"/>
      <c r="BN59" s="1487"/>
      <c r="BO59" s="1487"/>
      <c r="BP59" s="1487"/>
      <c r="BQ59" s="1487"/>
      <c r="BR59" s="1487"/>
      <c r="BS59" s="1488"/>
      <c r="BT59" s="1480">
        <f>BT21-BT60</f>
        <v>7482370</v>
      </c>
      <c r="BU59" s="1481"/>
      <c r="BV59" s="1481"/>
      <c r="BW59" s="1481"/>
      <c r="BX59" s="1481"/>
      <c r="BY59" s="1481"/>
      <c r="BZ59" s="1482"/>
      <c r="CA59" s="1480">
        <f>CA21-CA60</f>
        <v>128778</v>
      </c>
      <c r="CB59" s="1481"/>
      <c r="CC59" s="1481"/>
      <c r="CD59" s="1481"/>
      <c r="CE59" s="1481"/>
      <c r="CF59" s="1481"/>
      <c r="CG59" s="1482"/>
      <c r="CH59" s="1480">
        <f>BT59+CA59</f>
        <v>7611148</v>
      </c>
      <c r="CI59" s="1481"/>
      <c r="CJ59" s="1481"/>
      <c r="CK59" s="1481"/>
      <c r="CL59" s="1481"/>
      <c r="CM59" s="1481"/>
      <c r="CN59" s="1482"/>
      <c r="CO59" s="1480">
        <f>CO21-CO60</f>
        <v>61242</v>
      </c>
      <c r="CP59" s="1481"/>
      <c r="CQ59" s="1481"/>
      <c r="CR59" s="1481"/>
      <c r="CS59" s="1481"/>
      <c r="CT59" s="1481"/>
      <c r="CU59" s="1482"/>
      <c r="CV59" s="1480">
        <v>6613917</v>
      </c>
      <c r="CW59" s="1481"/>
      <c r="CX59" s="1481"/>
      <c r="CY59" s="1481"/>
      <c r="CZ59" s="1481"/>
      <c r="DA59" s="1481"/>
      <c r="DB59" s="1481"/>
      <c r="DC59" s="1481"/>
      <c r="DD59" s="1482"/>
      <c r="DE59" s="1480">
        <v>6613917</v>
      </c>
      <c r="DF59" s="1481"/>
      <c r="DG59" s="1481"/>
      <c r="DH59" s="1481"/>
      <c r="DI59" s="1481"/>
      <c r="DJ59" s="1481"/>
      <c r="DK59" s="1481"/>
      <c r="DL59" s="1481"/>
      <c r="DM59" s="1482"/>
      <c r="DN59" s="1480">
        <v>6358209</v>
      </c>
      <c r="DO59" s="1481"/>
      <c r="DP59" s="1481"/>
      <c r="DQ59" s="1481"/>
      <c r="DR59" s="1481"/>
      <c r="DS59" s="1481"/>
      <c r="DT59" s="1482"/>
      <c r="DU59" s="1480">
        <v>96343</v>
      </c>
      <c r="DV59" s="1481"/>
      <c r="DW59" s="1481"/>
      <c r="DX59" s="1481"/>
      <c r="DY59" s="1481"/>
      <c r="DZ59" s="1481"/>
      <c r="EA59" s="1482"/>
      <c r="EB59" s="1480">
        <v>6454552</v>
      </c>
      <c r="EC59" s="1481"/>
      <c r="ED59" s="1481"/>
      <c r="EE59" s="1481"/>
      <c r="EF59" s="1481"/>
      <c r="EG59" s="1481"/>
      <c r="EH59" s="1482"/>
      <c r="EI59" s="1480">
        <v>159365</v>
      </c>
      <c r="EJ59" s="1481"/>
      <c r="EK59" s="1481"/>
      <c r="EL59" s="1481"/>
      <c r="EM59" s="1481"/>
      <c r="EN59" s="1481"/>
      <c r="EO59" s="1482"/>
      <c r="EP59" s="1480"/>
      <c r="EQ59" s="1481"/>
      <c r="ER59" s="1481"/>
      <c r="ES59" s="1481"/>
      <c r="ET59" s="1481"/>
      <c r="EU59" s="1481"/>
      <c r="EV59" s="1481"/>
      <c r="EW59" s="1481"/>
      <c r="EX59" s="1481"/>
      <c r="EY59" s="1482"/>
    </row>
    <row r="60" spans="1:155" s="430" customFormat="1" ht="7.8">
      <c r="A60" s="1471" t="s">
        <v>1608</v>
      </c>
      <c r="B60" s="1472"/>
      <c r="C60" s="1472"/>
      <c r="D60" s="1472"/>
      <c r="E60" s="1472"/>
      <c r="F60" s="1472"/>
      <c r="G60" s="1472"/>
      <c r="H60" s="1472"/>
      <c r="I60" s="1472"/>
      <c r="J60" s="1472"/>
      <c r="K60" s="1472"/>
      <c r="L60" s="1472"/>
      <c r="M60" s="1472"/>
      <c r="N60" s="1472"/>
      <c r="O60" s="1472"/>
      <c r="P60" s="1472"/>
      <c r="Q60" s="1472"/>
      <c r="R60" s="1472"/>
      <c r="S60" s="1472"/>
      <c r="T60" s="1472"/>
      <c r="U60" s="1472"/>
      <c r="V60" s="1472"/>
      <c r="W60" s="1472"/>
      <c r="X60" s="1472"/>
      <c r="Y60" s="1472"/>
      <c r="Z60" s="1472"/>
      <c r="AA60" s="1472"/>
      <c r="AB60" s="1472"/>
      <c r="AC60" s="1472"/>
      <c r="AD60" s="1472"/>
      <c r="AE60" s="1472"/>
      <c r="AF60" s="1472"/>
      <c r="AG60" s="1472"/>
      <c r="AH60" s="1472"/>
      <c r="AI60" s="1472"/>
      <c r="AJ60" s="1472"/>
      <c r="AK60" s="1472"/>
      <c r="AL60" s="1472"/>
      <c r="AM60" s="1473"/>
      <c r="AN60" s="1474" t="s">
        <v>121</v>
      </c>
      <c r="AO60" s="1475"/>
      <c r="AP60" s="1475"/>
      <c r="AQ60" s="1475"/>
      <c r="AR60" s="1475"/>
      <c r="AS60" s="1475"/>
      <c r="AT60" s="1475"/>
      <c r="AU60" s="1476"/>
      <c r="AV60" s="1477" t="s">
        <v>1609</v>
      </c>
      <c r="AW60" s="1478"/>
      <c r="AX60" s="1478"/>
      <c r="AY60" s="1478"/>
      <c r="AZ60" s="1478"/>
      <c r="BA60" s="1479"/>
      <c r="BB60" s="1480">
        <f>BT60+CA60+CO60</f>
        <v>838428</v>
      </c>
      <c r="BC60" s="1481"/>
      <c r="BD60" s="1481"/>
      <c r="BE60" s="1481"/>
      <c r="BF60" s="1481"/>
      <c r="BG60" s="1481"/>
      <c r="BH60" s="1481"/>
      <c r="BI60" s="1481"/>
      <c r="BJ60" s="1482"/>
      <c r="BK60" s="1486">
        <f>BB60</f>
        <v>838428</v>
      </c>
      <c r="BL60" s="1487"/>
      <c r="BM60" s="1487"/>
      <c r="BN60" s="1487"/>
      <c r="BO60" s="1487"/>
      <c r="BP60" s="1487"/>
      <c r="BQ60" s="1487"/>
      <c r="BR60" s="1487"/>
      <c r="BS60" s="1488"/>
      <c r="BT60" s="1480">
        <v>822316</v>
      </c>
      <c r="BU60" s="1481"/>
      <c r="BV60" s="1481"/>
      <c r="BW60" s="1481"/>
      <c r="BX60" s="1481"/>
      <c r="BY60" s="1481"/>
      <c r="BZ60" s="1482"/>
      <c r="CA60" s="1480">
        <v>13776</v>
      </c>
      <c r="CB60" s="1481"/>
      <c r="CC60" s="1481"/>
      <c r="CD60" s="1481"/>
      <c r="CE60" s="1481"/>
      <c r="CF60" s="1481"/>
      <c r="CG60" s="1482"/>
      <c r="CH60" s="1480">
        <f t="shared" ref="CH60:CH66" si="5">BT60+CA60</f>
        <v>836092</v>
      </c>
      <c r="CI60" s="1481"/>
      <c r="CJ60" s="1481"/>
      <c r="CK60" s="1481"/>
      <c r="CL60" s="1481"/>
      <c r="CM60" s="1481"/>
      <c r="CN60" s="1482"/>
      <c r="CO60" s="1480">
        <v>2336</v>
      </c>
      <c r="CP60" s="1481"/>
      <c r="CQ60" s="1481"/>
      <c r="CR60" s="1481"/>
      <c r="CS60" s="1481"/>
      <c r="CT60" s="1481"/>
      <c r="CU60" s="1482"/>
      <c r="CV60" s="1480">
        <v>822188</v>
      </c>
      <c r="CW60" s="1481"/>
      <c r="CX60" s="1481"/>
      <c r="CY60" s="1481"/>
      <c r="CZ60" s="1481"/>
      <c r="DA60" s="1481"/>
      <c r="DB60" s="1481"/>
      <c r="DC60" s="1481"/>
      <c r="DD60" s="1482"/>
      <c r="DE60" s="1480">
        <v>822188</v>
      </c>
      <c r="DF60" s="1481"/>
      <c r="DG60" s="1481"/>
      <c r="DH60" s="1481"/>
      <c r="DI60" s="1481"/>
      <c r="DJ60" s="1481"/>
      <c r="DK60" s="1481"/>
      <c r="DL60" s="1481"/>
      <c r="DM60" s="1482"/>
      <c r="DN60" s="1480">
        <v>803578</v>
      </c>
      <c r="DO60" s="1481"/>
      <c r="DP60" s="1481"/>
      <c r="DQ60" s="1481"/>
      <c r="DR60" s="1481"/>
      <c r="DS60" s="1481"/>
      <c r="DT60" s="1482"/>
      <c r="DU60" s="1480">
        <v>16099</v>
      </c>
      <c r="DV60" s="1481"/>
      <c r="DW60" s="1481"/>
      <c r="DX60" s="1481"/>
      <c r="DY60" s="1481"/>
      <c r="DZ60" s="1481"/>
      <c r="EA60" s="1482"/>
      <c r="EB60" s="1480">
        <v>819677</v>
      </c>
      <c r="EC60" s="1481"/>
      <c r="ED60" s="1481"/>
      <c r="EE60" s="1481"/>
      <c r="EF60" s="1481"/>
      <c r="EG60" s="1481"/>
      <c r="EH60" s="1482"/>
      <c r="EI60" s="1480">
        <v>2511</v>
      </c>
      <c r="EJ60" s="1481"/>
      <c r="EK60" s="1481"/>
      <c r="EL60" s="1481"/>
      <c r="EM60" s="1481"/>
      <c r="EN60" s="1481"/>
      <c r="EO60" s="1482"/>
      <c r="EP60" s="1480"/>
      <c r="EQ60" s="1481"/>
      <c r="ER60" s="1481"/>
      <c r="ES60" s="1481"/>
      <c r="ET60" s="1481"/>
      <c r="EU60" s="1481"/>
      <c r="EV60" s="1481"/>
      <c r="EW60" s="1481"/>
      <c r="EX60" s="1481"/>
      <c r="EY60" s="1482"/>
    </row>
    <row r="61" spans="1:155" s="430" customFormat="1" ht="24.75" customHeight="1">
      <c r="A61" s="1471" t="s">
        <v>1610</v>
      </c>
      <c r="B61" s="1472"/>
      <c r="C61" s="1472"/>
      <c r="D61" s="1472"/>
      <c r="E61" s="1472"/>
      <c r="F61" s="1472"/>
      <c r="G61" s="1472"/>
      <c r="H61" s="1472"/>
      <c r="I61" s="1472"/>
      <c r="J61" s="1472"/>
      <c r="K61" s="1472"/>
      <c r="L61" s="1472"/>
      <c r="M61" s="1472"/>
      <c r="N61" s="1472"/>
      <c r="O61" s="1472"/>
      <c r="P61" s="1472"/>
      <c r="Q61" s="1472"/>
      <c r="R61" s="1472"/>
      <c r="S61" s="1472"/>
      <c r="T61" s="1472"/>
      <c r="U61" s="1472"/>
      <c r="V61" s="1472"/>
      <c r="W61" s="1472"/>
      <c r="X61" s="1472"/>
      <c r="Y61" s="1472"/>
      <c r="Z61" s="1472"/>
      <c r="AA61" s="1472"/>
      <c r="AB61" s="1472"/>
      <c r="AC61" s="1472"/>
      <c r="AD61" s="1472"/>
      <c r="AE61" s="1472"/>
      <c r="AF61" s="1472"/>
      <c r="AG61" s="1472"/>
      <c r="AH61" s="1472"/>
      <c r="AI61" s="1472"/>
      <c r="AJ61" s="1472"/>
      <c r="AK61" s="1472"/>
      <c r="AL61" s="1472"/>
      <c r="AM61" s="1473"/>
      <c r="AN61" s="1513" t="s">
        <v>121</v>
      </c>
      <c r="AO61" s="1514"/>
      <c r="AP61" s="1514"/>
      <c r="AQ61" s="1514"/>
      <c r="AR61" s="1514"/>
      <c r="AS61" s="1514"/>
      <c r="AT61" s="1514"/>
      <c r="AU61" s="1515"/>
      <c r="AV61" s="1516" t="s">
        <v>1611</v>
      </c>
      <c r="AW61" s="1517"/>
      <c r="AX61" s="1517"/>
      <c r="AY61" s="1517"/>
      <c r="AZ61" s="1517"/>
      <c r="BA61" s="1518"/>
      <c r="BB61" s="1480">
        <f t="shared" ref="BB61:BB67" si="6">BT61+CA61+CO61</f>
        <v>0</v>
      </c>
      <c r="BC61" s="1481"/>
      <c r="BD61" s="1481"/>
      <c r="BE61" s="1481"/>
      <c r="BF61" s="1481"/>
      <c r="BG61" s="1481"/>
      <c r="BH61" s="1481"/>
      <c r="BI61" s="1481"/>
      <c r="BJ61" s="1482"/>
      <c r="BK61" s="1486">
        <f>BB61</f>
        <v>0</v>
      </c>
      <c r="BL61" s="1487"/>
      <c r="BM61" s="1487"/>
      <c r="BN61" s="1487"/>
      <c r="BO61" s="1487"/>
      <c r="BP61" s="1487"/>
      <c r="BQ61" s="1487"/>
      <c r="BR61" s="1487"/>
      <c r="BS61" s="1488"/>
      <c r="BT61" s="1486"/>
      <c r="BU61" s="1487"/>
      <c r="BV61" s="1487"/>
      <c r="BW61" s="1487"/>
      <c r="BX61" s="1487"/>
      <c r="BY61" s="1487"/>
      <c r="BZ61" s="1488"/>
      <c r="CA61" s="1486"/>
      <c r="CB61" s="1487"/>
      <c r="CC61" s="1487"/>
      <c r="CD61" s="1487"/>
      <c r="CE61" s="1487"/>
      <c r="CF61" s="1487"/>
      <c r="CG61" s="1488"/>
      <c r="CH61" s="1480">
        <f t="shared" si="5"/>
        <v>0</v>
      </c>
      <c r="CI61" s="1481"/>
      <c r="CJ61" s="1481"/>
      <c r="CK61" s="1481"/>
      <c r="CL61" s="1481"/>
      <c r="CM61" s="1481"/>
      <c r="CN61" s="1482"/>
      <c r="CO61" s="1486">
        <v>0</v>
      </c>
      <c r="CP61" s="1487"/>
      <c r="CQ61" s="1487"/>
      <c r="CR61" s="1487"/>
      <c r="CS61" s="1487"/>
      <c r="CT61" s="1487"/>
      <c r="CU61" s="1488"/>
      <c r="CV61" s="1480">
        <v>704586</v>
      </c>
      <c r="CW61" s="1481"/>
      <c r="CX61" s="1481"/>
      <c r="CY61" s="1481"/>
      <c r="CZ61" s="1481"/>
      <c r="DA61" s="1481"/>
      <c r="DB61" s="1481"/>
      <c r="DC61" s="1481"/>
      <c r="DD61" s="1482"/>
      <c r="DE61" s="1480">
        <v>704586</v>
      </c>
      <c r="DF61" s="1481"/>
      <c r="DG61" s="1481"/>
      <c r="DH61" s="1481"/>
      <c r="DI61" s="1481"/>
      <c r="DJ61" s="1481"/>
      <c r="DK61" s="1481"/>
      <c r="DL61" s="1481"/>
      <c r="DM61" s="1482"/>
      <c r="DN61" s="1486">
        <v>384568</v>
      </c>
      <c r="DO61" s="1487"/>
      <c r="DP61" s="1487"/>
      <c r="DQ61" s="1487"/>
      <c r="DR61" s="1487"/>
      <c r="DS61" s="1487"/>
      <c r="DT61" s="1488"/>
      <c r="DU61" s="1486">
        <v>320018</v>
      </c>
      <c r="DV61" s="1487"/>
      <c r="DW61" s="1487"/>
      <c r="DX61" s="1487"/>
      <c r="DY61" s="1487"/>
      <c r="DZ61" s="1487"/>
      <c r="EA61" s="1488"/>
      <c r="EB61" s="1480">
        <v>704586</v>
      </c>
      <c r="EC61" s="1481"/>
      <c r="ED61" s="1481"/>
      <c r="EE61" s="1481"/>
      <c r="EF61" s="1481"/>
      <c r="EG61" s="1481"/>
      <c r="EH61" s="1482"/>
      <c r="EI61" s="1486">
        <v>0</v>
      </c>
      <c r="EJ61" s="1487"/>
      <c r="EK61" s="1487"/>
      <c r="EL61" s="1487"/>
      <c r="EM61" s="1487"/>
      <c r="EN61" s="1487"/>
      <c r="EO61" s="1488"/>
      <c r="EP61" s="1486"/>
      <c r="EQ61" s="1487"/>
      <c r="ER61" s="1487"/>
      <c r="ES61" s="1487"/>
      <c r="ET61" s="1487"/>
      <c r="EU61" s="1487"/>
      <c r="EV61" s="1487"/>
      <c r="EW61" s="1487"/>
      <c r="EX61" s="1487"/>
      <c r="EY61" s="1488"/>
    </row>
    <row r="62" spans="1:155" s="430" customFormat="1" ht="16.5" customHeight="1">
      <c r="A62" s="1471" t="s">
        <v>1612</v>
      </c>
      <c r="B62" s="1472"/>
      <c r="C62" s="1472"/>
      <c r="D62" s="1472"/>
      <c r="E62" s="1472"/>
      <c r="F62" s="1472"/>
      <c r="G62" s="1472"/>
      <c r="H62" s="1472"/>
      <c r="I62" s="1472"/>
      <c r="J62" s="1472"/>
      <c r="K62" s="1472"/>
      <c r="L62" s="1472"/>
      <c r="M62" s="1472"/>
      <c r="N62" s="1472"/>
      <c r="O62" s="1472"/>
      <c r="P62" s="1472"/>
      <c r="Q62" s="1472"/>
      <c r="R62" s="1472"/>
      <c r="S62" s="1472"/>
      <c r="T62" s="1472"/>
      <c r="U62" s="1472"/>
      <c r="V62" s="1472"/>
      <c r="W62" s="1472"/>
      <c r="X62" s="1472"/>
      <c r="Y62" s="1472"/>
      <c r="Z62" s="1472"/>
      <c r="AA62" s="1472"/>
      <c r="AB62" s="1472"/>
      <c r="AC62" s="1472"/>
      <c r="AD62" s="1472"/>
      <c r="AE62" s="1472"/>
      <c r="AF62" s="1472"/>
      <c r="AG62" s="1472"/>
      <c r="AH62" s="1472"/>
      <c r="AI62" s="1472"/>
      <c r="AJ62" s="1472"/>
      <c r="AK62" s="1472"/>
      <c r="AL62" s="1472"/>
      <c r="AM62" s="1473"/>
      <c r="AN62" s="1474" t="s">
        <v>121</v>
      </c>
      <c r="AO62" s="1475"/>
      <c r="AP62" s="1475"/>
      <c r="AQ62" s="1475"/>
      <c r="AR62" s="1475"/>
      <c r="AS62" s="1475"/>
      <c r="AT62" s="1475"/>
      <c r="AU62" s="1476"/>
      <c r="AV62" s="1477" t="s">
        <v>1613</v>
      </c>
      <c r="AW62" s="1478"/>
      <c r="AX62" s="1478"/>
      <c r="AY62" s="1478"/>
      <c r="AZ62" s="1478"/>
      <c r="BA62" s="1479"/>
      <c r="BB62" s="1480">
        <f t="shared" si="6"/>
        <v>356129</v>
      </c>
      <c r="BC62" s="1481"/>
      <c r="BD62" s="1481"/>
      <c r="BE62" s="1481"/>
      <c r="BF62" s="1481"/>
      <c r="BG62" s="1481"/>
      <c r="BH62" s="1481"/>
      <c r="BI62" s="1481"/>
      <c r="BJ62" s="1482"/>
      <c r="BK62" s="1480">
        <f>BB62</f>
        <v>356129</v>
      </c>
      <c r="BL62" s="1481"/>
      <c r="BM62" s="1481"/>
      <c r="BN62" s="1481"/>
      <c r="BO62" s="1481"/>
      <c r="BP62" s="1481"/>
      <c r="BQ62" s="1481"/>
      <c r="BR62" s="1481"/>
      <c r="BS62" s="1482"/>
      <c r="BT62" s="1480">
        <f>BT63+BT64+BT65+BT66</f>
        <v>354910</v>
      </c>
      <c r="BU62" s="1481"/>
      <c r="BV62" s="1481"/>
      <c r="BW62" s="1481"/>
      <c r="BX62" s="1481"/>
      <c r="BY62" s="1481"/>
      <c r="BZ62" s="1482"/>
      <c r="CA62" s="1480">
        <f>CA63+CA64+CA65+CA66</f>
        <v>997</v>
      </c>
      <c r="CB62" s="1481"/>
      <c r="CC62" s="1481"/>
      <c r="CD62" s="1481"/>
      <c r="CE62" s="1481"/>
      <c r="CF62" s="1481"/>
      <c r="CG62" s="1482"/>
      <c r="CH62" s="1480">
        <f t="shared" si="5"/>
        <v>355907</v>
      </c>
      <c r="CI62" s="1481"/>
      <c r="CJ62" s="1481"/>
      <c r="CK62" s="1481"/>
      <c r="CL62" s="1481"/>
      <c r="CM62" s="1481"/>
      <c r="CN62" s="1482"/>
      <c r="CO62" s="1480">
        <f>CO63+CO64+CO65+CO66</f>
        <v>222</v>
      </c>
      <c r="CP62" s="1481"/>
      <c r="CQ62" s="1481"/>
      <c r="CR62" s="1481"/>
      <c r="CS62" s="1481"/>
      <c r="CT62" s="1481"/>
      <c r="CU62" s="1482"/>
      <c r="CV62" s="1480">
        <v>295052</v>
      </c>
      <c r="CW62" s="1481"/>
      <c r="CX62" s="1481"/>
      <c r="CY62" s="1481"/>
      <c r="CZ62" s="1481"/>
      <c r="DA62" s="1481"/>
      <c r="DB62" s="1481"/>
      <c r="DC62" s="1481"/>
      <c r="DD62" s="1482"/>
      <c r="DE62" s="1480">
        <v>295052</v>
      </c>
      <c r="DF62" s="1481"/>
      <c r="DG62" s="1481"/>
      <c r="DH62" s="1481"/>
      <c r="DI62" s="1481"/>
      <c r="DJ62" s="1481"/>
      <c r="DK62" s="1481"/>
      <c r="DL62" s="1481"/>
      <c r="DM62" s="1482"/>
      <c r="DN62" s="1480">
        <v>292234</v>
      </c>
      <c r="DO62" s="1481"/>
      <c r="DP62" s="1481"/>
      <c r="DQ62" s="1481"/>
      <c r="DR62" s="1481"/>
      <c r="DS62" s="1481"/>
      <c r="DT62" s="1482"/>
      <c r="DU62" s="1480">
        <v>2383</v>
      </c>
      <c r="DV62" s="1481"/>
      <c r="DW62" s="1481"/>
      <c r="DX62" s="1481"/>
      <c r="DY62" s="1481"/>
      <c r="DZ62" s="1481"/>
      <c r="EA62" s="1482"/>
      <c r="EB62" s="1480">
        <v>294617</v>
      </c>
      <c r="EC62" s="1481"/>
      <c r="ED62" s="1481"/>
      <c r="EE62" s="1481"/>
      <c r="EF62" s="1481"/>
      <c r="EG62" s="1481"/>
      <c r="EH62" s="1482"/>
      <c r="EI62" s="1480">
        <v>435</v>
      </c>
      <c r="EJ62" s="1481"/>
      <c r="EK62" s="1481"/>
      <c r="EL62" s="1481"/>
      <c r="EM62" s="1481"/>
      <c r="EN62" s="1481"/>
      <c r="EO62" s="1482"/>
      <c r="EP62" s="1486"/>
      <c r="EQ62" s="1487"/>
      <c r="ER62" s="1487"/>
      <c r="ES62" s="1487"/>
      <c r="ET62" s="1487"/>
      <c r="EU62" s="1487"/>
      <c r="EV62" s="1487"/>
      <c r="EW62" s="1487"/>
      <c r="EX62" s="1487"/>
      <c r="EY62" s="1488"/>
    </row>
    <row r="63" spans="1:155" s="430" customFormat="1" ht="8.1" customHeight="1">
      <c r="A63" s="1489" t="s">
        <v>1614</v>
      </c>
      <c r="B63" s="1490"/>
      <c r="C63" s="1490"/>
      <c r="D63" s="1490"/>
      <c r="E63" s="1490"/>
      <c r="F63" s="1490"/>
      <c r="G63" s="1490"/>
      <c r="H63" s="1490"/>
      <c r="I63" s="1490"/>
      <c r="J63" s="1490"/>
      <c r="K63" s="1490"/>
      <c r="L63" s="1490"/>
      <c r="M63" s="1490"/>
      <c r="N63" s="1490"/>
      <c r="O63" s="1490"/>
      <c r="P63" s="1490"/>
      <c r="Q63" s="1490"/>
      <c r="R63" s="1490"/>
      <c r="S63" s="1490"/>
      <c r="T63" s="1490"/>
      <c r="U63" s="1490"/>
      <c r="V63" s="1490"/>
      <c r="W63" s="1490"/>
      <c r="X63" s="1490"/>
      <c r="Y63" s="1490"/>
      <c r="Z63" s="1490"/>
      <c r="AA63" s="1490"/>
      <c r="AB63" s="1490"/>
      <c r="AC63" s="1490"/>
      <c r="AD63" s="1490"/>
      <c r="AE63" s="1490"/>
      <c r="AF63" s="1490"/>
      <c r="AG63" s="1490"/>
      <c r="AH63" s="1490"/>
      <c r="AI63" s="1490"/>
      <c r="AJ63" s="1490"/>
      <c r="AK63" s="1490"/>
      <c r="AL63" s="1490"/>
      <c r="AM63" s="1491"/>
      <c r="AN63" s="1474" t="s">
        <v>121</v>
      </c>
      <c r="AO63" s="1475"/>
      <c r="AP63" s="1475"/>
      <c r="AQ63" s="1475"/>
      <c r="AR63" s="1475"/>
      <c r="AS63" s="1475"/>
      <c r="AT63" s="1475"/>
      <c r="AU63" s="1476"/>
      <c r="AV63" s="1477"/>
      <c r="AW63" s="1478"/>
      <c r="AX63" s="1478"/>
      <c r="AY63" s="1478"/>
      <c r="AZ63" s="1478"/>
      <c r="BA63" s="1479"/>
      <c r="BB63" s="1480">
        <f t="shared" si="6"/>
        <v>147877</v>
      </c>
      <c r="BC63" s="1481"/>
      <c r="BD63" s="1481"/>
      <c r="BE63" s="1481"/>
      <c r="BF63" s="1481"/>
      <c r="BG63" s="1481"/>
      <c r="BH63" s="1481"/>
      <c r="BI63" s="1481"/>
      <c r="BJ63" s="1482"/>
      <c r="BK63" s="1480">
        <f>BB63</f>
        <v>147877</v>
      </c>
      <c r="BL63" s="1481"/>
      <c r="BM63" s="1481"/>
      <c r="BN63" s="1481"/>
      <c r="BO63" s="1481"/>
      <c r="BP63" s="1481"/>
      <c r="BQ63" s="1481"/>
      <c r="BR63" s="1481"/>
      <c r="BS63" s="1482"/>
      <c r="BT63" s="1480">
        <f>131488+16063-55</f>
        <v>147496</v>
      </c>
      <c r="BU63" s="1481"/>
      <c r="BV63" s="1481"/>
      <c r="BW63" s="1481"/>
      <c r="BX63" s="1481"/>
      <c r="BY63" s="1481"/>
      <c r="BZ63" s="1482"/>
      <c r="CA63" s="1480">
        <f>325</f>
        <v>325</v>
      </c>
      <c r="CB63" s="1481"/>
      <c r="CC63" s="1481"/>
      <c r="CD63" s="1481"/>
      <c r="CE63" s="1481"/>
      <c r="CF63" s="1481"/>
      <c r="CG63" s="1482"/>
      <c r="CH63" s="1480">
        <f t="shared" si="5"/>
        <v>147821</v>
      </c>
      <c r="CI63" s="1481"/>
      <c r="CJ63" s="1481"/>
      <c r="CK63" s="1481"/>
      <c r="CL63" s="1481"/>
      <c r="CM63" s="1481"/>
      <c r="CN63" s="1482"/>
      <c r="CO63" s="1480">
        <f>56</f>
        <v>56</v>
      </c>
      <c r="CP63" s="1481"/>
      <c r="CQ63" s="1481"/>
      <c r="CR63" s="1481"/>
      <c r="CS63" s="1481"/>
      <c r="CT63" s="1481"/>
      <c r="CU63" s="1482"/>
      <c r="CV63" s="1480">
        <v>163716</v>
      </c>
      <c r="CW63" s="1481"/>
      <c r="CX63" s="1481"/>
      <c r="CY63" s="1481"/>
      <c r="CZ63" s="1481"/>
      <c r="DA63" s="1481"/>
      <c r="DB63" s="1481"/>
      <c r="DC63" s="1481"/>
      <c r="DD63" s="1482"/>
      <c r="DE63" s="1480">
        <v>163716</v>
      </c>
      <c r="DF63" s="1481"/>
      <c r="DG63" s="1481"/>
      <c r="DH63" s="1481"/>
      <c r="DI63" s="1481"/>
      <c r="DJ63" s="1481"/>
      <c r="DK63" s="1481"/>
      <c r="DL63" s="1481"/>
      <c r="DM63" s="1482"/>
      <c r="DN63" s="1480">
        <v>163145</v>
      </c>
      <c r="DO63" s="1481"/>
      <c r="DP63" s="1481"/>
      <c r="DQ63" s="1481"/>
      <c r="DR63" s="1481"/>
      <c r="DS63" s="1481"/>
      <c r="DT63" s="1482"/>
      <c r="DU63" s="1480">
        <v>419</v>
      </c>
      <c r="DV63" s="1481"/>
      <c r="DW63" s="1481"/>
      <c r="DX63" s="1481"/>
      <c r="DY63" s="1481"/>
      <c r="DZ63" s="1481"/>
      <c r="EA63" s="1482"/>
      <c r="EB63" s="1480">
        <v>163564</v>
      </c>
      <c r="EC63" s="1481"/>
      <c r="ED63" s="1481"/>
      <c r="EE63" s="1481"/>
      <c r="EF63" s="1481"/>
      <c r="EG63" s="1481"/>
      <c r="EH63" s="1482"/>
      <c r="EI63" s="1480">
        <v>152</v>
      </c>
      <c r="EJ63" s="1481"/>
      <c r="EK63" s="1481"/>
      <c r="EL63" s="1481"/>
      <c r="EM63" s="1481"/>
      <c r="EN63" s="1481"/>
      <c r="EO63" s="1482"/>
      <c r="EP63" s="1486"/>
      <c r="EQ63" s="1487"/>
      <c r="ER63" s="1487"/>
      <c r="ES63" s="1487"/>
      <c r="ET63" s="1487"/>
      <c r="EU63" s="1487"/>
      <c r="EV63" s="1487"/>
      <c r="EW63" s="1487"/>
      <c r="EX63" s="1487"/>
      <c r="EY63" s="1488"/>
    </row>
    <row r="64" spans="1:155" s="430" customFormat="1" ht="7.8">
      <c r="A64" s="1489" t="s">
        <v>1615</v>
      </c>
      <c r="B64" s="1490"/>
      <c r="C64" s="1490"/>
      <c r="D64" s="1490"/>
      <c r="E64" s="1490"/>
      <c r="F64" s="1490"/>
      <c r="G64" s="1490"/>
      <c r="H64" s="1490"/>
      <c r="I64" s="1490"/>
      <c r="J64" s="1490"/>
      <c r="K64" s="1490"/>
      <c r="L64" s="1490"/>
      <c r="M64" s="1490"/>
      <c r="N64" s="1490"/>
      <c r="O64" s="1490"/>
      <c r="P64" s="1490"/>
      <c r="Q64" s="1490"/>
      <c r="R64" s="1490"/>
      <c r="S64" s="1490"/>
      <c r="T64" s="1490"/>
      <c r="U64" s="1490"/>
      <c r="V64" s="1490"/>
      <c r="W64" s="1490"/>
      <c r="X64" s="1490"/>
      <c r="Y64" s="1490"/>
      <c r="Z64" s="1490"/>
      <c r="AA64" s="1490"/>
      <c r="AB64" s="1490"/>
      <c r="AC64" s="1490"/>
      <c r="AD64" s="1490"/>
      <c r="AE64" s="1490"/>
      <c r="AF64" s="1490"/>
      <c r="AG64" s="1490"/>
      <c r="AH64" s="1490"/>
      <c r="AI64" s="1490"/>
      <c r="AJ64" s="1490"/>
      <c r="AK64" s="1490"/>
      <c r="AL64" s="1490"/>
      <c r="AM64" s="1491"/>
      <c r="AN64" s="1474" t="s">
        <v>121</v>
      </c>
      <c r="AO64" s="1475"/>
      <c r="AP64" s="1475"/>
      <c r="AQ64" s="1475"/>
      <c r="AR64" s="1475"/>
      <c r="AS64" s="1475"/>
      <c r="AT64" s="1475"/>
      <c r="AU64" s="1476"/>
      <c r="AV64" s="1477"/>
      <c r="AW64" s="1478"/>
      <c r="AX64" s="1478"/>
      <c r="AY64" s="1478"/>
      <c r="AZ64" s="1478"/>
      <c r="BA64" s="1479"/>
      <c r="BB64" s="1480">
        <f t="shared" si="6"/>
        <v>0</v>
      </c>
      <c r="BC64" s="1481"/>
      <c r="BD64" s="1481"/>
      <c r="BE64" s="1481"/>
      <c r="BF64" s="1481"/>
      <c r="BG64" s="1481"/>
      <c r="BH64" s="1481"/>
      <c r="BI64" s="1481"/>
      <c r="BJ64" s="1482"/>
      <c r="BK64" s="1480">
        <v>0</v>
      </c>
      <c r="BL64" s="1481"/>
      <c r="BM64" s="1481"/>
      <c r="BN64" s="1481"/>
      <c r="BO64" s="1481"/>
      <c r="BP64" s="1481"/>
      <c r="BQ64" s="1481"/>
      <c r="BR64" s="1481"/>
      <c r="BS64" s="1482"/>
      <c r="BT64" s="1480">
        <v>0</v>
      </c>
      <c r="BU64" s="1481"/>
      <c r="BV64" s="1481"/>
      <c r="BW64" s="1481"/>
      <c r="BX64" s="1481"/>
      <c r="BY64" s="1481"/>
      <c r="BZ64" s="1482"/>
      <c r="CA64" s="1480">
        <v>0</v>
      </c>
      <c r="CB64" s="1481"/>
      <c r="CC64" s="1481"/>
      <c r="CD64" s="1481"/>
      <c r="CE64" s="1481"/>
      <c r="CF64" s="1481"/>
      <c r="CG64" s="1482"/>
      <c r="CH64" s="1480">
        <f t="shared" si="5"/>
        <v>0</v>
      </c>
      <c r="CI64" s="1481"/>
      <c r="CJ64" s="1481"/>
      <c r="CK64" s="1481"/>
      <c r="CL64" s="1481"/>
      <c r="CM64" s="1481"/>
      <c r="CN64" s="1482"/>
      <c r="CO64" s="1480">
        <v>0</v>
      </c>
      <c r="CP64" s="1481"/>
      <c r="CQ64" s="1481"/>
      <c r="CR64" s="1481"/>
      <c r="CS64" s="1481"/>
      <c r="CT64" s="1481"/>
      <c r="CU64" s="1482"/>
      <c r="CV64" s="1480">
        <v>0</v>
      </c>
      <c r="CW64" s="1481"/>
      <c r="CX64" s="1481"/>
      <c r="CY64" s="1481"/>
      <c r="CZ64" s="1481"/>
      <c r="DA64" s="1481"/>
      <c r="DB64" s="1481"/>
      <c r="DC64" s="1481"/>
      <c r="DD64" s="1482"/>
      <c r="DE64" s="1480">
        <v>0</v>
      </c>
      <c r="DF64" s="1481"/>
      <c r="DG64" s="1481"/>
      <c r="DH64" s="1481"/>
      <c r="DI64" s="1481"/>
      <c r="DJ64" s="1481"/>
      <c r="DK64" s="1481"/>
      <c r="DL64" s="1481"/>
      <c r="DM64" s="1482"/>
      <c r="DN64" s="1480">
        <v>0</v>
      </c>
      <c r="DO64" s="1481"/>
      <c r="DP64" s="1481"/>
      <c r="DQ64" s="1481"/>
      <c r="DR64" s="1481"/>
      <c r="DS64" s="1481"/>
      <c r="DT64" s="1482"/>
      <c r="DU64" s="1480">
        <v>0</v>
      </c>
      <c r="DV64" s="1481"/>
      <c r="DW64" s="1481"/>
      <c r="DX64" s="1481"/>
      <c r="DY64" s="1481"/>
      <c r="DZ64" s="1481"/>
      <c r="EA64" s="1482"/>
      <c r="EB64" s="1480">
        <v>0</v>
      </c>
      <c r="EC64" s="1481"/>
      <c r="ED64" s="1481"/>
      <c r="EE64" s="1481"/>
      <c r="EF64" s="1481"/>
      <c r="EG64" s="1481"/>
      <c r="EH64" s="1482"/>
      <c r="EI64" s="1480">
        <v>0</v>
      </c>
      <c r="EJ64" s="1481"/>
      <c r="EK64" s="1481"/>
      <c r="EL64" s="1481"/>
      <c r="EM64" s="1481"/>
      <c r="EN64" s="1481"/>
      <c r="EO64" s="1482"/>
      <c r="EP64" s="1486"/>
      <c r="EQ64" s="1487"/>
      <c r="ER64" s="1487"/>
      <c r="ES64" s="1487"/>
      <c r="ET64" s="1487"/>
      <c r="EU64" s="1487"/>
      <c r="EV64" s="1487"/>
      <c r="EW64" s="1487"/>
      <c r="EX64" s="1487"/>
      <c r="EY64" s="1488"/>
    </row>
    <row r="65" spans="1:155" s="430" customFormat="1" ht="16.5" customHeight="1">
      <c r="A65" s="1489" t="s">
        <v>1616</v>
      </c>
      <c r="B65" s="1490"/>
      <c r="C65" s="1490"/>
      <c r="D65" s="1490"/>
      <c r="E65" s="1490"/>
      <c r="F65" s="1490"/>
      <c r="G65" s="1490"/>
      <c r="H65" s="1490"/>
      <c r="I65" s="1490"/>
      <c r="J65" s="1490"/>
      <c r="K65" s="1490"/>
      <c r="L65" s="1490"/>
      <c r="M65" s="1490"/>
      <c r="N65" s="1490"/>
      <c r="O65" s="1490"/>
      <c r="P65" s="1490"/>
      <c r="Q65" s="1490"/>
      <c r="R65" s="1490"/>
      <c r="S65" s="1490"/>
      <c r="T65" s="1490"/>
      <c r="U65" s="1490"/>
      <c r="V65" s="1490"/>
      <c r="W65" s="1490"/>
      <c r="X65" s="1490"/>
      <c r="Y65" s="1490"/>
      <c r="Z65" s="1490"/>
      <c r="AA65" s="1490"/>
      <c r="AB65" s="1490"/>
      <c r="AC65" s="1490"/>
      <c r="AD65" s="1490"/>
      <c r="AE65" s="1490"/>
      <c r="AF65" s="1490"/>
      <c r="AG65" s="1490"/>
      <c r="AH65" s="1490"/>
      <c r="AI65" s="1490"/>
      <c r="AJ65" s="1490"/>
      <c r="AK65" s="1490"/>
      <c r="AL65" s="1490"/>
      <c r="AM65" s="1491"/>
      <c r="AN65" s="1513" t="s">
        <v>121</v>
      </c>
      <c r="AO65" s="1514"/>
      <c r="AP65" s="1514"/>
      <c r="AQ65" s="1514"/>
      <c r="AR65" s="1514"/>
      <c r="AS65" s="1514"/>
      <c r="AT65" s="1514"/>
      <c r="AU65" s="1515"/>
      <c r="AV65" s="1516"/>
      <c r="AW65" s="1517"/>
      <c r="AX65" s="1517"/>
      <c r="AY65" s="1517"/>
      <c r="AZ65" s="1517"/>
      <c r="BA65" s="1518"/>
      <c r="BB65" s="1480">
        <f t="shared" si="6"/>
        <v>208252</v>
      </c>
      <c r="BC65" s="1481"/>
      <c r="BD65" s="1481"/>
      <c r="BE65" s="1481"/>
      <c r="BF65" s="1481"/>
      <c r="BG65" s="1481"/>
      <c r="BH65" s="1481"/>
      <c r="BI65" s="1481"/>
      <c r="BJ65" s="1482"/>
      <c r="BK65" s="1486">
        <f>BB65</f>
        <v>208252</v>
      </c>
      <c r="BL65" s="1487"/>
      <c r="BM65" s="1487"/>
      <c r="BN65" s="1487"/>
      <c r="BO65" s="1487"/>
      <c r="BP65" s="1487"/>
      <c r="BQ65" s="1487"/>
      <c r="BR65" s="1487"/>
      <c r="BS65" s="1488"/>
      <c r="BT65" s="1480">
        <f>BT34</f>
        <v>207414</v>
      </c>
      <c r="BU65" s="1481"/>
      <c r="BV65" s="1481"/>
      <c r="BW65" s="1481"/>
      <c r="BX65" s="1481"/>
      <c r="BY65" s="1481"/>
      <c r="BZ65" s="1482"/>
      <c r="CA65" s="1480">
        <f>CA34</f>
        <v>672</v>
      </c>
      <c r="CB65" s="1481"/>
      <c r="CC65" s="1481"/>
      <c r="CD65" s="1481"/>
      <c r="CE65" s="1481"/>
      <c r="CF65" s="1481"/>
      <c r="CG65" s="1482"/>
      <c r="CH65" s="1480">
        <f t="shared" si="5"/>
        <v>208086</v>
      </c>
      <c r="CI65" s="1481"/>
      <c r="CJ65" s="1481"/>
      <c r="CK65" s="1481"/>
      <c r="CL65" s="1481"/>
      <c r="CM65" s="1481"/>
      <c r="CN65" s="1482"/>
      <c r="CO65" s="1480">
        <f>CO34</f>
        <v>166</v>
      </c>
      <c r="CP65" s="1481"/>
      <c r="CQ65" s="1481"/>
      <c r="CR65" s="1481"/>
      <c r="CS65" s="1481"/>
      <c r="CT65" s="1481"/>
      <c r="CU65" s="1482"/>
      <c r="CV65" s="1480">
        <v>131336</v>
      </c>
      <c r="CW65" s="1481"/>
      <c r="CX65" s="1481"/>
      <c r="CY65" s="1481"/>
      <c r="CZ65" s="1481"/>
      <c r="DA65" s="1481"/>
      <c r="DB65" s="1481"/>
      <c r="DC65" s="1481"/>
      <c r="DD65" s="1482"/>
      <c r="DE65" s="1480">
        <v>131336</v>
      </c>
      <c r="DF65" s="1481"/>
      <c r="DG65" s="1481"/>
      <c r="DH65" s="1481"/>
      <c r="DI65" s="1481"/>
      <c r="DJ65" s="1481"/>
      <c r="DK65" s="1481"/>
      <c r="DL65" s="1481"/>
      <c r="DM65" s="1482"/>
      <c r="DN65" s="1486">
        <v>129089</v>
      </c>
      <c r="DO65" s="1487"/>
      <c r="DP65" s="1487"/>
      <c r="DQ65" s="1487"/>
      <c r="DR65" s="1487"/>
      <c r="DS65" s="1487"/>
      <c r="DT65" s="1488"/>
      <c r="DU65" s="1486">
        <v>1964</v>
      </c>
      <c r="DV65" s="1487"/>
      <c r="DW65" s="1487"/>
      <c r="DX65" s="1487"/>
      <c r="DY65" s="1487"/>
      <c r="DZ65" s="1487"/>
      <c r="EA65" s="1488"/>
      <c r="EB65" s="1480">
        <v>131053</v>
      </c>
      <c r="EC65" s="1481"/>
      <c r="ED65" s="1481"/>
      <c r="EE65" s="1481"/>
      <c r="EF65" s="1481"/>
      <c r="EG65" s="1481"/>
      <c r="EH65" s="1482"/>
      <c r="EI65" s="1486">
        <v>283</v>
      </c>
      <c r="EJ65" s="1487"/>
      <c r="EK65" s="1487"/>
      <c r="EL65" s="1487"/>
      <c r="EM65" s="1487"/>
      <c r="EN65" s="1487"/>
      <c r="EO65" s="1488"/>
      <c r="EP65" s="1486"/>
      <c r="EQ65" s="1487"/>
      <c r="ER65" s="1487"/>
      <c r="ES65" s="1487"/>
      <c r="ET65" s="1487"/>
      <c r="EU65" s="1487"/>
      <c r="EV65" s="1487"/>
      <c r="EW65" s="1487"/>
      <c r="EX65" s="1487"/>
      <c r="EY65" s="1488"/>
    </row>
    <row r="66" spans="1:155" s="430" customFormat="1" ht="8.1" customHeight="1">
      <c r="A66" s="1489" t="s">
        <v>1617</v>
      </c>
      <c r="B66" s="1490"/>
      <c r="C66" s="1490"/>
      <c r="D66" s="1490"/>
      <c r="E66" s="1490"/>
      <c r="F66" s="1490"/>
      <c r="G66" s="1490"/>
      <c r="H66" s="1490"/>
      <c r="I66" s="1490"/>
      <c r="J66" s="1490"/>
      <c r="K66" s="1490"/>
      <c r="L66" s="1490"/>
      <c r="M66" s="1490"/>
      <c r="N66" s="1490"/>
      <c r="O66" s="1490"/>
      <c r="P66" s="1490"/>
      <c r="Q66" s="1490"/>
      <c r="R66" s="1490"/>
      <c r="S66" s="1490"/>
      <c r="T66" s="1490"/>
      <c r="U66" s="1490"/>
      <c r="V66" s="1490"/>
      <c r="W66" s="1490"/>
      <c r="X66" s="1490"/>
      <c r="Y66" s="1490"/>
      <c r="Z66" s="1490"/>
      <c r="AA66" s="1490"/>
      <c r="AB66" s="1490"/>
      <c r="AC66" s="1490"/>
      <c r="AD66" s="1490"/>
      <c r="AE66" s="1490"/>
      <c r="AF66" s="1490"/>
      <c r="AG66" s="1490"/>
      <c r="AH66" s="1490"/>
      <c r="AI66" s="1490"/>
      <c r="AJ66" s="1490"/>
      <c r="AK66" s="1490"/>
      <c r="AL66" s="1490"/>
      <c r="AM66" s="1491"/>
      <c r="AN66" s="1474" t="s">
        <v>121</v>
      </c>
      <c r="AO66" s="1475"/>
      <c r="AP66" s="1475"/>
      <c r="AQ66" s="1475"/>
      <c r="AR66" s="1475"/>
      <c r="AS66" s="1475"/>
      <c r="AT66" s="1475"/>
      <c r="AU66" s="1476"/>
      <c r="AV66" s="1477"/>
      <c r="AW66" s="1478"/>
      <c r="AX66" s="1478"/>
      <c r="AY66" s="1478"/>
      <c r="AZ66" s="1478"/>
      <c r="BA66" s="1479"/>
      <c r="BB66" s="1480">
        <f t="shared" si="6"/>
        <v>0</v>
      </c>
      <c r="BC66" s="1481"/>
      <c r="BD66" s="1481"/>
      <c r="BE66" s="1481"/>
      <c r="BF66" s="1481"/>
      <c r="BG66" s="1481"/>
      <c r="BH66" s="1481"/>
      <c r="BI66" s="1481"/>
      <c r="BJ66" s="1482"/>
      <c r="BK66" s="1480">
        <f>BB66</f>
        <v>0</v>
      </c>
      <c r="BL66" s="1481"/>
      <c r="BM66" s="1481"/>
      <c r="BN66" s="1481"/>
      <c r="BO66" s="1481"/>
      <c r="BP66" s="1481"/>
      <c r="BQ66" s="1481"/>
      <c r="BR66" s="1481"/>
      <c r="BS66" s="1482"/>
      <c r="BT66" s="1486"/>
      <c r="BU66" s="1487"/>
      <c r="BV66" s="1487"/>
      <c r="BW66" s="1487"/>
      <c r="BX66" s="1487"/>
      <c r="BY66" s="1487"/>
      <c r="BZ66" s="1488"/>
      <c r="CA66" s="1480"/>
      <c r="CB66" s="1481"/>
      <c r="CC66" s="1481"/>
      <c r="CD66" s="1481"/>
      <c r="CE66" s="1481"/>
      <c r="CF66" s="1481"/>
      <c r="CG66" s="1482"/>
      <c r="CH66" s="1480">
        <f t="shared" si="5"/>
        <v>0</v>
      </c>
      <c r="CI66" s="1481"/>
      <c r="CJ66" s="1481"/>
      <c r="CK66" s="1481"/>
      <c r="CL66" s="1481"/>
      <c r="CM66" s="1481"/>
      <c r="CN66" s="1482"/>
      <c r="CO66" s="1480">
        <v>0</v>
      </c>
      <c r="CP66" s="1481"/>
      <c r="CQ66" s="1481"/>
      <c r="CR66" s="1481"/>
      <c r="CS66" s="1481"/>
      <c r="CT66" s="1481"/>
      <c r="CU66" s="1482"/>
      <c r="CV66" s="1480">
        <v>0</v>
      </c>
      <c r="CW66" s="1481"/>
      <c r="CX66" s="1481"/>
      <c r="CY66" s="1481"/>
      <c r="CZ66" s="1481"/>
      <c r="DA66" s="1481"/>
      <c r="DB66" s="1481"/>
      <c r="DC66" s="1481"/>
      <c r="DD66" s="1482"/>
      <c r="DE66" s="1480">
        <v>0</v>
      </c>
      <c r="DF66" s="1481"/>
      <c r="DG66" s="1481"/>
      <c r="DH66" s="1481"/>
      <c r="DI66" s="1481"/>
      <c r="DJ66" s="1481"/>
      <c r="DK66" s="1481"/>
      <c r="DL66" s="1481"/>
      <c r="DM66" s="1482"/>
      <c r="DN66" s="1480"/>
      <c r="DO66" s="1481"/>
      <c r="DP66" s="1481"/>
      <c r="DQ66" s="1481"/>
      <c r="DR66" s="1481"/>
      <c r="DS66" s="1481"/>
      <c r="DT66" s="1482"/>
      <c r="DU66" s="1480"/>
      <c r="DV66" s="1481"/>
      <c r="DW66" s="1481"/>
      <c r="DX66" s="1481"/>
      <c r="DY66" s="1481"/>
      <c r="DZ66" s="1481"/>
      <c r="EA66" s="1482"/>
      <c r="EB66" s="1480">
        <v>0</v>
      </c>
      <c r="EC66" s="1481"/>
      <c r="ED66" s="1481"/>
      <c r="EE66" s="1481"/>
      <c r="EF66" s="1481"/>
      <c r="EG66" s="1481"/>
      <c r="EH66" s="1482"/>
      <c r="EI66" s="1480">
        <v>0</v>
      </c>
      <c r="EJ66" s="1481"/>
      <c r="EK66" s="1481"/>
      <c r="EL66" s="1481"/>
      <c r="EM66" s="1481"/>
      <c r="EN66" s="1481"/>
      <c r="EO66" s="1482"/>
      <c r="EP66" s="1480"/>
      <c r="EQ66" s="1481"/>
      <c r="ER66" s="1481"/>
      <c r="ES66" s="1481"/>
      <c r="ET66" s="1481"/>
      <c r="EU66" s="1481"/>
      <c r="EV66" s="1481"/>
      <c r="EW66" s="1481"/>
      <c r="EX66" s="1481"/>
      <c r="EY66" s="1482"/>
    </row>
    <row r="67" spans="1:155" s="430" customFormat="1" ht="24.75" customHeight="1">
      <c r="A67" s="1489" t="s">
        <v>1618</v>
      </c>
      <c r="B67" s="1490"/>
      <c r="C67" s="1490"/>
      <c r="D67" s="1490"/>
      <c r="E67" s="1490"/>
      <c r="F67" s="1490"/>
      <c r="G67" s="1490"/>
      <c r="H67" s="1490"/>
      <c r="I67" s="1490"/>
      <c r="J67" s="1490"/>
      <c r="K67" s="1490"/>
      <c r="L67" s="1490"/>
      <c r="M67" s="1490"/>
      <c r="N67" s="1490"/>
      <c r="O67" s="1490"/>
      <c r="P67" s="1490"/>
      <c r="Q67" s="1490"/>
      <c r="R67" s="1490"/>
      <c r="S67" s="1490"/>
      <c r="T67" s="1490"/>
      <c r="U67" s="1490"/>
      <c r="V67" s="1490"/>
      <c r="W67" s="1490"/>
      <c r="X67" s="1490"/>
      <c r="Y67" s="1490"/>
      <c r="Z67" s="1490"/>
      <c r="AA67" s="1490"/>
      <c r="AB67" s="1490"/>
      <c r="AC67" s="1490"/>
      <c r="AD67" s="1490"/>
      <c r="AE67" s="1490"/>
      <c r="AF67" s="1490"/>
      <c r="AG67" s="1490"/>
      <c r="AH67" s="1490"/>
      <c r="AI67" s="1490"/>
      <c r="AJ67" s="1490"/>
      <c r="AK67" s="1490"/>
      <c r="AL67" s="1490"/>
      <c r="AM67" s="1491"/>
      <c r="AN67" s="1513" t="s">
        <v>121</v>
      </c>
      <c r="AO67" s="1514"/>
      <c r="AP67" s="1514"/>
      <c r="AQ67" s="1514"/>
      <c r="AR67" s="1514"/>
      <c r="AS67" s="1514"/>
      <c r="AT67" s="1514"/>
      <c r="AU67" s="1515"/>
      <c r="AV67" s="1516" t="s">
        <v>1619</v>
      </c>
      <c r="AW67" s="1517"/>
      <c r="AX67" s="1517"/>
      <c r="AY67" s="1517"/>
      <c r="AZ67" s="1517"/>
      <c r="BA67" s="1518"/>
      <c r="BB67" s="1522">
        <f t="shared" si="6"/>
        <v>0</v>
      </c>
      <c r="BC67" s="1522"/>
      <c r="BD67" s="1522"/>
      <c r="BE67" s="1522"/>
      <c r="BF67" s="1522"/>
      <c r="BG67" s="1522"/>
      <c r="BH67" s="1522"/>
      <c r="BI67" s="1522"/>
      <c r="BJ67" s="1522"/>
      <c r="BK67" s="1486">
        <f>BB67</f>
        <v>0</v>
      </c>
      <c r="BL67" s="1487"/>
      <c r="BM67" s="1487"/>
      <c r="BN67" s="1487"/>
      <c r="BO67" s="1487"/>
      <c r="BP67" s="1487"/>
      <c r="BQ67" s="1487"/>
      <c r="BR67" s="1487"/>
      <c r="BS67" s="1488"/>
      <c r="BT67" s="1522"/>
      <c r="BU67" s="1522"/>
      <c r="BV67" s="1522"/>
      <c r="BW67" s="1522"/>
      <c r="BX67" s="1522"/>
      <c r="BY67" s="1522"/>
      <c r="BZ67" s="1522"/>
      <c r="CA67" s="1486"/>
      <c r="CB67" s="1487"/>
      <c r="CC67" s="1487"/>
      <c r="CD67" s="1487"/>
      <c r="CE67" s="1487"/>
      <c r="CF67" s="1487"/>
      <c r="CG67" s="1488"/>
      <c r="CH67" s="1486">
        <f>BT67+CA67</f>
        <v>0</v>
      </c>
      <c r="CI67" s="1487"/>
      <c r="CJ67" s="1487"/>
      <c r="CK67" s="1487"/>
      <c r="CL67" s="1487"/>
      <c r="CM67" s="1487"/>
      <c r="CN67" s="1488"/>
      <c r="CO67" s="1486">
        <v>0</v>
      </c>
      <c r="CP67" s="1487"/>
      <c r="CQ67" s="1487"/>
      <c r="CR67" s="1487"/>
      <c r="CS67" s="1487"/>
      <c r="CT67" s="1487"/>
      <c r="CU67" s="1488"/>
      <c r="CV67" s="1486">
        <v>0</v>
      </c>
      <c r="CW67" s="1487"/>
      <c r="CX67" s="1487"/>
      <c r="CY67" s="1487"/>
      <c r="CZ67" s="1487"/>
      <c r="DA67" s="1487"/>
      <c r="DB67" s="1487"/>
      <c r="DC67" s="1487"/>
      <c r="DD67" s="1488"/>
      <c r="DE67" s="1486">
        <v>0</v>
      </c>
      <c r="DF67" s="1487"/>
      <c r="DG67" s="1487"/>
      <c r="DH67" s="1487"/>
      <c r="DI67" s="1487"/>
      <c r="DJ67" s="1487"/>
      <c r="DK67" s="1487"/>
      <c r="DL67" s="1487"/>
      <c r="DM67" s="1488"/>
      <c r="DN67" s="1486"/>
      <c r="DO67" s="1487"/>
      <c r="DP67" s="1487"/>
      <c r="DQ67" s="1487"/>
      <c r="DR67" s="1487"/>
      <c r="DS67" s="1487"/>
      <c r="DT67" s="1488"/>
      <c r="DU67" s="1486"/>
      <c r="DV67" s="1487"/>
      <c r="DW67" s="1487"/>
      <c r="DX67" s="1487"/>
      <c r="DY67" s="1487"/>
      <c r="DZ67" s="1487"/>
      <c r="EA67" s="1488"/>
      <c r="EB67" s="1522">
        <v>0</v>
      </c>
      <c r="EC67" s="1522"/>
      <c r="ED67" s="1522"/>
      <c r="EE67" s="1522"/>
      <c r="EF67" s="1522"/>
      <c r="EG67" s="1522"/>
      <c r="EH67" s="1522"/>
      <c r="EI67" s="1486">
        <v>0</v>
      </c>
      <c r="EJ67" s="1487"/>
      <c r="EK67" s="1487"/>
      <c r="EL67" s="1487"/>
      <c r="EM67" s="1487"/>
      <c r="EN67" s="1487"/>
      <c r="EO67" s="1488"/>
      <c r="EP67" s="1486"/>
      <c r="EQ67" s="1487"/>
      <c r="ER67" s="1487"/>
      <c r="ES67" s="1487"/>
      <c r="ET67" s="1487"/>
      <c r="EU67" s="1487"/>
      <c r="EV67" s="1487"/>
      <c r="EW67" s="1487"/>
      <c r="EX67" s="1487"/>
      <c r="EY67" s="1488"/>
    </row>
    <row r="68" spans="1:155" ht="3" customHeight="1"/>
    <row r="69" spans="1:155" s="421" customFormat="1" ht="8.1" customHeight="1">
      <c r="A69" s="433" t="s">
        <v>1620</v>
      </c>
    </row>
    <row r="70" spans="1:155" s="425" customFormat="1" ht="8.1" customHeight="1">
      <c r="A70" s="434" t="s">
        <v>1621</v>
      </c>
    </row>
    <row r="71" spans="1:155" s="425" customFormat="1" ht="8.1" customHeight="1">
      <c r="A71" s="434" t="s">
        <v>1622</v>
      </c>
    </row>
    <row r="72" spans="1:155" s="421" customFormat="1" ht="8.25" customHeight="1">
      <c r="A72" s="433" t="s">
        <v>1623</v>
      </c>
    </row>
    <row r="73" spans="1:155" s="421" customFormat="1" ht="9" customHeight="1">
      <c r="A73" s="435"/>
      <c r="EY73" s="422" t="s">
        <v>1624</v>
      </c>
    </row>
    <row r="74" spans="1:155" s="436" customFormat="1" ht="8.1" customHeight="1">
      <c r="A74" s="1407" t="s">
        <v>1625</v>
      </c>
      <c r="B74" s="1407"/>
      <c r="C74" s="1407"/>
      <c r="D74" s="1407"/>
      <c r="E74" s="1407"/>
      <c r="F74" s="1407"/>
      <c r="G74" s="1407"/>
      <c r="H74" s="1407"/>
      <c r="I74" s="1407"/>
      <c r="J74" s="1407"/>
      <c r="K74" s="1407"/>
      <c r="L74" s="1407"/>
      <c r="M74" s="1407"/>
      <c r="N74" s="1407"/>
      <c r="O74" s="1407"/>
      <c r="P74" s="1407"/>
      <c r="Q74" s="1407"/>
      <c r="R74" s="1407"/>
      <c r="S74" s="1407"/>
      <c r="T74" s="1407"/>
      <c r="U74" s="1407"/>
      <c r="V74" s="1407"/>
      <c r="W74" s="1407"/>
      <c r="X74" s="1407"/>
      <c r="Y74" s="1407"/>
      <c r="Z74" s="1407"/>
      <c r="AA74" s="1407"/>
      <c r="AB74" s="1407"/>
      <c r="AC74" s="1407"/>
      <c r="AD74" s="1407"/>
      <c r="AE74" s="1407"/>
      <c r="AF74" s="1407"/>
      <c r="AG74" s="1407"/>
      <c r="AH74" s="1407"/>
      <c r="AI74" s="1407"/>
      <c r="AJ74" s="1407"/>
      <c r="AK74" s="1407"/>
      <c r="AL74" s="1407"/>
      <c r="AM74" s="1407"/>
      <c r="AN74" s="1407"/>
      <c r="AO74" s="1407"/>
      <c r="AP74" s="1407"/>
      <c r="AQ74" s="1407"/>
      <c r="AR74" s="1407"/>
      <c r="AS74" s="1407"/>
      <c r="AT74" s="1407"/>
      <c r="AU74" s="1407"/>
      <c r="AV74" s="1407"/>
      <c r="AW74" s="1407"/>
      <c r="AX74" s="1407"/>
      <c r="AY74" s="1407"/>
      <c r="AZ74" s="1407"/>
      <c r="BA74" s="1407"/>
      <c r="BB74" s="1407"/>
      <c r="BC74" s="1407"/>
      <c r="BD74" s="1407"/>
      <c r="BE74" s="1407"/>
      <c r="BF74" s="1407"/>
      <c r="BG74" s="1407"/>
      <c r="BH74" s="1407"/>
      <c r="BI74" s="1407"/>
      <c r="BJ74" s="1407"/>
      <c r="BK74" s="1407"/>
      <c r="BL74" s="1407"/>
      <c r="BM74" s="1407"/>
      <c r="BN74" s="1407"/>
      <c r="BO74" s="1407"/>
      <c r="BP74" s="1407"/>
      <c r="BQ74" s="1407"/>
      <c r="BR74" s="1407"/>
      <c r="BS74" s="1407"/>
      <c r="BT74" s="1407"/>
      <c r="BU74" s="1407"/>
      <c r="BV74" s="1407"/>
      <c r="BW74" s="1407"/>
      <c r="BX74" s="1407"/>
      <c r="BY74" s="1407"/>
      <c r="BZ74" s="1407"/>
      <c r="CA74" s="1407"/>
      <c r="CB74" s="1407"/>
      <c r="CC74" s="1407"/>
      <c r="CD74" s="1407"/>
      <c r="CE74" s="1407"/>
      <c r="CF74" s="1407"/>
      <c r="CG74" s="1407"/>
      <c r="CH74" s="1407"/>
      <c r="CI74" s="1407"/>
      <c r="CJ74" s="1407"/>
      <c r="CK74" s="1407"/>
      <c r="CL74" s="1407"/>
      <c r="CM74" s="1407"/>
      <c r="CN74" s="1407"/>
      <c r="CO74" s="1407"/>
      <c r="CP74" s="1407"/>
      <c r="CQ74" s="1407"/>
      <c r="CR74" s="1407"/>
      <c r="CS74" s="1407"/>
      <c r="CT74" s="1407"/>
      <c r="CU74" s="1407"/>
      <c r="CV74" s="1407"/>
      <c r="CW74" s="1407"/>
      <c r="CX74" s="1407"/>
      <c r="CY74" s="1407"/>
      <c r="CZ74" s="1407"/>
      <c r="DA74" s="1407"/>
      <c r="DB74" s="1407"/>
      <c r="DC74" s="1407"/>
      <c r="DD74" s="1407"/>
      <c r="DE74" s="1407"/>
      <c r="DF74" s="1407"/>
      <c r="DG74" s="1407"/>
      <c r="DH74" s="1407"/>
      <c r="DI74" s="1407"/>
      <c r="DJ74" s="1407"/>
      <c r="DK74" s="1407"/>
      <c r="DL74" s="1407"/>
      <c r="DM74" s="1407"/>
      <c r="DN74" s="1407"/>
      <c r="DO74" s="1407"/>
      <c r="DP74" s="1407"/>
      <c r="DQ74" s="1407"/>
      <c r="DR74" s="1407"/>
      <c r="DS74" s="1407"/>
      <c r="DT74" s="1407"/>
      <c r="DU74" s="1407"/>
      <c r="DV74" s="1407"/>
      <c r="DW74" s="1407"/>
      <c r="DX74" s="1407"/>
      <c r="DY74" s="1407"/>
      <c r="DZ74" s="1407"/>
      <c r="EA74" s="1407"/>
      <c r="EB74" s="1407"/>
      <c r="EC74" s="1407"/>
      <c r="ED74" s="1407"/>
      <c r="EE74" s="1407"/>
      <c r="EF74" s="1407"/>
      <c r="EG74" s="1407"/>
      <c r="EH74" s="1407"/>
      <c r="EI74" s="1407"/>
      <c r="EJ74" s="1407"/>
      <c r="EK74" s="1407"/>
      <c r="EL74" s="1407"/>
      <c r="EM74" s="1407"/>
      <c r="EN74" s="1407"/>
      <c r="EO74" s="1407"/>
      <c r="EP74" s="1407"/>
      <c r="EQ74" s="1407"/>
      <c r="ER74" s="1407"/>
      <c r="ES74" s="1407"/>
      <c r="ET74" s="1407"/>
      <c r="EU74" s="1407"/>
      <c r="EV74" s="1407"/>
      <c r="EW74" s="1407"/>
      <c r="EX74" s="1407"/>
      <c r="EY74" s="1407"/>
    </row>
    <row r="75" spans="1:155" s="428" customFormat="1" ht="9" customHeight="1">
      <c r="A75" s="1460" t="s">
        <v>111</v>
      </c>
      <c r="B75" s="1461"/>
      <c r="C75" s="1461"/>
      <c r="D75" s="1461"/>
      <c r="E75" s="1461"/>
      <c r="F75" s="1461"/>
      <c r="G75" s="1461"/>
      <c r="H75" s="1461"/>
      <c r="I75" s="1461"/>
      <c r="J75" s="1461"/>
      <c r="K75" s="1461"/>
      <c r="L75" s="1461"/>
      <c r="M75" s="1461"/>
      <c r="N75" s="1461"/>
      <c r="O75" s="1461"/>
      <c r="P75" s="1461"/>
      <c r="Q75" s="1461"/>
      <c r="R75" s="1461"/>
      <c r="S75" s="1461"/>
      <c r="T75" s="1461"/>
      <c r="U75" s="1461"/>
      <c r="V75" s="1461"/>
      <c r="W75" s="1461"/>
      <c r="X75" s="1461"/>
      <c r="Y75" s="1461"/>
      <c r="Z75" s="1461"/>
      <c r="AA75" s="1461"/>
      <c r="AB75" s="1461"/>
      <c r="AC75" s="1461"/>
      <c r="AD75" s="1461"/>
      <c r="AE75" s="1461"/>
      <c r="AF75" s="1461"/>
      <c r="AG75" s="1461"/>
      <c r="AH75" s="1461"/>
      <c r="AI75" s="1461"/>
      <c r="AJ75" s="1461"/>
      <c r="AK75" s="1461"/>
      <c r="AL75" s="1461"/>
      <c r="AM75" s="1462"/>
      <c r="AN75" s="1460" t="s">
        <v>0</v>
      </c>
      <c r="AO75" s="1461"/>
      <c r="AP75" s="1461"/>
      <c r="AQ75" s="1461"/>
      <c r="AR75" s="1461"/>
      <c r="AS75" s="1461"/>
      <c r="AT75" s="1461"/>
      <c r="AU75" s="1462"/>
      <c r="AV75" s="1460" t="s">
        <v>1554</v>
      </c>
      <c r="AW75" s="1461"/>
      <c r="AX75" s="1461"/>
      <c r="AY75" s="1461"/>
      <c r="AZ75" s="1461"/>
      <c r="BA75" s="1462"/>
      <c r="BB75" s="1460" t="s">
        <v>1626</v>
      </c>
      <c r="BC75" s="1461"/>
      <c r="BD75" s="1461"/>
      <c r="BE75" s="1461"/>
      <c r="BF75" s="1461"/>
      <c r="BG75" s="1461"/>
      <c r="BH75" s="1461"/>
      <c r="BI75" s="1461"/>
      <c r="BJ75" s="1462"/>
      <c r="BK75" s="1463" t="s">
        <v>1556</v>
      </c>
      <c r="BL75" s="1463"/>
      <c r="BM75" s="1463"/>
      <c r="BN75" s="1463"/>
      <c r="BO75" s="1463"/>
      <c r="BP75" s="1463"/>
      <c r="BQ75" s="1463"/>
      <c r="BR75" s="1463"/>
      <c r="BS75" s="1463"/>
      <c r="BT75" s="1463" t="s">
        <v>1557</v>
      </c>
      <c r="BU75" s="1463"/>
      <c r="BV75" s="1463"/>
      <c r="BW75" s="1463"/>
      <c r="BX75" s="1463"/>
      <c r="BY75" s="1463"/>
      <c r="BZ75" s="1463"/>
      <c r="CA75" s="1463"/>
      <c r="CB75" s="1463"/>
      <c r="CC75" s="1463"/>
      <c r="CD75" s="1463"/>
      <c r="CE75" s="1463"/>
      <c r="CF75" s="1463"/>
      <c r="CG75" s="1463"/>
      <c r="CH75" s="1463"/>
      <c r="CI75" s="1463"/>
      <c r="CJ75" s="1463"/>
      <c r="CK75" s="1463"/>
      <c r="CL75" s="1463"/>
      <c r="CM75" s="1463"/>
      <c r="CN75" s="1463"/>
      <c r="CO75" s="1463"/>
      <c r="CP75" s="1463"/>
      <c r="CQ75" s="1463"/>
      <c r="CR75" s="1463"/>
      <c r="CS75" s="1463"/>
      <c r="CT75" s="1463"/>
      <c r="CU75" s="1463"/>
      <c r="CV75" s="1463" t="s">
        <v>1627</v>
      </c>
      <c r="CW75" s="1463"/>
      <c r="CX75" s="1463"/>
      <c r="CY75" s="1463"/>
      <c r="CZ75" s="1463"/>
      <c r="DA75" s="1463"/>
      <c r="DB75" s="1463"/>
      <c r="DC75" s="1463"/>
      <c r="DD75" s="1463"/>
      <c r="DE75" s="1463" t="s">
        <v>1559</v>
      </c>
      <c r="DF75" s="1463"/>
      <c r="DG75" s="1463"/>
      <c r="DH75" s="1463"/>
      <c r="DI75" s="1463"/>
      <c r="DJ75" s="1463"/>
      <c r="DK75" s="1463"/>
      <c r="DL75" s="1463"/>
      <c r="DM75" s="1463"/>
      <c r="DN75" s="1463" t="s">
        <v>1560</v>
      </c>
      <c r="DO75" s="1463"/>
      <c r="DP75" s="1463"/>
      <c r="DQ75" s="1463"/>
      <c r="DR75" s="1463"/>
      <c r="DS75" s="1463"/>
      <c r="DT75" s="1463"/>
      <c r="DU75" s="1463"/>
      <c r="DV75" s="1463"/>
      <c r="DW75" s="1463"/>
      <c r="DX75" s="1463"/>
      <c r="DY75" s="1463"/>
      <c r="DZ75" s="1463"/>
      <c r="EA75" s="1463"/>
      <c r="EB75" s="1463"/>
      <c r="EC75" s="1463"/>
      <c r="ED75" s="1463"/>
      <c r="EE75" s="1463"/>
      <c r="EF75" s="1463"/>
      <c r="EG75" s="1463"/>
      <c r="EH75" s="1463"/>
      <c r="EI75" s="1463"/>
      <c r="EJ75" s="1463"/>
      <c r="EK75" s="1463"/>
      <c r="EL75" s="1463"/>
      <c r="EM75" s="1463"/>
      <c r="EN75" s="1463"/>
      <c r="EO75" s="1463"/>
      <c r="EP75" s="1460" t="s">
        <v>1561</v>
      </c>
      <c r="EQ75" s="1461"/>
      <c r="ER75" s="1461"/>
      <c r="ES75" s="1461"/>
      <c r="ET75" s="1461"/>
      <c r="EU75" s="1461"/>
      <c r="EV75" s="1461"/>
      <c r="EW75" s="1461"/>
      <c r="EX75" s="1461"/>
      <c r="EY75" s="1462"/>
    </row>
    <row r="76" spans="1:155" s="428" customFormat="1" ht="66.75" customHeight="1">
      <c r="A76" s="1403"/>
      <c r="B76" s="1404"/>
      <c r="C76" s="1404"/>
      <c r="D76" s="1404"/>
      <c r="E76" s="1404"/>
      <c r="F76" s="1404"/>
      <c r="G76" s="1404"/>
      <c r="H76" s="1404"/>
      <c r="I76" s="1404"/>
      <c r="J76" s="1404"/>
      <c r="K76" s="1404"/>
      <c r="L76" s="1404"/>
      <c r="M76" s="1404"/>
      <c r="N76" s="1404"/>
      <c r="O76" s="1404"/>
      <c r="P76" s="1404"/>
      <c r="Q76" s="1404"/>
      <c r="R76" s="1404"/>
      <c r="S76" s="1404"/>
      <c r="T76" s="1404"/>
      <c r="U76" s="1404"/>
      <c r="V76" s="1404"/>
      <c r="W76" s="1404"/>
      <c r="X76" s="1404"/>
      <c r="Y76" s="1404"/>
      <c r="Z76" s="1404"/>
      <c r="AA76" s="1404"/>
      <c r="AB76" s="1404"/>
      <c r="AC76" s="1404"/>
      <c r="AD76" s="1404"/>
      <c r="AE76" s="1404"/>
      <c r="AF76" s="1404"/>
      <c r="AG76" s="1404"/>
      <c r="AH76" s="1404"/>
      <c r="AI76" s="1404"/>
      <c r="AJ76" s="1404"/>
      <c r="AK76" s="1404"/>
      <c r="AL76" s="1404"/>
      <c r="AM76" s="1405"/>
      <c r="AN76" s="1403"/>
      <c r="AO76" s="1404"/>
      <c r="AP76" s="1404"/>
      <c r="AQ76" s="1404"/>
      <c r="AR76" s="1404"/>
      <c r="AS76" s="1404"/>
      <c r="AT76" s="1404"/>
      <c r="AU76" s="1405"/>
      <c r="AV76" s="1403"/>
      <c r="AW76" s="1404"/>
      <c r="AX76" s="1404"/>
      <c r="AY76" s="1404"/>
      <c r="AZ76" s="1404"/>
      <c r="BA76" s="1405"/>
      <c r="BB76" s="1403"/>
      <c r="BC76" s="1404"/>
      <c r="BD76" s="1404"/>
      <c r="BE76" s="1404"/>
      <c r="BF76" s="1404"/>
      <c r="BG76" s="1404"/>
      <c r="BH76" s="1404"/>
      <c r="BI76" s="1404"/>
      <c r="BJ76" s="1405"/>
      <c r="BK76" s="1463"/>
      <c r="BL76" s="1463"/>
      <c r="BM76" s="1463"/>
      <c r="BN76" s="1463"/>
      <c r="BO76" s="1463"/>
      <c r="BP76" s="1463"/>
      <c r="BQ76" s="1463"/>
      <c r="BR76" s="1463"/>
      <c r="BS76" s="1463"/>
      <c r="BT76" s="1463" t="s">
        <v>1562</v>
      </c>
      <c r="BU76" s="1463"/>
      <c r="BV76" s="1463"/>
      <c r="BW76" s="1463"/>
      <c r="BX76" s="1463"/>
      <c r="BY76" s="1463"/>
      <c r="BZ76" s="1463"/>
      <c r="CA76" s="1463" t="s">
        <v>1563</v>
      </c>
      <c r="CB76" s="1463"/>
      <c r="CC76" s="1463"/>
      <c r="CD76" s="1463"/>
      <c r="CE76" s="1463"/>
      <c r="CF76" s="1463"/>
      <c r="CG76" s="1463"/>
      <c r="CH76" s="1463" t="s">
        <v>1564</v>
      </c>
      <c r="CI76" s="1463"/>
      <c r="CJ76" s="1463"/>
      <c r="CK76" s="1463"/>
      <c r="CL76" s="1463"/>
      <c r="CM76" s="1463"/>
      <c r="CN76" s="1463"/>
      <c r="CO76" s="1463" t="s">
        <v>1565</v>
      </c>
      <c r="CP76" s="1463"/>
      <c r="CQ76" s="1463"/>
      <c r="CR76" s="1463"/>
      <c r="CS76" s="1463"/>
      <c r="CT76" s="1463"/>
      <c r="CU76" s="1463"/>
      <c r="CV76" s="1463"/>
      <c r="CW76" s="1463"/>
      <c r="CX76" s="1463"/>
      <c r="CY76" s="1463"/>
      <c r="CZ76" s="1463"/>
      <c r="DA76" s="1463"/>
      <c r="DB76" s="1463"/>
      <c r="DC76" s="1463"/>
      <c r="DD76" s="1463"/>
      <c r="DE76" s="1463"/>
      <c r="DF76" s="1463"/>
      <c r="DG76" s="1463"/>
      <c r="DH76" s="1463"/>
      <c r="DI76" s="1463"/>
      <c r="DJ76" s="1463"/>
      <c r="DK76" s="1463"/>
      <c r="DL76" s="1463"/>
      <c r="DM76" s="1463"/>
      <c r="DN76" s="1463" t="s">
        <v>1562</v>
      </c>
      <c r="DO76" s="1463"/>
      <c r="DP76" s="1463"/>
      <c r="DQ76" s="1463"/>
      <c r="DR76" s="1463"/>
      <c r="DS76" s="1463"/>
      <c r="DT76" s="1463"/>
      <c r="DU76" s="1463" t="s">
        <v>1563</v>
      </c>
      <c r="DV76" s="1463"/>
      <c r="DW76" s="1463"/>
      <c r="DX76" s="1463"/>
      <c r="DY76" s="1463"/>
      <c r="DZ76" s="1463"/>
      <c r="EA76" s="1463"/>
      <c r="EB76" s="1463" t="s">
        <v>1564</v>
      </c>
      <c r="EC76" s="1463"/>
      <c r="ED76" s="1463"/>
      <c r="EE76" s="1463"/>
      <c r="EF76" s="1463"/>
      <c r="EG76" s="1463"/>
      <c r="EH76" s="1463"/>
      <c r="EI76" s="1463" t="s">
        <v>1565</v>
      </c>
      <c r="EJ76" s="1463"/>
      <c r="EK76" s="1463"/>
      <c r="EL76" s="1463"/>
      <c r="EM76" s="1463"/>
      <c r="EN76" s="1463"/>
      <c r="EO76" s="1463"/>
      <c r="EP76" s="1403"/>
      <c r="EQ76" s="1404"/>
      <c r="ER76" s="1404"/>
      <c r="ES76" s="1404"/>
      <c r="ET76" s="1404"/>
      <c r="EU76" s="1404"/>
      <c r="EV76" s="1404"/>
      <c r="EW76" s="1404"/>
      <c r="EX76" s="1404"/>
      <c r="EY76" s="1405"/>
    </row>
    <row r="77" spans="1:155" s="429" customFormat="1" ht="18.75" customHeight="1">
      <c r="A77" s="1468">
        <v>1</v>
      </c>
      <c r="B77" s="1469"/>
      <c r="C77" s="1469"/>
      <c r="D77" s="1469"/>
      <c r="E77" s="1469"/>
      <c r="F77" s="1469"/>
      <c r="G77" s="1469"/>
      <c r="H77" s="1469"/>
      <c r="I77" s="1469"/>
      <c r="J77" s="1469"/>
      <c r="K77" s="1469"/>
      <c r="L77" s="1469"/>
      <c r="M77" s="1469"/>
      <c r="N77" s="1469"/>
      <c r="O77" s="1469"/>
      <c r="P77" s="1469"/>
      <c r="Q77" s="1469"/>
      <c r="R77" s="1469"/>
      <c r="S77" s="1469"/>
      <c r="T77" s="1469"/>
      <c r="U77" s="1469"/>
      <c r="V77" s="1469"/>
      <c r="W77" s="1469"/>
      <c r="X77" s="1469"/>
      <c r="Y77" s="1469"/>
      <c r="Z77" s="1469"/>
      <c r="AA77" s="1469"/>
      <c r="AB77" s="1469"/>
      <c r="AC77" s="1469"/>
      <c r="AD77" s="1469"/>
      <c r="AE77" s="1469"/>
      <c r="AF77" s="1469"/>
      <c r="AG77" s="1469"/>
      <c r="AH77" s="1469"/>
      <c r="AI77" s="1469"/>
      <c r="AJ77" s="1469"/>
      <c r="AK77" s="1469"/>
      <c r="AL77" s="1469"/>
      <c r="AM77" s="1470"/>
      <c r="AN77" s="1464">
        <v>2</v>
      </c>
      <c r="AO77" s="1464"/>
      <c r="AP77" s="1464"/>
      <c r="AQ77" s="1464"/>
      <c r="AR77" s="1464"/>
      <c r="AS77" s="1464"/>
      <c r="AT77" s="1464"/>
      <c r="AU77" s="1464"/>
      <c r="AV77" s="1464">
        <v>3</v>
      </c>
      <c r="AW77" s="1464"/>
      <c r="AX77" s="1464"/>
      <c r="AY77" s="1464"/>
      <c r="AZ77" s="1464"/>
      <c r="BA77" s="1464"/>
      <c r="BB77" s="1464">
        <v>4</v>
      </c>
      <c r="BC77" s="1464"/>
      <c r="BD77" s="1464"/>
      <c r="BE77" s="1464"/>
      <c r="BF77" s="1464"/>
      <c r="BG77" s="1464"/>
      <c r="BH77" s="1464"/>
      <c r="BI77" s="1464"/>
      <c r="BJ77" s="1464"/>
      <c r="BK77" s="1464">
        <v>5</v>
      </c>
      <c r="BL77" s="1464"/>
      <c r="BM77" s="1464"/>
      <c r="BN77" s="1464"/>
      <c r="BO77" s="1464"/>
      <c r="BP77" s="1464"/>
      <c r="BQ77" s="1464"/>
      <c r="BR77" s="1464"/>
      <c r="BS77" s="1464"/>
      <c r="BT77" s="1464">
        <v>6</v>
      </c>
      <c r="BU77" s="1464"/>
      <c r="BV77" s="1464"/>
      <c r="BW77" s="1464"/>
      <c r="BX77" s="1464"/>
      <c r="BY77" s="1464"/>
      <c r="BZ77" s="1464"/>
      <c r="CA77" s="1464">
        <v>7</v>
      </c>
      <c r="CB77" s="1464"/>
      <c r="CC77" s="1464"/>
      <c r="CD77" s="1464"/>
      <c r="CE77" s="1464"/>
      <c r="CF77" s="1464"/>
      <c r="CG77" s="1464"/>
      <c r="CH77" s="1465" t="s">
        <v>1566</v>
      </c>
      <c r="CI77" s="1466"/>
      <c r="CJ77" s="1466"/>
      <c r="CK77" s="1466"/>
      <c r="CL77" s="1466"/>
      <c r="CM77" s="1466"/>
      <c r="CN77" s="1467"/>
      <c r="CO77" s="1464">
        <v>9</v>
      </c>
      <c r="CP77" s="1464"/>
      <c r="CQ77" s="1464"/>
      <c r="CR77" s="1464"/>
      <c r="CS77" s="1464"/>
      <c r="CT77" s="1464"/>
      <c r="CU77" s="1464"/>
      <c r="CV77" s="1527">
        <v>10</v>
      </c>
      <c r="CW77" s="1527"/>
      <c r="CX77" s="1527"/>
      <c r="CY77" s="1527"/>
      <c r="CZ77" s="1527"/>
      <c r="DA77" s="1527"/>
      <c r="DB77" s="1527"/>
      <c r="DC77" s="1527"/>
      <c r="DD77" s="1527"/>
      <c r="DE77" s="1527">
        <v>11</v>
      </c>
      <c r="DF77" s="1527"/>
      <c r="DG77" s="1527"/>
      <c r="DH77" s="1527"/>
      <c r="DI77" s="1527"/>
      <c r="DJ77" s="1527"/>
      <c r="DK77" s="1527"/>
      <c r="DL77" s="1527"/>
      <c r="DM77" s="1527"/>
      <c r="DN77" s="1527">
        <v>12</v>
      </c>
      <c r="DO77" s="1527"/>
      <c r="DP77" s="1527"/>
      <c r="DQ77" s="1527"/>
      <c r="DR77" s="1527"/>
      <c r="DS77" s="1527"/>
      <c r="DT77" s="1527"/>
      <c r="DU77" s="1527">
        <v>13</v>
      </c>
      <c r="DV77" s="1527"/>
      <c r="DW77" s="1527"/>
      <c r="DX77" s="1527"/>
      <c r="DY77" s="1527"/>
      <c r="DZ77" s="1527"/>
      <c r="EA77" s="1527"/>
      <c r="EB77" s="1465" t="s">
        <v>1567</v>
      </c>
      <c r="EC77" s="1466"/>
      <c r="ED77" s="1466"/>
      <c r="EE77" s="1466"/>
      <c r="EF77" s="1466"/>
      <c r="EG77" s="1466"/>
      <c r="EH77" s="1467"/>
      <c r="EI77" s="1468">
        <v>15</v>
      </c>
      <c r="EJ77" s="1469"/>
      <c r="EK77" s="1469"/>
      <c r="EL77" s="1469"/>
      <c r="EM77" s="1469"/>
      <c r="EN77" s="1469"/>
      <c r="EO77" s="1470"/>
      <c r="EP77" s="1464">
        <v>16</v>
      </c>
      <c r="EQ77" s="1464"/>
      <c r="ER77" s="1464"/>
      <c r="ES77" s="1464"/>
      <c r="ET77" s="1464"/>
      <c r="EU77" s="1464"/>
      <c r="EV77" s="1464"/>
      <c r="EW77" s="1464"/>
      <c r="EX77" s="1464"/>
      <c r="EY77" s="1464"/>
    </row>
    <row r="78" spans="1:155" s="430" customFormat="1" ht="8.1" customHeight="1">
      <c r="A78" s="1530" t="s">
        <v>1628</v>
      </c>
      <c r="B78" s="1530"/>
      <c r="C78" s="1530"/>
      <c r="D78" s="1530"/>
      <c r="E78" s="1530"/>
      <c r="F78" s="1530"/>
      <c r="G78" s="1530"/>
      <c r="H78" s="1530"/>
      <c r="I78" s="1530"/>
      <c r="J78" s="1530"/>
      <c r="K78" s="1530"/>
      <c r="L78" s="1530"/>
      <c r="M78" s="1530"/>
      <c r="N78" s="1530"/>
      <c r="O78" s="1530"/>
      <c r="P78" s="1530"/>
      <c r="Q78" s="1530"/>
      <c r="R78" s="1530"/>
      <c r="S78" s="1530"/>
      <c r="T78" s="1530"/>
      <c r="U78" s="1530"/>
      <c r="V78" s="1530"/>
      <c r="W78" s="1530"/>
      <c r="X78" s="1530"/>
      <c r="Y78" s="1530"/>
      <c r="Z78" s="1530"/>
      <c r="AA78" s="1530"/>
      <c r="AB78" s="1530"/>
      <c r="AC78" s="1530"/>
      <c r="AD78" s="1530"/>
      <c r="AE78" s="1530"/>
      <c r="AF78" s="1530"/>
      <c r="AG78" s="1530"/>
      <c r="AH78" s="1530"/>
      <c r="AI78" s="1530"/>
      <c r="AJ78" s="1530"/>
      <c r="AK78" s="1530"/>
      <c r="AL78" s="1530"/>
      <c r="AM78" s="1530"/>
      <c r="AN78" s="1523" t="s">
        <v>121</v>
      </c>
      <c r="AO78" s="1523"/>
      <c r="AP78" s="1523"/>
      <c r="AQ78" s="1523"/>
      <c r="AR78" s="1523"/>
      <c r="AS78" s="1523"/>
      <c r="AT78" s="1523"/>
      <c r="AU78" s="1523"/>
      <c r="AV78" s="1529" t="s">
        <v>1629</v>
      </c>
      <c r="AW78" s="1529"/>
      <c r="AX78" s="1529"/>
      <c r="AY78" s="1529"/>
      <c r="AZ78" s="1529"/>
      <c r="BA78" s="1529"/>
      <c r="BB78" s="1524">
        <v>767479</v>
      </c>
      <c r="BC78" s="1524"/>
      <c r="BD78" s="1524"/>
      <c r="BE78" s="1524"/>
      <c r="BF78" s="1524"/>
      <c r="BG78" s="1524"/>
      <c r="BH78" s="1524"/>
      <c r="BI78" s="1524"/>
      <c r="BJ78" s="1524"/>
      <c r="BK78" s="1524">
        <v>767479</v>
      </c>
      <c r="BL78" s="1524"/>
      <c r="BM78" s="1524"/>
      <c r="BN78" s="1524"/>
      <c r="BO78" s="1524"/>
      <c r="BP78" s="1524"/>
      <c r="BQ78" s="1524"/>
      <c r="BR78" s="1524"/>
      <c r="BS78" s="1524"/>
      <c r="BT78" s="1523" t="s">
        <v>118</v>
      </c>
      <c r="BU78" s="1523"/>
      <c r="BV78" s="1523"/>
      <c r="BW78" s="1523"/>
      <c r="BX78" s="1523"/>
      <c r="BY78" s="1523"/>
      <c r="BZ78" s="1523"/>
      <c r="CA78" s="1523" t="s">
        <v>118</v>
      </c>
      <c r="CB78" s="1523"/>
      <c r="CC78" s="1523"/>
      <c r="CD78" s="1523"/>
      <c r="CE78" s="1523"/>
      <c r="CF78" s="1523"/>
      <c r="CG78" s="1523"/>
      <c r="CH78" s="1523" t="s">
        <v>118</v>
      </c>
      <c r="CI78" s="1523"/>
      <c r="CJ78" s="1523"/>
      <c r="CK78" s="1523"/>
      <c r="CL78" s="1523"/>
      <c r="CM78" s="1523"/>
      <c r="CN78" s="1523"/>
      <c r="CO78" s="1523" t="s">
        <v>118</v>
      </c>
      <c r="CP78" s="1523"/>
      <c r="CQ78" s="1523"/>
      <c r="CR78" s="1523"/>
      <c r="CS78" s="1523"/>
      <c r="CT78" s="1523"/>
      <c r="CU78" s="1523"/>
      <c r="CV78" s="1525">
        <v>1337238</v>
      </c>
      <c r="CW78" s="1525"/>
      <c r="CX78" s="1525"/>
      <c r="CY78" s="1525"/>
      <c r="CZ78" s="1525"/>
      <c r="DA78" s="1525"/>
      <c r="DB78" s="1525"/>
      <c r="DC78" s="1525"/>
      <c r="DD78" s="1525"/>
      <c r="DE78" s="1525">
        <v>1337238</v>
      </c>
      <c r="DF78" s="1525"/>
      <c r="DG78" s="1525"/>
      <c r="DH78" s="1525"/>
      <c r="DI78" s="1525"/>
      <c r="DJ78" s="1525"/>
      <c r="DK78" s="1525"/>
      <c r="DL78" s="1525"/>
      <c r="DM78" s="1525"/>
      <c r="DN78" s="1526" t="s">
        <v>118</v>
      </c>
      <c r="DO78" s="1526"/>
      <c r="DP78" s="1526"/>
      <c r="DQ78" s="1526"/>
      <c r="DR78" s="1526"/>
      <c r="DS78" s="1526"/>
      <c r="DT78" s="1526"/>
      <c r="DU78" s="1526" t="s">
        <v>118</v>
      </c>
      <c r="DV78" s="1526"/>
      <c r="DW78" s="1526"/>
      <c r="DX78" s="1526"/>
      <c r="DY78" s="1526"/>
      <c r="DZ78" s="1526"/>
      <c r="EA78" s="1526"/>
      <c r="EB78" s="1523" t="s">
        <v>118</v>
      </c>
      <c r="EC78" s="1523"/>
      <c r="ED78" s="1523"/>
      <c r="EE78" s="1523"/>
      <c r="EF78" s="1523"/>
      <c r="EG78" s="1523"/>
      <c r="EH78" s="1523"/>
      <c r="EI78" s="1523" t="s">
        <v>118</v>
      </c>
      <c r="EJ78" s="1523"/>
      <c r="EK78" s="1523"/>
      <c r="EL78" s="1523"/>
      <c r="EM78" s="1523"/>
      <c r="EN78" s="1523"/>
      <c r="EO78" s="1523"/>
      <c r="EP78" s="1524"/>
      <c r="EQ78" s="1524"/>
      <c r="ER78" s="1524"/>
      <c r="ES78" s="1524"/>
      <c r="ET78" s="1524"/>
      <c r="EU78" s="1524"/>
      <c r="EV78" s="1524"/>
      <c r="EW78" s="1524"/>
      <c r="EX78" s="1524"/>
      <c r="EY78" s="1524"/>
    </row>
    <row r="79" spans="1:155" s="430" customFormat="1" ht="8.1" customHeight="1">
      <c r="A79" s="1528" t="s">
        <v>1630</v>
      </c>
      <c r="B79" s="1528"/>
      <c r="C79" s="1528"/>
      <c r="D79" s="1528"/>
      <c r="E79" s="1528"/>
      <c r="F79" s="1528"/>
      <c r="G79" s="1528"/>
      <c r="H79" s="1528"/>
      <c r="I79" s="1528"/>
      <c r="J79" s="1528"/>
      <c r="K79" s="1528"/>
      <c r="L79" s="1528"/>
      <c r="M79" s="1528"/>
      <c r="N79" s="1528"/>
      <c r="O79" s="1528"/>
      <c r="P79" s="1528"/>
      <c r="Q79" s="1528"/>
      <c r="R79" s="1528"/>
      <c r="S79" s="1528"/>
      <c r="T79" s="1528"/>
      <c r="U79" s="1528"/>
      <c r="V79" s="1528"/>
      <c r="W79" s="1528"/>
      <c r="X79" s="1528"/>
      <c r="Y79" s="1528"/>
      <c r="Z79" s="1528"/>
      <c r="AA79" s="1528"/>
      <c r="AB79" s="1528"/>
      <c r="AC79" s="1528"/>
      <c r="AD79" s="1528"/>
      <c r="AE79" s="1528"/>
      <c r="AF79" s="1528"/>
      <c r="AG79" s="1528"/>
      <c r="AH79" s="1528"/>
      <c r="AI79" s="1528"/>
      <c r="AJ79" s="1528"/>
      <c r="AK79" s="1528"/>
      <c r="AL79" s="1528"/>
      <c r="AM79" s="1528"/>
      <c r="AN79" s="1523" t="s">
        <v>121</v>
      </c>
      <c r="AO79" s="1523"/>
      <c r="AP79" s="1523"/>
      <c r="AQ79" s="1523"/>
      <c r="AR79" s="1523"/>
      <c r="AS79" s="1523"/>
      <c r="AT79" s="1523"/>
      <c r="AU79" s="1523"/>
      <c r="AV79" s="1529" t="s">
        <v>63</v>
      </c>
      <c r="AW79" s="1529"/>
      <c r="AX79" s="1529"/>
      <c r="AY79" s="1529"/>
      <c r="AZ79" s="1529"/>
      <c r="BA79" s="1529"/>
      <c r="BB79" s="1523" t="s">
        <v>118</v>
      </c>
      <c r="BC79" s="1523"/>
      <c r="BD79" s="1523"/>
      <c r="BE79" s="1523"/>
      <c r="BF79" s="1523"/>
      <c r="BG79" s="1523"/>
      <c r="BH79" s="1523"/>
      <c r="BI79" s="1523"/>
      <c r="BJ79" s="1523"/>
      <c r="BK79" s="1523" t="s">
        <v>118</v>
      </c>
      <c r="BL79" s="1523"/>
      <c r="BM79" s="1523"/>
      <c r="BN79" s="1523"/>
      <c r="BO79" s="1523"/>
      <c r="BP79" s="1523"/>
      <c r="BQ79" s="1523"/>
      <c r="BR79" s="1523"/>
      <c r="BS79" s="1523"/>
      <c r="BT79" s="1522">
        <v>47945</v>
      </c>
      <c r="BU79" s="1522"/>
      <c r="BV79" s="1522"/>
      <c r="BW79" s="1522"/>
      <c r="BX79" s="1522"/>
      <c r="BY79" s="1522"/>
      <c r="BZ79" s="1522"/>
      <c r="CA79" s="1522">
        <v>41541</v>
      </c>
      <c r="CB79" s="1522"/>
      <c r="CC79" s="1522"/>
      <c r="CD79" s="1522"/>
      <c r="CE79" s="1522"/>
      <c r="CF79" s="1522"/>
      <c r="CG79" s="1522"/>
      <c r="CH79" s="1523" t="s">
        <v>118</v>
      </c>
      <c r="CI79" s="1523"/>
      <c r="CJ79" s="1523"/>
      <c r="CK79" s="1523"/>
      <c r="CL79" s="1523"/>
      <c r="CM79" s="1523"/>
      <c r="CN79" s="1523"/>
      <c r="CO79" s="1523" t="s">
        <v>118</v>
      </c>
      <c r="CP79" s="1523"/>
      <c r="CQ79" s="1523"/>
      <c r="CR79" s="1523"/>
      <c r="CS79" s="1523"/>
      <c r="CT79" s="1523"/>
      <c r="CU79" s="1523"/>
      <c r="CV79" s="1526" t="s">
        <v>118</v>
      </c>
      <c r="CW79" s="1526"/>
      <c r="CX79" s="1526"/>
      <c r="CY79" s="1526"/>
      <c r="CZ79" s="1526"/>
      <c r="DA79" s="1526"/>
      <c r="DB79" s="1526"/>
      <c r="DC79" s="1526"/>
      <c r="DD79" s="1526"/>
      <c r="DE79" s="1526" t="s">
        <v>118</v>
      </c>
      <c r="DF79" s="1526"/>
      <c r="DG79" s="1526"/>
      <c r="DH79" s="1526"/>
      <c r="DI79" s="1526"/>
      <c r="DJ79" s="1526"/>
      <c r="DK79" s="1526"/>
      <c r="DL79" s="1526"/>
      <c r="DM79" s="1526"/>
      <c r="DN79" s="1525">
        <v>755692</v>
      </c>
      <c r="DO79" s="1525"/>
      <c r="DP79" s="1525"/>
      <c r="DQ79" s="1525"/>
      <c r="DR79" s="1525"/>
      <c r="DS79" s="1525"/>
      <c r="DT79" s="1525"/>
      <c r="DU79" s="1525">
        <v>12120</v>
      </c>
      <c r="DV79" s="1525"/>
      <c r="DW79" s="1525"/>
      <c r="DX79" s="1525"/>
      <c r="DY79" s="1525"/>
      <c r="DZ79" s="1525"/>
      <c r="EA79" s="1525"/>
      <c r="EB79" s="1523" t="s">
        <v>118</v>
      </c>
      <c r="EC79" s="1523"/>
      <c r="ED79" s="1523"/>
      <c r="EE79" s="1523"/>
      <c r="EF79" s="1523"/>
      <c r="EG79" s="1523"/>
      <c r="EH79" s="1523"/>
      <c r="EI79" s="1523" t="s">
        <v>118</v>
      </c>
      <c r="EJ79" s="1523"/>
      <c r="EK79" s="1523"/>
      <c r="EL79" s="1523"/>
      <c r="EM79" s="1523"/>
      <c r="EN79" s="1523"/>
      <c r="EO79" s="1523"/>
      <c r="EP79" s="1524"/>
      <c r="EQ79" s="1524"/>
      <c r="ER79" s="1524"/>
      <c r="ES79" s="1524"/>
      <c r="ET79" s="1524"/>
      <c r="EU79" s="1524"/>
      <c r="EV79" s="1524"/>
      <c r="EW79" s="1524"/>
      <c r="EX79" s="1524"/>
      <c r="EY79" s="1524"/>
    </row>
    <row r="80" spans="1:155" s="430" customFormat="1" ht="32.25" customHeight="1">
      <c r="A80" s="1530" t="s">
        <v>1631</v>
      </c>
      <c r="B80" s="1530"/>
      <c r="C80" s="1530"/>
      <c r="D80" s="1530"/>
      <c r="E80" s="1530"/>
      <c r="F80" s="1530"/>
      <c r="G80" s="1530"/>
      <c r="H80" s="1530"/>
      <c r="I80" s="1530"/>
      <c r="J80" s="1530"/>
      <c r="K80" s="1530"/>
      <c r="L80" s="1530"/>
      <c r="M80" s="1530"/>
      <c r="N80" s="1530"/>
      <c r="O80" s="1530"/>
      <c r="P80" s="1530"/>
      <c r="Q80" s="1530"/>
      <c r="R80" s="1530"/>
      <c r="S80" s="1530"/>
      <c r="T80" s="1530"/>
      <c r="U80" s="1530"/>
      <c r="V80" s="1530"/>
      <c r="W80" s="1530"/>
      <c r="X80" s="1530"/>
      <c r="Y80" s="1530"/>
      <c r="Z80" s="1530"/>
      <c r="AA80" s="1530"/>
      <c r="AB80" s="1530"/>
      <c r="AC80" s="1530"/>
      <c r="AD80" s="1530"/>
      <c r="AE80" s="1530"/>
      <c r="AF80" s="1530"/>
      <c r="AG80" s="1530"/>
      <c r="AH80" s="1530"/>
      <c r="AI80" s="1530"/>
      <c r="AJ80" s="1530"/>
      <c r="AK80" s="1530"/>
      <c r="AL80" s="1530"/>
      <c r="AM80" s="1530"/>
      <c r="AN80" s="1523" t="s">
        <v>121</v>
      </c>
      <c r="AO80" s="1523"/>
      <c r="AP80" s="1523"/>
      <c r="AQ80" s="1523"/>
      <c r="AR80" s="1523"/>
      <c r="AS80" s="1523"/>
      <c r="AT80" s="1523"/>
      <c r="AU80" s="1523"/>
      <c r="AV80" s="1529" t="s">
        <v>1632</v>
      </c>
      <c r="AW80" s="1529"/>
      <c r="AX80" s="1529"/>
      <c r="AY80" s="1529"/>
      <c r="AZ80" s="1529"/>
      <c r="BA80" s="1529"/>
      <c r="BB80" s="1523" t="s">
        <v>118</v>
      </c>
      <c r="BC80" s="1523"/>
      <c r="BD80" s="1523"/>
      <c r="BE80" s="1523"/>
      <c r="BF80" s="1523"/>
      <c r="BG80" s="1523"/>
      <c r="BH80" s="1523"/>
      <c r="BI80" s="1523"/>
      <c r="BJ80" s="1523"/>
      <c r="BK80" s="1523" t="s">
        <v>118</v>
      </c>
      <c r="BL80" s="1523"/>
      <c r="BM80" s="1523"/>
      <c r="BN80" s="1523"/>
      <c r="BO80" s="1523"/>
      <c r="BP80" s="1523"/>
      <c r="BQ80" s="1523"/>
      <c r="BR80" s="1523"/>
      <c r="BS80" s="1523"/>
      <c r="BT80" s="1524">
        <v>2500000</v>
      </c>
      <c r="BU80" s="1524"/>
      <c r="BV80" s="1524"/>
      <c r="BW80" s="1524"/>
      <c r="BX80" s="1524"/>
      <c r="BY80" s="1524"/>
      <c r="BZ80" s="1524"/>
      <c r="CA80" s="1524"/>
      <c r="CB80" s="1524"/>
      <c r="CC80" s="1524"/>
      <c r="CD80" s="1524"/>
      <c r="CE80" s="1524"/>
      <c r="CF80" s="1524"/>
      <c r="CG80" s="1524"/>
      <c r="CH80" s="1523" t="s">
        <v>118</v>
      </c>
      <c r="CI80" s="1523"/>
      <c r="CJ80" s="1523"/>
      <c r="CK80" s="1523"/>
      <c r="CL80" s="1523"/>
      <c r="CM80" s="1523"/>
      <c r="CN80" s="1523"/>
      <c r="CO80" s="1523" t="s">
        <v>118</v>
      </c>
      <c r="CP80" s="1523"/>
      <c r="CQ80" s="1523"/>
      <c r="CR80" s="1523"/>
      <c r="CS80" s="1523"/>
      <c r="CT80" s="1523"/>
      <c r="CU80" s="1523"/>
      <c r="CV80" s="1523" t="s">
        <v>118</v>
      </c>
      <c r="CW80" s="1523"/>
      <c r="CX80" s="1523"/>
      <c r="CY80" s="1523"/>
      <c r="CZ80" s="1523"/>
      <c r="DA80" s="1523"/>
      <c r="DB80" s="1523"/>
      <c r="DC80" s="1523"/>
      <c r="DD80" s="1523"/>
      <c r="DE80" s="1523" t="s">
        <v>118</v>
      </c>
      <c r="DF80" s="1523"/>
      <c r="DG80" s="1523"/>
      <c r="DH80" s="1523"/>
      <c r="DI80" s="1523"/>
      <c r="DJ80" s="1523"/>
      <c r="DK80" s="1523"/>
      <c r="DL80" s="1523"/>
      <c r="DM80" s="1523"/>
      <c r="DN80" s="1524">
        <v>3522500</v>
      </c>
      <c r="DO80" s="1524"/>
      <c r="DP80" s="1524"/>
      <c r="DQ80" s="1524"/>
      <c r="DR80" s="1524"/>
      <c r="DS80" s="1524"/>
      <c r="DT80" s="1524"/>
      <c r="DU80" s="1524"/>
      <c r="DV80" s="1524"/>
      <c r="DW80" s="1524"/>
      <c r="DX80" s="1524"/>
      <c r="DY80" s="1524"/>
      <c r="DZ80" s="1524"/>
      <c r="EA80" s="1524"/>
      <c r="EB80" s="1523" t="s">
        <v>118</v>
      </c>
      <c r="EC80" s="1523"/>
      <c r="ED80" s="1523"/>
      <c r="EE80" s="1523"/>
      <c r="EF80" s="1523"/>
      <c r="EG80" s="1523"/>
      <c r="EH80" s="1523"/>
      <c r="EI80" s="1523" t="s">
        <v>118</v>
      </c>
      <c r="EJ80" s="1523"/>
      <c r="EK80" s="1523"/>
      <c r="EL80" s="1523"/>
      <c r="EM80" s="1523"/>
      <c r="EN80" s="1523"/>
      <c r="EO80" s="1523"/>
      <c r="EP80" s="1524"/>
      <c r="EQ80" s="1524"/>
      <c r="ER80" s="1524"/>
      <c r="ES80" s="1524"/>
      <c r="ET80" s="1524"/>
      <c r="EU80" s="1524"/>
      <c r="EV80" s="1524"/>
      <c r="EW80" s="1524"/>
      <c r="EX80" s="1524"/>
      <c r="EY80" s="1524"/>
    </row>
    <row r="81" spans="1:155" s="430" customFormat="1" ht="32.25" customHeight="1">
      <c r="A81" s="1530" t="s">
        <v>1633</v>
      </c>
      <c r="B81" s="1530"/>
      <c r="C81" s="1530"/>
      <c r="D81" s="1530"/>
      <c r="E81" s="1530"/>
      <c r="F81" s="1530"/>
      <c r="G81" s="1530"/>
      <c r="H81" s="1530"/>
      <c r="I81" s="1530"/>
      <c r="J81" s="1530"/>
      <c r="K81" s="1530"/>
      <c r="L81" s="1530"/>
      <c r="M81" s="1530"/>
      <c r="N81" s="1530"/>
      <c r="O81" s="1530"/>
      <c r="P81" s="1530"/>
      <c r="Q81" s="1530"/>
      <c r="R81" s="1530"/>
      <c r="S81" s="1530"/>
      <c r="T81" s="1530"/>
      <c r="U81" s="1530"/>
      <c r="V81" s="1530"/>
      <c r="W81" s="1530"/>
      <c r="X81" s="1530"/>
      <c r="Y81" s="1530"/>
      <c r="Z81" s="1530"/>
      <c r="AA81" s="1530"/>
      <c r="AB81" s="1530"/>
      <c r="AC81" s="1530"/>
      <c r="AD81" s="1530"/>
      <c r="AE81" s="1530"/>
      <c r="AF81" s="1530"/>
      <c r="AG81" s="1530"/>
      <c r="AH81" s="1530"/>
      <c r="AI81" s="1530"/>
      <c r="AJ81" s="1530"/>
      <c r="AK81" s="1530"/>
      <c r="AL81" s="1530"/>
      <c r="AM81" s="1530"/>
      <c r="AN81" s="1523" t="s">
        <v>121</v>
      </c>
      <c r="AO81" s="1523"/>
      <c r="AP81" s="1523"/>
      <c r="AQ81" s="1523"/>
      <c r="AR81" s="1523"/>
      <c r="AS81" s="1523"/>
      <c r="AT81" s="1523"/>
      <c r="AU81" s="1523"/>
      <c r="AV81" s="1529" t="s">
        <v>1634</v>
      </c>
      <c r="AW81" s="1529"/>
      <c r="AX81" s="1529"/>
      <c r="AY81" s="1529"/>
      <c r="AZ81" s="1529"/>
      <c r="BA81" s="1529"/>
      <c r="BB81" s="1523" t="s">
        <v>118</v>
      </c>
      <c r="BC81" s="1523"/>
      <c r="BD81" s="1523"/>
      <c r="BE81" s="1523"/>
      <c r="BF81" s="1523"/>
      <c r="BG81" s="1523"/>
      <c r="BH81" s="1523"/>
      <c r="BI81" s="1523"/>
      <c r="BJ81" s="1523"/>
      <c r="BK81" s="1523" t="s">
        <v>118</v>
      </c>
      <c r="BL81" s="1523"/>
      <c r="BM81" s="1523"/>
      <c r="BN81" s="1523"/>
      <c r="BO81" s="1523"/>
      <c r="BP81" s="1523"/>
      <c r="BQ81" s="1523"/>
      <c r="BR81" s="1523"/>
      <c r="BS81" s="1523"/>
      <c r="BT81" s="1524">
        <v>1708618</v>
      </c>
      <c r="BU81" s="1524"/>
      <c r="BV81" s="1524"/>
      <c r="BW81" s="1524"/>
      <c r="BX81" s="1524"/>
      <c r="BY81" s="1524"/>
      <c r="BZ81" s="1524"/>
      <c r="CA81" s="1524"/>
      <c r="CB81" s="1524"/>
      <c r="CC81" s="1524"/>
      <c r="CD81" s="1524"/>
      <c r="CE81" s="1524"/>
      <c r="CF81" s="1524"/>
      <c r="CG81" s="1524"/>
      <c r="CH81" s="1523" t="s">
        <v>118</v>
      </c>
      <c r="CI81" s="1523"/>
      <c r="CJ81" s="1523"/>
      <c r="CK81" s="1523"/>
      <c r="CL81" s="1523"/>
      <c r="CM81" s="1523"/>
      <c r="CN81" s="1523"/>
      <c r="CO81" s="1523" t="s">
        <v>118</v>
      </c>
      <c r="CP81" s="1523"/>
      <c r="CQ81" s="1523"/>
      <c r="CR81" s="1523"/>
      <c r="CS81" s="1523"/>
      <c r="CT81" s="1523"/>
      <c r="CU81" s="1523"/>
      <c r="CV81" s="1523" t="s">
        <v>118</v>
      </c>
      <c r="CW81" s="1523"/>
      <c r="CX81" s="1523"/>
      <c r="CY81" s="1523"/>
      <c r="CZ81" s="1523"/>
      <c r="DA81" s="1523"/>
      <c r="DB81" s="1523"/>
      <c r="DC81" s="1523"/>
      <c r="DD81" s="1523"/>
      <c r="DE81" s="1523" t="s">
        <v>118</v>
      </c>
      <c r="DF81" s="1523"/>
      <c r="DG81" s="1523"/>
      <c r="DH81" s="1523"/>
      <c r="DI81" s="1523"/>
      <c r="DJ81" s="1523"/>
      <c r="DK81" s="1523"/>
      <c r="DL81" s="1523"/>
      <c r="DM81" s="1523"/>
      <c r="DN81" s="1524">
        <v>665500</v>
      </c>
      <c r="DO81" s="1524"/>
      <c r="DP81" s="1524"/>
      <c r="DQ81" s="1524"/>
      <c r="DR81" s="1524"/>
      <c r="DS81" s="1524"/>
      <c r="DT81" s="1524"/>
      <c r="DU81" s="1524"/>
      <c r="DV81" s="1524"/>
      <c r="DW81" s="1524"/>
      <c r="DX81" s="1524"/>
      <c r="DY81" s="1524"/>
      <c r="DZ81" s="1524"/>
      <c r="EA81" s="1524"/>
      <c r="EB81" s="1523" t="s">
        <v>118</v>
      </c>
      <c r="EC81" s="1523"/>
      <c r="ED81" s="1523"/>
      <c r="EE81" s="1523"/>
      <c r="EF81" s="1523"/>
      <c r="EG81" s="1523"/>
      <c r="EH81" s="1523"/>
      <c r="EI81" s="1523" t="s">
        <v>118</v>
      </c>
      <c r="EJ81" s="1523"/>
      <c r="EK81" s="1523"/>
      <c r="EL81" s="1523"/>
      <c r="EM81" s="1523"/>
      <c r="EN81" s="1523"/>
      <c r="EO81" s="1523"/>
      <c r="EP81" s="1524"/>
      <c r="EQ81" s="1524"/>
      <c r="ER81" s="1524"/>
      <c r="ES81" s="1524"/>
      <c r="ET81" s="1524"/>
      <c r="EU81" s="1524"/>
      <c r="EV81" s="1524"/>
      <c r="EW81" s="1524"/>
      <c r="EX81" s="1524"/>
      <c r="EY81" s="1524"/>
    </row>
    <row r="82" spans="1:155" s="430" customFormat="1" ht="8.1" customHeight="1">
      <c r="A82" s="1530" t="s">
        <v>1635</v>
      </c>
      <c r="B82" s="1530"/>
      <c r="C82" s="1530"/>
      <c r="D82" s="1530"/>
      <c r="E82" s="1530"/>
      <c r="F82" s="1530"/>
      <c r="G82" s="1530"/>
      <c r="H82" s="1530"/>
      <c r="I82" s="1530"/>
      <c r="J82" s="1530"/>
      <c r="K82" s="1530"/>
      <c r="L82" s="1530"/>
      <c r="M82" s="1530"/>
      <c r="N82" s="1530"/>
      <c r="O82" s="1530"/>
      <c r="P82" s="1530"/>
      <c r="Q82" s="1530"/>
      <c r="R82" s="1530"/>
      <c r="S82" s="1530"/>
      <c r="T82" s="1530"/>
      <c r="U82" s="1530"/>
      <c r="V82" s="1530"/>
      <c r="W82" s="1530"/>
      <c r="X82" s="1530"/>
      <c r="Y82" s="1530"/>
      <c r="Z82" s="1530"/>
      <c r="AA82" s="1530"/>
      <c r="AB82" s="1530"/>
      <c r="AC82" s="1530"/>
      <c r="AD82" s="1530"/>
      <c r="AE82" s="1530"/>
      <c r="AF82" s="1530"/>
      <c r="AG82" s="1530"/>
      <c r="AH82" s="1530"/>
      <c r="AI82" s="1530"/>
      <c r="AJ82" s="1530"/>
      <c r="AK82" s="1530"/>
      <c r="AL82" s="1530"/>
      <c r="AM82" s="1530"/>
      <c r="AN82" s="1523" t="s">
        <v>121</v>
      </c>
      <c r="AO82" s="1523"/>
      <c r="AP82" s="1523"/>
      <c r="AQ82" s="1523"/>
      <c r="AR82" s="1523"/>
      <c r="AS82" s="1523"/>
      <c r="AT82" s="1523"/>
      <c r="AU82" s="1523"/>
      <c r="AV82" s="1529" t="s">
        <v>1636</v>
      </c>
      <c r="AW82" s="1529"/>
      <c r="AX82" s="1529"/>
      <c r="AY82" s="1529"/>
      <c r="AZ82" s="1529"/>
      <c r="BA82" s="1529"/>
      <c r="BB82" s="1524">
        <f>CH82</f>
        <v>4078564</v>
      </c>
      <c r="BC82" s="1524"/>
      <c r="BD82" s="1524"/>
      <c r="BE82" s="1524"/>
      <c r="BF82" s="1524"/>
      <c r="BG82" s="1524"/>
      <c r="BH82" s="1524"/>
      <c r="BI82" s="1524"/>
      <c r="BJ82" s="1524"/>
      <c r="BK82" s="1524">
        <f>BB82</f>
        <v>4078564</v>
      </c>
      <c r="BL82" s="1524"/>
      <c r="BM82" s="1524"/>
      <c r="BN82" s="1524"/>
      <c r="BO82" s="1524"/>
      <c r="BP82" s="1524"/>
      <c r="BQ82" s="1524"/>
      <c r="BR82" s="1524"/>
      <c r="BS82" s="1524"/>
      <c r="BT82" s="1523" t="s">
        <v>118</v>
      </c>
      <c r="BU82" s="1523"/>
      <c r="BV82" s="1523"/>
      <c r="BW82" s="1523"/>
      <c r="BX82" s="1523"/>
      <c r="BY82" s="1523"/>
      <c r="BZ82" s="1523"/>
      <c r="CA82" s="1523" t="s">
        <v>118</v>
      </c>
      <c r="CB82" s="1523"/>
      <c r="CC82" s="1523"/>
      <c r="CD82" s="1523"/>
      <c r="CE82" s="1523"/>
      <c r="CF82" s="1523"/>
      <c r="CG82" s="1523"/>
      <c r="CH82" s="1524">
        <v>4078564</v>
      </c>
      <c r="CI82" s="1524"/>
      <c r="CJ82" s="1524"/>
      <c r="CK82" s="1524"/>
      <c r="CL82" s="1524"/>
      <c r="CM82" s="1524"/>
      <c r="CN82" s="1524"/>
      <c r="CO82" s="1524"/>
      <c r="CP82" s="1524"/>
      <c r="CQ82" s="1524"/>
      <c r="CR82" s="1524"/>
      <c r="CS82" s="1524"/>
      <c r="CT82" s="1524"/>
      <c r="CU82" s="1524"/>
      <c r="CV82" s="1524">
        <f>DE82</f>
        <v>4581516</v>
      </c>
      <c r="CW82" s="1524"/>
      <c r="CX82" s="1524"/>
      <c r="CY82" s="1524"/>
      <c r="CZ82" s="1524"/>
      <c r="DA82" s="1524"/>
      <c r="DB82" s="1524"/>
      <c r="DC82" s="1524"/>
      <c r="DD82" s="1524"/>
      <c r="DE82" s="1524">
        <f>EB82</f>
        <v>4581516</v>
      </c>
      <c r="DF82" s="1524"/>
      <c r="DG82" s="1524"/>
      <c r="DH82" s="1524"/>
      <c r="DI82" s="1524"/>
      <c r="DJ82" s="1524"/>
      <c r="DK82" s="1524"/>
      <c r="DL82" s="1524"/>
      <c r="DM82" s="1524"/>
      <c r="DN82" s="1523" t="s">
        <v>118</v>
      </c>
      <c r="DO82" s="1523"/>
      <c r="DP82" s="1523"/>
      <c r="DQ82" s="1523"/>
      <c r="DR82" s="1523"/>
      <c r="DS82" s="1523"/>
      <c r="DT82" s="1523"/>
      <c r="DU82" s="1523" t="s">
        <v>118</v>
      </c>
      <c r="DV82" s="1523"/>
      <c r="DW82" s="1523"/>
      <c r="DX82" s="1523"/>
      <c r="DY82" s="1523"/>
      <c r="DZ82" s="1523"/>
      <c r="EA82" s="1523"/>
      <c r="EB82" s="1524">
        <v>4581516</v>
      </c>
      <c r="EC82" s="1524"/>
      <c r="ED82" s="1524"/>
      <c r="EE82" s="1524"/>
      <c r="EF82" s="1524"/>
      <c r="EG82" s="1524"/>
      <c r="EH82" s="1524"/>
      <c r="EI82" s="1524"/>
      <c r="EJ82" s="1524"/>
      <c r="EK82" s="1524"/>
      <c r="EL82" s="1524"/>
      <c r="EM82" s="1524"/>
      <c r="EN82" s="1524"/>
      <c r="EO82" s="1524"/>
      <c r="EP82" s="1524"/>
      <c r="EQ82" s="1524"/>
      <c r="ER82" s="1524"/>
      <c r="ES82" s="1524"/>
      <c r="ET82" s="1524"/>
      <c r="EU82" s="1524"/>
      <c r="EV82" s="1524"/>
      <c r="EW82" s="1524"/>
      <c r="EX82" s="1524"/>
      <c r="EY82" s="1524"/>
    </row>
    <row r="83" spans="1:155" s="430" customFormat="1" ht="8.1" customHeight="1">
      <c r="A83" s="1530" t="s">
        <v>1637</v>
      </c>
      <c r="B83" s="1530"/>
      <c r="C83" s="1530"/>
      <c r="D83" s="1530"/>
      <c r="E83" s="1530"/>
      <c r="F83" s="1530"/>
      <c r="G83" s="1530"/>
      <c r="H83" s="1530"/>
      <c r="I83" s="1530"/>
      <c r="J83" s="1530"/>
      <c r="K83" s="1530"/>
      <c r="L83" s="1530"/>
      <c r="M83" s="1530"/>
      <c r="N83" s="1530"/>
      <c r="O83" s="1530"/>
      <c r="P83" s="1530"/>
      <c r="Q83" s="1530"/>
      <c r="R83" s="1530"/>
      <c r="S83" s="1530"/>
      <c r="T83" s="1530"/>
      <c r="U83" s="1530"/>
      <c r="V83" s="1530"/>
      <c r="W83" s="1530"/>
      <c r="X83" s="1530"/>
      <c r="Y83" s="1530"/>
      <c r="Z83" s="1530"/>
      <c r="AA83" s="1530"/>
      <c r="AB83" s="1530"/>
      <c r="AC83" s="1530"/>
      <c r="AD83" s="1530"/>
      <c r="AE83" s="1530"/>
      <c r="AF83" s="1530"/>
      <c r="AG83" s="1530"/>
      <c r="AH83" s="1530"/>
      <c r="AI83" s="1530"/>
      <c r="AJ83" s="1530"/>
      <c r="AK83" s="1530"/>
      <c r="AL83" s="1530"/>
      <c r="AM83" s="1530"/>
      <c r="AN83" s="1523" t="s">
        <v>121</v>
      </c>
      <c r="AO83" s="1523"/>
      <c r="AP83" s="1523"/>
      <c r="AQ83" s="1523"/>
      <c r="AR83" s="1523"/>
      <c r="AS83" s="1523"/>
      <c r="AT83" s="1523"/>
      <c r="AU83" s="1523"/>
      <c r="AV83" s="1529" t="s">
        <v>1638</v>
      </c>
      <c r="AW83" s="1529"/>
      <c r="AX83" s="1529"/>
      <c r="AY83" s="1529"/>
      <c r="AZ83" s="1529"/>
      <c r="BA83" s="1529"/>
      <c r="BB83" s="1524">
        <f>CH83</f>
        <v>3060679</v>
      </c>
      <c r="BC83" s="1524"/>
      <c r="BD83" s="1524"/>
      <c r="BE83" s="1524"/>
      <c r="BF83" s="1524"/>
      <c r="BG83" s="1524"/>
      <c r="BH83" s="1524"/>
      <c r="BI83" s="1524"/>
      <c r="BJ83" s="1524"/>
      <c r="BK83" s="1524">
        <f>BB83</f>
        <v>3060679</v>
      </c>
      <c r="BL83" s="1524"/>
      <c r="BM83" s="1524"/>
      <c r="BN83" s="1524"/>
      <c r="BO83" s="1524"/>
      <c r="BP83" s="1524"/>
      <c r="BQ83" s="1524"/>
      <c r="BR83" s="1524"/>
      <c r="BS83" s="1524"/>
      <c r="BT83" s="1523" t="s">
        <v>118</v>
      </c>
      <c r="BU83" s="1523"/>
      <c r="BV83" s="1523"/>
      <c r="BW83" s="1523"/>
      <c r="BX83" s="1523"/>
      <c r="BY83" s="1523"/>
      <c r="BZ83" s="1523"/>
      <c r="CA83" s="1523" t="s">
        <v>118</v>
      </c>
      <c r="CB83" s="1523"/>
      <c r="CC83" s="1523"/>
      <c r="CD83" s="1523"/>
      <c r="CE83" s="1523"/>
      <c r="CF83" s="1523"/>
      <c r="CG83" s="1523"/>
      <c r="CH83" s="1522">
        <v>3060679</v>
      </c>
      <c r="CI83" s="1522"/>
      <c r="CJ83" s="1522"/>
      <c r="CK83" s="1522"/>
      <c r="CL83" s="1522"/>
      <c r="CM83" s="1522"/>
      <c r="CN83" s="1522"/>
      <c r="CO83" s="1524"/>
      <c r="CP83" s="1524"/>
      <c r="CQ83" s="1524"/>
      <c r="CR83" s="1524"/>
      <c r="CS83" s="1524"/>
      <c r="CT83" s="1524"/>
      <c r="CU83" s="1524"/>
      <c r="CV83" s="1524">
        <f>DE83</f>
        <v>3102087</v>
      </c>
      <c r="CW83" s="1524"/>
      <c r="CX83" s="1524"/>
      <c r="CY83" s="1524"/>
      <c r="CZ83" s="1524"/>
      <c r="DA83" s="1524"/>
      <c r="DB83" s="1524"/>
      <c r="DC83" s="1524"/>
      <c r="DD83" s="1524"/>
      <c r="DE83" s="1524">
        <f>EB83</f>
        <v>3102087</v>
      </c>
      <c r="DF83" s="1524"/>
      <c r="DG83" s="1524"/>
      <c r="DH83" s="1524"/>
      <c r="DI83" s="1524"/>
      <c r="DJ83" s="1524"/>
      <c r="DK83" s="1524"/>
      <c r="DL83" s="1524"/>
      <c r="DM83" s="1524"/>
      <c r="DN83" s="1523" t="s">
        <v>118</v>
      </c>
      <c r="DO83" s="1523"/>
      <c r="DP83" s="1523"/>
      <c r="DQ83" s="1523"/>
      <c r="DR83" s="1523"/>
      <c r="DS83" s="1523"/>
      <c r="DT83" s="1523"/>
      <c r="DU83" s="1523" t="s">
        <v>118</v>
      </c>
      <c r="DV83" s="1523"/>
      <c r="DW83" s="1523"/>
      <c r="DX83" s="1523"/>
      <c r="DY83" s="1523"/>
      <c r="DZ83" s="1523"/>
      <c r="EA83" s="1523"/>
      <c r="EB83" s="1524">
        <v>3102087</v>
      </c>
      <c r="EC83" s="1524"/>
      <c r="ED83" s="1524"/>
      <c r="EE83" s="1524"/>
      <c r="EF83" s="1524"/>
      <c r="EG83" s="1524"/>
      <c r="EH83" s="1524"/>
      <c r="EI83" s="1524"/>
      <c r="EJ83" s="1524"/>
      <c r="EK83" s="1524"/>
      <c r="EL83" s="1524"/>
      <c r="EM83" s="1524"/>
      <c r="EN83" s="1524"/>
      <c r="EO83" s="1524"/>
      <c r="EP83" s="1524"/>
      <c r="EQ83" s="1524"/>
      <c r="ER83" s="1524"/>
      <c r="ES83" s="1524"/>
      <c r="ET83" s="1524"/>
      <c r="EU83" s="1524"/>
      <c r="EV83" s="1524"/>
      <c r="EW83" s="1524"/>
      <c r="EX83" s="1524"/>
      <c r="EY83" s="1524"/>
    </row>
    <row r="84" spans="1:155" s="430" customFormat="1" ht="8.1" customHeight="1">
      <c r="A84" s="1530" t="s">
        <v>1639</v>
      </c>
      <c r="B84" s="1530"/>
      <c r="C84" s="1530"/>
      <c r="D84" s="1530"/>
      <c r="E84" s="1530"/>
      <c r="F84" s="1530"/>
      <c r="G84" s="1530"/>
      <c r="H84" s="1530"/>
      <c r="I84" s="1530"/>
      <c r="J84" s="1530"/>
      <c r="K84" s="1530"/>
      <c r="L84" s="1530"/>
      <c r="M84" s="1530"/>
      <c r="N84" s="1530"/>
      <c r="O84" s="1530"/>
      <c r="P84" s="1530"/>
      <c r="Q84" s="1530"/>
      <c r="R84" s="1530"/>
      <c r="S84" s="1530"/>
      <c r="T84" s="1530"/>
      <c r="U84" s="1530"/>
      <c r="V84" s="1530"/>
      <c r="W84" s="1530"/>
      <c r="X84" s="1530"/>
      <c r="Y84" s="1530"/>
      <c r="Z84" s="1530"/>
      <c r="AA84" s="1530"/>
      <c r="AB84" s="1530"/>
      <c r="AC84" s="1530"/>
      <c r="AD84" s="1530"/>
      <c r="AE84" s="1530"/>
      <c r="AF84" s="1530"/>
      <c r="AG84" s="1530"/>
      <c r="AH84" s="1530"/>
      <c r="AI84" s="1530"/>
      <c r="AJ84" s="1530"/>
      <c r="AK84" s="1530"/>
      <c r="AL84" s="1530"/>
      <c r="AM84" s="1530"/>
      <c r="AN84" s="1523" t="s">
        <v>121</v>
      </c>
      <c r="AO84" s="1523"/>
      <c r="AP84" s="1523"/>
      <c r="AQ84" s="1523"/>
      <c r="AR84" s="1523"/>
      <c r="AS84" s="1523"/>
      <c r="AT84" s="1523"/>
      <c r="AU84" s="1523"/>
      <c r="AV84" s="1529" t="s">
        <v>1640</v>
      </c>
      <c r="AW84" s="1529"/>
      <c r="AX84" s="1529"/>
      <c r="AY84" s="1529"/>
      <c r="AZ84" s="1529"/>
      <c r="BA84" s="1529"/>
      <c r="BB84" s="1524">
        <f>CH84</f>
        <v>2559100</v>
      </c>
      <c r="BC84" s="1524"/>
      <c r="BD84" s="1524"/>
      <c r="BE84" s="1524"/>
      <c r="BF84" s="1524"/>
      <c r="BG84" s="1524"/>
      <c r="BH84" s="1524"/>
      <c r="BI84" s="1524"/>
      <c r="BJ84" s="1524"/>
      <c r="BK84" s="1524">
        <f>BB84</f>
        <v>2559100</v>
      </c>
      <c r="BL84" s="1524"/>
      <c r="BM84" s="1524"/>
      <c r="BN84" s="1524"/>
      <c r="BO84" s="1524"/>
      <c r="BP84" s="1524"/>
      <c r="BQ84" s="1524"/>
      <c r="BR84" s="1524"/>
      <c r="BS84" s="1524"/>
      <c r="BT84" s="1523" t="s">
        <v>118</v>
      </c>
      <c r="BU84" s="1523"/>
      <c r="BV84" s="1523"/>
      <c r="BW84" s="1523"/>
      <c r="BX84" s="1523"/>
      <c r="BY84" s="1523"/>
      <c r="BZ84" s="1523"/>
      <c r="CA84" s="1523" t="s">
        <v>118</v>
      </c>
      <c r="CB84" s="1523"/>
      <c r="CC84" s="1523"/>
      <c r="CD84" s="1523"/>
      <c r="CE84" s="1523"/>
      <c r="CF84" s="1523"/>
      <c r="CG84" s="1523"/>
      <c r="CH84" s="1524">
        <v>2559100</v>
      </c>
      <c r="CI84" s="1524"/>
      <c r="CJ84" s="1524"/>
      <c r="CK84" s="1524"/>
      <c r="CL84" s="1524"/>
      <c r="CM84" s="1524"/>
      <c r="CN84" s="1524"/>
      <c r="CO84" s="1524"/>
      <c r="CP84" s="1524"/>
      <c r="CQ84" s="1524"/>
      <c r="CR84" s="1524"/>
      <c r="CS84" s="1524"/>
      <c r="CT84" s="1524"/>
      <c r="CU84" s="1524"/>
      <c r="CV84" s="1524">
        <f>DE84</f>
        <v>2688985</v>
      </c>
      <c r="CW84" s="1524"/>
      <c r="CX84" s="1524"/>
      <c r="CY84" s="1524"/>
      <c r="CZ84" s="1524"/>
      <c r="DA84" s="1524"/>
      <c r="DB84" s="1524"/>
      <c r="DC84" s="1524"/>
      <c r="DD84" s="1524"/>
      <c r="DE84" s="1524">
        <f>EB84</f>
        <v>2688985</v>
      </c>
      <c r="DF84" s="1524"/>
      <c r="DG84" s="1524"/>
      <c r="DH84" s="1524"/>
      <c r="DI84" s="1524"/>
      <c r="DJ84" s="1524"/>
      <c r="DK84" s="1524"/>
      <c r="DL84" s="1524"/>
      <c r="DM84" s="1524"/>
      <c r="DN84" s="1523" t="s">
        <v>118</v>
      </c>
      <c r="DO84" s="1523"/>
      <c r="DP84" s="1523"/>
      <c r="DQ84" s="1523"/>
      <c r="DR84" s="1523"/>
      <c r="DS84" s="1523"/>
      <c r="DT84" s="1523"/>
      <c r="DU84" s="1523" t="s">
        <v>118</v>
      </c>
      <c r="DV84" s="1523"/>
      <c r="DW84" s="1523"/>
      <c r="DX84" s="1523"/>
      <c r="DY84" s="1523"/>
      <c r="DZ84" s="1523"/>
      <c r="EA84" s="1523"/>
      <c r="EB84" s="1524">
        <v>2688985</v>
      </c>
      <c r="EC84" s="1524"/>
      <c r="ED84" s="1524"/>
      <c r="EE84" s="1524"/>
      <c r="EF84" s="1524"/>
      <c r="EG84" s="1524"/>
      <c r="EH84" s="1524"/>
      <c r="EI84" s="1524"/>
      <c r="EJ84" s="1524"/>
      <c r="EK84" s="1524"/>
      <c r="EL84" s="1524"/>
      <c r="EM84" s="1524"/>
      <c r="EN84" s="1524"/>
      <c r="EO84" s="1524"/>
      <c r="EP84" s="1524"/>
      <c r="EQ84" s="1524"/>
      <c r="ER84" s="1524"/>
      <c r="ES84" s="1524"/>
      <c r="ET84" s="1524"/>
      <c r="EU84" s="1524"/>
      <c r="EV84" s="1524"/>
      <c r="EW84" s="1524"/>
      <c r="EX84" s="1524"/>
      <c r="EY84" s="1524"/>
    </row>
    <row r="85" spans="1:155" ht="3" customHeight="1">
      <c r="EB85" s="437"/>
      <c r="EC85" s="437"/>
      <c r="ED85" s="437"/>
      <c r="EE85" s="437"/>
      <c r="EF85" s="437"/>
      <c r="EG85" s="437"/>
      <c r="EH85" s="437"/>
      <c r="EI85" s="437"/>
      <c r="EJ85" s="437"/>
      <c r="EK85" s="437"/>
      <c r="EL85" s="437"/>
      <c r="EM85" s="437"/>
      <c r="EN85" s="437"/>
      <c r="EO85" s="437"/>
      <c r="EP85" s="437"/>
      <c r="EQ85" s="437"/>
      <c r="ER85" s="437"/>
      <c r="ES85" s="437"/>
      <c r="ET85" s="437"/>
      <c r="EU85" s="437"/>
      <c r="EV85" s="437"/>
      <c r="EW85" s="437"/>
      <c r="EX85" s="437"/>
      <c r="EY85" s="437"/>
    </row>
    <row r="86" spans="1:155" s="421" customFormat="1" ht="8.4" customHeight="1">
      <c r="A86" s="433" t="s">
        <v>1620</v>
      </c>
    </row>
    <row r="87" spans="1:155" s="425" customFormat="1" ht="8.1" customHeight="1">
      <c r="A87" s="434" t="s">
        <v>1621</v>
      </c>
    </row>
    <row r="88" spans="1:155" s="425" customFormat="1" ht="8.1" customHeight="1">
      <c r="A88" s="434" t="s">
        <v>1622</v>
      </c>
    </row>
    <row r="89" spans="1:155" s="425" customFormat="1" ht="7.8"/>
    <row r="90" spans="1:155" s="424" customFormat="1" ht="9" customHeight="1">
      <c r="A90" s="424" t="s">
        <v>1641</v>
      </c>
      <c r="DN90" s="1379"/>
      <c r="DO90" s="1379"/>
      <c r="DP90" s="1379"/>
      <c r="DQ90" s="1379"/>
      <c r="DR90" s="1379"/>
      <c r="DS90" s="1379"/>
      <c r="DT90" s="1379"/>
      <c r="DU90" s="1379"/>
      <c r="DV90" s="1379"/>
      <c r="DW90" s="1379"/>
      <c r="DX90" s="1379"/>
      <c r="DY90" s="1379"/>
      <c r="DZ90" s="1379"/>
      <c r="EA90" s="1379"/>
      <c r="EB90" s="1379"/>
      <c r="EC90" s="1379"/>
      <c r="ED90" s="1379"/>
      <c r="EE90" s="1379"/>
      <c r="EF90" s="1379"/>
      <c r="EG90" s="1379"/>
      <c r="EH90" s="1379"/>
      <c r="EJ90" s="1379" t="s">
        <v>1642</v>
      </c>
      <c r="EK90" s="1379"/>
      <c r="EL90" s="1379"/>
      <c r="EM90" s="1379"/>
      <c r="EN90" s="1379"/>
      <c r="EO90" s="1379"/>
      <c r="EP90" s="1379"/>
      <c r="EQ90" s="1379"/>
      <c r="ER90" s="1379"/>
      <c r="ES90" s="1379"/>
      <c r="ET90" s="1379"/>
      <c r="EU90" s="1379"/>
      <c r="EV90" s="1379"/>
      <c r="EW90" s="1379"/>
      <c r="EX90" s="1379"/>
      <c r="EY90" s="1379"/>
    </row>
    <row r="91" spans="1:155" s="425" customFormat="1" ht="8.1" customHeight="1">
      <c r="DN91" s="1380" t="s">
        <v>1643</v>
      </c>
      <c r="DO91" s="1380"/>
      <c r="DP91" s="1380"/>
      <c r="DQ91" s="1380"/>
      <c r="DR91" s="1380"/>
      <c r="DS91" s="1380"/>
      <c r="DT91" s="1380"/>
      <c r="DU91" s="1380"/>
      <c r="DV91" s="1380"/>
      <c r="DW91" s="1380"/>
      <c r="DX91" s="1380"/>
      <c r="DY91" s="1380"/>
      <c r="DZ91" s="1380"/>
      <c r="EA91" s="1380"/>
      <c r="EB91" s="1380"/>
      <c r="EC91" s="1380"/>
      <c r="ED91" s="1380"/>
      <c r="EE91" s="1380"/>
      <c r="EF91" s="1380"/>
      <c r="EG91" s="1380"/>
      <c r="EH91" s="1380"/>
      <c r="EJ91" s="1380" t="s">
        <v>1644</v>
      </c>
      <c r="EK91" s="1380"/>
      <c r="EL91" s="1380"/>
      <c r="EM91" s="1380"/>
      <c r="EN91" s="1380"/>
      <c r="EO91" s="1380"/>
      <c r="EP91" s="1380"/>
      <c r="EQ91" s="1380"/>
      <c r="ER91" s="1380"/>
      <c r="ES91" s="1380"/>
      <c r="ET91" s="1380"/>
      <c r="EU91" s="1380"/>
      <c r="EV91" s="1380"/>
      <c r="EW91" s="1380"/>
      <c r="EX91" s="1380"/>
      <c r="EY91" s="1380"/>
    </row>
    <row r="92" spans="1:155" s="424" customFormat="1" ht="9" customHeight="1">
      <c r="A92" s="424" t="s">
        <v>1645</v>
      </c>
      <c r="DN92" s="1379"/>
      <c r="DO92" s="1379"/>
      <c r="DP92" s="1379"/>
      <c r="DQ92" s="1379"/>
      <c r="DR92" s="1379"/>
      <c r="DS92" s="1379"/>
      <c r="DT92" s="1379"/>
      <c r="DU92" s="1379"/>
      <c r="DV92" s="1379"/>
      <c r="DW92" s="1379"/>
      <c r="DX92" s="1379"/>
      <c r="DY92" s="1379"/>
      <c r="DZ92" s="1379"/>
      <c r="EA92" s="1379"/>
      <c r="EB92" s="1379"/>
      <c r="EC92" s="1379"/>
      <c r="ED92" s="1379"/>
      <c r="EE92" s="1379"/>
      <c r="EF92" s="1379"/>
      <c r="EG92" s="1379"/>
      <c r="EH92" s="1379"/>
      <c r="EJ92" s="1379" t="s">
        <v>1646</v>
      </c>
      <c r="EK92" s="1379"/>
      <c r="EL92" s="1379"/>
      <c r="EM92" s="1379"/>
      <c r="EN92" s="1379"/>
      <c r="EO92" s="1379"/>
      <c r="EP92" s="1379"/>
      <c r="EQ92" s="1379"/>
      <c r="ER92" s="1379"/>
      <c r="ES92" s="1379"/>
      <c r="ET92" s="1379"/>
      <c r="EU92" s="1379"/>
      <c r="EV92" s="1379"/>
      <c r="EW92" s="1379"/>
      <c r="EX92" s="1379"/>
      <c r="EY92" s="1379"/>
    </row>
    <row r="93" spans="1:155" s="425" customFormat="1" ht="8.25" customHeight="1">
      <c r="A93" s="425" t="s">
        <v>1647</v>
      </c>
      <c r="DN93" s="1380" t="s">
        <v>1643</v>
      </c>
      <c r="DO93" s="1380"/>
      <c r="DP93" s="1380"/>
      <c r="DQ93" s="1380"/>
      <c r="DR93" s="1380"/>
      <c r="DS93" s="1380"/>
      <c r="DT93" s="1380"/>
      <c r="DU93" s="1380"/>
      <c r="DV93" s="1380"/>
      <c r="DW93" s="1380"/>
      <c r="DX93" s="1380"/>
      <c r="DY93" s="1380"/>
      <c r="DZ93" s="1380"/>
      <c r="EA93" s="1380"/>
      <c r="EB93" s="1380"/>
      <c r="EC93" s="1380"/>
      <c r="ED93" s="1380"/>
      <c r="EE93" s="1380"/>
      <c r="EF93" s="1380"/>
      <c r="EG93" s="1380"/>
      <c r="EH93" s="1380"/>
      <c r="EJ93" s="1380" t="s">
        <v>1644</v>
      </c>
      <c r="EK93" s="1380"/>
      <c r="EL93" s="1380"/>
      <c r="EM93" s="1380"/>
      <c r="EN93" s="1380"/>
      <c r="EO93" s="1380"/>
      <c r="EP93" s="1380"/>
      <c r="EQ93" s="1380"/>
      <c r="ER93" s="1380"/>
      <c r="ES93" s="1380"/>
      <c r="ET93" s="1380"/>
      <c r="EU93" s="1380"/>
      <c r="EV93" s="1380"/>
      <c r="EW93" s="1380"/>
      <c r="EX93" s="1380"/>
      <c r="EY93" s="1380"/>
    </row>
    <row r="94" spans="1:155" ht="3" customHeight="1"/>
  </sheetData>
  <mergeCells count="933">
    <mergeCell ref="DN92:EH92"/>
    <mergeCell ref="EJ92:EY92"/>
    <mergeCell ref="DN93:EH93"/>
    <mergeCell ref="EJ93:EY93"/>
    <mergeCell ref="EI84:EO84"/>
    <mergeCell ref="EP84:EY84"/>
    <mergeCell ref="DN90:EH90"/>
    <mergeCell ref="EJ90:EY90"/>
    <mergeCell ref="DN91:EH91"/>
    <mergeCell ref="EJ91:EY91"/>
    <mergeCell ref="CO84:CU84"/>
    <mergeCell ref="CV84:DD84"/>
    <mergeCell ref="DE84:DM84"/>
    <mergeCell ref="DN84:DT84"/>
    <mergeCell ref="DU84:EA84"/>
    <mergeCell ref="EB84:EH84"/>
    <mergeCell ref="EI83:EO83"/>
    <mergeCell ref="EP83:EY83"/>
    <mergeCell ref="A84:AM84"/>
    <mergeCell ref="AN84:AU84"/>
    <mergeCell ref="AV84:BA84"/>
    <mergeCell ref="BB84:BJ84"/>
    <mergeCell ref="BK84:BS84"/>
    <mergeCell ref="BT84:BZ84"/>
    <mergeCell ref="CA84:CG84"/>
    <mergeCell ref="CH84:CN84"/>
    <mergeCell ref="CO83:CU83"/>
    <mergeCell ref="CV83:DD83"/>
    <mergeCell ref="DE83:DM83"/>
    <mergeCell ref="DN83:DT83"/>
    <mergeCell ref="DU83:EA83"/>
    <mergeCell ref="EB83:EH83"/>
    <mergeCell ref="A83:AM83"/>
    <mergeCell ref="AN83:AU83"/>
    <mergeCell ref="AV83:BA83"/>
    <mergeCell ref="BB83:BJ83"/>
    <mergeCell ref="BK83:BS83"/>
    <mergeCell ref="BT83:BZ83"/>
    <mergeCell ref="CA83:CG83"/>
    <mergeCell ref="CH83:CN83"/>
    <mergeCell ref="CO82:CU82"/>
    <mergeCell ref="EI81:EO81"/>
    <mergeCell ref="EP81:EY81"/>
    <mergeCell ref="CV81:DD81"/>
    <mergeCell ref="DE81:DM81"/>
    <mergeCell ref="DN81:DT81"/>
    <mergeCell ref="DU81:EA81"/>
    <mergeCell ref="EB81:EH81"/>
    <mergeCell ref="EI82:EO82"/>
    <mergeCell ref="EP82:EY82"/>
    <mergeCell ref="CV82:DD82"/>
    <mergeCell ref="DE82:DM82"/>
    <mergeCell ref="DN82:DT82"/>
    <mergeCell ref="DU82:EA82"/>
    <mergeCell ref="EB82:EH82"/>
    <mergeCell ref="A82:AM82"/>
    <mergeCell ref="AN82:AU82"/>
    <mergeCell ref="AV82:BA82"/>
    <mergeCell ref="BB82:BJ82"/>
    <mergeCell ref="BK82:BS82"/>
    <mergeCell ref="BT82:BZ82"/>
    <mergeCell ref="CA82:CG82"/>
    <mergeCell ref="CH82:CN82"/>
    <mergeCell ref="CO81:CU81"/>
    <mergeCell ref="A81:AM81"/>
    <mergeCell ref="AN81:AU81"/>
    <mergeCell ref="AV81:BA81"/>
    <mergeCell ref="BB81:BJ81"/>
    <mergeCell ref="BK81:BS81"/>
    <mergeCell ref="BT81:BZ81"/>
    <mergeCell ref="CA81:CG81"/>
    <mergeCell ref="CH81:CN81"/>
    <mergeCell ref="CO80:CU80"/>
    <mergeCell ref="EI79:EO79"/>
    <mergeCell ref="EP79:EY79"/>
    <mergeCell ref="A80:AM80"/>
    <mergeCell ref="AN80:AU80"/>
    <mergeCell ref="AV80:BA80"/>
    <mergeCell ref="BB80:BJ80"/>
    <mergeCell ref="BK80:BS80"/>
    <mergeCell ref="BT80:BZ80"/>
    <mergeCell ref="CA80:CG80"/>
    <mergeCell ref="CH80:CN80"/>
    <mergeCell ref="CO79:CU79"/>
    <mergeCell ref="CV79:DD79"/>
    <mergeCell ref="DE79:DM79"/>
    <mergeCell ref="DN79:DT79"/>
    <mergeCell ref="DU79:EA79"/>
    <mergeCell ref="EB79:EH79"/>
    <mergeCell ref="EI80:EO80"/>
    <mergeCell ref="EP80:EY80"/>
    <mergeCell ref="CV80:DD80"/>
    <mergeCell ref="DE80:DM80"/>
    <mergeCell ref="DN80:DT80"/>
    <mergeCell ref="DU80:EA80"/>
    <mergeCell ref="EB80:EH80"/>
    <mergeCell ref="A77:AM77"/>
    <mergeCell ref="A79:AM79"/>
    <mergeCell ref="AN79:AU79"/>
    <mergeCell ref="AV79:BA79"/>
    <mergeCell ref="BB79:BJ79"/>
    <mergeCell ref="BK79:BS79"/>
    <mergeCell ref="BT79:BZ79"/>
    <mergeCell ref="CA79:CG79"/>
    <mergeCell ref="CH79:CN79"/>
    <mergeCell ref="A78:AM78"/>
    <mergeCell ref="AN78:AU78"/>
    <mergeCell ref="AV78:BA78"/>
    <mergeCell ref="BB78:BJ78"/>
    <mergeCell ref="BK78:BS78"/>
    <mergeCell ref="BT78:BZ78"/>
    <mergeCell ref="CA78:CG78"/>
    <mergeCell ref="AN77:AU77"/>
    <mergeCell ref="AV77:BA77"/>
    <mergeCell ref="BB77:BJ77"/>
    <mergeCell ref="BK77:BS77"/>
    <mergeCell ref="BT77:BZ77"/>
    <mergeCell ref="CA77:CG77"/>
    <mergeCell ref="CH77:CN77"/>
    <mergeCell ref="CH78:CN78"/>
    <mergeCell ref="EI78:EO78"/>
    <mergeCell ref="EP78:EY78"/>
    <mergeCell ref="CV78:DD78"/>
    <mergeCell ref="DE78:DM78"/>
    <mergeCell ref="DN78:DT78"/>
    <mergeCell ref="DU78:EA78"/>
    <mergeCell ref="EB78:EH78"/>
    <mergeCell ref="CO78:CU78"/>
    <mergeCell ref="EI77:EO77"/>
    <mergeCell ref="EP77:EY77"/>
    <mergeCell ref="CV77:DD77"/>
    <mergeCell ref="DE77:DM77"/>
    <mergeCell ref="DN77:DT77"/>
    <mergeCell ref="DU77:EA77"/>
    <mergeCell ref="EB77:EH77"/>
    <mergeCell ref="CO77:CU77"/>
    <mergeCell ref="CO67:CU67"/>
    <mergeCell ref="CV67:DD67"/>
    <mergeCell ref="DE67:DM67"/>
    <mergeCell ref="EP75:EY76"/>
    <mergeCell ref="BT76:BZ76"/>
    <mergeCell ref="CA76:CG76"/>
    <mergeCell ref="CH76:CN76"/>
    <mergeCell ref="CO76:CU76"/>
    <mergeCell ref="DN76:DT76"/>
    <mergeCell ref="DU76:EA76"/>
    <mergeCell ref="BT75:CU75"/>
    <mergeCell ref="EB76:EH76"/>
    <mergeCell ref="EI76:EO76"/>
    <mergeCell ref="DE75:DM76"/>
    <mergeCell ref="DN75:EO75"/>
    <mergeCell ref="CV75:DD76"/>
    <mergeCell ref="A74:EY74"/>
    <mergeCell ref="A75:AM76"/>
    <mergeCell ref="AN75:AU76"/>
    <mergeCell ref="AV75:BA76"/>
    <mergeCell ref="BB75:BJ76"/>
    <mergeCell ref="BK75:BS76"/>
    <mergeCell ref="EI66:EO66"/>
    <mergeCell ref="EP66:EY66"/>
    <mergeCell ref="A67:AM67"/>
    <mergeCell ref="AN67:AU67"/>
    <mergeCell ref="AV67:BA67"/>
    <mergeCell ref="BB67:BJ67"/>
    <mergeCell ref="BK67:BS67"/>
    <mergeCell ref="BT66:BZ66"/>
    <mergeCell ref="CA66:CG66"/>
    <mergeCell ref="CH66:CN66"/>
    <mergeCell ref="CO66:CU66"/>
    <mergeCell ref="CV66:DD66"/>
    <mergeCell ref="DE66:DM66"/>
    <mergeCell ref="DN67:DT67"/>
    <mergeCell ref="DU67:EA67"/>
    <mergeCell ref="EB67:EH67"/>
    <mergeCell ref="EI67:EO67"/>
    <mergeCell ref="EP67:EY67"/>
    <mergeCell ref="A66:AM66"/>
    <mergeCell ref="AN66:AU66"/>
    <mergeCell ref="AV66:BA66"/>
    <mergeCell ref="BT67:BZ67"/>
    <mergeCell ref="CA67:CG67"/>
    <mergeCell ref="CH67:CN67"/>
    <mergeCell ref="BB66:BJ66"/>
    <mergeCell ref="BK66:BS66"/>
    <mergeCell ref="BT65:BZ65"/>
    <mergeCell ref="CA65:CG65"/>
    <mergeCell ref="CH65:CN65"/>
    <mergeCell ref="CO65:CU65"/>
    <mergeCell ref="DN64:DT64"/>
    <mergeCell ref="DU64:EA64"/>
    <mergeCell ref="EB64:EH64"/>
    <mergeCell ref="BK64:BS64"/>
    <mergeCell ref="DN66:DT66"/>
    <mergeCell ref="DU66:EA66"/>
    <mergeCell ref="EB66:EH66"/>
    <mergeCell ref="EI64:EO64"/>
    <mergeCell ref="EP64:EY64"/>
    <mergeCell ref="A65:AM65"/>
    <mergeCell ref="AN65:AU65"/>
    <mergeCell ref="AV65:BA65"/>
    <mergeCell ref="BB65:BJ65"/>
    <mergeCell ref="BK65:BS65"/>
    <mergeCell ref="BT64:BZ64"/>
    <mergeCell ref="CA64:CG64"/>
    <mergeCell ref="CH64:CN64"/>
    <mergeCell ref="CO64:CU64"/>
    <mergeCell ref="CV64:DD64"/>
    <mergeCell ref="DE64:DM64"/>
    <mergeCell ref="DN65:DT65"/>
    <mergeCell ref="DU65:EA65"/>
    <mergeCell ref="EB65:EH65"/>
    <mergeCell ref="EI65:EO65"/>
    <mergeCell ref="EP65:EY65"/>
    <mergeCell ref="CV65:DD65"/>
    <mergeCell ref="DE65:DM65"/>
    <mergeCell ref="A64:AM64"/>
    <mergeCell ref="AN64:AU64"/>
    <mergeCell ref="AV64:BA64"/>
    <mergeCell ref="BB64:BJ64"/>
    <mergeCell ref="DN62:DT62"/>
    <mergeCell ref="DU62:EA62"/>
    <mergeCell ref="EB62:EH62"/>
    <mergeCell ref="EI62:EO62"/>
    <mergeCell ref="EP62:EY62"/>
    <mergeCell ref="CV62:DD62"/>
    <mergeCell ref="DE62:DM62"/>
    <mergeCell ref="DN63:DT63"/>
    <mergeCell ref="DU63:EA63"/>
    <mergeCell ref="EB63:EH63"/>
    <mergeCell ref="EI63:EO63"/>
    <mergeCell ref="EP63:EY63"/>
    <mergeCell ref="CV63:DD63"/>
    <mergeCell ref="DE63:DM63"/>
    <mergeCell ref="A63:AM63"/>
    <mergeCell ref="AN63:AU63"/>
    <mergeCell ref="AV63:BA63"/>
    <mergeCell ref="BB63:BJ63"/>
    <mergeCell ref="BK63:BS63"/>
    <mergeCell ref="BT62:BZ62"/>
    <mergeCell ref="CA62:CG62"/>
    <mergeCell ref="CH62:CN62"/>
    <mergeCell ref="CO62:CU62"/>
    <mergeCell ref="A62:AM62"/>
    <mergeCell ref="AN62:AU62"/>
    <mergeCell ref="AV62:BA62"/>
    <mergeCell ref="BB62:BJ62"/>
    <mergeCell ref="BK62:BS62"/>
    <mergeCell ref="BT63:BZ63"/>
    <mergeCell ref="CA63:CG63"/>
    <mergeCell ref="CH63:CN63"/>
    <mergeCell ref="CO63:CU63"/>
    <mergeCell ref="DN60:DT60"/>
    <mergeCell ref="DU60:EA60"/>
    <mergeCell ref="EB60:EH60"/>
    <mergeCell ref="EI60:EO60"/>
    <mergeCell ref="EP60:EY60"/>
    <mergeCell ref="CV60:DD60"/>
    <mergeCell ref="DE60:DM60"/>
    <mergeCell ref="DN61:DT61"/>
    <mergeCell ref="DU61:EA61"/>
    <mergeCell ref="EB61:EH61"/>
    <mergeCell ref="EI61:EO61"/>
    <mergeCell ref="EP61:EY61"/>
    <mergeCell ref="CV61:DD61"/>
    <mergeCell ref="DE61:DM61"/>
    <mergeCell ref="A61:AM61"/>
    <mergeCell ref="AN61:AU61"/>
    <mergeCell ref="AV61:BA61"/>
    <mergeCell ref="BB61:BJ61"/>
    <mergeCell ref="BK61:BS61"/>
    <mergeCell ref="BT60:BZ60"/>
    <mergeCell ref="CA60:CG60"/>
    <mergeCell ref="CH60:CN60"/>
    <mergeCell ref="CO60:CU60"/>
    <mergeCell ref="A60:AM60"/>
    <mergeCell ref="AN60:AU60"/>
    <mergeCell ref="AV60:BA60"/>
    <mergeCell ref="BB60:BJ60"/>
    <mergeCell ref="BK60:BS60"/>
    <mergeCell ref="BT61:BZ61"/>
    <mergeCell ref="CA61:CG61"/>
    <mergeCell ref="CH61:CN61"/>
    <mergeCell ref="CO61:CU61"/>
    <mergeCell ref="CH57:CN57"/>
    <mergeCell ref="CO57:CU57"/>
    <mergeCell ref="CV57:DD57"/>
    <mergeCell ref="DE57:DM57"/>
    <mergeCell ref="DN57:DT57"/>
    <mergeCell ref="DN59:DT59"/>
    <mergeCell ref="DU59:EA59"/>
    <mergeCell ref="EB59:EH59"/>
    <mergeCell ref="EI59:EO59"/>
    <mergeCell ref="EP59:EY59"/>
    <mergeCell ref="CV59:DD59"/>
    <mergeCell ref="DE59:DM59"/>
    <mergeCell ref="A57:AM57"/>
    <mergeCell ref="AN57:AU57"/>
    <mergeCell ref="AV57:BA57"/>
    <mergeCell ref="BB57:BJ57"/>
    <mergeCell ref="BK57:BS57"/>
    <mergeCell ref="BT57:BZ57"/>
    <mergeCell ref="BT59:BZ59"/>
    <mergeCell ref="CA59:CG59"/>
    <mergeCell ref="CH59:CN59"/>
    <mergeCell ref="CO59:CU59"/>
    <mergeCell ref="DU57:EA57"/>
    <mergeCell ref="EB57:EH57"/>
    <mergeCell ref="EI57:EO57"/>
    <mergeCell ref="EP57:EY57"/>
    <mergeCell ref="A58:EY58"/>
    <mergeCell ref="A59:AM59"/>
    <mergeCell ref="AN59:AU59"/>
    <mergeCell ref="AV59:BA59"/>
    <mergeCell ref="BB59:BJ59"/>
    <mergeCell ref="BK59:BS59"/>
    <mergeCell ref="CA57:CG57"/>
    <mergeCell ref="DU55:EA55"/>
    <mergeCell ref="EB55:EH55"/>
    <mergeCell ref="EI55:EO55"/>
    <mergeCell ref="EP55:EY55"/>
    <mergeCell ref="A56:AM56"/>
    <mergeCell ref="AN56:AU56"/>
    <mergeCell ref="AV56:BA56"/>
    <mergeCell ref="BB56:BJ56"/>
    <mergeCell ref="BK56:BS56"/>
    <mergeCell ref="BT56:BZ56"/>
    <mergeCell ref="CA55:CG55"/>
    <mergeCell ref="CH55:CN55"/>
    <mergeCell ref="CO55:CU55"/>
    <mergeCell ref="CV55:DD55"/>
    <mergeCell ref="DE55:DM55"/>
    <mergeCell ref="DN55:DT55"/>
    <mergeCell ref="DU56:EA56"/>
    <mergeCell ref="EB56:EH56"/>
    <mergeCell ref="EI56:EO56"/>
    <mergeCell ref="EP56:EY56"/>
    <mergeCell ref="CV56:DD56"/>
    <mergeCell ref="DE56:DM56"/>
    <mergeCell ref="DN56:DT56"/>
    <mergeCell ref="A55:AM55"/>
    <mergeCell ref="AN55:AU55"/>
    <mergeCell ref="AV55:BA55"/>
    <mergeCell ref="BB55:BJ55"/>
    <mergeCell ref="BK55:BS55"/>
    <mergeCell ref="BT55:BZ55"/>
    <mergeCell ref="CA54:CG54"/>
    <mergeCell ref="CH54:CN54"/>
    <mergeCell ref="CO54:CU54"/>
    <mergeCell ref="CA56:CG56"/>
    <mergeCell ref="CH56:CN56"/>
    <mergeCell ref="CO56:CU56"/>
    <mergeCell ref="EB53:EH53"/>
    <mergeCell ref="EI53:EO53"/>
    <mergeCell ref="EP53:EY53"/>
    <mergeCell ref="A54:AM54"/>
    <mergeCell ref="AN54:AU54"/>
    <mergeCell ref="AV54:BA54"/>
    <mergeCell ref="BB54:BJ54"/>
    <mergeCell ref="BK54:BS54"/>
    <mergeCell ref="BT54:BZ54"/>
    <mergeCell ref="CA53:CG53"/>
    <mergeCell ref="CH53:CN53"/>
    <mergeCell ref="CO53:CU53"/>
    <mergeCell ref="CV53:DD53"/>
    <mergeCell ref="DE53:DM53"/>
    <mergeCell ref="DN53:DT53"/>
    <mergeCell ref="DU54:EA54"/>
    <mergeCell ref="EB54:EH54"/>
    <mergeCell ref="EI54:EO54"/>
    <mergeCell ref="EP54:EY54"/>
    <mergeCell ref="CV54:DD54"/>
    <mergeCell ref="DE54:DM54"/>
    <mergeCell ref="DN54:DT54"/>
    <mergeCell ref="A53:AM53"/>
    <mergeCell ref="AN53:AU53"/>
    <mergeCell ref="AV53:BA53"/>
    <mergeCell ref="BB53:BJ53"/>
    <mergeCell ref="BK53:BS53"/>
    <mergeCell ref="BT53:BZ53"/>
    <mergeCell ref="CA52:CG52"/>
    <mergeCell ref="CH52:CN52"/>
    <mergeCell ref="CO52:CU52"/>
    <mergeCell ref="DU51:EA51"/>
    <mergeCell ref="AV51:BA51"/>
    <mergeCell ref="BB51:BJ51"/>
    <mergeCell ref="BK51:BS51"/>
    <mergeCell ref="BT51:BZ51"/>
    <mergeCell ref="DU53:EA53"/>
    <mergeCell ref="EB51:EH51"/>
    <mergeCell ref="EI51:EO51"/>
    <mergeCell ref="EP51:EY51"/>
    <mergeCell ref="A52:AM52"/>
    <mergeCell ref="AN52:AU52"/>
    <mergeCell ref="AV52:BA52"/>
    <mergeCell ref="BB52:BJ52"/>
    <mergeCell ref="BK52:BS52"/>
    <mergeCell ref="BT52:BZ52"/>
    <mergeCell ref="CA51:CG51"/>
    <mergeCell ref="CH51:CN51"/>
    <mergeCell ref="CO51:CU51"/>
    <mergeCell ref="CV51:DD51"/>
    <mergeCell ref="DE51:DM51"/>
    <mergeCell ref="DN51:DT51"/>
    <mergeCell ref="DU52:EA52"/>
    <mergeCell ref="EB52:EH52"/>
    <mergeCell ref="EI52:EO52"/>
    <mergeCell ref="EP52:EY52"/>
    <mergeCell ref="CV52:DD52"/>
    <mergeCell ref="DE52:DM52"/>
    <mergeCell ref="DN52:DT52"/>
    <mergeCell ref="A51:AM51"/>
    <mergeCell ref="AN51:AU51"/>
    <mergeCell ref="DU49:EA49"/>
    <mergeCell ref="EB49:EH49"/>
    <mergeCell ref="EI49:EO49"/>
    <mergeCell ref="EP49:EY49"/>
    <mergeCell ref="A50:AM50"/>
    <mergeCell ref="AN50:AU50"/>
    <mergeCell ref="AV50:BA50"/>
    <mergeCell ref="BB50:BJ50"/>
    <mergeCell ref="BK50:BS50"/>
    <mergeCell ref="BT50:BZ50"/>
    <mergeCell ref="CA49:CG49"/>
    <mergeCell ref="CH49:CN49"/>
    <mergeCell ref="CO49:CU49"/>
    <mergeCell ref="CV49:DD49"/>
    <mergeCell ref="DE49:DM49"/>
    <mergeCell ref="DN49:DT49"/>
    <mergeCell ref="DU50:EA50"/>
    <mergeCell ref="EB50:EH50"/>
    <mergeCell ref="EI50:EO50"/>
    <mergeCell ref="EP50:EY50"/>
    <mergeCell ref="CV50:DD50"/>
    <mergeCell ref="DE50:DM50"/>
    <mergeCell ref="DN50:DT50"/>
    <mergeCell ref="A49:AM49"/>
    <mergeCell ref="AN49:AU49"/>
    <mergeCell ref="AV49:BA49"/>
    <mergeCell ref="BB49:BJ49"/>
    <mergeCell ref="BK49:BS49"/>
    <mergeCell ref="BT49:BZ49"/>
    <mergeCell ref="CA48:CG48"/>
    <mergeCell ref="CH48:CN48"/>
    <mergeCell ref="CO48:CU48"/>
    <mergeCell ref="CA50:CG50"/>
    <mergeCell ref="CH50:CN50"/>
    <mergeCell ref="CO50:CU50"/>
    <mergeCell ref="EB47:EH47"/>
    <mergeCell ref="EI47:EO47"/>
    <mergeCell ref="EP47:EY47"/>
    <mergeCell ref="A48:AM48"/>
    <mergeCell ref="AN48:AU48"/>
    <mergeCell ref="AV48:BA48"/>
    <mergeCell ref="BB48:BJ48"/>
    <mergeCell ref="BK48:BS48"/>
    <mergeCell ref="BT48:BZ48"/>
    <mergeCell ref="CA47:CG47"/>
    <mergeCell ref="CH47:CN47"/>
    <mergeCell ref="CO47:CU47"/>
    <mergeCell ref="CV47:DD47"/>
    <mergeCell ref="DE47:DM47"/>
    <mergeCell ref="DN47:DT47"/>
    <mergeCell ref="DU48:EA48"/>
    <mergeCell ref="EB48:EH48"/>
    <mergeCell ref="EI48:EO48"/>
    <mergeCell ref="EP48:EY48"/>
    <mergeCell ref="CV48:DD48"/>
    <mergeCell ref="DE48:DM48"/>
    <mergeCell ref="DN48:DT48"/>
    <mergeCell ref="A47:AM47"/>
    <mergeCell ref="AN47:AU47"/>
    <mergeCell ref="AV47:BA47"/>
    <mergeCell ref="BB47:BJ47"/>
    <mergeCell ref="BK47:BS47"/>
    <mergeCell ref="BT47:BZ47"/>
    <mergeCell ref="CA46:CG46"/>
    <mergeCell ref="CH46:CN46"/>
    <mergeCell ref="CO46:CU46"/>
    <mergeCell ref="DU45:EA45"/>
    <mergeCell ref="AV45:BA45"/>
    <mergeCell ref="BB45:BJ45"/>
    <mergeCell ref="BK45:BS45"/>
    <mergeCell ref="BT45:BZ45"/>
    <mergeCell ref="DU47:EA47"/>
    <mergeCell ref="EB45:EH45"/>
    <mergeCell ref="EI45:EO45"/>
    <mergeCell ref="EP45:EY45"/>
    <mergeCell ref="A46:AM46"/>
    <mergeCell ref="AN46:AU46"/>
    <mergeCell ref="AV46:BA46"/>
    <mergeCell ref="BB46:BJ46"/>
    <mergeCell ref="BK46:BS46"/>
    <mergeCell ref="BT46:BZ46"/>
    <mergeCell ref="CA45:CG45"/>
    <mergeCell ref="CH45:CN45"/>
    <mergeCell ref="CO45:CU45"/>
    <mergeCell ref="CV45:DD45"/>
    <mergeCell ref="DE45:DM45"/>
    <mergeCell ref="DN45:DT45"/>
    <mergeCell ref="DU46:EA46"/>
    <mergeCell ref="EB46:EH46"/>
    <mergeCell ref="EI46:EO46"/>
    <mergeCell ref="EP46:EY46"/>
    <mergeCell ref="CV46:DD46"/>
    <mergeCell ref="DE46:DM46"/>
    <mergeCell ref="DN46:DT46"/>
    <mergeCell ref="A45:AM45"/>
    <mergeCell ref="AN45:AU45"/>
    <mergeCell ref="DU43:EA43"/>
    <mergeCell ref="EB43:EH43"/>
    <mergeCell ref="EI43:EO43"/>
    <mergeCell ref="EP43:EY43"/>
    <mergeCell ref="A44:AM44"/>
    <mergeCell ref="AN44:AU44"/>
    <mergeCell ref="AV44:BA44"/>
    <mergeCell ref="BB44:BJ44"/>
    <mergeCell ref="BK44:BS44"/>
    <mergeCell ref="BT44:BZ44"/>
    <mergeCell ref="CA43:CG43"/>
    <mergeCell ref="CH43:CN43"/>
    <mergeCell ref="CO43:CU43"/>
    <mergeCell ref="CV43:DD43"/>
    <mergeCell ref="DE43:DM43"/>
    <mergeCell ref="DN43:DT43"/>
    <mergeCell ref="DU44:EA44"/>
    <mergeCell ref="EB44:EH44"/>
    <mergeCell ref="EI44:EO44"/>
    <mergeCell ref="EP44:EY44"/>
    <mergeCell ref="CV44:DD44"/>
    <mergeCell ref="DE44:DM44"/>
    <mergeCell ref="DN44:DT44"/>
    <mergeCell ref="A43:AM43"/>
    <mergeCell ref="AN43:AU43"/>
    <mergeCell ref="AV43:BA43"/>
    <mergeCell ref="BB43:BJ43"/>
    <mergeCell ref="BK43:BS43"/>
    <mergeCell ref="BT43:BZ43"/>
    <mergeCell ref="CA42:CG42"/>
    <mergeCell ref="CH42:CN42"/>
    <mergeCell ref="CO42:CU42"/>
    <mergeCell ref="CA44:CG44"/>
    <mergeCell ref="CH44:CN44"/>
    <mergeCell ref="CO44:CU44"/>
    <mergeCell ref="EB41:EH41"/>
    <mergeCell ref="EI41:EO41"/>
    <mergeCell ref="EP41:EY41"/>
    <mergeCell ref="A42:AM42"/>
    <mergeCell ref="AN42:AU42"/>
    <mergeCell ref="AV42:BA42"/>
    <mergeCell ref="BB42:BJ42"/>
    <mergeCell ref="BK42:BS42"/>
    <mergeCell ref="BT42:BZ42"/>
    <mergeCell ref="CA41:CG41"/>
    <mergeCell ref="CH41:CN41"/>
    <mergeCell ref="CO41:CU41"/>
    <mergeCell ref="CV41:DD41"/>
    <mergeCell ref="DE41:DM41"/>
    <mergeCell ref="DN41:DT41"/>
    <mergeCell ref="DU42:EA42"/>
    <mergeCell ref="EB42:EH42"/>
    <mergeCell ref="EI42:EO42"/>
    <mergeCell ref="EP42:EY42"/>
    <mergeCell ref="CV42:DD42"/>
    <mergeCell ref="DE42:DM42"/>
    <mergeCell ref="DN42:DT42"/>
    <mergeCell ref="A41:AM41"/>
    <mergeCell ref="AN41:AU41"/>
    <mergeCell ref="AV41:BA41"/>
    <mergeCell ref="BB41:BJ41"/>
    <mergeCell ref="BK41:BS41"/>
    <mergeCell ref="BT41:BZ41"/>
    <mergeCell ref="CA40:CG40"/>
    <mergeCell ref="CH40:CN40"/>
    <mergeCell ref="CO40:CU40"/>
    <mergeCell ref="DU39:EA39"/>
    <mergeCell ref="AV39:BA39"/>
    <mergeCell ref="BB39:BJ39"/>
    <mergeCell ref="BK39:BS39"/>
    <mergeCell ref="BT39:BZ39"/>
    <mergeCell ref="DU41:EA41"/>
    <mergeCell ref="EB39:EH39"/>
    <mergeCell ref="EI39:EO39"/>
    <mergeCell ref="EP39:EY39"/>
    <mergeCell ref="A40:AM40"/>
    <mergeCell ref="AN40:AU40"/>
    <mergeCell ref="AV40:BA40"/>
    <mergeCell ref="BB40:BJ40"/>
    <mergeCell ref="BK40:BS40"/>
    <mergeCell ref="BT40:BZ40"/>
    <mergeCell ref="CA39:CG39"/>
    <mergeCell ref="CH39:CN39"/>
    <mergeCell ref="CO39:CU39"/>
    <mergeCell ref="CV39:DD39"/>
    <mergeCell ref="DE39:DM39"/>
    <mergeCell ref="DN39:DT39"/>
    <mergeCell ref="DU40:EA40"/>
    <mergeCell ref="EB40:EH40"/>
    <mergeCell ref="EI40:EO40"/>
    <mergeCell ref="EP40:EY40"/>
    <mergeCell ref="CV40:DD40"/>
    <mergeCell ref="DE40:DM40"/>
    <mergeCell ref="DN40:DT40"/>
    <mergeCell ref="A39:AM39"/>
    <mergeCell ref="AN39:AU39"/>
    <mergeCell ref="DU37:EA37"/>
    <mergeCell ref="EB37:EH37"/>
    <mergeCell ref="EI37:EO37"/>
    <mergeCell ref="EP37:EY37"/>
    <mergeCell ref="A38:AM38"/>
    <mergeCell ref="AN38:AU38"/>
    <mergeCell ref="AV38:BA38"/>
    <mergeCell ref="BB38:BJ38"/>
    <mergeCell ref="BK38:BS38"/>
    <mergeCell ref="BT38:BZ38"/>
    <mergeCell ref="CA37:CG37"/>
    <mergeCell ref="CH37:CN37"/>
    <mergeCell ref="CO37:CU37"/>
    <mergeCell ref="CV37:DD37"/>
    <mergeCell ref="DE37:DM37"/>
    <mergeCell ref="DN37:DT37"/>
    <mergeCell ref="DU38:EA38"/>
    <mergeCell ref="EB38:EH38"/>
    <mergeCell ref="EI38:EO38"/>
    <mergeCell ref="EP38:EY38"/>
    <mergeCell ref="CV38:DD38"/>
    <mergeCell ref="DE38:DM38"/>
    <mergeCell ref="DN38:DT38"/>
    <mergeCell ref="A37:AM37"/>
    <mergeCell ref="AN37:AU37"/>
    <mergeCell ref="AV37:BA37"/>
    <mergeCell ref="BB37:BJ37"/>
    <mergeCell ref="BK37:BS37"/>
    <mergeCell ref="BT37:BZ37"/>
    <mergeCell ref="CA36:CG36"/>
    <mergeCell ref="CH36:CN36"/>
    <mergeCell ref="CO36:CU36"/>
    <mergeCell ref="CA38:CG38"/>
    <mergeCell ref="CH38:CN38"/>
    <mergeCell ref="CO38:CU38"/>
    <mergeCell ref="EB35:EH35"/>
    <mergeCell ref="EI35:EO35"/>
    <mergeCell ref="EP35:EY35"/>
    <mergeCell ref="A36:AM36"/>
    <mergeCell ref="AN36:AU36"/>
    <mergeCell ref="AV36:BA36"/>
    <mergeCell ref="BB36:BJ36"/>
    <mergeCell ref="BK36:BS36"/>
    <mergeCell ref="BT36:BZ36"/>
    <mergeCell ref="CA35:CG35"/>
    <mergeCell ref="CH35:CN35"/>
    <mergeCell ref="CO35:CU35"/>
    <mergeCell ref="CV35:DD35"/>
    <mergeCell ref="DE35:DM35"/>
    <mergeCell ref="DN35:DT35"/>
    <mergeCell ref="DU36:EA36"/>
    <mergeCell ref="EB36:EH36"/>
    <mergeCell ref="EI36:EO36"/>
    <mergeCell ref="EP36:EY36"/>
    <mergeCell ref="CV36:DD36"/>
    <mergeCell ref="DE36:DM36"/>
    <mergeCell ref="DN36:DT36"/>
    <mergeCell ref="A35:AM35"/>
    <mergeCell ref="AN35:AU35"/>
    <mergeCell ref="AV35:BA35"/>
    <mergeCell ref="BB35:BJ35"/>
    <mergeCell ref="BK35:BS35"/>
    <mergeCell ref="BT35:BZ35"/>
    <mergeCell ref="CA34:CG34"/>
    <mergeCell ref="CH34:CN34"/>
    <mergeCell ref="CO34:CU34"/>
    <mergeCell ref="DU33:EA33"/>
    <mergeCell ref="AV33:BA33"/>
    <mergeCell ref="BB33:BJ33"/>
    <mergeCell ref="BK33:BS33"/>
    <mergeCell ref="BT33:BZ33"/>
    <mergeCell ref="DU35:EA35"/>
    <mergeCell ref="EB33:EH33"/>
    <mergeCell ref="EI33:EO33"/>
    <mergeCell ref="EP33:EY33"/>
    <mergeCell ref="A34:AM34"/>
    <mergeCell ref="AN34:AU34"/>
    <mergeCell ref="AV34:BA34"/>
    <mergeCell ref="BB34:BJ34"/>
    <mergeCell ref="BK34:BS34"/>
    <mergeCell ref="BT34:BZ34"/>
    <mergeCell ref="CA33:CG33"/>
    <mergeCell ref="CH33:CN33"/>
    <mergeCell ref="CO33:CU33"/>
    <mergeCell ref="CV33:DD33"/>
    <mergeCell ref="DE33:DM33"/>
    <mergeCell ref="DN33:DT33"/>
    <mergeCell ref="DU34:EA34"/>
    <mergeCell ref="EB34:EH34"/>
    <mergeCell ref="EI34:EO34"/>
    <mergeCell ref="EP34:EY34"/>
    <mergeCell ref="CV34:DD34"/>
    <mergeCell ref="DE34:DM34"/>
    <mergeCell ref="DN34:DT34"/>
    <mergeCell ref="A33:AM33"/>
    <mergeCell ref="AN33:AU33"/>
    <mergeCell ref="DU31:EA31"/>
    <mergeCell ref="EB31:EH31"/>
    <mergeCell ref="EI31:EO31"/>
    <mergeCell ref="EP31:EY31"/>
    <mergeCell ref="A32:AM32"/>
    <mergeCell ref="AN32:AU32"/>
    <mergeCell ref="AV32:BA32"/>
    <mergeCell ref="BB32:BJ32"/>
    <mergeCell ref="BK32:BS32"/>
    <mergeCell ref="BT32:BZ32"/>
    <mergeCell ref="CA31:CG31"/>
    <mergeCell ref="CH31:CN31"/>
    <mergeCell ref="CO31:CU31"/>
    <mergeCell ref="CV31:DD31"/>
    <mergeCell ref="DE31:DM31"/>
    <mergeCell ref="DN31:DT31"/>
    <mergeCell ref="DU32:EA32"/>
    <mergeCell ref="EB32:EH32"/>
    <mergeCell ref="EI32:EO32"/>
    <mergeCell ref="EP32:EY32"/>
    <mergeCell ref="CV32:DD32"/>
    <mergeCell ref="DE32:DM32"/>
    <mergeCell ref="DN32:DT32"/>
    <mergeCell ref="A31:AM31"/>
    <mergeCell ref="AN31:AU31"/>
    <mergeCell ref="AV31:BA31"/>
    <mergeCell ref="BB31:BJ31"/>
    <mergeCell ref="BK31:BS31"/>
    <mergeCell ref="BT31:BZ31"/>
    <mergeCell ref="CA30:CG30"/>
    <mergeCell ref="CH30:CN30"/>
    <mergeCell ref="CO30:CU30"/>
    <mergeCell ref="CA32:CG32"/>
    <mergeCell ref="CH32:CN32"/>
    <mergeCell ref="CO32:CU32"/>
    <mergeCell ref="EB29:EH29"/>
    <mergeCell ref="EI29:EO29"/>
    <mergeCell ref="EP29:EY29"/>
    <mergeCell ref="A30:AM30"/>
    <mergeCell ref="AN30:AU30"/>
    <mergeCell ref="AV30:BA30"/>
    <mergeCell ref="BB30:BJ30"/>
    <mergeCell ref="BK30:BS30"/>
    <mergeCell ref="BT30:BZ30"/>
    <mergeCell ref="CA29:CG29"/>
    <mergeCell ref="CH29:CN29"/>
    <mergeCell ref="CO29:CU29"/>
    <mergeCell ref="CV29:DD29"/>
    <mergeCell ref="DE29:DM29"/>
    <mergeCell ref="DN29:DT29"/>
    <mergeCell ref="DU30:EA30"/>
    <mergeCell ref="EB30:EH30"/>
    <mergeCell ref="EI30:EO30"/>
    <mergeCell ref="EP30:EY30"/>
    <mergeCell ref="CV30:DD30"/>
    <mergeCell ref="DE30:DM30"/>
    <mergeCell ref="DN30:DT30"/>
    <mergeCell ref="A29:AM29"/>
    <mergeCell ref="AN29:AU29"/>
    <mergeCell ref="AV29:BA29"/>
    <mergeCell ref="BB29:BJ29"/>
    <mergeCell ref="BK29:BS29"/>
    <mergeCell ref="BT29:BZ29"/>
    <mergeCell ref="CA28:CG28"/>
    <mergeCell ref="CH28:CN28"/>
    <mergeCell ref="CO28:CU28"/>
    <mergeCell ref="DU27:EA27"/>
    <mergeCell ref="AV27:BA27"/>
    <mergeCell ref="BB27:BJ27"/>
    <mergeCell ref="BK27:BS27"/>
    <mergeCell ref="BT27:BZ27"/>
    <mergeCell ref="DU29:EA29"/>
    <mergeCell ref="EB27:EH27"/>
    <mergeCell ref="EI27:EO27"/>
    <mergeCell ref="EP27:EY27"/>
    <mergeCell ref="A28:AM28"/>
    <mergeCell ref="AN28:AU28"/>
    <mergeCell ref="AV28:BA28"/>
    <mergeCell ref="BB28:BJ28"/>
    <mergeCell ref="BK28:BS28"/>
    <mergeCell ref="BT28:BZ28"/>
    <mergeCell ref="CA27:CG27"/>
    <mergeCell ref="CH27:CN27"/>
    <mergeCell ref="CO27:CU27"/>
    <mergeCell ref="CV27:DD27"/>
    <mergeCell ref="DE27:DM27"/>
    <mergeCell ref="DN27:DT27"/>
    <mergeCell ref="DU28:EA28"/>
    <mergeCell ref="EB28:EH28"/>
    <mergeCell ref="EI28:EO28"/>
    <mergeCell ref="EP28:EY28"/>
    <mergeCell ref="CV28:DD28"/>
    <mergeCell ref="DE28:DM28"/>
    <mergeCell ref="DN28:DT28"/>
    <mergeCell ref="A27:AM27"/>
    <mergeCell ref="AN27:AU27"/>
    <mergeCell ref="DU25:EA25"/>
    <mergeCell ref="EB25:EH25"/>
    <mergeCell ref="EI25:EO25"/>
    <mergeCell ref="EP25:EY25"/>
    <mergeCell ref="A26:AM26"/>
    <mergeCell ref="AN26:AU26"/>
    <mergeCell ref="AV26:BA26"/>
    <mergeCell ref="BB26:BJ26"/>
    <mergeCell ref="BK26:BS26"/>
    <mergeCell ref="BT26:BZ26"/>
    <mergeCell ref="CA25:CG25"/>
    <mergeCell ref="CH25:CN25"/>
    <mergeCell ref="CO25:CU25"/>
    <mergeCell ref="CV25:DD25"/>
    <mergeCell ref="DE25:DM25"/>
    <mergeCell ref="DN25:DT25"/>
    <mergeCell ref="DU26:EA26"/>
    <mergeCell ref="EB26:EH26"/>
    <mergeCell ref="EI26:EO26"/>
    <mergeCell ref="EP26:EY26"/>
    <mergeCell ref="CV26:DD26"/>
    <mergeCell ref="DE26:DM26"/>
    <mergeCell ref="DN26:DT26"/>
    <mergeCell ref="A25:AM25"/>
    <mergeCell ref="AN25:AU25"/>
    <mergeCell ref="AV25:BA25"/>
    <mergeCell ref="BB25:BJ25"/>
    <mergeCell ref="BK25:BS25"/>
    <mergeCell ref="BT25:BZ25"/>
    <mergeCell ref="CA24:CG24"/>
    <mergeCell ref="CH24:CN24"/>
    <mergeCell ref="CO24:CU24"/>
    <mergeCell ref="CA26:CG26"/>
    <mergeCell ref="CH26:CN26"/>
    <mergeCell ref="CO26:CU26"/>
    <mergeCell ref="EI23:EO23"/>
    <mergeCell ref="EP23:EY23"/>
    <mergeCell ref="A24:AM24"/>
    <mergeCell ref="AN24:AU24"/>
    <mergeCell ref="AV24:BA24"/>
    <mergeCell ref="BB24:BJ24"/>
    <mergeCell ref="BK24:BS24"/>
    <mergeCell ref="BT24:BZ24"/>
    <mergeCell ref="CA23:CG23"/>
    <mergeCell ref="CH23:CN23"/>
    <mergeCell ref="CO23:CU23"/>
    <mergeCell ref="CV23:DD23"/>
    <mergeCell ref="DE23:DM23"/>
    <mergeCell ref="DN23:DT23"/>
    <mergeCell ref="DU24:EA24"/>
    <mergeCell ref="EB24:EH24"/>
    <mergeCell ref="EI24:EO24"/>
    <mergeCell ref="EP24:EY24"/>
    <mergeCell ref="CV24:DD24"/>
    <mergeCell ref="DE24:DM24"/>
    <mergeCell ref="DN24:DT24"/>
    <mergeCell ref="A23:AM23"/>
    <mergeCell ref="AN23:AU23"/>
    <mergeCell ref="AV23:BA23"/>
    <mergeCell ref="BB23:BJ23"/>
    <mergeCell ref="BK23:BS23"/>
    <mergeCell ref="BT23:BZ23"/>
    <mergeCell ref="CA22:CG22"/>
    <mergeCell ref="CH22:CN22"/>
    <mergeCell ref="CO22:CU22"/>
    <mergeCell ref="EB21:EH21"/>
    <mergeCell ref="DU23:EA23"/>
    <mergeCell ref="EB23:EH23"/>
    <mergeCell ref="EI21:EO21"/>
    <mergeCell ref="EP21:EY21"/>
    <mergeCell ref="A22:AM22"/>
    <mergeCell ref="AN22:AU22"/>
    <mergeCell ref="AV22:BA22"/>
    <mergeCell ref="BB22:BJ22"/>
    <mergeCell ref="BK22:BS22"/>
    <mergeCell ref="BT22:BZ22"/>
    <mergeCell ref="CA21:CG21"/>
    <mergeCell ref="CH21:CN21"/>
    <mergeCell ref="CO21:CU21"/>
    <mergeCell ref="CV21:DD21"/>
    <mergeCell ref="DE21:DM21"/>
    <mergeCell ref="DN21:DT21"/>
    <mergeCell ref="DU22:EA22"/>
    <mergeCell ref="EB22:EH22"/>
    <mergeCell ref="EI22:EO22"/>
    <mergeCell ref="EP22:EY22"/>
    <mergeCell ref="CV22:DD22"/>
    <mergeCell ref="DE22:DM22"/>
    <mergeCell ref="DN22:DT22"/>
    <mergeCell ref="EI19:EO19"/>
    <mergeCell ref="DU20:EA20"/>
    <mergeCell ref="EB20:EH20"/>
    <mergeCell ref="EI20:EO20"/>
    <mergeCell ref="EP20:EY20"/>
    <mergeCell ref="A21:AM21"/>
    <mergeCell ref="AN21:AU21"/>
    <mergeCell ref="AV21:BA21"/>
    <mergeCell ref="BB21:BJ21"/>
    <mergeCell ref="BK21:BS21"/>
    <mergeCell ref="BT21:BZ21"/>
    <mergeCell ref="CA20:CG20"/>
    <mergeCell ref="CH20:CN20"/>
    <mergeCell ref="CO20:CU20"/>
    <mergeCell ref="CV20:DD20"/>
    <mergeCell ref="DE20:DM20"/>
    <mergeCell ref="DN20:DT20"/>
    <mergeCell ref="A20:AM20"/>
    <mergeCell ref="AN20:AU20"/>
    <mergeCell ref="AV20:BA20"/>
    <mergeCell ref="BB20:BJ20"/>
    <mergeCell ref="BK20:BS20"/>
    <mergeCell ref="BT20:BZ20"/>
    <mergeCell ref="DU21:EA21"/>
    <mergeCell ref="A3:EY3"/>
    <mergeCell ref="A4:EY4"/>
    <mergeCell ref="DN11:EY11"/>
    <mergeCell ref="DN12:EY12"/>
    <mergeCell ref="DN13:EY13"/>
    <mergeCell ref="DN14:EY14"/>
    <mergeCell ref="DN15:EY15"/>
    <mergeCell ref="A18:AM19"/>
    <mergeCell ref="AN18:AU19"/>
    <mergeCell ref="AV18:BA19"/>
    <mergeCell ref="BB18:BJ19"/>
    <mergeCell ref="BK18:BS19"/>
    <mergeCell ref="BT18:CU18"/>
    <mergeCell ref="CV18:DD19"/>
    <mergeCell ref="DE18:DM19"/>
    <mergeCell ref="DN18:EO18"/>
    <mergeCell ref="EP18:EY19"/>
    <mergeCell ref="BT19:BZ19"/>
    <mergeCell ref="CA19:CG19"/>
    <mergeCell ref="CH19:CN19"/>
    <mergeCell ref="CO19:CU19"/>
    <mergeCell ref="DN19:DT19"/>
    <mergeCell ref="DU19:EA19"/>
    <mergeCell ref="EB19:EH19"/>
  </mergeCells>
  <pageMargins left="0.78740157480314965" right="0.70866141732283472" top="0.59055118110236227" bottom="0.39370078740157483" header="0.19685039370078741" footer="0.19685039370078741"/>
  <pageSetup paperSize="8" fitToHeight="0" orientation="landscape" r:id="rId1"/>
  <headerFooter alignWithMargins="0">
    <oddHeader>&amp;R&amp;"Times New Roman,обычный"&amp;7Подготовлено с использованием системы &amp;"Times New Roman,полужирный"КонсультантПлюс</oddHeader>
  </headerFooter>
  <rowBreaks count="1" manualBreakCount="1">
    <brk id="72" max="154"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W56"/>
  <sheetViews>
    <sheetView view="pageBreakPreview" topLeftCell="A13" zoomScaleNormal="90" zoomScaleSheetLayoutView="100" workbookViewId="0">
      <selection activeCell="CF37" sqref="CF37:CU37"/>
    </sheetView>
  </sheetViews>
  <sheetFormatPr defaultColWidth="0.88671875" defaultRowHeight="13.2"/>
  <cols>
    <col min="1" max="227" width="0.88671875" style="432"/>
    <col min="228" max="228" width="0.88671875" style="432" customWidth="1"/>
    <col min="229" max="229" width="8.6640625" style="432" customWidth="1"/>
    <col min="230" max="230" width="12.6640625" style="432" customWidth="1"/>
    <col min="231" max="231" width="8.6640625" style="432" customWidth="1"/>
    <col min="232" max="16384" width="0.88671875" style="432"/>
  </cols>
  <sheetData>
    <row r="1" spans="1:224" s="438" customFormat="1" ht="11.25" customHeight="1">
      <c r="HP1" s="439" t="s">
        <v>1648</v>
      </c>
    </row>
    <row r="2" spans="1:224" ht="11.25" customHeight="1"/>
    <row r="3" spans="1:224" s="440" customFormat="1" ht="13.8">
      <c r="A3" s="1531" t="s">
        <v>1649</v>
      </c>
      <c r="B3" s="1532"/>
      <c r="C3" s="1532"/>
      <c r="D3" s="1532"/>
      <c r="E3" s="1532"/>
      <c r="F3" s="1532"/>
      <c r="G3" s="1532"/>
      <c r="H3" s="1532"/>
      <c r="I3" s="1532"/>
      <c r="J3" s="1532"/>
      <c r="K3" s="1532"/>
      <c r="L3" s="1532"/>
      <c r="M3" s="1532"/>
      <c r="N3" s="1532"/>
      <c r="O3" s="1532"/>
      <c r="P3" s="1532"/>
      <c r="Q3" s="1532"/>
      <c r="R3" s="1532"/>
      <c r="S3" s="1532"/>
      <c r="T3" s="1532"/>
      <c r="U3" s="1532"/>
      <c r="V3" s="1532"/>
      <c r="W3" s="1532"/>
      <c r="X3" s="1532"/>
      <c r="Y3" s="1532"/>
      <c r="Z3" s="1532"/>
      <c r="AA3" s="1532"/>
      <c r="AB3" s="1532"/>
      <c r="AC3" s="1532"/>
      <c r="AD3" s="1532"/>
      <c r="AE3" s="1532"/>
      <c r="AF3" s="1532"/>
      <c r="AG3" s="1532"/>
      <c r="AH3" s="1532"/>
      <c r="AI3" s="1532"/>
      <c r="AJ3" s="1532"/>
      <c r="AK3" s="1532"/>
      <c r="AL3" s="1532"/>
      <c r="AM3" s="1532"/>
      <c r="AN3" s="1532"/>
      <c r="AO3" s="1532"/>
      <c r="AP3" s="1532"/>
      <c r="AQ3" s="1532"/>
      <c r="AR3" s="1532"/>
      <c r="AS3" s="1532"/>
      <c r="AT3" s="1532"/>
      <c r="AU3" s="1532"/>
      <c r="AV3" s="1532"/>
      <c r="AW3" s="1532"/>
      <c r="AX3" s="1532"/>
      <c r="AY3" s="1532"/>
      <c r="AZ3" s="1532"/>
      <c r="BA3" s="1532"/>
      <c r="BB3" s="1532"/>
      <c r="BC3" s="1532"/>
      <c r="BD3" s="1532"/>
      <c r="BE3" s="1532"/>
      <c r="BF3" s="1532"/>
      <c r="BG3" s="1532"/>
      <c r="BH3" s="1532"/>
      <c r="BI3" s="1532"/>
      <c r="BJ3" s="1532"/>
      <c r="BK3" s="1532"/>
      <c r="BL3" s="1532"/>
      <c r="BM3" s="1532"/>
      <c r="BN3" s="1532"/>
      <c r="BO3" s="1532"/>
      <c r="BP3" s="1532"/>
      <c r="BQ3" s="1532"/>
      <c r="BR3" s="1532"/>
      <c r="BS3" s="1532"/>
      <c r="BT3" s="1532"/>
      <c r="BU3" s="1532"/>
      <c r="BV3" s="1532"/>
      <c r="BW3" s="1532"/>
      <c r="BX3" s="1532"/>
      <c r="BY3" s="1532"/>
      <c r="BZ3" s="1532"/>
      <c r="CA3" s="1532"/>
      <c r="CB3" s="1532"/>
      <c r="CC3" s="1532"/>
      <c r="CD3" s="1532"/>
      <c r="CE3" s="1532"/>
      <c r="CF3" s="1532"/>
      <c r="CG3" s="1532"/>
      <c r="CH3" s="1532"/>
      <c r="CI3" s="1532"/>
      <c r="CJ3" s="1532"/>
      <c r="CK3" s="1532"/>
      <c r="CL3" s="1532"/>
      <c r="CM3" s="1532"/>
      <c r="CN3" s="1532"/>
      <c r="CO3" s="1532"/>
      <c r="CP3" s="1532"/>
      <c r="CQ3" s="1532"/>
      <c r="CR3" s="1532"/>
      <c r="CS3" s="1532"/>
      <c r="CT3" s="1532"/>
      <c r="CU3" s="1532"/>
      <c r="CV3" s="1532"/>
      <c r="CW3" s="1532"/>
      <c r="CX3" s="1532"/>
      <c r="CY3" s="1532"/>
      <c r="CZ3" s="1532"/>
      <c r="DA3" s="1532"/>
      <c r="DB3" s="1532"/>
      <c r="DC3" s="1532"/>
      <c r="DD3" s="1532"/>
      <c r="DE3" s="1532"/>
      <c r="DF3" s="1532"/>
      <c r="DG3" s="1532"/>
      <c r="DH3" s="1532"/>
      <c r="DI3" s="1532"/>
      <c r="DJ3" s="1532"/>
      <c r="DK3" s="1532"/>
      <c r="DL3" s="1532"/>
      <c r="DM3" s="1532"/>
      <c r="DN3" s="1532"/>
      <c r="DO3" s="1532"/>
      <c r="DP3" s="1532"/>
      <c r="DQ3" s="1532"/>
      <c r="DR3" s="1532"/>
      <c r="DS3" s="1532"/>
      <c r="DT3" s="1532"/>
      <c r="DU3" s="1532"/>
      <c r="DV3" s="1532"/>
      <c r="DW3" s="1532"/>
      <c r="DX3" s="1532"/>
      <c r="DY3" s="1532"/>
      <c r="DZ3" s="1532"/>
      <c r="EA3" s="1532"/>
      <c r="EB3" s="1532"/>
      <c r="EC3" s="1532"/>
      <c r="ED3" s="1532"/>
      <c r="EE3" s="1532"/>
      <c r="EF3" s="1532"/>
      <c r="EG3" s="1532"/>
      <c r="EH3" s="1532"/>
      <c r="EI3" s="1532"/>
      <c r="EJ3" s="1532"/>
      <c r="EK3" s="1532"/>
      <c r="EL3" s="1532"/>
      <c r="EM3" s="1532"/>
      <c r="EN3" s="1532"/>
      <c r="EO3" s="1532"/>
      <c r="EP3" s="1532"/>
      <c r="EQ3" s="1532"/>
      <c r="ER3" s="1532"/>
      <c r="ES3" s="1532"/>
      <c r="ET3" s="1532"/>
      <c r="EU3" s="1532"/>
      <c r="EV3" s="1532"/>
      <c r="EW3" s="1532"/>
      <c r="EX3" s="1532"/>
      <c r="EY3" s="1532"/>
      <c r="EZ3" s="1532"/>
      <c r="FA3" s="1532"/>
      <c r="FB3" s="1532"/>
      <c r="FC3" s="1532"/>
      <c r="FD3" s="1532"/>
      <c r="FE3" s="1532"/>
      <c r="FF3" s="1532"/>
      <c r="FG3" s="1532"/>
      <c r="FH3" s="1532"/>
      <c r="FI3" s="1532"/>
      <c r="FJ3" s="1532"/>
      <c r="FK3" s="1532"/>
      <c r="FL3" s="1532"/>
      <c r="FM3" s="1532"/>
      <c r="FN3" s="1532"/>
      <c r="FO3" s="1532"/>
      <c r="FP3" s="1532"/>
      <c r="FQ3" s="1532"/>
      <c r="FR3" s="1532"/>
      <c r="FS3" s="1532"/>
      <c r="FT3" s="1532"/>
      <c r="FU3" s="1532"/>
      <c r="FV3" s="1532"/>
      <c r="FW3" s="1532"/>
      <c r="FX3" s="1532"/>
      <c r="FY3" s="1532"/>
      <c r="FZ3" s="1532"/>
      <c r="GA3" s="1532"/>
      <c r="GB3" s="1532"/>
      <c r="GC3" s="1532"/>
      <c r="GD3" s="1532"/>
      <c r="GE3" s="1532"/>
      <c r="GF3" s="1532"/>
      <c r="GG3" s="1532"/>
      <c r="GH3" s="1532"/>
      <c r="GI3" s="1532"/>
      <c r="GJ3" s="1532"/>
      <c r="GK3" s="1532"/>
      <c r="GL3" s="1532"/>
      <c r="GM3" s="1532"/>
      <c r="GN3" s="1532"/>
      <c r="GO3" s="1532"/>
      <c r="GP3" s="1532"/>
      <c r="GQ3" s="1532"/>
      <c r="GR3" s="1532"/>
      <c r="GS3" s="1532"/>
      <c r="GT3" s="1532"/>
      <c r="GU3" s="1532"/>
      <c r="GV3" s="1532"/>
      <c r="GW3" s="1532"/>
      <c r="GX3" s="1532"/>
      <c r="GY3" s="1532"/>
      <c r="GZ3" s="1532"/>
      <c r="HA3" s="1532"/>
      <c r="HB3" s="1532"/>
      <c r="HC3" s="1532"/>
      <c r="HD3" s="1532"/>
      <c r="HE3" s="1532"/>
      <c r="HF3" s="1532"/>
      <c r="HG3" s="1532"/>
      <c r="HH3" s="1532"/>
      <c r="HI3" s="1532"/>
      <c r="HJ3" s="1532"/>
      <c r="HK3" s="1532"/>
      <c r="HL3" s="1532"/>
      <c r="HM3" s="1532"/>
      <c r="HN3" s="1532"/>
      <c r="HO3" s="1532"/>
      <c r="HP3" s="1532"/>
    </row>
    <row r="4" spans="1:224" s="440" customFormat="1" ht="13.8">
      <c r="A4" s="1532" t="s">
        <v>1650</v>
      </c>
      <c r="B4" s="1532"/>
      <c r="C4" s="1532"/>
      <c r="D4" s="1532"/>
      <c r="E4" s="1532"/>
      <c r="F4" s="1532"/>
      <c r="G4" s="1532"/>
      <c r="H4" s="1532"/>
      <c r="I4" s="1532"/>
      <c r="J4" s="1532"/>
      <c r="K4" s="1532"/>
      <c r="L4" s="1532"/>
      <c r="M4" s="1532"/>
      <c r="N4" s="1532"/>
      <c r="O4" s="1532"/>
      <c r="P4" s="1532"/>
      <c r="Q4" s="1532"/>
      <c r="R4" s="1532"/>
      <c r="S4" s="1532"/>
      <c r="T4" s="1532"/>
      <c r="U4" s="1532"/>
      <c r="V4" s="1532"/>
      <c r="W4" s="1532"/>
      <c r="X4" s="1532"/>
      <c r="Y4" s="1532"/>
      <c r="Z4" s="1532"/>
      <c r="AA4" s="1532"/>
      <c r="AB4" s="1532"/>
      <c r="AC4" s="1532"/>
      <c r="AD4" s="1532"/>
      <c r="AE4" s="1532"/>
      <c r="AF4" s="1532"/>
      <c r="AG4" s="1532"/>
      <c r="AH4" s="1532"/>
      <c r="AI4" s="1532"/>
      <c r="AJ4" s="1532"/>
      <c r="AK4" s="1532"/>
      <c r="AL4" s="1532"/>
      <c r="AM4" s="1532"/>
      <c r="AN4" s="1532"/>
      <c r="AO4" s="1532"/>
      <c r="AP4" s="1532"/>
      <c r="AQ4" s="1532"/>
      <c r="AR4" s="1532"/>
      <c r="AS4" s="1532"/>
      <c r="AT4" s="1532"/>
      <c r="AU4" s="1532"/>
      <c r="AV4" s="1532"/>
      <c r="AW4" s="1532"/>
      <c r="AX4" s="1532"/>
      <c r="AY4" s="1532"/>
      <c r="AZ4" s="1532"/>
      <c r="BA4" s="1532"/>
      <c r="BB4" s="1532"/>
      <c r="BC4" s="1532"/>
      <c r="BD4" s="1532"/>
      <c r="BE4" s="1532"/>
      <c r="BF4" s="1532"/>
      <c r="BG4" s="1532"/>
      <c r="BH4" s="1532"/>
      <c r="BI4" s="1532"/>
      <c r="BJ4" s="1532"/>
      <c r="BK4" s="1532"/>
      <c r="BL4" s="1532"/>
      <c r="BM4" s="1532"/>
      <c r="BN4" s="1532"/>
      <c r="BO4" s="1532"/>
      <c r="BP4" s="1532"/>
      <c r="BQ4" s="1532"/>
      <c r="BR4" s="1532"/>
      <c r="BS4" s="1532"/>
      <c r="BT4" s="1532"/>
      <c r="BU4" s="1532"/>
      <c r="BV4" s="1532"/>
      <c r="BW4" s="1532"/>
      <c r="BX4" s="1532"/>
      <c r="BY4" s="1532"/>
      <c r="BZ4" s="1532"/>
      <c r="CA4" s="1532"/>
      <c r="CB4" s="1532"/>
      <c r="CC4" s="1532"/>
      <c r="CD4" s="1532"/>
      <c r="CE4" s="1532"/>
      <c r="CF4" s="1532"/>
      <c r="CG4" s="1532"/>
      <c r="CH4" s="1532"/>
      <c r="CI4" s="1532"/>
      <c r="CJ4" s="1532"/>
      <c r="CK4" s="1532"/>
      <c r="CL4" s="1532"/>
      <c r="CM4" s="1532"/>
      <c r="CN4" s="1532"/>
      <c r="CO4" s="1532"/>
      <c r="CP4" s="1532"/>
      <c r="CQ4" s="1532"/>
      <c r="CR4" s="1532"/>
      <c r="CS4" s="1532"/>
      <c r="CT4" s="1532"/>
      <c r="CU4" s="1532"/>
      <c r="CV4" s="1532"/>
      <c r="CW4" s="1532"/>
      <c r="CX4" s="1532"/>
      <c r="CY4" s="1532"/>
      <c r="CZ4" s="1532"/>
      <c r="DA4" s="1532"/>
      <c r="DB4" s="1532"/>
      <c r="DC4" s="1532"/>
      <c r="DD4" s="1532"/>
      <c r="DE4" s="1532"/>
      <c r="DF4" s="1532"/>
      <c r="DG4" s="1532"/>
      <c r="DH4" s="1532"/>
      <c r="DI4" s="1532"/>
      <c r="DJ4" s="1532"/>
      <c r="DK4" s="1532"/>
      <c r="DL4" s="1532"/>
      <c r="DM4" s="1532"/>
      <c r="DN4" s="1532"/>
      <c r="DO4" s="1532"/>
      <c r="DP4" s="1532"/>
      <c r="DQ4" s="1532"/>
      <c r="DR4" s="1532"/>
      <c r="DS4" s="1532"/>
      <c r="DT4" s="1532"/>
      <c r="DU4" s="1532"/>
      <c r="DV4" s="1532"/>
      <c r="DW4" s="1532"/>
      <c r="DX4" s="1532"/>
      <c r="DY4" s="1532"/>
      <c r="DZ4" s="1532"/>
      <c r="EA4" s="1532"/>
      <c r="EB4" s="1532"/>
      <c r="EC4" s="1532"/>
      <c r="ED4" s="1532"/>
      <c r="EE4" s="1532"/>
      <c r="EF4" s="1532"/>
      <c r="EG4" s="1532"/>
      <c r="EH4" s="1532"/>
      <c r="EI4" s="1532"/>
      <c r="EJ4" s="1532"/>
      <c r="EK4" s="1532"/>
      <c r="EL4" s="1532"/>
      <c r="EM4" s="1532"/>
      <c r="EN4" s="1532"/>
      <c r="EO4" s="1532"/>
      <c r="EP4" s="1532"/>
      <c r="EQ4" s="1532"/>
      <c r="ER4" s="1532"/>
      <c r="ES4" s="1532"/>
      <c r="ET4" s="1532"/>
      <c r="EU4" s="1532"/>
      <c r="EV4" s="1532"/>
      <c r="EW4" s="1532"/>
      <c r="EX4" s="1532"/>
      <c r="EY4" s="1532"/>
      <c r="EZ4" s="1532"/>
      <c r="FA4" s="1532"/>
      <c r="FB4" s="1532"/>
      <c r="FC4" s="1532"/>
      <c r="FD4" s="1532"/>
      <c r="FE4" s="1532"/>
      <c r="FF4" s="1532"/>
      <c r="FG4" s="1532"/>
      <c r="FH4" s="1532"/>
      <c r="FI4" s="1532"/>
      <c r="FJ4" s="1532"/>
      <c r="FK4" s="1532"/>
      <c r="FL4" s="1532"/>
      <c r="FM4" s="1532"/>
      <c r="FN4" s="1532"/>
      <c r="FO4" s="1532"/>
      <c r="FP4" s="1532"/>
      <c r="FQ4" s="1532"/>
      <c r="FR4" s="1532"/>
      <c r="FS4" s="1532"/>
      <c r="FT4" s="1532"/>
      <c r="FU4" s="1532"/>
      <c r="FV4" s="1532"/>
      <c r="FW4" s="1532"/>
      <c r="FX4" s="1532"/>
      <c r="FY4" s="1532"/>
      <c r="FZ4" s="1532"/>
      <c r="GA4" s="1532"/>
      <c r="GB4" s="1532"/>
      <c r="GC4" s="1532"/>
      <c r="GD4" s="1532"/>
      <c r="GE4" s="1532"/>
      <c r="GF4" s="1532"/>
      <c r="GG4" s="1532"/>
      <c r="GH4" s="1532"/>
      <c r="GI4" s="1532"/>
      <c r="GJ4" s="1532"/>
      <c r="GK4" s="1532"/>
      <c r="GL4" s="1532"/>
      <c r="GM4" s="1532"/>
      <c r="GN4" s="1532"/>
      <c r="GO4" s="1532"/>
      <c r="GP4" s="1532"/>
      <c r="GQ4" s="1532"/>
      <c r="GR4" s="1532"/>
      <c r="GS4" s="1532"/>
      <c r="GT4" s="1532"/>
      <c r="GU4" s="1532"/>
      <c r="GV4" s="1532"/>
      <c r="GW4" s="1532"/>
      <c r="GX4" s="1532"/>
      <c r="GY4" s="1532"/>
      <c r="GZ4" s="1532"/>
      <c r="HA4" s="1532"/>
      <c r="HB4" s="1532"/>
      <c r="HC4" s="1532"/>
      <c r="HD4" s="1532"/>
      <c r="HE4" s="1532"/>
      <c r="HF4" s="1532"/>
      <c r="HG4" s="1532"/>
      <c r="HH4" s="1532"/>
      <c r="HI4" s="1532"/>
      <c r="HJ4" s="1532"/>
      <c r="HK4" s="1532"/>
      <c r="HL4" s="1532"/>
      <c r="HM4" s="1532"/>
      <c r="HN4" s="1532"/>
      <c r="HO4" s="1532"/>
      <c r="HP4" s="1532"/>
    </row>
    <row r="5" spans="1:224" ht="11.25" customHeight="1"/>
    <row r="6" spans="1:224">
      <c r="A6" s="432" t="s">
        <v>1539</v>
      </c>
      <c r="AL6" s="432" t="s">
        <v>1651</v>
      </c>
    </row>
    <row r="7" spans="1:224">
      <c r="AL7" s="432" t="s">
        <v>1652</v>
      </c>
    </row>
    <row r="8" spans="1:224">
      <c r="A8" s="432" t="s">
        <v>1541</v>
      </c>
      <c r="AL8" s="432" t="s">
        <v>1542</v>
      </c>
    </row>
    <row r="9" spans="1:224">
      <c r="A9" s="432" t="s">
        <v>1543</v>
      </c>
      <c r="AL9" s="432" t="s">
        <v>1544</v>
      </c>
    </row>
    <row r="10" spans="1:224" ht="11.25" customHeight="1">
      <c r="GZ10" s="441"/>
      <c r="HA10" s="441"/>
      <c r="HB10" s="441"/>
      <c r="HC10" s="441"/>
      <c r="HD10" s="441"/>
      <c r="HE10" s="441"/>
      <c r="HF10" s="441"/>
      <c r="HG10" s="441"/>
      <c r="HH10" s="441"/>
      <c r="HI10" s="441"/>
      <c r="HJ10" s="441"/>
      <c r="HK10" s="441"/>
      <c r="HL10" s="441"/>
      <c r="HM10" s="441"/>
      <c r="HN10" s="441"/>
      <c r="HO10" s="441"/>
      <c r="HP10" s="441"/>
    </row>
    <row r="11" spans="1:224">
      <c r="A11" s="432" t="s">
        <v>1545</v>
      </c>
      <c r="FT11" s="1533" t="s">
        <v>1546</v>
      </c>
      <c r="FU11" s="1533"/>
      <c r="FV11" s="1533"/>
      <c r="FW11" s="1533"/>
      <c r="FX11" s="1533"/>
      <c r="FY11" s="1533"/>
      <c r="FZ11" s="1533"/>
      <c r="GA11" s="1533"/>
      <c r="GB11" s="1533"/>
      <c r="GC11" s="1533"/>
      <c r="GD11" s="1533"/>
      <c r="GE11" s="1533"/>
      <c r="GF11" s="1533"/>
      <c r="GG11" s="1533"/>
      <c r="GH11" s="1533"/>
      <c r="GI11" s="1533"/>
      <c r="GJ11" s="1533"/>
      <c r="GK11" s="1533"/>
      <c r="GL11" s="1533"/>
      <c r="GM11" s="1533"/>
      <c r="GN11" s="1533"/>
      <c r="GO11" s="1533"/>
      <c r="GP11" s="1533"/>
      <c r="GQ11" s="1533"/>
      <c r="GR11" s="1533"/>
      <c r="GS11" s="1533"/>
      <c r="GT11" s="1533"/>
      <c r="GU11" s="1533"/>
      <c r="GV11" s="1533"/>
      <c r="GW11" s="1533"/>
      <c r="GX11" s="1533"/>
      <c r="GY11" s="1533"/>
      <c r="GZ11" s="1533"/>
      <c r="HA11" s="1533"/>
      <c r="HB11" s="1533"/>
      <c r="HC11" s="1533"/>
      <c r="HD11" s="1533"/>
      <c r="HE11" s="1533"/>
      <c r="HF11" s="1533"/>
      <c r="HG11" s="1533"/>
      <c r="HH11" s="1533"/>
      <c r="HI11" s="1533"/>
      <c r="HJ11" s="1533"/>
      <c r="HK11" s="1533"/>
      <c r="HL11" s="1533"/>
      <c r="HM11" s="1533"/>
      <c r="HN11" s="1533"/>
      <c r="HO11" s="1533"/>
      <c r="HP11" s="1533"/>
    </row>
    <row r="12" spans="1:224">
      <c r="A12" s="432" t="s">
        <v>1547</v>
      </c>
      <c r="FT12" s="1534" t="s">
        <v>224</v>
      </c>
      <c r="FU12" s="1534"/>
      <c r="FV12" s="1534"/>
      <c r="FW12" s="1534"/>
      <c r="FX12" s="1534"/>
      <c r="FY12" s="1534"/>
      <c r="FZ12" s="1534"/>
      <c r="GA12" s="1534"/>
      <c r="GB12" s="1534"/>
      <c r="GC12" s="1534"/>
      <c r="GD12" s="1534"/>
      <c r="GE12" s="1534"/>
      <c r="GF12" s="1534"/>
      <c r="GG12" s="1534"/>
      <c r="GH12" s="1534"/>
      <c r="GI12" s="1534"/>
      <c r="GJ12" s="1534"/>
      <c r="GK12" s="1534"/>
      <c r="GL12" s="1534"/>
      <c r="GM12" s="1534"/>
      <c r="GN12" s="1534"/>
      <c r="GO12" s="1534"/>
      <c r="GP12" s="1534"/>
      <c r="GQ12" s="1534"/>
      <c r="GR12" s="1534"/>
      <c r="GS12" s="1534"/>
      <c r="GT12" s="1534"/>
      <c r="GU12" s="1534"/>
      <c r="GV12" s="1534"/>
      <c r="GW12" s="1534"/>
      <c r="GX12" s="1534"/>
      <c r="GY12" s="1534"/>
      <c r="GZ12" s="1534"/>
      <c r="HA12" s="1534"/>
      <c r="HB12" s="1534"/>
      <c r="HC12" s="1534"/>
      <c r="HD12" s="1534"/>
      <c r="HE12" s="1534"/>
      <c r="HF12" s="1534"/>
      <c r="HG12" s="1534"/>
      <c r="HH12" s="1534"/>
      <c r="HI12" s="1534"/>
      <c r="HJ12" s="1534"/>
      <c r="HK12" s="1534"/>
      <c r="HL12" s="1534"/>
      <c r="HM12" s="1534"/>
      <c r="HN12" s="1534"/>
      <c r="HO12" s="1534"/>
      <c r="HP12" s="1534"/>
    </row>
    <row r="13" spans="1:224">
      <c r="A13" s="432" t="s">
        <v>1548</v>
      </c>
      <c r="FT13" s="1534" t="s">
        <v>1549</v>
      </c>
      <c r="FU13" s="1534"/>
      <c r="FV13" s="1534"/>
      <c r="FW13" s="1534"/>
      <c r="FX13" s="1534"/>
      <c r="FY13" s="1534"/>
      <c r="FZ13" s="1534"/>
      <c r="GA13" s="1534"/>
      <c r="GB13" s="1534"/>
      <c r="GC13" s="1534"/>
      <c r="GD13" s="1534"/>
      <c r="GE13" s="1534"/>
      <c r="GF13" s="1534"/>
      <c r="GG13" s="1534"/>
      <c r="GH13" s="1534"/>
      <c r="GI13" s="1534"/>
      <c r="GJ13" s="1534"/>
      <c r="GK13" s="1534"/>
      <c r="GL13" s="1534"/>
      <c r="GM13" s="1534"/>
      <c r="GN13" s="1534"/>
      <c r="GO13" s="1534"/>
      <c r="GP13" s="1534"/>
      <c r="GQ13" s="1534"/>
      <c r="GR13" s="1534"/>
      <c r="GS13" s="1534"/>
      <c r="GT13" s="1534"/>
      <c r="GU13" s="1534"/>
      <c r="GV13" s="1534"/>
      <c r="GW13" s="1534"/>
      <c r="GX13" s="1534"/>
      <c r="GY13" s="1534"/>
      <c r="GZ13" s="1534"/>
      <c r="HA13" s="1534"/>
      <c r="HB13" s="1534"/>
      <c r="HC13" s="1534"/>
      <c r="HD13" s="1534"/>
      <c r="HE13" s="1534"/>
      <c r="HF13" s="1534"/>
      <c r="HG13" s="1534"/>
      <c r="HH13" s="1534"/>
      <c r="HI13" s="1534"/>
      <c r="HJ13" s="1534"/>
      <c r="HK13" s="1534"/>
      <c r="HL13" s="1534"/>
      <c r="HM13" s="1534"/>
      <c r="HN13" s="1534"/>
      <c r="HO13" s="1534"/>
      <c r="HP13" s="1534"/>
    </row>
    <row r="14" spans="1:224">
      <c r="A14" s="432" t="s">
        <v>1550</v>
      </c>
      <c r="FT14" s="1534" t="s">
        <v>1551</v>
      </c>
      <c r="FU14" s="1534"/>
      <c r="FV14" s="1534"/>
      <c r="FW14" s="1534"/>
      <c r="FX14" s="1534"/>
      <c r="FY14" s="1534"/>
      <c r="FZ14" s="1534"/>
      <c r="GA14" s="1534"/>
      <c r="GB14" s="1534"/>
      <c r="GC14" s="1534"/>
      <c r="GD14" s="1534"/>
      <c r="GE14" s="1534"/>
      <c r="GF14" s="1534"/>
      <c r="GG14" s="1534"/>
      <c r="GH14" s="1534"/>
      <c r="GI14" s="1534"/>
      <c r="GJ14" s="1534"/>
      <c r="GK14" s="1534"/>
      <c r="GL14" s="1534"/>
      <c r="GM14" s="1534"/>
      <c r="GN14" s="1534"/>
      <c r="GO14" s="1534"/>
      <c r="GP14" s="1534"/>
      <c r="GQ14" s="1534"/>
      <c r="GR14" s="1534"/>
      <c r="GS14" s="1534"/>
      <c r="GT14" s="1534"/>
      <c r="GU14" s="1534"/>
      <c r="GV14" s="1534"/>
      <c r="GW14" s="1534"/>
      <c r="GX14" s="1534"/>
      <c r="GY14" s="1534"/>
      <c r="GZ14" s="1534"/>
      <c r="HA14" s="1534"/>
      <c r="HB14" s="1534"/>
      <c r="HC14" s="1534"/>
      <c r="HD14" s="1534"/>
      <c r="HE14" s="1534"/>
      <c r="HF14" s="1534"/>
      <c r="HG14" s="1534"/>
      <c r="HH14" s="1534"/>
      <c r="HI14" s="1534"/>
      <c r="HJ14" s="1534"/>
      <c r="HK14" s="1534"/>
      <c r="HL14" s="1534"/>
      <c r="HM14" s="1534"/>
      <c r="HN14" s="1534"/>
      <c r="HO14" s="1534"/>
      <c r="HP14" s="1534"/>
    </row>
    <row r="15" spans="1:224">
      <c r="A15" s="432" t="s">
        <v>1552</v>
      </c>
      <c r="FT15" s="1534" t="s">
        <v>1653</v>
      </c>
      <c r="FU15" s="1534"/>
      <c r="FV15" s="1534"/>
      <c r="FW15" s="1534"/>
      <c r="FX15" s="1534"/>
      <c r="FY15" s="1534"/>
      <c r="FZ15" s="1534"/>
      <c r="GA15" s="1534"/>
      <c r="GB15" s="1534"/>
      <c r="GC15" s="1534"/>
      <c r="GD15" s="1534"/>
      <c r="GE15" s="1534"/>
      <c r="GF15" s="1534"/>
      <c r="GG15" s="1534"/>
      <c r="GH15" s="1534"/>
      <c r="GI15" s="1534"/>
      <c r="GJ15" s="1534"/>
      <c r="GK15" s="1534"/>
      <c r="GL15" s="1534"/>
      <c r="GM15" s="1534"/>
      <c r="GN15" s="1534"/>
      <c r="GO15" s="1534"/>
      <c r="GP15" s="1534"/>
      <c r="GQ15" s="1534"/>
      <c r="GR15" s="1534"/>
      <c r="GS15" s="1534"/>
      <c r="GT15" s="1534"/>
      <c r="GU15" s="1534"/>
      <c r="GV15" s="1534"/>
      <c r="GW15" s="1534"/>
      <c r="GX15" s="1534"/>
      <c r="GY15" s="1534"/>
      <c r="GZ15" s="1534"/>
      <c r="HA15" s="1534"/>
      <c r="HB15" s="1534"/>
      <c r="HC15" s="1534"/>
      <c r="HD15" s="1534"/>
      <c r="HE15" s="1534"/>
      <c r="HF15" s="1534"/>
      <c r="HG15" s="1534"/>
      <c r="HH15" s="1534"/>
      <c r="HI15" s="1534"/>
      <c r="HJ15" s="1534"/>
      <c r="HK15" s="1534"/>
      <c r="HL15" s="1534"/>
      <c r="HM15" s="1534"/>
      <c r="HN15" s="1534"/>
      <c r="HO15" s="1534"/>
      <c r="HP15" s="1534"/>
    </row>
    <row r="16" spans="1:224" ht="11.25" customHeight="1"/>
    <row r="17" spans="1:231" ht="11.25" customHeight="1"/>
    <row r="18" spans="1:231" s="442" customFormat="1" ht="11.25" customHeight="1">
      <c r="A18" s="1535" t="s">
        <v>111</v>
      </c>
      <c r="B18" s="1536"/>
      <c r="C18" s="1536"/>
      <c r="D18" s="1536"/>
      <c r="E18" s="1536"/>
      <c r="F18" s="1536"/>
      <c r="G18" s="1536"/>
      <c r="H18" s="1536"/>
      <c r="I18" s="1536"/>
      <c r="J18" s="1536"/>
      <c r="K18" s="1536"/>
      <c r="L18" s="1536"/>
      <c r="M18" s="1536"/>
      <c r="N18" s="1536"/>
      <c r="O18" s="1536"/>
      <c r="P18" s="1536"/>
      <c r="Q18" s="1536"/>
      <c r="R18" s="1536"/>
      <c r="S18" s="1536"/>
      <c r="T18" s="1536"/>
      <c r="U18" s="1536"/>
      <c r="V18" s="1536"/>
      <c r="W18" s="1536"/>
      <c r="X18" s="1536"/>
      <c r="Y18" s="1536"/>
      <c r="Z18" s="1536"/>
      <c r="AA18" s="1536"/>
      <c r="AB18" s="1536"/>
      <c r="AC18" s="1536"/>
      <c r="AD18" s="1536"/>
      <c r="AE18" s="1536"/>
      <c r="AF18" s="1536"/>
      <c r="AG18" s="1536"/>
      <c r="AH18" s="1536"/>
      <c r="AI18" s="1536"/>
      <c r="AJ18" s="1536"/>
      <c r="AK18" s="1537"/>
      <c r="AL18" s="1535" t="s">
        <v>0</v>
      </c>
      <c r="AM18" s="1536"/>
      <c r="AN18" s="1536"/>
      <c r="AO18" s="1536"/>
      <c r="AP18" s="1536"/>
      <c r="AQ18" s="1536"/>
      <c r="AR18" s="1536"/>
      <c r="AS18" s="1536"/>
      <c r="AT18" s="1536"/>
      <c r="AU18" s="1537"/>
      <c r="AV18" s="1535" t="s">
        <v>1554</v>
      </c>
      <c r="AW18" s="1536"/>
      <c r="AX18" s="1536"/>
      <c r="AY18" s="1536"/>
      <c r="AZ18" s="1536"/>
      <c r="BA18" s="1536"/>
      <c r="BB18" s="1536"/>
      <c r="BC18" s="1537"/>
      <c r="BD18" s="1535" t="s">
        <v>1555</v>
      </c>
      <c r="BE18" s="1536"/>
      <c r="BF18" s="1536"/>
      <c r="BG18" s="1536"/>
      <c r="BH18" s="1536"/>
      <c r="BI18" s="1536"/>
      <c r="BJ18" s="1536"/>
      <c r="BK18" s="1536"/>
      <c r="BL18" s="1536"/>
      <c r="BM18" s="1536"/>
      <c r="BN18" s="1536"/>
      <c r="BO18" s="1536"/>
      <c r="BP18" s="1536"/>
      <c r="BQ18" s="1537"/>
      <c r="BR18" s="1535" t="s">
        <v>1654</v>
      </c>
      <c r="BS18" s="1536"/>
      <c r="BT18" s="1536"/>
      <c r="BU18" s="1536"/>
      <c r="BV18" s="1536"/>
      <c r="BW18" s="1536"/>
      <c r="BX18" s="1536"/>
      <c r="BY18" s="1536"/>
      <c r="BZ18" s="1536"/>
      <c r="CA18" s="1536"/>
      <c r="CB18" s="1536"/>
      <c r="CC18" s="1536"/>
      <c r="CD18" s="1536"/>
      <c r="CE18" s="1537"/>
      <c r="CF18" s="1541" t="s">
        <v>1557</v>
      </c>
      <c r="CG18" s="1542"/>
      <c r="CH18" s="1542"/>
      <c r="CI18" s="1542"/>
      <c r="CJ18" s="1542"/>
      <c r="CK18" s="1542"/>
      <c r="CL18" s="1542"/>
      <c r="CM18" s="1542"/>
      <c r="CN18" s="1542"/>
      <c r="CO18" s="1542"/>
      <c r="CP18" s="1542"/>
      <c r="CQ18" s="1542"/>
      <c r="CR18" s="1542"/>
      <c r="CS18" s="1542"/>
      <c r="CT18" s="1542"/>
      <c r="CU18" s="1542"/>
      <c r="CV18" s="1542"/>
      <c r="CW18" s="1542"/>
      <c r="CX18" s="1542"/>
      <c r="CY18" s="1542"/>
      <c r="CZ18" s="1542"/>
      <c r="DA18" s="1542"/>
      <c r="DB18" s="1542"/>
      <c r="DC18" s="1542"/>
      <c r="DD18" s="1542"/>
      <c r="DE18" s="1542"/>
      <c r="DF18" s="1542"/>
      <c r="DG18" s="1542"/>
      <c r="DH18" s="1542"/>
      <c r="DI18" s="1542"/>
      <c r="DJ18" s="1542"/>
      <c r="DK18" s="1542"/>
      <c r="DL18" s="1542"/>
      <c r="DM18" s="1542"/>
      <c r="DN18" s="1542"/>
      <c r="DO18" s="1542"/>
      <c r="DP18" s="1542"/>
      <c r="DQ18" s="1542"/>
      <c r="DR18" s="1542"/>
      <c r="DS18" s="1542"/>
      <c r="DT18" s="1542"/>
      <c r="DU18" s="1542"/>
      <c r="DV18" s="1542"/>
      <c r="DW18" s="1542"/>
      <c r="DX18" s="1542"/>
      <c r="DY18" s="1542"/>
      <c r="DZ18" s="1542"/>
      <c r="EA18" s="1542"/>
      <c r="EB18" s="1535" t="s">
        <v>1655</v>
      </c>
      <c r="EC18" s="1536"/>
      <c r="ED18" s="1536"/>
      <c r="EE18" s="1536"/>
      <c r="EF18" s="1536"/>
      <c r="EG18" s="1536"/>
      <c r="EH18" s="1536"/>
      <c r="EI18" s="1536"/>
      <c r="EJ18" s="1536"/>
      <c r="EK18" s="1536"/>
      <c r="EL18" s="1536"/>
      <c r="EM18" s="1536"/>
      <c r="EN18" s="1536"/>
      <c r="EO18" s="1537"/>
      <c r="EP18" s="1535" t="s">
        <v>1656</v>
      </c>
      <c r="EQ18" s="1536"/>
      <c r="ER18" s="1536"/>
      <c r="ES18" s="1536"/>
      <c r="ET18" s="1536"/>
      <c r="EU18" s="1536"/>
      <c r="EV18" s="1536"/>
      <c r="EW18" s="1536"/>
      <c r="EX18" s="1536"/>
      <c r="EY18" s="1536"/>
      <c r="EZ18" s="1536"/>
      <c r="FA18" s="1536"/>
      <c r="FB18" s="1536"/>
      <c r="FC18" s="1537"/>
      <c r="FD18" s="1541" t="s">
        <v>1560</v>
      </c>
      <c r="FE18" s="1542"/>
      <c r="FF18" s="1542"/>
      <c r="FG18" s="1542"/>
      <c r="FH18" s="1542"/>
      <c r="FI18" s="1542"/>
      <c r="FJ18" s="1542"/>
      <c r="FK18" s="1542"/>
      <c r="FL18" s="1542"/>
      <c r="FM18" s="1542"/>
      <c r="FN18" s="1542"/>
      <c r="FO18" s="1542"/>
      <c r="FP18" s="1542"/>
      <c r="FQ18" s="1542"/>
      <c r="FR18" s="1542"/>
      <c r="FS18" s="1542"/>
      <c r="FT18" s="1542"/>
      <c r="FU18" s="1542"/>
      <c r="FV18" s="1542"/>
      <c r="FW18" s="1542"/>
      <c r="FX18" s="1542"/>
      <c r="FY18" s="1542"/>
      <c r="FZ18" s="1542"/>
      <c r="GA18" s="1542"/>
      <c r="GB18" s="1542"/>
      <c r="GC18" s="1542"/>
      <c r="GD18" s="1542"/>
      <c r="GE18" s="1542"/>
      <c r="GF18" s="1542"/>
      <c r="GG18" s="1542"/>
      <c r="GH18" s="1542"/>
      <c r="GI18" s="1542"/>
      <c r="GJ18" s="1542"/>
      <c r="GK18" s="1542"/>
      <c r="GL18" s="1542"/>
      <c r="GM18" s="1542"/>
      <c r="GN18" s="1542"/>
      <c r="GO18" s="1542"/>
      <c r="GP18" s="1542"/>
      <c r="GQ18" s="1542"/>
      <c r="GR18" s="1542"/>
      <c r="GS18" s="1542"/>
      <c r="GT18" s="1542"/>
      <c r="GU18" s="1542"/>
      <c r="GV18" s="1542"/>
      <c r="GW18" s="1542"/>
      <c r="GX18" s="1542"/>
      <c r="GY18" s="1543"/>
      <c r="GZ18" s="1535" t="s">
        <v>1657</v>
      </c>
      <c r="HA18" s="1536"/>
      <c r="HB18" s="1536"/>
      <c r="HC18" s="1536"/>
      <c r="HD18" s="1536"/>
      <c r="HE18" s="1536"/>
      <c r="HF18" s="1536"/>
      <c r="HG18" s="1536"/>
      <c r="HH18" s="1536"/>
      <c r="HI18" s="1536"/>
      <c r="HJ18" s="1536"/>
      <c r="HK18" s="1536"/>
      <c r="HL18" s="1536"/>
      <c r="HM18" s="1536"/>
      <c r="HN18" s="1536"/>
      <c r="HO18" s="1536"/>
      <c r="HP18" s="1537"/>
    </row>
    <row r="19" spans="1:231" s="442" customFormat="1" ht="75.75" customHeight="1">
      <c r="A19" s="1538"/>
      <c r="B19" s="1539"/>
      <c r="C19" s="1539"/>
      <c r="D19" s="1539"/>
      <c r="E19" s="1539"/>
      <c r="F19" s="1539"/>
      <c r="G19" s="1539"/>
      <c r="H19" s="1539"/>
      <c r="I19" s="1539"/>
      <c r="J19" s="1539"/>
      <c r="K19" s="1539"/>
      <c r="L19" s="1539"/>
      <c r="M19" s="1539"/>
      <c r="N19" s="1539"/>
      <c r="O19" s="1539"/>
      <c r="P19" s="1539"/>
      <c r="Q19" s="1539"/>
      <c r="R19" s="1539"/>
      <c r="S19" s="1539"/>
      <c r="T19" s="1539"/>
      <c r="U19" s="1539"/>
      <c r="V19" s="1539"/>
      <c r="W19" s="1539"/>
      <c r="X19" s="1539"/>
      <c r="Y19" s="1539"/>
      <c r="Z19" s="1539"/>
      <c r="AA19" s="1539"/>
      <c r="AB19" s="1539"/>
      <c r="AC19" s="1539"/>
      <c r="AD19" s="1539"/>
      <c r="AE19" s="1539"/>
      <c r="AF19" s="1539"/>
      <c r="AG19" s="1539"/>
      <c r="AH19" s="1539"/>
      <c r="AI19" s="1539"/>
      <c r="AJ19" s="1539"/>
      <c r="AK19" s="1540"/>
      <c r="AL19" s="1538"/>
      <c r="AM19" s="1539"/>
      <c r="AN19" s="1539"/>
      <c r="AO19" s="1539"/>
      <c r="AP19" s="1539"/>
      <c r="AQ19" s="1539"/>
      <c r="AR19" s="1539"/>
      <c r="AS19" s="1539"/>
      <c r="AT19" s="1539"/>
      <c r="AU19" s="1540"/>
      <c r="AV19" s="1538"/>
      <c r="AW19" s="1539"/>
      <c r="AX19" s="1539"/>
      <c r="AY19" s="1539"/>
      <c r="AZ19" s="1539"/>
      <c r="BA19" s="1539"/>
      <c r="BB19" s="1539"/>
      <c r="BC19" s="1540"/>
      <c r="BD19" s="1538"/>
      <c r="BE19" s="1539"/>
      <c r="BF19" s="1539"/>
      <c r="BG19" s="1539"/>
      <c r="BH19" s="1539"/>
      <c r="BI19" s="1539"/>
      <c r="BJ19" s="1539"/>
      <c r="BK19" s="1539"/>
      <c r="BL19" s="1539"/>
      <c r="BM19" s="1539"/>
      <c r="BN19" s="1539"/>
      <c r="BO19" s="1539"/>
      <c r="BP19" s="1539"/>
      <c r="BQ19" s="1540"/>
      <c r="BR19" s="1538"/>
      <c r="BS19" s="1539"/>
      <c r="BT19" s="1539"/>
      <c r="BU19" s="1539"/>
      <c r="BV19" s="1539"/>
      <c r="BW19" s="1539"/>
      <c r="BX19" s="1539"/>
      <c r="BY19" s="1539"/>
      <c r="BZ19" s="1539"/>
      <c r="CA19" s="1539"/>
      <c r="CB19" s="1539"/>
      <c r="CC19" s="1539"/>
      <c r="CD19" s="1539"/>
      <c r="CE19" s="1540"/>
      <c r="CF19" s="1538" t="s">
        <v>1658</v>
      </c>
      <c r="CG19" s="1539"/>
      <c r="CH19" s="1539"/>
      <c r="CI19" s="1539"/>
      <c r="CJ19" s="1539"/>
      <c r="CK19" s="1539"/>
      <c r="CL19" s="1539"/>
      <c r="CM19" s="1539"/>
      <c r="CN19" s="1539"/>
      <c r="CO19" s="1539"/>
      <c r="CP19" s="1539"/>
      <c r="CQ19" s="1539"/>
      <c r="CR19" s="1539"/>
      <c r="CS19" s="1539"/>
      <c r="CT19" s="1539"/>
      <c r="CU19" s="1540"/>
      <c r="CV19" s="1545" t="s">
        <v>1659</v>
      </c>
      <c r="CW19" s="1545"/>
      <c r="CX19" s="1545"/>
      <c r="CY19" s="1545"/>
      <c r="CZ19" s="1545"/>
      <c r="DA19" s="1545"/>
      <c r="DB19" s="1545"/>
      <c r="DC19" s="1545"/>
      <c r="DD19" s="1545"/>
      <c r="DE19" s="1545"/>
      <c r="DF19" s="1545"/>
      <c r="DG19" s="1545"/>
      <c r="DH19" s="1545"/>
      <c r="DI19" s="1545"/>
      <c r="DJ19" s="1545"/>
      <c r="DK19" s="1545"/>
      <c r="DL19" s="1541" t="s">
        <v>1660</v>
      </c>
      <c r="DM19" s="1542"/>
      <c r="DN19" s="1542"/>
      <c r="DO19" s="1542"/>
      <c r="DP19" s="1542"/>
      <c r="DQ19" s="1542"/>
      <c r="DR19" s="1542"/>
      <c r="DS19" s="1542"/>
      <c r="DT19" s="1542"/>
      <c r="DU19" s="1542"/>
      <c r="DV19" s="1542"/>
      <c r="DW19" s="1542"/>
      <c r="DX19" s="1542"/>
      <c r="DY19" s="1542"/>
      <c r="DZ19" s="1542"/>
      <c r="EA19" s="1543"/>
      <c r="EB19" s="1538"/>
      <c r="EC19" s="1539"/>
      <c r="ED19" s="1539"/>
      <c r="EE19" s="1539"/>
      <c r="EF19" s="1539"/>
      <c r="EG19" s="1539"/>
      <c r="EH19" s="1539"/>
      <c r="EI19" s="1539"/>
      <c r="EJ19" s="1539"/>
      <c r="EK19" s="1539"/>
      <c r="EL19" s="1539"/>
      <c r="EM19" s="1539"/>
      <c r="EN19" s="1539"/>
      <c r="EO19" s="1540"/>
      <c r="EP19" s="1538"/>
      <c r="EQ19" s="1539"/>
      <c r="ER19" s="1539"/>
      <c r="ES19" s="1539"/>
      <c r="ET19" s="1539"/>
      <c r="EU19" s="1539"/>
      <c r="EV19" s="1539"/>
      <c r="EW19" s="1539"/>
      <c r="EX19" s="1539"/>
      <c r="EY19" s="1539"/>
      <c r="EZ19" s="1539"/>
      <c r="FA19" s="1539"/>
      <c r="FB19" s="1539"/>
      <c r="FC19" s="1540"/>
      <c r="FD19" s="1538" t="s">
        <v>1658</v>
      </c>
      <c r="FE19" s="1539"/>
      <c r="FF19" s="1539"/>
      <c r="FG19" s="1539"/>
      <c r="FH19" s="1539"/>
      <c r="FI19" s="1539"/>
      <c r="FJ19" s="1539"/>
      <c r="FK19" s="1539"/>
      <c r="FL19" s="1539"/>
      <c r="FM19" s="1539"/>
      <c r="FN19" s="1539"/>
      <c r="FO19" s="1539"/>
      <c r="FP19" s="1539"/>
      <c r="FQ19" s="1539"/>
      <c r="FR19" s="1539"/>
      <c r="FS19" s="1540"/>
      <c r="FT19" s="1545" t="s">
        <v>1659</v>
      </c>
      <c r="FU19" s="1545"/>
      <c r="FV19" s="1545"/>
      <c r="FW19" s="1545"/>
      <c r="FX19" s="1545"/>
      <c r="FY19" s="1545"/>
      <c r="FZ19" s="1545"/>
      <c r="GA19" s="1545"/>
      <c r="GB19" s="1545"/>
      <c r="GC19" s="1545"/>
      <c r="GD19" s="1545"/>
      <c r="GE19" s="1545"/>
      <c r="GF19" s="1545"/>
      <c r="GG19" s="1545"/>
      <c r="GH19" s="1545"/>
      <c r="GI19" s="1545"/>
      <c r="GJ19" s="1541" t="s">
        <v>1660</v>
      </c>
      <c r="GK19" s="1542"/>
      <c r="GL19" s="1542"/>
      <c r="GM19" s="1542"/>
      <c r="GN19" s="1542"/>
      <c r="GO19" s="1542"/>
      <c r="GP19" s="1542"/>
      <c r="GQ19" s="1542"/>
      <c r="GR19" s="1542"/>
      <c r="GS19" s="1542"/>
      <c r="GT19" s="1542"/>
      <c r="GU19" s="1542"/>
      <c r="GV19" s="1542"/>
      <c r="GW19" s="1542"/>
      <c r="GX19" s="1542"/>
      <c r="GY19" s="1543"/>
      <c r="GZ19" s="1538"/>
      <c r="HA19" s="1539"/>
      <c r="HB19" s="1539"/>
      <c r="HC19" s="1539"/>
      <c r="HD19" s="1539"/>
      <c r="HE19" s="1539"/>
      <c r="HF19" s="1539"/>
      <c r="HG19" s="1539"/>
      <c r="HH19" s="1539"/>
      <c r="HI19" s="1539"/>
      <c r="HJ19" s="1539"/>
      <c r="HK19" s="1539"/>
      <c r="HL19" s="1539"/>
      <c r="HM19" s="1539"/>
      <c r="HN19" s="1539"/>
      <c r="HO19" s="1539"/>
      <c r="HP19" s="1540"/>
    </row>
    <row r="20" spans="1:231" s="443" customFormat="1" ht="10.199999999999999">
      <c r="A20" s="1564">
        <v>1</v>
      </c>
      <c r="B20" s="1565"/>
      <c r="C20" s="1565"/>
      <c r="D20" s="1565"/>
      <c r="E20" s="1565"/>
      <c r="F20" s="1565"/>
      <c r="G20" s="1565"/>
      <c r="H20" s="1565"/>
      <c r="I20" s="1565"/>
      <c r="J20" s="1565"/>
      <c r="K20" s="1565"/>
      <c r="L20" s="1565"/>
      <c r="M20" s="1565"/>
      <c r="N20" s="1565"/>
      <c r="O20" s="1565"/>
      <c r="P20" s="1565"/>
      <c r="Q20" s="1565"/>
      <c r="R20" s="1565"/>
      <c r="S20" s="1565"/>
      <c r="T20" s="1565"/>
      <c r="U20" s="1565"/>
      <c r="V20" s="1565"/>
      <c r="W20" s="1565"/>
      <c r="X20" s="1565"/>
      <c r="Y20" s="1565"/>
      <c r="Z20" s="1565"/>
      <c r="AA20" s="1565"/>
      <c r="AB20" s="1565"/>
      <c r="AC20" s="1565"/>
      <c r="AD20" s="1565"/>
      <c r="AE20" s="1565"/>
      <c r="AF20" s="1565"/>
      <c r="AG20" s="1565"/>
      <c r="AH20" s="1565"/>
      <c r="AI20" s="1565"/>
      <c r="AJ20" s="1565"/>
      <c r="AK20" s="1566"/>
      <c r="AL20" s="1544">
        <v>2</v>
      </c>
      <c r="AM20" s="1544"/>
      <c r="AN20" s="1544"/>
      <c r="AO20" s="1544"/>
      <c r="AP20" s="1544"/>
      <c r="AQ20" s="1544"/>
      <c r="AR20" s="1544"/>
      <c r="AS20" s="1544"/>
      <c r="AT20" s="1544"/>
      <c r="AU20" s="1544"/>
      <c r="AV20" s="1544">
        <v>3</v>
      </c>
      <c r="AW20" s="1544"/>
      <c r="AX20" s="1544"/>
      <c r="AY20" s="1544"/>
      <c r="AZ20" s="1544"/>
      <c r="BA20" s="1544"/>
      <c r="BB20" s="1544"/>
      <c r="BC20" s="1544"/>
      <c r="BD20" s="1544">
        <v>4</v>
      </c>
      <c r="BE20" s="1544"/>
      <c r="BF20" s="1544"/>
      <c r="BG20" s="1544"/>
      <c r="BH20" s="1544"/>
      <c r="BI20" s="1544"/>
      <c r="BJ20" s="1544"/>
      <c r="BK20" s="1544"/>
      <c r="BL20" s="1544"/>
      <c r="BM20" s="1544"/>
      <c r="BN20" s="1544"/>
      <c r="BO20" s="1544"/>
      <c r="BP20" s="1544"/>
      <c r="BQ20" s="1544"/>
      <c r="BR20" s="1544">
        <v>5</v>
      </c>
      <c r="BS20" s="1544"/>
      <c r="BT20" s="1544"/>
      <c r="BU20" s="1544"/>
      <c r="BV20" s="1544"/>
      <c r="BW20" s="1544"/>
      <c r="BX20" s="1544"/>
      <c r="BY20" s="1544"/>
      <c r="BZ20" s="1544"/>
      <c r="CA20" s="1544"/>
      <c r="CB20" s="1544"/>
      <c r="CC20" s="1544"/>
      <c r="CD20" s="1544"/>
      <c r="CE20" s="1544"/>
      <c r="CF20" s="1544">
        <v>6</v>
      </c>
      <c r="CG20" s="1544"/>
      <c r="CH20" s="1544"/>
      <c r="CI20" s="1544"/>
      <c r="CJ20" s="1544"/>
      <c r="CK20" s="1544"/>
      <c r="CL20" s="1544"/>
      <c r="CM20" s="1544"/>
      <c r="CN20" s="1544"/>
      <c r="CO20" s="1544"/>
      <c r="CP20" s="1544"/>
      <c r="CQ20" s="1544"/>
      <c r="CR20" s="1544"/>
      <c r="CS20" s="1544"/>
      <c r="CT20" s="1544"/>
      <c r="CU20" s="1544"/>
      <c r="CV20" s="1544">
        <v>7</v>
      </c>
      <c r="CW20" s="1544"/>
      <c r="CX20" s="1544"/>
      <c r="CY20" s="1544"/>
      <c r="CZ20" s="1544"/>
      <c r="DA20" s="1544"/>
      <c r="DB20" s="1544"/>
      <c r="DC20" s="1544"/>
      <c r="DD20" s="1544"/>
      <c r="DE20" s="1544"/>
      <c r="DF20" s="1544"/>
      <c r="DG20" s="1544"/>
      <c r="DH20" s="1544"/>
      <c r="DI20" s="1544"/>
      <c r="DJ20" s="1544"/>
      <c r="DK20" s="1544"/>
      <c r="DL20" s="1544">
        <v>8</v>
      </c>
      <c r="DM20" s="1544"/>
      <c r="DN20" s="1544"/>
      <c r="DO20" s="1544"/>
      <c r="DP20" s="1544"/>
      <c r="DQ20" s="1544"/>
      <c r="DR20" s="1544"/>
      <c r="DS20" s="1544"/>
      <c r="DT20" s="1544"/>
      <c r="DU20" s="1544"/>
      <c r="DV20" s="1544"/>
      <c r="DW20" s="1544"/>
      <c r="DX20" s="1544"/>
      <c r="DY20" s="1544"/>
      <c r="DZ20" s="1544"/>
      <c r="EA20" s="1544"/>
      <c r="EB20" s="1544">
        <v>9</v>
      </c>
      <c r="EC20" s="1544"/>
      <c r="ED20" s="1544"/>
      <c r="EE20" s="1544"/>
      <c r="EF20" s="1544"/>
      <c r="EG20" s="1544"/>
      <c r="EH20" s="1544"/>
      <c r="EI20" s="1544"/>
      <c r="EJ20" s="1544"/>
      <c r="EK20" s="1544"/>
      <c r="EL20" s="1544"/>
      <c r="EM20" s="1544"/>
      <c r="EN20" s="1544"/>
      <c r="EO20" s="1544"/>
      <c r="EP20" s="1564">
        <v>10</v>
      </c>
      <c r="EQ20" s="1565"/>
      <c r="ER20" s="1565"/>
      <c r="ES20" s="1565"/>
      <c r="ET20" s="1565"/>
      <c r="EU20" s="1565"/>
      <c r="EV20" s="1565"/>
      <c r="EW20" s="1565"/>
      <c r="EX20" s="1565"/>
      <c r="EY20" s="1565"/>
      <c r="EZ20" s="1565"/>
      <c r="FA20" s="1565"/>
      <c r="FB20" s="1565"/>
      <c r="FC20" s="1566"/>
      <c r="FD20" s="1564">
        <v>11</v>
      </c>
      <c r="FE20" s="1565"/>
      <c r="FF20" s="1565"/>
      <c r="FG20" s="1565"/>
      <c r="FH20" s="1565"/>
      <c r="FI20" s="1565"/>
      <c r="FJ20" s="1565"/>
      <c r="FK20" s="1565"/>
      <c r="FL20" s="1565"/>
      <c r="FM20" s="1565"/>
      <c r="FN20" s="1565"/>
      <c r="FO20" s="1565"/>
      <c r="FP20" s="1565"/>
      <c r="FQ20" s="1565"/>
      <c r="FR20" s="1565"/>
      <c r="FS20" s="1566"/>
      <c r="FT20" s="1564">
        <v>12</v>
      </c>
      <c r="FU20" s="1565"/>
      <c r="FV20" s="1565"/>
      <c r="FW20" s="1565"/>
      <c r="FX20" s="1565"/>
      <c r="FY20" s="1565"/>
      <c r="FZ20" s="1565"/>
      <c r="GA20" s="1565"/>
      <c r="GB20" s="1565"/>
      <c r="GC20" s="1565"/>
      <c r="GD20" s="1565"/>
      <c r="GE20" s="1565"/>
      <c r="GF20" s="1565"/>
      <c r="GG20" s="1565"/>
      <c r="GH20" s="1565"/>
      <c r="GI20" s="1566"/>
      <c r="GJ20" s="1564">
        <v>13</v>
      </c>
      <c r="GK20" s="1565"/>
      <c r="GL20" s="1565"/>
      <c r="GM20" s="1565"/>
      <c r="GN20" s="1565"/>
      <c r="GO20" s="1565"/>
      <c r="GP20" s="1565"/>
      <c r="GQ20" s="1565"/>
      <c r="GR20" s="1565"/>
      <c r="GS20" s="1565"/>
      <c r="GT20" s="1565"/>
      <c r="GU20" s="1565"/>
      <c r="GV20" s="1565"/>
      <c r="GW20" s="1565"/>
      <c r="GX20" s="1565"/>
      <c r="GY20" s="1566"/>
      <c r="GZ20" s="1544">
        <v>14</v>
      </c>
      <c r="HA20" s="1544"/>
      <c r="HB20" s="1544"/>
      <c r="HC20" s="1544"/>
      <c r="HD20" s="1544"/>
      <c r="HE20" s="1544"/>
      <c r="HF20" s="1544"/>
      <c r="HG20" s="1544"/>
      <c r="HH20" s="1544"/>
      <c r="HI20" s="1544"/>
      <c r="HJ20" s="1544"/>
      <c r="HK20" s="1544"/>
      <c r="HL20" s="1544"/>
      <c r="HM20" s="1544"/>
      <c r="HN20" s="1544"/>
      <c r="HO20" s="1544"/>
      <c r="HP20" s="1544"/>
    </row>
    <row r="21" spans="1:231" s="445" customFormat="1" ht="10.35" customHeight="1">
      <c r="A21" s="444"/>
      <c r="B21" s="1567" t="s">
        <v>1661</v>
      </c>
      <c r="C21" s="1567"/>
      <c r="D21" s="1567"/>
      <c r="E21" s="1567"/>
      <c r="F21" s="1567"/>
      <c r="G21" s="1567"/>
      <c r="H21" s="1567"/>
      <c r="I21" s="1567"/>
      <c r="J21" s="1567"/>
      <c r="K21" s="1567"/>
      <c r="L21" s="1567"/>
      <c r="M21" s="1567"/>
      <c r="N21" s="1567"/>
      <c r="O21" s="1567"/>
      <c r="P21" s="1567"/>
      <c r="Q21" s="1567"/>
      <c r="R21" s="1567"/>
      <c r="S21" s="1567"/>
      <c r="T21" s="1567"/>
      <c r="U21" s="1567"/>
      <c r="V21" s="1567"/>
      <c r="W21" s="1567"/>
      <c r="X21" s="1567"/>
      <c r="Y21" s="1567"/>
      <c r="Z21" s="1567"/>
      <c r="AA21" s="1567"/>
      <c r="AB21" s="1567"/>
      <c r="AC21" s="1567"/>
      <c r="AD21" s="1567"/>
      <c r="AE21" s="1567"/>
      <c r="AF21" s="1567"/>
      <c r="AG21" s="1567"/>
      <c r="AH21" s="1567"/>
      <c r="AI21" s="1567"/>
      <c r="AJ21" s="1567"/>
      <c r="AK21" s="1568"/>
      <c r="AL21" s="1569" t="s">
        <v>121</v>
      </c>
      <c r="AM21" s="1570"/>
      <c r="AN21" s="1570"/>
      <c r="AO21" s="1570"/>
      <c r="AP21" s="1570"/>
      <c r="AQ21" s="1570"/>
      <c r="AR21" s="1570"/>
      <c r="AS21" s="1570"/>
      <c r="AT21" s="1570"/>
      <c r="AU21" s="1571"/>
      <c r="AV21" s="1578" t="s">
        <v>1662</v>
      </c>
      <c r="AW21" s="1579"/>
      <c r="AX21" s="1579"/>
      <c r="AY21" s="1579"/>
      <c r="AZ21" s="1579"/>
      <c r="BA21" s="1579"/>
      <c r="BB21" s="1579"/>
      <c r="BC21" s="1580"/>
      <c r="BD21" s="1555">
        <f>CF21+CV21+DL21</f>
        <v>7866117</v>
      </c>
      <c r="BE21" s="1556"/>
      <c r="BF21" s="1556"/>
      <c r="BG21" s="1556"/>
      <c r="BH21" s="1556"/>
      <c r="BI21" s="1556"/>
      <c r="BJ21" s="1556"/>
      <c r="BK21" s="1556"/>
      <c r="BL21" s="1556"/>
      <c r="BM21" s="1556"/>
      <c r="BN21" s="1556"/>
      <c r="BO21" s="1556"/>
      <c r="BP21" s="1556"/>
      <c r="BQ21" s="1557"/>
      <c r="BR21" s="1555">
        <f>BD21</f>
        <v>7866117</v>
      </c>
      <c r="BS21" s="1556"/>
      <c r="BT21" s="1556"/>
      <c r="BU21" s="1556"/>
      <c r="BV21" s="1556"/>
      <c r="BW21" s="1556"/>
      <c r="BX21" s="1556"/>
      <c r="BY21" s="1556"/>
      <c r="BZ21" s="1556"/>
      <c r="CA21" s="1556"/>
      <c r="CB21" s="1556"/>
      <c r="CC21" s="1556"/>
      <c r="CD21" s="1556"/>
      <c r="CE21" s="1557"/>
      <c r="CF21" s="1555">
        <v>7509868</v>
      </c>
      <c r="CG21" s="1556"/>
      <c r="CH21" s="1556"/>
      <c r="CI21" s="1556"/>
      <c r="CJ21" s="1556"/>
      <c r="CK21" s="1556"/>
      <c r="CL21" s="1556"/>
      <c r="CM21" s="1556"/>
      <c r="CN21" s="1556"/>
      <c r="CO21" s="1556"/>
      <c r="CP21" s="1556"/>
      <c r="CQ21" s="1556"/>
      <c r="CR21" s="1556"/>
      <c r="CS21" s="1556"/>
      <c r="CT21" s="1556"/>
      <c r="CU21" s="1557"/>
      <c r="CV21" s="1555">
        <v>303810</v>
      </c>
      <c r="CW21" s="1556"/>
      <c r="CX21" s="1556"/>
      <c r="CY21" s="1556"/>
      <c r="CZ21" s="1556"/>
      <c r="DA21" s="1556"/>
      <c r="DB21" s="1556"/>
      <c r="DC21" s="1556"/>
      <c r="DD21" s="1556"/>
      <c r="DE21" s="1556"/>
      <c r="DF21" s="1556"/>
      <c r="DG21" s="1556"/>
      <c r="DH21" s="1556"/>
      <c r="DI21" s="1556"/>
      <c r="DJ21" s="1556"/>
      <c r="DK21" s="1557"/>
      <c r="DL21" s="1555">
        <v>52439</v>
      </c>
      <c r="DM21" s="1556"/>
      <c r="DN21" s="1556"/>
      <c r="DO21" s="1556"/>
      <c r="DP21" s="1556"/>
      <c r="DQ21" s="1556"/>
      <c r="DR21" s="1556"/>
      <c r="DS21" s="1556"/>
      <c r="DT21" s="1556"/>
      <c r="DU21" s="1556"/>
      <c r="DV21" s="1556"/>
      <c r="DW21" s="1556"/>
      <c r="DX21" s="1556"/>
      <c r="DY21" s="1556"/>
      <c r="DZ21" s="1556"/>
      <c r="EA21" s="1557"/>
      <c r="EB21" s="1555">
        <v>6764873</v>
      </c>
      <c r="EC21" s="1556"/>
      <c r="ED21" s="1556"/>
      <c r="EE21" s="1556"/>
      <c r="EF21" s="1556"/>
      <c r="EG21" s="1556"/>
      <c r="EH21" s="1556"/>
      <c r="EI21" s="1556"/>
      <c r="EJ21" s="1556"/>
      <c r="EK21" s="1556"/>
      <c r="EL21" s="1556"/>
      <c r="EM21" s="1556"/>
      <c r="EN21" s="1556"/>
      <c r="EO21" s="1557"/>
      <c r="EP21" s="1555">
        <v>6764873</v>
      </c>
      <c r="EQ21" s="1556"/>
      <c r="ER21" s="1556"/>
      <c r="ES21" s="1556"/>
      <c r="ET21" s="1556"/>
      <c r="EU21" s="1556"/>
      <c r="EV21" s="1556"/>
      <c r="EW21" s="1556"/>
      <c r="EX21" s="1556"/>
      <c r="EY21" s="1556"/>
      <c r="EZ21" s="1556"/>
      <c r="FA21" s="1556"/>
      <c r="FB21" s="1556"/>
      <c r="FC21" s="1557"/>
      <c r="FD21" s="1546">
        <v>6456262</v>
      </c>
      <c r="FE21" s="1547"/>
      <c r="FF21" s="1547"/>
      <c r="FG21" s="1547"/>
      <c r="FH21" s="1547"/>
      <c r="FI21" s="1547"/>
      <c r="FJ21" s="1547"/>
      <c r="FK21" s="1547"/>
      <c r="FL21" s="1547"/>
      <c r="FM21" s="1547"/>
      <c r="FN21" s="1547"/>
      <c r="FO21" s="1547"/>
      <c r="FP21" s="1547"/>
      <c r="FQ21" s="1547"/>
      <c r="FR21" s="1547"/>
      <c r="FS21" s="1548"/>
      <c r="FT21" s="1546">
        <v>266422</v>
      </c>
      <c r="FU21" s="1547"/>
      <c r="FV21" s="1547"/>
      <c r="FW21" s="1547"/>
      <c r="FX21" s="1547"/>
      <c r="FY21" s="1547"/>
      <c r="FZ21" s="1547"/>
      <c r="GA21" s="1547"/>
      <c r="GB21" s="1547"/>
      <c r="GC21" s="1547"/>
      <c r="GD21" s="1547"/>
      <c r="GE21" s="1547"/>
      <c r="GF21" s="1547"/>
      <c r="GG21" s="1547"/>
      <c r="GH21" s="1547"/>
      <c r="GI21" s="1548"/>
      <c r="GJ21" s="1546">
        <v>42189</v>
      </c>
      <c r="GK21" s="1547"/>
      <c r="GL21" s="1547"/>
      <c r="GM21" s="1547"/>
      <c r="GN21" s="1547"/>
      <c r="GO21" s="1547"/>
      <c r="GP21" s="1547"/>
      <c r="GQ21" s="1547"/>
      <c r="GR21" s="1547"/>
      <c r="GS21" s="1547"/>
      <c r="GT21" s="1547"/>
      <c r="GU21" s="1547"/>
      <c r="GV21" s="1547"/>
      <c r="GW21" s="1547"/>
      <c r="GX21" s="1547"/>
      <c r="GY21" s="1548"/>
      <c r="GZ21" s="1555"/>
      <c r="HA21" s="1556"/>
      <c r="HB21" s="1556"/>
      <c r="HC21" s="1556"/>
      <c r="HD21" s="1556"/>
      <c r="HE21" s="1556"/>
      <c r="HF21" s="1556"/>
      <c r="HG21" s="1556"/>
      <c r="HH21" s="1556"/>
      <c r="HI21" s="1556"/>
      <c r="HJ21" s="1556"/>
      <c r="HK21" s="1556"/>
      <c r="HL21" s="1556"/>
      <c r="HM21" s="1556"/>
      <c r="HN21" s="1556"/>
      <c r="HO21" s="1556"/>
      <c r="HP21" s="1557"/>
    </row>
    <row r="22" spans="1:231" s="445" customFormat="1" ht="10.35" customHeight="1">
      <c r="A22" s="446"/>
      <c r="B22" s="1587" t="s">
        <v>1663</v>
      </c>
      <c r="C22" s="1587"/>
      <c r="D22" s="1587"/>
      <c r="E22" s="1587"/>
      <c r="F22" s="1587"/>
      <c r="G22" s="1587"/>
      <c r="H22" s="1587"/>
      <c r="I22" s="1587"/>
      <c r="J22" s="1587"/>
      <c r="K22" s="1587"/>
      <c r="L22" s="1587"/>
      <c r="M22" s="1587"/>
      <c r="N22" s="1587"/>
      <c r="O22" s="1587"/>
      <c r="P22" s="1587"/>
      <c r="Q22" s="1587"/>
      <c r="R22" s="1587"/>
      <c r="S22" s="1587"/>
      <c r="T22" s="1587"/>
      <c r="U22" s="1587"/>
      <c r="V22" s="1587"/>
      <c r="W22" s="1587"/>
      <c r="X22" s="1587"/>
      <c r="Y22" s="1587"/>
      <c r="Z22" s="1587"/>
      <c r="AA22" s="1587"/>
      <c r="AB22" s="1587"/>
      <c r="AC22" s="1587"/>
      <c r="AD22" s="1587"/>
      <c r="AE22" s="1587"/>
      <c r="AF22" s="1587"/>
      <c r="AG22" s="1587"/>
      <c r="AH22" s="1587"/>
      <c r="AI22" s="1587"/>
      <c r="AJ22" s="1587"/>
      <c r="AK22" s="1588"/>
      <c r="AL22" s="1572"/>
      <c r="AM22" s="1573"/>
      <c r="AN22" s="1573"/>
      <c r="AO22" s="1573"/>
      <c r="AP22" s="1573"/>
      <c r="AQ22" s="1573"/>
      <c r="AR22" s="1573"/>
      <c r="AS22" s="1573"/>
      <c r="AT22" s="1573"/>
      <c r="AU22" s="1574"/>
      <c r="AV22" s="1581"/>
      <c r="AW22" s="1582"/>
      <c r="AX22" s="1582"/>
      <c r="AY22" s="1582"/>
      <c r="AZ22" s="1582"/>
      <c r="BA22" s="1582"/>
      <c r="BB22" s="1582"/>
      <c r="BC22" s="1583"/>
      <c r="BD22" s="1558"/>
      <c r="BE22" s="1559"/>
      <c r="BF22" s="1559"/>
      <c r="BG22" s="1559"/>
      <c r="BH22" s="1559"/>
      <c r="BI22" s="1559"/>
      <c r="BJ22" s="1559"/>
      <c r="BK22" s="1559"/>
      <c r="BL22" s="1559"/>
      <c r="BM22" s="1559"/>
      <c r="BN22" s="1559"/>
      <c r="BO22" s="1559"/>
      <c r="BP22" s="1559"/>
      <c r="BQ22" s="1560"/>
      <c r="BR22" s="1558"/>
      <c r="BS22" s="1559"/>
      <c r="BT22" s="1559"/>
      <c r="BU22" s="1559"/>
      <c r="BV22" s="1559"/>
      <c r="BW22" s="1559"/>
      <c r="BX22" s="1559"/>
      <c r="BY22" s="1559"/>
      <c r="BZ22" s="1559"/>
      <c r="CA22" s="1559"/>
      <c r="CB22" s="1559"/>
      <c r="CC22" s="1559"/>
      <c r="CD22" s="1559"/>
      <c r="CE22" s="1560"/>
      <c r="CF22" s="1558"/>
      <c r="CG22" s="1559"/>
      <c r="CH22" s="1559"/>
      <c r="CI22" s="1559"/>
      <c r="CJ22" s="1559"/>
      <c r="CK22" s="1559"/>
      <c r="CL22" s="1559"/>
      <c r="CM22" s="1559"/>
      <c r="CN22" s="1559"/>
      <c r="CO22" s="1559"/>
      <c r="CP22" s="1559"/>
      <c r="CQ22" s="1559"/>
      <c r="CR22" s="1559"/>
      <c r="CS22" s="1559"/>
      <c r="CT22" s="1559"/>
      <c r="CU22" s="1560"/>
      <c r="CV22" s="1558"/>
      <c r="CW22" s="1559"/>
      <c r="CX22" s="1559"/>
      <c r="CY22" s="1559"/>
      <c r="CZ22" s="1559"/>
      <c r="DA22" s="1559"/>
      <c r="DB22" s="1559"/>
      <c r="DC22" s="1559"/>
      <c r="DD22" s="1559"/>
      <c r="DE22" s="1559"/>
      <c r="DF22" s="1559"/>
      <c r="DG22" s="1559"/>
      <c r="DH22" s="1559"/>
      <c r="DI22" s="1559"/>
      <c r="DJ22" s="1559"/>
      <c r="DK22" s="1560"/>
      <c r="DL22" s="1558"/>
      <c r="DM22" s="1559"/>
      <c r="DN22" s="1559"/>
      <c r="DO22" s="1559"/>
      <c r="DP22" s="1559"/>
      <c r="DQ22" s="1559"/>
      <c r="DR22" s="1559"/>
      <c r="DS22" s="1559"/>
      <c r="DT22" s="1559"/>
      <c r="DU22" s="1559"/>
      <c r="DV22" s="1559"/>
      <c r="DW22" s="1559"/>
      <c r="DX22" s="1559"/>
      <c r="DY22" s="1559"/>
      <c r="DZ22" s="1559"/>
      <c r="EA22" s="1560"/>
      <c r="EB22" s="1558"/>
      <c r="EC22" s="1559"/>
      <c r="ED22" s="1559"/>
      <c r="EE22" s="1559"/>
      <c r="EF22" s="1559"/>
      <c r="EG22" s="1559"/>
      <c r="EH22" s="1559"/>
      <c r="EI22" s="1559"/>
      <c r="EJ22" s="1559"/>
      <c r="EK22" s="1559"/>
      <c r="EL22" s="1559"/>
      <c r="EM22" s="1559"/>
      <c r="EN22" s="1559"/>
      <c r="EO22" s="1560"/>
      <c r="EP22" s="1558"/>
      <c r="EQ22" s="1559"/>
      <c r="ER22" s="1559"/>
      <c r="ES22" s="1559"/>
      <c r="ET22" s="1559"/>
      <c r="EU22" s="1559"/>
      <c r="EV22" s="1559"/>
      <c r="EW22" s="1559"/>
      <c r="EX22" s="1559"/>
      <c r="EY22" s="1559"/>
      <c r="EZ22" s="1559"/>
      <c r="FA22" s="1559"/>
      <c r="FB22" s="1559"/>
      <c r="FC22" s="1560"/>
      <c r="FD22" s="1549"/>
      <c r="FE22" s="1550"/>
      <c r="FF22" s="1550"/>
      <c r="FG22" s="1550"/>
      <c r="FH22" s="1550"/>
      <c r="FI22" s="1550"/>
      <c r="FJ22" s="1550"/>
      <c r="FK22" s="1550"/>
      <c r="FL22" s="1550"/>
      <c r="FM22" s="1550"/>
      <c r="FN22" s="1550"/>
      <c r="FO22" s="1550"/>
      <c r="FP22" s="1550"/>
      <c r="FQ22" s="1550"/>
      <c r="FR22" s="1550"/>
      <c r="FS22" s="1551"/>
      <c r="FT22" s="1549"/>
      <c r="FU22" s="1550"/>
      <c r="FV22" s="1550"/>
      <c r="FW22" s="1550"/>
      <c r="FX22" s="1550"/>
      <c r="FY22" s="1550"/>
      <c r="FZ22" s="1550"/>
      <c r="GA22" s="1550"/>
      <c r="GB22" s="1550"/>
      <c r="GC22" s="1550"/>
      <c r="GD22" s="1550"/>
      <c r="GE22" s="1550"/>
      <c r="GF22" s="1550"/>
      <c r="GG22" s="1550"/>
      <c r="GH22" s="1550"/>
      <c r="GI22" s="1551"/>
      <c r="GJ22" s="1549"/>
      <c r="GK22" s="1550"/>
      <c r="GL22" s="1550"/>
      <c r="GM22" s="1550"/>
      <c r="GN22" s="1550"/>
      <c r="GO22" s="1550"/>
      <c r="GP22" s="1550"/>
      <c r="GQ22" s="1550"/>
      <c r="GR22" s="1550"/>
      <c r="GS22" s="1550"/>
      <c r="GT22" s="1550"/>
      <c r="GU22" s="1550"/>
      <c r="GV22" s="1550"/>
      <c r="GW22" s="1550"/>
      <c r="GX22" s="1550"/>
      <c r="GY22" s="1551"/>
      <c r="GZ22" s="1558"/>
      <c r="HA22" s="1559"/>
      <c r="HB22" s="1559"/>
      <c r="HC22" s="1559"/>
      <c r="HD22" s="1559"/>
      <c r="HE22" s="1559"/>
      <c r="HF22" s="1559"/>
      <c r="HG22" s="1559"/>
      <c r="HH22" s="1559"/>
      <c r="HI22" s="1559"/>
      <c r="HJ22" s="1559"/>
      <c r="HK22" s="1559"/>
      <c r="HL22" s="1559"/>
      <c r="HM22" s="1559"/>
      <c r="HN22" s="1559"/>
      <c r="HO22" s="1559"/>
      <c r="HP22" s="1560"/>
    </row>
    <row r="23" spans="1:231" s="445" customFormat="1" ht="10.35" customHeight="1">
      <c r="A23" s="446"/>
      <c r="B23" s="1587" t="s">
        <v>1664</v>
      </c>
      <c r="C23" s="1587"/>
      <c r="D23" s="1587"/>
      <c r="E23" s="1587"/>
      <c r="F23" s="1587"/>
      <c r="G23" s="1587"/>
      <c r="H23" s="1587"/>
      <c r="I23" s="1587"/>
      <c r="J23" s="1587"/>
      <c r="K23" s="1587"/>
      <c r="L23" s="1587"/>
      <c r="M23" s="1587"/>
      <c r="N23" s="1587"/>
      <c r="O23" s="1587"/>
      <c r="P23" s="1587"/>
      <c r="Q23" s="1587"/>
      <c r="R23" s="1587"/>
      <c r="S23" s="1587"/>
      <c r="T23" s="1587"/>
      <c r="U23" s="1587"/>
      <c r="V23" s="1587"/>
      <c r="W23" s="1587"/>
      <c r="X23" s="1587"/>
      <c r="Y23" s="1587"/>
      <c r="Z23" s="1587"/>
      <c r="AA23" s="1587"/>
      <c r="AB23" s="1587"/>
      <c r="AC23" s="1587"/>
      <c r="AD23" s="1587"/>
      <c r="AE23" s="1587"/>
      <c r="AF23" s="1587"/>
      <c r="AG23" s="1587"/>
      <c r="AH23" s="1587"/>
      <c r="AI23" s="1587"/>
      <c r="AJ23" s="1587"/>
      <c r="AK23" s="1588"/>
      <c r="AL23" s="1572"/>
      <c r="AM23" s="1573"/>
      <c r="AN23" s="1573"/>
      <c r="AO23" s="1573"/>
      <c r="AP23" s="1573"/>
      <c r="AQ23" s="1573"/>
      <c r="AR23" s="1573"/>
      <c r="AS23" s="1573"/>
      <c r="AT23" s="1573"/>
      <c r="AU23" s="1574"/>
      <c r="AV23" s="1581"/>
      <c r="AW23" s="1582"/>
      <c r="AX23" s="1582"/>
      <c r="AY23" s="1582"/>
      <c r="AZ23" s="1582"/>
      <c r="BA23" s="1582"/>
      <c r="BB23" s="1582"/>
      <c r="BC23" s="1583"/>
      <c r="BD23" s="1558"/>
      <c r="BE23" s="1559"/>
      <c r="BF23" s="1559"/>
      <c r="BG23" s="1559"/>
      <c r="BH23" s="1559"/>
      <c r="BI23" s="1559"/>
      <c r="BJ23" s="1559"/>
      <c r="BK23" s="1559"/>
      <c r="BL23" s="1559"/>
      <c r="BM23" s="1559"/>
      <c r="BN23" s="1559"/>
      <c r="BO23" s="1559"/>
      <c r="BP23" s="1559"/>
      <c r="BQ23" s="1560"/>
      <c r="BR23" s="1558"/>
      <c r="BS23" s="1559"/>
      <c r="BT23" s="1559"/>
      <c r="BU23" s="1559"/>
      <c r="BV23" s="1559"/>
      <c r="BW23" s="1559"/>
      <c r="BX23" s="1559"/>
      <c r="BY23" s="1559"/>
      <c r="BZ23" s="1559"/>
      <c r="CA23" s="1559"/>
      <c r="CB23" s="1559"/>
      <c r="CC23" s="1559"/>
      <c r="CD23" s="1559"/>
      <c r="CE23" s="1560"/>
      <c r="CF23" s="1558"/>
      <c r="CG23" s="1559"/>
      <c r="CH23" s="1559"/>
      <c r="CI23" s="1559"/>
      <c r="CJ23" s="1559"/>
      <c r="CK23" s="1559"/>
      <c r="CL23" s="1559"/>
      <c r="CM23" s="1559"/>
      <c r="CN23" s="1559"/>
      <c r="CO23" s="1559"/>
      <c r="CP23" s="1559"/>
      <c r="CQ23" s="1559"/>
      <c r="CR23" s="1559"/>
      <c r="CS23" s="1559"/>
      <c r="CT23" s="1559"/>
      <c r="CU23" s="1560"/>
      <c r="CV23" s="1558"/>
      <c r="CW23" s="1559"/>
      <c r="CX23" s="1559"/>
      <c r="CY23" s="1559"/>
      <c r="CZ23" s="1559"/>
      <c r="DA23" s="1559"/>
      <c r="DB23" s="1559"/>
      <c r="DC23" s="1559"/>
      <c r="DD23" s="1559"/>
      <c r="DE23" s="1559"/>
      <c r="DF23" s="1559"/>
      <c r="DG23" s="1559"/>
      <c r="DH23" s="1559"/>
      <c r="DI23" s="1559"/>
      <c r="DJ23" s="1559"/>
      <c r="DK23" s="1560"/>
      <c r="DL23" s="1558"/>
      <c r="DM23" s="1559"/>
      <c r="DN23" s="1559"/>
      <c r="DO23" s="1559"/>
      <c r="DP23" s="1559"/>
      <c r="DQ23" s="1559"/>
      <c r="DR23" s="1559"/>
      <c r="DS23" s="1559"/>
      <c r="DT23" s="1559"/>
      <c r="DU23" s="1559"/>
      <c r="DV23" s="1559"/>
      <c r="DW23" s="1559"/>
      <c r="DX23" s="1559"/>
      <c r="DY23" s="1559"/>
      <c r="DZ23" s="1559"/>
      <c r="EA23" s="1560"/>
      <c r="EB23" s="1558"/>
      <c r="EC23" s="1559"/>
      <c r="ED23" s="1559"/>
      <c r="EE23" s="1559"/>
      <c r="EF23" s="1559"/>
      <c r="EG23" s="1559"/>
      <c r="EH23" s="1559"/>
      <c r="EI23" s="1559"/>
      <c r="EJ23" s="1559"/>
      <c r="EK23" s="1559"/>
      <c r="EL23" s="1559"/>
      <c r="EM23" s="1559"/>
      <c r="EN23" s="1559"/>
      <c r="EO23" s="1560"/>
      <c r="EP23" s="1558"/>
      <c r="EQ23" s="1559"/>
      <c r="ER23" s="1559"/>
      <c r="ES23" s="1559"/>
      <c r="ET23" s="1559"/>
      <c r="EU23" s="1559"/>
      <c r="EV23" s="1559"/>
      <c r="EW23" s="1559"/>
      <c r="EX23" s="1559"/>
      <c r="EY23" s="1559"/>
      <c r="EZ23" s="1559"/>
      <c r="FA23" s="1559"/>
      <c r="FB23" s="1559"/>
      <c r="FC23" s="1560"/>
      <c r="FD23" s="1549"/>
      <c r="FE23" s="1550"/>
      <c r="FF23" s="1550"/>
      <c r="FG23" s="1550"/>
      <c r="FH23" s="1550"/>
      <c r="FI23" s="1550"/>
      <c r="FJ23" s="1550"/>
      <c r="FK23" s="1550"/>
      <c r="FL23" s="1550"/>
      <c r="FM23" s="1550"/>
      <c r="FN23" s="1550"/>
      <c r="FO23" s="1550"/>
      <c r="FP23" s="1550"/>
      <c r="FQ23" s="1550"/>
      <c r="FR23" s="1550"/>
      <c r="FS23" s="1551"/>
      <c r="FT23" s="1549"/>
      <c r="FU23" s="1550"/>
      <c r="FV23" s="1550"/>
      <c r="FW23" s="1550"/>
      <c r="FX23" s="1550"/>
      <c r="FY23" s="1550"/>
      <c r="FZ23" s="1550"/>
      <c r="GA23" s="1550"/>
      <c r="GB23" s="1550"/>
      <c r="GC23" s="1550"/>
      <c r="GD23" s="1550"/>
      <c r="GE23" s="1550"/>
      <c r="GF23" s="1550"/>
      <c r="GG23" s="1550"/>
      <c r="GH23" s="1550"/>
      <c r="GI23" s="1551"/>
      <c r="GJ23" s="1549"/>
      <c r="GK23" s="1550"/>
      <c r="GL23" s="1550"/>
      <c r="GM23" s="1550"/>
      <c r="GN23" s="1550"/>
      <c r="GO23" s="1550"/>
      <c r="GP23" s="1550"/>
      <c r="GQ23" s="1550"/>
      <c r="GR23" s="1550"/>
      <c r="GS23" s="1550"/>
      <c r="GT23" s="1550"/>
      <c r="GU23" s="1550"/>
      <c r="GV23" s="1550"/>
      <c r="GW23" s="1550"/>
      <c r="GX23" s="1550"/>
      <c r="GY23" s="1551"/>
      <c r="GZ23" s="1558"/>
      <c r="HA23" s="1559"/>
      <c r="HB23" s="1559"/>
      <c r="HC23" s="1559"/>
      <c r="HD23" s="1559"/>
      <c r="HE23" s="1559"/>
      <c r="HF23" s="1559"/>
      <c r="HG23" s="1559"/>
      <c r="HH23" s="1559"/>
      <c r="HI23" s="1559"/>
      <c r="HJ23" s="1559"/>
      <c r="HK23" s="1559"/>
      <c r="HL23" s="1559"/>
      <c r="HM23" s="1559"/>
      <c r="HN23" s="1559"/>
      <c r="HO23" s="1559"/>
      <c r="HP23" s="1560"/>
      <c r="HU23" s="1043"/>
      <c r="HV23" s="1044"/>
      <c r="HW23" s="1044"/>
    </row>
    <row r="24" spans="1:231" s="445" customFormat="1" ht="10.35" customHeight="1">
      <c r="A24" s="447"/>
      <c r="B24" s="1589" t="s">
        <v>1665</v>
      </c>
      <c r="C24" s="1589"/>
      <c r="D24" s="1589"/>
      <c r="E24" s="1589"/>
      <c r="F24" s="1589"/>
      <c r="G24" s="1589"/>
      <c r="H24" s="1589"/>
      <c r="I24" s="1589"/>
      <c r="J24" s="1589"/>
      <c r="K24" s="1589"/>
      <c r="L24" s="1589"/>
      <c r="M24" s="1589"/>
      <c r="N24" s="1589"/>
      <c r="O24" s="1589"/>
      <c r="P24" s="1589"/>
      <c r="Q24" s="1589"/>
      <c r="R24" s="1589"/>
      <c r="S24" s="1589"/>
      <c r="T24" s="1589"/>
      <c r="U24" s="1589"/>
      <c r="V24" s="1589"/>
      <c r="W24" s="1589"/>
      <c r="X24" s="1589"/>
      <c r="Y24" s="1589"/>
      <c r="Z24" s="1589"/>
      <c r="AA24" s="1589"/>
      <c r="AB24" s="1589"/>
      <c r="AC24" s="1589"/>
      <c r="AD24" s="1589"/>
      <c r="AE24" s="1589"/>
      <c r="AF24" s="1589"/>
      <c r="AG24" s="1589"/>
      <c r="AH24" s="1589"/>
      <c r="AI24" s="1589"/>
      <c r="AJ24" s="1589"/>
      <c r="AK24" s="1590"/>
      <c r="AL24" s="1575"/>
      <c r="AM24" s="1576"/>
      <c r="AN24" s="1576"/>
      <c r="AO24" s="1576"/>
      <c r="AP24" s="1576"/>
      <c r="AQ24" s="1576"/>
      <c r="AR24" s="1576"/>
      <c r="AS24" s="1576"/>
      <c r="AT24" s="1576"/>
      <c r="AU24" s="1577"/>
      <c r="AV24" s="1584"/>
      <c r="AW24" s="1585"/>
      <c r="AX24" s="1585"/>
      <c r="AY24" s="1585"/>
      <c r="AZ24" s="1585"/>
      <c r="BA24" s="1585"/>
      <c r="BB24" s="1585"/>
      <c r="BC24" s="1586"/>
      <c r="BD24" s="1561"/>
      <c r="BE24" s="1562"/>
      <c r="BF24" s="1562"/>
      <c r="BG24" s="1562"/>
      <c r="BH24" s="1562"/>
      <c r="BI24" s="1562"/>
      <c r="BJ24" s="1562"/>
      <c r="BK24" s="1562"/>
      <c r="BL24" s="1562"/>
      <c r="BM24" s="1562"/>
      <c r="BN24" s="1562"/>
      <c r="BO24" s="1562"/>
      <c r="BP24" s="1562"/>
      <c r="BQ24" s="1563"/>
      <c r="BR24" s="1561"/>
      <c r="BS24" s="1562"/>
      <c r="BT24" s="1562"/>
      <c r="BU24" s="1562"/>
      <c r="BV24" s="1562"/>
      <c r="BW24" s="1562"/>
      <c r="BX24" s="1562"/>
      <c r="BY24" s="1562"/>
      <c r="BZ24" s="1562"/>
      <c r="CA24" s="1562"/>
      <c r="CB24" s="1562"/>
      <c r="CC24" s="1562"/>
      <c r="CD24" s="1562"/>
      <c r="CE24" s="1563"/>
      <c r="CF24" s="1561"/>
      <c r="CG24" s="1562"/>
      <c r="CH24" s="1562"/>
      <c r="CI24" s="1562"/>
      <c r="CJ24" s="1562"/>
      <c r="CK24" s="1562"/>
      <c r="CL24" s="1562"/>
      <c r="CM24" s="1562"/>
      <c r="CN24" s="1562"/>
      <c r="CO24" s="1562"/>
      <c r="CP24" s="1562"/>
      <c r="CQ24" s="1562"/>
      <c r="CR24" s="1562"/>
      <c r="CS24" s="1562"/>
      <c r="CT24" s="1562"/>
      <c r="CU24" s="1563"/>
      <c r="CV24" s="1561"/>
      <c r="CW24" s="1562"/>
      <c r="CX24" s="1562"/>
      <c r="CY24" s="1562"/>
      <c r="CZ24" s="1562"/>
      <c r="DA24" s="1562"/>
      <c r="DB24" s="1562"/>
      <c r="DC24" s="1562"/>
      <c r="DD24" s="1562"/>
      <c r="DE24" s="1562"/>
      <c r="DF24" s="1562"/>
      <c r="DG24" s="1562"/>
      <c r="DH24" s="1562"/>
      <c r="DI24" s="1562"/>
      <c r="DJ24" s="1562"/>
      <c r="DK24" s="1563"/>
      <c r="DL24" s="1561"/>
      <c r="DM24" s="1562"/>
      <c r="DN24" s="1562"/>
      <c r="DO24" s="1562"/>
      <c r="DP24" s="1562"/>
      <c r="DQ24" s="1562"/>
      <c r="DR24" s="1562"/>
      <c r="DS24" s="1562"/>
      <c r="DT24" s="1562"/>
      <c r="DU24" s="1562"/>
      <c r="DV24" s="1562"/>
      <c r="DW24" s="1562"/>
      <c r="DX24" s="1562"/>
      <c r="DY24" s="1562"/>
      <c r="DZ24" s="1562"/>
      <c r="EA24" s="1563"/>
      <c r="EB24" s="1561"/>
      <c r="EC24" s="1562"/>
      <c r="ED24" s="1562"/>
      <c r="EE24" s="1562"/>
      <c r="EF24" s="1562"/>
      <c r="EG24" s="1562"/>
      <c r="EH24" s="1562"/>
      <c r="EI24" s="1562"/>
      <c r="EJ24" s="1562"/>
      <c r="EK24" s="1562"/>
      <c r="EL24" s="1562"/>
      <c r="EM24" s="1562"/>
      <c r="EN24" s="1562"/>
      <c r="EO24" s="1563"/>
      <c r="EP24" s="1561"/>
      <c r="EQ24" s="1562"/>
      <c r="ER24" s="1562"/>
      <c r="ES24" s="1562"/>
      <c r="ET24" s="1562"/>
      <c r="EU24" s="1562"/>
      <c r="EV24" s="1562"/>
      <c r="EW24" s="1562"/>
      <c r="EX24" s="1562"/>
      <c r="EY24" s="1562"/>
      <c r="EZ24" s="1562"/>
      <c r="FA24" s="1562"/>
      <c r="FB24" s="1562"/>
      <c r="FC24" s="1563"/>
      <c r="FD24" s="1552"/>
      <c r="FE24" s="1553"/>
      <c r="FF24" s="1553"/>
      <c r="FG24" s="1553"/>
      <c r="FH24" s="1553"/>
      <c r="FI24" s="1553"/>
      <c r="FJ24" s="1553"/>
      <c r="FK24" s="1553"/>
      <c r="FL24" s="1553"/>
      <c r="FM24" s="1553"/>
      <c r="FN24" s="1553"/>
      <c r="FO24" s="1553"/>
      <c r="FP24" s="1553"/>
      <c r="FQ24" s="1553"/>
      <c r="FR24" s="1553"/>
      <c r="FS24" s="1554"/>
      <c r="FT24" s="1552"/>
      <c r="FU24" s="1553"/>
      <c r="FV24" s="1553"/>
      <c r="FW24" s="1553"/>
      <c r="FX24" s="1553"/>
      <c r="FY24" s="1553"/>
      <c r="FZ24" s="1553"/>
      <c r="GA24" s="1553"/>
      <c r="GB24" s="1553"/>
      <c r="GC24" s="1553"/>
      <c r="GD24" s="1553"/>
      <c r="GE24" s="1553"/>
      <c r="GF24" s="1553"/>
      <c r="GG24" s="1553"/>
      <c r="GH24" s="1553"/>
      <c r="GI24" s="1554"/>
      <c r="GJ24" s="1552"/>
      <c r="GK24" s="1553"/>
      <c r="GL24" s="1553"/>
      <c r="GM24" s="1553"/>
      <c r="GN24" s="1553"/>
      <c r="GO24" s="1553"/>
      <c r="GP24" s="1553"/>
      <c r="GQ24" s="1553"/>
      <c r="GR24" s="1553"/>
      <c r="GS24" s="1553"/>
      <c r="GT24" s="1553"/>
      <c r="GU24" s="1553"/>
      <c r="GV24" s="1553"/>
      <c r="GW24" s="1553"/>
      <c r="GX24" s="1553"/>
      <c r="GY24" s="1554"/>
      <c r="GZ24" s="1561"/>
      <c r="HA24" s="1562"/>
      <c r="HB24" s="1562"/>
      <c r="HC24" s="1562"/>
      <c r="HD24" s="1562"/>
      <c r="HE24" s="1562"/>
      <c r="HF24" s="1562"/>
      <c r="HG24" s="1562"/>
      <c r="HH24" s="1562"/>
      <c r="HI24" s="1562"/>
      <c r="HJ24" s="1562"/>
      <c r="HK24" s="1562"/>
      <c r="HL24" s="1562"/>
      <c r="HM24" s="1562"/>
      <c r="HN24" s="1562"/>
      <c r="HO24" s="1562"/>
      <c r="HP24" s="1563"/>
      <c r="HW24" s="1044"/>
    </row>
    <row r="25" spans="1:231" s="449" customFormat="1" ht="10.35" customHeight="1">
      <c r="A25" s="448"/>
      <c r="B25" s="1591" t="s">
        <v>1666</v>
      </c>
      <c r="C25" s="1591"/>
      <c r="D25" s="1591"/>
      <c r="E25" s="1591"/>
      <c r="F25" s="1591"/>
      <c r="G25" s="1591"/>
      <c r="H25" s="1591"/>
      <c r="I25" s="1591"/>
      <c r="J25" s="1591"/>
      <c r="K25" s="1591"/>
      <c r="L25" s="1591"/>
      <c r="M25" s="1591"/>
      <c r="N25" s="1591"/>
      <c r="O25" s="1591"/>
      <c r="P25" s="1591"/>
      <c r="Q25" s="1591"/>
      <c r="R25" s="1591"/>
      <c r="S25" s="1591"/>
      <c r="T25" s="1591"/>
      <c r="U25" s="1591"/>
      <c r="V25" s="1591"/>
      <c r="W25" s="1591"/>
      <c r="X25" s="1591"/>
      <c r="Y25" s="1591"/>
      <c r="Z25" s="1591"/>
      <c r="AA25" s="1591"/>
      <c r="AB25" s="1591"/>
      <c r="AC25" s="1591"/>
      <c r="AD25" s="1591"/>
      <c r="AE25" s="1591"/>
      <c r="AF25" s="1591"/>
      <c r="AG25" s="1591"/>
      <c r="AH25" s="1591"/>
      <c r="AI25" s="1591"/>
      <c r="AJ25" s="1591"/>
      <c r="AK25" s="1592"/>
      <c r="AL25" s="1593" t="s">
        <v>121</v>
      </c>
      <c r="AM25" s="1594"/>
      <c r="AN25" s="1594"/>
      <c r="AO25" s="1594"/>
      <c r="AP25" s="1594"/>
      <c r="AQ25" s="1594"/>
      <c r="AR25" s="1594"/>
      <c r="AS25" s="1594"/>
      <c r="AT25" s="1594"/>
      <c r="AU25" s="1595"/>
      <c r="AV25" s="1599" t="s">
        <v>1667</v>
      </c>
      <c r="AW25" s="1600"/>
      <c r="AX25" s="1600"/>
      <c r="AY25" s="1600"/>
      <c r="AZ25" s="1600"/>
      <c r="BA25" s="1600"/>
      <c r="BB25" s="1600"/>
      <c r="BC25" s="1601"/>
      <c r="BD25" s="1546">
        <f>CF25+CV25+DL25</f>
        <v>7005809</v>
      </c>
      <c r="BE25" s="1547"/>
      <c r="BF25" s="1547"/>
      <c r="BG25" s="1547"/>
      <c r="BH25" s="1547"/>
      <c r="BI25" s="1547"/>
      <c r="BJ25" s="1547"/>
      <c r="BK25" s="1547"/>
      <c r="BL25" s="1547"/>
      <c r="BM25" s="1547"/>
      <c r="BN25" s="1547"/>
      <c r="BO25" s="1547"/>
      <c r="BP25" s="1547"/>
      <c r="BQ25" s="1548"/>
      <c r="BR25" s="1546">
        <f>BD25</f>
        <v>7005809</v>
      </c>
      <c r="BS25" s="1547"/>
      <c r="BT25" s="1547"/>
      <c r="BU25" s="1547"/>
      <c r="BV25" s="1547"/>
      <c r="BW25" s="1547"/>
      <c r="BX25" s="1547"/>
      <c r="BY25" s="1547"/>
      <c r="BZ25" s="1547"/>
      <c r="CA25" s="1547"/>
      <c r="CB25" s="1547"/>
      <c r="CC25" s="1547"/>
      <c r="CD25" s="1547"/>
      <c r="CE25" s="1548"/>
      <c r="CF25" s="1546">
        <v>6900400</v>
      </c>
      <c r="CG25" s="1547"/>
      <c r="CH25" s="1547"/>
      <c r="CI25" s="1547"/>
      <c r="CJ25" s="1547"/>
      <c r="CK25" s="1547"/>
      <c r="CL25" s="1547"/>
      <c r="CM25" s="1547"/>
      <c r="CN25" s="1547"/>
      <c r="CO25" s="1547"/>
      <c r="CP25" s="1547"/>
      <c r="CQ25" s="1547"/>
      <c r="CR25" s="1547"/>
      <c r="CS25" s="1547"/>
      <c r="CT25" s="1547"/>
      <c r="CU25" s="1548"/>
      <c r="CV25" s="1546">
        <v>71669</v>
      </c>
      <c r="CW25" s="1547"/>
      <c r="CX25" s="1547"/>
      <c r="CY25" s="1547"/>
      <c r="CZ25" s="1547"/>
      <c r="DA25" s="1547"/>
      <c r="DB25" s="1547"/>
      <c r="DC25" s="1547"/>
      <c r="DD25" s="1547"/>
      <c r="DE25" s="1547"/>
      <c r="DF25" s="1547"/>
      <c r="DG25" s="1547"/>
      <c r="DH25" s="1547"/>
      <c r="DI25" s="1547"/>
      <c r="DJ25" s="1547"/>
      <c r="DK25" s="1548"/>
      <c r="DL25" s="1546">
        <v>33740</v>
      </c>
      <c r="DM25" s="1547"/>
      <c r="DN25" s="1547"/>
      <c r="DO25" s="1547"/>
      <c r="DP25" s="1547"/>
      <c r="DQ25" s="1547"/>
      <c r="DR25" s="1547"/>
      <c r="DS25" s="1547"/>
      <c r="DT25" s="1547"/>
      <c r="DU25" s="1547"/>
      <c r="DV25" s="1547"/>
      <c r="DW25" s="1547"/>
      <c r="DX25" s="1547"/>
      <c r="DY25" s="1547"/>
      <c r="DZ25" s="1547"/>
      <c r="EA25" s="1548"/>
      <c r="EB25" s="1546">
        <v>6321282</v>
      </c>
      <c r="EC25" s="1547"/>
      <c r="ED25" s="1547"/>
      <c r="EE25" s="1547"/>
      <c r="EF25" s="1547"/>
      <c r="EG25" s="1547"/>
      <c r="EH25" s="1547"/>
      <c r="EI25" s="1547"/>
      <c r="EJ25" s="1547"/>
      <c r="EK25" s="1547"/>
      <c r="EL25" s="1547"/>
      <c r="EM25" s="1547"/>
      <c r="EN25" s="1547"/>
      <c r="EO25" s="1548"/>
      <c r="EP25" s="1546">
        <v>6321282</v>
      </c>
      <c r="EQ25" s="1547"/>
      <c r="ER25" s="1547"/>
      <c r="ES25" s="1547"/>
      <c r="ET25" s="1547"/>
      <c r="EU25" s="1547"/>
      <c r="EV25" s="1547"/>
      <c r="EW25" s="1547"/>
      <c r="EX25" s="1547"/>
      <c r="EY25" s="1547"/>
      <c r="EZ25" s="1547"/>
      <c r="FA25" s="1547"/>
      <c r="FB25" s="1547"/>
      <c r="FC25" s="1548"/>
      <c r="FD25" s="1546">
        <v>6222314</v>
      </c>
      <c r="FE25" s="1547"/>
      <c r="FF25" s="1547"/>
      <c r="FG25" s="1547"/>
      <c r="FH25" s="1547"/>
      <c r="FI25" s="1547"/>
      <c r="FJ25" s="1547"/>
      <c r="FK25" s="1547"/>
      <c r="FL25" s="1547"/>
      <c r="FM25" s="1547"/>
      <c r="FN25" s="1547"/>
      <c r="FO25" s="1547"/>
      <c r="FP25" s="1547"/>
      <c r="FQ25" s="1547"/>
      <c r="FR25" s="1547"/>
      <c r="FS25" s="1548"/>
      <c r="FT25" s="1546">
        <v>64089</v>
      </c>
      <c r="FU25" s="1547"/>
      <c r="FV25" s="1547"/>
      <c r="FW25" s="1547"/>
      <c r="FX25" s="1547"/>
      <c r="FY25" s="1547"/>
      <c r="FZ25" s="1547"/>
      <c r="GA25" s="1547"/>
      <c r="GB25" s="1547"/>
      <c r="GC25" s="1547"/>
      <c r="GD25" s="1547"/>
      <c r="GE25" s="1547"/>
      <c r="GF25" s="1547"/>
      <c r="GG25" s="1547"/>
      <c r="GH25" s="1547"/>
      <c r="GI25" s="1548"/>
      <c r="GJ25" s="1546">
        <v>34879</v>
      </c>
      <c r="GK25" s="1547"/>
      <c r="GL25" s="1547"/>
      <c r="GM25" s="1547"/>
      <c r="GN25" s="1547"/>
      <c r="GO25" s="1547"/>
      <c r="GP25" s="1547"/>
      <c r="GQ25" s="1547"/>
      <c r="GR25" s="1547"/>
      <c r="GS25" s="1547"/>
      <c r="GT25" s="1547"/>
      <c r="GU25" s="1547"/>
      <c r="GV25" s="1547"/>
      <c r="GW25" s="1547"/>
      <c r="GX25" s="1547"/>
      <c r="GY25" s="1548"/>
      <c r="GZ25" s="1546"/>
      <c r="HA25" s="1547"/>
      <c r="HB25" s="1547"/>
      <c r="HC25" s="1547"/>
      <c r="HD25" s="1547"/>
      <c r="HE25" s="1547"/>
      <c r="HF25" s="1547"/>
      <c r="HG25" s="1547"/>
      <c r="HH25" s="1547"/>
      <c r="HI25" s="1547"/>
      <c r="HJ25" s="1547"/>
      <c r="HK25" s="1547"/>
      <c r="HL25" s="1547"/>
      <c r="HM25" s="1547"/>
      <c r="HN25" s="1547"/>
      <c r="HO25" s="1547"/>
      <c r="HP25" s="1548"/>
      <c r="HU25" s="1045">
        <f>CF25</f>
        <v>6900400</v>
      </c>
      <c r="HV25" s="1045">
        <f>'8.Бюджет на 2015'!DF30</f>
        <v>3193462.2545400001</v>
      </c>
      <c r="HW25" s="1043">
        <f>HU25-HV25</f>
        <v>3706937.7454599999</v>
      </c>
    </row>
    <row r="26" spans="1:231" s="449" customFormat="1" ht="10.35" customHeight="1">
      <c r="A26" s="450"/>
      <c r="B26" s="1605" t="s">
        <v>1668</v>
      </c>
      <c r="C26" s="1605"/>
      <c r="D26" s="1605"/>
      <c r="E26" s="1605"/>
      <c r="F26" s="1605"/>
      <c r="G26" s="1605"/>
      <c r="H26" s="1605"/>
      <c r="I26" s="1605"/>
      <c r="J26" s="1605"/>
      <c r="K26" s="1605"/>
      <c r="L26" s="1605"/>
      <c r="M26" s="1605"/>
      <c r="N26" s="1605"/>
      <c r="O26" s="1605"/>
      <c r="P26" s="1605"/>
      <c r="Q26" s="1605"/>
      <c r="R26" s="1605"/>
      <c r="S26" s="1605"/>
      <c r="T26" s="1605"/>
      <c r="U26" s="1605"/>
      <c r="V26" s="1605"/>
      <c r="W26" s="1605"/>
      <c r="X26" s="1605"/>
      <c r="Y26" s="1605"/>
      <c r="Z26" s="1605"/>
      <c r="AA26" s="1605"/>
      <c r="AB26" s="1605"/>
      <c r="AC26" s="1605"/>
      <c r="AD26" s="1605"/>
      <c r="AE26" s="1605"/>
      <c r="AF26" s="1605"/>
      <c r="AG26" s="1605"/>
      <c r="AH26" s="1605"/>
      <c r="AI26" s="1605"/>
      <c r="AJ26" s="1605"/>
      <c r="AK26" s="1606"/>
      <c r="AL26" s="1596"/>
      <c r="AM26" s="1597"/>
      <c r="AN26" s="1597"/>
      <c r="AO26" s="1597"/>
      <c r="AP26" s="1597"/>
      <c r="AQ26" s="1597"/>
      <c r="AR26" s="1597"/>
      <c r="AS26" s="1597"/>
      <c r="AT26" s="1597"/>
      <c r="AU26" s="1598"/>
      <c r="AV26" s="1602"/>
      <c r="AW26" s="1603"/>
      <c r="AX26" s="1603"/>
      <c r="AY26" s="1603"/>
      <c r="AZ26" s="1603"/>
      <c r="BA26" s="1603"/>
      <c r="BB26" s="1603"/>
      <c r="BC26" s="1604"/>
      <c r="BD26" s="1552"/>
      <c r="BE26" s="1553"/>
      <c r="BF26" s="1553"/>
      <c r="BG26" s="1553"/>
      <c r="BH26" s="1553"/>
      <c r="BI26" s="1553"/>
      <c r="BJ26" s="1553"/>
      <c r="BK26" s="1553"/>
      <c r="BL26" s="1553"/>
      <c r="BM26" s="1553"/>
      <c r="BN26" s="1553"/>
      <c r="BO26" s="1553"/>
      <c r="BP26" s="1553"/>
      <c r="BQ26" s="1554"/>
      <c r="BR26" s="1552"/>
      <c r="BS26" s="1553"/>
      <c r="BT26" s="1553"/>
      <c r="BU26" s="1553"/>
      <c r="BV26" s="1553"/>
      <c r="BW26" s="1553"/>
      <c r="BX26" s="1553"/>
      <c r="BY26" s="1553"/>
      <c r="BZ26" s="1553"/>
      <c r="CA26" s="1553"/>
      <c r="CB26" s="1553"/>
      <c r="CC26" s="1553"/>
      <c r="CD26" s="1553"/>
      <c r="CE26" s="1554"/>
      <c r="CF26" s="1552"/>
      <c r="CG26" s="1553"/>
      <c r="CH26" s="1553"/>
      <c r="CI26" s="1553"/>
      <c r="CJ26" s="1553"/>
      <c r="CK26" s="1553"/>
      <c r="CL26" s="1553"/>
      <c r="CM26" s="1553"/>
      <c r="CN26" s="1553"/>
      <c r="CO26" s="1553"/>
      <c r="CP26" s="1553"/>
      <c r="CQ26" s="1553"/>
      <c r="CR26" s="1553"/>
      <c r="CS26" s="1553"/>
      <c r="CT26" s="1553"/>
      <c r="CU26" s="1554"/>
      <c r="CV26" s="1552"/>
      <c r="CW26" s="1553"/>
      <c r="CX26" s="1553"/>
      <c r="CY26" s="1553"/>
      <c r="CZ26" s="1553"/>
      <c r="DA26" s="1553"/>
      <c r="DB26" s="1553"/>
      <c r="DC26" s="1553"/>
      <c r="DD26" s="1553"/>
      <c r="DE26" s="1553"/>
      <c r="DF26" s="1553"/>
      <c r="DG26" s="1553"/>
      <c r="DH26" s="1553"/>
      <c r="DI26" s="1553"/>
      <c r="DJ26" s="1553"/>
      <c r="DK26" s="1554"/>
      <c r="DL26" s="1552"/>
      <c r="DM26" s="1553"/>
      <c r="DN26" s="1553"/>
      <c r="DO26" s="1553"/>
      <c r="DP26" s="1553"/>
      <c r="DQ26" s="1553"/>
      <c r="DR26" s="1553"/>
      <c r="DS26" s="1553"/>
      <c r="DT26" s="1553"/>
      <c r="DU26" s="1553"/>
      <c r="DV26" s="1553"/>
      <c r="DW26" s="1553"/>
      <c r="DX26" s="1553"/>
      <c r="DY26" s="1553"/>
      <c r="DZ26" s="1553"/>
      <c r="EA26" s="1554"/>
      <c r="EB26" s="1552"/>
      <c r="EC26" s="1553"/>
      <c r="ED26" s="1553"/>
      <c r="EE26" s="1553"/>
      <c r="EF26" s="1553"/>
      <c r="EG26" s="1553"/>
      <c r="EH26" s="1553"/>
      <c r="EI26" s="1553"/>
      <c r="EJ26" s="1553"/>
      <c r="EK26" s="1553"/>
      <c r="EL26" s="1553"/>
      <c r="EM26" s="1553"/>
      <c r="EN26" s="1553"/>
      <c r="EO26" s="1554"/>
      <c r="EP26" s="1552"/>
      <c r="EQ26" s="1553"/>
      <c r="ER26" s="1553"/>
      <c r="ES26" s="1553"/>
      <c r="ET26" s="1553"/>
      <c r="EU26" s="1553"/>
      <c r="EV26" s="1553"/>
      <c r="EW26" s="1553"/>
      <c r="EX26" s="1553"/>
      <c r="EY26" s="1553"/>
      <c r="EZ26" s="1553"/>
      <c r="FA26" s="1553"/>
      <c r="FB26" s="1553"/>
      <c r="FC26" s="1554"/>
      <c r="FD26" s="1552"/>
      <c r="FE26" s="1553"/>
      <c r="FF26" s="1553"/>
      <c r="FG26" s="1553"/>
      <c r="FH26" s="1553"/>
      <c r="FI26" s="1553"/>
      <c r="FJ26" s="1553"/>
      <c r="FK26" s="1553"/>
      <c r="FL26" s="1553"/>
      <c r="FM26" s="1553"/>
      <c r="FN26" s="1553"/>
      <c r="FO26" s="1553"/>
      <c r="FP26" s="1553"/>
      <c r="FQ26" s="1553"/>
      <c r="FR26" s="1553"/>
      <c r="FS26" s="1554"/>
      <c r="FT26" s="1552"/>
      <c r="FU26" s="1553"/>
      <c r="FV26" s="1553"/>
      <c r="FW26" s="1553"/>
      <c r="FX26" s="1553"/>
      <c r="FY26" s="1553"/>
      <c r="FZ26" s="1553"/>
      <c r="GA26" s="1553"/>
      <c r="GB26" s="1553"/>
      <c r="GC26" s="1553"/>
      <c r="GD26" s="1553"/>
      <c r="GE26" s="1553"/>
      <c r="GF26" s="1553"/>
      <c r="GG26" s="1553"/>
      <c r="GH26" s="1553"/>
      <c r="GI26" s="1554"/>
      <c r="GJ26" s="1552"/>
      <c r="GK26" s="1553"/>
      <c r="GL26" s="1553"/>
      <c r="GM26" s="1553"/>
      <c r="GN26" s="1553"/>
      <c r="GO26" s="1553"/>
      <c r="GP26" s="1553"/>
      <c r="GQ26" s="1553"/>
      <c r="GR26" s="1553"/>
      <c r="GS26" s="1553"/>
      <c r="GT26" s="1553"/>
      <c r="GU26" s="1553"/>
      <c r="GV26" s="1553"/>
      <c r="GW26" s="1553"/>
      <c r="GX26" s="1553"/>
      <c r="GY26" s="1554"/>
      <c r="GZ26" s="1552"/>
      <c r="HA26" s="1553"/>
      <c r="HB26" s="1553"/>
      <c r="HC26" s="1553"/>
      <c r="HD26" s="1553"/>
      <c r="HE26" s="1553"/>
      <c r="HF26" s="1553"/>
      <c r="HG26" s="1553"/>
      <c r="HH26" s="1553"/>
      <c r="HI26" s="1553"/>
      <c r="HJ26" s="1553"/>
      <c r="HK26" s="1553"/>
      <c r="HL26" s="1553"/>
      <c r="HM26" s="1553"/>
      <c r="HN26" s="1553"/>
      <c r="HO26" s="1553"/>
      <c r="HP26" s="1554"/>
      <c r="HW26" s="1043">
        <f t="shared" ref="HW26:HW38" si="0">HU26-HV26</f>
        <v>0</v>
      </c>
    </row>
    <row r="27" spans="1:231" s="449" customFormat="1" ht="10.35" customHeight="1">
      <c r="A27" s="451"/>
      <c r="B27" s="1611" t="s">
        <v>1669</v>
      </c>
      <c r="C27" s="1611"/>
      <c r="D27" s="1611"/>
      <c r="E27" s="1611"/>
      <c r="F27" s="1611"/>
      <c r="G27" s="1611"/>
      <c r="H27" s="1611"/>
      <c r="I27" s="1611"/>
      <c r="J27" s="1611"/>
      <c r="K27" s="1611"/>
      <c r="L27" s="1611"/>
      <c r="M27" s="1611"/>
      <c r="N27" s="1611"/>
      <c r="O27" s="1611"/>
      <c r="P27" s="1611"/>
      <c r="Q27" s="1611"/>
      <c r="R27" s="1611"/>
      <c r="S27" s="1611"/>
      <c r="T27" s="1611"/>
      <c r="U27" s="1611"/>
      <c r="V27" s="1611"/>
      <c r="W27" s="1611"/>
      <c r="X27" s="1611"/>
      <c r="Y27" s="1611"/>
      <c r="Z27" s="1611"/>
      <c r="AA27" s="1611"/>
      <c r="AB27" s="1611"/>
      <c r="AC27" s="1611"/>
      <c r="AD27" s="1611"/>
      <c r="AE27" s="1611"/>
      <c r="AF27" s="1611"/>
      <c r="AG27" s="1611"/>
      <c r="AH27" s="1611"/>
      <c r="AI27" s="1611"/>
      <c r="AJ27" s="1611"/>
      <c r="AK27" s="1612"/>
      <c r="AL27" s="1613" t="s">
        <v>121</v>
      </c>
      <c r="AM27" s="1613"/>
      <c r="AN27" s="1613"/>
      <c r="AO27" s="1613"/>
      <c r="AP27" s="1613"/>
      <c r="AQ27" s="1613"/>
      <c r="AR27" s="1613"/>
      <c r="AS27" s="1613"/>
      <c r="AT27" s="1613"/>
      <c r="AU27" s="1613"/>
      <c r="AV27" s="1614" t="s">
        <v>1670</v>
      </c>
      <c r="AW27" s="1614"/>
      <c r="AX27" s="1614"/>
      <c r="AY27" s="1614"/>
      <c r="AZ27" s="1614"/>
      <c r="BA27" s="1614"/>
      <c r="BB27" s="1614"/>
      <c r="BC27" s="1614"/>
      <c r="BD27" s="1607">
        <f>BD21-BD25</f>
        <v>860308</v>
      </c>
      <c r="BE27" s="1607"/>
      <c r="BF27" s="1607"/>
      <c r="BG27" s="1607"/>
      <c r="BH27" s="1607"/>
      <c r="BI27" s="1607"/>
      <c r="BJ27" s="1607"/>
      <c r="BK27" s="1607"/>
      <c r="BL27" s="1607"/>
      <c r="BM27" s="1607"/>
      <c r="BN27" s="1607"/>
      <c r="BO27" s="1607"/>
      <c r="BP27" s="1607"/>
      <c r="BQ27" s="1607"/>
      <c r="BR27" s="1607">
        <f>BD27</f>
        <v>860308</v>
      </c>
      <c r="BS27" s="1607"/>
      <c r="BT27" s="1607"/>
      <c r="BU27" s="1607"/>
      <c r="BV27" s="1607"/>
      <c r="BW27" s="1607"/>
      <c r="BX27" s="1607"/>
      <c r="BY27" s="1607"/>
      <c r="BZ27" s="1607"/>
      <c r="CA27" s="1607"/>
      <c r="CB27" s="1607"/>
      <c r="CC27" s="1607"/>
      <c r="CD27" s="1607"/>
      <c r="CE27" s="1607"/>
      <c r="CF27" s="1607">
        <f>CF21-CF25</f>
        <v>609468</v>
      </c>
      <c r="CG27" s="1607"/>
      <c r="CH27" s="1607"/>
      <c r="CI27" s="1607"/>
      <c r="CJ27" s="1607"/>
      <c r="CK27" s="1607"/>
      <c r="CL27" s="1607"/>
      <c r="CM27" s="1607"/>
      <c r="CN27" s="1607"/>
      <c r="CO27" s="1607"/>
      <c r="CP27" s="1607"/>
      <c r="CQ27" s="1607"/>
      <c r="CR27" s="1607"/>
      <c r="CS27" s="1607"/>
      <c r="CT27" s="1607"/>
      <c r="CU27" s="1607"/>
      <c r="CV27" s="1607">
        <f>CV21-CV25</f>
        <v>232141</v>
      </c>
      <c r="CW27" s="1607"/>
      <c r="CX27" s="1607"/>
      <c r="CY27" s="1607"/>
      <c r="CZ27" s="1607"/>
      <c r="DA27" s="1607"/>
      <c r="DB27" s="1607"/>
      <c r="DC27" s="1607"/>
      <c r="DD27" s="1607"/>
      <c r="DE27" s="1607"/>
      <c r="DF27" s="1607"/>
      <c r="DG27" s="1607"/>
      <c r="DH27" s="1607"/>
      <c r="DI27" s="1607"/>
      <c r="DJ27" s="1607"/>
      <c r="DK27" s="1607"/>
      <c r="DL27" s="1607">
        <f>DL21-DL25</f>
        <v>18699</v>
      </c>
      <c r="DM27" s="1607"/>
      <c r="DN27" s="1607"/>
      <c r="DO27" s="1607"/>
      <c r="DP27" s="1607"/>
      <c r="DQ27" s="1607"/>
      <c r="DR27" s="1607"/>
      <c r="DS27" s="1607"/>
      <c r="DT27" s="1607"/>
      <c r="DU27" s="1607"/>
      <c r="DV27" s="1607"/>
      <c r="DW27" s="1607"/>
      <c r="DX27" s="1607"/>
      <c r="DY27" s="1607"/>
      <c r="DZ27" s="1607"/>
      <c r="EA27" s="1607"/>
      <c r="EB27" s="1607">
        <v>443591</v>
      </c>
      <c r="EC27" s="1607"/>
      <c r="ED27" s="1607"/>
      <c r="EE27" s="1607"/>
      <c r="EF27" s="1607"/>
      <c r="EG27" s="1607"/>
      <c r="EH27" s="1607"/>
      <c r="EI27" s="1607"/>
      <c r="EJ27" s="1607"/>
      <c r="EK27" s="1607"/>
      <c r="EL27" s="1607"/>
      <c r="EM27" s="1607"/>
      <c r="EN27" s="1607"/>
      <c r="EO27" s="1607"/>
      <c r="EP27" s="1607">
        <v>443591</v>
      </c>
      <c r="EQ27" s="1607"/>
      <c r="ER27" s="1607"/>
      <c r="ES27" s="1607"/>
      <c r="ET27" s="1607"/>
      <c r="EU27" s="1607"/>
      <c r="EV27" s="1607"/>
      <c r="EW27" s="1607"/>
      <c r="EX27" s="1607"/>
      <c r="EY27" s="1607"/>
      <c r="EZ27" s="1607"/>
      <c r="FA27" s="1607"/>
      <c r="FB27" s="1607"/>
      <c r="FC27" s="1607"/>
      <c r="FD27" s="1608">
        <v>233948</v>
      </c>
      <c r="FE27" s="1609"/>
      <c r="FF27" s="1609"/>
      <c r="FG27" s="1609"/>
      <c r="FH27" s="1609"/>
      <c r="FI27" s="1609"/>
      <c r="FJ27" s="1609"/>
      <c r="FK27" s="1609"/>
      <c r="FL27" s="1609"/>
      <c r="FM27" s="1609"/>
      <c r="FN27" s="1609"/>
      <c r="FO27" s="1609"/>
      <c r="FP27" s="1609"/>
      <c r="FQ27" s="1609"/>
      <c r="FR27" s="1609"/>
      <c r="FS27" s="1610"/>
      <c r="FT27" s="1608">
        <v>202333</v>
      </c>
      <c r="FU27" s="1609"/>
      <c r="FV27" s="1609"/>
      <c r="FW27" s="1609"/>
      <c r="FX27" s="1609"/>
      <c r="FY27" s="1609"/>
      <c r="FZ27" s="1609"/>
      <c r="GA27" s="1609"/>
      <c r="GB27" s="1609"/>
      <c r="GC27" s="1609"/>
      <c r="GD27" s="1609"/>
      <c r="GE27" s="1609"/>
      <c r="GF27" s="1609"/>
      <c r="GG27" s="1609"/>
      <c r="GH27" s="1609"/>
      <c r="GI27" s="1610"/>
      <c r="GJ27" s="1608">
        <v>7310</v>
      </c>
      <c r="GK27" s="1609"/>
      <c r="GL27" s="1609"/>
      <c r="GM27" s="1609"/>
      <c r="GN27" s="1609"/>
      <c r="GO27" s="1609"/>
      <c r="GP27" s="1609"/>
      <c r="GQ27" s="1609"/>
      <c r="GR27" s="1609"/>
      <c r="GS27" s="1609"/>
      <c r="GT27" s="1609"/>
      <c r="GU27" s="1609"/>
      <c r="GV27" s="1609"/>
      <c r="GW27" s="1609"/>
      <c r="GX27" s="1609"/>
      <c r="GY27" s="1610"/>
      <c r="GZ27" s="1607"/>
      <c r="HA27" s="1607"/>
      <c r="HB27" s="1607"/>
      <c r="HC27" s="1607"/>
      <c r="HD27" s="1607"/>
      <c r="HE27" s="1607"/>
      <c r="HF27" s="1607"/>
      <c r="HG27" s="1607"/>
      <c r="HH27" s="1607"/>
      <c r="HI27" s="1607"/>
      <c r="HJ27" s="1607"/>
      <c r="HK27" s="1607"/>
      <c r="HL27" s="1607"/>
      <c r="HM27" s="1607"/>
      <c r="HN27" s="1607"/>
      <c r="HO27" s="1607"/>
      <c r="HP27" s="1607"/>
      <c r="HW27" s="1043">
        <f t="shared" si="0"/>
        <v>0</v>
      </c>
    </row>
    <row r="28" spans="1:231" s="449" customFormat="1" ht="10.35" customHeight="1">
      <c r="A28" s="451"/>
      <c r="B28" s="1611" t="s">
        <v>1671</v>
      </c>
      <c r="C28" s="1611"/>
      <c r="D28" s="1611"/>
      <c r="E28" s="1611"/>
      <c r="F28" s="1611"/>
      <c r="G28" s="1611"/>
      <c r="H28" s="1611"/>
      <c r="I28" s="1611"/>
      <c r="J28" s="1611"/>
      <c r="K28" s="1611"/>
      <c r="L28" s="1611"/>
      <c r="M28" s="1611"/>
      <c r="N28" s="1611"/>
      <c r="O28" s="1611"/>
      <c r="P28" s="1611"/>
      <c r="Q28" s="1611"/>
      <c r="R28" s="1611"/>
      <c r="S28" s="1611"/>
      <c r="T28" s="1611"/>
      <c r="U28" s="1611"/>
      <c r="V28" s="1611"/>
      <c r="W28" s="1611"/>
      <c r="X28" s="1611"/>
      <c r="Y28" s="1611"/>
      <c r="Z28" s="1611"/>
      <c r="AA28" s="1611"/>
      <c r="AB28" s="1611"/>
      <c r="AC28" s="1611"/>
      <c r="AD28" s="1611"/>
      <c r="AE28" s="1611"/>
      <c r="AF28" s="1611"/>
      <c r="AG28" s="1611"/>
      <c r="AH28" s="1611"/>
      <c r="AI28" s="1611"/>
      <c r="AJ28" s="1611"/>
      <c r="AK28" s="1612"/>
      <c r="AL28" s="1613" t="s">
        <v>121</v>
      </c>
      <c r="AM28" s="1613"/>
      <c r="AN28" s="1613"/>
      <c r="AO28" s="1613"/>
      <c r="AP28" s="1613"/>
      <c r="AQ28" s="1613"/>
      <c r="AR28" s="1613"/>
      <c r="AS28" s="1613"/>
      <c r="AT28" s="1613"/>
      <c r="AU28" s="1613"/>
      <c r="AV28" s="1614" t="s">
        <v>1672</v>
      </c>
      <c r="AW28" s="1614"/>
      <c r="AX28" s="1614"/>
      <c r="AY28" s="1614"/>
      <c r="AZ28" s="1614"/>
      <c r="BA28" s="1614"/>
      <c r="BB28" s="1614"/>
      <c r="BC28" s="1614"/>
      <c r="BD28" s="1607"/>
      <c r="BE28" s="1607"/>
      <c r="BF28" s="1607"/>
      <c r="BG28" s="1607"/>
      <c r="BH28" s="1607"/>
      <c r="BI28" s="1607"/>
      <c r="BJ28" s="1607"/>
      <c r="BK28" s="1607"/>
      <c r="BL28" s="1607"/>
      <c r="BM28" s="1607"/>
      <c r="BN28" s="1607"/>
      <c r="BO28" s="1607"/>
      <c r="BP28" s="1607"/>
      <c r="BQ28" s="1607"/>
      <c r="BR28" s="1607"/>
      <c r="BS28" s="1607"/>
      <c r="BT28" s="1607"/>
      <c r="BU28" s="1607"/>
      <c r="BV28" s="1607"/>
      <c r="BW28" s="1607"/>
      <c r="BX28" s="1607"/>
      <c r="BY28" s="1607"/>
      <c r="BZ28" s="1607"/>
      <c r="CA28" s="1607"/>
      <c r="CB28" s="1607"/>
      <c r="CC28" s="1607"/>
      <c r="CD28" s="1607"/>
      <c r="CE28" s="1607"/>
      <c r="CF28" s="1607"/>
      <c r="CG28" s="1607"/>
      <c r="CH28" s="1607"/>
      <c r="CI28" s="1607"/>
      <c r="CJ28" s="1607"/>
      <c r="CK28" s="1607"/>
      <c r="CL28" s="1607"/>
      <c r="CM28" s="1607"/>
      <c r="CN28" s="1607"/>
      <c r="CO28" s="1607"/>
      <c r="CP28" s="1607"/>
      <c r="CQ28" s="1607"/>
      <c r="CR28" s="1607"/>
      <c r="CS28" s="1607"/>
      <c r="CT28" s="1607"/>
      <c r="CU28" s="1607"/>
      <c r="CV28" s="1607"/>
      <c r="CW28" s="1607"/>
      <c r="CX28" s="1607"/>
      <c r="CY28" s="1607"/>
      <c r="CZ28" s="1607"/>
      <c r="DA28" s="1607"/>
      <c r="DB28" s="1607"/>
      <c r="DC28" s="1607"/>
      <c r="DD28" s="1607"/>
      <c r="DE28" s="1607"/>
      <c r="DF28" s="1607"/>
      <c r="DG28" s="1607"/>
      <c r="DH28" s="1607"/>
      <c r="DI28" s="1607"/>
      <c r="DJ28" s="1607"/>
      <c r="DK28" s="1607"/>
      <c r="DL28" s="1607"/>
      <c r="DM28" s="1607"/>
      <c r="DN28" s="1607"/>
      <c r="DO28" s="1607"/>
      <c r="DP28" s="1607"/>
      <c r="DQ28" s="1607"/>
      <c r="DR28" s="1607"/>
      <c r="DS28" s="1607"/>
      <c r="DT28" s="1607"/>
      <c r="DU28" s="1607"/>
      <c r="DV28" s="1607"/>
      <c r="DW28" s="1607"/>
      <c r="DX28" s="1607"/>
      <c r="DY28" s="1607"/>
      <c r="DZ28" s="1607"/>
      <c r="EA28" s="1607"/>
      <c r="EB28" s="1607"/>
      <c r="EC28" s="1607"/>
      <c r="ED28" s="1607"/>
      <c r="EE28" s="1607"/>
      <c r="EF28" s="1607"/>
      <c r="EG28" s="1607"/>
      <c r="EH28" s="1607"/>
      <c r="EI28" s="1607"/>
      <c r="EJ28" s="1607"/>
      <c r="EK28" s="1607"/>
      <c r="EL28" s="1607"/>
      <c r="EM28" s="1607"/>
      <c r="EN28" s="1607"/>
      <c r="EO28" s="1607"/>
      <c r="EP28" s="1607"/>
      <c r="EQ28" s="1607"/>
      <c r="ER28" s="1607"/>
      <c r="ES28" s="1607"/>
      <c r="ET28" s="1607"/>
      <c r="EU28" s="1607"/>
      <c r="EV28" s="1607"/>
      <c r="EW28" s="1607"/>
      <c r="EX28" s="1607"/>
      <c r="EY28" s="1607"/>
      <c r="EZ28" s="1607"/>
      <c r="FA28" s="1607"/>
      <c r="FB28" s="1607"/>
      <c r="FC28" s="1607"/>
      <c r="FD28" s="1608"/>
      <c r="FE28" s="1609"/>
      <c r="FF28" s="1609"/>
      <c r="FG28" s="1609"/>
      <c r="FH28" s="1609"/>
      <c r="FI28" s="1609"/>
      <c r="FJ28" s="1609"/>
      <c r="FK28" s="1609"/>
      <c r="FL28" s="1609"/>
      <c r="FM28" s="1609"/>
      <c r="FN28" s="1609"/>
      <c r="FO28" s="1609"/>
      <c r="FP28" s="1609"/>
      <c r="FQ28" s="1609"/>
      <c r="FR28" s="1609"/>
      <c r="FS28" s="1610"/>
      <c r="FT28" s="1608"/>
      <c r="FU28" s="1609"/>
      <c r="FV28" s="1609"/>
      <c r="FW28" s="1609"/>
      <c r="FX28" s="1609"/>
      <c r="FY28" s="1609"/>
      <c r="FZ28" s="1609"/>
      <c r="GA28" s="1609"/>
      <c r="GB28" s="1609"/>
      <c r="GC28" s="1609"/>
      <c r="GD28" s="1609"/>
      <c r="GE28" s="1609"/>
      <c r="GF28" s="1609"/>
      <c r="GG28" s="1609"/>
      <c r="GH28" s="1609"/>
      <c r="GI28" s="1610"/>
      <c r="GJ28" s="1608"/>
      <c r="GK28" s="1609"/>
      <c r="GL28" s="1609"/>
      <c r="GM28" s="1609"/>
      <c r="GN28" s="1609"/>
      <c r="GO28" s="1609"/>
      <c r="GP28" s="1609"/>
      <c r="GQ28" s="1609"/>
      <c r="GR28" s="1609"/>
      <c r="GS28" s="1609"/>
      <c r="GT28" s="1609"/>
      <c r="GU28" s="1609"/>
      <c r="GV28" s="1609"/>
      <c r="GW28" s="1609"/>
      <c r="GX28" s="1609"/>
      <c r="GY28" s="1610"/>
      <c r="GZ28" s="1607"/>
      <c r="HA28" s="1607"/>
      <c r="HB28" s="1607"/>
      <c r="HC28" s="1607"/>
      <c r="HD28" s="1607"/>
      <c r="HE28" s="1607"/>
      <c r="HF28" s="1607"/>
      <c r="HG28" s="1607"/>
      <c r="HH28" s="1607"/>
      <c r="HI28" s="1607"/>
      <c r="HJ28" s="1607"/>
      <c r="HK28" s="1607"/>
      <c r="HL28" s="1607"/>
      <c r="HM28" s="1607"/>
      <c r="HN28" s="1607"/>
      <c r="HO28" s="1607"/>
      <c r="HP28" s="1607"/>
      <c r="HW28" s="1043">
        <f t="shared" si="0"/>
        <v>0</v>
      </c>
    </row>
    <row r="29" spans="1:231" s="449" customFormat="1" ht="10.35" customHeight="1">
      <c r="A29" s="451"/>
      <c r="B29" s="1611" t="s">
        <v>1673</v>
      </c>
      <c r="C29" s="1611"/>
      <c r="D29" s="1611"/>
      <c r="E29" s="1611"/>
      <c r="F29" s="1611"/>
      <c r="G29" s="1611"/>
      <c r="H29" s="1611"/>
      <c r="I29" s="1611"/>
      <c r="J29" s="1611"/>
      <c r="K29" s="1611"/>
      <c r="L29" s="1611"/>
      <c r="M29" s="1611"/>
      <c r="N29" s="1611"/>
      <c r="O29" s="1611"/>
      <c r="P29" s="1611"/>
      <c r="Q29" s="1611"/>
      <c r="R29" s="1611"/>
      <c r="S29" s="1611"/>
      <c r="T29" s="1611"/>
      <c r="U29" s="1611"/>
      <c r="V29" s="1611"/>
      <c r="W29" s="1611"/>
      <c r="X29" s="1611"/>
      <c r="Y29" s="1611"/>
      <c r="Z29" s="1611"/>
      <c r="AA29" s="1611"/>
      <c r="AB29" s="1611"/>
      <c r="AC29" s="1611"/>
      <c r="AD29" s="1611"/>
      <c r="AE29" s="1611"/>
      <c r="AF29" s="1611"/>
      <c r="AG29" s="1611"/>
      <c r="AH29" s="1611"/>
      <c r="AI29" s="1611"/>
      <c r="AJ29" s="1611"/>
      <c r="AK29" s="1612"/>
      <c r="AL29" s="1613" t="s">
        <v>121</v>
      </c>
      <c r="AM29" s="1613"/>
      <c r="AN29" s="1613"/>
      <c r="AO29" s="1613"/>
      <c r="AP29" s="1613"/>
      <c r="AQ29" s="1613"/>
      <c r="AR29" s="1613"/>
      <c r="AS29" s="1613"/>
      <c r="AT29" s="1613"/>
      <c r="AU29" s="1613"/>
      <c r="AV29" s="1614" t="s">
        <v>1674</v>
      </c>
      <c r="AW29" s="1614"/>
      <c r="AX29" s="1614"/>
      <c r="AY29" s="1614"/>
      <c r="AZ29" s="1614"/>
      <c r="BA29" s="1614"/>
      <c r="BB29" s="1614"/>
      <c r="BC29" s="1614"/>
      <c r="BD29" s="1607"/>
      <c r="BE29" s="1607"/>
      <c r="BF29" s="1607"/>
      <c r="BG29" s="1607"/>
      <c r="BH29" s="1607"/>
      <c r="BI29" s="1607"/>
      <c r="BJ29" s="1607"/>
      <c r="BK29" s="1607"/>
      <c r="BL29" s="1607"/>
      <c r="BM29" s="1607"/>
      <c r="BN29" s="1607"/>
      <c r="BO29" s="1607"/>
      <c r="BP29" s="1607"/>
      <c r="BQ29" s="1607"/>
      <c r="BR29" s="1607"/>
      <c r="BS29" s="1607"/>
      <c r="BT29" s="1607"/>
      <c r="BU29" s="1607"/>
      <c r="BV29" s="1607"/>
      <c r="BW29" s="1607"/>
      <c r="BX29" s="1607"/>
      <c r="BY29" s="1607"/>
      <c r="BZ29" s="1607"/>
      <c r="CA29" s="1607"/>
      <c r="CB29" s="1607"/>
      <c r="CC29" s="1607"/>
      <c r="CD29" s="1607"/>
      <c r="CE29" s="1607"/>
      <c r="CF29" s="1607"/>
      <c r="CG29" s="1607"/>
      <c r="CH29" s="1607"/>
      <c r="CI29" s="1607"/>
      <c r="CJ29" s="1607"/>
      <c r="CK29" s="1607"/>
      <c r="CL29" s="1607"/>
      <c r="CM29" s="1607"/>
      <c r="CN29" s="1607"/>
      <c r="CO29" s="1607"/>
      <c r="CP29" s="1607"/>
      <c r="CQ29" s="1607"/>
      <c r="CR29" s="1607"/>
      <c r="CS29" s="1607"/>
      <c r="CT29" s="1607"/>
      <c r="CU29" s="1607"/>
      <c r="CV29" s="1607"/>
      <c r="CW29" s="1607"/>
      <c r="CX29" s="1607"/>
      <c r="CY29" s="1607"/>
      <c r="CZ29" s="1607"/>
      <c r="DA29" s="1607"/>
      <c r="DB29" s="1607"/>
      <c r="DC29" s="1607"/>
      <c r="DD29" s="1607"/>
      <c r="DE29" s="1607"/>
      <c r="DF29" s="1607"/>
      <c r="DG29" s="1607"/>
      <c r="DH29" s="1607"/>
      <c r="DI29" s="1607"/>
      <c r="DJ29" s="1607"/>
      <c r="DK29" s="1607"/>
      <c r="DL29" s="1607"/>
      <c r="DM29" s="1607"/>
      <c r="DN29" s="1607"/>
      <c r="DO29" s="1607"/>
      <c r="DP29" s="1607"/>
      <c r="DQ29" s="1607"/>
      <c r="DR29" s="1607"/>
      <c r="DS29" s="1607"/>
      <c r="DT29" s="1607"/>
      <c r="DU29" s="1607"/>
      <c r="DV29" s="1607"/>
      <c r="DW29" s="1607"/>
      <c r="DX29" s="1607"/>
      <c r="DY29" s="1607"/>
      <c r="DZ29" s="1607"/>
      <c r="EA29" s="1607"/>
      <c r="EB29" s="1607"/>
      <c r="EC29" s="1607"/>
      <c r="ED29" s="1607"/>
      <c r="EE29" s="1607"/>
      <c r="EF29" s="1607"/>
      <c r="EG29" s="1607"/>
      <c r="EH29" s="1607"/>
      <c r="EI29" s="1607"/>
      <c r="EJ29" s="1607"/>
      <c r="EK29" s="1607"/>
      <c r="EL29" s="1607"/>
      <c r="EM29" s="1607"/>
      <c r="EN29" s="1607"/>
      <c r="EO29" s="1607"/>
      <c r="EP29" s="1607"/>
      <c r="EQ29" s="1607"/>
      <c r="ER29" s="1607"/>
      <c r="ES29" s="1607"/>
      <c r="ET29" s="1607"/>
      <c r="EU29" s="1607"/>
      <c r="EV29" s="1607"/>
      <c r="EW29" s="1607"/>
      <c r="EX29" s="1607"/>
      <c r="EY29" s="1607"/>
      <c r="EZ29" s="1607"/>
      <c r="FA29" s="1607"/>
      <c r="FB29" s="1607"/>
      <c r="FC29" s="1607"/>
      <c r="FD29" s="1608"/>
      <c r="FE29" s="1609"/>
      <c r="FF29" s="1609"/>
      <c r="FG29" s="1609"/>
      <c r="FH29" s="1609"/>
      <c r="FI29" s="1609"/>
      <c r="FJ29" s="1609"/>
      <c r="FK29" s="1609"/>
      <c r="FL29" s="1609"/>
      <c r="FM29" s="1609"/>
      <c r="FN29" s="1609"/>
      <c r="FO29" s="1609"/>
      <c r="FP29" s="1609"/>
      <c r="FQ29" s="1609"/>
      <c r="FR29" s="1609"/>
      <c r="FS29" s="1610"/>
      <c r="FT29" s="1608"/>
      <c r="FU29" s="1609"/>
      <c r="FV29" s="1609"/>
      <c r="FW29" s="1609"/>
      <c r="FX29" s="1609"/>
      <c r="FY29" s="1609"/>
      <c r="FZ29" s="1609"/>
      <c r="GA29" s="1609"/>
      <c r="GB29" s="1609"/>
      <c r="GC29" s="1609"/>
      <c r="GD29" s="1609"/>
      <c r="GE29" s="1609"/>
      <c r="GF29" s="1609"/>
      <c r="GG29" s="1609"/>
      <c r="GH29" s="1609"/>
      <c r="GI29" s="1610"/>
      <c r="GJ29" s="1608"/>
      <c r="GK29" s="1609"/>
      <c r="GL29" s="1609"/>
      <c r="GM29" s="1609"/>
      <c r="GN29" s="1609"/>
      <c r="GO29" s="1609"/>
      <c r="GP29" s="1609"/>
      <c r="GQ29" s="1609"/>
      <c r="GR29" s="1609"/>
      <c r="GS29" s="1609"/>
      <c r="GT29" s="1609"/>
      <c r="GU29" s="1609"/>
      <c r="GV29" s="1609"/>
      <c r="GW29" s="1609"/>
      <c r="GX29" s="1609"/>
      <c r="GY29" s="1610"/>
      <c r="GZ29" s="1607"/>
      <c r="HA29" s="1607"/>
      <c r="HB29" s="1607"/>
      <c r="HC29" s="1607"/>
      <c r="HD29" s="1607"/>
      <c r="HE29" s="1607"/>
      <c r="HF29" s="1607"/>
      <c r="HG29" s="1607"/>
      <c r="HH29" s="1607"/>
      <c r="HI29" s="1607"/>
      <c r="HJ29" s="1607"/>
      <c r="HK29" s="1607"/>
      <c r="HL29" s="1607"/>
      <c r="HM29" s="1607"/>
      <c r="HN29" s="1607"/>
      <c r="HO29" s="1607"/>
      <c r="HP29" s="1607"/>
      <c r="HW29" s="1043">
        <f t="shared" si="0"/>
        <v>0</v>
      </c>
    </row>
    <row r="30" spans="1:231" s="449" customFormat="1" ht="10.35" customHeight="1">
      <c r="A30" s="451"/>
      <c r="B30" s="1611" t="s">
        <v>9</v>
      </c>
      <c r="C30" s="1611"/>
      <c r="D30" s="1611"/>
      <c r="E30" s="1611"/>
      <c r="F30" s="1611"/>
      <c r="G30" s="1611"/>
      <c r="H30" s="1611"/>
      <c r="I30" s="1611"/>
      <c r="J30" s="1611"/>
      <c r="K30" s="1611"/>
      <c r="L30" s="1611"/>
      <c r="M30" s="1611"/>
      <c r="N30" s="1611"/>
      <c r="O30" s="1611"/>
      <c r="P30" s="1611"/>
      <c r="Q30" s="1611"/>
      <c r="R30" s="1611"/>
      <c r="S30" s="1611"/>
      <c r="T30" s="1611"/>
      <c r="U30" s="1611"/>
      <c r="V30" s="1611"/>
      <c r="W30" s="1611"/>
      <c r="X30" s="1611"/>
      <c r="Y30" s="1611"/>
      <c r="Z30" s="1611"/>
      <c r="AA30" s="1611"/>
      <c r="AB30" s="1611"/>
      <c r="AC30" s="1611"/>
      <c r="AD30" s="1611"/>
      <c r="AE30" s="1611"/>
      <c r="AF30" s="1611"/>
      <c r="AG30" s="1611"/>
      <c r="AH30" s="1611"/>
      <c r="AI30" s="1611"/>
      <c r="AJ30" s="1611"/>
      <c r="AK30" s="1612"/>
      <c r="AL30" s="1613" t="s">
        <v>121</v>
      </c>
      <c r="AM30" s="1613"/>
      <c r="AN30" s="1613"/>
      <c r="AO30" s="1613"/>
      <c r="AP30" s="1613"/>
      <c r="AQ30" s="1613"/>
      <c r="AR30" s="1613"/>
      <c r="AS30" s="1613"/>
      <c r="AT30" s="1613"/>
      <c r="AU30" s="1613"/>
      <c r="AV30" s="1614" t="s">
        <v>1675</v>
      </c>
      <c r="AW30" s="1614"/>
      <c r="AX30" s="1614"/>
      <c r="AY30" s="1614"/>
      <c r="AZ30" s="1614"/>
      <c r="BA30" s="1614"/>
      <c r="BB30" s="1614"/>
      <c r="BC30" s="1614"/>
      <c r="BD30" s="1607">
        <f>BD27</f>
        <v>860308</v>
      </c>
      <c r="BE30" s="1607"/>
      <c r="BF30" s="1607"/>
      <c r="BG30" s="1607"/>
      <c r="BH30" s="1607"/>
      <c r="BI30" s="1607"/>
      <c r="BJ30" s="1607"/>
      <c r="BK30" s="1607"/>
      <c r="BL30" s="1607"/>
      <c r="BM30" s="1607"/>
      <c r="BN30" s="1607"/>
      <c r="BO30" s="1607"/>
      <c r="BP30" s="1607"/>
      <c r="BQ30" s="1607"/>
      <c r="BR30" s="1607">
        <f t="shared" ref="BR30:BR36" si="1">BD30</f>
        <v>860308</v>
      </c>
      <c r="BS30" s="1607"/>
      <c r="BT30" s="1607"/>
      <c r="BU30" s="1607"/>
      <c r="BV30" s="1607"/>
      <c r="BW30" s="1607"/>
      <c r="BX30" s="1607"/>
      <c r="BY30" s="1607"/>
      <c r="BZ30" s="1607"/>
      <c r="CA30" s="1607"/>
      <c r="CB30" s="1607"/>
      <c r="CC30" s="1607"/>
      <c r="CD30" s="1607"/>
      <c r="CE30" s="1607"/>
      <c r="CF30" s="1607">
        <f>CF27</f>
        <v>609468</v>
      </c>
      <c r="CG30" s="1607"/>
      <c r="CH30" s="1607"/>
      <c r="CI30" s="1607"/>
      <c r="CJ30" s="1607"/>
      <c r="CK30" s="1607"/>
      <c r="CL30" s="1607"/>
      <c r="CM30" s="1607"/>
      <c r="CN30" s="1607"/>
      <c r="CO30" s="1607"/>
      <c r="CP30" s="1607"/>
      <c r="CQ30" s="1607"/>
      <c r="CR30" s="1607"/>
      <c r="CS30" s="1607"/>
      <c r="CT30" s="1607"/>
      <c r="CU30" s="1607"/>
      <c r="CV30" s="1607">
        <f>CV27</f>
        <v>232141</v>
      </c>
      <c r="CW30" s="1607"/>
      <c r="CX30" s="1607"/>
      <c r="CY30" s="1607"/>
      <c r="CZ30" s="1607"/>
      <c r="DA30" s="1607"/>
      <c r="DB30" s="1607"/>
      <c r="DC30" s="1607"/>
      <c r="DD30" s="1607"/>
      <c r="DE30" s="1607"/>
      <c r="DF30" s="1607"/>
      <c r="DG30" s="1607"/>
      <c r="DH30" s="1607"/>
      <c r="DI30" s="1607"/>
      <c r="DJ30" s="1607"/>
      <c r="DK30" s="1607"/>
      <c r="DL30" s="1607">
        <f>DL27</f>
        <v>18699</v>
      </c>
      <c r="DM30" s="1607"/>
      <c r="DN30" s="1607"/>
      <c r="DO30" s="1607"/>
      <c r="DP30" s="1607"/>
      <c r="DQ30" s="1607"/>
      <c r="DR30" s="1607"/>
      <c r="DS30" s="1607"/>
      <c r="DT30" s="1607"/>
      <c r="DU30" s="1607"/>
      <c r="DV30" s="1607"/>
      <c r="DW30" s="1607"/>
      <c r="DX30" s="1607"/>
      <c r="DY30" s="1607"/>
      <c r="DZ30" s="1607"/>
      <c r="EA30" s="1607"/>
      <c r="EB30" s="1607">
        <v>443591</v>
      </c>
      <c r="EC30" s="1607"/>
      <c r="ED30" s="1607"/>
      <c r="EE30" s="1607"/>
      <c r="EF30" s="1607"/>
      <c r="EG30" s="1607"/>
      <c r="EH30" s="1607"/>
      <c r="EI30" s="1607"/>
      <c r="EJ30" s="1607"/>
      <c r="EK30" s="1607"/>
      <c r="EL30" s="1607"/>
      <c r="EM30" s="1607"/>
      <c r="EN30" s="1607"/>
      <c r="EO30" s="1607"/>
      <c r="EP30" s="1608">
        <v>443591</v>
      </c>
      <c r="EQ30" s="1609"/>
      <c r="ER30" s="1609"/>
      <c r="ES30" s="1609"/>
      <c r="ET30" s="1609"/>
      <c r="EU30" s="1609"/>
      <c r="EV30" s="1609"/>
      <c r="EW30" s="1609"/>
      <c r="EX30" s="1609"/>
      <c r="EY30" s="1609"/>
      <c r="EZ30" s="1609"/>
      <c r="FA30" s="1609"/>
      <c r="FB30" s="1609"/>
      <c r="FC30" s="1610"/>
      <c r="FD30" s="1608">
        <v>233948</v>
      </c>
      <c r="FE30" s="1609"/>
      <c r="FF30" s="1609"/>
      <c r="FG30" s="1609"/>
      <c r="FH30" s="1609"/>
      <c r="FI30" s="1609"/>
      <c r="FJ30" s="1609"/>
      <c r="FK30" s="1609"/>
      <c r="FL30" s="1609"/>
      <c r="FM30" s="1609"/>
      <c r="FN30" s="1609"/>
      <c r="FO30" s="1609"/>
      <c r="FP30" s="1609"/>
      <c r="FQ30" s="1609"/>
      <c r="FR30" s="1609"/>
      <c r="FS30" s="1610"/>
      <c r="FT30" s="1608">
        <v>202333</v>
      </c>
      <c r="FU30" s="1609"/>
      <c r="FV30" s="1609"/>
      <c r="FW30" s="1609"/>
      <c r="FX30" s="1609"/>
      <c r="FY30" s="1609"/>
      <c r="FZ30" s="1609"/>
      <c r="GA30" s="1609"/>
      <c r="GB30" s="1609"/>
      <c r="GC30" s="1609"/>
      <c r="GD30" s="1609"/>
      <c r="GE30" s="1609"/>
      <c r="GF30" s="1609"/>
      <c r="GG30" s="1609"/>
      <c r="GH30" s="1609"/>
      <c r="GI30" s="1610"/>
      <c r="GJ30" s="1608">
        <v>7310</v>
      </c>
      <c r="GK30" s="1609"/>
      <c r="GL30" s="1609"/>
      <c r="GM30" s="1609"/>
      <c r="GN30" s="1609"/>
      <c r="GO30" s="1609"/>
      <c r="GP30" s="1609"/>
      <c r="GQ30" s="1609"/>
      <c r="GR30" s="1609"/>
      <c r="GS30" s="1609"/>
      <c r="GT30" s="1609"/>
      <c r="GU30" s="1609"/>
      <c r="GV30" s="1609"/>
      <c r="GW30" s="1609"/>
      <c r="GX30" s="1609"/>
      <c r="GY30" s="1610"/>
      <c r="GZ30" s="1607"/>
      <c r="HA30" s="1607"/>
      <c r="HB30" s="1607"/>
      <c r="HC30" s="1607"/>
      <c r="HD30" s="1607"/>
      <c r="HE30" s="1607"/>
      <c r="HF30" s="1607"/>
      <c r="HG30" s="1607"/>
      <c r="HH30" s="1607"/>
      <c r="HI30" s="1607"/>
      <c r="HJ30" s="1607"/>
      <c r="HK30" s="1607"/>
      <c r="HL30" s="1607"/>
      <c r="HM30" s="1607"/>
      <c r="HN30" s="1607"/>
      <c r="HO30" s="1607"/>
      <c r="HP30" s="1607"/>
      <c r="HW30" s="1043">
        <f t="shared" si="0"/>
        <v>0</v>
      </c>
    </row>
    <row r="31" spans="1:231" s="449" customFormat="1" ht="10.35" customHeight="1">
      <c r="A31" s="451"/>
      <c r="B31" s="1611" t="s">
        <v>1676</v>
      </c>
      <c r="C31" s="1611"/>
      <c r="D31" s="1611"/>
      <c r="E31" s="1611"/>
      <c r="F31" s="1611"/>
      <c r="G31" s="1611"/>
      <c r="H31" s="1611"/>
      <c r="I31" s="1611"/>
      <c r="J31" s="1611"/>
      <c r="K31" s="1611"/>
      <c r="L31" s="1611"/>
      <c r="M31" s="1611"/>
      <c r="N31" s="1611"/>
      <c r="O31" s="1611"/>
      <c r="P31" s="1611"/>
      <c r="Q31" s="1611"/>
      <c r="R31" s="1611"/>
      <c r="S31" s="1611"/>
      <c r="T31" s="1611"/>
      <c r="U31" s="1611"/>
      <c r="V31" s="1611"/>
      <c r="W31" s="1611"/>
      <c r="X31" s="1611"/>
      <c r="Y31" s="1611"/>
      <c r="Z31" s="1611"/>
      <c r="AA31" s="1611"/>
      <c r="AB31" s="1611"/>
      <c r="AC31" s="1611"/>
      <c r="AD31" s="1611"/>
      <c r="AE31" s="1611"/>
      <c r="AF31" s="1611"/>
      <c r="AG31" s="1611"/>
      <c r="AH31" s="1611"/>
      <c r="AI31" s="1611"/>
      <c r="AJ31" s="1611"/>
      <c r="AK31" s="1612"/>
      <c r="AL31" s="1613" t="s">
        <v>121</v>
      </c>
      <c r="AM31" s="1613"/>
      <c r="AN31" s="1613"/>
      <c r="AO31" s="1613"/>
      <c r="AP31" s="1613"/>
      <c r="AQ31" s="1613"/>
      <c r="AR31" s="1613"/>
      <c r="AS31" s="1613"/>
      <c r="AT31" s="1613"/>
      <c r="AU31" s="1613"/>
      <c r="AV31" s="1614" t="s">
        <v>1677</v>
      </c>
      <c r="AW31" s="1614"/>
      <c r="AX31" s="1614"/>
      <c r="AY31" s="1614"/>
      <c r="AZ31" s="1614"/>
      <c r="BA31" s="1614"/>
      <c r="BB31" s="1614"/>
      <c r="BC31" s="1614"/>
      <c r="BD31" s="1607">
        <f>CF31+CV31+DL31</f>
        <v>0</v>
      </c>
      <c r="BE31" s="1607"/>
      <c r="BF31" s="1607"/>
      <c r="BG31" s="1607"/>
      <c r="BH31" s="1607"/>
      <c r="BI31" s="1607"/>
      <c r="BJ31" s="1607"/>
      <c r="BK31" s="1607"/>
      <c r="BL31" s="1607"/>
      <c r="BM31" s="1607"/>
      <c r="BN31" s="1607"/>
      <c r="BO31" s="1607"/>
      <c r="BP31" s="1607"/>
      <c r="BQ31" s="1607"/>
      <c r="BR31" s="1607">
        <f>BD31</f>
        <v>0</v>
      </c>
      <c r="BS31" s="1607"/>
      <c r="BT31" s="1607"/>
      <c r="BU31" s="1607"/>
      <c r="BV31" s="1607"/>
      <c r="BW31" s="1607"/>
      <c r="BX31" s="1607"/>
      <c r="BY31" s="1607"/>
      <c r="BZ31" s="1607"/>
      <c r="CA31" s="1607"/>
      <c r="CB31" s="1607"/>
      <c r="CC31" s="1607"/>
      <c r="CD31" s="1607"/>
      <c r="CE31" s="1607"/>
      <c r="CF31" s="1607"/>
      <c r="CG31" s="1607"/>
      <c r="CH31" s="1607"/>
      <c r="CI31" s="1607"/>
      <c r="CJ31" s="1607"/>
      <c r="CK31" s="1607"/>
      <c r="CL31" s="1607"/>
      <c r="CM31" s="1607"/>
      <c r="CN31" s="1607"/>
      <c r="CO31" s="1607"/>
      <c r="CP31" s="1607"/>
      <c r="CQ31" s="1607"/>
      <c r="CR31" s="1607"/>
      <c r="CS31" s="1607"/>
      <c r="CT31" s="1607"/>
      <c r="CU31" s="1607"/>
      <c r="CV31" s="1607"/>
      <c r="CW31" s="1607"/>
      <c r="CX31" s="1607"/>
      <c r="CY31" s="1607"/>
      <c r="CZ31" s="1607"/>
      <c r="DA31" s="1607"/>
      <c r="DB31" s="1607"/>
      <c r="DC31" s="1607"/>
      <c r="DD31" s="1607"/>
      <c r="DE31" s="1607"/>
      <c r="DF31" s="1607"/>
      <c r="DG31" s="1607"/>
      <c r="DH31" s="1607"/>
      <c r="DI31" s="1607"/>
      <c r="DJ31" s="1607"/>
      <c r="DK31" s="1607"/>
      <c r="DL31" s="1607">
        <v>0</v>
      </c>
      <c r="DM31" s="1607"/>
      <c r="DN31" s="1607"/>
      <c r="DO31" s="1607"/>
      <c r="DP31" s="1607"/>
      <c r="DQ31" s="1607"/>
      <c r="DR31" s="1607"/>
      <c r="DS31" s="1607"/>
      <c r="DT31" s="1607"/>
      <c r="DU31" s="1607"/>
      <c r="DV31" s="1607"/>
      <c r="DW31" s="1607"/>
      <c r="DX31" s="1607"/>
      <c r="DY31" s="1607"/>
      <c r="DZ31" s="1607"/>
      <c r="EA31" s="1607"/>
      <c r="EB31" s="1607">
        <v>48</v>
      </c>
      <c r="EC31" s="1607"/>
      <c r="ED31" s="1607"/>
      <c r="EE31" s="1607"/>
      <c r="EF31" s="1607"/>
      <c r="EG31" s="1607"/>
      <c r="EH31" s="1607"/>
      <c r="EI31" s="1607"/>
      <c r="EJ31" s="1607"/>
      <c r="EK31" s="1607"/>
      <c r="EL31" s="1607"/>
      <c r="EM31" s="1607"/>
      <c r="EN31" s="1607"/>
      <c r="EO31" s="1607"/>
      <c r="EP31" s="1608">
        <v>48</v>
      </c>
      <c r="EQ31" s="1609"/>
      <c r="ER31" s="1609"/>
      <c r="ES31" s="1609"/>
      <c r="ET31" s="1609"/>
      <c r="EU31" s="1609"/>
      <c r="EV31" s="1609"/>
      <c r="EW31" s="1609"/>
      <c r="EX31" s="1609"/>
      <c r="EY31" s="1609"/>
      <c r="EZ31" s="1609"/>
      <c r="FA31" s="1609"/>
      <c r="FB31" s="1609"/>
      <c r="FC31" s="1610"/>
      <c r="FD31" s="1608">
        <v>0</v>
      </c>
      <c r="FE31" s="1609"/>
      <c r="FF31" s="1609"/>
      <c r="FG31" s="1609"/>
      <c r="FH31" s="1609"/>
      <c r="FI31" s="1609"/>
      <c r="FJ31" s="1609"/>
      <c r="FK31" s="1609"/>
      <c r="FL31" s="1609"/>
      <c r="FM31" s="1609"/>
      <c r="FN31" s="1609"/>
      <c r="FO31" s="1609"/>
      <c r="FP31" s="1609"/>
      <c r="FQ31" s="1609"/>
      <c r="FR31" s="1609"/>
      <c r="FS31" s="1610"/>
      <c r="FT31" s="1608">
        <v>0</v>
      </c>
      <c r="FU31" s="1609"/>
      <c r="FV31" s="1609"/>
      <c r="FW31" s="1609"/>
      <c r="FX31" s="1609"/>
      <c r="FY31" s="1609"/>
      <c r="FZ31" s="1609"/>
      <c r="GA31" s="1609"/>
      <c r="GB31" s="1609"/>
      <c r="GC31" s="1609"/>
      <c r="GD31" s="1609"/>
      <c r="GE31" s="1609"/>
      <c r="GF31" s="1609"/>
      <c r="GG31" s="1609"/>
      <c r="GH31" s="1609"/>
      <c r="GI31" s="1610"/>
      <c r="GJ31" s="1608">
        <v>48</v>
      </c>
      <c r="GK31" s="1609"/>
      <c r="GL31" s="1609"/>
      <c r="GM31" s="1609"/>
      <c r="GN31" s="1609"/>
      <c r="GO31" s="1609"/>
      <c r="GP31" s="1609"/>
      <c r="GQ31" s="1609"/>
      <c r="GR31" s="1609"/>
      <c r="GS31" s="1609"/>
      <c r="GT31" s="1609"/>
      <c r="GU31" s="1609"/>
      <c r="GV31" s="1609"/>
      <c r="GW31" s="1609"/>
      <c r="GX31" s="1609"/>
      <c r="GY31" s="1610"/>
      <c r="GZ31" s="1607"/>
      <c r="HA31" s="1607"/>
      <c r="HB31" s="1607"/>
      <c r="HC31" s="1607"/>
      <c r="HD31" s="1607"/>
      <c r="HE31" s="1607"/>
      <c r="HF31" s="1607"/>
      <c r="HG31" s="1607"/>
      <c r="HH31" s="1607"/>
      <c r="HI31" s="1607"/>
      <c r="HJ31" s="1607"/>
      <c r="HK31" s="1607"/>
      <c r="HL31" s="1607"/>
      <c r="HM31" s="1607"/>
      <c r="HN31" s="1607"/>
      <c r="HO31" s="1607"/>
      <c r="HP31" s="1607"/>
      <c r="HW31" s="1043">
        <f t="shared" si="0"/>
        <v>0</v>
      </c>
    </row>
    <row r="32" spans="1:231" s="449" customFormat="1" ht="10.35" customHeight="1">
      <c r="A32" s="451"/>
      <c r="B32" s="1611" t="s">
        <v>1678</v>
      </c>
      <c r="C32" s="1611"/>
      <c r="D32" s="1611"/>
      <c r="E32" s="1611"/>
      <c r="F32" s="1611"/>
      <c r="G32" s="1611"/>
      <c r="H32" s="1611"/>
      <c r="I32" s="1611"/>
      <c r="J32" s="1611"/>
      <c r="K32" s="1611"/>
      <c r="L32" s="1611"/>
      <c r="M32" s="1611"/>
      <c r="N32" s="1611"/>
      <c r="O32" s="1611"/>
      <c r="P32" s="1611"/>
      <c r="Q32" s="1611"/>
      <c r="R32" s="1611"/>
      <c r="S32" s="1611"/>
      <c r="T32" s="1611"/>
      <c r="U32" s="1611"/>
      <c r="V32" s="1611"/>
      <c r="W32" s="1611"/>
      <c r="X32" s="1611"/>
      <c r="Y32" s="1611"/>
      <c r="Z32" s="1611"/>
      <c r="AA32" s="1611"/>
      <c r="AB32" s="1611"/>
      <c r="AC32" s="1611"/>
      <c r="AD32" s="1611"/>
      <c r="AE32" s="1611"/>
      <c r="AF32" s="1611"/>
      <c r="AG32" s="1611"/>
      <c r="AH32" s="1611"/>
      <c r="AI32" s="1611"/>
      <c r="AJ32" s="1611"/>
      <c r="AK32" s="1612"/>
      <c r="AL32" s="1613" t="s">
        <v>121</v>
      </c>
      <c r="AM32" s="1613"/>
      <c r="AN32" s="1613"/>
      <c r="AO32" s="1613"/>
      <c r="AP32" s="1613"/>
      <c r="AQ32" s="1613"/>
      <c r="AR32" s="1613"/>
      <c r="AS32" s="1613"/>
      <c r="AT32" s="1613"/>
      <c r="AU32" s="1613"/>
      <c r="AV32" s="1614" t="s">
        <v>1679</v>
      </c>
      <c r="AW32" s="1614"/>
      <c r="AX32" s="1614"/>
      <c r="AY32" s="1614"/>
      <c r="AZ32" s="1614"/>
      <c r="BA32" s="1614"/>
      <c r="BB32" s="1614"/>
      <c r="BC32" s="1614"/>
      <c r="BD32" s="1607">
        <f>DL32</f>
        <v>13968</v>
      </c>
      <c r="BE32" s="1607"/>
      <c r="BF32" s="1607"/>
      <c r="BG32" s="1607"/>
      <c r="BH32" s="1607"/>
      <c r="BI32" s="1607"/>
      <c r="BJ32" s="1607"/>
      <c r="BK32" s="1607"/>
      <c r="BL32" s="1607"/>
      <c r="BM32" s="1607"/>
      <c r="BN32" s="1607"/>
      <c r="BO32" s="1607"/>
      <c r="BP32" s="1607"/>
      <c r="BQ32" s="1607"/>
      <c r="BR32" s="1607">
        <f t="shared" si="1"/>
        <v>13968</v>
      </c>
      <c r="BS32" s="1607"/>
      <c r="BT32" s="1607"/>
      <c r="BU32" s="1607"/>
      <c r="BV32" s="1607"/>
      <c r="BW32" s="1607"/>
      <c r="BX32" s="1607"/>
      <c r="BY32" s="1607"/>
      <c r="BZ32" s="1607"/>
      <c r="CA32" s="1607"/>
      <c r="CB32" s="1607"/>
      <c r="CC32" s="1607"/>
      <c r="CD32" s="1607"/>
      <c r="CE32" s="1607"/>
      <c r="CF32" s="1607"/>
      <c r="CG32" s="1607"/>
      <c r="CH32" s="1607"/>
      <c r="CI32" s="1607"/>
      <c r="CJ32" s="1607"/>
      <c r="CK32" s="1607"/>
      <c r="CL32" s="1607"/>
      <c r="CM32" s="1607"/>
      <c r="CN32" s="1607"/>
      <c r="CO32" s="1607"/>
      <c r="CP32" s="1607"/>
      <c r="CQ32" s="1607"/>
      <c r="CR32" s="1607"/>
      <c r="CS32" s="1607"/>
      <c r="CT32" s="1607"/>
      <c r="CU32" s="1607"/>
      <c r="CV32" s="1607"/>
      <c r="CW32" s="1607"/>
      <c r="CX32" s="1607"/>
      <c r="CY32" s="1607"/>
      <c r="CZ32" s="1607"/>
      <c r="DA32" s="1607"/>
      <c r="DB32" s="1607"/>
      <c r="DC32" s="1607"/>
      <c r="DD32" s="1607"/>
      <c r="DE32" s="1607"/>
      <c r="DF32" s="1607"/>
      <c r="DG32" s="1607"/>
      <c r="DH32" s="1607"/>
      <c r="DI32" s="1607"/>
      <c r="DJ32" s="1607"/>
      <c r="DK32" s="1607"/>
      <c r="DL32" s="1607">
        <v>13968</v>
      </c>
      <c r="DM32" s="1607"/>
      <c r="DN32" s="1607"/>
      <c r="DO32" s="1607"/>
      <c r="DP32" s="1607"/>
      <c r="DQ32" s="1607"/>
      <c r="DR32" s="1607"/>
      <c r="DS32" s="1607"/>
      <c r="DT32" s="1607"/>
      <c r="DU32" s="1607"/>
      <c r="DV32" s="1607"/>
      <c r="DW32" s="1607"/>
      <c r="DX32" s="1607"/>
      <c r="DY32" s="1607"/>
      <c r="DZ32" s="1607"/>
      <c r="EA32" s="1607"/>
      <c r="EB32" s="1607">
        <v>3782</v>
      </c>
      <c r="EC32" s="1607"/>
      <c r="ED32" s="1607"/>
      <c r="EE32" s="1607"/>
      <c r="EF32" s="1607"/>
      <c r="EG32" s="1607"/>
      <c r="EH32" s="1607"/>
      <c r="EI32" s="1607"/>
      <c r="EJ32" s="1607"/>
      <c r="EK32" s="1607"/>
      <c r="EL32" s="1607"/>
      <c r="EM32" s="1607"/>
      <c r="EN32" s="1607"/>
      <c r="EO32" s="1607"/>
      <c r="EP32" s="1608">
        <v>3782</v>
      </c>
      <c r="EQ32" s="1609"/>
      <c r="ER32" s="1609"/>
      <c r="ES32" s="1609"/>
      <c r="ET32" s="1609"/>
      <c r="EU32" s="1609"/>
      <c r="EV32" s="1609"/>
      <c r="EW32" s="1609"/>
      <c r="EX32" s="1609"/>
      <c r="EY32" s="1609"/>
      <c r="EZ32" s="1609"/>
      <c r="FA32" s="1609"/>
      <c r="FB32" s="1609"/>
      <c r="FC32" s="1610"/>
      <c r="FD32" s="1608">
        <v>0</v>
      </c>
      <c r="FE32" s="1609"/>
      <c r="FF32" s="1609"/>
      <c r="FG32" s="1609"/>
      <c r="FH32" s="1609"/>
      <c r="FI32" s="1609"/>
      <c r="FJ32" s="1609"/>
      <c r="FK32" s="1609"/>
      <c r="FL32" s="1609"/>
      <c r="FM32" s="1609"/>
      <c r="FN32" s="1609"/>
      <c r="FO32" s="1609"/>
      <c r="FP32" s="1609"/>
      <c r="FQ32" s="1609"/>
      <c r="FR32" s="1609"/>
      <c r="FS32" s="1610"/>
      <c r="FT32" s="1608">
        <v>0</v>
      </c>
      <c r="FU32" s="1609"/>
      <c r="FV32" s="1609"/>
      <c r="FW32" s="1609"/>
      <c r="FX32" s="1609"/>
      <c r="FY32" s="1609"/>
      <c r="FZ32" s="1609"/>
      <c r="GA32" s="1609"/>
      <c r="GB32" s="1609"/>
      <c r="GC32" s="1609"/>
      <c r="GD32" s="1609"/>
      <c r="GE32" s="1609"/>
      <c r="GF32" s="1609"/>
      <c r="GG32" s="1609"/>
      <c r="GH32" s="1609"/>
      <c r="GI32" s="1610"/>
      <c r="GJ32" s="1608">
        <v>3782</v>
      </c>
      <c r="GK32" s="1609"/>
      <c r="GL32" s="1609"/>
      <c r="GM32" s="1609"/>
      <c r="GN32" s="1609"/>
      <c r="GO32" s="1609"/>
      <c r="GP32" s="1609"/>
      <c r="GQ32" s="1609"/>
      <c r="GR32" s="1609"/>
      <c r="GS32" s="1609"/>
      <c r="GT32" s="1609"/>
      <c r="GU32" s="1609"/>
      <c r="GV32" s="1609"/>
      <c r="GW32" s="1609"/>
      <c r="GX32" s="1609"/>
      <c r="GY32" s="1610"/>
      <c r="GZ32" s="1607"/>
      <c r="HA32" s="1607"/>
      <c r="HB32" s="1607"/>
      <c r="HC32" s="1607"/>
      <c r="HD32" s="1607"/>
      <c r="HE32" s="1607"/>
      <c r="HF32" s="1607"/>
      <c r="HG32" s="1607"/>
      <c r="HH32" s="1607"/>
      <c r="HI32" s="1607"/>
      <c r="HJ32" s="1607"/>
      <c r="HK32" s="1607"/>
      <c r="HL32" s="1607"/>
      <c r="HM32" s="1607"/>
      <c r="HN32" s="1607"/>
      <c r="HO32" s="1607"/>
      <c r="HP32" s="1607"/>
      <c r="HU32" s="1045">
        <f>CF32</f>
        <v>0</v>
      </c>
      <c r="HW32" s="1043">
        <f t="shared" si="0"/>
        <v>0</v>
      </c>
    </row>
    <row r="33" spans="1:231" s="449" customFormat="1" ht="10.35" customHeight="1">
      <c r="A33" s="451"/>
      <c r="B33" s="1611" t="s">
        <v>1680</v>
      </c>
      <c r="C33" s="1611"/>
      <c r="D33" s="1611"/>
      <c r="E33" s="1611"/>
      <c r="F33" s="1611"/>
      <c r="G33" s="1611"/>
      <c r="H33" s="1611"/>
      <c r="I33" s="1611"/>
      <c r="J33" s="1611"/>
      <c r="K33" s="1611"/>
      <c r="L33" s="1611"/>
      <c r="M33" s="1611"/>
      <c r="N33" s="1611"/>
      <c r="O33" s="1611"/>
      <c r="P33" s="1611"/>
      <c r="Q33" s="1611"/>
      <c r="R33" s="1611"/>
      <c r="S33" s="1611"/>
      <c r="T33" s="1611"/>
      <c r="U33" s="1611"/>
      <c r="V33" s="1611"/>
      <c r="W33" s="1611"/>
      <c r="X33" s="1611"/>
      <c r="Y33" s="1611"/>
      <c r="Z33" s="1611"/>
      <c r="AA33" s="1611"/>
      <c r="AB33" s="1611"/>
      <c r="AC33" s="1611"/>
      <c r="AD33" s="1611"/>
      <c r="AE33" s="1611"/>
      <c r="AF33" s="1611"/>
      <c r="AG33" s="1611"/>
      <c r="AH33" s="1611"/>
      <c r="AI33" s="1611"/>
      <c r="AJ33" s="1611"/>
      <c r="AK33" s="1612"/>
      <c r="AL33" s="1613" t="s">
        <v>121</v>
      </c>
      <c r="AM33" s="1613"/>
      <c r="AN33" s="1613"/>
      <c r="AO33" s="1613"/>
      <c r="AP33" s="1613"/>
      <c r="AQ33" s="1613"/>
      <c r="AR33" s="1613"/>
      <c r="AS33" s="1613"/>
      <c r="AT33" s="1613"/>
      <c r="AU33" s="1613"/>
      <c r="AV33" s="1614" t="s">
        <v>1681</v>
      </c>
      <c r="AW33" s="1614"/>
      <c r="AX33" s="1614"/>
      <c r="AY33" s="1614"/>
      <c r="AZ33" s="1614"/>
      <c r="BA33" s="1614"/>
      <c r="BB33" s="1614"/>
      <c r="BC33" s="1614"/>
      <c r="BD33" s="1607">
        <f>BR33</f>
        <v>605590</v>
      </c>
      <c r="BE33" s="1607"/>
      <c r="BF33" s="1607"/>
      <c r="BG33" s="1607"/>
      <c r="BH33" s="1607"/>
      <c r="BI33" s="1607"/>
      <c r="BJ33" s="1607"/>
      <c r="BK33" s="1607"/>
      <c r="BL33" s="1607"/>
      <c r="BM33" s="1607"/>
      <c r="BN33" s="1607"/>
      <c r="BO33" s="1607"/>
      <c r="BP33" s="1607"/>
      <c r="BQ33" s="1607"/>
      <c r="BR33" s="1607">
        <f>CF33+CV33+DL33</f>
        <v>605590</v>
      </c>
      <c r="BS33" s="1607"/>
      <c r="BT33" s="1607"/>
      <c r="BU33" s="1607"/>
      <c r="BV33" s="1607"/>
      <c r="BW33" s="1607"/>
      <c r="BX33" s="1607"/>
      <c r="BY33" s="1607"/>
      <c r="BZ33" s="1607"/>
      <c r="CA33" s="1607"/>
      <c r="CB33" s="1607"/>
      <c r="CC33" s="1607"/>
      <c r="CD33" s="1607"/>
      <c r="CE33" s="1607"/>
      <c r="CF33" s="1607">
        <v>596159</v>
      </c>
      <c r="CG33" s="1607"/>
      <c r="CH33" s="1607"/>
      <c r="CI33" s="1607"/>
      <c r="CJ33" s="1607"/>
      <c r="CK33" s="1607"/>
      <c r="CL33" s="1607"/>
      <c r="CM33" s="1607"/>
      <c r="CN33" s="1607"/>
      <c r="CO33" s="1607"/>
      <c r="CP33" s="1607"/>
      <c r="CQ33" s="1607"/>
      <c r="CR33" s="1607"/>
      <c r="CS33" s="1607"/>
      <c r="CT33" s="1607"/>
      <c r="CU33" s="1607"/>
      <c r="CV33" s="1607">
        <v>8020</v>
      </c>
      <c r="CW33" s="1607"/>
      <c r="CX33" s="1607"/>
      <c r="CY33" s="1607"/>
      <c r="CZ33" s="1607"/>
      <c r="DA33" s="1607"/>
      <c r="DB33" s="1607"/>
      <c r="DC33" s="1607"/>
      <c r="DD33" s="1607"/>
      <c r="DE33" s="1607"/>
      <c r="DF33" s="1607"/>
      <c r="DG33" s="1607"/>
      <c r="DH33" s="1607"/>
      <c r="DI33" s="1607"/>
      <c r="DJ33" s="1607"/>
      <c r="DK33" s="1607"/>
      <c r="DL33" s="1607">
        <v>1411</v>
      </c>
      <c r="DM33" s="1607"/>
      <c r="DN33" s="1607"/>
      <c r="DO33" s="1607"/>
      <c r="DP33" s="1607"/>
      <c r="DQ33" s="1607"/>
      <c r="DR33" s="1607"/>
      <c r="DS33" s="1607"/>
      <c r="DT33" s="1607"/>
      <c r="DU33" s="1607"/>
      <c r="DV33" s="1607"/>
      <c r="DW33" s="1607"/>
      <c r="DX33" s="1607"/>
      <c r="DY33" s="1607"/>
      <c r="DZ33" s="1607"/>
      <c r="EA33" s="1607"/>
      <c r="EB33" s="1607">
        <v>427242</v>
      </c>
      <c r="EC33" s="1607"/>
      <c r="ED33" s="1607"/>
      <c r="EE33" s="1607"/>
      <c r="EF33" s="1607"/>
      <c r="EG33" s="1607"/>
      <c r="EH33" s="1607"/>
      <c r="EI33" s="1607"/>
      <c r="EJ33" s="1607"/>
      <c r="EK33" s="1607"/>
      <c r="EL33" s="1607"/>
      <c r="EM33" s="1607"/>
      <c r="EN33" s="1607"/>
      <c r="EO33" s="1607"/>
      <c r="EP33" s="1608">
        <v>427242</v>
      </c>
      <c r="EQ33" s="1609"/>
      <c r="ER33" s="1609"/>
      <c r="ES33" s="1609"/>
      <c r="ET33" s="1609"/>
      <c r="EU33" s="1609"/>
      <c r="EV33" s="1609"/>
      <c r="EW33" s="1609"/>
      <c r="EX33" s="1609"/>
      <c r="EY33" s="1609"/>
      <c r="EZ33" s="1609"/>
      <c r="FA33" s="1609"/>
      <c r="FB33" s="1609"/>
      <c r="FC33" s="1610"/>
      <c r="FD33" s="1608">
        <v>419796</v>
      </c>
      <c r="FE33" s="1609"/>
      <c r="FF33" s="1609"/>
      <c r="FG33" s="1609"/>
      <c r="FH33" s="1609"/>
      <c r="FI33" s="1609"/>
      <c r="FJ33" s="1609"/>
      <c r="FK33" s="1609"/>
      <c r="FL33" s="1609"/>
      <c r="FM33" s="1609"/>
      <c r="FN33" s="1609"/>
      <c r="FO33" s="1609"/>
      <c r="FP33" s="1609"/>
      <c r="FQ33" s="1609"/>
      <c r="FR33" s="1609"/>
      <c r="FS33" s="1610"/>
      <c r="FT33" s="1608">
        <v>2842</v>
      </c>
      <c r="FU33" s="1609"/>
      <c r="FV33" s="1609"/>
      <c r="FW33" s="1609"/>
      <c r="FX33" s="1609"/>
      <c r="FY33" s="1609"/>
      <c r="FZ33" s="1609"/>
      <c r="GA33" s="1609"/>
      <c r="GB33" s="1609"/>
      <c r="GC33" s="1609"/>
      <c r="GD33" s="1609"/>
      <c r="GE33" s="1609"/>
      <c r="GF33" s="1609"/>
      <c r="GG33" s="1609"/>
      <c r="GH33" s="1609"/>
      <c r="GI33" s="1610"/>
      <c r="GJ33" s="1608">
        <v>4604</v>
      </c>
      <c r="GK33" s="1609"/>
      <c r="GL33" s="1609"/>
      <c r="GM33" s="1609"/>
      <c r="GN33" s="1609"/>
      <c r="GO33" s="1609"/>
      <c r="GP33" s="1609"/>
      <c r="GQ33" s="1609"/>
      <c r="GR33" s="1609"/>
      <c r="GS33" s="1609"/>
      <c r="GT33" s="1609"/>
      <c r="GU33" s="1609"/>
      <c r="GV33" s="1609"/>
      <c r="GW33" s="1609"/>
      <c r="GX33" s="1609"/>
      <c r="GY33" s="1610"/>
      <c r="GZ33" s="1607"/>
      <c r="HA33" s="1607"/>
      <c r="HB33" s="1607"/>
      <c r="HC33" s="1607"/>
      <c r="HD33" s="1607"/>
      <c r="HE33" s="1607"/>
      <c r="HF33" s="1607"/>
      <c r="HG33" s="1607"/>
      <c r="HH33" s="1607"/>
      <c r="HI33" s="1607"/>
      <c r="HJ33" s="1607"/>
      <c r="HK33" s="1607"/>
      <c r="HL33" s="1607"/>
      <c r="HM33" s="1607"/>
      <c r="HN33" s="1607"/>
      <c r="HO33" s="1607"/>
      <c r="HP33" s="1607"/>
      <c r="HU33" s="1045">
        <f>CF33</f>
        <v>596159</v>
      </c>
      <c r="HW33" s="1043">
        <f t="shared" si="0"/>
        <v>596159</v>
      </c>
    </row>
    <row r="34" spans="1:231" s="449" customFormat="1" ht="10.35" customHeight="1">
      <c r="A34" s="451"/>
      <c r="B34" s="1611" t="s">
        <v>1682</v>
      </c>
      <c r="C34" s="1611"/>
      <c r="D34" s="1611"/>
      <c r="E34" s="1611"/>
      <c r="F34" s="1611"/>
      <c r="G34" s="1611"/>
      <c r="H34" s="1611"/>
      <c r="I34" s="1611"/>
      <c r="J34" s="1611"/>
      <c r="K34" s="1611"/>
      <c r="L34" s="1611"/>
      <c r="M34" s="1611"/>
      <c r="N34" s="1611"/>
      <c r="O34" s="1611"/>
      <c r="P34" s="1611"/>
      <c r="Q34" s="1611"/>
      <c r="R34" s="1611"/>
      <c r="S34" s="1611"/>
      <c r="T34" s="1611"/>
      <c r="U34" s="1611"/>
      <c r="V34" s="1611"/>
      <c r="W34" s="1611"/>
      <c r="X34" s="1611"/>
      <c r="Y34" s="1611"/>
      <c r="Z34" s="1611"/>
      <c r="AA34" s="1611"/>
      <c r="AB34" s="1611"/>
      <c r="AC34" s="1611"/>
      <c r="AD34" s="1611"/>
      <c r="AE34" s="1611"/>
      <c r="AF34" s="1611"/>
      <c r="AG34" s="1611"/>
      <c r="AH34" s="1611"/>
      <c r="AI34" s="1611"/>
      <c r="AJ34" s="1611"/>
      <c r="AK34" s="1612"/>
      <c r="AL34" s="1613" t="s">
        <v>121</v>
      </c>
      <c r="AM34" s="1613"/>
      <c r="AN34" s="1613"/>
      <c r="AO34" s="1613"/>
      <c r="AP34" s="1613"/>
      <c r="AQ34" s="1613"/>
      <c r="AR34" s="1613"/>
      <c r="AS34" s="1613"/>
      <c r="AT34" s="1613"/>
      <c r="AU34" s="1613"/>
      <c r="AV34" s="1614" t="s">
        <v>1683</v>
      </c>
      <c r="AW34" s="1614"/>
      <c r="AX34" s="1614"/>
      <c r="AY34" s="1614"/>
      <c r="AZ34" s="1614"/>
      <c r="BA34" s="1614"/>
      <c r="BB34" s="1614"/>
      <c r="BC34" s="1614"/>
      <c r="BD34" s="1607">
        <f>CF34+CV34+DL34</f>
        <v>861748</v>
      </c>
      <c r="BE34" s="1607"/>
      <c r="BF34" s="1607"/>
      <c r="BG34" s="1607"/>
      <c r="BH34" s="1607"/>
      <c r="BI34" s="1607"/>
      <c r="BJ34" s="1607"/>
      <c r="BK34" s="1607"/>
      <c r="BL34" s="1607"/>
      <c r="BM34" s="1607"/>
      <c r="BN34" s="1607"/>
      <c r="BO34" s="1607"/>
      <c r="BP34" s="1607"/>
      <c r="BQ34" s="1607"/>
      <c r="BR34" s="1607">
        <f t="shared" si="1"/>
        <v>861748</v>
      </c>
      <c r="BS34" s="1607"/>
      <c r="BT34" s="1607"/>
      <c r="BU34" s="1607"/>
      <c r="BV34" s="1607"/>
      <c r="BW34" s="1607"/>
      <c r="BX34" s="1607"/>
      <c r="BY34" s="1607"/>
      <c r="BZ34" s="1607"/>
      <c r="CA34" s="1607"/>
      <c r="CB34" s="1607"/>
      <c r="CC34" s="1607"/>
      <c r="CD34" s="1607"/>
      <c r="CE34" s="1607"/>
      <c r="CF34" s="1607">
        <v>733546</v>
      </c>
      <c r="CG34" s="1607"/>
      <c r="CH34" s="1607"/>
      <c r="CI34" s="1607"/>
      <c r="CJ34" s="1607"/>
      <c r="CK34" s="1607"/>
      <c r="CL34" s="1607"/>
      <c r="CM34" s="1607"/>
      <c r="CN34" s="1607"/>
      <c r="CO34" s="1607"/>
      <c r="CP34" s="1607"/>
      <c r="CQ34" s="1607"/>
      <c r="CR34" s="1607"/>
      <c r="CS34" s="1607"/>
      <c r="CT34" s="1607"/>
      <c r="CU34" s="1607"/>
      <c r="CV34" s="1607">
        <v>64851</v>
      </c>
      <c r="CW34" s="1607"/>
      <c r="CX34" s="1607"/>
      <c r="CY34" s="1607"/>
      <c r="CZ34" s="1607"/>
      <c r="DA34" s="1607"/>
      <c r="DB34" s="1607"/>
      <c r="DC34" s="1607"/>
      <c r="DD34" s="1607"/>
      <c r="DE34" s="1607"/>
      <c r="DF34" s="1607"/>
      <c r="DG34" s="1607"/>
      <c r="DH34" s="1607"/>
      <c r="DI34" s="1607"/>
      <c r="DJ34" s="1607"/>
      <c r="DK34" s="1607"/>
      <c r="DL34" s="1607">
        <v>63351</v>
      </c>
      <c r="DM34" s="1607"/>
      <c r="DN34" s="1607"/>
      <c r="DO34" s="1607"/>
      <c r="DP34" s="1607"/>
      <c r="DQ34" s="1607"/>
      <c r="DR34" s="1607"/>
      <c r="DS34" s="1607"/>
      <c r="DT34" s="1607"/>
      <c r="DU34" s="1607"/>
      <c r="DV34" s="1607"/>
      <c r="DW34" s="1607"/>
      <c r="DX34" s="1607"/>
      <c r="DY34" s="1607"/>
      <c r="DZ34" s="1607"/>
      <c r="EA34" s="1607"/>
      <c r="EB34" s="1607">
        <v>943998</v>
      </c>
      <c r="EC34" s="1607"/>
      <c r="ED34" s="1607"/>
      <c r="EE34" s="1607"/>
      <c r="EF34" s="1607"/>
      <c r="EG34" s="1607"/>
      <c r="EH34" s="1607"/>
      <c r="EI34" s="1607"/>
      <c r="EJ34" s="1607"/>
      <c r="EK34" s="1607"/>
      <c r="EL34" s="1607"/>
      <c r="EM34" s="1607"/>
      <c r="EN34" s="1607"/>
      <c r="EO34" s="1607"/>
      <c r="EP34" s="1608">
        <v>943998</v>
      </c>
      <c r="EQ34" s="1609"/>
      <c r="ER34" s="1609"/>
      <c r="ES34" s="1609"/>
      <c r="ET34" s="1609"/>
      <c r="EU34" s="1609"/>
      <c r="EV34" s="1609"/>
      <c r="EW34" s="1609"/>
      <c r="EX34" s="1609"/>
      <c r="EY34" s="1609"/>
      <c r="EZ34" s="1609"/>
      <c r="FA34" s="1609"/>
      <c r="FB34" s="1609"/>
      <c r="FC34" s="1610"/>
      <c r="FD34" s="1608">
        <v>774095</v>
      </c>
      <c r="FE34" s="1609"/>
      <c r="FF34" s="1609"/>
      <c r="FG34" s="1609"/>
      <c r="FH34" s="1609"/>
      <c r="FI34" s="1609"/>
      <c r="FJ34" s="1609"/>
      <c r="FK34" s="1609"/>
      <c r="FL34" s="1609"/>
      <c r="FM34" s="1609"/>
      <c r="FN34" s="1609"/>
      <c r="FO34" s="1609"/>
      <c r="FP34" s="1609"/>
      <c r="FQ34" s="1609"/>
      <c r="FR34" s="1609"/>
      <c r="FS34" s="1610"/>
      <c r="FT34" s="1608">
        <v>31559</v>
      </c>
      <c r="FU34" s="1609"/>
      <c r="FV34" s="1609"/>
      <c r="FW34" s="1609"/>
      <c r="FX34" s="1609"/>
      <c r="FY34" s="1609"/>
      <c r="FZ34" s="1609"/>
      <c r="GA34" s="1609"/>
      <c r="GB34" s="1609"/>
      <c r="GC34" s="1609"/>
      <c r="GD34" s="1609"/>
      <c r="GE34" s="1609"/>
      <c r="GF34" s="1609"/>
      <c r="GG34" s="1609"/>
      <c r="GH34" s="1609"/>
      <c r="GI34" s="1610"/>
      <c r="GJ34" s="1607">
        <v>138344</v>
      </c>
      <c r="GK34" s="1607"/>
      <c r="GL34" s="1607"/>
      <c r="GM34" s="1607"/>
      <c r="GN34" s="1607"/>
      <c r="GO34" s="1607"/>
      <c r="GP34" s="1607"/>
      <c r="GQ34" s="1607"/>
      <c r="GR34" s="1607"/>
      <c r="GS34" s="1607"/>
      <c r="GT34" s="1607"/>
      <c r="GU34" s="1607"/>
      <c r="GV34" s="1607"/>
      <c r="GW34" s="1607"/>
      <c r="GX34" s="1607"/>
      <c r="GY34" s="1607"/>
      <c r="GZ34" s="1607"/>
      <c r="HA34" s="1607"/>
      <c r="HB34" s="1607"/>
      <c r="HC34" s="1607"/>
      <c r="HD34" s="1607"/>
      <c r="HE34" s="1607"/>
      <c r="HF34" s="1607"/>
      <c r="HG34" s="1607"/>
      <c r="HH34" s="1607"/>
      <c r="HI34" s="1607"/>
      <c r="HJ34" s="1607"/>
      <c r="HK34" s="1607"/>
      <c r="HL34" s="1607"/>
      <c r="HM34" s="1607"/>
      <c r="HN34" s="1607"/>
      <c r="HO34" s="1607"/>
      <c r="HP34" s="1607"/>
      <c r="HW34" s="1043">
        <f t="shared" si="0"/>
        <v>0</v>
      </c>
    </row>
    <row r="35" spans="1:231" s="449" customFormat="1" ht="10.35" customHeight="1">
      <c r="A35" s="451"/>
      <c r="B35" s="1611" t="s">
        <v>1305</v>
      </c>
      <c r="C35" s="1611"/>
      <c r="D35" s="1611"/>
      <c r="E35" s="1611"/>
      <c r="F35" s="1611"/>
      <c r="G35" s="1611"/>
      <c r="H35" s="1611"/>
      <c r="I35" s="1611"/>
      <c r="J35" s="1611"/>
      <c r="K35" s="1611"/>
      <c r="L35" s="1611"/>
      <c r="M35" s="1611"/>
      <c r="N35" s="1611"/>
      <c r="O35" s="1611"/>
      <c r="P35" s="1611"/>
      <c r="Q35" s="1611"/>
      <c r="R35" s="1611"/>
      <c r="S35" s="1611"/>
      <c r="T35" s="1611"/>
      <c r="U35" s="1611"/>
      <c r="V35" s="1611"/>
      <c r="W35" s="1611"/>
      <c r="X35" s="1611"/>
      <c r="Y35" s="1611"/>
      <c r="Z35" s="1611"/>
      <c r="AA35" s="1611"/>
      <c r="AB35" s="1611"/>
      <c r="AC35" s="1611"/>
      <c r="AD35" s="1611"/>
      <c r="AE35" s="1611"/>
      <c r="AF35" s="1611"/>
      <c r="AG35" s="1611"/>
      <c r="AH35" s="1611"/>
      <c r="AI35" s="1611"/>
      <c r="AJ35" s="1611"/>
      <c r="AK35" s="1612"/>
      <c r="AL35" s="1613" t="s">
        <v>121</v>
      </c>
      <c r="AM35" s="1613"/>
      <c r="AN35" s="1613"/>
      <c r="AO35" s="1613"/>
      <c r="AP35" s="1613"/>
      <c r="AQ35" s="1613"/>
      <c r="AR35" s="1613"/>
      <c r="AS35" s="1613"/>
      <c r="AT35" s="1613"/>
      <c r="AU35" s="1613"/>
      <c r="AV35" s="1614" t="s">
        <v>844</v>
      </c>
      <c r="AW35" s="1614"/>
      <c r="AX35" s="1614"/>
      <c r="AY35" s="1614"/>
      <c r="AZ35" s="1614"/>
      <c r="BA35" s="1614"/>
      <c r="BB35" s="1614"/>
      <c r="BC35" s="1614"/>
      <c r="BD35" s="1607">
        <f>CF35+CV35+DL35</f>
        <v>899419</v>
      </c>
      <c r="BE35" s="1607"/>
      <c r="BF35" s="1607"/>
      <c r="BG35" s="1607"/>
      <c r="BH35" s="1607"/>
      <c r="BI35" s="1607"/>
      <c r="BJ35" s="1607"/>
      <c r="BK35" s="1607"/>
      <c r="BL35" s="1607"/>
      <c r="BM35" s="1607"/>
      <c r="BN35" s="1607"/>
      <c r="BO35" s="1607"/>
      <c r="BP35" s="1607"/>
      <c r="BQ35" s="1607"/>
      <c r="BR35" s="1607">
        <f t="shared" si="1"/>
        <v>899419</v>
      </c>
      <c r="BS35" s="1607"/>
      <c r="BT35" s="1607"/>
      <c r="BU35" s="1607"/>
      <c r="BV35" s="1607"/>
      <c r="BW35" s="1607"/>
      <c r="BX35" s="1607"/>
      <c r="BY35" s="1607"/>
      <c r="BZ35" s="1607"/>
      <c r="CA35" s="1607"/>
      <c r="CB35" s="1607"/>
      <c r="CC35" s="1607"/>
      <c r="CD35" s="1607"/>
      <c r="CE35" s="1607"/>
      <c r="CF35" s="1607">
        <v>808127</v>
      </c>
      <c r="CG35" s="1607"/>
      <c r="CH35" s="1607"/>
      <c r="CI35" s="1607"/>
      <c r="CJ35" s="1607"/>
      <c r="CK35" s="1607"/>
      <c r="CL35" s="1607"/>
      <c r="CM35" s="1607"/>
      <c r="CN35" s="1607"/>
      <c r="CO35" s="1607"/>
      <c r="CP35" s="1607"/>
      <c r="CQ35" s="1607"/>
      <c r="CR35" s="1607"/>
      <c r="CS35" s="1607"/>
      <c r="CT35" s="1607"/>
      <c r="CU35" s="1607"/>
      <c r="CV35" s="1607">
        <v>62865</v>
      </c>
      <c r="CW35" s="1607"/>
      <c r="CX35" s="1607"/>
      <c r="CY35" s="1607"/>
      <c r="CZ35" s="1607"/>
      <c r="DA35" s="1607"/>
      <c r="DB35" s="1607"/>
      <c r="DC35" s="1607"/>
      <c r="DD35" s="1607"/>
      <c r="DE35" s="1607"/>
      <c r="DF35" s="1607"/>
      <c r="DG35" s="1607"/>
      <c r="DH35" s="1607"/>
      <c r="DI35" s="1607"/>
      <c r="DJ35" s="1607"/>
      <c r="DK35" s="1607"/>
      <c r="DL35" s="1607">
        <v>28427</v>
      </c>
      <c r="DM35" s="1607"/>
      <c r="DN35" s="1607"/>
      <c r="DO35" s="1607"/>
      <c r="DP35" s="1607"/>
      <c r="DQ35" s="1607"/>
      <c r="DR35" s="1607"/>
      <c r="DS35" s="1607"/>
      <c r="DT35" s="1607"/>
      <c r="DU35" s="1607"/>
      <c r="DV35" s="1607"/>
      <c r="DW35" s="1607"/>
      <c r="DX35" s="1607"/>
      <c r="DY35" s="1607"/>
      <c r="DZ35" s="1607"/>
      <c r="EA35" s="1607"/>
      <c r="EB35" s="1607">
        <v>687561</v>
      </c>
      <c r="EC35" s="1607"/>
      <c r="ED35" s="1607"/>
      <c r="EE35" s="1607"/>
      <c r="EF35" s="1607"/>
      <c r="EG35" s="1607"/>
      <c r="EH35" s="1607"/>
      <c r="EI35" s="1607"/>
      <c r="EJ35" s="1607"/>
      <c r="EK35" s="1607"/>
      <c r="EL35" s="1607"/>
      <c r="EM35" s="1607"/>
      <c r="EN35" s="1607"/>
      <c r="EO35" s="1607"/>
      <c r="EP35" s="1608">
        <v>687561</v>
      </c>
      <c r="EQ35" s="1609"/>
      <c r="ER35" s="1609"/>
      <c r="ES35" s="1609"/>
      <c r="ET35" s="1609"/>
      <c r="EU35" s="1609"/>
      <c r="EV35" s="1609"/>
      <c r="EW35" s="1609"/>
      <c r="EX35" s="1609"/>
      <c r="EY35" s="1609"/>
      <c r="EZ35" s="1609"/>
      <c r="FA35" s="1609"/>
      <c r="FB35" s="1609"/>
      <c r="FC35" s="1610"/>
      <c r="FD35" s="1608">
        <v>519657</v>
      </c>
      <c r="FE35" s="1609"/>
      <c r="FF35" s="1609"/>
      <c r="FG35" s="1609"/>
      <c r="FH35" s="1609"/>
      <c r="FI35" s="1609"/>
      <c r="FJ35" s="1609"/>
      <c r="FK35" s="1609"/>
      <c r="FL35" s="1609"/>
      <c r="FM35" s="1609"/>
      <c r="FN35" s="1609"/>
      <c r="FO35" s="1609"/>
      <c r="FP35" s="1609"/>
      <c r="FQ35" s="1609"/>
      <c r="FR35" s="1609"/>
      <c r="FS35" s="1610"/>
      <c r="FT35" s="1608">
        <v>45511</v>
      </c>
      <c r="FU35" s="1609"/>
      <c r="FV35" s="1609"/>
      <c r="FW35" s="1609"/>
      <c r="FX35" s="1609"/>
      <c r="FY35" s="1609"/>
      <c r="FZ35" s="1609"/>
      <c r="GA35" s="1609"/>
      <c r="GB35" s="1609"/>
      <c r="GC35" s="1609"/>
      <c r="GD35" s="1609"/>
      <c r="GE35" s="1609"/>
      <c r="GF35" s="1609"/>
      <c r="GG35" s="1609"/>
      <c r="GH35" s="1609"/>
      <c r="GI35" s="1610"/>
      <c r="GJ35" s="1607">
        <v>122393</v>
      </c>
      <c r="GK35" s="1607"/>
      <c r="GL35" s="1607"/>
      <c r="GM35" s="1607"/>
      <c r="GN35" s="1607"/>
      <c r="GO35" s="1607"/>
      <c r="GP35" s="1607"/>
      <c r="GQ35" s="1607"/>
      <c r="GR35" s="1607"/>
      <c r="GS35" s="1607"/>
      <c r="GT35" s="1607"/>
      <c r="GU35" s="1607"/>
      <c r="GV35" s="1607"/>
      <c r="GW35" s="1607"/>
      <c r="GX35" s="1607"/>
      <c r="GY35" s="1607"/>
      <c r="GZ35" s="1607"/>
      <c r="HA35" s="1607"/>
      <c r="HB35" s="1607"/>
      <c r="HC35" s="1607"/>
      <c r="HD35" s="1607"/>
      <c r="HE35" s="1607"/>
      <c r="HF35" s="1607"/>
      <c r="HG35" s="1607"/>
      <c r="HH35" s="1607"/>
      <c r="HI35" s="1607"/>
      <c r="HJ35" s="1607"/>
      <c r="HK35" s="1607"/>
      <c r="HL35" s="1607"/>
      <c r="HM35" s="1607"/>
      <c r="HN35" s="1607"/>
      <c r="HO35" s="1607"/>
      <c r="HP35" s="1607"/>
      <c r="HU35" s="1045">
        <f>CF35</f>
        <v>808127</v>
      </c>
      <c r="HW35" s="1043">
        <f t="shared" si="0"/>
        <v>808127</v>
      </c>
    </row>
    <row r="36" spans="1:231" s="449" customFormat="1" ht="10.199999999999999">
      <c r="A36" s="451"/>
      <c r="B36" s="1611" t="s">
        <v>1684</v>
      </c>
      <c r="C36" s="1611"/>
      <c r="D36" s="1611"/>
      <c r="E36" s="1611"/>
      <c r="F36" s="1611"/>
      <c r="G36" s="1611"/>
      <c r="H36" s="1611"/>
      <c r="I36" s="1611"/>
      <c r="J36" s="1611"/>
      <c r="K36" s="1611"/>
      <c r="L36" s="1611"/>
      <c r="M36" s="1611"/>
      <c r="N36" s="1611"/>
      <c r="O36" s="1611"/>
      <c r="P36" s="1611"/>
      <c r="Q36" s="1611"/>
      <c r="R36" s="1611"/>
      <c r="S36" s="1611"/>
      <c r="T36" s="1611"/>
      <c r="U36" s="1611"/>
      <c r="V36" s="1611"/>
      <c r="W36" s="1611"/>
      <c r="X36" s="1611"/>
      <c r="Y36" s="1611"/>
      <c r="Z36" s="1611"/>
      <c r="AA36" s="1611"/>
      <c r="AB36" s="1611"/>
      <c r="AC36" s="1611"/>
      <c r="AD36" s="1611"/>
      <c r="AE36" s="1611"/>
      <c r="AF36" s="1611"/>
      <c r="AG36" s="1611"/>
      <c r="AH36" s="1611"/>
      <c r="AI36" s="1611"/>
      <c r="AJ36" s="1611"/>
      <c r="AK36" s="1612"/>
      <c r="AL36" s="1613" t="s">
        <v>121</v>
      </c>
      <c r="AM36" s="1613"/>
      <c r="AN36" s="1613"/>
      <c r="AO36" s="1613"/>
      <c r="AP36" s="1613"/>
      <c r="AQ36" s="1613"/>
      <c r="AR36" s="1613"/>
      <c r="AS36" s="1613"/>
      <c r="AT36" s="1613"/>
      <c r="AU36" s="1613"/>
      <c r="AV36" s="1614" t="s">
        <v>895</v>
      </c>
      <c r="AW36" s="1614"/>
      <c r="AX36" s="1614"/>
      <c r="AY36" s="1614"/>
      <c r="AZ36" s="1614"/>
      <c r="BA36" s="1614"/>
      <c r="BB36" s="1614"/>
      <c r="BC36" s="1614"/>
      <c r="BD36" s="1607">
        <f>BD30+BD32-BD33+BD34-BD35+BD31</f>
        <v>231015</v>
      </c>
      <c r="BE36" s="1607"/>
      <c r="BF36" s="1607"/>
      <c r="BG36" s="1607"/>
      <c r="BH36" s="1607"/>
      <c r="BI36" s="1607"/>
      <c r="BJ36" s="1607"/>
      <c r="BK36" s="1607"/>
      <c r="BL36" s="1607"/>
      <c r="BM36" s="1607"/>
      <c r="BN36" s="1607"/>
      <c r="BO36" s="1607"/>
      <c r="BP36" s="1607"/>
      <c r="BQ36" s="1607"/>
      <c r="BR36" s="1607">
        <f t="shared" si="1"/>
        <v>231015</v>
      </c>
      <c r="BS36" s="1607"/>
      <c r="BT36" s="1607"/>
      <c r="BU36" s="1607"/>
      <c r="BV36" s="1607"/>
      <c r="BW36" s="1607"/>
      <c r="BX36" s="1607"/>
      <c r="BY36" s="1607"/>
      <c r="BZ36" s="1607"/>
      <c r="CA36" s="1607"/>
      <c r="CB36" s="1607"/>
      <c r="CC36" s="1607"/>
      <c r="CD36" s="1607"/>
      <c r="CE36" s="1607"/>
      <c r="CF36" s="1607">
        <f>CF30+CF32-CF33+CF34-CF35</f>
        <v>-61272</v>
      </c>
      <c r="CG36" s="1607"/>
      <c r="CH36" s="1607"/>
      <c r="CI36" s="1607"/>
      <c r="CJ36" s="1607"/>
      <c r="CK36" s="1607"/>
      <c r="CL36" s="1607"/>
      <c r="CM36" s="1607"/>
      <c r="CN36" s="1607"/>
      <c r="CO36" s="1607"/>
      <c r="CP36" s="1607"/>
      <c r="CQ36" s="1607"/>
      <c r="CR36" s="1607"/>
      <c r="CS36" s="1607"/>
      <c r="CT36" s="1607"/>
      <c r="CU36" s="1607"/>
      <c r="CV36" s="1607">
        <f>CV30+CV32-CV33+CV34-CV35</f>
        <v>226107</v>
      </c>
      <c r="CW36" s="1607"/>
      <c r="CX36" s="1607"/>
      <c r="CY36" s="1607"/>
      <c r="CZ36" s="1607"/>
      <c r="DA36" s="1607"/>
      <c r="DB36" s="1607"/>
      <c r="DC36" s="1607"/>
      <c r="DD36" s="1607"/>
      <c r="DE36" s="1607"/>
      <c r="DF36" s="1607"/>
      <c r="DG36" s="1607"/>
      <c r="DH36" s="1607"/>
      <c r="DI36" s="1607"/>
      <c r="DJ36" s="1607"/>
      <c r="DK36" s="1607"/>
      <c r="DL36" s="1607">
        <f>DL30+DL32-DL33+DL34-DL35+DL31</f>
        <v>66180</v>
      </c>
      <c r="DM36" s="1607"/>
      <c r="DN36" s="1607"/>
      <c r="DO36" s="1607"/>
      <c r="DP36" s="1607"/>
      <c r="DQ36" s="1607"/>
      <c r="DR36" s="1607"/>
      <c r="DS36" s="1607"/>
      <c r="DT36" s="1607"/>
      <c r="DU36" s="1607"/>
      <c r="DV36" s="1607"/>
      <c r="DW36" s="1607"/>
      <c r="DX36" s="1607"/>
      <c r="DY36" s="1607"/>
      <c r="DZ36" s="1607"/>
      <c r="EA36" s="1607"/>
      <c r="EB36" s="1607">
        <v>276616</v>
      </c>
      <c r="EC36" s="1607"/>
      <c r="ED36" s="1607"/>
      <c r="EE36" s="1607"/>
      <c r="EF36" s="1607"/>
      <c r="EG36" s="1607"/>
      <c r="EH36" s="1607"/>
      <c r="EI36" s="1607"/>
      <c r="EJ36" s="1607"/>
      <c r="EK36" s="1607"/>
      <c r="EL36" s="1607"/>
      <c r="EM36" s="1607"/>
      <c r="EN36" s="1607"/>
      <c r="EO36" s="1607"/>
      <c r="EP36" s="1608">
        <v>276616</v>
      </c>
      <c r="EQ36" s="1609"/>
      <c r="ER36" s="1609"/>
      <c r="ES36" s="1609"/>
      <c r="ET36" s="1609"/>
      <c r="EU36" s="1609"/>
      <c r="EV36" s="1609"/>
      <c r="EW36" s="1609"/>
      <c r="EX36" s="1609"/>
      <c r="EY36" s="1609"/>
      <c r="EZ36" s="1609"/>
      <c r="FA36" s="1609"/>
      <c r="FB36" s="1609"/>
      <c r="FC36" s="1610"/>
      <c r="FD36" s="1607">
        <v>68590</v>
      </c>
      <c r="FE36" s="1607"/>
      <c r="FF36" s="1607"/>
      <c r="FG36" s="1607"/>
      <c r="FH36" s="1607"/>
      <c r="FI36" s="1607"/>
      <c r="FJ36" s="1607"/>
      <c r="FK36" s="1607"/>
      <c r="FL36" s="1607"/>
      <c r="FM36" s="1607"/>
      <c r="FN36" s="1607"/>
      <c r="FO36" s="1607"/>
      <c r="FP36" s="1607"/>
      <c r="FQ36" s="1607"/>
      <c r="FR36" s="1607"/>
      <c r="FS36" s="1607"/>
      <c r="FT36" s="1607">
        <v>185539</v>
      </c>
      <c r="FU36" s="1607"/>
      <c r="FV36" s="1607"/>
      <c r="FW36" s="1607"/>
      <c r="FX36" s="1607"/>
      <c r="FY36" s="1607"/>
      <c r="FZ36" s="1607"/>
      <c r="GA36" s="1607"/>
      <c r="GB36" s="1607"/>
      <c r="GC36" s="1607"/>
      <c r="GD36" s="1607"/>
      <c r="GE36" s="1607"/>
      <c r="GF36" s="1607"/>
      <c r="GG36" s="1607"/>
      <c r="GH36" s="1607"/>
      <c r="GI36" s="1607"/>
      <c r="GJ36" s="1607">
        <v>22487</v>
      </c>
      <c r="GK36" s="1607"/>
      <c r="GL36" s="1607"/>
      <c r="GM36" s="1607"/>
      <c r="GN36" s="1607"/>
      <c r="GO36" s="1607"/>
      <c r="GP36" s="1607"/>
      <c r="GQ36" s="1607"/>
      <c r="GR36" s="1607"/>
      <c r="GS36" s="1607"/>
      <c r="GT36" s="1607"/>
      <c r="GU36" s="1607"/>
      <c r="GV36" s="1607"/>
      <c r="GW36" s="1607"/>
      <c r="GX36" s="1607"/>
      <c r="GY36" s="1607"/>
      <c r="GZ36" s="1607"/>
      <c r="HA36" s="1607"/>
      <c r="HB36" s="1607"/>
      <c r="HC36" s="1607"/>
      <c r="HD36" s="1607"/>
      <c r="HE36" s="1607"/>
      <c r="HF36" s="1607"/>
      <c r="HG36" s="1607"/>
      <c r="HH36" s="1607"/>
      <c r="HI36" s="1607"/>
      <c r="HJ36" s="1607"/>
      <c r="HK36" s="1607"/>
      <c r="HL36" s="1607"/>
      <c r="HM36" s="1607"/>
      <c r="HN36" s="1607"/>
      <c r="HO36" s="1607"/>
      <c r="HP36" s="1607"/>
      <c r="HW36" s="1043">
        <f t="shared" si="0"/>
        <v>0</v>
      </c>
    </row>
    <row r="37" spans="1:231" s="449" customFormat="1" ht="10.199999999999999">
      <c r="A37" s="451"/>
      <c r="B37" s="1611" t="s">
        <v>1243</v>
      </c>
      <c r="C37" s="1611"/>
      <c r="D37" s="1611"/>
      <c r="E37" s="1611"/>
      <c r="F37" s="1611"/>
      <c r="G37" s="1611"/>
      <c r="H37" s="1611"/>
      <c r="I37" s="1611"/>
      <c r="J37" s="1611"/>
      <c r="K37" s="1611"/>
      <c r="L37" s="1611"/>
      <c r="M37" s="1611"/>
      <c r="N37" s="1611"/>
      <c r="O37" s="1611"/>
      <c r="P37" s="1611"/>
      <c r="Q37" s="1611"/>
      <c r="R37" s="1611"/>
      <c r="S37" s="1611"/>
      <c r="T37" s="1611"/>
      <c r="U37" s="1611"/>
      <c r="V37" s="1611"/>
      <c r="W37" s="1611"/>
      <c r="X37" s="1611"/>
      <c r="Y37" s="1611"/>
      <c r="Z37" s="1611"/>
      <c r="AA37" s="1611"/>
      <c r="AB37" s="1611"/>
      <c r="AC37" s="1611"/>
      <c r="AD37" s="1611"/>
      <c r="AE37" s="1611"/>
      <c r="AF37" s="1611"/>
      <c r="AG37" s="1611"/>
      <c r="AH37" s="1611"/>
      <c r="AI37" s="1611"/>
      <c r="AJ37" s="1611"/>
      <c r="AK37" s="1612"/>
      <c r="AL37" s="1613" t="s">
        <v>121</v>
      </c>
      <c r="AM37" s="1613"/>
      <c r="AN37" s="1613"/>
      <c r="AO37" s="1613"/>
      <c r="AP37" s="1613"/>
      <c r="AQ37" s="1613"/>
      <c r="AR37" s="1613"/>
      <c r="AS37" s="1613"/>
      <c r="AT37" s="1613"/>
      <c r="AU37" s="1613"/>
      <c r="AV37" s="1614" t="s">
        <v>940</v>
      </c>
      <c r="AW37" s="1614"/>
      <c r="AX37" s="1614"/>
      <c r="AY37" s="1614"/>
      <c r="AZ37" s="1614"/>
      <c r="BA37" s="1614"/>
      <c r="BB37" s="1614"/>
      <c r="BC37" s="1614"/>
      <c r="BD37" s="1607">
        <f>CF37+CV37+DL37</f>
        <v>134033</v>
      </c>
      <c r="BE37" s="1607"/>
      <c r="BF37" s="1607"/>
      <c r="BG37" s="1607"/>
      <c r="BH37" s="1607"/>
      <c r="BI37" s="1607"/>
      <c r="BJ37" s="1607"/>
      <c r="BK37" s="1607"/>
      <c r="BL37" s="1607"/>
      <c r="BM37" s="1607"/>
      <c r="BN37" s="1607"/>
      <c r="BO37" s="1607"/>
      <c r="BP37" s="1607"/>
      <c r="BQ37" s="1607"/>
      <c r="BR37" s="1607">
        <f>BD37</f>
        <v>134033</v>
      </c>
      <c r="BS37" s="1607"/>
      <c r="BT37" s="1607"/>
      <c r="BU37" s="1607"/>
      <c r="BV37" s="1607"/>
      <c r="BW37" s="1607"/>
      <c r="BX37" s="1607"/>
      <c r="BY37" s="1607"/>
      <c r="BZ37" s="1607"/>
      <c r="CA37" s="1607"/>
      <c r="CB37" s="1607"/>
      <c r="CC37" s="1607"/>
      <c r="CD37" s="1607"/>
      <c r="CE37" s="1607"/>
      <c r="CF37" s="1607">
        <v>74496</v>
      </c>
      <c r="CG37" s="1607"/>
      <c r="CH37" s="1607"/>
      <c r="CI37" s="1607"/>
      <c r="CJ37" s="1607"/>
      <c r="CK37" s="1607"/>
      <c r="CL37" s="1607"/>
      <c r="CM37" s="1607"/>
      <c r="CN37" s="1607"/>
      <c r="CO37" s="1607"/>
      <c r="CP37" s="1607"/>
      <c r="CQ37" s="1607"/>
      <c r="CR37" s="1607"/>
      <c r="CS37" s="1607"/>
      <c r="CT37" s="1607"/>
      <c r="CU37" s="1607"/>
      <c r="CV37" s="1607">
        <v>45788</v>
      </c>
      <c r="CW37" s="1607"/>
      <c r="CX37" s="1607"/>
      <c r="CY37" s="1607"/>
      <c r="CZ37" s="1607"/>
      <c r="DA37" s="1607"/>
      <c r="DB37" s="1607"/>
      <c r="DC37" s="1607"/>
      <c r="DD37" s="1607"/>
      <c r="DE37" s="1607"/>
      <c r="DF37" s="1607"/>
      <c r="DG37" s="1607"/>
      <c r="DH37" s="1607"/>
      <c r="DI37" s="1607"/>
      <c r="DJ37" s="1607"/>
      <c r="DK37" s="1607"/>
      <c r="DL37" s="1607">
        <v>13749</v>
      </c>
      <c r="DM37" s="1607"/>
      <c r="DN37" s="1607"/>
      <c r="DO37" s="1607"/>
      <c r="DP37" s="1607"/>
      <c r="DQ37" s="1607"/>
      <c r="DR37" s="1607"/>
      <c r="DS37" s="1607"/>
      <c r="DT37" s="1607"/>
      <c r="DU37" s="1607"/>
      <c r="DV37" s="1607"/>
      <c r="DW37" s="1607"/>
      <c r="DX37" s="1607"/>
      <c r="DY37" s="1607"/>
      <c r="DZ37" s="1607"/>
      <c r="EA37" s="1607"/>
      <c r="EB37" s="1607">
        <v>14303</v>
      </c>
      <c r="EC37" s="1607"/>
      <c r="ED37" s="1607"/>
      <c r="EE37" s="1607"/>
      <c r="EF37" s="1607"/>
      <c r="EG37" s="1607"/>
      <c r="EH37" s="1607"/>
      <c r="EI37" s="1607"/>
      <c r="EJ37" s="1607"/>
      <c r="EK37" s="1607"/>
      <c r="EL37" s="1607"/>
      <c r="EM37" s="1607"/>
      <c r="EN37" s="1607"/>
      <c r="EO37" s="1607"/>
      <c r="EP37" s="1608">
        <v>14303</v>
      </c>
      <c r="EQ37" s="1609"/>
      <c r="ER37" s="1609"/>
      <c r="ES37" s="1609"/>
      <c r="ET37" s="1609"/>
      <c r="EU37" s="1609"/>
      <c r="EV37" s="1609"/>
      <c r="EW37" s="1609"/>
      <c r="EX37" s="1609"/>
      <c r="EY37" s="1609"/>
      <c r="EZ37" s="1609"/>
      <c r="FA37" s="1609"/>
      <c r="FB37" s="1609"/>
      <c r="FC37" s="1610"/>
      <c r="FD37" s="1608">
        <v>-33146</v>
      </c>
      <c r="FE37" s="1609"/>
      <c r="FF37" s="1609"/>
      <c r="FG37" s="1609"/>
      <c r="FH37" s="1609"/>
      <c r="FI37" s="1609"/>
      <c r="FJ37" s="1609"/>
      <c r="FK37" s="1609"/>
      <c r="FL37" s="1609"/>
      <c r="FM37" s="1609"/>
      <c r="FN37" s="1609"/>
      <c r="FO37" s="1609"/>
      <c r="FP37" s="1609"/>
      <c r="FQ37" s="1609"/>
      <c r="FR37" s="1609"/>
      <c r="FS37" s="1610"/>
      <c r="FT37" s="1607">
        <v>39681</v>
      </c>
      <c r="FU37" s="1607"/>
      <c r="FV37" s="1607"/>
      <c r="FW37" s="1607"/>
      <c r="FX37" s="1607"/>
      <c r="FY37" s="1607"/>
      <c r="FZ37" s="1607"/>
      <c r="GA37" s="1607"/>
      <c r="GB37" s="1607"/>
      <c r="GC37" s="1607"/>
      <c r="GD37" s="1607"/>
      <c r="GE37" s="1607"/>
      <c r="GF37" s="1607"/>
      <c r="GG37" s="1607"/>
      <c r="GH37" s="1607"/>
      <c r="GI37" s="1607"/>
      <c r="GJ37" s="1607">
        <v>7768</v>
      </c>
      <c r="GK37" s="1607"/>
      <c r="GL37" s="1607"/>
      <c r="GM37" s="1607"/>
      <c r="GN37" s="1607"/>
      <c r="GO37" s="1607"/>
      <c r="GP37" s="1607"/>
      <c r="GQ37" s="1607"/>
      <c r="GR37" s="1607"/>
      <c r="GS37" s="1607"/>
      <c r="GT37" s="1607"/>
      <c r="GU37" s="1607"/>
      <c r="GV37" s="1607"/>
      <c r="GW37" s="1607"/>
      <c r="GX37" s="1607"/>
      <c r="GY37" s="1607"/>
      <c r="GZ37" s="1607"/>
      <c r="HA37" s="1607"/>
      <c r="HB37" s="1607"/>
      <c r="HC37" s="1607"/>
      <c r="HD37" s="1607"/>
      <c r="HE37" s="1607"/>
      <c r="HF37" s="1607"/>
      <c r="HG37" s="1607"/>
      <c r="HH37" s="1607"/>
      <c r="HI37" s="1607"/>
      <c r="HJ37" s="1607"/>
      <c r="HK37" s="1607"/>
      <c r="HL37" s="1607"/>
      <c r="HM37" s="1607"/>
      <c r="HN37" s="1607"/>
      <c r="HO37" s="1607"/>
      <c r="HP37" s="1607"/>
      <c r="HU37" s="1045">
        <f>CF37</f>
        <v>74496</v>
      </c>
      <c r="HW37" s="1043">
        <f t="shared" si="0"/>
        <v>74496</v>
      </c>
    </row>
    <row r="38" spans="1:231" s="449" customFormat="1" ht="10.199999999999999">
      <c r="A38" s="451"/>
      <c r="B38" s="1611" t="s">
        <v>1685</v>
      </c>
      <c r="C38" s="1611"/>
      <c r="D38" s="1611"/>
      <c r="E38" s="1611"/>
      <c r="F38" s="1611"/>
      <c r="G38" s="1611"/>
      <c r="H38" s="1611"/>
      <c r="I38" s="1611"/>
      <c r="J38" s="1611"/>
      <c r="K38" s="1611"/>
      <c r="L38" s="1611"/>
      <c r="M38" s="1611"/>
      <c r="N38" s="1611"/>
      <c r="O38" s="1611"/>
      <c r="P38" s="1611"/>
      <c r="Q38" s="1611"/>
      <c r="R38" s="1611"/>
      <c r="S38" s="1611"/>
      <c r="T38" s="1611"/>
      <c r="U38" s="1611"/>
      <c r="V38" s="1611"/>
      <c r="W38" s="1611"/>
      <c r="X38" s="1611"/>
      <c r="Y38" s="1611"/>
      <c r="Z38" s="1611"/>
      <c r="AA38" s="1611"/>
      <c r="AB38" s="1611"/>
      <c r="AC38" s="1611"/>
      <c r="AD38" s="1611"/>
      <c r="AE38" s="1611"/>
      <c r="AF38" s="1611"/>
      <c r="AG38" s="1611"/>
      <c r="AH38" s="1611"/>
      <c r="AI38" s="1611"/>
      <c r="AJ38" s="1611"/>
      <c r="AK38" s="1612"/>
      <c r="AL38" s="1613" t="s">
        <v>121</v>
      </c>
      <c r="AM38" s="1613"/>
      <c r="AN38" s="1613"/>
      <c r="AO38" s="1613"/>
      <c r="AP38" s="1613"/>
      <c r="AQ38" s="1613"/>
      <c r="AR38" s="1613"/>
      <c r="AS38" s="1613"/>
      <c r="AT38" s="1613"/>
      <c r="AU38" s="1613"/>
      <c r="AV38" s="1614" t="s">
        <v>987</v>
      </c>
      <c r="AW38" s="1614"/>
      <c r="AX38" s="1614"/>
      <c r="AY38" s="1614"/>
      <c r="AZ38" s="1614"/>
      <c r="BA38" s="1614"/>
      <c r="BB38" s="1614"/>
      <c r="BC38" s="1614"/>
      <c r="BD38" s="1607">
        <f>BD36-BD37</f>
        <v>96982</v>
      </c>
      <c r="BE38" s="1607"/>
      <c r="BF38" s="1607"/>
      <c r="BG38" s="1607"/>
      <c r="BH38" s="1607"/>
      <c r="BI38" s="1607"/>
      <c r="BJ38" s="1607"/>
      <c r="BK38" s="1607"/>
      <c r="BL38" s="1607"/>
      <c r="BM38" s="1607"/>
      <c r="BN38" s="1607"/>
      <c r="BO38" s="1607"/>
      <c r="BP38" s="1607"/>
      <c r="BQ38" s="1607"/>
      <c r="BR38" s="1607">
        <f>BD38</f>
        <v>96982</v>
      </c>
      <c r="BS38" s="1607"/>
      <c r="BT38" s="1607"/>
      <c r="BU38" s="1607"/>
      <c r="BV38" s="1607"/>
      <c r="BW38" s="1607"/>
      <c r="BX38" s="1607"/>
      <c r="BY38" s="1607"/>
      <c r="BZ38" s="1607"/>
      <c r="CA38" s="1607"/>
      <c r="CB38" s="1607"/>
      <c r="CC38" s="1607"/>
      <c r="CD38" s="1607"/>
      <c r="CE38" s="1607"/>
      <c r="CF38" s="1607">
        <f>CF36-CF37</f>
        <v>-135768</v>
      </c>
      <c r="CG38" s="1607"/>
      <c r="CH38" s="1607"/>
      <c r="CI38" s="1607"/>
      <c r="CJ38" s="1607"/>
      <c r="CK38" s="1607"/>
      <c r="CL38" s="1607"/>
      <c r="CM38" s="1607"/>
      <c r="CN38" s="1607"/>
      <c r="CO38" s="1607"/>
      <c r="CP38" s="1607"/>
      <c r="CQ38" s="1607"/>
      <c r="CR38" s="1607"/>
      <c r="CS38" s="1607"/>
      <c r="CT38" s="1607"/>
      <c r="CU38" s="1607"/>
      <c r="CV38" s="1607">
        <f>CV36-CV37</f>
        <v>180319</v>
      </c>
      <c r="CW38" s="1607"/>
      <c r="CX38" s="1607"/>
      <c r="CY38" s="1607"/>
      <c r="CZ38" s="1607"/>
      <c r="DA38" s="1607"/>
      <c r="DB38" s="1607"/>
      <c r="DC38" s="1607"/>
      <c r="DD38" s="1607"/>
      <c r="DE38" s="1607"/>
      <c r="DF38" s="1607"/>
      <c r="DG38" s="1607"/>
      <c r="DH38" s="1607"/>
      <c r="DI38" s="1607"/>
      <c r="DJ38" s="1607"/>
      <c r="DK38" s="1607"/>
      <c r="DL38" s="1607">
        <f>DL36-DL37</f>
        <v>52431</v>
      </c>
      <c r="DM38" s="1607"/>
      <c r="DN38" s="1607"/>
      <c r="DO38" s="1607"/>
      <c r="DP38" s="1607"/>
      <c r="DQ38" s="1607"/>
      <c r="DR38" s="1607"/>
      <c r="DS38" s="1607"/>
      <c r="DT38" s="1607"/>
      <c r="DU38" s="1607"/>
      <c r="DV38" s="1607"/>
      <c r="DW38" s="1607"/>
      <c r="DX38" s="1607"/>
      <c r="DY38" s="1607"/>
      <c r="DZ38" s="1607"/>
      <c r="EA38" s="1607"/>
      <c r="EB38" s="1607">
        <v>262313</v>
      </c>
      <c r="EC38" s="1607"/>
      <c r="ED38" s="1607"/>
      <c r="EE38" s="1607"/>
      <c r="EF38" s="1607"/>
      <c r="EG38" s="1607"/>
      <c r="EH38" s="1607"/>
      <c r="EI38" s="1607"/>
      <c r="EJ38" s="1607"/>
      <c r="EK38" s="1607"/>
      <c r="EL38" s="1607"/>
      <c r="EM38" s="1607"/>
      <c r="EN38" s="1607"/>
      <c r="EO38" s="1607"/>
      <c r="EP38" s="1608">
        <v>262313</v>
      </c>
      <c r="EQ38" s="1609"/>
      <c r="ER38" s="1609"/>
      <c r="ES38" s="1609"/>
      <c r="ET38" s="1609"/>
      <c r="EU38" s="1609"/>
      <c r="EV38" s="1609"/>
      <c r="EW38" s="1609"/>
      <c r="EX38" s="1609"/>
      <c r="EY38" s="1609"/>
      <c r="EZ38" s="1609"/>
      <c r="FA38" s="1609"/>
      <c r="FB38" s="1609"/>
      <c r="FC38" s="1610"/>
      <c r="FD38" s="1608">
        <v>101736</v>
      </c>
      <c r="FE38" s="1609"/>
      <c r="FF38" s="1609"/>
      <c r="FG38" s="1609"/>
      <c r="FH38" s="1609"/>
      <c r="FI38" s="1609"/>
      <c r="FJ38" s="1609"/>
      <c r="FK38" s="1609"/>
      <c r="FL38" s="1609"/>
      <c r="FM38" s="1609"/>
      <c r="FN38" s="1609"/>
      <c r="FO38" s="1609"/>
      <c r="FP38" s="1609"/>
      <c r="FQ38" s="1609"/>
      <c r="FR38" s="1609"/>
      <c r="FS38" s="1610"/>
      <c r="FT38" s="1608">
        <v>145858</v>
      </c>
      <c r="FU38" s="1609"/>
      <c r="FV38" s="1609"/>
      <c r="FW38" s="1609"/>
      <c r="FX38" s="1609"/>
      <c r="FY38" s="1609"/>
      <c r="FZ38" s="1609"/>
      <c r="GA38" s="1609"/>
      <c r="GB38" s="1609"/>
      <c r="GC38" s="1609"/>
      <c r="GD38" s="1609"/>
      <c r="GE38" s="1609"/>
      <c r="GF38" s="1609"/>
      <c r="GG38" s="1609"/>
      <c r="GH38" s="1609"/>
      <c r="GI38" s="1610"/>
      <c r="GJ38" s="1608">
        <v>14719</v>
      </c>
      <c r="GK38" s="1609"/>
      <c r="GL38" s="1609"/>
      <c r="GM38" s="1609"/>
      <c r="GN38" s="1609"/>
      <c r="GO38" s="1609"/>
      <c r="GP38" s="1609"/>
      <c r="GQ38" s="1609"/>
      <c r="GR38" s="1609"/>
      <c r="GS38" s="1609"/>
      <c r="GT38" s="1609"/>
      <c r="GU38" s="1609"/>
      <c r="GV38" s="1609"/>
      <c r="GW38" s="1609"/>
      <c r="GX38" s="1609"/>
      <c r="GY38" s="1610"/>
      <c r="GZ38" s="1607"/>
      <c r="HA38" s="1607"/>
      <c r="HB38" s="1607"/>
      <c r="HC38" s="1607"/>
      <c r="HD38" s="1607"/>
      <c r="HE38" s="1607"/>
      <c r="HF38" s="1607"/>
      <c r="HG38" s="1607"/>
      <c r="HH38" s="1607"/>
      <c r="HI38" s="1607"/>
      <c r="HJ38" s="1607"/>
      <c r="HK38" s="1607"/>
      <c r="HL38" s="1607"/>
      <c r="HM38" s="1607"/>
      <c r="HN38" s="1607"/>
      <c r="HO38" s="1607"/>
      <c r="HP38" s="1607"/>
      <c r="HU38" s="1045">
        <f>CF38</f>
        <v>-135768</v>
      </c>
      <c r="HW38" s="1043">
        <f t="shared" si="0"/>
        <v>-135768</v>
      </c>
    </row>
    <row r="39" spans="1:231" s="453" customFormat="1" ht="10.199999999999999">
      <c r="A39" s="452"/>
      <c r="B39" s="1619" t="s">
        <v>30</v>
      </c>
      <c r="C39" s="1619"/>
      <c r="D39" s="1619"/>
      <c r="E39" s="1619"/>
      <c r="F39" s="1619"/>
      <c r="G39" s="1619"/>
      <c r="H39" s="1619"/>
      <c r="I39" s="1619"/>
      <c r="J39" s="1619"/>
      <c r="K39" s="1619"/>
      <c r="L39" s="1619"/>
      <c r="M39" s="1619"/>
      <c r="N39" s="1619"/>
      <c r="O39" s="1619"/>
      <c r="P39" s="1619"/>
      <c r="Q39" s="1619"/>
      <c r="R39" s="1619"/>
      <c r="S39" s="1619"/>
      <c r="T39" s="1619"/>
      <c r="U39" s="1619"/>
      <c r="V39" s="1619"/>
      <c r="W39" s="1619"/>
      <c r="X39" s="1619"/>
      <c r="Y39" s="1619"/>
      <c r="Z39" s="1619"/>
      <c r="AA39" s="1619"/>
      <c r="AB39" s="1619"/>
      <c r="AC39" s="1619"/>
      <c r="AD39" s="1619"/>
      <c r="AE39" s="1619"/>
      <c r="AF39" s="1619"/>
      <c r="AG39" s="1619"/>
      <c r="AH39" s="1619"/>
      <c r="AI39" s="1619"/>
      <c r="AJ39" s="1619"/>
      <c r="AK39" s="1620"/>
      <c r="AL39" s="1621"/>
      <c r="AM39" s="1621"/>
      <c r="AN39" s="1621"/>
      <c r="AO39" s="1621"/>
      <c r="AP39" s="1621"/>
      <c r="AQ39" s="1621"/>
      <c r="AR39" s="1621"/>
      <c r="AS39" s="1621"/>
      <c r="AT39" s="1621"/>
      <c r="AU39" s="1621"/>
      <c r="AV39" s="1622"/>
      <c r="AW39" s="1622"/>
      <c r="AX39" s="1622"/>
      <c r="AY39" s="1622"/>
      <c r="AZ39" s="1622"/>
      <c r="BA39" s="1622"/>
      <c r="BB39" s="1622"/>
      <c r="BC39" s="1622"/>
      <c r="BD39" s="1618"/>
      <c r="BE39" s="1618"/>
      <c r="BF39" s="1618"/>
      <c r="BG39" s="1618"/>
      <c r="BH39" s="1618"/>
      <c r="BI39" s="1618"/>
      <c r="BJ39" s="1618"/>
      <c r="BK39" s="1618"/>
      <c r="BL39" s="1618"/>
      <c r="BM39" s="1618"/>
      <c r="BN39" s="1618"/>
      <c r="BO39" s="1618"/>
      <c r="BP39" s="1618"/>
      <c r="BQ39" s="1618"/>
      <c r="BR39" s="1618"/>
      <c r="BS39" s="1618"/>
      <c r="BT39" s="1618"/>
      <c r="BU39" s="1618"/>
      <c r="BV39" s="1618"/>
      <c r="BW39" s="1618"/>
      <c r="BX39" s="1618"/>
      <c r="BY39" s="1618"/>
      <c r="BZ39" s="1618"/>
      <c r="CA39" s="1618"/>
      <c r="CB39" s="1618"/>
      <c r="CC39" s="1618"/>
      <c r="CD39" s="1618"/>
      <c r="CE39" s="1618"/>
      <c r="CF39" s="1618"/>
      <c r="CG39" s="1618"/>
      <c r="CH39" s="1618"/>
      <c r="CI39" s="1618"/>
      <c r="CJ39" s="1618"/>
      <c r="CK39" s="1618"/>
      <c r="CL39" s="1618"/>
      <c r="CM39" s="1618"/>
      <c r="CN39" s="1618"/>
      <c r="CO39" s="1618"/>
      <c r="CP39" s="1618"/>
      <c r="CQ39" s="1618"/>
      <c r="CR39" s="1618"/>
      <c r="CS39" s="1618"/>
      <c r="CT39" s="1618"/>
      <c r="CU39" s="1618"/>
      <c r="CV39" s="1618"/>
      <c r="CW39" s="1618"/>
      <c r="CX39" s="1618"/>
      <c r="CY39" s="1618"/>
      <c r="CZ39" s="1618"/>
      <c r="DA39" s="1618"/>
      <c r="DB39" s="1618"/>
      <c r="DC39" s="1618"/>
      <c r="DD39" s="1618"/>
      <c r="DE39" s="1618"/>
      <c r="DF39" s="1618"/>
      <c r="DG39" s="1618"/>
      <c r="DH39" s="1618"/>
      <c r="DI39" s="1618"/>
      <c r="DJ39" s="1618"/>
      <c r="DK39" s="1618"/>
      <c r="DL39" s="1618"/>
      <c r="DM39" s="1618"/>
      <c r="DN39" s="1618"/>
      <c r="DO39" s="1618"/>
      <c r="DP39" s="1618"/>
      <c r="DQ39" s="1618"/>
      <c r="DR39" s="1618"/>
      <c r="DS39" s="1618"/>
      <c r="DT39" s="1618"/>
      <c r="DU39" s="1618"/>
      <c r="DV39" s="1618"/>
      <c r="DW39" s="1618"/>
      <c r="DX39" s="1618"/>
      <c r="DY39" s="1618"/>
      <c r="DZ39" s="1618"/>
      <c r="EA39" s="1618"/>
      <c r="EB39" s="1618"/>
      <c r="EC39" s="1618"/>
      <c r="ED39" s="1618"/>
      <c r="EE39" s="1618"/>
      <c r="EF39" s="1618"/>
      <c r="EG39" s="1618"/>
      <c r="EH39" s="1618"/>
      <c r="EI39" s="1618"/>
      <c r="EJ39" s="1618"/>
      <c r="EK39" s="1618"/>
      <c r="EL39" s="1618"/>
      <c r="EM39" s="1618"/>
      <c r="EN39" s="1618"/>
      <c r="EO39" s="1618"/>
      <c r="EP39" s="1618"/>
      <c r="EQ39" s="1618"/>
      <c r="ER39" s="1618"/>
      <c r="ES39" s="1618"/>
      <c r="ET39" s="1618"/>
      <c r="EU39" s="1618"/>
      <c r="EV39" s="1618"/>
      <c r="EW39" s="1618"/>
      <c r="EX39" s="1618"/>
      <c r="EY39" s="1618"/>
      <c r="EZ39" s="1618"/>
      <c r="FA39" s="1618"/>
      <c r="FB39" s="1618"/>
      <c r="FC39" s="1618"/>
      <c r="FD39" s="1615"/>
      <c r="FE39" s="1616"/>
      <c r="FF39" s="1616"/>
      <c r="FG39" s="1616"/>
      <c r="FH39" s="1616"/>
      <c r="FI39" s="1616"/>
      <c r="FJ39" s="1616"/>
      <c r="FK39" s="1616"/>
      <c r="FL39" s="1616"/>
      <c r="FM39" s="1616"/>
      <c r="FN39" s="1616"/>
      <c r="FO39" s="1616"/>
      <c r="FP39" s="1616"/>
      <c r="FQ39" s="1616"/>
      <c r="FR39" s="1616"/>
      <c r="FS39" s="1617"/>
      <c r="FT39" s="1615"/>
      <c r="FU39" s="1616"/>
      <c r="FV39" s="1616"/>
      <c r="FW39" s="1616"/>
      <c r="FX39" s="1616"/>
      <c r="FY39" s="1616"/>
      <c r="FZ39" s="1616"/>
      <c r="GA39" s="1616"/>
      <c r="GB39" s="1616"/>
      <c r="GC39" s="1616"/>
      <c r="GD39" s="1616"/>
      <c r="GE39" s="1616"/>
      <c r="GF39" s="1616"/>
      <c r="GG39" s="1616"/>
      <c r="GH39" s="1616"/>
      <c r="GI39" s="1617"/>
      <c r="GJ39" s="1615"/>
      <c r="GK39" s="1616"/>
      <c r="GL39" s="1616"/>
      <c r="GM39" s="1616"/>
      <c r="GN39" s="1616"/>
      <c r="GO39" s="1616"/>
      <c r="GP39" s="1616"/>
      <c r="GQ39" s="1616"/>
      <c r="GR39" s="1616"/>
      <c r="GS39" s="1616"/>
      <c r="GT39" s="1616"/>
      <c r="GU39" s="1616"/>
      <c r="GV39" s="1616"/>
      <c r="GW39" s="1616"/>
      <c r="GX39" s="1616"/>
      <c r="GY39" s="1617"/>
      <c r="GZ39" s="1618"/>
      <c r="HA39" s="1618"/>
      <c r="HB39" s="1618"/>
      <c r="HC39" s="1618"/>
      <c r="HD39" s="1618"/>
      <c r="HE39" s="1618"/>
      <c r="HF39" s="1618"/>
      <c r="HG39" s="1618"/>
      <c r="HH39" s="1618"/>
      <c r="HI39" s="1618"/>
      <c r="HJ39" s="1618"/>
      <c r="HK39" s="1618"/>
      <c r="HL39" s="1618"/>
      <c r="HM39" s="1618"/>
      <c r="HN39" s="1618"/>
      <c r="HO39" s="1618"/>
      <c r="HP39" s="1618"/>
    </row>
    <row r="40" spans="1:231" s="449" customFormat="1" ht="10.35" customHeight="1">
      <c r="A40" s="448"/>
      <c r="B40" s="1591" t="s">
        <v>1686</v>
      </c>
      <c r="C40" s="1591"/>
      <c r="D40" s="1591"/>
      <c r="E40" s="1591"/>
      <c r="F40" s="1591"/>
      <c r="G40" s="1591"/>
      <c r="H40" s="1591"/>
      <c r="I40" s="1591"/>
      <c r="J40" s="1591"/>
      <c r="K40" s="1591"/>
      <c r="L40" s="1591"/>
      <c r="M40" s="1591"/>
      <c r="N40" s="1591"/>
      <c r="O40" s="1591"/>
      <c r="P40" s="1591"/>
      <c r="Q40" s="1591"/>
      <c r="R40" s="1591"/>
      <c r="S40" s="1591"/>
      <c r="T40" s="1591"/>
      <c r="U40" s="1591"/>
      <c r="V40" s="1591"/>
      <c r="W40" s="1591"/>
      <c r="X40" s="1591"/>
      <c r="Y40" s="1591"/>
      <c r="Z40" s="1591"/>
      <c r="AA40" s="1591"/>
      <c r="AB40" s="1591"/>
      <c r="AC40" s="1591"/>
      <c r="AD40" s="1591"/>
      <c r="AE40" s="1591"/>
      <c r="AF40" s="1591"/>
      <c r="AG40" s="1591"/>
      <c r="AH40" s="1591"/>
      <c r="AI40" s="1591"/>
      <c r="AJ40" s="1591"/>
      <c r="AK40" s="1592"/>
      <c r="AL40" s="1569" t="s">
        <v>121</v>
      </c>
      <c r="AM40" s="1570"/>
      <c r="AN40" s="1570"/>
      <c r="AO40" s="1570"/>
      <c r="AP40" s="1570"/>
      <c r="AQ40" s="1570"/>
      <c r="AR40" s="1570"/>
      <c r="AS40" s="1570"/>
      <c r="AT40" s="1570"/>
      <c r="AU40" s="1571"/>
      <c r="AV40" s="1578">
        <v>140</v>
      </c>
      <c r="AW40" s="1579"/>
      <c r="AX40" s="1579"/>
      <c r="AY40" s="1579"/>
      <c r="AZ40" s="1579"/>
      <c r="BA40" s="1579"/>
      <c r="BB40" s="1579"/>
      <c r="BC40" s="1580"/>
      <c r="BD40" s="1555">
        <f>CF40+CV40+DL40</f>
        <v>351</v>
      </c>
      <c r="BE40" s="1556"/>
      <c r="BF40" s="1556"/>
      <c r="BG40" s="1556"/>
      <c r="BH40" s="1556"/>
      <c r="BI40" s="1556"/>
      <c r="BJ40" s="1556"/>
      <c r="BK40" s="1556"/>
      <c r="BL40" s="1556"/>
      <c r="BM40" s="1556"/>
      <c r="BN40" s="1556"/>
      <c r="BO40" s="1556"/>
      <c r="BP40" s="1556"/>
      <c r="BQ40" s="1557"/>
      <c r="BR40" s="1555">
        <f>BD40</f>
        <v>351</v>
      </c>
      <c r="BS40" s="1556"/>
      <c r="BT40" s="1556"/>
      <c r="BU40" s="1556"/>
      <c r="BV40" s="1556"/>
      <c r="BW40" s="1556"/>
      <c r="BX40" s="1556"/>
      <c r="BY40" s="1556"/>
      <c r="BZ40" s="1556"/>
      <c r="CA40" s="1556"/>
      <c r="CB40" s="1556"/>
      <c r="CC40" s="1556"/>
      <c r="CD40" s="1556"/>
      <c r="CE40" s="1557"/>
      <c r="CF40" s="1555">
        <f>206-29</f>
        <v>177</v>
      </c>
      <c r="CG40" s="1556"/>
      <c r="CH40" s="1556"/>
      <c r="CI40" s="1556"/>
      <c r="CJ40" s="1556"/>
      <c r="CK40" s="1556"/>
      <c r="CL40" s="1556"/>
      <c r="CM40" s="1556"/>
      <c r="CN40" s="1556"/>
      <c r="CO40" s="1556"/>
      <c r="CP40" s="1556"/>
      <c r="CQ40" s="1556"/>
      <c r="CR40" s="1556"/>
      <c r="CS40" s="1556"/>
      <c r="CT40" s="1556"/>
      <c r="CU40" s="1557"/>
      <c r="CV40" s="1555">
        <f>4-4</f>
        <v>0</v>
      </c>
      <c r="CW40" s="1556"/>
      <c r="CX40" s="1556"/>
      <c r="CY40" s="1556"/>
      <c r="CZ40" s="1556"/>
      <c r="DA40" s="1556"/>
      <c r="DB40" s="1556"/>
      <c r="DC40" s="1556"/>
      <c r="DD40" s="1556"/>
      <c r="DE40" s="1556"/>
      <c r="DF40" s="1556"/>
      <c r="DG40" s="1556"/>
      <c r="DH40" s="1556"/>
      <c r="DI40" s="1556"/>
      <c r="DJ40" s="1556"/>
      <c r="DK40" s="1557"/>
      <c r="DL40" s="1555">
        <f>174-0</f>
        <v>174</v>
      </c>
      <c r="DM40" s="1556"/>
      <c r="DN40" s="1556"/>
      <c r="DO40" s="1556"/>
      <c r="DP40" s="1556"/>
      <c r="DQ40" s="1556"/>
      <c r="DR40" s="1556"/>
      <c r="DS40" s="1556"/>
      <c r="DT40" s="1556"/>
      <c r="DU40" s="1556"/>
      <c r="DV40" s="1556"/>
      <c r="DW40" s="1556"/>
      <c r="DX40" s="1556"/>
      <c r="DY40" s="1556"/>
      <c r="DZ40" s="1556"/>
      <c r="EA40" s="1557"/>
      <c r="EB40" s="1555">
        <v>238</v>
      </c>
      <c r="EC40" s="1556"/>
      <c r="ED40" s="1556"/>
      <c r="EE40" s="1556"/>
      <c r="EF40" s="1556"/>
      <c r="EG40" s="1556"/>
      <c r="EH40" s="1556"/>
      <c r="EI40" s="1556"/>
      <c r="EJ40" s="1556"/>
      <c r="EK40" s="1556"/>
      <c r="EL40" s="1556"/>
      <c r="EM40" s="1556"/>
      <c r="EN40" s="1556"/>
      <c r="EO40" s="1557"/>
      <c r="EP40" s="1555">
        <v>238</v>
      </c>
      <c r="EQ40" s="1556"/>
      <c r="ER40" s="1556"/>
      <c r="ES40" s="1556"/>
      <c r="ET40" s="1556"/>
      <c r="EU40" s="1556"/>
      <c r="EV40" s="1556"/>
      <c r="EW40" s="1556"/>
      <c r="EX40" s="1556"/>
      <c r="EY40" s="1556"/>
      <c r="EZ40" s="1556"/>
      <c r="FA40" s="1556"/>
      <c r="FB40" s="1556"/>
      <c r="FC40" s="1557"/>
      <c r="FD40" s="1546">
        <v>151</v>
      </c>
      <c r="FE40" s="1547"/>
      <c r="FF40" s="1547"/>
      <c r="FG40" s="1547"/>
      <c r="FH40" s="1547"/>
      <c r="FI40" s="1547"/>
      <c r="FJ40" s="1547"/>
      <c r="FK40" s="1547"/>
      <c r="FL40" s="1547"/>
      <c r="FM40" s="1547"/>
      <c r="FN40" s="1547"/>
      <c r="FO40" s="1547"/>
      <c r="FP40" s="1547"/>
      <c r="FQ40" s="1547"/>
      <c r="FR40" s="1547"/>
      <c r="FS40" s="1548"/>
      <c r="FT40" s="1546">
        <v>32</v>
      </c>
      <c r="FU40" s="1547"/>
      <c r="FV40" s="1547"/>
      <c r="FW40" s="1547"/>
      <c r="FX40" s="1547"/>
      <c r="FY40" s="1547"/>
      <c r="FZ40" s="1547"/>
      <c r="GA40" s="1547"/>
      <c r="GB40" s="1547"/>
      <c r="GC40" s="1547"/>
      <c r="GD40" s="1547"/>
      <c r="GE40" s="1547"/>
      <c r="GF40" s="1547"/>
      <c r="GG40" s="1547"/>
      <c r="GH40" s="1547"/>
      <c r="GI40" s="1548"/>
      <c r="GJ40" s="1546">
        <v>55</v>
      </c>
      <c r="GK40" s="1547"/>
      <c r="GL40" s="1547"/>
      <c r="GM40" s="1547"/>
      <c r="GN40" s="1547"/>
      <c r="GO40" s="1547"/>
      <c r="GP40" s="1547"/>
      <c r="GQ40" s="1547"/>
      <c r="GR40" s="1547"/>
      <c r="GS40" s="1547"/>
      <c r="GT40" s="1547"/>
      <c r="GU40" s="1547"/>
      <c r="GV40" s="1547"/>
      <c r="GW40" s="1547"/>
      <c r="GX40" s="1547"/>
      <c r="GY40" s="1548"/>
      <c r="GZ40" s="1555"/>
      <c r="HA40" s="1556"/>
      <c r="HB40" s="1556"/>
      <c r="HC40" s="1556"/>
      <c r="HD40" s="1556"/>
      <c r="HE40" s="1556"/>
      <c r="HF40" s="1556"/>
      <c r="HG40" s="1556"/>
      <c r="HH40" s="1556"/>
      <c r="HI40" s="1556"/>
      <c r="HJ40" s="1556"/>
      <c r="HK40" s="1556"/>
      <c r="HL40" s="1556"/>
      <c r="HM40" s="1556"/>
      <c r="HN40" s="1556"/>
      <c r="HO40" s="1556"/>
      <c r="HP40" s="1557"/>
      <c r="HU40" s="1045">
        <f>SUM(HU25:HU38)</f>
        <v>8243414</v>
      </c>
      <c r="HV40" s="1045">
        <f t="shared" ref="HV40" si="2">SUM(HV25:HV38)</f>
        <v>3193462.2545400001</v>
      </c>
      <c r="HW40" s="1045">
        <f>SUM(HW25:HW38)</f>
        <v>5049951.7454599999</v>
      </c>
    </row>
    <row r="41" spans="1:231" s="445" customFormat="1" ht="10.35" customHeight="1">
      <c r="A41" s="446"/>
      <c r="B41" s="1587" t="s">
        <v>1687</v>
      </c>
      <c r="C41" s="1587"/>
      <c r="D41" s="1587"/>
      <c r="E41" s="1587"/>
      <c r="F41" s="1587"/>
      <c r="G41" s="1587"/>
      <c r="H41" s="1587"/>
      <c r="I41" s="1587"/>
      <c r="J41" s="1587"/>
      <c r="K41" s="1587"/>
      <c r="L41" s="1587"/>
      <c r="M41" s="1587"/>
      <c r="N41" s="1587"/>
      <c r="O41" s="1587"/>
      <c r="P41" s="1587"/>
      <c r="Q41" s="1587"/>
      <c r="R41" s="1587"/>
      <c r="S41" s="1587"/>
      <c r="T41" s="1587"/>
      <c r="U41" s="1587"/>
      <c r="V41" s="1587"/>
      <c r="W41" s="1587"/>
      <c r="X41" s="1587"/>
      <c r="Y41" s="1587"/>
      <c r="Z41" s="1587"/>
      <c r="AA41" s="1587"/>
      <c r="AB41" s="1587"/>
      <c r="AC41" s="1587"/>
      <c r="AD41" s="1587"/>
      <c r="AE41" s="1587"/>
      <c r="AF41" s="1587"/>
      <c r="AG41" s="1587"/>
      <c r="AH41" s="1587"/>
      <c r="AI41" s="1587"/>
      <c r="AJ41" s="1587"/>
      <c r="AK41" s="1588"/>
      <c r="AL41" s="1572"/>
      <c r="AM41" s="1573"/>
      <c r="AN41" s="1573"/>
      <c r="AO41" s="1573"/>
      <c r="AP41" s="1573"/>
      <c r="AQ41" s="1573"/>
      <c r="AR41" s="1573"/>
      <c r="AS41" s="1573"/>
      <c r="AT41" s="1573"/>
      <c r="AU41" s="1574"/>
      <c r="AV41" s="1581"/>
      <c r="AW41" s="1582"/>
      <c r="AX41" s="1582"/>
      <c r="AY41" s="1582"/>
      <c r="AZ41" s="1582"/>
      <c r="BA41" s="1582"/>
      <c r="BB41" s="1582"/>
      <c r="BC41" s="1583"/>
      <c r="BD41" s="1558"/>
      <c r="BE41" s="1559"/>
      <c r="BF41" s="1559"/>
      <c r="BG41" s="1559"/>
      <c r="BH41" s="1559"/>
      <c r="BI41" s="1559"/>
      <c r="BJ41" s="1559"/>
      <c r="BK41" s="1559"/>
      <c r="BL41" s="1559"/>
      <c r="BM41" s="1559"/>
      <c r="BN41" s="1559"/>
      <c r="BO41" s="1559"/>
      <c r="BP41" s="1559"/>
      <c r="BQ41" s="1560"/>
      <c r="BR41" s="1558"/>
      <c r="BS41" s="1559"/>
      <c r="BT41" s="1559"/>
      <c r="BU41" s="1559"/>
      <c r="BV41" s="1559"/>
      <c r="BW41" s="1559"/>
      <c r="BX41" s="1559"/>
      <c r="BY41" s="1559"/>
      <c r="BZ41" s="1559"/>
      <c r="CA41" s="1559"/>
      <c r="CB41" s="1559"/>
      <c r="CC41" s="1559"/>
      <c r="CD41" s="1559"/>
      <c r="CE41" s="1560"/>
      <c r="CF41" s="1558"/>
      <c r="CG41" s="1559"/>
      <c r="CH41" s="1559"/>
      <c r="CI41" s="1559"/>
      <c r="CJ41" s="1559"/>
      <c r="CK41" s="1559"/>
      <c r="CL41" s="1559"/>
      <c r="CM41" s="1559"/>
      <c r="CN41" s="1559"/>
      <c r="CO41" s="1559"/>
      <c r="CP41" s="1559"/>
      <c r="CQ41" s="1559"/>
      <c r="CR41" s="1559"/>
      <c r="CS41" s="1559"/>
      <c r="CT41" s="1559"/>
      <c r="CU41" s="1560"/>
      <c r="CV41" s="1558"/>
      <c r="CW41" s="1559"/>
      <c r="CX41" s="1559"/>
      <c r="CY41" s="1559"/>
      <c r="CZ41" s="1559"/>
      <c r="DA41" s="1559"/>
      <c r="DB41" s="1559"/>
      <c r="DC41" s="1559"/>
      <c r="DD41" s="1559"/>
      <c r="DE41" s="1559"/>
      <c r="DF41" s="1559"/>
      <c r="DG41" s="1559"/>
      <c r="DH41" s="1559"/>
      <c r="DI41" s="1559"/>
      <c r="DJ41" s="1559"/>
      <c r="DK41" s="1560"/>
      <c r="DL41" s="1558"/>
      <c r="DM41" s="1559"/>
      <c r="DN41" s="1559"/>
      <c r="DO41" s="1559"/>
      <c r="DP41" s="1559"/>
      <c r="DQ41" s="1559"/>
      <c r="DR41" s="1559"/>
      <c r="DS41" s="1559"/>
      <c r="DT41" s="1559"/>
      <c r="DU41" s="1559"/>
      <c r="DV41" s="1559"/>
      <c r="DW41" s="1559"/>
      <c r="DX41" s="1559"/>
      <c r="DY41" s="1559"/>
      <c r="DZ41" s="1559"/>
      <c r="EA41" s="1560"/>
      <c r="EB41" s="1558"/>
      <c r="EC41" s="1559"/>
      <c r="ED41" s="1559"/>
      <c r="EE41" s="1559"/>
      <c r="EF41" s="1559"/>
      <c r="EG41" s="1559"/>
      <c r="EH41" s="1559"/>
      <c r="EI41" s="1559"/>
      <c r="EJ41" s="1559"/>
      <c r="EK41" s="1559"/>
      <c r="EL41" s="1559"/>
      <c r="EM41" s="1559"/>
      <c r="EN41" s="1559"/>
      <c r="EO41" s="1560"/>
      <c r="EP41" s="1558"/>
      <c r="EQ41" s="1559"/>
      <c r="ER41" s="1559"/>
      <c r="ES41" s="1559"/>
      <c r="ET41" s="1559"/>
      <c r="EU41" s="1559"/>
      <c r="EV41" s="1559"/>
      <c r="EW41" s="1559"/>
      <c r="EX41" s="1559"/>
      <c r="EY41" s="1559"/>
      <c r="EZ41" s="1559"/>
      <c r="FA41" s="1559"/>
      <c r="FB41" s="1559"/>
      <c r="FC41" s="1560"/>
      <c r="FD41" s="1549"/>
      <c r="FE41" s="1550"/>
      <c r="FF41" s="1550"/>
      <c r="FG41" s="1550"/>
      <c r="FH41" s="1550"/>
      <c r="FI41" s="1550"/>
      <c r="FJ41" s="1550"/>
      <c r="FK41" s="1550"/>
      <c r="FL41" s="1550"/>
      <c r="FM41" s="1550"/>
      <c r="FN41" s="1550"/>
      <c r="FO41" s="1550"/>
      <c r="FP41" s="1550"/>
      <c r="FQ41" s="1550"/>
      <c r="FR41" s="1550"/>
      <c r="FS41" s="1551"/>
      <c r="FT41" s="1549"/>
      <c r="FU41" s="1550"/>
      <c r="FV41" s="1550"/>
      <c r="FW41" s="1550"/>
      <c r="FX41" s="1550"/>
      <c r="FY41" s="1550"/>
      <c r="FZ41" s="1550"/>
      <c r="GA41" s="1550"/>
      <c r="GB41" s="1550"/>
      <c r="GC41" s="1550"/>
      <c r="GD41" s="1550"/>
      <c r="GE41" s="1550"/>
      <c r="GF41" s="1550"/>
      <c r="GG41" s="1550"/>
      <c r="GH41" s="1550"/>
      <c r="GI41" s="1551"/>
      <c r="GJ41" s="1549"/>
      <c r="GK41" s="1550"/>
      <c r="GL41" s="1550"/>
      <c r="GM41" s="1550"/>
      <c r="GN41" s="1550"/>
      <c r="GO41" s="1550"/>
      <c r="GP41" s="1550"/>
      <c r="GQ41" s="1550"/>
      <c r="GR41" s="1550"/>
      <c r="GS41" s="1550"/>
      <c r="GT41" s="1550"/>
      <c r="GU41" s="1550"/>
      <c r="GV41" s="1550"/>
      <c r="GW41" s="1550"/>
      <c r="GX41" s="1550"/>
      <c r="GY41" s="1551"/>
      <c r="GZ41" s="1558"/>
      <c r="HA41" s="1559"/>
      <c r="HB41" s="1559"/>
      <c r="HC41" s="1559"/>
      <c r="HD41" s="1559"/>
      <c r="HE41" s="1559"/>
      <c r="HF41" s="1559"/>
      <c r="HG41" s="1559"/>
      <c r="HH41" s="1559"/>
      <c r="HI41" s="1559"/>
      <c r="HJ41" s="1559"/>
      <c r="HK41" s="1559"/>
      <c r="HL41" s="1559"/>
      <c r="HM41" s="1559"/>
      <c r="HN41" s="1559"/>
      <c r="HO41" s="1559"/>
      <c r="HP41" s="1560"/>
    </row>
    <row r="42" spans="1:231" s="445" customFormat="1" ht="10.35" customHeight="1">
      <c r="A42" s="447"/>
      <c r="B42" s="1589" t="s">
        <v>1688</v>
      </c>
      <c r="C42" s="1589"/>
      <c r="D42" s="1589"/>
      <c r="E42" s="1589"/>
      <c r="F42" s="1589"/>
      <c r="G42" s="1589"/>
      <c r="H42" s="1589"/>
      <c r="I42" s="1589"/>
      <c r="J42" s="1589"/>
      <c r="K42" s="1589"/>
      <c r="L42" s="1589"/>
      <c r="M42" s="1589"/>
      <c r="N42" s="1589"/>
      <c r="O42" s="1589"/>
      <c r="P42" s="1589"/>
      <c r="Q42" s="1589"/>
      <c r="R42" s="1589"/>
      <c r="S42" s="1589"/>
      <c r="T42" s="1589"/>
      <c r="U42" s="1589"/>
      <c r="V42" s="1589"/>
      <c r="W42" s="1589"/>
      <c r="X42" s="1589"/>
      <c r="Y42" s="1589"/>
      <c r="Z42" s="1589"/>
      <c r="AA42" s="1589"/>
      <c r="AB42" s="1589"/>
      <c r="AC42" s="1589"/>
      <c r="AD42" s="1589"/>
      <c r="AE42" s="1589"/>
      <c r="AF42" s="1589"/>
      <c r="AG42" s="1589"/>
      <c r="AH42" s="1589"/>
      <c r="AI42" s="1589"/>
      <c r="AJ42" s="1589"/>
      <c r="AK42" s="1590"/>
      <c r="AL42" s="1575"/>
      <c r="AM42" s="1576"/>
      <c r="AN42" s="1576"/>
      <c r="AO42" s="1576"/>
      <c r="AP42" s="1576"/>
      <c r="AQ42" s="1576"/>
      <c r="AR42" s="1576"/>
      <c r="AS42" s="1576"/>
      <c r="AT42" s="1576"/>
      <c r="AU42" s="1577"/>
      <c r="AV42" s="1584"/>
      <c r="AW42" s="1585"/>
      <c r="AX42" s="1585"/>
      <c r="AY42" s="1585"/>
      <c r="AZ42" s="1585"/>
      <c r="BA42" s="1585"/>
      <c r="BB42" s="1585"/>
      <c r="BC42" s="1586"/>
      <c r="BD42" s="1561"/>
      <c r="BE42" s="1562"/>
      <c r="BF42" s="1562"/>
      <c r="BG42" s="1562"/>
      <c r="BH42" s="1562"/>
      <c r="BI42" s="1562"/>
      <c r="BJ42" s="1562"/>
      <c r="BK42" s="1562"/>
      <c r="BL42" s="1562"/>
      <c r="BM42" s="1562"/>
      <c r="BN42" s="1562"/>
      <c r="BO42" s="1562"/>
      <c r="BP42" s="1562"/>
      <c r="BQ42" s="1563"/>
      <c r="BR42" s="1561"/>
      <c r="BS42" s="1562"/>
      <c r="BT42" s="1562"/>
      <c r="BU42" s="1562"/>
      <c r="BV42" s="1562"/>
      <c r="BW42" s="1562"/>
      <c r="BX42" s="1562"/>
      <c r="BY42" s="1562"/>
      <c r="BZ42" s="1562"/>
      <c r="CA42" s="1562"/>
      <c r="CB42" s="1562"/>
      <c r="CC42" s="1562"/>
      <c r="CD42" s="1562"/>
      <c r="CE42" s="1563"/>
      <c r="CF42" s="1561"/>
      <c r="CG42" s="1562"/>
      <c r="CH42" s="1562"/>
      <c r="CI42" s="1562"/>
      <c r="CJ42" s="1562"/>
      <c r="CK42" s="1562"/>
      <c r="CL42" s="1562"/>
      <c r="CM42" s="1562"/>
      <c r="CN42" s="1562"/>
      <c r="CO42" s="1562"/>
      <c r="CP42" s="1562"/>
      <c r="CQ42" s="1562"/>
      <c r="CR42" s="1562"/>
      <c r="CS42" s="1562"/>
      <c r="CT42" s="1562"/>
      <c r="CU42" s="1563"/>
      <c r="CV42" s="1561"/>
      <c r="CW42" s="1562"/>
      <c r="CX42" s="1562"/>
      <c r="CY42" s="1562"/>
      <c r="CZ42" s="1562"/>
      <c r="DA42" s="1562"/>
      <c r="DB42" s="1562"/>
      <c r="DC42" s="1562"/>
      <c r="DD42" s="1562"/>
      <c r="DE42" s="1562"/>
      <c r="DF42" s="1562"/>
      <c r="DG42" s="1562"/>
      <c r="DH42" s="1562"/>
      <c r="DI42" s="1562"/>
      <c r="DJ42" s="1562"/>
      <c r="DK42" s="1563"/>
      <c r="DL42" s="1561"/>
      <c r="DM42" s="1562"/>
      <c r="DN42" s="1562"/>
      <c r="DO42" s="1562"/>
      <c r="DP42" s="1562"/>
      <c r="DQ42" s="1562"/>
      <c r="DR42" s="1562"/>
      <c r="DS42" s="1562"/>
      <c r="DT42" s="1562"/>
      <c r="DU42" s="1562"/>
      <c r="DV42" s="1562"/>
      <c r="DW42" s="1562"/>
      <c r="DX42" s="1562"/>
      <c r="DY42" s="1562"/>
      <c r="DZ42" s="1562"/>
      <c r="EA42" s="1563"/>
      <c r="EB42" s="1561"/>
      <c r="EC42" s="1562"/>
      <c r="ED42" s="1562"/>
      <c r="EE42" s="1562"/>
      <c r="EF42" s="1562"/>
      <c r="EG42" s="1562"/>
      <c r="EH42" s="1562"/>
      <c r="EI42" s="1562"/>
      <c r="EJ42" s="1562"/>
      <c r="EK42" s="1562"/>
      <c r="EL42" s="1562"/>
      <c r="EM42" s="1562"/>
      <c r="EN42" s="1562"/>
      <c r="EO42" s="1563"/>
      <c r="EP42" s="1561"/>
      <c r="EQ42" s="1562"/>
      <c r="ER42" s="1562"/>
      <c r="ES42" s="1562"/>
      <c r="ET42" s="1562"/>
      <c r="EU42" s="1562"/>
      <c r="EV42" s="1562"/>
      <c r="EW42" s="1562"/>
      <c r="EX42" s="1562"/>
      <c r="EY42" s="1562"/>
      <c r="EZ42" s="1562"/>
      <c r="FA42" s="1562"/>
      <c r="FB42" s="1562"/>
      <c r="FC42" s="1563"/>
      <c r="FD42" s="1552"/>
      <c r="FE42" s="1553"/>
      <c r="FF42" s="1553"/>
      <c r="FG42" s="1553"/>
      <c r="FH42" s="1553"/>
      <c r="FI42" s="1553"/>
      <c r="FJ42" s="1553"/>
      <c r="FK42" s="1553"/>
      <c r="FL42" s="1553"/>
      <c r="FM42" s="1553"/>
      <c r="FN42" s="1553"/>
      <c r="FO42" s="1553"/>
      <c r="FP42" s="1553"/>
      <c r="FQ42" s="1553"/>
      <c r="FR42" s="1553"/>
      <c r="FS42" s="1554"/>
      <c r="FT42" s="1552"/>
      <c r="FU42" s="1553"/>
      <c r="FV42" s="1553"/>
      <c r="FW42" s="1553"/>
      <c r="FX42" s="1553"/>
      <c r="FY42" s="1553"/>
      <c r="FZ42" s="1553"/>
      <c r="GA42" s="1553"/>
      <c r="GB42" s="1553"/>
      <c r="GC42" s="1553"/>
      <c r="GD42" s="1553"/>
      <c r="GE42" s="1553"/>
      <c r="GF42" s="1553"/>
      <c r="GG42" s="1553"/>
      <c r="GH42" s="1553"/>
      <c r="GI42" s="1554"/>
      <c r="GJ42" s="1552"/>
      <c r="GK42" s="1553"/>
      <c r="GL42" s="1553"/>
      <c r="GM42" s="1553"/>
      <c r="GN42" s="1553"/>
      <c r="GO42" s="1553"/>
      <c r="GP42" s="1553"/>
      <c r="GQ42" s="1553"/>
      <c r="GR42" s="1553"/>
      <c r="GS42" s="1553"/>
      <c r="GT42" s="1553"/>
      <c r="GU42" s="1553"/>
      <c r="GV42" s="1553"/>
      <c r="GW42" s="1553"/>
      <c r="GX42" s="1553"/>
      <c r="GY42" s="1554"/>
      <c r="GZ42" s="1561"/>
      <c r="HA42" s="1562"/>
      <c r="HB42" s="1562"/>
      <c r="HC42" s="1562"/>
      <c r="HD42" s="1562"/>
      <c r="HE42" s="1562"/>
      <c r="HF42" s="1562"/>
      <c r="HG42" s="1562"/>
      <c r="HH42" s="1562"/>
      <c r="HI42" s="1562"/>
      <c r="HJ42" s="1562"/>
      <c r="HK42" s="1562"/>
      <c r="HL42" s="1562"/>
      <c r="HM42" s="1562"/>
      <c r="HN42" s="1562"/>
      <c r="HO42" s="1562"/>
      <c r="HP42" s="1563"/>
    </row>
    <row r="43" spans="1:231" s="445" customFormat="1" ht="10.35" customHeight="1">
      <c r="A43" s="444"/>
      <c r="B43" s="1567" t="s">
        <v>1689</v>
      </c>
      <c r="C43" s="1567"/>
      <c r="D43" s="1567"/>
      <c r="E43" s="1567"/>
      <c r="F43" s="1567"/>
      <c r="G43" s="1567"/>
      <c r="H43" s="1567"/>
      <c r="I43" s="1567"/>
      <c r="J43" s="1567"/>
      <c r="K43" s="1567"/>
      <c r="L43" s="1567"/>
      <c r="M43" s="1567"/>
      <c r="N43" s="1567"/>
      <c r="O43" s="1567"/>
      <c r="P43" s="1567"/>
      <c r="Q43" s="1567"/>
      <c r="R43" s="1567"/>
      <c r="S43" s="1567"/>
      <c r="T43" s="1567"/>
      <c r="U43" s="1567"/>
      <c r="V43" s="1567"/>
      <c r="W43" s="1567"/>
      <c r="X43" s="1567"/>
      <c r="Y43" s="1567"/>
      <c r="Z43" s="1567"/>
      <c r="AA43" s="1567"/>
      <c r="AB43" s="1567"/>
      <c r="AC43" s="1567"/>
      <c r="AD43" s="1567"/>
      <c r="AE43" s="1567"/>
      <c r="AF43" s="1567"/>
      <c r="AG43" s="1567"/>
      <c r="AH43" s="1567"/>
      <c r="AI43" s="1567"/>
      <c r="AJ43" s="1567"/>
      <c r="AK43" s="1568"/>
      <c r="AL43" s="1569" t="s">
        <v>121</v>
      </c>
      <c r="AM43" s="1570"/>
      <c r="AN43" s="1570"/>
      <c r="AO43" s="1570"/>
      <c r="AP43" s="1570"/>
      <c r="AQ43" s="1570"/>
      <c r="AR43" s="1570"/>
      <c r="AS43" s="1570"/>
      <c r="AT43" s="1570"/>
      <c r="AU43" s="1571"/>
      <c r="AV43" s="1578">
        <v>150</v>
      </c>
      <c r="AW43" s="1579"/>
      <c r="AX43" s="1579"/>
      <c r="AY43" s="1579"/>
      <c r="AZ43" s="1579"/>
      <c r="BA43" s="1579"/>
      <c r="BB43" s="1579"/>
      <c r="BC43" s="1580"/>
      <c r="BD43" s="1555">
        <f>CF43+CV43+DL43</f>
        <v>-109461</v>
      </c>
      <c r="BE43" s="1556"/>
      <c r="BF43" s="1556"/>
      <c r="BG43" s="1556"/>
      <c r="BH43" s="1556"/>
      <c r="BI43" s="1556"/>
      <c r="BJ43" s="1556"/>
      <c r="BK43" s="1556"/>
      <c r="BL43" s="1556"/>
      <c r="BM43" s="1556"/>
      <c r="BN43" s="1556"/>
      <c r="BO43" s="1556"/>
      <c r="BP43" s="1556"/>
      <c r="BQ43" s="1557"/>
      <c r="BR43" s="1555">
        <f>BD43</f>
        <v>-109461</v>
      </c>
      <c r="BS43" s="1556"/>
      <c r="BT43" s="1556"/>
      <c r="BU43" s="1556"/>
      <c r="BV43" s="1556"/>
      <c r="BW43" s="1556"/>
      <c r="BX43" s="1556"/>
      <c r="BY43" s="1556"/>
      <c r="BZ43" s="1556"/>
      <c r="CA43" s="1556"/>
      <c r="CB43" s="1556"/>
      <c r="CC43" s="1556"/>
      <c r="CD43" s="1556"/>
      <c r="CE43" s="1557"/>
      <c r="CF43" s="1555">
        <f>40591-147920</f>
        <v>-107329</v>
      </c>
      <c r="CG43" s="1556"/>
      <c r="CH43" s="1556"/>
      <c r="CI43" s="1556"/>
      <c r="CJ43" s="1556"/>
      <c r="CK43" s="1556"/>
      <c r="CL43" s="1556"/>
      <c r="CM43" s="1556"/>
      <c r="CN43" s="1556"/>
      <c r="CO43" s="1556"/>
      <c r="CP43" s="1556"/>
      <c r="CQ43" s="1556"/>
      <c r="CR43" s="1556"/>
      <c r="CS43" s="1556"/>
      <c r="CT43" s="1556"/>
      <c r="CU43" s="1557"/>
      <c r="CV43" s="1555">
        <f>28834-27509</f>
        <v>1325</v>
      </c>
      <c r="CW43" s="1556"/>
      <c r="CX43" s="1556"/>
      <c r="CY43" s="1556"/>
      <c r="CZ43" s="1556"/>
      <c r="DA43" s="1556"/>
      <c r="DB43" s="1556"/>
      <c r="DC43" s="1556"/>
      <c r="DD43" s="1556"/>
      <c r="DE43" s="1556"/>
      <c r="DF43" s="1556"/>
      <c r="DG43" s="1556"/>
      <c r="DH43" s="1556"/>
      <c r="DI43" s="1556"/>
      <c r="DJ43" s="1556"/>
      <c r="DK43" s="1557"/>
      <c r="DL43" s="1555">
        <f>36-3493</f>
        <v>-3457</v>
      </c>
      <c r="DM43" s="1556"/>
      <c r="DN43" s="1556"/>
      <c r="DO43" s="1556"/>
      <c r="DP43" s="1556"/>
      <c r="DQ43" s="1556"/>
      <c r="DR43" s="1556"/>
      <c r="DS43" s="1556"/>
      <c r="DT43" s="1556"/>
      <c r="DU43" s="1556"/>
      <c r="DV43" s="1556"/>
      <c r="DW43" s="1556"/>
      <c r="DX43" s="1556"/>
      <c r="DY43" s="1556"/>
      <c r="DZ43" s="1556"/>
      <c r="EA43" s="1557"/>
      <c r="EB43" s="1555">
        <v>406435</v>
      </c>
      <c r="EC43" s="1556"/>
      <c r="ED43" s="1556"/>
      <c r="EE43" s="1556"/>
      <c r="EF43" s="1556"/>
      <c r="EG43" s="1556"/>
      <c r="EH43" s="1556"/>
      <c r="EI43" s="1556"/>
      <c r="EJ43" s="1556"/>
      <c r="EK43" s="1556"/>
      <c r="EL43" s="1556"/>
      <c r="EM43" s="1556"/>
      <c r="EN43" s="1556"/>
      <c r="EO43" s="1557"/>
      <c r="EP43" s="1555">
        <v>406435</v>
      </c>
      <c r="EQ43" s="1556"/>
      <c r="ER43" s="1556"/>
      <c r="ES43" s="1556"/>
      <c r="ET43" s="1556"/>
      <c r="EU43" s="1556"/>
      <c r="EV43" s="1556"/>
      <c r="EW43" s="1556"/>
      <c r="EX43" s="1556"/>
      <c r="EY43" s="1556"/>
      <c r="EZ43" s="1556"/>
      <c r="FA43" s="1556"/>
      <c r="FB43" s="1556"/>
      <c r="FC43" s="1557"/>
      <c r="FD43" s="1546">
        <v>398659</v>
      </c>
      <c r="FE43" s="1547"/>
      <c r="FF43" s="1547"/>
      <c r="FG43" s="1547"/>
      <c r="FH43" s="1547"/>
      <c r="FI43" s="1547"/>
      <c r="FJ43" s="1547"/>
      <c r="FK43" s="1547"/>
      <c r="FL43" s="1547"/>
      <c r="FM43" s="1547"/>
      <c r="FN43" s="1547"/>
      <c r="FO43" s="1547"/>
      <c r="FP43" s="1547"/>
      <c r="FQ43" s="1547"/>
      <c r="FR43" s="1547"/>
      <c r="FS43" s="1548"/>
      <c r="FT43" s="1546">
        <v>-341</v>
      </c>
      <c r="FU43" s="1547"/>
      <c r="FV43" s="1547"/>
      <c r="FW43" s="1547"/>
      <c r="FX43" s="1547"/>
      <c r="FY43" s="1547"/>
      <c r="FZ43" s="1547"/>
      <c r="GA43" s="1547"/>
      <c r="GB43" s="1547"/>
      <c r="GC43" s="1547"/>
      <c r="GD43" s="1547"/>
      <c r="GE43" s="1547"/>
      <c r="GF43" s="1547"/>
      <c r="GG43" s="1547"/>
      <c r="GH43" s="1547"/>
      <c r="GI43" s="1548"/>
      <c r="GJ43" s="1546">
        <v>8117</v>
      </c>
      <c r="GK43" s="1547"/>
      <c r="GL43" s="1547"/>
      <c r="GM43" s="1547"/>
      <c r="GN43" s="1547"/>
      <c r="GO43" s="1547"/>
      <c r="GP43" s="1547"/>
      <c r="GQ43" s="1547"/>
      <c r="GR43" s="1547"/>
      <c r="GS43" s="1547"/>
      <c r="GT43" s="1547"/>
      <c r="GU43" s="1547"/>
      <c r="GV43" s="1547"/>
      <c r="GW43" s="1547"/>
      <c r="GX43" s="1547"/>
      <c r="GY43" s="1548"/>
      <c r="GZ43" s="1555"/>
      <c r="HA43" s="1556"/>
      <c r="HB43" s="1556"/>
      <c r="HC43" s="1556"/>
      <c r="HD43" s="1556"/>
      <c r="HE43" s="1556"/>
      <c r="HF43" s="1556"/>
      <c r="HG43" s="1556"/>
      <c r="HH43" s="1556"/>
      <c r="HI43" s="1556"/>
      <c r="HJ43" s="1556"/>
      <c r="HK43" s="1556"/>
      <c r="HL43" s="1556"/>
      <c r="HM43" s="1556"/>
      <c r="HN43" s="1556"/>
      <c r="HO43" s="1556"/>
      <c r="HP43" s="1557"/>
    </row>
    <row r="44" spans="1:231" s="445" customFormat="1" ht="10.35" customHeight="1">
      <c r="A44" s="447"/>
      <c r="B44" s="1589" t="s">
        <v>1690</v>
      </c>
      <c r="C44" s="1589"/>
      <c r="D44" s="1589"/>
      <c r="E44" s="1589"/>
      <c r="F44" s="1589"/>
      <c r="G44" s="1589"/>
      <c r="H44" s="1589"/>
      <c r="I44" s="1589"/>
      <c r="J44" s="1589"/>
      <c r="K44" s="1589"/>
      <c r="L44" s="1589"/>
      <c r="M44" s="1589"/>
      <c r="N44" s="1589"/>
      <c r="O44" s="1589"/>
      <c r="P44" s="1589"/>
      <c r="Q44" s="1589"/>
      <c r="R44" s="1589"/>
      <c r="S44" s="1589"/>
      <c r="T44" s="1589"/>
      <c r="U44" s="1589"/>
      <c r="V44" s="1589"/>
      <c r="W44" s="1589"/>
      <c r="X44" s="1589"/>
      <c r="Y44" s="1589"/>
      <c r="Z44" s="1589"/>
      <c r="AA44" s="1589"/>
      <c r="AB44" s="1589"/>
      <c r="AC44" s="1589"/>
      <c r="AD44" s="1589"/>
      <c r="AE44" s="1589"/>
      <c r="AF44" s="1589"/>
      <c r="AG44" s="1589"/>
      <c r="AH44" s="1589"/>
      <c r="AI44" s="1589"/>
      <c r="AJ44" s="1589"/>
      <c r="AK44" s="1590"/>
      <c r="AL44" s="1575"/>
      <c r="AM44" s="1576"/>
      <c r="AN44" s="1576"/>
      <c r="AO44" s="1576"/>
      <c r="AP44" s="1576"/>
      <c r="AQ44" s="1576"/>
      <c r="AR44" s="1576"/>
      <c r="AS44" s="1576"/>
      <c r="AT44" s="1576"/>
      <c r="AU44" s="1577"/>
      <c r="AV44" s="1584"/>
      <c r="AW44" s="1585"/>
      <c r="AX44" s="1585"/>
      <c r="AY44" s="1585"/>
      <c r="AZ44" s="1585"/>
      <c r="BA44" s="1585"/>
      <c r="BB44" s="1585"/>
      <c r="BC44" s="1586"/>
      <c r="BD44" s="1561"/>
      <c r="BE44" s="1562"/>
      <c r="BF44" s="1562"/>
      <c r="BG44" s="1562"/>
      <c r="BH44" s="1562"/>
      <c r="BI44" s="1562"/>
      <c r="BJ44" s="1562"/>
      <c r="BK44" s="1562"/>
      <c r="BL44" s="1562"/>
      <c r="BM44" s="1562"/>
      <c r="BN44" s="1562"/>
      <c r="BO44" s="1562"/>
      <c r="BP44" s="1562"/>
      <c r="BQ44" s="1563"/>
      <c r="BR44" s="1561"/>
      <c r="BS44" s="1562"/>
      <c r="BT44" s="1562"/>
      <c r="BU44" s="1562"/>
      <c r="BV44" s="1562"/>
      <c r="BW44" s="1562"/>
      <c r="BX44" s="1562"/>
      <c r="BY44" s="1562"/>
      <c r="BZ44" s="1562"/>
      <c r="CA44" s="1562"/>
      <c r="CB44" s="1562"/>
      <c r="CC44" s="1562"/>
      <c r="CD44" s="1562"/>
      <c r="CE44" s="1563"/>
      <c r="CF44" s="1561"/>
      <c r="CG44" s="1562"/>
      <c r="CH44" s="1562"/>
      <c r="CI44" s="1562"/>
      <c r="CJ44" s="1562"/>
      <c r="CK44" s="1562"/>
      <c r="CL44" s="1562"/>
      <c r="CM44" s="1562"/>
      <c r="CN44" s="1562"/>
      <c r="CO44" s="1562"/>
      <c r="CP44" s="1562"/>
      <c r="CQ44" s="1562"/>
      <c r="CR44" s="1562"/>
      <c r="CS44" s="1562"/>
      <c r="CT44" s="1562"/>
      <c r="CU44" s="1563"/>
      <c r="CV44" s="1561"/>
      <c r="CW44" s="1562"/>
      <c r="CX44" s="1562"/>
      <c r="CY44" s="1562"/>
      <c r="CZ44" s="1562"/>
      <c r="DA44" s="1562"/>
      <c r="DB44" s="1562"/>
      <c r="DC44" s="1562"/>
      <c r="DD44" s="1562"/>
      <c r="DE44" s="1562"/>
      <c r="DF44" s="1562"/>
      <c r="DG44" s="1562"/>
      <c r="DH44" s="1562"/>
      <c r="DI44" s="1562"/>
      <c r="DJ44" s="1562"/>
      <c r="DK44" s="1563"/>
      <c r="DL44" s="1561"/>
      <c r="DM44" s="1562"/>
      <c r="DN44" s="1562"/>
      <c r="DO44" s="1562"/>
      <c r="DP44" s="1562"/>
      <c r="DQ44" s="1562"/>
      <c r="DR44" s="1562"/>
      <c r="DS44" s="1562"/>
      <c r="DT44" s="1562"/>
      <c r="DU44" s="1562"/>
      <c r="DV44" s="1562"/>
      <c r="DW44" s="1562"/>
      <c r="DX44" s="1562"/>
      <c r="DY44" s="1562"/>
      <c r="DZ44" s="1562"/>
      <c r="EA44" s="1563"/>
      <c r="EB44" s="1561"/>
      <c r="EC44" s="1562"/>
      <c r="ED44" s="1562"/>
      <c r="EE44" s="1562"/>
      <c r="EF44" s="1562"/>
      <c r="EG44" s="1562"/>
      <c r="EH44" s="1562"/>
      <c r="EI44" s="1562"/>
      <c r="EJ44" s="1562"/>
      <c r="EK44" s="1562"/>
      <c r="EL44" s="1562"/>
      <c r="EM44" s="1562"/>
      <c r="EN44" s="1562"/>
      <c r="EO44" s="1563"/>
      <c r="EP44" s="1561"/>
      <c r="EQ44" s="1562"/>
      <c r="ER44" s="1562"/>
      <c r="ES44" s="1562"/>
      <c r="ET44" s="1562"/>
      <c r="EU44" s="1562"/>
      <c r="EV44" s="1562"/>
      <c r="EW44" s="1562"/>
      <c r="EX44" s="1562"/>
      <c r="EY44" s="1562"/>
      <c r="EZ44" s="1562"/>
      <c r="FA44" s="1562"/>
      <c r="FB44" s="1562"/>
      <c r="FC44" s="1563"/>
      <c r="FD44" s="1552"/>
      <c r="FE44" s="1553"/>
      <c r="FF44" s="1553"/>
      <c r="FG44" s="1553"/>
      <c r="FH44" s="1553"/>
      <c r="FI44" s="1553"/>
      <c r="FJ44" s="1553"/>
      <c r="FK44" s="1553"/>
      <c r="FL44" s="1553"/>
      <c r="FM44" s="1553"/>
      <c r="FN44" s="1553"/>
      <c r="FO44" s="1553"/>
      <c r="FP44" s="1553"/>
      <c r="FQ44" s="1553"/>
      <c r="FR44" s="1553"/>
      <c r="FS44" s="1554"/>
      <c r="FT44" s="1552"/>
      <c r="FU44" s="1553"/>
      <c r="FV44" s="1553"/>
      <c r="FW44" s="1553"/>
      <c r="FX44" s="1553"/>
      <c r="FY44" s="1553"/>
      <c r="FZ44" s="1553"/>
      <c r="GA44" s="1553"/>
      <c r="GB44" s="1553"/>
      <c r="GC44" s="1553"/>
      <c r="GD44" s="1553"/>
      <c r="GE44" s="1553"/>
      <c r="GF44" s="1553"/>
      <c r="GG44" s="1553"/>
      <c r="GH44" s="1553"/>
      <c r="GI44" s="1554"/>
      <c r="GJ44" s="1552"/>
      <c r="GK44" s="1553"/>
      <c r="GL44" s="1553"/>
      <c r="GM44" s="1553"/>
      <c r="GN44" s="1553"/>
      <c r="GO44" s="1553"/>
      <c r="GP44" s="1553"/>
      <c r="GQ44" s="1553"/>
      <c r="GR44" s="1553"/>
      <c r="GS44" s="1553"/>
      <c r="GT44" s="1553"/>
      <c r="GU44" s="1553"/>
      <c r="GV44" s="1553"/>
      <c r="GW44" s="1553"/>
      <c r="GX44" s="1553"/>
      <c r="GY44" s="1554"/>
      <c r="GZ44" s="1561"/>
      <c r="HA44" s="1562"/>
      <c r="HB44" s="1562"/>
      <c r="HC44" s="1562"/>
      <c r="HD44" s="1562"/>
      <c r="HE44" s="1562"/>
      <c r="HF44" s="1562"/>
      <c r="HG44" s="1562"/>
      <c r="HH44" s="1562"/>
      <c r="HI44" s="1562"/>
      <c r="HJ44" s="1562"/>
      <c r="HK44" s="1562"/>
      <c r="HL44" s="1562"/>
      <c r="HM44" s="1562"/>
      <c r="HN44" s="1562"/>
      <c r="HO44" s="1562"/>
      <c r="HP44" s="1563"/>
    </row>
    <row r="45" spans="1:231" s="454" customFormat="1" ht="6" customHeight="1"/>
    <row r="46" spans="1:231" s="456" customFormat="1" ht="10.199999999999999">
      <c r="A46" s="455" t="s">
        <v>1691</v>
      </c>
    </row>
    <row r="47" spans="1:231" s="454" customFormat="1" ht="11.25" customHeight="1">
      <c r="A47" s="457" t="s">
        <v>1692</v>
      </c>
      <c r="B47" s="457"/>
      <c r="C47" s="457"/>
      <c r="D47" s="457"/>
      <c r="E47" s="457"/>
      <c r="F47" s="457"/>
      <c r="G47" s="457"/>
      <c r="H47" s="457"/>
      <c r="I47" s="457"/>
      <c r="J47" s="457"/>
      <c r="K47" s="457"/>
      <c r="L47" s="457"/>
      <c r="M47" s="457"/>
      <c r="N47" s="457"/>
      <c r="O47" s="457"/>
      <c r="P47" s="457"/>
      <c r="Q47" s="457"/>
      <c r="R47" s="457"/>
      <c r="S47" s="457"/>
      <c r="T47" s="457"/>
      <c r="U47" s="457"/>
      <c r="V47" s="457"/>
      <c r="W47" s="457"/>
      <c r="X47" s="457"/>
      <c r="Y47" s="457"/>
      <c r="Z47" s="457"/>
      <c r="AA47" s="457"/>
      <c r="AB47" s="457"/>
      <c r="AC47" s="457"/>
      <c r="AD47" s="457"/>
      <c r="AE47" s="457"/>
      <c r="AF47" s="457"/>
      <c r="AG47" s="457"/>
      <c r="AH47" s="457"/>
      <c r="AI47" s="457"/>
      <c r="AJ47" s="457"/>
      <c r="AK47" s="457"/>
      <c r="AL47" s="457"/>
      <c r="AM47" s="457"/>
      <c r="AN47" s="457"/>
      <c r="AO47" s="457"/>
      <c r="AP47" s="457"/>
      <c r="AQ47" s="457"/>
      <c r="AR47" s="457"/>
      <c r="AS47" s="457"/>
      <c r="AT47" s="457"/>
      <c r="AU47" s="457"/>
      <c r="AV47" s="457"/>
      <c r="AW47" s="457"/>
      <c r="AX47" s="457"/>
      <c r="AY47" s="457"/>
      <c r="AZ47" s="457"/>
      <c r="BA47" s="457"/>
      <c r="BB47" s="457"/>
      <c r="BC47" s="457"/>
      <c r="BD47" s="457"/>
      <c r="BE47" s="457"/>
      <c r="BF47" s="457"/>
      <c r="BG47" s="457"/>
      <c r="BH47" s="457"/>
      <c r="BI47" s="457"/>
      <c r="BJ47" s="457"/>
      <c r="BK47" s="457"/>
      <c r="BL47" s="457"/>
      <c r="BM47" s="457"/>
      <c r="BN47" s="457"/>
      <c r="BO47" s="457"/>
      <c r="BP47" s="457"/>
      <c r="BQ47" s="457"/>
      <c r="BR47" s="457"/>
      <c r="BS47" s="457"/>
      <c r="BT47" s="457"/>
      <c r="BU47" s="457"/>
      <c r="BV47" s="457"/>
      <c r="BW47" s="457"/>
      <c r="BX47" s="457"/>
      <c r="BY47" s="457"/>
      <c r="BZ47" s="457"/>
      <c r="CA47" s="457"/>
      <c r="CB47" s="457"/>
      <c r="CC47" s="457"/>
      <c r="CD47" s="457"/>
      <c r="CE47" s="457"/>
      <c r="CF47" s="457"/>
      <c r="CG47" s="457"/>
      <c r="CH47" s="457"/>
      <c r="CI47" s="457"/>
      <c r="CJ47" s="457"/>
      <c r="CK47" s="457"/>
      <c r="CL47" s="457"/>
      <c r="CM47" s="457"/>
      <c r="CN47" s="457"/>
      <c r="CO47" s="457"/>
      <c r="CP47" s="457"/>
      <c r="CQ47" s="457"/>
      <c r="CR47" s="457"/>
      <c r="CS47" s="457"/>
      <c r="CT47" s="457"/>
      <c r="CU47" s="457"/>
      <c r="CV47" s="457"/>
      <c r="CW47" s="457"/>
      <c r="CX47" s="457"/>
      <c r="CY47" s="457"/>
      <c r="CZ47" s="457"/>
      <c r="DA47" s="457"/>
      <c r="DB47" s="457"/>
      <c r="DC47" s="457"/>
      <c r="DD47" s="457"/>
      <c r="DE47" s="457"/>
      <c r="DF47" s="457"/>
      <c r="DG47" s="457"/>
      <c r="DH47" s="457"/>
      <c r="DI47" s="457"/>
      <c r="DJ47" s="457"/>
      <c r="DK47" s="457"/>
      <c r="DL47" s="457"/>
      <c r="DM47" s="457"/>
      <c r="DN47" s="457"/>
      <c r="DO47" s="457"/>
      <c r="DP47" s="457"/>
      <c r="DQ47" s="457"/>
      <c r="DR47" s="457"/>
      <c r="DS47" s="457"/>
      <c r="DT47" s="457"/>
      <c r="DU47" s="457"/>
      <c r="DV47" s="457"/>
      <c r="DW47" s="457"/>
      <c r="DX47" s="457"/>
      <c r="DY47" s="457"/>
      <c r="DZ47" s="457"/>
      <c r="EA47" s="457"/>
      <c r="EB47" s="457"/>
      <c r="EC47" s="457"/>
      <c r="ED47" s="457"/>
      <c r="EE47" s="457"/>
      <c r="EF47" s="457"/>
      <c r="EG47" s="457"/>
      <c r="EH47" s="457"/>
      <c r="EI47" s="457"/>
      <c r="EJ47" s="457"/>
      <c r="EK47" s="457"/>
      <c r="EL47" s="457"/>
      <c r="EM47" s="457"/>
      <c r="EN47" s="457"/>
      <c r="EO47" s="457"/>
      <c r="EP47" s="457"/>
      <c r="EQ47" s="457"/>
      <c r="ER47" s="457"/>
      <c r="ES47" s="457"/>
      <c r="ET47" s="457"/>
      <c r="EU47" s="457"/>
      <c r="EV47" s="457"/>
      <c r="EW47" s="457"/>
      <c r="EX47" s="457"/>
      <c r="EY47" s="457"/>
      <c r="EZ47" s="457"/>
      <c r="FA47" s="457"/>
      <c r="FB47" s="457"/>
      <c r="FC47" s="457"/>
      <c r="FD47" s="457"/>
      <c r="FE47" s="457"/>
      <c r="FF47" s="457"/>
      <c r="FG47" s="457"/>
      <c r="FH47" s="457"/>
      <c r="FI47" s="457"/>
      <c r="FJ47" s="457"/>
      <c r="FK47" s="457"/>
      <c r="FL47" s="457"/>
      <c r="FM47" s="457"/>
      <c r="FN47" s="457"/>
      <c r="FO47" s="457"/>
      <c r="FP47" s="457"/>
      <c r="FQ47" s="457"/>
      <c r="FR47" s="457"/>
      <c r="FS47" s="457"/>
      <c r="FT47" s="457"/>
      <c r="FU47" s="457"/>
      <c r="FV47" s="457"/>
      <c r="FW47" s="457"/>
      <c r="FX47" s="457"/>
      <c r="FY47" s="457"/>
      <c r="FZ47" s="457"/>
      <c r="GA47" s="457"/>
      <c r="GB47" s="457"/>
      <c r="GC47" s="457"/>
      <c r="GD47" s="457"/>
      <c r="GE47" s="457"/>
      <c r="GF47" s="457"/>
      <c r="GG47" s="457"/>
      <c r="GH47" s="457"/>
      <c r="GI47" s="457"/>
      <c r="GJ47" s="457"/>
      <c r="GK47" s="457"/>
      <c r="GL47" s="457"/>
      <c r="GM47" s="457"/>
      <c r="GN47" s="457"/>
      <c r="GO47" s="457"/>
      <c r="GP47" s="457"/>
      <c r="GQ47" s="457"/>
      <c r="GR47" s="457"/>
      <c r="GS47" s="457"/>
      <c r="GT47" s="457"/>
      <c r="GU47" s="457"/>
      <c r="GV47" s="457"/>
      <c r="GW47" s="457"/>
      <c r="GX47" s="457"/>
      <c r="GY47" s="457"/>
      <c r="GZ47" s="457"/>
      <c r="HA47" s="457"/>
      <c r="HB47" s="457"/>
      <c r="HC47" s="457"/>
      <c r="HD47" s="457"/>
      <c r="HE47" s="457"/>
      <c r="HF47" s="457"/>
      <c r="HG47" s="457"/>
      <c r="HH47" s="457"/>
      <c r="HI47" s="457"/>
      <c r="HJ47" s="457"/>
      <c r="HK47" s="457"/>
      <c r="HL47" s="457"/>
      <c r="HM47" s="457"/>
      <c r="HN47" s="457"/>
      <c r="HO47" s="457"/>
      <c r="HP47" s="457"/>
    </row>
    <row r="48" spans="1:231" s="454" customFormat="1" ht="10.199999999999999">
      <c r="A48" s="457" t="s">
        <v>1693</v>
      </c>
      <c r="B48" s="457"/>
      <c r="C48" s="457"/>
      <c r="D48" s="457"/>
      <c r="E48" s="457"/>
      <c r="F48" s="457"/>
      <c r="G48" s="457"/>
      <c r="H48" s="457"/>
      <c r="I48" s="457"/>
      <c r="J48" s="457"/>
      <c r="K48" s="457"/>
      <c r="L48" s="457"/>
      <c r="M48" s="457"/>
      <c r="N48" s="457"/>
      <c r="O48" s="457"/>
      <c r="P48" s="457"/>
      <c r="Q48" s="457"/>
      <c r="R48" s="457"/>
      <c r="S48" s="457"/>
      <c r="T48" s="457"/>
      <c r="U48" s="457"/>
      <c r="V48" s="457"/>
      <c r="W48" s="457"/>
      <c r="X48" s="457"/>
      <c r="Y48" s="457"/>
      <c r="Z48" s="457"/>
      <c r="AA48" s="457"/>
      <c r="AB48" s="457"/>
      <c r="AC48" s="457"/>
      <c r="AD48" s="457"/>
      <c r="AE48" s="457"/>
      <c r="AF48" s="457"/>
      <c r="AG48" s="457"/>
      <c r="AH48" s="457"/>
      <c r="AI48" s="457"/>
      <c r="AJ48" s="457"/>
      <c r="AK48" s="457"/>
      <c r="AL48" s="457"/>
      <c r="AM48" s="457"/>
      <c r="AN48" s="457"/>
      <c r="AO48" s="457"/>
      <c r="AP48" s="457"/>
      <c r="AQ48" s="457"/>
      <c r="AR48" s="457"/>
      <c r="AS48" s="457"/>
      <c r="AT48" s="457"/>
      <c r="AU48" s="457"/>
      <c r="AV48" s="457"/>
      <c r="AW48" s="457"/>
      <c r="AX48" s="457"/>
      <c r="AY48" s="457"/>
      <c r="AZ48" s="457"/>
      <c r="BA48" s="457"/>
      <c r="BB48" s="457"/>
      <c r="BC48" s="457"/>
      <c r="BD48" s="457"/>
      <c r="BE48" s="457"/>
      <c r="BF48" s="457"/>
      <c r="BG48" s="457"/>
      <c r="BH48" s="457"/>
      <c r="BI48" s="457"/>
      <c r="BJ48" s="457"/>
      <c r="BK48" s="457"/>
      <c r="BL48" s="457"/>
      <c r="BM48" s="457"/>
      <c r="BN48" s="457"/>
      <c r="BO48" s="457"/>
      <c r="BP48" s="457"/>
      <c r="BQ48" s="457"/>
      <c r="BR48" s="457"/>
      <c r="BS48" s="457"/>
      <c r="BT48" s="457"/>
      <c r="BU48" s="457"/>
      <c r="BV48" s="457"/>
      <c r="BW48" s="457"/>
      <c r="BX48" s="457"/>
      <c r="BY48" s="457"/>
      <c r="BZ48" s="457"/>
      <c r="CA48" s="457"/>
      <c r="CB48" s="457"/>
      <c r="CC48" s="457"/>
      <c r="CD48" s="457"/>
      <c r="CE48" s="457"/>
      <c r="CF48" s="457"/>
      <c r="CG48" s="457"/>
      <c r="CH48" s="457"/>
      <c r="CI48" s="457"/>
      <c r="CJ48" s="457"/>
      <c r="CK48" s="457"/>
      <c r="CL48" s="457"/>
      <c r="CM48" s="457"/>
      <c r="CN48" s="457"/>
      <c r="CO48" s="457"/>
      <c r="CP48" s="457"/>
      <c r="CQ48" s="457"/>
      <c r="CR48" s="457"/>
      <c r="CS48" s="457"/>
      <c r="CT48" s="457"/>
      <c r="CU48" s="457"/>
      <c r="CV48" s="457"/>
      <c r="CW48" s="457"/>
      <c r="CX48" s="457"/>
      <c r="CY48" s="457"/>
      <c r="CZ48" s="457"/>
      <c r="DA48" s="457"/>
      <c r="DB48" s="457"/>
      <c r="DC48" s="457"/>
      <c r="DD48" s="457"/>
      <c r="DE48" s="457"/>
      <c r="DF48" s="457"/>
      <c r="DG48" s="457"/>
      <c r="DH48" s="457"/>
      <c r="DI48" s="457"/>
      <c r="DJ48" s="457"/>
      <c r="DK48" s="457"/>
      <c r="DL48" s="457"/>
      <c r="DM48" s="457"/>
      <c r="DN48" s="457"/>
      <c r="DO48" s="457"/>
      <c r="DP48" s="457"/>
      <c r="DQ48" s="457"/>
      <c r="DR48" s="457"/>
      <c r="DS48" s="457"/>
      <c r="DT48" s="457"/>
      <c r="DU48" s="457"/>
      <c r="DV48" s="457"/>
      <c r="DW48" s="457"/>
      <c r="DX48" s="457"/>
      <c r="DY48" s="457"/>
      <c r="DZ48" s="457"/>
      <c r="EA48" s="457"/>
      <c r="EB48" s="457"/>
      <c r="EC48" s="457"/>
      <c r="ED48" s="457"/>
      <c r="EE48" s="457"/>
      <c r="EF48" s="457"/>
      <c r="EG48" s="457"/>
      <c r="EH48" s="457"/>
      <c r="EI48" s="457"/>
      <c r="EJ48" s="457"/>
      <c r="EK48" s="457"/>
      <c r="EL48" s="457"/>
      <c r="EM48" s="457"/>
      <c r="EN48" s="457"/>
      <c r="EO48" s="457"/>
      <c r="EP48" s="457"/>
      <c r="EQ48" s="457"/>
      <c r="ER48" s="457"/>
      <c r="ES48" s="457"/>
      <c r="ET48" s="457"/>
      <c r="EU48" s="457"/>
      <c r="EV48" s="457"/>
      <c r="EW48" s="457"/>
      <c r="EX48" s="457"/>
      <c r="EY48" s="457"/>
      <c r="EZ48" s="457"/>
      <c r="FA48" s="457"/>
      <c r="FB48" s="457"/>
      <c r="FC48" s="457"/>
      <c r="FD48" s="457"/>
      <c r="FE48" s="457"/>
      <c r="FF48" s="457"/>
      <c r="FG48" s="457"/>
      <c r="FH48" s="457"/>
      <c r="FI48" s="457"/>
      <c r="FJ48" s="457"/>
      <c r="FK48" s="457"/>
      <c r="FL48" s="457"/>
      <c r="FM48" s="457"/>
      <c r="FN48" s="457"/>
      <c r="FO48" s="457"/>
      <c r="FP48" s="457"/>
      <c r="FQ48" s="457"/>
      <c r="FR48" s="457"/>
      <c r="FS48" s="457"/>
      <c r="FT48" s="457"/>
      <c r="FU48" s="457"/>
      <c r="FV48" s="457"/>
      <c r="FW48" s="457"/>
      <c r="FX48" s="457"/>
      <c r="FY48" s="457"/>
      <c r="FZ48" s="457"/>
      <c r="GA48" s="457"/>
      <c r="GB48" s="457"/>
      <c r="GC48" s="457"/>
      <c r="GD48" s="457"/>
      <c r="GE48" s="457"/>
      <c r="GF48" s="457"/>
      <c r="GG48" s="457"/>
      <c r="GH48" s="457"/>
      <c r="GI48" s="457"/>
      <c r="GJ48" s="457"/>
      <c r="GK48" s="457"/>
      <c r="GL48" s="457"/>
      <c r="GM48" s="457"/>
      <c r="GN48" s="457"/>
      <c r="GO48" s="457"/>
      <c r="GP48" s="457"/>
      <c r="GQ48" s="457"/>
      <c r="GR48" s="457"/>
      <c r="GS48" s="457"/>
      <c r="GT48" s="457"/>
      <c r="GU48" s="457"/>
      <c r="GV48" s="457"/>
      <c r="GW48" s="457"/>
      <c r="GX48" s="457"/>
      <c r="GY48" s="457"/>
      <c r="GZ48" s="457"/>
      <c r="HA48" s="457"/>
      <c r="HB48" s="457"/>
      <c r="HC48" s="457"/>
      <c r="HD48" s="457"/>
      <c r="HE48" s="457"/>
      <c r="HF48" s="457"/>
      <c r="HG48" s="457"/>
      <c r="HH48" s="457"/>
      <c r="HI48" s="457"/>
      <c r="HJ48" s="457"/>
      <c r="HK48" s="457"/>
      <c r="HL48" s="457"/>
      <c r="HM48" s="457"/>
      <c r="HN48" s="457"/>
      <c r="HO48" s="457"/>
      <c r="HP48" s="457"/>
    </row>
    <row r="49" spans="1:224" s="456" customFormat="1" ht="21" customHeight="1">
      <c r="A49" s="1623" t="s">
        <v>1694</v>
      </c>
      <c r="B49" s="1623"/>
      <c r="C49" s="1623"/>
      <c r="D49" s="1623"/>
      <c r="E49" s="1623"/>
      <c r="F49" s="1623"/>
      <c r="G49" s="1623"/>
      <c r="H49" s="1623"/>
      <c r="I49" s="1623"/>
      <c r="J49" s="1623"/>
      <c r="K49" s="1623"/>
      <c r="L49" s="1623"/>
      <c r="M49" s="1623"/>
      <c r="N49" s="1623"/>
      <c r="O49" s="1623"/>
      <c r="P49" s="1623"/>
      <c r="Q49" s="1623"/>
      <c r="R49" s="1623"/>
      <c r="S49" s="1623"/>
      <c r="T49" s="1623"/>
      <c r="U49" s="1623"/>
      <c r="V49" s="1623"/>
      <c r="W49" s="1623"/>
      <c r="X49" s="1623"/>
      <c r="Y49" s="1623"/>
      <c r="Z49" s="1623"/>
      <c r="AA49" s="1623"/>
      <c r="AB49" s="1623"/>
      <c r="AC49" s="1623"/>
      <c r="AD49" s="1623"/>
      <c r="AE49" s="1623"/>
      <c r="AF49" s="1623"/>
      <c r="AG49" s="1623"/>
      <c r="AH49" s="1623"/>
      <c r="AI49" s="1623"/>
      <c r="AJ49" s="1623"/>
      <c r="AK49" s="1623"/>
      <c r="AL49" s="1623"/>
      <c r="AM49" s="1623"/>
      <c r="AN49" s="1623"/>
      <c r="AO49" s="1623"/>
      <c r="AP49" s="1623"/>
      <c r="AQ49" s="1623"/>
      <c r="AR49" s="1623"/>
      <c r="AS49" s="1623"/>
      <c r="AT49" s="1623"/>
      <c r="AU49" s="1623"/>
      <c r="AV49" s="1623"/>
      <c r="AW49" s="1623"/>
      <c r="AX49" s="1623"/>
      <c r="AY49" s="1623"/>
      <c r="AZ49" s="1623"/>
      <c r="BA49" s="1623"/>
      <c r="BB49" s="1623"/>
      <c r="BC49" s="1623"/>
      <c r="BD49" s="1623"/>
      <c r="BE49" s="1623"/>
      <c r="BF49" s="1623"/>
      <c r="BG49" s="1623"/>
      <c r="BH49" s="1623"/>
      <c r="BI49" s="1623"/>
      <c r="BJ49" s="1623"/>
      <c r="BK49" s="1623"/>
      <c r="BL49" s="1623"/>
      <c r="BM49" s="1623"/>
      <c r="BN49" s="1623"/>
      <c r="BO49" s="1623"/>
      <c r="BP49" s="1623"/>
      <c r="BQ49" s="1623"/>
      <c r="BR49" s="1623"/>
      <c r="BS49" s="1623"/>
      <c r="BT49" s="1623"/>
      <c r="BU49" s="1623"/>
      <c r="BV49" s="1623"/>
      <c r="BW49" s="1623"/>
      <c r="BX49" s="1623"/>
      <c r="BY49" s="1623"/>
      <c r="BZ49" s="1623"/>
      <c r="CA49" s="1623"/>
      <c r="CB49" s="1623"/>
      <c r="CC49" s="1623"/>
      <c r="CD49" s="1623"/>
      <c r="CE49" s="1623"/>
      <c r="CF49" s="1623"/>
      <c r="CG49" s="1623"/>
      <c r="CH49" s="1623"/>
      <c r="CI49" s="1623"/>
      <c r="CJ49" s="1623"/>
      <c r="CK49" s="1623"/>
      <c r="CL49" s="1623"/>
      <c r="CM49" s="1623"/>
      <c r="CN49" s="1623"/>
      <c r="CO49" s="1623"/>
      <c r="CP49" s="1623"/>
      <c r="CQ49" s="1623"/>
      <c r="CR49" s="1623"/>
      <c r="CS49" s="1623"/>
      <c r="CT49" s="1623"/>
      <c r="CU49" s="1623"/>
      <c r="CV49" s="1623"/>
      <c r="CW49" s="1623"/>
      <c r="CX49" s="1623"/>
      <c r="CY49" s="1623"/>
      <c r="CZ49" s="1623"/>
      <c r="DA49" s="1623"/>
      <c r="DB49" s="1623"/>
      <c r="DC49" s="1623"/>
      <c r="DD49" s="1623"/>
      <c r="DE49" s="1623"/>
      <c r="DF49" s="1623"/>
      <c r="DG49" s="1623"/>
      <c r="DH49" s="1623"/>
      <c r="DI49" s="1623"/>
      <c r="DJ49" s="1623"/>
      <c r="DK49" s="1623"/>
      <c r="DL49" s="1623"/>
      <c r="DM49" s="1623"/>
      <c r="DN49" s="1623"/>
      <c r="DO49" s="1623"/>
      <c r="DP49" s="1623"/>
      <c r="DQ49" s="1623"/>
      <c r="DR49" s="1623"/>
      <c r="DS49" s="1623"/>
      <c r="DT49" s="1623"/>
      <c r="DU49" s="1623"/>
      <c r="DV49" s="1623"/>
      <c r="DW49" s="1623"/>
      <c r="DX49" s="1623"/>
      <c r="DY49" s="1623"/>
      <c r="DZ49" s="1623"/>
      <c r="EA49" s="1623"/>
      <c r="EB49" s="1623"/>
      <c r="EC49" s="1623"/>
      <c r="ED49" s="1623"/>
      <c r="EE49" s="1623"/>
      <c r="EF49" s="1623"/>
      <c r="EG49" s="1623"/>
      <c r="EH49" s="1623"/>
      <c r="EI49" s="1623"/>
      <c r="EJ49" s="1623"/>
      <c r="EK49" s="1623"/>
      <c r="EL49" s="1623"/>
      <c r="EM49" s="1623"/>
      <c r="EN49" s="1623"/>
      <c r="EO49" s="1623"/>
      <c r="EP49" s="1623"/>
      <c r="EQ49" s="1623"/>
      <c r="ER49" s="1623"/>
      <c r="ES49" s="1623"/>
      <c r="ET49" s="1623"/>
      <c r="EU49" s="1623"/>
      <c r="EV49" s="1623"/>
      <c r="EW49" s="1623"/>
      <c r="EX49" s="1623"/>
      <c r="EY49" s="1623"/>
      <c r="EZ49" s="1623"/>
      <c r="FA49" s="1623"/>
      <c r="FB49" s="1623"/>
      <c r="FC49" s="1623"/>
      <c r="FD49" s="1623"/>
      <c r="FE49" s="1623"/>
      <c r="FF49" s="1623"/>
      <c r="FG49" s="1623"/>
      <c r="FH49" s="1623"/>
      <c r="FI49" s="1623"/>
      <c r="FJ49" s="1623"/>
      <c r="FK49" s="1623"/>
      <c r="FL49" s="1623"/>
      <c r="FM49" s="1623"/>
      <c r="FN49" s="1623"/>
      <c r="FO49" s="1623"/>
      <c r="FP49" s="1623"/>
      <c r="FQ49" s="1623"/>
      <c r="FR49" s="1623"/>
      <c r="FS49" s="1623"/>
      <c r="FT49" s="1623"/>
      <c r="FU49" s="1623"/>
      <c r="FV49" s="1623"/>
      <c r="FW49" s="1623"/>
      <c r="FX49" s="1623"/>
      <c r="FY49" s="1623"/>
      <c r="FZ49" s="1623"/>
      <c r="GA49" s="1623"/>
      <c r="GB49" s="1623"/>
      <c r="GC49" s="1623"/>
      <c r="GD49" s="1623"/>
      <c r="GE49" s="1623"/>
      <c r="GF49" s="1623"/>
      <c r="GG49" s="1623"/>
      <c r="GH49" s="1623"/>
      <c r="GI49" s="1623"/>
      <c r="GJ49" s="1623"/>
      <c r="GK49" s="1623"/>
      <c r="GL49" s="1623"/>
      <c r="GM49" s="1623"/>
      <c r="GN49" s="1623"/>
      <c r="GO49" s="1623"/>
      <c r="GP49" s="1623"/>
      <c r="GQ49" s="1623"/>
      <c r="GR49" s="1623"/>
      <c r="GS49" s="1623"/>
      <c r="GT49" s="1623"/>
      <c r="GU49" s="1623"/>
      <c r="GV49" s="1623"/>
      <c r="GW49" s="1623"/>
      <c r="GX49" s="1623"/>
      <c r="GY49" s="1623"/>
      <c r="GZ49" s="1623"/>
      <c r="HA49" s="1623"/>
      <c r="HB49" s="1623"/>
      <c r="HC49" s="1623"/>
      <c r="HD49" s="1623"/>
      <c r="HE49" s="1623"/>
      <c r="HF49" s="1623"/>
      <c r="HG49" s="1623"/>
      <c r="HH49" s="1623"/>
      <c r="HI49" s="1623"/>
      <c r="HJ49" s="1623"/>
      <c r="HK49" s="1623"/>
      <c r="HL49" s="1623"/>
      <c r="HM49" s="1623"/>
      <c r="HN49" s="1623"/>
      <c r="HO49" s="1623"/>
      <c r="HP49" s="1623"/>
    </row>
    <row r="50" spans="1:224" s="458" customFormat="1" ht="10.199999999999999">
      <c r="A50" s="455" t="s">
        <v>1695</v>
      </c>
      <c r="B50" s="456"/>
      <c r="C50" s="456"/>
      <c r="D50" s="456"/>
      <c r="E50" s="456"/>
      <c r="F50" s="456"/>
      <c r="G50" s="456"/>
      <c r="H50" s="456"/>
      <c r="J50" s="456"/>
      <c r="K50" s="456"/>
      <c r="L50" s="456"/>
      <c r="M50" s="456"/>
      <c r="N50" s="456"/>
      <c r="O50" s="456"/>
      <c r="P50" s="456"/>
      <c r="Q50" s="456"/>
      <c r="R50" s="456"/>
      <c r="S50" s="456"/>
      <c r="T50" s="456"/>
      <c r="U50" s="456"/>
      <c r="V50" s="456"/>
      <c r="W50" s="456"/>
      <c r="X50" s="456"/>
      <c r="Y50" s="456"/>
      <c r="Z50" s="456"/>
      <c r="AA50" s="456"/>
      <c r="AB50" s="456"/>
      <c r="AC50" s="456"/>
      <c r="AD50" s="456"/>
      <c r="AE50" s="456"/>
      <c r="AF50" s="456"/>
      <c r="AG50" s="456"/>
      <c r="AH50" s="456"/>
      <c r="AI50" s="456"/>
      <c r="AJ50" s="456"/>
      <c r="AK50" s="456"/>
      <c r="AL50" s="459"/>
      <c r="AM50" s="459"/>
      <c r="AN50" s="459"/>
      <c r="AO50" s="459"/>
      <c r="AP50" s="459"/>
      <c r="AQ50" s="459"/>
      <c r="AR50" s="459"/>
      <c r="AS50" s="459"/>
      <c r="AT50" s="459"/>
      <c r="AU50" s="459"/>
      <c r="AV50" s="460"/>
      <c r="AW50" s="460"/>
      <c r="AX50" s="460"/>
      <c r="AY50" s="460"/>
      <c r="AZ50" s="460"/>
      <c r="BA50" s="460"/>
      <c r="BB50" s="460"/>
      <c r="BC50" s="460"/>
      <c r="BD50" s="460"/>
      <c r="BE50" s="460"/>
      <c r="BF50" s="460"/>
      <c r="BG50" s="460"/>
      <c r="BH50" s="460"/>
      <c r="BI50" s="460"/>
      <c r="BJ50" s="460"/>
      <c r="BK50" s="460"/>
      <c r="BL50" s="460"/>
      <c r="BM50" s="460"/>
      <c r="BN50" s="460"/>
      <c r="BO50" s="460"/>
      <c r="BP50" s="460"/>
      <c r="BQ50" s="460"/>
      <c r="BR50" s="459"/>
      <c r="BS50" s="459"/>
      <c r="BT50" s="459"/>
      <c r="BU50" s="459"/>
      <c r="BV50" s="459"/>
      <c r="BW50" s="459"/>
      <c r="BX50" s="459"/>
      <c r="BY50" s="459"/>
      <c r="BZ50" s="459"/>
      <c r="CA50" s="459"/>
      <c r="CB50" s="459"/>
      <c r="CC50" s="459"/>
      <c r="CD50" s="459"/>
      <c r="CE50" s="459"/>
      <c r="CF50" s="459"/>
      <c r="CG50" s="459"/>
      <c r="CH50" s="459"/>
      <c r="CI50" s="459"/>
      <c r="CJ50" s="459"/>
      <c r="CK50" s="459"/>
      <c r="CL50" s="459"/>
      <c r="CM50" s="459"/>
      <c r="CN50" s="459"/>
      <c r="CO50" s="459"/>
      <c r="CP50" s="459"/>
      <c r="CQ50" s="459"/>
      <c r="CR50" s="459"/>
      <c r="CS50" s="459"/>
      <c r="CT50" s="459"/>
      <c r="CU50" s="459"/>
      <c r="CV50" s="459"/>
      <c r="CW50" s="459"/>
      <c r="CX50" s="459"/>
      <c r="CY50" s="459"/>
      <c r="CZ50" s="459"/>
      <c r="DA50" s="459"/>
      <c r="DB50" s="459"/>
      <c r="DC50" s="459"/>
      <c r="DD50" s="459"/>
      <c r="DE50" s="459"/>
      <c r="DF50" s="459"/>
      <c r="DG50" s="459"/>
      <c r="DH50" s="459"/>
      <c r="DI50" s="459"/>
      <c r="DJ50" s="459"/>
      <c r="DK50" s="459"/>
      <c r="DL50" s="459"/>
      <c r="DM50" s="459"/>
      <c r="DN50" s="459"/>
      <c r="DO50" s="459"/>
      <c r="DP50" s="459"/>
      <c r="DQ50" s="459"/>
      <c r="DR50" s="459"/>
      <c r="DS50" s="459"/>
      <c r="DT50" s="459"/>
      <c r="DU50" s="459"/>
      <c r="DV50" s="459"/>
      <c r="DW50" s="459"/>
      <c r="DX50" s="459"/>
      <c r="DY50" s="459"/>
      <c r="DZ50" s="459"/>
      <c r="EA50" s="459"/>
      <c r="EB50" s="459"/>
      <c r="EC50" s="459"/>
      <c r="ED50" s="459"/>
      <c r="EE50" s="459"/>
      <c r="EF50" s="459"/>
      <c r="EG50" s="459"/>
      <c r="EH50" s="459"/>
      <c r="EI50" s="459"/>
      <c r="EJ50" s="459"/>
      <c r="EK50" s="459"/>
      <c r="EL50" s="459"/>
      <c r="EM50" s="459"/>
      <c r="EN50" s="459"/>
      <c r="EO50" s="459"/>
      <c r="EP50" s="459"/>
      <c r="EQ50" s="459"/>
      <c r="ER50" s="459"/>
      <c r="ES50" s="459"/>
      <c r="ET50" s="459"/>
      <c r="EU50" s="459"/>
      <c r="EV50" s="459"/>
      <c r="EW50" s="459"/>
      <c r="EX50" s="459"/>
      <c r="EY50" s="459"/>
      <c r="EZ50" s="459"/>
      <c r="FA50" s="459"/>
      <c r="FB50" s="459"/>
      <c r="FC50" s="459"/>
      <c r="FD50" s="459"/>
      <c r="FE50" s="459"/>
      <c r="FF50" s="459"/>
      <c r="FG50" s="459"/>
      <c r="FH50" s="459"/>
      <c r="FI50" s="459"/>
      <c r="FJ50" s="459"/>
      <c r="FK50" s="459"/>
      <c r="FL50" s="459"/>
      <c r="FM50" s="459"/>
      <c r="FN50" s="459"/>
      <c r="FO50" s="459"/>
      <c r="FP50" s="459"/>
      <c r="FQ50" s="459"/>
      <c r="FR50" s="459"/>
      <c r="FS50" s="459"/>
      <c r="FT50" s="459"/>
      <c r="FU50" s="459"/>
      <c r="FV50" s="459"/>
      <c r="FW50" s="459"/>
      <c r="FX50" s="459"/>
      <c r="FY50" s="459"/>
      <c r="FZ50" s="459"/>
      <c r="GA50" s="459"/>
      <c r="GB50" s="459"/>
      <c r="GC50" s="459"/>
      <c r="GD50" s="459"/>
      <c r="GE50" s="459"/>
      <c r="GF50" s="459"/>
      <c r="GG50" s="459"/>
      <c r="GH50" s="459"/>
      <c r="GI50" s="459"/>
      <c r="GJ50" s="459"/>
      <c r="GK50" s="459"/>
      <c r="GL50" s="459"/>
      <c r="GM50" s="459"/>
      <c r="GN50" s="459"/>
      <c r="GO50" s="459"/>
      <c r="GP50" s="459"/>
      <c r="GQ50" s="459"/>
      <c r="GR50" s="459"/>
      <c r="GS50" s="459"/>
      <c r="GT50" s="459"/>
      <c r="GU50" s="459"/>
      <c r="GV50" s="459"/>
      <c r="GW50" s="459"/>
      <c r="GX50" s="459"/>
      <c r="GY50" s="459"/>
      <c r="GZ50" s="459"/>
      <c r="HA50" s="459"/>
      <c r="HB50" s="459"/>
      <c r="HC50" s="459"/>
      <c r="HD50" s="459"/>
      <c r="HE50" s="459"/>
      <c r="HF50" s="459"/>
      <c r="HG50" s="459"/>
      <c r="HH50" s="459"/>
      <c r="HI50" s="459"/>
      <c r="HJ50" s="459"/>
      <c r="HK50" s="459"/>
      <c r="HL50" s="459"/>
      <c r="HM50" s="459"/>
      <c r="HN50" s="459"/>
      <c r="HO50" s="459"/>
      <c r="HP50" s="459"/>
    </row>
    <row r="51" spans="1:224" s="454" customFormat="1" ht="9.75" customHeight="1"/>
    <row r="52" spans="1:224">
      <c r="A52" s="432" t="s">
        <v>1641</v>
      </c>
      <c r="FD52" s="1626"/>
      <c r="FE52" s="1626"/>
      <c r="FF52" s="1626"/>
      <c r="FG52" s="1626"/>
      <c r="FH52" s="1626"/>
      <c r="FI52" s="1626"/>
      <c r="FJ52" s="1626"/>
      <c r="FK52" s="1626"/>
      <c r="FL52" s="1626"/>
      <c r="FM52" s="1626"/>
      <c r="FN52" s="1626"/>
      <c r="FO52" s="1626"/>
      <c r="FP52" s="1626"/>
      <c r="FQ52" s="1626"/>
      <c r="FR52" s="1626"/>
      <c r="FS52" s="1626"/>
      <c r="FT52" s="1626"/>
      <c r="FU52" s="1626"/>
      <c r="FV52" s="1626"/>
      <c r="FW52" s="1626"/>
      <c r="FX52" s="1626"/>
      <c r="FY52" s="1626"/>
      <c r="FZ52" s="1626"/>
      <c r="GA52" s="1626"/>
      <c r="GB52" s="1626"/>
      <c r="GC52" s="1626"/>
      <c r="GD52" s="1626"/>
      <c r="GE52" s="1626"/>
      <c r="GF52" s="1626"/>
      <c r="GG52" s="1626"/>
      <c r="GH52" s="1626"/>
      <c r="GI52" s="1626"/>
      <c r="GK52" s="1626" t="s">
        <v>1642</v>
      </c>
      <c r="GL52" s="1626"/>
      <c r="GM52" s="1626"/>
      <c r="GN52" s="1626"/>
      <c r="GO52" s="1626"/>
      <c r="GP52" s="1626"/>
      <c r="GQ52" s="1626"/>
      <c r="GR52" s="1626"/>
      <c r="GS52" s="1626"/>
      <c r="GT52" s="1626"/>
      <c r="GU52" s="1626"/>
      <c r="GV52" s="1626"/>
      <c r="GW52" s="1626"/>
      <c r="GX52" s="1626"/>
      <c r="GY52" s="1626"/>
      <c r="GZ52" s="1626"/>
      <c r="HA52" s="1626"/>
      <c r="HB52" s="1626"/>
      <c r="HC52" s="1626"/>
      <c r="HD52" s="1626"/>
      <c r="HE52" s="1626"/>
      <c r="HF52" s="1626"/>
      <c r="HG52" s="1626"/>
      <c r="HH52" s="1626"/>
      <c r="HI52" s="1626"/>
      <c r="HJ52" s="1626"/>
      <c r="HK52" s="1626"/>
      <c r="HL52" s="1626"/>
      <c r="HM52" s="1626"/>
      <c r="HN52" s="1626"/>
      <c r="HO52" s="1626"/>
      <c r="HP52" s="1626"/>
    </row>
    <row r="53" spans="1:224" s="454" customFormat="1" ht="10.199999999999999">
      <c r="FD53" s="1624" t="s">
        <v>1643</v>
      </c>
      <c r="FE53" s="1624"/>
      <c r="FF53" s="1624"/>
      <c r="FG53" s="1624"/>
      <c r="FH53" s="1624"/>
      <c r="FI53" s="1624"/>
      <c r="FJ53" s="1624"/>
      <c r="FK53" s="1624"/>
      <c r="FL53" s="1624"/>
      <c r="FM53" s="1624"/>
      <c r="FN53" s="1624"/>
      <c r="FO53" s="1624"/>
      <c r="FP53" s="1624"/>
      <c r="FQ53" s="1624"/>
      <c r="FR53" s="1624"/>
      <c r="FS53" s="1624"/>
      <c r="FT53" s="1624"/>
      <c r="FU53" s="1624"/>
      <c r="FV53" s="1624"/>
      <c r="FW53" s="1624"/>
      <c r="FX53" s="1624"/>
      <c r="FY53" s="1624"/>
      <c r="FZ53" s="1624"/>
      <c r="GA53" s="1624"/>
      <c r="GB53" s="1624"/>
      <c r="GC53" s="1624"/>
      <c r="GD53" s="1624"/>
      <c r="GE53" s="1624"/>
      <c r="GF53" s="1624"/>
      <c r="GG53" s="1624"/>
      <c r="GH53" s="1624"/>
      <c r="GI53" s="1624"/>
      <c r="GK53" s="1625" t="s">
        <v>1644</v>
      </c>
      <c r="GL53" s="1625"/>
      <c r="GM53" s="1625"/>
      <c r="GN53" s="1625"/>
      <c r="GO53" s="1625"/>
      <c r="GP53" s="1625"/>
      <c r="GQ53" s="1625"/>
      <c r="GR53" s="1625"/>
      <c r="GS53" s="1625"/>
      <c r="GT53" s="1625"/>
      <c r="GU53" s="1625"/>
      <c r="GV53" s="1625"/>
      <c r="GW53" s="1625"/>
      <c r="GX53" s="1625"/>
      <c r="GY53" s="1625"/>
      <c r="GZ53" s="1625"/>
      <c r="HA53" s="1625"/>
      <c r="HB53" s="1625"/>
      <c r="HC53" s="1625"/>
      <c r="HD53" s="1625"/>
      <c r="HE53" s="1625"/>
      <c r="HF53" s="1625"/>
      <c r="HG53" s="1625"/>
      <c r="HH53" s="1625"/>
      <c r="HI53" s="1625"/>
      <c r="HJ53" s="1625"/>
      <c r="HK53" s="1625"/>
      <c r="HL53" s="1625"/>
      <c r="HM53" s="1625"/>
      <c r="HN53" s="1625"/>
      <c r="HO53" s="1625"/>
      <c r="HP53" s="1625"/>
    </row>
    <row r="54" spans="1:224">
      <c r="A54" s="432" t="s">
        <v>1645</v>
      </c>
      <c r="FD54" s="1626"/>
      <c r="FE54" s="1626"/>
      <c r="FF54" s="1626"/>
      <c r="FG54" s="1626"/>
      <c r="FH54" s="1626"/>
      <c r="FI54" s="1626"/>
      <c r="FJ54" s="1626"/>
      <c r="FK54" s="1626"/>
      <c r="FL54" s="1626"/>
      <c r="FM54" s="1626"/>
      <c r="FN54" s="1626"/>
      <c r="FO54" s="1626"/>
      <c r="FP54" s="1626"/>
      <c r="FQ54" s="1626"/>
      <c r="FR54" s="1626"/>
      <c r="FS54" s="1626"/>
      <c r="FT54" s="1626"/>
      <c r="FU54" s="1626"/>
      <c r="FV54" s="1626"/>
      <c r="FW54" s="1626"/>
      <c r="FX54" s="1626"/>
      <c r="FY54" s="1626"/>
      <c r="FZ54" s="1626"/>
      <c r="GA54" s="1626"/>
      <c r="GB54" s="1626"/>
      <c r="GC54" s="1626"/>
      <c r="GD54" s="1626"/>
      <c r="GE54" s="1626"/>
      <c r="GF54" s="1626"/>
      <c r="GG54" s="1626"/>
      <c r="GH54" s="1626"/>
      <c r="GI54" s="1626"/>
      <c r="GK54" s="1626" t="s">
        <v>1646</v>
      </c>
      <c r="GL54" s="1626"/>
      <c r="GM54" s="1626"/>
      <c r="GN54" s="1626"/>
      <c r="GO54" s="1626"/>
      <c r="GP54" s="1626"/>
      <c r="GQ54" s="1626"/>
      <c r="GR54" s="1626"/>
      <c r="GS54" s="1626"/>
      <c r="GT54" s="1626"/>
      <c r="GU54" s="1626"/>
      <c r="GV54" s="1626"/>
      <c r="GW54" s="1626"/>
      <c r="GX54" s="1626"/>
      <c r="GY54" s="1626"/>
      <c r="GZ54" s="1626"/>
      <c r="HA54" s="1626"/>
      <c r="HB54" s="1626"/>
      <c r="HC54" s="1626"/>
      <c r="HD54" s="1626"/>
      <c r="HE54" s="1626"/>
      <c r="HF54" s="1626"/>
      <c r="HG54" s="1626"/>
      <c r="HH54" s="1626"/>
      <c r="HI54" s="1626"/>
      <c r="HJ54" s="1626"/>
      <c r="HK54" s="1626"/>
      <c r="HL54" s="1626"/>
      <c r="HM54" s="1626"/>
      <c r="HN54" s="1626"/>
      <c r="HO54" s="1626"/>
      <c r="HP54" s="1626"/>
    </row>
    <row r="55" spans="1:224" s="454" customFormat="1" ht="10.199999999999999">
      <c r="FD55" s="1624" t="s">
        <v>1643</v>
      </c>
      <c r="FE55" s="1624"/>
      <c r="FF55" s="1624"/>
      <c r="FG55" s="1624"/>
      <c r="FH55" s="1624"/>
      <c r="FI55" s="1624"/>
      <c r="FJ55" s="1624"/>
      <c r="FK55" s="1624"/>
      <c r="FL55" s="1624"/>
      <c r="FM55" s="1624"/>
      <c r="FN55" s="1624"/>
      <c r="FO55" s="1624"/>
      <c r="FP55" s="1624"/>
      <c r="FQ55" s="1624"/>
      <c r="FR55" s="1624"/>
      <c r="FS55" s="1624"/>
      <c r="FT55" s="1624"/>
      <c r="FU55" s="1624"/>
      <c r="FV55" s="1624"/>
      <c r="FW55" s="1624"/>
      <c r="FX55" s="1624"/>
      <c r="FY55" s="1624"/>
      <c r="FZ55" s="1624"/>
      <c r="GA55" s="1624"/>
      <c r="GB55" s="1624"/>
      <c r="GC55" s="1624"/>
      <c r="GD55" s="1624"/>
      <c r="GE55" s="1624"/>
      <c r="GF55" s="1624"/>
      <c r="GG55" s="1624"/>
      <c r="GH55" s="1624"/>
      <c r="GI55" s="1624"/>
      <c r="GK55" s="1625" t="s">
        <v>1644</v>
      </c>
      <c r="GL55" s="1625"/>
      <c r="GM55" s="1625"/>
      <c r="GN55" s="1625"/>
      <c r="GO55" s="1625"/>
      <c r="GP55" s="1625"/>
      <c r="GQ55" s="1625"/>
      <c r="GR55" s="1625"/>
      <c r="GS55" s="1625"/>
      <c r="GT55" s="1625"/>
      <c r="GU55" s="1625"/>
      <c r="GV55" s="1625"/>
      <c r="GW55" s="1625"/>
      <c r="GX55" s="1625"/>
      <c r="GY55" s="1625"/>
      <c r="GZ55" s="1625"/>
      <c r="HA55" s="1625"/>
      <c r="HB55" s="1625"/>
      <c r="HC55" s="1625"/>
      <c r="HD55" s="1625"/>
      <c r="HE55" s="1625"/>
      <c r="HF55" s="1625"/>
      <c r="HG55" s="1625"/>
      <c r="HH55" s="1625"/>
      <c r="HI55" s="1625"/>
      <c r="HJ55" s="1625"/>
      <c r="HK55" s="1625"/>
      <c r="HL55" s="1625"/>
      <c r="HM55" s="1625"/>
      <c r="HN55" s="1625"/>
      <c r="HO55" s="1625"/>
      <c r="HP55" s="1625"/>
    </row>
    <row r="56" spans="1:224" ht="3" customHeight="1"/>
  </sheetData>
  <mergeCells count="291">
    <mergeCell ref="FD55:GI55"/>
    <mergeCell ref="GK55:HP55"/>
    <mergeCell ref="FD52:GI52"/>
    <mergeCell ref="GK52:HP52"/>
    <mergeCell ref="FD53:GI53"/>
    <mergeCell ref="GK53:HP53"/>
    <mergeCell ref="FD54:GI54"/>
    <mergeCell ref="GK54:HP54"/>
    <mergeCell ref="FD43:FS44"/>
    <mergeCell ref="FT43:GI44"/>
    <mergeCell ref="GJ43:GY44"/>
    <mergeCell ref="GZ43:HP44"/>
    <mergeCell ref="B44:AK44"/>
    <mergeCell ref="A49:HP49"/>
    <mergeCell ref="BR43:CE44"/>
    <mergeCell ref="CF43:CU44"/>
    <mergeCell ref="CV43:DK44"/>
    <mergeCell ref="DL43:EA44"/>
    <mergeCell ref="EB43:EO44"/>
    <mergeCell ref="EP43:FC44"/>
    <mergeCell ref="B41:AK41"/>
    <mergeCell ref="B42:AK42"/>
    <mergeCell ref="B43:AK43"/>
    <mergeCell ref="AL43:AU44"/>
    <mergeCell ref="AV43:BC44"/>
    <mergeCell ref="BD43:BQ44"/>
    <mergeCell ref="EB40:EO42"/>
    <mergeCell ref="EP40:FC42"/>
    <mergeCell ref="FD40:FS42"/>
    <mergeCell ref="FT40:GI42"/>
    <mergeCell ref="GJ40:GY42"/>
    <mergeCell ref="GZ40:HP42"/>
    <mergeCell ref="GJ39:GY39"/>
    <mergeCell ref="GZ39:HP39"/>
    <mergeCell ref="B40:AK40"/>
    <mergeCell ref="AL40:AU42"/>
    <mergeCell ref="AV40:BC42"/>
    <mergeCell ref="BD40:BQ42"/>
    <mergeCell ref="BR40:CE42"/>
    <mergeCell ref="CF40:CU42"/>
    <mergeCell ref="CV40:DK42"/>
    <mergeCell ref="DL40:EA42"/>
    <mergeCell ref="CV39:DK39"/>
    <mergeCell ref="DL39:EA39"/>
    <mergeCell ref="EB39:EO39"/>
    <mergeCell ref="EP39:FC39"/>
    <mergeCell ref="FD39:FS39"/>
    <mergeCell ref="FT39:GI39"/>
    <mergeCell ref="B39:AK39"/>
    <mergeCell ref="AL39:AU39"/>
    <mergeCell ref="AV39:BC39"/>
    <mergeCell ref="BD39:BQ39"/>
    <mergeCell ref="BR39:CE39"/>
    <mergeCell ref="CF39:CU39"/>
    <mergeCell ref="EB38:EO38"/>
    <mergeCell ref="EP38:FC38"/>
    <mergeCell ref="FD38:FS38"/>
    <mergeCell ref="FT38:GI38"/>
    <mergeCell ref="GJ38:GY38"/>
    <mergeCell ref="GZ38:HP38"/>
    <mergeCell ref="GJ37:GY37"/>
    <mergeCell ref="GZ37:HP37"/>
    <mergeCell ref="B38:AK38"/>
    <mergeCell ref="AL38:AU38"/>
    <mergeCell ref="AV38:BC38"/>
    <mergeCell ref="BD38:BQ38"/>
    <mergeCell ref="BR38:CE38"/>
    <mergeCell ref="CF38:CU38"/>
    <mergeCell ref="CV38:DK38"/>
    <mergeCell ref="DL38:EA38"/>
    <mergeCell ref="CV37:DK37"/>
    <mergeCell ref="DL37:EA37"/>
    <mergeCell ref="EB37:EO37"/>
    <mergeCell ref="EP37:FC37"/>
    <mergeCell ref="FD37:FS37"/>
    <mergeCell ref="FT37:GI37"/>
    <mergeCell ref="B37:AK37"/>
    <mergeCell ref="AL37:AU37"/>
    <mergeCell ref="AV37:BC37"/>
    <mergeCell ref="BD37:BQ37"/>
    <mergeCell ref="BR37:CE37"/>
    <mergeCell ref="CF37:CU37"/>
    <mergeCell ref="EB36:EO36"/>
    <mergeCell ref="EP36:FC36"/>
    <mergeCell ref="FD36:FS36"/>
    <mergeCell ref="FT36:GI36"/>
    <mergeCell ref="GJ36:GY36"/>
    <mergeCell ref="GZ36:HP36"/>
    <mergeCell ref="GJ35:GY35"/>
    <mergeCell ref="GZ35:HP35"/>
    <mergeCell ref="B36:AK36"/>
    <mergeCell ref="AL36:AU36"/>
    <mergeCell ref="AV36:BC36"/>
    <mergeCell ref="BD36:BQ36"/>
    <mergeCell ref="BR36:CE36"/>
    <mergeCell ref="CF36:CU36"/>
    <mergeCell ref="CV36:DK36"/>
    <mergeCell ref="DL36:EA36"/>
    <mergeCell ref="CV35:DK35"/>
    <mergeCell ref="DL35:EA35"/>
    <mergeCell ref="EB35:EO35"/>
    <mergeCell ref="EP35:FC35"/>
    <mergeCell ref="FD35:FS35"/>
    <mergeCell ref="FT35:GI35"/>
    <mergeCell ref="B35:AK35"/>
    <mergeCell ref="AL35:AU35"/>
    <mergeCell ref="AV35:BC35"/>
    <mergeCell ref="BD35:BQ35"/>
    <mergeCell ref="BR35:CE35"/>
    <mergeCell ref="CF35:CU35"/>
    <mergeCell ref="EB34:EO34"/>
    <mergeCell ref="EP34:FC34"/>
    <mergeCell ref="FD34:FS34"/>
    <mergeCell ref="FT34:GI34"/>
    <mergeCell ref="GJ34:GY34"/>
    <mergeCell ref="GZ34:HP34"/>
    <mergeCell ref="GJ33:GY33"/>
    <mergeCell ref="GZ33:HP33"/>
    <mergeCell ref="B34:AK34"/>
    <mergeCell ref="AL34:AU34"/>
    <mergeCell ref="AV34:BC34"/>
    <mergeCell ref="BD34:BQ34"/>
    <mergeCell ref="BR34:CE34"/>
    <mergeCell ref="CF34:CU34"/>
    <mergeCell ref="CV34:DK34"/>
    <mergeCell ref="DL34:EA34"/>
    <mergeCell ref="CV33:DK33"/>
    <mergeCell ref="DL33:EA33"/>
    <mergeCell ref="EB33:EO33"/>
    <mergeCell ref="EP33:FC33"/>
    <mergeCell ref="FD33:FS33"/>
    <mergeCell ref="FT33:GI33"/>
    <mergeCell ref="B33:AK33"/>
    <mergeCell ref="AL33:AU33"/>
    <mergeCell ref="AV33:BC33"/>
    <mergeCell ref="BD33:BQ33"/>
    <mergeCell ref="BR33:CE33"/>
    <mergeCell ref="CF33:CU33"/>
    <mergeCell ref="EB32:EO32"/>
    <mergeCell ref="EP32:FC32"/>
    <mergeCell ref="FD32:FS32"/>
    <mergeCell ref="FT32:GI32"/>
    <mergeCell ref="GJ32:GY32"/>
    <mergeCell ref="GZ32:HP32"/>
    <mergeCell ref="GJ31:GY31"/>
    <mergeCell ref="GZ31:HP31"/>
    <mergeCell ref="B32:AK32"/>
    <mergeCell ref="AL32:AU32"/>
    <mergeCell ref="AV32:BC32"/>
    <mergeCell ref="BD32:BQ32"/>
    <mergeCell ref="BR32:CE32"/>
    <mergeCell ref="CF32:CU32"/>
    <mergeCell ref="CV32:DK32"/>
    <mergeCell ref="DL32:EA32"/>
    <mergeCell ref="CV31:DK31"/>
    <mergeCell ref="DL31:EA31"/>
    <mergeCell ref="EB31:EO31"/>
    <mergeCell ref="EP31:FC31"/>
    <mergeCell ref="FD31:FS31"/>
    <mergeCell ref="FT31:GI31"/>
    <mergeCell ref="B31:AK31"/>
    <mergeCell ref="AL31:AU31"/>
    <mergeCell ref="AV31:BC31"/>
    <mergeCell ref="BD31:BQ31"/>
    <mergeCell ref="BR31:CE31"/>
    <mergeCell ref="CF31:CU31"/>
    <mergeCell ref="EB30:EO30"/>
    <mergeCell ref="EP30:FC30"/>
    <mergeCell ref="FD30:FS30"/>
    <mergeCell ref="FT30:GI30"/>
    <mergeCell ref="GJ30:GY30"/>
    <mergeCell ref="GZ30:HP30"/>
    <mergeCell ref="GJ29:GY29"/>
    <mergeCell ref="GZ29:HP29"/>
    <mergeCell ref="B30:AK30"/>
    <mergeCell ref="AL30:AU30"/>
    <mergeCell ref="AV30:BC30"/>
    <mergeCell ref="BD30:BQ30"/>
    <mergeCell ref="BR30:CE30"/>
    <mergeCell ref="CF30:CU30"/>
    <mergeCell ref="CV30:DK30"/>
    <mergeCell ref="DL30:EA30"/>
    <mergeCell ref="CV29:DK29"/>
    <mergeCell ref="DL29:EA29"/>
    <mergeCell ref="EB29:EO29"/>
    <mergeCell ref="EP29:FC29"/>
    <mergeCell ref="FD29:FS29"/>
    <mergeCell ref="FT29:GI29"/>
    <mergeCell ref="B29:AK29"/>
    <mergeCell ref="AL29:AU29"/>
    <mergeCell ref="AV29:BC29"/>
    <mergeCell ref="BD29:BQ29"/>
    <mergeCell ref="BR29:CE29"/>
    <mergeCell ref="CF29:CU29"/>
    <mergeCell ref="EB28:EO28"/>
    <mergeCell ref="EP28:FC28"/>
    <mergeCell ref="FD28:FS28"/>
    <mergeCell ref="FT28:GI28"/>
    <mergeCell ref="GJ28:GY28"/>
    <mergeCell ref="GZ28:HP28"/>
    <mergeCell ref="GJ27:GY27"/>
    <mergeCell ref="GZ27:HP27"/>
    <mergeCell ref="B28:AK28"/>
    <mergeCell ref="AL28:AU28"/>
    <mergeCell ref="AV28:BC28"/>
    <mergeCell ref="BD28:BQ28"/>
    <mergeCell ref="BR28:CE28"/>
    <mergeCell ref="CF28:CU28"/>
    <mergeCell ref="CV28:DK28"/>
    <mergeCell ref="DL28:EA28"/>
    <mergeCell ref="CV27:DK27"/>
    <mergeCell ref="DL27:EA27"/>
    <mergeCell ref="EB27:EO27"/>
    <mergeCell ref="EP27:FC27"/>
    <mergeCell ref="FD27:FS27"/>
    <mergeCell ref="FT27:GI27"/>
    <mergeCell ref="B27:AK27"/>
    <mergeCell ref="AL27:AU27"/>
    <mergeCell ref="AV27:BC27"/>
    <mergeCell ref="BD27:BQ27"/>
    <mergeCell ref="BR27:CE27"/>
    <mergeCell ref="CF27:CU27"/>
    <mergeCell ref="FT25:GI26"/>
    <mergeCell ref="GJ25:GY26"/>
    <mergeCell ref="GZ25:HP26"/>
    <mergeCell ref="B26:AK26"/>
    <mergeCell ref="BD25:BQ26"/>
    <mergeCell ref="BR25:CE26"/>
    <mergeCell ref="CF25:CU26"/>
    <mergeCell ref="CV25:DK26"/>
    <mergeCell ref="DL25:EA26"/>
    <mergeCell ref="EB25:EO26"/>
    <mergeCell ref="B22:AK22"/>
    <mergeCell ref="B23:AK23"/>
    <mergeCell ref="B24:AK24"/>
    <mergeCell ref="B25:AK25"/>
    <mergeCell ref="AL25:AU26"/>
    <mergeCell ref="AV25:BC26"/>
    <mergeCell ref="EB21:EO24"/>
    <mergeCell ref="EP21:FC24"/>
    <mergeCell ref="FD21:FS24"/>
    <mergeCell ref="EP25:FC26"/>
    <mergeCell ref="FD25:FS26"/>
    <mergeCell ref="FT21:GI24"/>
    <mergeCell ref="GJ21:GY24"/>
    <mergeCell ref="GZ21:HP24"/>
    <mergeCell ref="GJ20:GY20"/>
    <mergeCell ref="GZ20:HP20"/>
    <mergeCell ref="B21:AK21"/>
    <mergeCell ref="AL21:AU24"/>
    <mergeCell ref="AV21:BC24"/>
    <mergeCell ref="BD21:BQ24"/>
    <mergeCell ref="BR21:CE24"/>
    <mergeCell ref="CF21:CU24"/>
    <mergeCell ref="CV21:DK24"/>
    <mergeCell ref="DL21:EA24"/>
    <mergeCell ref="CV20:DK20"/>
    <mergeCell ref="DL20:EA20"/>
    <mergeCell ref="EB20:EO20"/>
    <mergeCell ref="EP20:FC20"/>
    <mergeCell ref="FD20:FS20"/>
    <mergeCell ref="FT20:GI20"/>
    <mergeCell ref="A20:AK20"/>
    <mergeCell ref="AL20:AU20"/>
    <mergeCell ref="AV20:BC20"/>
    <mergeCell ref="BD20:BQ20"/>
    <mergeCell ref="BR20:CE20"/>
    <mergeCell ref="CF20:CU20"/>
    <mergeCell ref="GZ18:HP19"/>
    <mergeCell ref="CF19:CU19"/>
    <mergeCell ref="CV19:DK19"/>
    <mergeCell ref="DL19:EA19"/>
    <mergeCell ref="FD19:FS19"/>
    <mergeCell ref="FT19:GI19"/>
    <mergeCell ref="GJ19:GY19"/>
    <mergeCell ref="FT15:HP15"/>
    <mergeCell ref="A3:HP3"/>
    <mergeCell ref="A4:HP4"/>
    <mergeCell ref="FT11:HP11"/>
    <mergeCell ref="FT12:HP12"/>
    <mergeCell ref="FT13:HP13"/>
    <mergeCell ref="FT14:HP14"/>
    <mergeCell ref="A18:AK19"/>
    <mergeCell ref="AL18:AU19"/>
    <mergeCell ref="AV18:BC19"/>
    <mergeCell ref="BD18:BQ19"/>
    <mergeCell ref="BR18:CE19"/>
    <mergeCell ref="CF18:EA18"/>
    <mergeCell ref="EB18:EO19"/>
    <mergeCell ref="EP18:FC19"/>
    <mergeCell ref="FD18:GY18"/>
  </mergeCells>
  <pageMargins left="0.98425196850393704" right="0.86614173228346458" top="0.78740157480314965" bottom="0.39370078740157483" header="0.19685039370078741" footer="0.19685039370078741"/>
  <pageSetup paperSize="9" scale="63" orientation="landscape" r:id="rId1"/>
  <headerFooter alignWithMargins="0">
    <oddHeader>&amp;R&amp;"Times New Roman,обычный"&amp;7Подготовлено с использованием системы &amp;"Times New Roman,полужирный"КонсультантПлюс</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DS562"/>
  <sheetViews>
    <sheetView view="pageBreakPreview" zoomScale="40" zoomScaleNormal="80" zoomScaleSheetLayoutView="40" workbookViewId="0">
      <pane xSplit="38" ySplit="4" topLeftCell="DE5" activePane="bottomRight" state="frozen"/>
      <selection pane="topRight" activeCell="AM1" sqref="AM1"/>
      <selection pane="bottomLeft" activeCell="A5" sqref="A5"/>
      <selection pane="bottomRight" activeCell="DF326" sqref="DF326"/>
    </sheetView>
  </sheetViews>
  <sheetFormatPr defaultColWidth="9.109375" defaultRowHeight="28.2" outlineLevelRow="1" outlineLevelCol="1"/>
  <cols>
    <col min="1" max="1" width="23.5546875" style="741" customWidth="1"/>
    <col min="2" max="2" width="54" style="534" customWidth="1"/>
    <col min="3" max="3" width="35.6640625" style="464" hidden="1" customWidth="1"/>
    <col min="4" max="4" width="24" style="736" hidden="1" customWidth="1"/>
    <col min="5" max="5" width="23.109375" style="736" hidden="1" customWidth="1"/>
    <col min="6" max="6" width="24.5546875" style="736" hidden="1" customWidth="1"/>
    <col min="7" max="7" width="37.6640625" style="736" hidden="1" customWidth="1"/>
    <col min="8" max="8" width="19.6640625" style="736" hidden="1" customWidth="1"/>
    <col min="9" max="9" width="35.33203125" style="736" hidden="1" customWidth="1"/>
    <col min="10" max="10" width="20.6640625" style="736" hidden="1" customWidth="1"/>
    <col min="11" max="11" width="22" style="736" hidden="1" customWidth="1"/>
    <col min="12" max="12" width="22.88671875" style="736" hidden="1" customWidth="1"/>
    <col min="13" max="13" width="23.88671875" style="736" hidden="1" customWidth="1"/>
    <col min="14" max="15" width="21.6640625" style="736" hidden="1" customWidth="1"/>
    <col min="16" max="16" width="34.33203125" style="736" customWidth="1"/>
    <col min="17" max="17" width="21.88671875" style="736" hidden="1" customWidth="1"/>
    <col min="18" max="18" width="15.88671875" style="736" hidden="1" customWidth="1"/>
    <col min="19" max="19" width="37.5546875" style="736" hidden="1" customWidth="1"/>
    <col min="20" max="20" width="34.33203125" style="736" customWidth="1"/>
    <col min="21" max="21" width="34" style="736" customWidth="1"/>
    <col min="22" max="22" width="23.44140625" style="736" hidden="1" customWidth="1" outlineLevel="1"/>
    <col min="23" max="23" width="17.33203125" style="736" hidden="1" customWidth="1" outlineLevel="1"/>
    <col min="24" max="24" width="22.44140625" style="736" hidden="1" customWidth="1" outlineLevel="1"/>
    <col min="25" max="25" width="17.5546875" style="736" hidden="1" customWidth="1" outlineLevel="1"/>
    <col min="26" max="26" width="33.6640625" style="737" customWidth="1" collapsed="1"/>
    <col min="27" max="27" width="31.109375" style="736" hidden="1" customWidth="1" outlineLevel="1"/>
    <col min="28" max="28" width="14.88671875" style="736" hidden="1" customWidth="1" outlineLevel="1"/>
    <col min="29" max="29" width="36" style="736" hidden="1" customWidth="1" outlineLevel="1"/>
    <col min="30" max="30" width="25" style="736" hidden="1" customWidth="1" outlineLevel="1"/>
    <col min="31" max="32" width="21.88671875" style="736" hidden="1" customWidth="1" outlineLevel="1"/>
    <col min="33" max="33" width="35.5546875" style="738" hidden="1" customWidth="1" outlineLevel="1"/>
    <col min="34" max="34" width="20" style="736" hidden="1" customWidth="1" outlineLevel="1"/>
    <col min="35" max="35" width="18.33203125" style="736" hidden="1" customWidth="1" outlineLevel="1"/>
    <col min="36" max="36" width="29.88671875" style="736" hidden="1" customWidth="1" outlineLevel="1"/>
    <col min="37" max="37" width="25" style="736" hidden="1" customWidth="1" outlineLevel="1"/>
    <col min="38" max="38" width="37.88671875" style="736" customWidth="1" collapsed="1"/>
    <col min="39" max="39" width="38.33203125" style="736" hidden="1" customWidth="1" outlineLevel="1"/>
    <col min="40" max="40" width="38.88671875" style="736" hidden="1" customWidth="1" outlineLevel="1"/>
    <col min="41" max="41" width="24.33203125" style="736" hidden="1" customWidth="1" outlineLevel="1"/>
    <col min="42" max="42" width="16.5546875" style="736" hidden="1" customWidth="1" outlineLevel="1"/>
    <col min="43" max="43" width="35.6640625" style="736" hidden="1" customWidth="1" outlineLevel="1"/>
    <col min="44" max="44" width="36.5546875" style="736" hidden="1" customWidth="1" outlineLevel="1"/>
    <col min="45" max="45" width="37.6640625" style="736" hidden="1" customWidth="1" outlineLevel="1"/>
    <col min="46" max="46" width="35.109375" style="736" hidden="1" customWidth="1" outlineLevel="1"/>
    <col min="47" max="47" width="34.6640625" style="736" hidden="1" customWidth="1" outlineLevel="1"/>
    <col min="48" max="48" width="39.44140625" style="736" hidden="1" customWidth="1" outlineLevel="1"/>
    <col min="49" max="49" width="31.109375" style="736" hidden="1" customWidth="1" outlineLevel="1"/>
    <col min="50" max="50" width="19.6640625" style="736" hidden="1" customWidth="1" outlineLevel="1"/>
    <col min="51" max="51" width="35.109375" style="736" hidden="1" customWidth="1" outlineLevel="1"/>
    <col min="52" max="52" width="29.44140625" style="736" hidden="1" customWidth="1" outlineLevel="1"/>
    <col min="53" max="53" width="19.109375" style="736" hidden="1" customWidth="1" outlineLevel="1"/>
    <col min="54" max="54" width="37.109375" style="736" hidden="1" customWidth="1" outlineLevel="1"/>
    <col min="55" max="55" width="37.109375" style="739" hidden="1" customWidth="1" outlineLevel="1"/>
    <col min="56" max="56" width="35.44140625" style="739" hidden="1" customWidth="1" outlineLevel="1"/>
    <col min="57" max="57" width="38.6640625" style="739" hidden="1" customWidth="1" outlineLevel="1"/>
    <col min="58" max="58" width="38.33203125" style="739" hidden="1" customWidth="1" outlineLevel="1"/>
    <col min="59" max="59" width="35.44140625" style="739" hidden="1" customWidth="1" outlineLevel="1"/>
    <col min="60" max="63" width="35.44140625" style="945" hidden="1" customWidth="1" outlineLevel="1"/>
    <col min="64" max="64" width="38.33203125" style="738" hidden="1" customWidth="1" collapsed="1"/>
    <col min="65" max="65" width="36.33203125" style="738" hidden="1" customWidth="1"/>
    <col min="66" max="66" width="38.33203125" style="736" hidden="1" customWidth="1"/>
    <col min="67" max="68" width="35.44140625" style="945" hidden="1" customWidth="1"/>
    <col min="69" max="69" width="38.33203125" style="738" hidden="1" customWidth="1"/>
    <col min="70" max="70" width="36.33203125" style="738" hidden="1" customWidth="1"/>
    <col min="71" max="71" width="38.33203125" style="736" hidden="1" customWidth="1"/>
    <col min="72" max="72" width="15.109375" style="463" customWidth="1"/>
    <col min="73" max="75" width="38.33203125" style="736" hidden="1" customWidth="1" outlineLevel="1"/>
    <col min="76" max="76" width="37.6640625" style="465" customWidth="1" collapsed="1"/>
    <col min="77" max="81" width="38.33203125" style="736" customWidth="1" outlineLevel="1"/>
    <col min="82" max="88" width="38.33203125" style="736" hidden="1" customWidth="1"/>
    <col min="89" max="89" width="27.88671875" style="468" hidden="1" customWidth="1"/>
    <col min="90" max="90" width="30.5546875" style="468" hidden="1" customWidth="1"/>
    <col min="91" max="91" width="31.6640625" style="464" hidden="1" customWidth="1"/>
    <col min="92" max="92" width="26.33203125" style="464" hidden="1" customWidth="1"/>
    <col min="93" max="93" width="23.6640625" style="464" hidden="1" customWidth="1"/>
    <col min="94" max="94" width="20.109375" style="464" hidden="1" customWidth="1"/>
    <col min="95" max="95" width="17.33203125" style="464" hidden="1" customWidth="1"/>
    <col min="96" max="96" width="18.109375" style="464" hidden="1" customWidth="1"/>
    <col min="97" max="97" width="44.44140625" style="463" hidden="1" customWidth="1"/>
    <col min="98" max="98" width="42.33203125" style="463" hidden="1" customWidth="1"/>
    <col min="99" max="99" width="30.33203125" style="463" hidden="1" customWidth="1"/>
    <col min="100" max="100" width="48.88671875" style="463" hidden="1" customWidth="1"/>
    <col min="101" max="101" width="21.6640625" style="463" hidden="1" customWidth="1"/>
    <col min="102" max="102" width="16.44140625" style="464" hidden="1" customWidth="1"/>
    <col min="103" max="104" width="15.44140625" style="464" hidden="1" customWidth="1"/>
    <col min="105" max="105" width="23.88671875" style="464" hidden="1" customWidth="1"/>
    <col min="106" max="106" width="23.33203125" style="464" hidden="1" customWidth="1"/>
    <col min="107" max="107" width="18.88671875" style="464" hidden="1" customWidth="1"/>
    <col min="108" max="108" width="39.88671875" style="464" hidden="1" customWidth="1"/>
    <col min="109" max="109" width="11.6640625" style="464" customWidth="1"/>
    <col min="110" max="113" width="38.33203125" style="736" customWidth="1" outlineLevel="1"/>
    <col min="114" max="114" width="194.88671875" style="463" customWidth="1"/>
    <col min="115" max="115" width="32.33203125" style="463" customWidth="1"/>
    <col min="116" max="123" width="9.109375" style="463"/>
    <col min="124" max="16384" width="9.109375" style="464"/>
  </cols>
  <sheetData>
    <row r="1" spans="1:123" ht="38.25" customHeight="1">
      <c r="A1" s="1635" t="s">
        <v>1696</v>
      </c>
      <c r="B1" s="1636" t="s">
        <v>1697</v>
      </c>
      <c r="C1" s="461">
        <v>2012</v>
      </c>
      <c r="D1" s="1637">
        <v>2013</v>
      </c>
      <c r="E1" s="1638"/>
      <c r="F1" s="1639"/>
      <c r="G1" s="1640">
        <v>2014</v>
      </c>
      <c r="H1" s="1640"/>
      <c r="I1" s="1640"/>
      <c r="J1" s="1640"/>
      <c r="K1" s="1640"/>
      <c r="L1" s="1640"/>
      <c r="M1" s="1640"/>
      <c r="N1" s="1640"/>
      <c r="O1" s="1640"/>
      <c r="P1" s="1640"/>
      <c r="Q1" s="1640"/>
      <c r="R1" s="1640"/>
      <c r="S1" s="1648">
        <v>2015</v>
      </c>
      <c r="T1" s="1648"/>
      <c r="U1" s="1648"/>
      <c r="V1" s="1648"/>
      <c r="W1" s="1648"/>
      <c r="X1" s="1648"/>
      <c r="Y1" s="1648"/>
      <c r="Z1" s="1648"/>
      <c r="AA1" s="1648"/>
      <c r="AB1" s="1648"/>
      <c r="AC1" s="1648"/>
      <c r="AD1" s="1648"/>
      <c r="AE1" s="1648"/>
      <c r="AF1" s="1648"/>
      <c r="AG1" s="1648"/>
      <c r="AH1" s="1648"/>
      <c r="AI1" s="1648"/>
      <c r="AJ1" s="1648"/>
      <c r="AK1" s="1648"/>
      <c r="AL1" s="1648"/>
      <c r="AM1" s="1648"/>
      <c r="AN1" s="1648"/>
      <c r="AO1" s="1648"/>
      <c r="AP1" s="1648"/>
      <c r="AQ1" s="1648"/>
      <c r="AR1" s="1648"/>
      <c r="AS1" s="1648"/>
      <c r="AT1" s="1648"/>
      <c r="AU1" s="1648"/>
      <c r="AV1" s="1648"/>
      <c r="AW1" s="1648"/>
      <c r="AX1" s="1648"/>
      <c r="AY1" s="1648"/>
      <c r="AZ1" s="1648"/>
      <c r="BA1" s="1648"/>
      <c r="BB1" s="1648"/>
      <c r="BC1" s="1648"/>
      <c r="BD1" s="1648"/>
      <c r="BE1" s="1648"/>
      <c r="BF1" s="1648"/>
      <c r="BG1" s="1648"/>
      <c r="BH1" s="1648"/>
      <c r="BI1" s="1648"/>
      <c r="BJ1" s="1648"/>
      <c r="BK1" s="1648"/>
      <c r="BL1" s="1648"/>
      <c r="BM1" s="1648"/>
      <c r="BN1" s="1648"/>
      <c r="BO1" s="1648"/>
      <c r="BP1" s="1648"/>
      <c r="BQ1" s="462"/>
      <c r="BR1" s="462"/>
      <c r="BS1" s="462"/>
      <c r="BU1" s="464"/>
      <c r="BV1" s="464"/>
      <c r="BW1" s="464"/>
      <c r="BY1" s="466"/>
      <c r="BZ1" s="466"/>
      <c r="CA1" s="466"/>
      <c r="CB1" s="466"/>
      <c r="CC1" s="464"/>
      <c r="CD1" s="462"/>
      <c r="CE1" s="462"/>
      <c r="CF1" s="462"/>
      <c r="CG1" s="462"/>
      <c r="CH1" s="462"/>
      <c r="CI1" s="462"/>
      <c r="CJ1" s="462"/>
      <c r="CK1" s="467"/>
      <c r="CP1" s="469"/>
      <c r="CQ1" s="469"/>
      <c r="CR1" s="469"/>
      <c r="CS1" s="470"/>
      <c r="CT1" s="470"/>
      <c r="CU1" s="470"/>
      <c r="CV1" s="470"/>
      <c r="CW1" s="470"/>
      <c r="CX1" s="471">
        <v>92.267138382187383</v>
      </c>
      <c r="CY1" s="472">
        <v>6.777322538284082</v>
      </c>
      <c r="CZ1" s="472">
        <v>0.95553907952852735</v>
      </c>
      <c r="DF1" s="466"/>
      <c r="DG1" s="466"/>
      <c r="DH1" s="466"/>
      <c r="DI1" s="466"/>
    </row>
    <row r="2" spans="1:123" s="477" customFormat="1" ht="92.25" customHeight="1">
      <c r="A2" s="1635"/>
      <c r="B2" s="1636"/>
      <c r="C2" s="1649" t="s">
        <v>1698</v>
      </c>
      <c r="D2" s="1651" t="s">
        <v>1699</v>
      </c>
      <c r="E2" s="1651" t="s">
        <v>1700</v>
      </c>
      <c r="F2" s="1651" t="s">
        <v>1701</v>
      </c>
      <c r="G2" s="1643" t="s">
        <v>1702</v>
      </c>
      <c r="H2" s="473"/>
      <c r="I2" s="1643" t="s">
        <v>1703</v>
      </c>
      <c r="J2" s="1627" t="s">
        <v>1704</v>
      </c>
      <c r="K2" s="1627" t="s">
        <v>1705</v>
      </c>
      <c r="L2" s="1627" t="s">
        <v>1706</v>
      </c>
      <c r="M2" s="1627" t="s">
        <v>1707</v>
      </c>
      <c r="N2" s="1627" t="s">
        <v>1708</v>
      </c>
      <c r="O2" s="1627" t="s">
        <v>1709</v>
      </c>
      <c r="P2" s="1643" t="s">
        <v>1710</v>
      </c>
      <c r="Q2" s="1644" t="s">
        <v>1711</v>
      </c>
      <c r="R2" s="1645"/>
      <c r="S2" s="1646" t="s">
        <v>1712</v>
      </c>
      <c r="T2" s="1631" t="s">
        <v>1713</v>
      </c>
      <c r="U2" s="1631" t="s">
        <v>1714</v>
      </c>
      <c r="V2" s="1631" t="s">
        <v>1715</v>
      </c>
      <c r="W2" s="1631"/>
      <c r="X2" s="1631" t="s">
        <v>1716</v>
      </c>
      <c r="Y2" s="1631"/>
      <c r="Z2" s="1641" t="s">
        <v>1717</v>
      </c>
      <c r="AA2" s="1629" t="s">
        <v>1718</v>
      </c>
      <c r="AB2" s="1630"/>
      <c r="AC2" s="1632" t="s">
        <v>1719</v>
      </c>
      <c r="AD2" s="1632"/>
      <c r="AE2" s="1629" t="s">
        <v>1720</v>
      </c>
      <c r="AF2" s="1630"/>
      <c r="AG2" s="1632" t="s">
        <v>1721</v>
      </c>
      <c r="AH2" s="1633" t="s">
        <v>1722</v>
      </c>
      <c r="AI2" s="1634"/>
      <c r="AJ2" s="1633" t="s">
        <v>1723</v>
      </c>
      <c r="AK2" s="1634"/>
      <c r="AL2" s="1631" t="s">
        <v>1724</v>
      </c>
      <c r="AM2" s="1631" t="s">
        <v>1725</v>
      </c>
      <c r="AN2" s="1631"/>
      <c r="AO2" s="1631" t="s">
        <v>1726</v>
      </c>
      <c r="AP2" s="1631"/>
      <c r="AQ2" s="1631" t="s">
        <v>1727</v>
      </c>
      <c r="AR2" s="1631"/>
      <c r="AS2" s="1631" t="s">
        <v>1728</v>
      </c>
      <c r="AT2" s="1631"/>
      <c r="AU2" s="1631" t="s">
        <v>1729</v>
      </c>
      <c r="AV2" s="1631" t="s">
        <v>1730</v>
      </c>
      <c r="AW2" s="1631" t="s">
        <v>1731</v>
      </c>
      <c r="AX2" s="1631"/>
      <c r="AY2" s="1662" t="s">
        <v>1732</v>
      </c>
      <c r="AZ2" s="1631" t="s">
        <v>1733</v>
      </c>
      <c r="BA2" s="1631"/>
      <c r="BB2" s="1662" t="s">
        <v>1734</v>
      </c>
      <c r="BC2" s="1663"/>
      <c r="BD2" s="1663"/>
      <c r="BE2" s="1663"/>
      <c r="BF2" s="1664"/>
      <c r="BG2" s="1665" t="s">
        <v>1735</v>
      </c>
      <c r="BH2" s="1666"/>
      <c r="BI2" s="1666"/>
      <c r="BJ2" s="1666"/>
      <c r="BK2" s="1667"/>
      <c r="BL2" s="1629" t="s">
        <v>1736</v>
      </c>
      <c r="BM2" s="1630"/>
      <c r="BN2" s="1630"/>
      <c r="BO2" s="1630"/>
      <c r="BP2" s="1668"/>
      <c r="BQ2" s="1632" t="s">
        <v>1737</v>
      </c>
      <c r="BR2" s="1632"/>
      <c r="BS2" s="1632"/>
      <c r="BT2" s="474"/>
      <c r="BU2" s="1631" t="s">
        <v>1738</v>
      </c>
      <c r="BV2" s="1631"/>
      <c r="BW2" s="1631"/>
      <c r="BX2" s="1631"/>
      <c r="BY2" s="1656" t="s">
        <v>1739</v>
      </c>
      <c r="BZ2" s="1656"/>
      <c r="CA2" s="1656"/>
      <c r="CB2" s="1656"/>
      <c r="CC2" s="1657" t="s">
        <v>1740</v>
      </c>
      <c r="CD2" s="475"/>
      <c r="CE2" s="475"/>
      <c r="CF2" s="475"/>
      <c r="CG2" s="475"/>
      <c r="CH2" s="475"/>
      <c r="CI2" s="475"/>
      <c r="CJ2" s="475"/>
      <c r="CK2" s="1658" t="s">
        <v>1741</v>
      </c>
      <c r="CL2" s="1658" t="s">
        <v>1742</v>
      </c>
      <c r="CM2" s="1660" t="s">
        <v>1743</v>
      </c>
      <c r="CN2" s="1660" t="s">
        <v>1744</v>
      </c>
      <c r="CO2" s="1685" t="s">
        <v>1745</v>
      </c>
      <c r="CP2" s="1687" t="s">
        <v>1746</v>
      </c>
      <c r="CQ2" s="1688"/>
      <c r="CR2" s="1689"/>
      <c r="CS2" s="1693" t="s">
        <v>1747</v>
      </c>
      <c r="CT2" s="1694"/>
      <c r="CU2" s="1694"/>
      <c r="CV2" s="1694"/>
      <c r="CW2" s="1695"/>
      <c r="CX2" s="1702" t="s">
        <v>1747</v>
      </c>
      <c r="CY2" s="1702"/>
      <c r="CZ2" s="1702"/>
      <c r="DA2" s="1703" t="s">
        <v>1748</v>
      </c>
      <c r="DB2" s="476"/>
      <c r="DD2" s="478"/>
      <c r="DE2" s="478"/>
      <c r="DF2" s="1652" t="s">
        <v>1739</v>
      </c>
      <c r="DG2" s="1652"/>
      <c r="DH2" s="1652"/>
      <c r="DI2" s="1652"/>
      <c r="DJ2" s="474"/>
      <c r="DK2" s="474"/>
      <c r="DL2" s="474"/>
      <c r="DM2" s="474"/>
      <c r="DN2" s="474"/>
      <c r="DO2" s="474"/>
      <c r="DP2" s="474"/>
      <c r="DQ2" s="474"/>
      <c r="DR2" s="474"/>
      <c r="DS2" s="474"/>
    </row>
    <row r="3" spans="1:123" s="477" customFormat="1" ht="100.5" customHeight="1">
      <c r="A3" s="1635"/>
      <c r="B3" s="1636"/>
      <c r="C3" s="1650"/>
      <c r="D3" s="1651"/>
      <c r="E3" s="1651"/>
      <c r="F3" s="1651"/>
      <c r="G3" s="1643"/>
      <c r="H3" s="479" t="s">
        <v>1749</v>
      </c>
      <c r="I3" s="1643"/>
      <c r="J3" s="1628"/>
      <c r="K3" s="1628"/>
      <c r="L3" s="1628"/>
      <c r="M3" s="1628"/>
      <c r="N3" s="1628"/>
      <c r="O3" s="1628"/>
      <c r="P3" s="1643"/>
      <c r="Q3" s="479" t="s">
        <v>280</v>
      </c>
      <c r="R3" s="479" t="s">
        <v>281</v>
      </c>
      <c r="S3" s="1647"/>
      <c r="T3" s="1631"/>
      <c r="U3" s="1631"/>
      <c r="V3" s="480" t="s">
        <v>280</v>
      </c>
      <c r="W3" s="480" t="s">
        <v>281</v>
      </c>
      <c r="X3" s="480" t="s">
        <v>280</v>
      </c>
      <c r="Y3" s="480" t="s">
        <v>281</v>
      </c>
      <c r="Z3" s="1642"/>
      <c r="AA3" s="481" t="s">
        <v>280</v>
      </c>
      <c r="AB3" s="481" t="s">
        <v>281</v>
      </c>
      <c r="AC3" s="481" t="s">
        <v>280</v>
      </c>
      <c r="AD3" s="481" t="s">
        <v>281</v>
      </c>
      <c r="AE3" s="481" t="s">
        <v>280</v>
      </c>
      <c r="AF3" s="481" t="s">
        <v>281</v>
      </c>
      <c r="AG3" s="1632"/>
      <c r="AH3" s="481" t="s">
        <v>280</v>
      </c>
      <c r="AI3" s="481" t="s">
        <v>281</v>
      </c>
      <c r="AJ3" s="481" t="s">
        <v>280</v>
      </c>
      <c r="AK3" s="481" t="s">
        <v>281</v>
      </c>
      <c r="AL3" s="1631"/>
      <c r="AM3" s="480" t="s">
        <v>1750</v>
      </c>
      <c r="AN3" s="480" t="s">
        <v>1751</v>
      </c>
      <c r="AO3" s="480" t="s">
        <v>280</v>
      </c>
      <c r="AP3" s="480" t="s">
        <v>281</v>
      </c>
      <c r="AQ3" s="480" t="s">
        <v>1750</v>
      </c>
      <c r="AR3" s="480" t="s">
        <v>1752</v>
      </c>
      <c r="AS3" s="480" t="s">
        <v>1750</v>
      </c>
      <c r="AT3" s="480" t="s">
        <v>1752</v>
      </c>
      <c r="AU3" s="1631"/>
      <c r="AV3" s="1631"/>
      <c r="AW3" s="480" t="s">
        <v>280</v>
      </c>
      <c r="AX3" s="480" t="s">
        <v>281</v>
      </c>
      <c r="AY3" s="1669"/>
      <c r="AZ3" s="480" t="s">
        <v>280</v>
      </c>
      <c r="BA3" s="480" t="s">
        <v>281</v>
      </c>
      <c r="BB3" s="480" t="s">
        <v>1750</v>
      </c>
      <c r="BC3" s="480" t="s">
        <v>1753</v>
      </c>
      <c r="BD3" s="480" t="s">
        <v>1754</v>
      </c>
      <c r="BE3" s="482" t="s">
        <v>1755</v>
      </c>
      <c r="BF3" s="482" t="s">
        <v>1756</v>
      </c>
      <c r="BG3" s="480" t="s">
        <v>1750</v>
      </c>
      <c r="BH3" s="480" t="s">
        <v>1753</v>
      </c>
      <c r="BI3" s="480" t="s">
        <v>1751</v>
      </c>
      <c r="BJ3" s="483" t="s">
        <v>1757</v>
      </c>
      <c r="BK3" s="483" t="s">
        <v>1758</v>
      </c>
      <c r="BL3" s="481" t="s">
        <v>1750</v>
      </c>
      <c r="BM3" s="481" t="s">
        <v>1753</v>
      </c>
      <c r="BN3" s="481" t="s">
        <v>1752</v>
      </c>
      <c r="BO3" s="475" t="s">
        <v>1757</v>
      </c>
      <c r="BP3" s="475" t="s">
        <v>1759</v>
      </c>
      <c r="BQ3" s="481" t="s">
        <v>1750</v>
      </c>
      <c r="BR3" s="481" t="s">
        <v>1753</v>
      </c>
      <c r="BS3" s="481" t="s">
        <v>1752</v>
      </c>
      <c r="BT3" s="474"/>
      <c r="BU3" s="484" t="s">
        <v>1760</v>
      </c>
      <c r="BV3" s="484" t="s">
        <v>1761</v>
      </c>
      <c r="BW3" s="484" t="s">
        <v>1762</v>
      </c>
      <c r="BX3" s="484" t="s">
        <v>1763</v>
      </c>
      <c r="BY3" s="485" t="s">
        <v>1764</v>
      </c>
      <c r="BZ3" s="485" t="s">
        <v>1765</v>
      </c>
      <c r="CA3" s="485" t="s">
        <v>1766</v>
      </c>
      <c r="CB3" s="485" t="s">
        <v>1767</v>
      </c>
      <c r="CC3" s="1657"/>
      <c r="CD3" s="486" t="s">
        <v>1768</v>
      </c>
      <c r="CE3" s="486"/>
      <c r="CF3" s="486"/>
      <c r="CG3" s="486"/>
      <c r="CH3" s="486"/>
      <c r="CI3" s="486"/>
      <c r="CJ3" s="486"/>
      <c r="CK3" s="1659"/>
      <c r="CL3" s="1659"/>
      <c r="CM3" s="1661"/>
      <c r="CN3" s="1661"/>
      <c r="CO3" s="1686"/>
      <c r="CP3" s="1690"/>
      <c r="CQ3" s="1691"/>
      <c r="CR3" s="1692"/>
      <c r="CS3" s="1696"/>
      <c r="CT3" s="1697"/>
      <c r="CU3" s="1697"/>
      <c r="CV3" s="1697"/>
      <c r="CW3" s="1698"/>
      <c r="CX3" s="1702"/>
      <c r="CY3" s="1702"/>
      <c r="CZ3" s="1702"/>
      <c r="DA3" s="1704"/>
      <c r="DB3" s="487" t="s">
        <v>1769</v>
      </c>
      <c r="DD3" s="478"/>
      <c r="DE3" s="478"/>
      <c r="DF3" s="488" t="s">
        <v>1764</v>
      </c>
      <c r="DG3" s="488" t="s">
        <v>1765</v>
      </c>
      <c r="DH3" s="488" t="s">
        <v>1766</v>
      </c>
      <c r="DI3" s="488" t="s">
        <v>1767</v>
      </c>
      <c r="DJ3" s="474"/>
      <c r="DK3" s="474"/>
      <c r="DL3" s="474"/>
      <c r="DM3" s="474"/>
      <c r="DN3" s="474"/>
      <c r="DO3" s="474"/>
      <c r="DP3" s="474"/>
      <c r="DQ3" s="474"/>
      <c r="DR3" s="474"/>
      <c r="DS3" s="474"/>
    </row>
    <row r="4" spans="1:123" s="503" customFormat="1" ht="19.5" hidden="1" customHeight="1">
      <c r="A4" s="489" t="s">
        <v>242</v>
      </c>
      <c r="B4" s="490" t="s">
        <v>1770</v>
      </c>
      <c r="C4" s="491">
        <v>1</v>
      </c>
      <c r="D4" s="492">
        <v>2</v>
      </c>
      <c r="E4" s="492">
        <v>3</v>
      </c>
      <c r="F4" s="492">
        <v>4</v>
      </c>
      <c r="G4" s="492">
        <v>1</v>
      </c>
      <c r="H4" s="492">
        <v>2</v>
      </c>
      <c r="I4" s="492" t="s">
        <v>1771</v>
      </c>
      <c r="J4" s="492">
        <v>11</v>
      </c>
      <c r="K4" s="492">
        <v>13</v>
      </c>
      <c r="L4" s="492">
        <v>4</v>
      </c>
      <c r="M4" s="492">
        <v>5</v>
      </c>
      <c r="N4" s="492">
        <v>6</v>
      </c>
      <c r="O4" s="492">
        <v>9</v>
      </c>
      <c r="P4" s="492" t="s">
        <v>1772</v>
      </c>
      <c r="Q4" s="493"/>
      <c r="R4" s="493"/>
      <c r="S4" s="493">
        <v>11</v>
      </c>
      <c r="T4" s="493">
        <v>12</v>
      </c>
      <c r="U4" s="494" t="s">
        <v>1773</v>
      </c>
      <c r="V4" s="494"/>
      <c r="W4" s="494"/>
      <c r="X4" s="494"/>
      <c r="Y4" s="494"/>
      <c r="Z4" s="495"/>
      <c r="AA4" s="496"/>
      <c r="AB4" s="496"/>
      <c r="AC4" s="496"/>
      <c r="AD4" s="496"/>
      <c r="AE4" s="496"/>
      <c r="AF4" s="496"/>
      <c r="AG4" s="496"/>
      <c r="AH4" s="496"/>
      <c r="AI4" s="496"/>
      <c r="AJ4" s="496"/>
      <c r="AK4" s="496"/>
      <c r="AL4" s="496"/>
      <c r="AM4" s="496"/>
      <c r="AN4" s="496"/>
      <c r="AO4" s="496"/>
      <c r="AP4" s="496"/>
      <c r="AQ4" s="496">
        <v>19</v>
      </c>
      <c r="AR4" s="496"/>
      <c r="AS4" s="496">
        <v>20</v>
      </c>
      <c r="AT4" s="496"/>
      <c r="AU4" s="496"/>
      <c r="AV4" s="496"/>
      <c r="AW4" s="496"/>
      <c r="AX4" s="496"/>
      <c r="AY4" s="496"/>
      <c r="AZ4" s="496"/>
      <c r="BA4" s="496"/>
      <c r="BB4" s="496">
        <v>21</v>
      </c>
      <c r="BC4" s="493"/>
      <c r="BD4" s="493"/>
      <c r="BE4" s="493"/>
      <c r="BF4" s="493"/>
      <c r="BG4" s="493"/>
      <c r="BH4" s="497"/>
      <c r="BI4" s="497"/>
      <c r="BJ4" s="497"/>
      <c r="BK4" s="497"/>
      <c r="BL4" s="496">
        <v>22</v>
      </c>
      <c r="BM4" s="496"/>
      <c r="BN4" s="496"/>
      <c r="BO4" s="497"/>
      <c r="BP4" s="497"/>
      <c r="BQ4" s="496">
        <v>22</v>
      </c>
      <c r="BR4" s="496"/>
      <c r="BS4" s="496"/>
      <c r="BT4" s="498"/>
      <c r="BU4" s="499"/>
      <c r="BV4" s="499"/>
      <c r="BW4" s="499"/>
      <c r="BX4" s="499"/>
      <c r="BY4" s="499"/>
      <c r="BZ4" s="499"/>
      <c r="CA4" s="499"/>
      <c r="CB4" s="499"/>
      <c r="CC4" s="499"/>
      <c r="CD4" s="499"/>
      <c r="CE4" s="499"/>
      <c r="CF4" s="499"/>
      <c r="CG4" s="499"/>
      <c r="CH4" s="499"/>
      <c r="CI4" s="499"/>
      <c r="CJ4" s="499"/>
      <c r="CK4" s="500"/>
      <c r="CL4" s="500"/>
      <c r="CM4" s="501"/>
      <c r="CN4" s="501"/>
      <c r="CO4" s="501"/>
      <c r="CP4" s="502" t="s">
        <v>1764</v>
      </c>
      <c r="CQ4" s="502" t="s">
        <v>1765</v>
      </c>
      <c r="CR4" s="502" t="s">
        <v>1766</v>
      </c>
      <c r="CS4" s="1699"/>
      <c r="CT4" s="1700"/>
      <c r="CU4" s="1700"/>
      <c r="CV4" s="1700"/>
      <c r="CW4" s="1701"/>
      <c r="CX4" s="1653"/>
      <c r="CY4" s="1654"/>
      <c r="CZ4" s="1655"/>
      <c r="DA4" s="1705"/>
      <c r="DD4" s="504"/>
      <c r="DE4" s="504"/>
      <c r="DF4" s="499"/>
      <c r="DG4" s="499"/>
      <c r="DH4" s="499"/>
      <c r="DI4" s="499"/>
      <c r="DJ4" s="498"/>
      <c r="DK4" s="498"/>
      <c r="DL4" s="498"/>
      <c r="DM4" s="498"/>
      <c r="DN4" s="498"/>
      <c r="DO4" s="498"/>
      <c r="DP4" s="498"/>
      <c r="DQ4" s="498"/>
      <c r="DR4" s="498"/>
      <c r="DS4" s="498"/>
    </row>
    <row r="5" spans="1:123" ht="45.75" customHeight="1">
      <c r="A5" s="505" t="s">
        <v>1774</v>
      </c>
      <c r="B5" s="506" t="s">
        <v>1775</v>
      </c>
      <c r="C5" s="507">
        <f t="shared" ref="C5:N5" si="0">C6+C13</f>
        <v>9710481914.9799995</v>
      </c>
      <c r="D5" s="507">
        <f t="shared" si="0"/>
        <v>8616324237.6128178</v>
      </c>
      <c r="E5" s="507">
        <f t="shared" si="0"/>
        <v>9387789791.6499996</v>
      </c>
      <c r="F5" s="507">
        <f t="shared" si="0"/>
        <v>9096125532.6599998</v>
      </c>
      <c r="G5" s="507">
        <f t="shared" si="0"/>
        <v>6466647936.96</v>
      </c>
      <c r="H5" s="507">
        <f t="shared" si="0"/>
        <v>0</v>
      </c>
      <c r="I5" s="507">
        <f t="shared" si="0"/>
        <v>7413495620.6225748</v>
      </c>
      <c r="J5" s="507">
        <f>J6+J13</f>
        <v>3567351462.3600006</v>
      </c>
      <c r="K5" s="507">
        <f t="shared" si="0"/>
        <v>1860199430.2326782</v>
      </c>
      <c r="L5" s="507">
        <f t="shared" si="0"/>
        <v>1985944728.029896</v>
      </c>
      <c r="M5" s="507">
        <f t="shared" si="0"/>
        <v>5427550892.5926781</v>
      </c>
      <c r="N5" s="507">
        <f t="shared" si="0"/>
        <v>5325104653.9400005</v>
      </c>
      <c r="O5" s="507">
        <f>O6+O13</f>
        <v>2387596905.2299995</v>
      </c>
      <c r="P5" s="507">
        <f>P6+P13</f>
        <v>7712701559.170001</v>
      </c>
      <c r="Q5" s="507">
        <f>P5-I5</f>
        <v>299205938.54742622</v>
      </c>
      <c r="R5" s="507">
        <f>P5/I5*100-100</f>
        <v>4.0359629769673973</v>
      </c>
      <c r="S5" s="507">
        <f>S6+S13</f>
        <v>6745604540.6784496</v>
      </c>
      <c r="T5" s="507">
        <f>T6+T13</f>
        <v>7483414447.6683702</v>
      </c>
      <c r="U5" s="507">
        <f>U6+U13</f>
        <v>8168002434.8483706</v>
      </c>
      <c r="V5" s="507">
        <f t="shared" ref="V5:V68" si="1">U5-T5</f>
        <v>684587987.18000031</v>
      </c>
      <c r="W5" s="507">
        <f>U5/T5*100-100</f>
        <v>9.1480699347515042</v>
      </c>
      <c r="X5" s="507">
        <f>U5-P5</f>
        <v>455300875.67836952</v>
      </c>
      <c r="Y5" s="507">
        <f>U5/P5*100-100</f>
        <v>5.9032606433091104</v>
      </c>
      <c r="Z5" s="507">
        <f>AN5+AV5</f>
        <v>8370658585.3782253</v>
      </c>
      <c r="AA5" s="507">
        <f>Z5-T5</f>
        <v>887244137.70985508</v>
      </c>
      <c r="AB5" s="507">
        <f>Z5/T5*100-100</f>
        <v>11.856140588154872</v>
      </c>
      <c r="AC5" s="507">
        <f>Z5-U5</f>
        <v>202656150.52985477</v>
      </c>
      <c r="AD5" s="507">
        <f>Z5/U5*100-100</f>
        <v>2.4810980670773688</v>
      </c>
      <c r="AE5" s="507">
        <f>Z5-P5</f>
        <v>657957026.2082243</v>
      </c>
      <c r="AF5" s="507">
        <f>Z5/P5*100-100</f>
        <v>8.5308243961021333</v>
      </c>
      <c r="AG5" s="507">
        <f>AN5+AY5</f>
        <v>8741832872.8699989</v>
      </c>
      <c r="AH5" s="507">
        <f>AG5-U5</f>
        <v>573830438.02162838</v>
      </c>
      <c r="AI5" s="507">
        <f>AG5/U5*100-100</f>
        <v>7.0253460696021506</v>
      </c>
      <c r="AJ5" s="507">
        <f>AG5-Z5</f>
        <v>371174287.49177361</v>
      </c>
      <c r="AK5" s="507">
        <f t="shared" ref="AK5:AK17" si="2">AG5/Z5*100-100</f>
        <v>4.4342303978343693</v>
      </c>
      <c r="AL5" s="507">
        <f>AL6+AL13</f>
        <v>8741832872.8699989</v>
      </c>
      <c r="AM5" s="507">
        <f t="shared" ref="AM5:AN20" si="3">AQ5+AS5</f>
        <v>4059847513.1841202</v>
      </c>
      <c r="AN5" s="507">
        <f t="shared" si="3"/>
        <v>4218296473.1500006</v>
      </c>
      <c r="AO5" s="507">
        <f>AN5-AM5</f>
        <v>158448959.96588039</v>
      </c>
      <c r="AP5" s="507">
        <f>AN5/AM5*100-100</f>
        <v>3.9028303267875515</v>
      </c>
      <c r="AQ5" s="507">
        <f>AQ6+AQ13</f>
        <v>2132834528.0598199</v>
      </c>
      <c r="AR5" s="507">
        <f>AR6+AR13</f>
        <v>2192333442.6289835</v>
      </c>
      <c r="AS5" s="507">
        <f>AS6+AS13</f>
        <v>1927012985.1243</v>
      </c>
      <c r="AT5" s="507">
        <f>AT6+AT13</f>
        <v>2025963030.5210168</v>
      </c>
      <c r="AU5" s="507">
        <f t="shared" ref="AU5:AV26" si="4">BB5+BL5</f>
        <v>4108154921.6642499</v>
      </c>
      <c r="AV5" s="507">
        <f t="shared" si="4"/>
        <v>4152362112.2282248</v>
      </c>
      <c r="AW5" s="507">
        <f>AV5-AU5</f>
        <v>44207190.563974857</v>
      </c>
      <c r="AX5" s="507">
        <f>AV5/AU5*100-100</f>
        <v>1.07608382368565</v>
      </c>
      <c r="AY5" s="507">
        <f t="shared" ref="AY5:AY26" si="5">BD5+BN5</f>
        <v>4523536399.7199993</v>
      </c>
      <c r="AZ5" s="507">
        <f>AV5-AY5</f>
        <v>-371174287.49177456</v>
      </c>
      <c r="BA5" s="507">
        <f>AV5/AY5*100-100</f>
        <v>-8.2054007018656847</v>
      </c>
      <c r="BB5" s="507">
        <f t="shared" ref="BB5:BN5" si="6">BB6+BB13</f>
        <v>2012077493.8994899</v>
      </c>
      <c r="BC5" s="507">
        <f t="shared" si="6"/>
        <v>2030659599.7126293</v>
      </c>
      <c r="BD5" s="507">
        <f>BD6+BD13</f>
        <v>2235079989.0199995</v>
      </c>
      <c r="BE5" s="507">
        <f>BD5-BB5</f>
        <v>223002495.12050962</v>
      </c>
      <c r="BF5" s="507">
        <f>BD5-BC5</f>
        <v>204420389.30737019</v>
      </c>
      <c r="BG5" s="507">
        <f>AM5+BB5</f>
        <v>6071925007.0836105</v>
      </c>
      <c r="BH5" s="507">
        <f>BH6+BH13</f>
        <v>6248956072.8626289</v>
      </c>
      <c r="BI5" s="507">
        <f t="shared" ref="BI5" si="7">BI6+BI13</f>
        <v>6453376462.1700001</v>
      </c>
      <c r="BJ5" s="507">
        <f>BI5-BG5</f>
        <v>381451455.08638954</v>
      </c>
      <c r="BK5" s="507">
        <f>BI5-BH5</f>
        <v>204420389.30737114</v>
      </c>
      <c r="BL5" s="507">
        <f t="shared" si="6"/>
        <v>2096077427.76476</v>
      </c>
      <c r="BM5" s="507">
        <f t="shared" si="6"/>
        <v>2121702512.5155954</v>
      </c>
      <c r="BN5" s="507">
        <f t="shared" si="6"/>
        <v>2288456410.7000003</v>
      </c>
      <c r="BO5" s="507">
        <f>BN5-BL5</f>
        <v>192378982.93524027</v>
      </c>
      <c r="BP5" s="507">
        <f>BN5-BM5</f>
        <v>166753898.18440485</v>
      </c>
      <c r="BQ5" s="507">
        <f t="shared" ref="BQ5:BS5" si="8">BQ6+BQ13</f>
        <v>2096077427.76476</v>
      </c>
      <c r="BR5" s="507">
        <f t="shared" si="8"/>
        <v>0</v>
      </c>
      <c r="BS5" s="507">
        <f t="shared" si="8"/>
        <v>0</v>
      </c>
      <c r="BU5" s="507">
        <f t="shared" ref="BU5:CB5" si="9">BU6+BU13</f>
        <v>0</v>
      </c>
      <c r="BV5" s="507">
        <f t="shared" si="9"/>
        <v>0</v>
      </c>
      <c r="BW5" s="507">
        <f t="shared" si="9"/>
        <v>875715794.93000007</v>
      </c>
      <c r="BX5" s="507">
        <f t="shared" si="9"/>
        <v>7866117077.9399996</v>
      </c>
      <c r="BY5" s="507">
        <f t="shared" si="9"/>
        <v>8243413312.6199999</v>
      </c>
      <c r="BZ5" s="507">
        <f t="shared" si="9"/>
        <v>368661520.16999996</v>
      </c>
      <c r="CA5" s="507">
        <f t="shared" si="9"/>
        <v>129758040.08000001</v>
      </c>
      <c r="CB5" s="507">
        <f t="shared" si="9"/>
        <v>8741832872.8699989</v>
      </c>
      <c r="CC5" s="507">
        <f>AL5-CB5</f>
        <v>0</v>
      </c>
      <c r="CD5" s="507"/>
      <c r="CE5" s="507"/>
      <c r="CF5" s="507"/>
      <c r="CG5" s="507"/>
      <c r="CH5" s="507"/>
      <c r="CI5" s="507"/>
      <c r="CJ5" s="507"/>
      <c r="CK5" s="508"/>
      <c r="CL5" s="508"/>
      <c r="CM5" s="509"/>
      <c r="CN5" s="509"/>
      <c r="CO5" s="510"/>
      <c r="CP5" s="511">
        <f>CP6+CP13</f>
        <v>7739347056.7969093</v>
      </c>
      <c r="CQ5" s="511">
        <f>CQ6+CQ13</f>
        <v>341756816.14699155</v>
      </c>
      <c r="CR5" s="511">
        <f>CR6+CR13</f>
        <v>86898561.904469714</v>
      </c>
      <c r="CS5" s="512" t="s">
        <v>1776</v>
      </c>
      <c r="CT5" s="513" t="s">
        <v>1777</v>
      </c>
      <c r="CU5" s="514" t="s">
        <v>1778</v>
      </c>
      <c r="CV5" s="513" t="s">
        <v>1779</v>
      </c>
      <c r="CW5" s="515" t="s">
        <v>1780</v>
      </c>
      <c r="CX5" s="510"/>
      <c r="CY5" s="510"/>
      <c r="CZ5" s="510"/>
      <c r="DA5" s="516"/>
      <c r="DB5" s="511">
        <f>DB6+DB13</f>
        <v>2192333442.6289835</v>
      </c>
      <c r="DD5" s="517"/>
      <c r="DE5" s="517"/>
      <c r="DF5" s="507">
        <f t="shared" ref="DF5:DI5" si="10">DF6+DF13</f>
        <v>8243413.31262</v>
      </c>
      <c r="DG5" s="507">
        <f t="shared" si="10"/>
        <v>368661.52016999997</v>
      </c>
      <c r="DH5" s="507">
        <f t="shared" si="10"/>
        <v>129758.04008000001</v>
      </c>
      <c r="DI5" s="507">
        <f t="shared" si="10"/>
        <v>8741832.8728700001</v>
      </c>
    </row>
    <row r="6" spans="1:123" ht="63.75" customHeight="1">
      <c r="A6" s="505" t="s">
        <v>1781</v>
      </c>
      <c r="B6" s="506" t="s">
        <v>1782</v>
      </c>
      <c r="C6" s="507">
        <f t="shared" ref="C6:S6" si="11">C7+C8+C9</f>
        <v>8985197962.1800003</v>
      </c>
      <c r="D6" s="507">
        <f t="shared" si="11"/>
        <v>8616324237.6128178</v>
      </c>
      <c r="E6" s="507">
        <f t="shared" si="11"/>
        <v>9295485145.3099995</v>
      </c>
      <c r="F6" s="507">
        <f t="shared" si="11"/>
        <v>8839939245.3899994</v>
      </c>
      <c r="G6" s="507">
        <f t="shared" si="11"/>
        <v>6466647936.96</v>
      </c>
      <c r="H6" s="507">
        <f t="shared" si="11"/>
        <v>0</v>
      </c>
      <c r="I6" s="507">
        <f t="shared" si="11"/>
        <v>6906341593.9525747</v>
      </c>
      <c r="J6" s="507">
        <f>J7+J8+J9</f>
        <v>3266781054.3100004</v>
      </c>
      <c r="K6" s="507">
        <f t="shared" si="11"/>
        <v>1777425728.3426781</v>
      </c>
      <c r="L6" s="507">
        <f t="shared" si="11"/>
        <v>1862134811.299896</v>
      </c>
      <c r="M6" s="507">
        <f t="shared" si="11"/>
        <v>5044206782.6526785</v>
      </c>
      <c r="N6" s="507">
        <f t="shared" si="11"/>
        <v>4953087802.1100006</v>
      </c>
      <c r="O6" s="507">
        <f>O7+O8+O9</f>
        <v>1811785001.5499995</v>
      </c>
      <c r="P6" s="507">
        <f>P7+P8+P9</f>
        <v>6764872803.6600008</v>
      </c>
      <c r="Q6" s="507">
        <f t="shared" ref="Q6:Q69" si="12">P6-I6</f>
        <v>-141468790.29257393</v>
      </c>
      <c r="R6" s="507">
        <f t="shared" ref="R6:R69" si="13">P6/I6*100-100</f>
        <v>-2.0483897063019469</v>
      </c>
      <c r="S6" s="507">
        <f t="shared" si="11"/>
        <v>6745604540.6784496</v>
      </c>
      <c r="T6" s="507">
        <f>T7+T8+T9</f>
        <v>7483414447.6683702</v>
      </c>
      <c r="U6" s="507">
        <f>U7+U8+U9</f>
        <v>7861555223.4983702</v>
      </c>
      <c r="V6" s="507">
        <f t="shared" si="1"/>
        <v>378140775.82999992</v>
      </c>
      <c r="W6" s="507">
        <f t="shared" ref="W6:W69" si="14">U6/T6*100-100</f>
        <v>5.0530513641111838</v>
      </c>
      <c r="X6" s="507">
        <f t="shared" ref="X6:X69" si="15">U6-P6</f>
        <v>1096682419.8383694</v>
      </c>
      <c r="Y6" s="507">
        <f t="shared" ref="Y6:Y69" si="16">U6/P6*100-100</f>
        <v>16.211427053662135</v>
      </c>
      <c r="Z6" s="507">
        <f t="shared" ref="Z6:Z69" si="17">AN6+AV6</f>
        <v>7862942261.8182249</v>
      </c>
      <c r="AA6" s="507">
        <f t="shared" ref="AA6:AA69" si="18">Z6-T6</f>
        <v>379527814.14985466</v>
      </c>
      <c r="AB6" s="507">
        <f t="shared" ref="AB6:AB69" si="19">Z6/T6*100-100</f>
        <v>5.0715861964334437</v>
      </c>
      <c r="AC6" s="507">
        <f t="shared" ref="AC6:AC69" si="20">Z6-U6</f>
        <v>1387038.3198547363</v>
      </c>
      <c r="AD6" s="507">
        <f t="shared" ref="AD6:AD69" si="21">Z6/U6*100-100</f>
        <v>1.7643306959286065E-2</v>
      </c>
      <c r="AE6" s="507">
        <f t="shared" ref="AE6:AE69" si="22">Z6-P6</f>
        <v>1098069458.1582241</v>
      </c>
      <c r="AF6" s="507">
        <f t="shared" ref="AF6:AF69" si="23">Z6/P6*100-100</f>
        <v>16.231930592458951</v>
      </c>
      <c r="AG6" s="507">
        <f>AN6+AY6</f>
        <v>7866117077.9399996</v>
      </c>
      <c r="AH6" s="507">
        <f t="shared" ref="AH6:AH69" si="24">AG6-U6</f>
        <v>4561854.4416294098</v>
      </c>
      <c r="AI6" s="507">
        <f t="shared" ref="AI6:AI69" si="25">AG6/U6*100-100</f>
        <v>5.8027378959238263E-2</v>
      </c>
      <c r="AJ6" s="507">
        <f t="shared" ref="AJ6:AJ69" si="26">AG6-Z6</f>
        <v>3174816.1217746735</v>
      </c>
      <c r="AK6" s="507">
        <f t="shared" si="2"/>
        <v>4.0376948171044091E-2</v>
      </c>
      <c r="AL6" s="507">
        <f>AL7+AL8+AL9</f>
        <v>7866117077.9399996</v>
      </c>
      <c r="AM6" s="507">
        <f t="shared" si="3"/>
        <v>3836113497.3541203</v>
      </c>
      <c r="AN6" s="507">
        <f t="shared" si="3"/>
        <v>3836163533.9700003</v>
      </c>
      <c r="AO6" s="507">
        <f t="shared" ref="AO6:AO69" si="27">AN6-AM6</f>
        <v>50036.615880012512</v>
      </c>
      <c r="AP6" s="507">
        <f>AN6/AM6*100-100</f>
        <v>1.3043570247504022E-3</v>
      </c>
      <c r="AQ6" s="507">
        <f>AQ7+AQ8+AQ9</f>
        <v>1951623622.46982</v>
      </c>
      <c r="AR6" s="507">
        <f>AR7+AR8+AR9</f>
        <v>1917302434.3289833</v>
      </c>
      <c r="AS6" s="507">
        <f>AS7+AS8+AS9</f>
        <v>1884489874.8843</v>
      </c>
      <c r="AT6" s="507">
        <f>AT7+AT8+AT9</f>
        <v>1918861099.641017</v>
      </c>
      <c r="AU6" s="507">
        <f t="shared" si="4"/>
        <v>4025441726.1442499</v>
      </c>
      <c r="AV6" s="507">
        <f t="shared" si="4"/>
        <v>4026778727.8482246</v>
      </c>
      <c r="AW6" s="507">
        <f t="shared" ref="AW6:AW69" si="28">AV6-AU6</f>
        <v>1337001.7039747238</v>
      </c>
      <c r="AX6" s="507">
        <f t="shared" ref="AX6:AX69" si="29">AV6/AU6*100-100</f>
        <v>3.3213788571103464E-2</v>
      </c>
      <c r="AY6" s="507">
        <f t="shared" si="5"/>
        <v>4029953543.9699993</v>
      </c>
      <c r="AZ6" s="507">
        <f t="shared" ref="AZ6:AZ69" si="30">AV6-AY6</f>
        <v>-3174816.1217746735</v>
      </c>
      <c r="BA6" s="507">
        <f t="shared" ref="BA6:BA69" si="31">AV6/AY6*100-100</f>
        <v>-7.8780464517393511E-2</v>
      </c>
      <c r="BB6" s="507">
        <f t="shared" ref="BB6:BN6" si="32">BB7+BB8+BB9</f>
        <v>1968613706.31949</v>
      </c>
      <c r="BC6" s="507">
        <f t="shared" si="32"/>
        <v>1969337725.3226292</v>
      </c>
      <c r="BD6" s="507">
        <f t="shared" si="32"/>
        <v>1971193773.4799993</v>
      </c>
      <c r="BE6" s="507">
        <f t="shared" ref="BE6:BE69" si="33">BD6-BB6</f>
        <v>2580067.1605093479</v>
      </c>
      <c r="BF6" s="507">
        <f t="shared" ref="BF6:BF69" si="34">BD6-BC6</f>
        <v>1856048.1573700905</v>
      </c>
      <c r="BG6" s="507">
        <f t="shared" ref="BG6:BH68" si="35">AM6+BB6</f>
        <v>5804727203.6736107</v>
      </c>
      <c r="BH6" s="507">
        <f t="shared" ref="BH6:BI6" si="36">BH7+BH8+BH9</f>
        <v>5805501259.2926292</v>
      </c>
      <c r="BI6" s="507">
        <f t="shared" si="36"/>
        <v>5807357307.4499998</v>
      </c>
      <c r="BJ6" s="507">
        <f t="shared" ref="BJ6:BJ69" si="37">BI6-BG6</f>
        <v>2630103.776389122</v>
      </c>
      <c r="BK6" s="507">
        <f t="shared" ref="BK6:BK69" si="38">BI6-BH6</f>
        <v>1856048.1573705673</v>
      </c>
      <c r="BL6" s="507">
        <f t="shared" si="32"/>
        <v>2056828019.82476</v>
      </c>
      <c r="BM6" s="507">
        <f t="shared" si="32"/>
        <v>2057441002.5255954</v>
      </c>
      <c r="BN6" s="507">
        <f t="shared" si="32"/>
        <v>2058759770.49</v>
      </c>
      <c r="BO6" s="507">
        <f t="shared" ref="BO6" si="39">BN6-BL6</f>
        <v>1931750.6652400494</v>
      </c>
      <c r="BP6" s="507">
        <f t="shared" ref="BP6:BP69" si="40">BN6-BM6</f>
        <v>1318767.964404583</v>
      </c>
      <c r="BQ6" s="507">
        <f t="shared" ref="BQ6:BS6" si="41">BQ7+BQ8+BQ9</f>
        <v>2056828019.82476</v>
      </c>
      <c r="BR6" s="507">
        <f t="shared" si="41"/>
        <v>0</v>
      </c>
      <c r="BS6" s="507">
        <f t="shared" si="41"/>
        <v>0</v>
      </c>
      <c r="BT6" s="518"/>
      <c r="BU6" s="507">
        <f t="shared" ref="BU6:BX6" si="42">BU7+BU8+BU9</f>
        <v>0</v>
      </c>
      <c r="BV6" s="507">
        <f t="shared" si="42"/>
        <v>0</v>
      </c>
      <c r="BW6" s="507">
        <f t="shared" si="42"/>
        <v>0</v>
      </c>
      <c r="BX6" s="507">
        <f t="shared" si="42"/>
        <v>7866117077.9399996</v>
      </c>
      <c r="BY6" s="507">
        <f>SUM(BY7:BY9)</f>
        <v>7509867761.4899998</v>
      </c>
      <c r="BZ6" s="507">
        <f t="shared" ref="BZ6:CB6" si="43">SUM(BZ7:BZ9)</f>
        <v>303810614.52999997</v>
      </c>
      <c r="CA6" s="507">
        <f t="shared" si="43"/>
        <v>52438701.919999994</v>
      </c>
      <c r="CB6" s="507">
        <f t="shared" si="43"/>
        <v>7866117077.9399996</v>
      </c>
      <c r="CC6" s="507">
        <f t="shared" ref="CC6:CC69" si="44">AL6-CB6</f>
        <v>0</v>
      </c>
      <c r="CD6" s="507"/>
      <c r="CE6" s="507"/>
      <c r="CF6" s="507"/>
      <c r="CG6" s="507"/>
      <c r="CH6" s="507"/>
      <c r="CI6" s="507"/>
      <c r="CJ6" s="507"/>
      <c r="CK6" s="508"/>
      <c r="CL6" s="508"/>
      <c r="CM6" s="509"/>
      <c r="CN6" s="509"/>
      <c r="CO6" s="510"/>
      <c r="CP6" s="511">
        <f>CP7+CP8+CP9</f>
        <v>7483414447.6683702</v>
      </c>
      <c r="CQ6" s="511">
        <f>CQ7+CQ8+CQ9</f>
        <v>331178000</v>
      </c>
      <c r="CR6" s="511">
        <f>CR7+CR8+CR9</f>
        <v>46962775.830000006</v>
      </c>
      <c r="CS6" s="519" t="s">
        <v>1464</v>
      </c>
      <c r="CT6" s="514">
        <f>CT7+CT8+CT9</f>
        <v>4886830915.8299999</v>
      </c>
      <c r="CU6" s="514">
        <f>CU7+CU8+CU9</f>
        <v>100.00000000000001</v>
      </c>
      <c r="CV6" s="514">
        <f>CV7+CV8</f>
        <v>4839868140</v>
      </c>
      <c r="CW6" s="515">
        <f>CW7+CW8</f>
        <v>100</v>
      </c>
      <c r="CX6" s="1670" t="s">
        <v>1783</v>
      </c>
      <c r="CY6" s="1671"/>
      <c r="CZ6" s="1672"/>
      <c r="DA6" s="1676" t="s">
        <v>1784</v>
      </c>
      <c r="DB6" s="511">
        <f>DB7+DB8+DB9</f>
        <v>1917302434.3289833</v>
      </c>
      <c r="DD6" s="517"/>
      <c r="DE6" s="517"/>
      <c r="DF6" s="507">
        <f>SUM(DF7:DF9)</f>
        <v>7509867.7614899995</v>
      </c>
      <c r="DG6" s="507">
        <f t="shared" ref="DG6:DI6" si="45">SUM(DG7:DG9)</f>
        <v>303810.61452999996</v>
      </c>
      <c r="DH6" s="507">
        <f t="shared" si="45"/>
        <v>52438.701919999992</v>
      </c>
      <c r="DI6" s="507">
        <f t="shared" si="45"/>
        <v>7866117.0779399993</v>
      </c>
      <c r="DJ6" s="518"/>
      <c r="DK6" s="518"/>
    </row>
    <row r="7" spans="1:123" s="534" customFormat="1" ht="60.75" customHeight="1">
      <c r="A7" s="520" t="s">
        <v>1785</v>
      </c>
      <c r="B7" s="521" t="s">
        <v>1786</v>
      </c>
      <c r="C7" s="522">
        <v>8662185307.4900017</v>
      </c>
      <c r="D7" s="522">
        <v>8616324237.6128178</v>
      </c>
      <c r="E7" s="522">
        <v>8693195481.8400002</v>
      </c>
      <c r="F7" s="522">
        <v>8575081705.4399996</v>
      </c>
      <c r="G7" s="523">
        <v>6466647936.96</v>
      </c>
      <c r="H7" s="523">
        <v>0</v>
      </c>
      <c r="I7" s="522">
        <f>J7+K7+L7</f>
        <v>6437732087.9137602</v>
      </c>
      <c r="J7" s="522">
        <v>3174404394.6100001</v>
      </c>
      <c r="K7" s="522">
        <v>1632171202.2720001</v>
      </c>
      <c r="L7" s="522">
        <v>1631156491.03176</v>
      </c>
      <c r="M7" s="522">
        <f>J7+K7</f>
        <v>4806575596.882</v>
      </c>
      <c r="N7" s="522">
        <v>4818131350.4100008</v>
      </c>
      <c r="O7" s="522">
        <f>P7-N7</f>
        <v>1638131181.8599997</v>
      </c>
      <c r="P7" s="522">
        <v>6456262532.2700005</v>
      </c>
      <c r="Q7" s="522">
        <f t="shared" si="12"/>
        <v>18530444.356240273</v>
      </c>
      <c r="R7" s="522">
        <f t="shared" si="13"/>
        <v>0.28784118542350257</v>
      </c>
      <c r="S7" s="522">
        <v>6745604540.6784496</v>
      </c>
      <c r="T7" s="522">
        <f>7483414.44766837*1000</f>
        <v>7483414447.6683702</v>
      </c>
      <c r="U7" s="522">
        <f>AQ7+AS7+BB7+BL7</f>
        <v>7483414447.6683702</v>
      </c>
      <c r="V7" s="522">
        <f>U7-T7</f>
        <v>0</v>
      </c>
      <c r="W7" s="522">
        <f t="shared" si="14"/>
        <v>0</v>
      </c>
      <c r="X7" s="522">
        <f>U7-P7</f>
        <v>1027151915.3983698</v>
      </c>
      <c r="Y7" s="522">
        <f t="shared" si="16"/>
        <v>15.909388911377278</v>
      </c>
      <c r="Z7" s="524">
        <f t="shared" si="17"/>
        <v>7484350937.8482246</v>
      </c>
      <c r="AA7" s="522">
        <f t="shared" si="18"/>
        <v>936490.17985439301</v>
      </c>
      <c r="AB7" s="522">
        <f t="shared" si="19"/>
        <v>1.2514209742136018E-2</v>
      </c>
      <c r="AC7" s="522">
        <f t="shared" si="20"/>
        <v>936490.17985439301</v>
      </c>
      <c r="AD7" s="522">
        <f t="shared" si="21"/>
        <v>1.2514209742136018E-2</v>
      </c>
      <c r="AE7" s="522">
        <f t="shared" si="22"/>
        <v>1028088405.5782242</v>
      </c>
      <c r="AF7" s="522">
        <f t="shared" si="23"/>
        <v>15.923894055416483</v>
      </c>
      <c r="AG7" s="522">
        <f t="shared" ref="AG7:AG70" si="46">AN7+AY7</f>
        <v>7509867761.4899998</v>
      </c>
      <c r="AH7" s="522">
        <f t="shared" si="24"/>
        <v>26453313.821629524</v>
      </c>
      <c r="AI7" s="522">
        <f t="shared" si="25"/>
        <v>0.3534925668839719</v>
      </c>
      <c r="AJ7" s="522">
        <f t="shared" si="26"/>
        <v>25516823.641775131</v>
      </c>
      <c r="AK7" s="522">
        <f t="shared" si="2"/>
        <v>0.34093569173430183</v>
      </c>
      <c r="AL7" s="522">
        <f>BX7</f>
        <v>7509867761.4899998</v>
      </c>
      <c r="AM7" s="522">
        <f t="shared" si="3"/>
        <v>3682302861.9341202</v>
      </c>
      <c r="AN7" s="522">
        <f>AR7+AT7</f>
        <v>3692620344.9000001</v>
      </c>
      <c r="AO7" s="522">
        <f t="shared" si="27"/>
        <v>10317482.965879917</v>
      </c>
      <c r="AP7" s="522">
        <f t="shared" ref="AP7:AP70" si="47">AN7/AM7*100-100</f>
        <v>0.28019104763319547</v>
      </c>
      <c r="AQ7" s="522">
        <f>1882703.75319982*1000</f>
        <v>1882703753.19982</v>
      </c>
      <c r="AR7" s="522">
        <v>1876694317.8389833</v>
      </c>
      <c r="AS7" s="522">
        <f>1799599.1087343*1000</f>
        <v>1799599108.7342999</v>
      </c>
      <c r="AT7" s="522">
        <v>1815926027.0610168</v>
      </c>
      <c r="AU7" s="522">
        <f t="shared" si="4"/>
        <v>3801111585.7342501</v>
      </c>
      <c r="AV7" s="522">
        <f t="shared" si="4"/>
        <v>3791730592.948225</v>
      </c>
      <c r="AW7" s="522">
        <f t="shared" si="28"/>
        <v>-9380992.7860250473</v>
      </c>
      <c r="AX7" s="522">
        <f t="shared" si="29"/>
        <v>-0.24679603780199955</v>
      </c>
      <c r="AY7" s="522">
        <f t="shared" si="5"/>
        <v>3817247416.5899997</v>
      </c>
      <c r="AZ7" s="522">
        <f t="shared" si="30"/>
        <v>-25516823.641774654</v>
      </c>
      <c r="BA7" s="522">
        <v>0</v>
      </c>
      <c r="BB7" s="522">
        <f>1882264.38156949*1000</f>
        <v>1882264381.56949</v>
      </c>
      <c r="BC7" s="525">
        <f>'[67]Дир_ по реал.услуг'!AT7</f>
        <v>1877480971.5526292</v>
      </c>
      <c r="BD7" s="525">
        <f>BI7-AN7</f>
        <v>1919858407.3299994</v>
      </c>
      <c r="BE7" s="525">
        <f>BD7-BB7</f>
        <v>37594025.760509491</v>
      </c>
      <c r="BF7" s="525">
        <f>BD7-BC7</f>
        <v>42377435.777370214</v>
      </c>
      <c r="BG7" s="525">
        <f t="shared" si="35"/>
        <v>5564567243.5036106</v>
      </c>
      <c r="BH7" s="522">
        <f>AN7+BC7</f>
        <v>5570101316.4526291</v>
      </c>
      <c r="BI7" s="522">
        <v>5612478752.2299995</v>
      </c>
      <c r="BJ7" s="522">
        <f>BI7-BG7</f>
        <v>47911508.726388931</v>
      </c>
      <c r="BK7" s="522">
        <f t="shared" si="38"/>
        <v>42377435.777370453</v>
      </c>
      <c r="BL7" s="525">
        <f>1918847.20416476*1000</f>
        <v>1918847204.1647599</v>
      </c>
      <c r="BM7" s="522">
        <f>'[67]Дир_ по реал.услуг'!AW7</f>
        <v>1914249621.3955956</v>
      </c>
      <c r="BN7" s="522">
        <f>AL7-BI7</f>
        <v>1897389009.2600002</v>
      </c>
      <c r="BO7" s="522">
        <f>BN7-BL7</f>
        <v>-21458194.904759645</v>
      </c>
      <c r="BP7" s="522">
        <f t="shared" si="40"/>
        <v>-16860612.135595322</v>
      </c>
      <c r="BQ7" s="525">
        <f>1918847.20416476*1000</f>
        <v>1918847204.1647599</v>
      </c>
      <c r="BR7" s="522">
        <f>'[67]Дир_ по реал.услуг'!BB7</f>
        <v>0</v>
      </c>
      <c r="BS7" s="522">
        <f>'[67]Дир_ по реал.услуг'!BC7</f>
        <v>0</v>
      </c>
      <c r="BT7" s="518"/>
      <c r="BU7" s="522"/>
      <c r="BV7" s="522"/>
      <c r="BW7" s="522"/>
      <c r="BX7" s="522">
        <v>7509867761.4899998</v>
      </c>
      <c r="BY7" s="522">
        <f>BX7</f>
        <v>7509867761.4899998</v>
      </c>
      <c r="BZ7" s="522"/>
      <c r="CA7" s="522"/>
      <c r="CB7" s="522">
        <f>SUM(BY7:CA7)</f>
        <v>7509867761.4899998</v>
      </c>
      <c r="CC7" s="522">
        <f t="shared" si="44"/>
        <v>0</v>
      </c>
      <c r="CD7" s="522"/>
      <c r="CE7" s="522"/>
      <c r="CF7" s="522"/>
      <c r="CG7" s="522"/>
      <c r="CH7" s="522"/>
      <c r="CI7" s="522"/>
      <c r="CJ7" s="522"/>
      <c r="CK7" s="526" t="s">
        <v>78</v>
      </c>
      <c r="CL7" s="526" t="s">
        <v>1787</v>
      </c>
      <c r="CM7" s="527"/>
      <c r="CN7" s="527"/>
      <c r="CO7" s="528"/>
      <c r="CP7" s="529">
        <f>U7</f>
        <v>7483414447.6683702</v>
      </c>
      <c r="CQ7" s="529"/>
      <c r="CR7" s="529"/>
      <c r="CS7" s="530" t="s">
        <v>1788</v>
      </c>
      <c r="CT7" s="531">
        <f>4508690.14*1000</f>
        <v>4508690140</v>
      </c>
      <c r="CU7" s="532">
        <f>CT7/CT6*100</f>
        <v>92.26204502789156</v>
      </c>
      <c r="CV7" s="533">
        <f>CT7</f>
        <v>4508690140</v>
      </c>
      <c r="CW7" s="532">
        <f>CV7/CV6*100</f>
        <v>93.157292917488448</v>
      </c>
      <c r="CX7" s="1673"/>
      <c r="CY7" s="1674"/>
      <c r="CZ7" s="1675"/>
      <c r="DA7" s="1677"/>
      <c r="DB7" s="529">
        <f>2214499295.05/1.18</f>
        <v>1876694317.8389833</v>
      </c>
      <c r="DD7" s="535"/>
      <c r="DE7" s="535"/>
      <c r="DF7" s="522">
        <f>BY7/1000</f>
        <v>7509867.7614899995</v>
      </c>
      <c r="DG7" s="522">
        <f>BZ7/1000</f>
        <v>0</v>
      </c>
      <c r="DH7" s="522">
        <f>CA7/1000</f>
        <v>0</v>
      </c>
      <c r="DI7" s="522">
        <f>CB7/1000</f>
        <v>7509867.7614899995</v>
      </c>
      <c r="DJ7" s="518"/>
      <c r="DK7" s="518"/>
      <c r="DL7" s="536"/>
      <c r="DM7" s="536"/>
      <c r="DN7" s="536"/>
      <c r="DO7" s="536"/>
      <c r="DP7" s="536"/>
      <c r="DQ7" s="536"/>
      <c r="DR7" s="536"/>
      <c r="DS7" s="536"/>
    </row>
    <row r="8" spans="1:123" s="534" customFormat="1" ht="86.25" customHeight="1">
      <c r="A8" s="537" t="s">
        <v>1789</v>
      </c>
      <c r="B8" s="538" t="s">
        <v>1790</v>
      </c>
      <c r="C8" s="539">
        <v>274092379.47000003</v>
      </c>
      <c r="D8" s="525"/>
      <c r="E8" s="525">
        <v>501001501</v>
      </c>
      <c r="F8" s="525">
        <v>206797513.44999999</v>
      </c>
      <c r="G8" s="540">
        <v>0</v>
      </c>
      <c r="H8" s="540">
        <v>0</v>
      </c>
      <c r="I8" s="525">
        <f>J8+K8+L8</f>
        <v>419417985.56881404</v>
      </c>
      <c r="J8" s="525">
        <v>75018788.840000004</v>
      </c>
      <c r="K8" s="525">
        <v>129379492.84067799</v>
      </c>
      <c r="L8" s="525">
        <v>215019703.888136</v>
      </c>
      <c r="M8" s="525">
        <f>J8+K8</f>
        <v>204398281.68067801</v>
      </c>
      <c r="N8" s="525">
        <v>107095996.73999999</v>
      </c>
      <c r="O8" s="525">
        <f>P8-N8</f>
        <v>159325557.13999999</v>
      </c>
      <c r="P8" s="522">
        <v>266421553.88</v>
      </c>
      <c r="Q8" s="525">
        <f t="shared" si="12"/>
        <v>-152996431.68881404</v>
      </c>
      <c r="R8" s="525">
        <f t="shared" si="13"/>
        <v>-36.478271546061748</v>
      </c>
      <c r="S8" s="525"/>
      <c r="T8" s="525">
        <v>0</v>
      </c>
      <c r="U8" s="522">
        <f>AQ8+AS8+BB8+BL8</f>
        <v>331178000</v>
      </c>
      <c r="V8" s="522">
        <f t="shared" si="1"/>
        <v>331178000</v>
      </c>
      <c r="W8" s="522">
        <v>0</v>
      </c>
      <c r="X8" s="522">
        <f t="shared" si="15"/>
        <v>64756446.120000005</v>
      </c>
      <c r="Y8" s="522">
        <f t="shared" si="16"/>
        <v>24.306008720738561</v>
      </c>
      <c r="Z8" s="524">
        <f t="shared" si="17"/>
        <v>331177994.85000002</v>
      </c>
      <c r="AA8" s="522">
        <f t="shared" si="18"/>
        <v>331177994.85000002</v>
      </c>
      <c r="AB8" s="522">
        <v>0</v>
      </c>
      <c r="AC8" s="522">
        <f t="shared" si="20"/>
        <v>-5.1499999761581421</v>
      </c>
      <c r="AD8" s="522">
        <f t="shared" si="21"/>
        <v>-1.5550549790077639E-6</v>
      </c>
      <c r="AE8" s="522">
        <f t="shared" si="22"/>
        <v>64756440.970000029</v>
      </c>
      <c r="AF8" s="522">
        <f t="shared" si="23"/>
        <v>24.306006787711794</v>
      </c>
      <c r="AG8" s="522">
        <f t="shared" si="46"/>
        <v>303810614.52999997</v>
      </c>
      <c r="AH8" s="522">
        <f t="shared" si="24"/>
        <v>-27367385.470000029</v>
      </c>
      <c r="AI8" s="522">
        <f t="shared" si="25"/>
        <v>-8.2636483914994443</v>
      </c>
      <c r="AJ8" s="522">
        <f t="shared" si="26"/>
        <v>-27367380.320000052</v>
      </c>
      <c r="AK8" s="522">
        <f t="shared" si="2"/>
        <v>-8.2636469649487196</v>
      </c>
      <c r="AL8" s="522">
        <f>BX8</f>
        <v>303810614.52999997</v>
      </c>
      <c r="AM8" s="522">
        <f t="shared" si="3"/>
        <v>132576000</v>
      </c>
      <c r="AN8" s="522">
        <f t="shared" si="3"/>
        <v>119869673.81</v>
      </c>
      <c r="AO8" s="522">
        <f t="shared" si="27"/>
        <v>-12706326.189999998</v>
      </c>
      <c r="AP8" s="522">
        <f t="shared" si="47"/>
        <v>-9.5841828008085912</v>
      </c>
      <c r="AQ8" s="522">
        <v>59893000</v>
      </c>
      <c r="AR8" s="522">
        <v>29533481.440000001</v>
      </c>
      <c r="AS8" s="522">
        <v>72683000</v>
      </c>
      <c r="AT8" s="522">
        <v>90336192.370000005</v>
      </c>
      <c r="AU8" s="522">
        <f t="shared" si="4"/>
        <v>198602000</v>
      </c>
      <c r="AV8" s="522">
        <f t="shared" si="4"/>
        <v>211308321.03999999</v>
      </c>
      <c r="AW8" s="522">
        <f t="shared" si="28"/>
        <v>12706321.039999992</v>
      </c>
      <c r="AX8" s="522">
        <f t="shared" si="29"/>
        <v>6.3978817131750816</v>
      </c>
      <c r="AY8" s="522">
        <f t="shared" si="5"/>
        <v>183940940.71999997</v>
      </c>
      <c r="AZ8" s="522">
        <f t="shared" si="30"/>
        <v>27367380.320000023</v>
      </c>
      <c r="BA8" s="522">
        <f t="shared" si="31"/>
        <v>14.878351830144993</v>
      </c>
      <c r="BB8" s="522">
        <v>73595000</v>
      </c>
      <c r="BC8" s="525">
        <f>'[67]Дир_ по кап.стр.'!AT7</f>
        <v>79948160.519999996</v>
      </c>
      <c r="BD8" s="525">
        <f>BI8-AN8</f>
        <v>36132041.060000002</v>
      </c>
      <c r="BE8" s="525">
        <f t="shared" si="33"/>
        <v>-37462958.939999998</v>
      </c>
      <c r="BF8" s="525">
        <f t="shared" si="34"/>
        <v>-43816119.459999993</v>
      </c>
      <c r="BG8" s="525">
        <f t="shared" si="35"/>
        <v>206171000</v>
      </c>
      <c r="BH8" s="522">
        <f>AN8+BC8</f>
        <v>199817834.32999998</v>
      </c>
      <c r="BI8" s="522">
        <v>156001714.87</v>
      </c>
      <c r="BJ8" s="522">
        <f t="shared" si="37"/>
        <v>-50169285.129999995</v>
      </c>
      <c r="BK8" s="522">
        <f t="shared" si="38"/>
        <v>-43816119.459999979</v>
      </c>
      <c r="BL8" s="525">
        <v>125007000</v>
      </c>
      <c r="BM8" s="522">
        <f>'[67]Дир_ по кап.стр.'!AW7</f>
        <v>131360160.52</v>
      </c>
      <c r="BN8" s="522">
        <f>AL8-BI8</f>
        <v>147808899.65999997</v>
      </c>
      <c r="BO8" s="522">
        <f t="shared" ref="BO8:BO71" si="48">BN8-BL8</f>
        <v>22801899.659999967</v>
      </c>
      <c r="BP8" s="522">
        <f t="shared" si="40"/>
        <v>16448739.139999971</v>
      </c>
      <c r="BQ8" s="525">
        <v>125007000</v>
      </c>
      <c r="BR8" s="522">
        <f>'[67]Дир_ по кап.стр.'!BB7</f>
        <v>0</v>
      </c>
      <c r="BS8" s="522">
        <f>'[67]Дир_ по кап.стр.'!BC7</f>
        <v>0</v>
      </c>
      <c r="BT8" s="541"/>
      <c r="BU8" s="522"/>
      <c r="BV8" s="522"/>
      <c r="BW8" s="522"/>
      <c r="BX8" s="522">
        <v>303810614.52999997</v>
      </c>
      <c r="BY8" s="522"/>
      <c r="BZ8" s="522">
        <f>BX8</f>
        <v>303810614.52999997</v>
      </c>
      <c r="CA8" s="522"/>
      <c r="CB8" s="522">
        <f>SUM(BY8:CA8)</f>
        <v>303810614.52999997</v>
      </c>
      <c r="CC8" s="522">
        <f t="shared" si="44"/>
        <v>0</v>
      </c>
      <c r="CD8" s="522"/>
      <c r="CE8" s="522"/>
      <c r="CF8" s="522"/>
      <c r="CG8" s="522"/>
      <c r="CH8" s="522"/>
      <c r="CI8" s="522"/>
      <c r="CJ8" s="522"/>
      <c r="CK8" s="542" t="s">
        <v>1791</v>
      </c>
      <c r="CL8" s="543" t="s">
        <v>1792</v>
      </c>
      <c r="CM8" s="509"/>
      <c r="CN8" s="509"/>
      <c r="CO8" s="528"/>
      <c r="CP8" s="544"/>
      <c r="CQ8" s="544">
        <f>U8</f>
        <v>331178000</v>
      </c>
      <c r="CR8" s="544"/>
      <c r="CS8" s="545" t="s">
        <v>1793</v>
      </c>
      <c r="CT8" s="546">
        <f>U8</f>
        <v>331178000</v>
      </c>
      <c r="CU8" s="547">
        <f>CT8/CT6*100</f>
        <v>6.7769482043507816</v>
      </c>
      <c r="CV8" s="546">
        <f>CT8</f>
        <v>331178000</v>
      </c>
      <c r="CW8" s="547">
        <f>CV8/CV6*100</f>
        <v>6.8427070825115495</v>
      </c>
      <c r="CX8" s="1670" t="s">
        <v>1794</v>
      </c>
      <c r="CY8" s="1671"/>
      <c r="CZ8" s="1672"/>
      <c r="DA8" s="1676" t="s">
        <v>1795</v>
      </c>
      <c r="DB8" s="544">
        <v>29533481.440000001</v>
      </c>
      <c r="DD8" s="535"/>
      <c r="DE8" s="535"/>
      <c r="DF8" s="522">
        <f t="shared" ref="DF8:DI26" si="49">BY8/1000</f>
        <v>0</v>
      </c>
      <c r="DG8" s="522">
        <f t="shared" si="49"/>
        <v>303810.61452999996</v>
      </c>
      <c r="DH8" s="522">
        <f t="shared" si="49"/>
        <v>0</v>
      </c>
      <c r="DI8" s="522">
        <f t="shared" si="49"/>
        <v>303810.61452999996</v>
      </c>
      <c r="DJ8" s="541"/>
      <c r="DK8" s="541"/>
      <c r="DL8" s="536"/>
      <c r="DM8" s="536"/>
      <c r="DN8" s="536"/>
      <c r="DO8" s="536"/>
      <c r="DP8" s="536"/>
      <c r="DQ8" s="536"/>
      <c r="DR8" s="536"/>
      <c r="DS8" s="536"/>
    </row>
    <row r="9" spans="1:123" s="560" customFormat="1" ht="63" customHeight="1">
      <c r="A9" s="548" t="s">
        <v>1796</v>
      </c>
      <c r="B9" s="549" t="s">
        <v>1797</v>
      </c>
      <c r="C9" s="550">
        <f t="shared" ref="C9:T9" si="50">C10+C11+C12</f>
        <v>48920275.219999999</v>
      </c>
      <c r="D9" s="550">
        <f t="shared" si="50"/>
        <v>0</v>
      </c>
      <c r="E9" s="550">
        <f t="shared" si="50"/>
        <v>101288162.47</v>
      </c>
      <c r="F9" s="550">
        <f t="shared" si="50"/>
        <v>58060026.5</v>
      </c>
      <c r="G9" s="550">
        <f t="shared" si="50"/>
        <v>0</v>
      </c>
      <c r="H9" s="550">
        <f t="shared" si="50"/>
        <v>0</v>
      </c>
      <c r="I9" s="550">
        <f t="shared" si="50"/>
        <v>49191520.469999999</v>
      </c>
      <c r="J9" s="550">
        <f t="shared" si="50"/>
        <v>17357870.859999999</v>
      </c>
      <c r="K9" s="550">
        <f t="shared" si="50"/>
        <v>15875033.23</v>
      </c>
      <c r="L9" s="550">
        <f t="shared" si="50"/>
        <v>15958616.379999999</v>
      </c>
      <c r="M9" s="550">
        <f t="shared" si="50"/>
        <v>33232904.09</v>
      </c>
      <c r="N9" s="550">
        <f t="shared" si="50"/>
        <v>27860454.960000005</v>
      </c>
      <c r="O9" s="550">
        <f>O10+O11+O12</f>
        <v>14328262.549999997</v>
      </c>
      <c r="P9" s="551">
        <f>P10+P11+P12</f>
        <v>42188717.509999998</v>
      </c>
      <c r="Q9" s="550">
        <f t="shared" si="12"/>
        <v>-7002802.9600000009</v>
      </c>
      <c r="R9" s="550">
        <f t="shared" si="13"/>
        <v>-14.235792862452257</v>
      </c>
      <c r="S9" s="550">
        <f t="shared" si="50"/>
        <v>0</v>
      </c>
      <c r="T9" s="550">
        <f t="shared" si="50"/>
        <v>0</v>
      </c>
      <c r="U9" s="550">
        <f>U10+U11+U12</f>
        <v>46962775.830000006</v>
      </c>
      <c r="V9" s="550">
        <f t="shared" si="1"/>
        <v>46962775.830000006</v>
      </c>
      <c r="W9" s="550">
        <v>0</v>
      </c>
      <c r="X9" s="550">
        <f t="shared" si="15"/>
        <v>4774058.3200000077</v>
      </c>
      <c r="Y9" s="550">
        <f t="shared" si="16"/>
        <v>11.315959815247794</v>
      </c>
      <c r="Z9" s="552">
        <f t="shared" si="17"/>
        <v>47413329.119999997</v>
      </c>
      <c r="AA9" s="551">
        <f t="shared" si="18"/>
        <v>47413329.119999997</v>
      </c>
      <c r="AB9" s="551">
        <v>0</v>
      </c>
      <c r="AC9" s="551">
        <f t="shared" si="20"/>
        <v>450553.28999999166</v>
      </c>
      <c r="AD9" s="551">
        <f t="shared" si="21"/>
        <v>0.95938385676123517</v>
      </c>
      <c r="AE9" s="551">
        <f t="shared" si="22"/>
        <v>5224611.6099999994</v>
      </c>
      <c r="AF9" s="551">
        <f t="shared" si="23"/>
        <v>12.383907163714113</v>
      </c>
      <c r="AG9" s="551">
        <f t="shared" si="46"/>
        <v>52438701.919999994</v>
      </c>
      <c r="AH9" s="551">
        <f t="shared" si="24"/>
        <v>5475926.0899999887</v>
      </c>
      <c r="AI9" s="551">
        <f t="shared" si="25"/>
        <v>11.660141448670373</v>
      </c>
      <c r="AJ9" s="551">
        <f t="shared" si="26"/>
        <v>5025372.799999997</v>
      </c>
      <c r="AK9" s="551">
        <f t="shared" si="2"/>
        <v>10.59907180801649</v>
      </c>
      <c r="AL9" s="550">
        <f>AL10+AL11+AL12</f>
        <v>52438701.919999994</v>
      </c>
      <c r="AM9" s="551">
        <f t="shared" si="3"/>
        <v>21234635.420000002</v>
      </c>
      <c r="AN9" s="551">
        <f t="shared" si="3"/>
        <v>23673515.259999998</v>
      </c>
      <c r="AO9" s="551">
        <f t="shared" si="27"/>
        <v>2438879.8399999961</v>
      </c>
      <c r="AP9" s="551">
        <f t="shared" si="47"/>
        <v>11.485385982671119</v>
      </c>
      <c r="AQ9" s="551">
        <f>AQ10+AQ11+AQ12</f>
        <v>9026869.2700000014</v>
      </c>
      <c r="AR9" s="551">
        <f>AR10+AR11+AR12</f>
        <v>11074635.050000001</v>
      </c>
      <c r="AS9" s="551">
        <f>AS10+AS11+AS12</f>
        <v>12207766.150000002</v>
      </c>
      <c r="AT9" s="551">
        <f>AT10+AT11+AT12</f>
        <v>12598880.209999999</v>
      </c>
      <c r="AU9" s="551">
        <f t="shared" si="4"/>
        <v>25728140.41</v>
      </c>
      <c r="AV9" s="551">
        <f t="shared" si="4"/>
        <v>23739813.859999999</v>
      </c>
      <c r="AW9" s="551">
        <f t="shared" si="28"/>
        <v>-1988326.5500000007</v>
      </c>
      <c r="AX9" s="551">
        <f t="shared" si="29"/>
        <v>-7.7282171129133701</v>
      </c>
      <c r="AY9" s="551">
        <f t="shared" si="5"/>
        <v>28765186.659999996</v>
      </c>
      <c r="AZ9" s="551">
        <f t="shared" si="30"/>
        <v>-5025372.799999997</v>
      </c>
      <c r="BA9" s="551">
        <f t="shared" si="31"/>
        <v>-17.47032918436831</v>
      </c>
      <c r="BB9" s="551">
        <f t="shared" ref="BB9:BN9" si="51">BB10+BB11+BB12</f>
        <v>12754324.75</v>
      </c>
      <c r="BC9" s="550">
        <f t="shared" si="51"/>
        <v>11908593.25</v>
      </c>
      <c r="BD9" s="550">
        <f t="shared" si="51"/>
        <v>15203325.09</v>
      </c>
      <c r="BE9" s="550">
        <f t="shared" si="33"/>
        <v>2449000.34</v>
      </c>
      <c r="BF9" s="550">
        <f t="shared" si="34"/>
        <v>3294731.84</v>
      </c>
      <c r="BG9" s="550">
        <f t="shared" si="35"/>
        <v>33988960.170000002</v>
      </c>
      <c r="BH9" s="551">
        <f t="shared" si="51"/>
        <v>35582108.510000005</v>
      </c>
      <c r="BI9" s="551">
        <f t="shared" si="51"/>
        <v>38876840.350000001</v>
      </c>
      <c r="BJ9" s="551">
        <f t="shared" si="37"/>
        <v>4887880.18</v>
      </c>
      <c r="BK9" s="551">
        <f t="shared" si="38"/>
        <v>3294731.8399999961</v>
      </c>
      <c r="BL9" s="550">
        <f t="shared" si="51"/>
        <v>12973815.66</v>
      </c>
      <c r="BM9" s="551">
        <f t="shared" si="51"/>
        <v>11831220.610000001</v>
      </c>
      <c r="BN9" s="551">
        <f t="shared" si="51"/>
        <v>13561861.569999997</v>
      </c>
      <c r="BO9" s="551">
        <f t="shared" si="48"/>
        <v>588045.90999999642</v>
      </c>
      <c r="BP9" s="551">
        <f t="shared" si="40"/>
        <v>1730640.9599999953</v>
      </c>
      <c r="BQ9" s="550">
        <f t="shared" ref="BQ9:BS9" si="52">BQ10+BQ11+BQ12</f>
        <v>12973815.66</v>
      </c>
      <c r="BR9" s="551">
        <f t="shared" si="52"/>
        <v>0</v>
      </c>
      <c r="BS9" s="551">
        <f t="shared" si="52"/>
        <v>0</v>
      </c>
      <c r="BT9" s="553"/>
      <c r="BU9" s="551"/>
      <c r="BV9" s="551"/>
      <c r="BW9" s="551"/>
      <c r="BX9" s="554">
        <f>BX10+BX11+BX12</f>
        <v>52438701.919999994</v>
      </c>
      <c r="BY9" s="551">
        <f t="shared" ref="BY9:CB9" si="53">BY10+BY11+BY12</f>
        <v>0</v>
      </c>
      <c r="BZ9" s="551">
        <f t="shared" si="53"/>
        <v>0</v>
      </c>
      <c r="CA9" s="551">
        <f t="shared" si="53"/>
        <v>52438701.919999994</v>
      </c>
      <c r="CB9" s="551">
        <f t="shared" si="53"/>
        <v>52438701.919999994</v>
      </c>
      <c r="CC9" s="551">
        <f t="shared" si="44"/>
        <v>0</v>
      </c>
      <c r="CD9" s="551"/>
      <c r="CE9" s="551"/>
      <c r="CF9" s="551"/>
      <c r="CG9" s="551"/>
      <c r="CH9" s="551"/>
      <c r="CI9" s="551"/>
      <c r="CJ9" s="551"/>
      <c r="CK9" s="555"/>
      <c r="CL9" s="555"/>
      <c r="CM9" s="556"/>
      <c r="CN9" s="556"/>
      <c r="CO9" s="557"/>
      <c r="CP9" s="558">
        <f>CP10+CP11+CP12</f>
        <v>0</v>
      </c>
      <c r="CQ9" s="558">
        <f>CQ10+CQ11+CQ12</f>
        <v>0</v>
      </c>
      <c r="CR9" s="558">
        <f>CR10+CR11+CR12</f>
        <v>46962775.830000006</v>
      </c>
      <c r="CS9" s="545" t="s">
        <v>1798</v>
      </c>
      <c r="CT9" s="546">
        <f>U9</f>
        <v>46962775.830000006</v>
      </c>
      <c r="CU9" s="559">
        <f>CT9/CT6*100</f>
        <v>0.96100676775766147</v>
      </c>
      <c r="CV9" s="559"/>
      <c r="CW9" s="550"/>
      <c r="CX9" s="1678"/>
      <c r="CY9" s="1679"/>
      <c r="CZ9" s="1680"/>
      <c r="DA9" s="1681"/>
      <c r="DB9" s="558">
        <f>DB10+DB11+DB12</f>
        <v>11074635.050000001</v>
      </c>
      <c r="DD9" s="561"/>
      <c r="DE9" s="561"/>
      <c r="DF9" s="551">
        <f t="shared" si="49"/>
        <v>0</v>
      </c>
      <c r="DG9" s="551">
        <f t="shared" si="49"/>
        <v>0</v>
      </c>
      <c r="DH9" s="551">
        <f t="shared" si="49"/>
        <v>52438.701919999992</v>
      </c>
      <c r="DI9" s="551">
        <f t="shared" si="49"/>
        <v>52438.701919999992</v>
      </c>
      <c r="DJ9" s="553"/>
      <c r="DK9" s="553"/>
      <c r="DL9" s="553"/>
      <c r="DM9" s="553"/>
      <c r="DN9" s="553"/>
      <c r="DO9" s="553"/>
      <c r="DP9" s="553"/>
      <c r="DQ9" s="553"/>
      <c r="DR9" s="553"/>
      <c r="DS9" s="553"/>
    </row>
    <row r="10" spans="1:123" s="534" customFormat="1" ht="67.5" customHeight="1">
      <c r="A10" s="537" t="s">
        <v>1799</v>
      </c>
      <c r="B10" s="538" t="s">
        <v>1797</v>
      </c>
      <c r="C10" s="539">
        <v>44084314.490000002</v>
      </c>
      <c r="D10" s="525"/>
      <c r="E10" s="525">
        <v>97331062.469999999</v>
      </c>
      <c r="F10" s="525">
        <v>55237045.609999999</v>
      </c>
      <c r="G10" s="540">
        <v>0</v>
      </c>
      <c r="H10" s="540">
        <v>0</v>
      </c>
      <c r="I10" s="525">
        <f>J10+K10+L10</f>
        <v>47699334.149999999</v>
      </c>
      <c r="J10" s="525">
        <v>16499679.120000001</v>
      </c>
      <c r="K10" s="525">
        <v>15552157.5</v>
      </c>
      <c r="L10" s="525">
        <v>15647497.529999999</v>
      </c>
      <c r="M10" s="525">
        <f>J10+K10</f>
        <v>32051836.620000001</v>
      </c>
      <c r="N10" s="525">
        <v>26627645.190000001</v>
      </c>
      <c r="O10" s="525">
        <f>P10-N10</f>
        <v>12359327.849999998</v>
      </c>
      <c r="P10" s="522">
        <v>38986973.039999999</v>
      </c>
      <c r="Q10" s="525">
        <f t="shared" si="12"/>
        <v>-8712361.1099999994</v>
      </c>
      <c r="R10" s="525">
        <f t="shared" si="13"/>
        <v>-18.265162953013672</v>
      </c>
      <c r="S10" s="525"/>
      <c r="T10" s="525">
        <v>0</v>
      </c>
      <c r="U10" s="522">
        <f>AQ10+AS10+BB10+BL10</f>
        <v>36924866.140000001</v>
      </c>
      <c r="V10" s="522">
        <f t="shared" si="1"/>
        <v>36924866.140000001</v>
      </c>
      <c r="W10" s="522">
        <v>0</v>
      </c>
      <c r="X10" s="522">
        <f t="shared" si="15"/>
        <v>-2062106.8999999985</v>
      </c>
      <c r="Y10" s="522">
        <f t="shared" si="16"/>
        <v>-5.2892203195264926</v>
      </c>
      <c r="Z10" s="524">
        <f t="shared" si="17"/>
        <v>38417530.850000001</v>
      </c>
      <c r="AA10" s="522">
        <f t="shared" si="18"/>
        <v>38417530.850000001</v>
      </c>
      <c r="AB10" s="522">
        <v>0</v>
      </c>
      <c r="AC10" s="522">
        <f t="shared" si="20"/>
        <v>1492664.7100000009</v>
      </c>
      <c r="AD10" s="522">
        <f t="shared" si="21"/>
        <v>4.0424377013056301</v>
      </c>
      <c r="AE10" s="522">
        <f t="shared" si="22"/>
        <v>-569442.18999999762</v>
      </c>
      <c r="AF10" s="522">
        <f t="shared" si="23"/>
        <v>-1.4605960545225258</v>
      </c>
      <c r="AG10" s="522">
        <f t="shared" si="46"/>
        <v>44592413.869999997</v>
      </c>
      <c r="AH10" s="522">
        <f t="shared" si="24"/>
        <v>7667547.7299999967</v>
      </c>
      <c r="AI10" s="522">
        <f t="shared" si="25"/>
        <v>20.765268859550147</v>
      </c>
      <c r="AJ10" s="522">
        <f t="shared" si="26"/>
        <v>6174883.0199999958</v>
      </c>
      <c r="AK10" s="522">
        <f t="shared" si="2"/>
        <v>16.073086643984553</v>
      </c>
      <c r="AL10" s="522">
        <f t="shared" ref="AL10:AL12" si="54">BX10</f>
        <v>44592413.869999997</v>
      </c>
      <c r="AM10" s="522">
        <f t="shared" si="3"/>
        <v>17080002.770000003</v>
      </c>
      <c r="AN10" s="522">
        <f t="shared" si="3"/>
        <v>20375630.710000001</v>
      </c>
      <c r="AO10" s="522">
        <f t="shared" si="27"/>
        <v>3295627.9399999976</v>
      </c>
      <c r="AP10" s="522">
        <f t="shared" si="47"/>
        <v>19.295242421087707</v>
      </c>
      <c r="AQ10" s="522">
        <f>8404878.89-630000</f>
        <v>7774878.8900000006</v>
      </c>
      <c r="AR10" s="522">
        <v>8525304.2200000007</v>
      </c>
      <c r="AS10" s="522">
        <f>9935123.88-630000</f>
        <v>9305123.8800000008</v>
      </c>
      <c r="AT10" s="522">
        <v>11850326.49</v>
      </c>
      <c r="AU10" s="522">
        <f t="shared" si="4"/>
        <v>19844863.369999997</v>
      </c>
      <c r="AV10" s="522">
        <f t="shared" si="4"/>
        <v>18041900.140000001</v>
      </c>
      <c r="AW10" s="522">
        <f t="shared" si="28"/>
        <v>-1802963.2299999967</v>
      </c>
      <c r="AX10" s="522">
        <f t="shared" si="29"/>
        <v>-9.0852892075114084</v>
      </c>
      <c r="AY10" s="522">
        <f t="shared" si="5"/>
        <v>24216783.159999996</v>
      </c>
      <c r="AZ10" s="522">
        <f t="shared" si="30"/>
        <v>-6174883.0199999958</v>
      </c>
      <c r="BA10" s="522">
        <f t="shared" si="31"/>
        <v>-25.498361938506108</v>
      </c>
      <c r="BB10" s="522">
        <v>9870023.6799999997</v>
      </c>
      <c r="BC10" s="525">
        <f>'[67]Дир_по экон'!AT7</f>
        <v>9116973.8399999999</v>
      </c>
      <c r="BD10" s="525">
        <f>BI10-AN10</f>
        <v>11540864.039999999</v>
      </c>
      <c r="BE10" s="525">
        <f t="shared" si="33"/>
        <v>1670840.3599999994</v>
      </c>
      <c r="BF10" s="525">
        <f t="shared" si="34"/>
        <v>2423890.1999999993</v>
      </c>
      <c r="BG10" s="525">
        <f t="shared" si="35"/>
        <v>26950026.450000003</v>
      </c>
      <c r="BH10" s="522">
        <f>AN10+BC10</f>
        <v>29492604.550000001</v>
      </c>
      <c r="BI10" s="522">
        <v>31916494.75</v>
      </c>
      <c r="BJ10" s="522">
        <f t="shared" si="37"/>
        <v>4966468.299999997</v>
      </c>
      <c r="BK10" s="522">
        <f t="shared" si="38"/>
        <v>2423890.1999999993</v>
      </c>
      <c r="BL10" s="525">
        <v>9974839.6899999995</v>
      </c>
      <c r="BM10" s="522">
        <f>'[67]Дир_по экон'!AW7</f>
        <v>8924926.3000000007</v>
      </c>
      <c r="BN10" s="522">
        <f t="shared" ref="BN10:BN12" si="55">AL10-BI10</f>
        <v>12675919.119999997</v>
      </c>
      <c r="BO10" s="522">
        <f t="shared" si="48"/>
        <v>2701079.4299999978</v>
      </c>
      <c r="BP10" s="522">
        <f t="shared" si="40"/>
        <v>3750992.8199999966</v>
      </c>
      <c r="BQ10" s="525">
        <v>9974839.6899999995</v>
      </c>
      <c r="BR10" s="522">
        <f>'[67]Дир_по экон'!BB7</f>
        <v>0</v>
      </c>
      <c r="BS10" s="522">
        <f>'[67]Дир_по экон'!BC7</f>
        <v>0</v>
      </c>
      <c r="BT10" s="536"/>
      <c r="BU10" s="522"/>
      <c r="BV10" s="522"/>
      <c r="BW10" s="522"/>
      <c r="BX10" s="522">
        <v>44592413.869999997</v>
      </c>
      <c r="BY10" s="522"/>
      <c r="BZ10" s="522"/>
      <c r="CA10" s="522">
        <f>BX10</f>
        <v>44592413.869999997</v>
      </c>
      <c r="CB10" s="522">
        <f t="shared" ref="CB10:CB25" si="56">SUM(BY10:CA10)</f>
        <v>44592413.869999997</v>
      </c>
      <c r="CC10" s="522">
        <f t="shared" si="44"/>
        <v>0</v>
      </c>
      <c r="CD10" s="522"/>
      <c r="CE10" s="522"/>
      <c r="CF10" s="522"/>
      <c r="CG10" s="522"/>
      <c r="CH10" s="522"/>
      <c r="CI10" s="522"/>
      <c r="CJ10" s="522"/>
      <c r="CK10" s="542" t="s">
        <v>77</v>
      </c>
      <c r="CL10" s="542" t="s">
        <v>1800</v>
      </c>
      <c r="CM10" s="509"/>
      <c r="CN10" s="509"/>
      <c r="CO10" s="528"/>
      <c r="CP10" s="544"/>
      <c r="CQ10" s="544"/>
      <c r="CR10" s="544">
        <f>U10</f>
        <v>36924866.140000001</v>
      </c>
      <c r="CS10" s="1682"/>
      <c r="CT10" s="1683"/>
      <c r="CU10" s="1683"/>
      <c r="CV10" s="1683"/>
      <c r="CW10" s="1684"/>
      <c r="CX10" s="1673"/>
      <c r="CY10" s="1674"/>
      <c r="CZ10" s="1675"/>
      <c r="DA10" s="1677"/>
      <c r="DB10" s="544">
        <v>8525304.2200000007</v>
      </c>
      <c r="DD10" s="535"/>
      <c r="DE10" s="535"/>
      <c r="DF10" s="522">
        <f t="shared" si="49"/>
        <v>0</v>
      </c>
      <c r="DG10" s="522">
        <f t="shared" si="49"/>
        <v>0</v>
      </c>
      <c r="DH10" s="522">
        <f t="shared" si="49"/>
        <v>44592.413869999997</v>
      </c>
      <c r="DI10" s="522">
        <f t="shared" si="49"/>
        <v>44592.413869999997</v>
      </c>
      <c r="DJ10" s="536"/>
      <c r="DK10" s="536"/>
      <c r="DL10" s="536"/>
      <c r="DM10" s="536"/>
      <c r="DN10" s="536"/>
      <c r="DO10" s="536"/>
      <c r="DP10" s="536"/>
      <c r="DQ10" s="536"/>
      <c r="DR10" s="536"/>
      <c r="DS10" s="536"/>
    </row>
    <row r="11" spans="1:123" s="534" customFormat="1" ht="56.4">
      <c r="A11" s="537" t="s">
        <v>1801</v>
      </c>
      <c r="B11" s="538" t="s">
        <v>1802</v>
      </c>
      <c r="C11" s="539">
        <v>2425461.4300000002</v>
      </c>
      <c r="D11" s="525"/>
      <c r="E11" s="525">
        <v>2380000</v>
      </c>
      <c r="F11" s="525">
        <v>1845918.1</v>
      </c>
      <c r="G11" s="540">
        <v>0</v>
      </c>
      <c r="H11" s="540">
        <v>0</v>
      </c>
      <c r="I11" s="525">
        <f>J11+K11+L11</f>
        <v>937686.73</v>
      </c>
      <c r="J11" s="525">
        <v>557347.75</v>
      </c>
      <c r="K11" s="525">
        <v>190169.49</v>
      </c>
      <c r="L11" s="525">
        <v>190169.49</v>
      </c>
      <c r="M11" s="525">
        <f>J11+K11</f>
        <v>747517.24</v>
      </c>
      <c r="N11" s="525">
        <v>768717.76</v>
      </c>
      <c r="O11" s="525">
        <f>P11-N11</f>
        <v>1789463.28</v>
      </c>
      <c r="P11" s="522">
        <v>2558181.04</v>
      </c>
      <c r="Q11" s="525">
        <f t="shared" si="12"/>
        <v>1620494.31</v>
      </c>
      <c r="R11" s="525">
        <f t="shared" si="13"/>
        <v>172.81830468049816</v>
      </c>
      <c r="S11" s="525"/>
      <c r="T11" s="525">
        <v>0</v>
      </c>
      <c r="U11" s="522">
        <f>AQ11+AS11+BB11+BL11</f>
        <v>9420060.9199999999</v>
      </c>
      <c r="V11" s="522">
        <f t="shared" si="1"/>
        <v>9420060.9199999999</v>
      </c>
      <c r="W11" s="522">
        <v>0</v>
      </c>
      <c r="X11" s="522">
        <f t="shared" si="15"/>
        <v>6861879.8799999999</v>
      </c>
      <c r="Y11" s="522">
        <f t="shared" si="16"/>
        <v>268.23277057826994</v>
      </c>
      <c r="Z11" s="524">
        <f t="shared" si="17"/>
        <v>8273213.9800000004</v>
      </c>
      <c r="AA11" s="522">
        <f t="shared" si="18"/>
        <v>8273213.9800000004</v>
      </c>
      <c r="AB11" s="522">
        <v>0</v>
      </c>
      <c r="AC11" s="522">
        <f t="shared" si="20"/>
        <v>-1146846.9399999995</v>
      </c>
      <c r="AD11" s="522">
        <f t="shared" si="21"/>
        <v>-12.17451723231531</v>
      </c>
      <c r="AE11" s="522">
        <f t="shared" si="22"/>
        <v>5715032.9400000004</v>
      </c>
      <c r="AF11" s="522">
        <f t="shared" si="23"/>
        <v>223.40220846918635</v>
      </c>
      <c r="AG11" s="522">
        <f t="shared" si="46"/>
        <v>7377018.1099999994</v>
      </c>
      <c r="AH11" s="522">
        <f t="shared" si="24"/>
        <v>-2043042.8100000005</v>
      </c>
      <c r="AI11" s="522">
        <f t="shared" si="25"/>
        <v>-21.688212288121804</v>
      </c>
      <c r="AJ11" s="522">
        <f t="shared" si="26"/>
        <v>-896195.87000000104</v>
      </c>
      <c r="AK11" s="522">
        <f t="shared" si="2"/>
        <v>-10.832499584399741</v>
      </c>
      <c r="AL11" s="522">
        <f t="shared" si="54"/>
        <v>7377018.1100000003</v>
      </c>
      <c r="AM11" s="522">
        <f t="shared" si="3"/>
        <v>3877536.8</v>
      </c>
      <c r="AN11" s="522">
        <f t="shared" si="3"/>
        <v>2916053.18</v>
      </c>
      <c r="AO11" s="522">
        <f t="shared" si="27"/>
        <v>-961483.61999999965</v>
      </c>
      <c r="AP11" s="522">
        <f t="shared" si="47"/>
        <v>-24.796247452764334</v>
      </c>
      <c r="AQ11" s="522">
        <v>1120606.24</v>
      </c>
      <c r="AR11" s="522">
        <v>2290750.56</v>
      </c>
      <c r="AS11" s="522">
        <v>2756930.56</v>
      </c>
      <c r="AT11" s="522">
        <v>625302.62000000011</v>
      </c>
      <c r="AU11" s="522">
        <f t="shared" si="4"/>
        <v>5542524.1200000001</v>
      </c>
      <c r="AV11" s="522">
        <f t="shared" si="4"/>
        <v>5357160.8</v>
      </c>
      <c r="AW11" s="522">
        <f t="shared" si="28"/>
        <v>-185363.3200000003</v>
      </c>
      <c r="AX11" s="522">
        <f t="shared" si="29"/>
        <v>-3.3443845436977711</v>
      </c>
      <c r="AY11" s="522">
        <f t="shared" si="5"/>
        <v>4460964.93</v>
      </c>
      <c r="AZ11" s="522">
        <f t="shared" si="30"/>
        <v>896195.87000000011</v>
      </c>
      <c r="BA11" s="522">
        <f t="shared" si="31"/>
        <v>20.089731348773455</v>
      </c>
      <c r="BB11" s="522">
        <v>2741250.56</v>
      </c>
      <c r="BC11" s="525">
        <f>'[67]Гл инж_Тех дир'!AT7</f>
        <v>2648568.9</v>
      </c>
      <c r="BD11" s="525">
        <f>BI11-AN11</f>
        <v>3606503.6700000004</v>
      </c>
      <c r="BE11" s="525">
        <f t="shared" si="33"/>
        <v>865253.11000000034</v>
      </c>
      <c r="BF11" s="525">
        <f t="shared" si="34"/>
        <v>957934.77000000048</v>
      </c>
      <c r="BG11" s="525">
        <f t="shared" si="35"/>
        <v>6618787.3599999994</v>
      </c>
      <c r="BH11" s="522">
        <f>AN11+BC11</f>
        <v>5564622.0800000001</v>
      </c>
      <c r="BI11" s="522">
        <v>6522556.8500000006</v>
      </c>
      <c r="BJ11" s="522">
        <f t="shared" si="37"/>
        <v>-96230.509999998845</v>
      </c>
      <c r="BK11" s="522">
        <f t="shared" si="38"/>
        <v>957934.77000000048</v>
      </c>
      <c r="BL11" s="525">
        <v>2801273.56</v>
      </c>
      <c r="BM11" s="522">
        <f>'[67]Гл инж_Тех дир'!AW7</f>
        <v>2708591.9</v>
      </c>
      <c r="BN11" s="522">
        <f t="shared" si="55"/>
        <v>854461.25999999978</v>
      </c>
      <c r="BO11" s="522">
        <f t="shared" si="48"/>
        <v>-1946812.3000000003</v>
      </c>
      <c r="BP11" s="522">
        <f t="shared" si="40"/>
        <v>-1854130.6400000001</v>
      </c>
      <c r="BQ11" s="525">
        <v>2801273.56</v>
      </c>
      <c r="BR11" s="522">
        <f>'[67]Гл инж_Тех дир'!BB7</f>
        <v>0</v>
      </c>
      <c r="BS11" s="522">
        <f>'[67]Гл инж_Тех дир'!BC7</f>
        <v>0</v>
      </c>
      <c r="BT11" s="536"/>
      <c r="BU11" s="522"/>
      <c r="BV11" s="522"/>
      <c r="BW11" s="522"/>
      <c r="BX11" s="522">
        <v>7377018.1100000003</v>
      </c>
      <c r="BY11" s="522"/>
      <c r="BZ11" s="522"/>
      <c r="CA11" s="522">
        <f t="shared" ref="CA11:CA12" si="57">BX11</f>
        <v>7377018.1100000003</v>
      </c>
      <c r="CB11" s="522">
        <f t="shared" si="56"/>
        <v>7377018.1100000003</v>
      </c>
      <c r="CC11" s="522">
        <f t="shared" si="44"/>
        <v>0</v>
      </c>
      <c r="CD11" s="522"/>
      <c r="CE11" s="522"/>
      <c r="CF11" s="522"/>
      <c r="CG11" s="522"/>
      <c r="CH11" s="522"/>
      <c r="CI11" s="522"/>
      <c r="CJ11" s="522"/>
      <c r="CK11" s="542" t="s">
        <v>79</v>
      </c>
      <c r="CL11" s="543" t="s">
        <v>1803</v>
      </c>
      <c r="CM11" s="509"/>
      <c r="CN11" s="509"/>
      <c r="CO11" s="528"/>
      <c r="CP11" s="544"/>
      <c r="CQ11" s="544"/>
      <c r="CR11" s="544">
        <f>U11</f>
        <v>9420060.9199999999</v>
      </c>
      <c r="CS11" s="1682"/>
      <c r="CT11" s="1683"/>
      <c r="CU11" s="1683"/>
      <c r="CV11" s="1683"/>
      <c r="CW11" s="1684"/>
      <c r="CX11" s="528"/>
      <c r="CY11" s="528"/>
      <c r="CZ11" s="528"/>
      <c r="DA11" s="528"/>
      <c r="DB11" s="544">
        <v>2290750.56</v>
      </c>
      <c r="DD11" s="535"/>
      <c r="DE11" s="535"/>
      <c r="DF11" s="522">
        <f t="shared" si="49"/>
        <v>0</v>
      </c>
      <c r="DG11" s="522">
        <f t="shared" si="49"/>
        <v>0</v>
      </c>
      <c r="DH11" s="522">
        <f t="shared" si="49"/>
        <v>7377.01811</v>
      </c>
      <c r="DI11" s="522">
        <f t="shared" si="49"/>
        <v>7377.01811</v>
      </c>
      <c r="DJ11" s="536"/>
      <c r="DK11" s="536"/>
      <c r="DL11" s="536"/>
      <c r="DM11" s="536"/>
      <c r="DN11" s="536"/>
      <c r="DO11" s="536"/>
      <c r="DP11" s="536"/>
      <c r="DQ11" s="536"/>
      <c r="DR11" s="536"/>
      <c r="DS11" s="536"/>
    </row>
    <row r="12" spans="1:123" s="534" customFormat="1" ht="66" customHeight="1">
      <c r="A12" s="537" t="s">
        <v>1804</v>
      </c>
      <c r="B12" s="538" t="s">
        <v>1805</v>
      </c>
      <c r="C12" s="539">
        <f>2154645.86+255853.44</f>
        <v>2410499.2999999998</v>
      </c>
      <c r="D12" s="525"/>
      <c r="E12" s="562">
        <v>1577100</v>
      </c>
      <c r="F12" s="563">
        <f>923541.15+53521.64</f>
        <v>977062.79</v>
      </c>
      <c r="G12" s="564">
        <v>0</v>
      </c>
      <c r="H12" s="564">
        <v>0</v>
      </c>
      <c r="I12" s="563">
        <f>J12+K12+L12</f>
        <v>554499.59</v>
      </c>
      <c r="J12" s="563">
        <v>300843.99</v>
      </c>
      <c r="K12" s="563">
        <v>132706.23999999999</v>
      </c>
      <c r="L12" s="563">
        <v>120949.36</v>
      </c>
      <c r="M12" s="563">
        <f>J12+K12</f>
        <v>433550.23</v>
      </c>
      <c r="N12" s="563">
        <v>464092.01</v>
      </c>
      <c r="O12" s="525">
        <f>P12-N12</f>
        <v>179471.42000000004</v>
      </c>
      <c r="P12" s="522">
        <v>643563.43000000005</v>
      </c>
      <c r="Q12" s="563">
        <f t="shared" si="12"/>
        <v>89063.840000000084</v>
      </c>
      <c r="R12" s="563">
        <f t="shared" si="13"/>
        <v>16.062020893469025</v>
      </c>
      <c r="S12" s="563"/>
      <c r="T12" s="563">
        <v>0</v>
      </c>
      <c r="U12" s="522">
        <f>AQ12+AS12+BB12+BL12</f>
        <v>617848.77</v>
      </c>
      <c r="V12" s="565">
        <f t="shared" si="1"/>
        <v>617848.77</v>
      </c>
      <c r="W12" s="565">
        <v>0</v>
      </c>
      <c r="X12" s="565">
        <f t="shared" si="15"/>
        <v>-25714.660000000033</v>
      </c>
      <c r="Y12" s="565">
        <f t="shared" si="16"/>
        <v>-3.9956683057643687</v>
      </c>
      <c r="Z12" s="566">
        <f t="shared" si="17"/>
        <v>722584.29</v>
      </c>
      <c r="AA12" s="565">
        <f t="shared" si="18"/>
        <v>722584.29</v>
      </c>
      <c r="AB12" s="565">
        <v>0</v>
      </c>
      <c r="AC12" s="565">
        <f t="shared" si="20"/>
        <v>104735.52000000002</v>
      </c>
      <c r="AD12" s="565">
        <f t="shared" si="21"/>
        <v>16.951643360882642</v>
      </c>
      <c r="AE12" s="565">
        <f t="shared" si="22"/>
        <v>79020.859999999986</v>
      </c>
      <c r="AF12" s="565">
        <f t="shared" si="23"/>
        <v>12.278643614041272</v>
      </c>
      <c r="AG12" s="565">
        <f t="shared" si="46"/>
        <v>469269.94</v>
      </c>
      <c r="AH12" s="565">
        <f t="shared" si="24"/>
        <v>-148578.83000000002</v>
      </c>
      <c r="AI12" s="565">
        <f t="shared" si="25"/>
        <v>-24.047766575629822</v>
      </c>
      <c r="AJ12" s="565">
        <f t="shared" si="26"/>
        <v>-253314.35000000003</v>
      </c>
      <c r="AK12" s="565">
        <f t="shared" si="2"/>
        <v>-35.056719818804808</v>
      </c>
      <c r="AL12" s="522">
        <f t="shared" si="54"/>
        <v>469269.94</v>
      </c>
      <c r="AM12" s="565">
        <f t="shared" si="3"/>
        <v>277095.84999999998</v>
      </c>
      <c r="AN12" s="565">
        <f t="shared" si="3"/>
        <v>381831.37</v>
      </c>
      <c r="AO12" s="565">
        <f t="shared" si="27"/>
        <v>104735.52000000002</v>
      </c>
      <c r="AP12" s="565">
        <f t="shared" si="47"/>
        <v>37.797577986101203</v>
      </c>
      <c r="AQ12" s="567">
        <v>131384.14000000001</v>
      </c>
      <c r="AR12" s="567">
        <v>258580.27</v>
      </c>
      <c r="AS12" s="567">
        <v>145711.71</v>
      </c>
      <c r="AT12" s="567">
        <v>123251.1</v>
      </c>
      <c r="AU12" s="567">
        <f t="shared" si="4"/>
        <v>340752.92000000004</v>
      </c>
      <c r="AV12" s="567">
        <f t="shared" si="4"/>
        <v>340752.92000000004</v>
      </c>
      <c r="AW12" s="567">
        <f t="shared" si="28"/>
        <v>0</v>
      </c>
      <c r="AX12" s="567">
        <f t="shared" si="29"/>
        <v>0</v>
      </c>
      <c r="AY12" s="567">
        <f t="shared" si="5"/>
        <v>87438.57</v>
      </c>
      <c r="AZ12" s="567">
        <f t="shared" si="30"/>
        <v>253314.35000000003</v>
      </c>
      <c r="BA12" s="567">
        <f t="shared" si="31"/>
        <v>289.70550410419571</v>
      </c>
      <c r="BB12" s="567">
        <v>143050.51</v>
      </c>
      <c r="BC12" s="563">
        <f>'[67]Гл инж_Тех дир'!AT23</f>
        <v>143050.51</v>
      </c>
      <c r="BD12" s="563">
        <f>BI12-AN12</f>
        <v>55957.380000000005</v>
      </c>
      <c r="BE12" s="563">
        <f t="shared" si="33"/>
        <v>-87093.13</v>
      </c>
      <c r="BF12" s="563">
        <f t="shared" si="34"/>
        <v>-87093.13</v>
      </c>
      <c r="BG12" s="563">
        <f t="shared" si="35"/>
        <v>420146.36</v>
      </c>
      <c r="BH12" s="567">
        <f>AN12+BC12</f>
        <v>524881.88</v>
      </c>
      <c r="BI12" s="567">
        <v>437788.75</v>
      </c>
      <c r="BJ12" s="567">
        <f t="shared" si="37"/>
        <v>17642.390000000014</v>
      </c>
      <c r="BK12" s="567">
        <f t="shared" si="38"/>
        <v>-87093.13</v>
      </c>
      <c r="BL12" s="563">
        <v>197702.41</v>
      </c>
      <c r="BM12" s="567">
        <f>'[67]Гл инж_Тех дир'!AW23</f>
        <v>197702.41</v>
      </c>
      <c r="BN12" s="522">
        <f t="shared" si="55"/>
        <v>31481.190000000002</v>
      </c>
      <c r="BO12" s="567">
        <f t="shared" si="48"/>
        <v>-166221.22</v>
      </c>
      <c r="BP12" s="567">
        <f t="shared" si="40"/>
        <v>-166221.22</v>
      </c>
      <c r="BQ12" s="563">
        <v>197702.41</v>
      </c>
      <c r="BR12" s="567">
        <f>'[67]Гл инж_Тех дир'!BB23</f>
        <v>0</v>
      </c>
      <c r="BS12" s="567">
        <f>'[67]Гл инж_Тех дир'!BC23</f>
        <v>0</v>
      </c>
      <c r="BT12" s="536"/>
      <c r="BU12" s="567"/>
      <c r="BV12" s="567"/>
      <c r="BW12" s="567"/>
      <c r="BX12" s="522">
        <v>469269.94</v>
      </c>
      <c r="BY12" s="567"/>
      <c r="BZ12" s="567"/>
      <c r="CA12" s="522">
        <f t="shared" si="57"/>
        <v>469269.94</v>
      </c>
      <c r="CB12" s="522">
        <f t="shared" si="56"/>
        <v>469269.94</v>
      </c>
      <c r="CC12" s="522">
        <f t="shared" si="44"/>
        <v>0</v>
      </c>
      <c r="CD12" s="567"/>
      <c r="CE12" s="567"/>
      <c r="CF12" s="567"/>
      <c r="CG12" s="567"/>
      <c r="CH12" s="567"/>
      <c r="CI12" s="567"/>
      <c r="CJ12" s="567"/>
      <c r="CK12" s="542" t="s">
        <v>79</v>
      </c>
      <c r="CL12" s="542" t="s">
        <v>1806</v>
      </c>
      <c r="CM12" s="509">
        <f>BC12+BM12</f>
        <v>340752.92000000004</v>
      </c>
      <c r="CN12" s="509"/>
      <c r="CO12" s="528"/>
      <c r="CP12" s="568"/>
      <c r="CQ12" s="568"/>
      <c r="CR12" s="568">
        <f>U12</f>
        <v>617848.77</v>
      </c>
      <c r="CS12" s="1706"/>
      <c r="CT12" s="1707"/>
      <c r="CU12" s="1707"/>
      <c r="CV12" s="1707"/>
      <c r="CW12" s="1708"/>
      <c r="CX12" s="528"/>
      <c r="CY12" s="528"/>
      <c r="CZ12" s="528"/>
      <c r="DA12" s="528"/>
      <c r="DB12" s="568">
        <v>258580.27</v>
      </c>
      <c r="DD12" s="535"/>
      <c r="DE12" s="535"/>
      <c r="DF12" s="567">
        <f t="shared" si="49"/>
        <v>0</v>
      </c>
      <c r="DG12" s="567">
        <f t="shared" si="49"/>
        <v>0</v>
      </c>
      <c r="DH12" s="522">
        <f t="shared" si="49"/>
        <v>469.26994000000002</v>
      </c>
      <c r="DI12" s="522">
        <f t="shared" si="49"/>
        <v>469.26994000000002</v>
      </c>
      <c r="DJ12" s="536"/>
      <c r="DK12" s="536"/>
      <c r="DL12" s="536"/>
      <c r="DM12" s="536"/>
      <c r="DN12" s="536"/>
      <c r="DO12" s="536"/>
      <c r="DP12" s="536"/>
      <c r="DQ12" s="536"/>
      <c r="DR12" s="536"/>
      <c r="DS12" s="536"/>
    </row>
    <row r="13" spans="1:123" ht="65.25" customHeight="1">
      <c r="A13" s="505" t="s">
        <v>1807</v>
      </c>
      <c r="B13" s="506" t="s">
        <v>1808</v>
      </c>
      <c r="C13" s="507">
        <f t="shared" ref="C13:T13" si="58">SUM(C14:C25)</f>
        <v>725283952.80000007</v>
      </c>
      <c r="D13" s="507">
        <f t="shared" si="58"/>
        <v>0</v>
      </c>
      <c r="E13" s="507">
        <f t="shared" si="58"/>
        <v>92304646.340000004</v>
      </c>
      <c r="F13" s="507">
        <f t="shared" si="58"/>
        <v>256186287.27000001</v>
      </c>
      <c r="G13" s="507">
        <f t="shared" si="58"/>
        <v>0</v>
      </c>
      <c r="H13" s="507">
        <f t="shared" si="58"/>
        <v>0</v>
      </c>
      <c r="I13" s="507">
        <f t="shared" si="58"/>
        <v>507154026.66999996</v>
      </c>
      <c r="J13" s="507">
        <f t="shared" si="58"/>
        <v>300570408.05000001</v>
      </c>
      <c r="K13" s="507">
        <f t="shared" si="58"/>
        <v>82773701.890000001</v>
      </c>
      <c r="L13" s="507">
        <f t="shared" si="58"/>
        <v>123809916.73</v>
      </c>
      <c r="M13" s="507">
        <f t="shared" si="58"/>
        <v>383344109.94000006</v>
      </c>
      <c r="N13" s="507">
        <f t="shared" si="58"/>
        <v>372016851.82999998</v>
      </c>
      <c r="O13" s="507">
        <f>SUM(O14:O25)</f>
        <v>575811903.67999995</v>
      </c>
      <c r="P13" s="507">
        <f>SUM(P14:P25)</f>
        <v>947828755.51000011</v>
      </c>
      <c r="Q13" s="507">
        <f t="shared" si="12"/>
        <v>440674728.84000015</v>
      </c>
      <c r="R13" s="507">
        <f t="shared" si="13"/>
        <v>86.891694764506497</v>
      </c>
      <c r="S13" s="507">
        <f t="shared" si="58"/>
        <v>0</v>
      </c>
      <c r="T13" s="507">
        <f t="shared" si="58"/>
        <v>0</v>
      </c>
      <c r="U13" s="507">
        <f>SUM(U14:U25)</f>
        <v>306447211.35000002</v>
      </c>
      <c r="V13" s="507">
        <f t="shared" si="1"/>
        <v>306447211.35000002</v>
      </c>
      <c r="W13" s="507">
        <v>0</v>
      </c>
      <c r="X13" s="507">
        <f t="shared" si="15"/>
        <v>-641381544.16000009</v>
      </c>
      <c r="Y13" s="507">
        <f t="shared" si="16"/>
        <v>-67.668504509012351</v>
      </c>
      <c r="Z13" s="507">
        <f t="shared" si="17"/>
        <v>507716323.56</v>
      </c>
      <c r="AA13" s="507">
        <f t="shared" si="18"/>
        <v>507716323.56</v>
      </c>
      <c r="AB13" s="507">
        <v>0</v>
      </c>
      <c r="AC13" s="507">
        <f t="shared" si="20"/>
        <v>201269112.20999998</v>
      </c>
      <c r="AD13" s="507">
        <f t="shared" si="21"/>
        <v>65.678232581508524</v>
      </c>
      <c r="AE13" s="507">
        <f t="shared" si="22"/>
        <v>-440112431.95000011</v>
      </c>
      <c r="AF13" s="507">
        <f t="shared" si="23"/>
        <v>-46.433749703361549</v>
      </c>
      <c r="AG13" s="507">
        <f t="shared" si="46"/>
        <v>875715794.93000007</v>
      </c>
      <c r="AH13" s="507">
        <f t="shared" si="24"/>
        <v>569268583.58000004</v>
      </c>
      <c r="AI13" s="507">
        <f t="shared" si="25"/>
        <v>185.76399539489563</v>
      </c>
      <c r="AJ13" s="507">
        <f t="shared" si="26"/>
        <v>367999471.37000006</v>
      </c>
      <c r="AK13" s="507">
        <f t="shared" si="2"/>
        <v>72.481315705917268</v>
      </c>
      <c r="AL13" s="507">
        <f>SUM(AL14:AL25)</f>
        <v>875715794.93000007</v>
      </c>
      <c r="AM13" s="507">
        <f t="shared" si="3"/>
        <v>223734015.83000001</v>
      </c>
      <c r="AN13" s="507">
        <f t="shared" si="3"/>
        <v>382132939.18000001</v>
      </c>
      <c r="AO13" s="507">
        <f t="shared" si="27"/>
        <v>158398923.34999999</v>
      </c>
      <c r="AP13" s="507">
        <f t="shared" si="47"/>
        <v>70.797872537341988</v>
      </c>
      <c r="AQ13" s="507">
        <f>SUM(AQ14:AQ25)</f>
        <v>181210905.59</v>
      </c>
      <c r="AR13" s="507">
        <f>SUM(AR14:AR25)</f>
        <v>275031008.30000001</v>
      </c>
      <c r="AS13" s="507">
        <f>SUM(AS14:AS25)</f>
        <v>42523110.240000002</v>
      </c>
      <c r="AT13" s="507">
        <f>SUM(AT14:AT25)</f>
        <v>107101930.87999998</v>
      </c>
      <c r="AU13" s="507">
        <f t="shared" si="4"/>
        <v>82713195.519999996</v>
      </c>
      <c r="AV13" s="507">
        <f t="shared" si="4"/>
        <v>125583384.38</v>
      </c>
      <c r="AW13" s="507">
        <f t="shared" si="28"/>
        <v>42870188.859999999</v>
      </c>
      <c r="AX13" s="507">
        <f t="shared" si="29"/>
        <v>51.829927003163618</v>
      </c>
      <c r="AY13" s="507">
        <f t="shared" si="5"/>
        <v>493582855.75000006</v>
      </c>
      <c r="AZ13" s="507">
        <f t="shared" si="30"/>
        <v>-367999471.37000006</v>
      </c>
      <c r="BA13" s="507">
        <f t="shared" si="31"/>
        <v>-74.556777465624123</v>
      </c>
      <c r="BB13" s="507">
        <f t="shared" ref="BB13:BN13" si="59">SUM(BB14:BB25)</f>
        <v>43463787.579999998</v>
      </c>
      <c r="BC13" s="507">
        <f t="shared" si="59"/>
        <v>61321874.390000001</v>
      </c>
      <c r="BD13" s="507">
        <f t="shared" si="59"/>
        <v>263886215.53999996</v>
      </c>
      <c r="BE13" s="507">
        <f t="shared" si="33"/>
        <v>220422427.95999998</v>
      </c>
      <c r="BF13" s="507">
        <f t="shared" si="34"/>
        <v>202564341.14999998</v>
      </c>
      <c r="BG13" s="507">
        <f t="shared" si="35"/>
        <v>267197803.41000003</v>
      </c>
      <c r="BH13" s="507">
        <f t="shared" si="59"/>
        <v>443454813.56999993</v>
      </c>
      <c r="BI13" s="507">
        <f t="shared" si="59"/>
        <v>646019154.72000003</v>
      </c>
      <c r="BJ13" s="507">
        <f t="shared" si="37"/>
        <v>378821351.31</v>
      </c>
      <c r="BK13" s="507">
        <f t="shared" si="38"/>
        <v>202564341.1500001</v>
      </c>
      <c r="BL13" s="507">
        <f t="shared" si="59"/>
        <v>39249407.939999998</v>
      </c>
      <c r="BM13" s="507">
        <f t="shared" si="59"/>
        <v>64261509.990000002</v>
      </c>
      <c r="BN13" s="507">
        <f t="shared" si="59"/>
        <v>229696640.2100001</v>
      </c>
      <c r="BO13" s="507">
        <f t="shared" si="48"/>
        <v>190447232.2700001</v>
      </c>
      <c r="BP13" s="507">
        <f t="shared" si="40"/>
        <v>165435130.22000009</v>
      </c>
      <c r="BQ13" s="507">
        <f t="shared" ref="BQ13:BS13" si="60">SUM(BQ14:BQ25)</f>
        <v>39249407.939999998</v>
      </c>
      <c r="BR13" s="507">
        <f t="shared" si="60"/>
        <v>0</v>
      </c>
      <c r="BS13" s="507">
        <f t="shared" si="60"/>
        <v>0</v>
      </c>
      <c r="BT13" s="569"/>
      <c r="BU13" s="507">
        <f t="shared" ref="BU13:BW13" si="61">SUM(BU14:BU25)</f>
        <v>0</v>
      </c>
      <c r="BV13" s="507">
        <f t="shared" si="61"/>
        <v>0</v>
      </c>
      <c r="BW13" s="507">
        <f t="shared" si="61"/>
        <v>875715794.93000007</v>
      </c>
      <c r="BX13" s="570"/>
      <c r="BY13" s="507">
        <f t="shared" ref="BY13:BZ13" si="62">SUM(BY14:BY25)</f>
        <v>733545551.13000011</v>
      </c>
      <c r="BZ13" s="507">
        <f t="shared" si="62"/>
        <v>64850905.640000001</v>
      </c>
      <c r="CA13" s="507">
        <f>SUM(CA14:CA25)</f>
        <v>77319338.160000011</v>
      </c>
      <c r="CB13" s="507">
        <f>SUM(CB14:CB25)</f>
        <v>875715794.93000007</v>
      </c>
      <c r="CC13" s="507">
        <f t="shared" si="44"/>
        <v>0</v>
      </c>
      <c r="CD13" s="507"/>
      <c r="CE13" s="507"/>
      <c r="CF13" s="507"/>
      <c r="CG13" s="507"/>
      <c r="CH13" s="507"/>
      <c r="CI13" s="507"/>
      <c r="CJ13" s="507"/>
      <c r="CK13" s="508"/>
      <c r="CL13" s="508"/>
      <c r="CM13" s="509"/>
      <c r="CN13" s="509"/>
      <c r="CO13" s="510"/>
      <c r="CP13" s="511">
        <f>SUM(CP14:CP25)</f>
        <v>255932609.12853873</v>
      </c>
      <c r="CQ13" s="511">
        <f>SUM(CQ14:CQ25)</f>
        <v>10578816.14699157</v>
      </c>
      <c r="CR13" s="511">
        <f>SUM(CR14:CR25)</f>
        <v>39935786.074469708</v>
      </c>
      <c r="CS13" s="1712"/>
      <c r="CT13" s="1713"/>
      <c r="CU13" s="1713"/>
      <c r="CV13" s="1713"/>
      <c r="CW13" s="1714"/>
      <c r="CX13" s="510"/>
      <c r="CY13" s="510"/>
      <c r="CZ13" s="510"/>
      <c r="DA13" s="510"/>
      <c r="DB13" s="511">
        <f>SUM(DB14:DB25)</f>
        <v>275031008.30000001</v>
      </c>
      <c r="DC13" s="571"/>
      <c r="DD13" s="572">
        <f>BI13-BI14</f>
        <v>634753407.11000001</v>
      </c>
      <c r="DE13" s="572"/>
      <c r="DF13" s="507">
        <f t="shared" si="49"/>
        <v>733545.55113000015</v>
      </c>
      <c r="DG13" s="507">
        <f t="shared" si="49"/>
        <v>64850.905639999997</v>
      </c>
      <c r="DH13" s="507">
        <f t="shared" si="49"/>
        <v>77319.338160000014</v>
      </c>
      <c r="DI13" s="507">
        <f t="shared" si="49"/>
        <v>875715.79493000009</v>
      </c>
      <c r="DJ13" s="569"/>
      <c r="DK13" s="569"/>
    </row>
    <row r="14" spans="1:123" s="534" customFormat="1" ht="33" customHeight="1">
      <c r="A14" s="537" t="s">
        <v>1809</v>
      </c>
      <c r="B14" s="538" t="s">
        <v>1678</v>
      </c>
      <c r="C14" s="539">
        <v>10824360.859999999</v>
      </c>
      <c r="D14" s="525"/>
      <c r="E14" s="573">
        <v>1149771.9000000001</v>
      </c>
      <c r="F14" s="573">
        <v>6956089.6900000004</v>
      </c>
      <c r="G14" s="540">
        <v>0</v>
      </c>
      <c r="H14" s="540">
        <v>0</v>
      </c>
      <c r="I14" s="522">
        <f t="shared" ref="I14:I25" si="63">J14+K14+L14</f>
        <v>1635501.2</v>
      </c>
      <c r="J14" s="525">
        <v>838536.58</v>
      </c>
      <c r="K14" s="525">
        <v>398482.31</v>
      </c>
      <c r="L14" s="525">
        <v>398482.31</v>
      </c>
      <c r="M14" s="525">
        <f t="shared" ref="M14:M25" si="64">J14+K14</f>
        <v>1237018.8899999999</v>
      </c>
      <c r="N14" s="525">
        <v>2199840.58</v>
      </c>
      <c r="O14" s="525">
        <f t="shared" ref="O14:O25" si="65">P14-N14</f>
        <v>1582058.9</v>
      </c>
      <c r="P14" s="522">
        <v>3781899.48</v>
      </c>
      <c r="Q14" s="525">
        <f t="shared" si="12"/>
        <v>2146398.2800000003</v>
      </c>
      <c r="R14" s="525">
        <f t="shared" si="13"/>
        <v>131.23795201128559</v>
      </c>
      <c r="S14" s="525"/>
      <c r="T14" s="525"/>
      <c r="U14" s="522">
        <f t="shared" ref="U14:U25" si="66">AQ14+AS14+BB14+BL14</f>
        <v>0</v>
      </c>
      <c r="V14" s="522">
        <f t="shared" si="1"/>
        <v>0</v>
      </c>
      <c r="W14" s="522">
        <v>0</v>
      </c>
      <c r="X14" s="522">
        <f t="shared" si="15"/>
        <v>-3781899.48</v>
      </c>
      <c r="Y14" s="522">
        <f t="shared" si="16"/>
        <v>-100</v>
      </c>
      <c r="Z14" s="524">
        <f t="shared" si="17"/>
        <v>7727933</v>
      </c>
      <c r="AA14" s="522">
        <f t="shared" si="18"/>
        <v>7727933</v>
      </c>
      <c r="AB14" s="522">
        <v>0</v>
      </c>
      <c r="AC14" s="522">
        <f t="shared" si="20"/>
        <v>7727933</v>
      </c>
      <c r="AD14" s="522">
        <v>0</v>
      </c>
      <c r="AE14" s="522">
        <f t="shared" si="22"/>
        <v>3946033.52</v>
      </c>
      <c r="AF14" s="522">
        <f t="shared" si="23"/>
        <v>104.33998949120667</v>
      </c>
      <c r="AG14" s="522">
        <f t="shared" si="46"/>
        <v>13968125.219999999</v>
      </c>
      <c r="AH14" s="522">
        <f t="shared" si="24"/>
        <v>13968125.219999999</v>
      </c>
      <c r="AI14" s="522">
        <v>0</v>
      </c>
      <c r="AJ14" s="522">
        <f t="shared" si="26"/>
        <v>6240192.2199999988</v>
      </c>
      <c r="AK14" s="522">
        <f t="shared" si="2"/>
        <v>80.748529005103933</v>
      </c>
      <c r="AL14" s="522">
        <f>BW14</f>
        <v>13968125.219999999</v>
      </c>
      <c r="AM14" s="522">
        <f t="shared" si="3"/>
        <v>0</v>
      </c>
      <c r="AN14" s="522">
        <f t="shared" si="3"/>
        <v>7727933</v>
      </c>
      <c r="AO14" s="522">
        <f t="shared" si="27"/>
        <v>7727933</v>
      </c>
      <c r="AP14" s="522">
        <v>0</v>
      </c>
      <c r="AQ14" s="522">
        <v>0</v>
      </c>
      <c r="AR14" s="522">
        <v>3021564.4499999997</v>
      </c>
      <c r="AS14" s="522">
        <v>0</v>
      </c>
      <c r="AT14" s="522">
        <v>4706368.5500000007</v>
      </c>
      <c r="AU14" s="522">
        <f t="shared" si="4"/>
        <v>0</v>
      </c>
      <c r="AV14" s="522">
        <f t="shared" si="4"/>
        <v>0</v>
      </c>
      <c r="AW14" s="522">
        <f t="shared" si="28"/>
        <v>0</v>
      </c>
      <c r="AX14" s="522">
        <v>0</v>
      </c>
      <c r="AY14" s="522">
        <f t="shared" si="5"/>
        <v>6240192.2199999988</v>
      </c>
      <c r="AZ14" s="522">
        <f t="shared" si="30"/>
        <v>-6240192.2199999988</v>
      </c>
      <c r="BA14" s="522">
        <v>0</v>
      </c>
      <c r="BB14" s="522">
        <v>0</v>
      </c>
      <c r="BC14" s="525">
        <f>'[67]Дир_по фин'!AT7</f>
        <v>0</v>
      </c>
      <c r="BD14" s="525">
        <f t="shared" ref="BD14:BD25" si="67">BI14-AN14</f>
        <v>3537814.6100000013</v>
      </c>
      <c r="BE14" s="525">
        <f t="shared" si="33"/>
        <v>3537814.6100000013</v>
      </c>
      <c r="BF14" s="525">
        <f t="shared" si="34"/>
        <v>3537814.6100000013</v>
      </c>
      <c r="BG14" s="525">
        <f t="shared" si="35"/>
        <v>0</v>
      </c>
      <c r="BH14" s="522">
        <f t="shared" si="35"/>
        <v>7727933</v>
      </c>
      <c r="BI14" s="522">
        <v>11265747.610000001</v>
      </c>
      <c r="BJ14" s="522">
        <f t="shared" si="37"/>
        <v>11265747.610000001</v>
      </c>
      <c r="BK14" s="522">
        <f t="shared" si="38"/>
        <v>3537814.6100000013</v>
      </c>
      <c r="BL14" s="525">
        <v>0</v>
      </c>
      <c r="BM14" s="522">
        <f>'[67]Дир_по фин'!AW7</f>
        <v>0</v>
      </c>
      <c r="BN14" s="522">
        <f t="shared" ref="BN14:BN25" si="68">AL14-BI14</f>
        <v>2702377.6099999975</v>
      </c>
      <c r="BO14" s="522">
        <f t="shared" si="48"/>
        <v>2702377.6099999975</v>
      </c>
      <c r="BP14" s="522">
        <f t="shared" si="40"/>
        <v>2702377.6099999975</v>
      </c>
      <c r="BQ14" s="525">
        <v>0</v>
      </c>
      <c r="BR14" s="522">
        <f>'[67]Дир_по фин'!BB7</f>
        <v>0</v>
      </c>
      <c r="BS14" s="522">
        <f>'[67]Дир_по фин'!BC7</f>
        <v>0</v>
      </c>
      <c r="BT14" s="536"/>
      <c r="BU14" s="522"/>
      <c r="BV14" s="522"/>
      <c r="BW14" s="522">
        <f>11165283.27+2802841.95</f>
        <v>13968125.219999999</v>
      </c>
      <c r="BX14" s="574"/>
      <c r="BY14" s="522"/>
      <c r="BZ14" s="522"/>
      <c r="CA14" s="522">
        <f>BW14</f>
        <v>13968125.219999999</v>
      </c>
      <c r="CB14" s="522">
        <f t="shared" si="56"/>
        <v>13968125.219999999</v>
      </c>
      <c r="CC14" s="522">
        <f t="shared" si="44"/>
        <v>0</v>
      </c>
      <c r="CD14" s="522"/>
      <c r="CE14" s="522"/>
      <c r="CF14" s="522"/>
      <c r="CG14" s="522"/>
      <c r="CH14" s="522"/>
      <c r="CI14" s="522"/>
      <c r="CJ14" s="522"/>
      <c r="CK14" s="542" t="s">
        <v>81</v>
      </c>
      <c r="CL14" s="542" t="s">
        <v>1810</v>
      </c>
      <c r="CM14" s="509"/>
      <c r="CN14" s="509"/>
      <c r="CO14" s="528"/>
      <c r="CP14" s="544"/>
      <c r="CQ14" s="544"/>
      <c r="CR14" s="544">
        <f t="shared" ref="CR14:CR19" si="69">U14</f>
        <v>0</v>
      </c>
      <c r="CS14" s="1706"/>
      <c r="CT14" s="1707"/>
      <c r="CU14" s="1707"/>
      <c r="CV14" s="1707"/>
      <c r="CW14" s="1708"/>
      <c r="CX14" s="528"/>
      <c r="CY14" s="528"/>
      <c r="CZ14" s="528"/>
      <c r="DA14" s="528"/>
      <c r="DB14" s="544">
        <f>2177243.07+844321.38</f>
        <v>3021564.4499999997</v>
      </c>
      <c r="DC14" s="544">
        <f t="shared" ref="DC14:DC25" si="70">DB14-AQ14</f>
        <v>3021564.4499999997</v>
      </c>
      <c r="DD14" s="535"/>
      <c r="DE14" s="535"/>
      <c r="DF14" s="522">
        <f t="shared" si="49"/>
        <v>0</v>
      </c>
      <c r="DG14" s="522">
        <f t="shared" si="49"/>
        <v>0</v>
      </c>
      <c r="DH14" s="522">
        <f t="shared" si="49"/>
        <v>13968.125219999998</v>
      </c>
      <c r="DI14" s="522">
        <f t="shared" si="49"/>
        <v>13968.125219999998</v>
      </c>
      <c r="DJ14" s="536"/>
      <c r="DK14" s="536"/>
      <c r="DL14" s="536"/>
      <c r="DM14" s="536"/>
      <c r="DN14" s="536"/>
      <c r="DO14" s="536"/>
      <c r="DP14" s="536"/>
      <c r="DQ14" s="536"/>
      <c r="DR14" s="536"/>
      <c r="DS14" s="536"/>
    </row>
    <row r="15" spans="1:123" s="534" customFormat="1" ht="37.5" customHeight="1">
      <c r="A15" s="537" t="s">
        <v>1811</v>
      </c>
      <c r="B15" s="538" t="s">
        <v>1812</v>
      </c>
      <c r="C15" s="539">
        <v>228512371.25999999</v>
      </c>
      <c r="D15" s="525"/>
      <c r="E15" s="525">
        <v>2402100</v>
      </c>
      <c r="F15" s="525">
        <v>17560721.379999999</v>
      </c>
      <c r="G15" s="540">
        <v>0</v>
      </c>
      <c r="H15" s="540">
        <v>0</v>
      </c>
      <c r="I15" s="525">
        <f t="shared" si="63"/>
        <v>4323867.82</v>
      </c>
      <c r="J15" s="525">
        <v>1282305.26</v>
      </c>
      <c r="K15" s="525">
        <v>1520778.78</v>
      </c>
      <c r="L15" s="525">
        <v>1520783.78</v>
      </c>
      <c r="M15" s="525">
        <f t="shared" si="64"/>
        <v>2803084.04</v>
      </c>
      <c r="N15" s="525">
        <v>1856581.22</v>
      </c>
      <c r="O15" s="525">
        <f t="shared" si="65"/>
        <v>1376249.1500000001</v>
      </c>
      <c r="P15" s="522">
        <v>3232830.37</v>
      </c>
      <c r="Q15" s="525">
        <f t="shared" si="12"/>
        <v>-1091037.4500000002</v>
      </c>
      <c r="R15" s="525">
        <f t="shared" si="13"/>
        <v>-25.232904783846976</v>
      </c>
      <c r="S15" s="525"/>
      <c r="T15" s="525"/>
      <c r="U15" s="522">
        <f t="shared" si="66"/>
        <v>6532425.629999999</v>
      </c>
      <c r="V15" s="522">
        <f t="shared" si="1"/>
        <v>6532425.629999999</v>
      </c>
      <c r="W15" s="522">
        <v>0</v>
      </c>
      <c r="X15" s="522">
        <f t="shared" si="15"/>
        <v>3299595.2599999988</v>
      </c>
      <c r="Y15" s="522">
        <f t="shared" si="16"/>
        <v>102.06521476102063</v>
      </c>
      <c r="Z15" s="524">
        <f t="shared" si="17"/>
        <v>5123939.84</v>
      </c>
      <c r="AA15" s="522">
        <f t="shared" si="18"/>
        <v>5123939.84</v>
      </c>
      <c r="AB15" s="522">
        <v>0</v>
      </c>
      <c r="AC15" s="522">
        <f t="shared" si="20"/>
        <v>-1408485.7899999991</v>
      </c>
      <c r="AD15" s="522">
        <f t="shared" si="21"/>
        <v>-21.561451592063506</v>
      </c>
      <c r="AE15" s="522">
        <f t="shared" si="22"/>
        <v>1891109.4699999997</v>
      </c>
      <c r="AF15" s="522">
        <f t="shared" si="23"/>
        <v>58.497021295924014</v>
      </c>
      <c r="AG15" s="522">
        <f t="shared" si="46"/>
        <v>51513829.43</v>
      </c>
      <c r="AH15" s="522">
        <f t="shared" si="24"/>
        <v>44981403.799999997</v>
      </c>
      <c r="AI15" s="522">
        <f t="shared" si="25"/>
        <v>688.58654269899444</v>
      </c>
      <c r="AJ15" s="522">
        <f t="shared" si="26"/>
        <v>46389889.590000004</v>
      </c>
      <c r="AK15" s="522">
        <f t="shared" si="2"/>
        <v>905.35585972063245</v>
      </c>
      <c r="AL15" s="522">
        <f t="shared" ref="AL15:AL25" si="71">BW15</f>
        <v>51513829.43</v>
      </c>
      <c r="AM15" s="522">
        <f t="shared" si="3"/>
        <v>3226622.9699999997</v>
      </c>
      <c r="AN15" s="522">
        <f t="shared" si="3"/>
        <v>1872152.4</v>
      </c>
      <c r="AO15" s="522">
        <f t="shared" si="27"/>
        <v>-1354470.5699999998</v>
      </c>
      <c r="AP15" s="522">
        <f t="shared" si="47"/>
        <v>-41.977962178828719</v>
      </c>
      <c r="AQ15" s="522">
        <v>1607209.16</v>
      </c>
      <c r="AR15" s="522">
        <v>884371.93</v>
      </c>
      <c r="AS15" s="522">
        <v>1619413.81</v>
      </c>
      <c r="AT15" s="567">
        <v>987780.46999999986</v>
      </c>
      <c r="AU15" s="522">
        <f t="shared" si="4"/>
        <v>3305802.66</v>
      </c>
      <c r="AV15" s="522">
        <f t="shared" si="4"/>
        <v>3251787.44</v>
      </c>
      <c r="AW15" s="522">
        <f t="shared" si="28"/>
        <v>-54015.220000000205</v>
      </c>
      <c r="AX15" s="522">
        <f t="shared" si="29"/>
        <v>-1.6339517374579202</v>
      </c>
      <c r="AY15" s="522">
        <f t="shared" si="5"/>
        <v>49641677.030000001</v>
      </c>
      <c r="AZ15" s="522">
        <f t="shared" si="30"/>
        <v>-46389889.590000004</v>
      </c>
      <c r="BA15" s="522">
        <f t="shared" si="31"/>
        <v>-93.449481092198312</v>
      </c>
      <c r="BB15" s="522">
        <v>1660091.15</v>
      </c>
      <c r="BC15" s="525">
        <f>'[67]Дир_по экон'!AT8</f>
        <v>1606075.92</v>
      </c>
      <c r="BD15" s="525">
        <f t="shared" si="67"/>
        <v>47161973.280000001</v>
      </c>
      <c r="BE15" s="525">
        <f t="shared" si="33"/>
        <v>45501882.130000003</v>
      </c>
      <c r="BF15" s="525">
        <f t="shared" si="34"/>
        <v>45555897.359999999</v>
      </c>
      <c r="BG15" s="525">
        <f t="shared" si="35"/>
        <v>4886714.1199999992</v>
      </c>
      <c r="BH15" s="522">
        <f t="shared" si="35"/>
        <v>3478228.32</v>
      </c>
      <c r="BI15" s="522">
        <v>49034125.68</v>
      </c>
      <c r="BJ15" s="522">
        <f t="shared" si="37"/>
        <v>44147411.560000002</v>
      </c>
      <c r="BK15" s="522">
        <f t="shared" si="38"/>
        <v>45555897.359999999</v>
      </c>
      <c r="BL15" s="525">
        <v>1645711.51</v>
      </c>
      <c r="BM15" s="522">
        <f>'[67]Дир_по экон'!AW8</f>
        <v>1645711.52</v>
      </c>
      <c r="BN15" s="522">
        <f t="shared" si="68"/>
        <v>2479703.75</v>
      </c>
      <c r="BO15" s="522">
        <f t="shared" si="48"/>
        <v>833992.24</v>
      </c>
      <c r="BP15" s="522">
        <f t="shared" si="40"/>
        <v>833992.23</v>
      </c>
      <c r="BQ15" s="525">
        <v>1645711.51</v>
      </c>
      <c r="BR15" s="522">
        <f>'[67]Дир_по экон'!BB8</f>
        <v>0</v>
      </c>
      <c r="BS15" s="522">
        <f>'[67]Дир_по экон'!BC8</f>
        <v>0</v>
      </c>
      <c r="BT15" s="536"/>
      <c r="BU15" s="522"/>
      <c r="BV15" s="522"/>
      <c r="BW15" s="522">
        <f>2518215.44+421806.69+8.07+1274009.78+2144+383724.37+1615629.09+45298291.99</f>
        <v>51513829.43</v>
      </c>
      <c r="BX15" s="574"/>
      <c r="BY15" s="522">
        <f>2489572.01+259038.48+0.3+756003.83+2027.25+205940.16+1469151.54+45298291.99</f>
        <v>50480025.560000002</v>
      </c>
      <c r="BZ15" s="522">
        <f>88.9+7.71+537.2+0.02+3220.75</f>
        <v>3854.58</v>
      </c>
      <c r="CA15" s="522">
        <f>28554.53+162768.21+0.04+518005.95+116.75+174026.26+146477.55</f>
        <v>1029949.29</v>
      </c>
      <c r="CB15" s="522">
        <f t="shared" si="56"/>
        <v>51513829.43</v>
      </c>
      <c r="CC15" s="522">
        <f t="shared" si="44"/>
        <v>0</v>
      </c>
      <c r="CD15" s="522"/>
      <c r="CE15" s="522"/>
      <c r="CF15" s="522"/>
      <c r="CG15" s="522"/>
      <c r="CH15" s="522"/>
      <c r="CI15" s="522"/>
      <c r="CJ15" s="522"/>
      <c r="CK15" s="542" t="s">
        <v>77</v>
      </c>
      <c r="CL15" s="542" t="s">
        <v>1800</v>
      </c>
      <c r="CM15" s="509"/>
      <c r="CN15" s="509"/>
      <c r="CO15" s="528"/>
      <c r="CP15" s="544"/>
      <c r="CQ15" s="544"/>
      <c r="CR15" s="544">
        <f t="shared" si="69"/>
        <v>6532425.629999999</v>
      </c>
      <c r="CS15" s="1706"/>
      <c r="CT15" s="1707"/>
      <c r="CU15" s="1707"/>
      <c r="CV15" s="1707"/>
      <c r="CW15" s="1708"/>
      <c r="CX15" s="528"/>
      <c r="CY15" s="528"/>
      <c r="CZ15" s="528"/>
      <c r="DA15" s="528"/>
      <c r="DB15" s="544">
        <f>133601.98+15843.86+7.72+332146.13+1003.25+210148.68+213868.97-35922.13+14334.59-1104.97+443.85</f>
        <v>884371.93</v>
      </c>
      <c r="DC15" s="544">
        <f t="shared" si="70"/>
        <v>-722837.22999999986</v>
      </c>
      <c r="DD15" s="575"/>
      <c r="DE15" s="575"/>
      <c r="DF15" s="522">
        <f t="shared" si="49"/>
        <v>50480.025560000002</v>
      </c>
      <c r="DG15" s="522">
        <f t="shared" si="49"/>
        <v>3.8545799999999999</v>
      </c>
      <c r="DH15" s="522">
        <f t="shared" si="49"/>
        <v>1029.94929</v>
      </c>
      <c r="DI15" s="522">
        <f t="shared" si="49"/>
        <v>51513.829429999998</v>
      </c>
      <c r="DJ15" s="536"/>
      <c r="DK15" s="536"/>
      <c r="DL15" s="536"/>
      <c r="DM15" s="536"/>
      <c r="DN15" s="536"/>
      <c r="DO15" s="536"/>
      <c r="DP15" s="536"/>
      <c r="DQ15" s="536"/>
      <c r="DR15" s="536"/>
      <c r="DS15" s="536"/>
    </row>
    <row r="16" spans="1:123" s="534" customFormat="1" ht="63.75" customHeight="1">
      <c r="A16" s="537" t="s">
        <v>1813</v>
      </c>
      <c r="B16" s="538" t="s">
        <v>1814</v>
      </c>
      <c r="C16" s="539"/>
      <c r="D16" s="525"/>
      <c r="E16" s="525"/>
      <c r="F16" s="525"/>
      <c r="G16" s="540">
        <v>0</v>
      </c>
      <c r="H16" s="540">
        <v>0</v>
      </c>
      <c r="I16" s="525">
        <f t="shared" si="63"/>
        <v>581084.59</v>
      </c>
      <c r="J16" s="525">
        <v>581084.59</v>
      </c>
      <c r="K16" s="525">
        <v>0</v>
      </c>
      <c r="L16" s="525">
        <v>0</v>
      </c>
      <c r="M16" s="525">
        <f t="shared" si="64"/>
        <v>581084.59</v>
      </c>
      <c r="N16" s="525">
        <v>2134820.0099999998</v>
      </c>
      <c r="O16" s="525">
        <f t="shared" si="65"/>
        <v>2787437.99</v>
      </c>
      <c r="P16" s="522">
        <v>4922258</v>
      </c>
      <c r="Q16" s="525">
        <f t="shared" si="12"/>
        <v>4341173.41</v>
      </c>
      <c r="R16" s="525">
        <f t="shared" si="13"/>
        <v>747.08114527697251</v>
      </c>
      <c r="S16" s="525"/>
      <c r="T16" s="525"/>
      <c r="U16" s="522">
        <f t="shared" si="66"/>
        <v>0</v>
      </c>
      <c r="V16" s="522">
        <f t="shared" si="1"/>
        <v>0</v>
      </c>
      <c r="W16" s="522">
        <v>0</v>
      </c>
      <c r="X16" s="522">
        <f t="shared" si="15"/>
        <v>-4922258</v>
      </c>
      <c r="Y16" s="522">
        <f t="shared" si="16"/>
        <v>-100</v>
      </c>
      <c r="Z16" s="524">
        <f t="shared" si="17"/>
        <v>1917062.67</v>
      </c>
      <c r="AA16" s="522">
        <f t="shared" si="18"/>
        <v>1917062.67</v>
      </c>
      <c r="AB16" s="522">
        <v>0</v>
      </c>
      <c r="AC16" s="522">
        <f t="shared" si="20"/>
        <v>1917062.67</v>
      </c>
      <c r="AD16" s="522">
        <v>0</v>
      </c>
      <c r="AE16" s="522">
        <f t="shared" si="22"/>
        <v>-3005195.33</v>
      </c>
      <c r="AF16" s="522">
        <f t="shared" si="23"/>
        <v>-61.053185956526455</v>
      </c>
      <c r="AG16" s="522">
        <f t="shared" si="46"/>
        <v>2527541.42</v>
      </c>
      <c r="AH16" s="522">
        <f t="shared" si="24"/>
        <v>2527541.42</v>
      </c>
      <c r="AI16" s="522">
        <v>0</v>
      </c>
      <c r="AJ16" s="522">
        <f t="shared" si="26"/>
        <v>610478.75</v>
      </c>
      <c r="AK16" s="522">
        <f t="shared" si="2"/>
        <v>31.844485814331762</v>
      </c>
      <c r="AL16" s="522">
        <f t="shared" si="71"/>
        <v>2527541.42</v>
      </c>
      <c r="AM16" s="522">
        <f t="shared" si="3"/>
        <v>0</v>
      </c>
      <c r="AN16" s="522">
        <f t="shared" si="3"/>
        <v>1917062.67</v>
      </c>
      <c r="AO16" s="522">
        <f t="shared" si="27"/>
        <v>1917062.67</v>
      </c>
      <c r="AP16" s="522">
        <v>0</v>
      </c>
      <c r="AQ16" s="522">
        <v>0</v>
      </c>
      <c r="AR16" s="522">
        <v>1471588.87</v>
      </c>
      <c r="AS16" s="522">
        <v>0</v>
      </c>
      <c r="AT16" s="522">
        <v>445473.79999999981</v>
      </c>
      <c r="AU16" s="522">
        <f t="shared" si="4"/>
        <v>0</v>
      </c>
      <c r="AV16" s="522">
        <f t="shared" si="4"/>
        <v>0</v>
      </c>
      <c r="AW16" s="522">
        <f t="shared" si="28"/>
        <v>0</v>
      </c>
      <c r="AX16" s="522">
        <v>0</v>
      </c>
      <c r="AY16" s="522">
        <f t="shared" si="5"/>
        <v>610478.75</v>
      </c>
      <c r="AZ16" s="522">
        <f t="shared" si="30"/>
        <v>-610478.75</v>
      </c>
      <c r="BA16" s="522">
        <v>0</v>
      </c>
      <c r="BB16" s="522">
        <v>0</v>
      </c>
      <c r="BC16" s="525">
        <f>'[67]Дир_ имущ'!AT7</f>
        <v>0</v>
      </c>
      <c r="BD16" s="525">
        <f t="shared" si="67"/>
        <v>313079.37999999989</v>
      </c>
      <c r="BE16" s="525">
        <f t="shared" si="33"/>
        <v>313079.37999999989</v>
      </c>
      <c r="BF16" s="525">
        <f t="shared" si="34"/>
        <v>313079.37999999989</v>
      </c>
      <c r="BG16" s="525">
        <f t="shared" si="35"/>
        <v>0</v>
      </c>
      <c r="BH16" s="522">
        <f t="shared" si="35"/>
        <v>1917062.67</v>
      </c>
      <c r="BI16" s="522">
        <v>2230142.0499999998</v>
      </c>
      <c r="BJ16" s="522">
        <f t="shared" si="37"/>
        <v>2230142.0499999998</v>
      </c>
      <c r="BK16" s="522">
        <f t="shared" si="38"/>
        <v>313079.37999999989</v>
      </c>
      <c r="BL16" s="525">
        <v>0</v>
      </c>
      <c r="BM16" s="522">
        <f>'[67]Дир_ имущ'!AW7</f>
        <v>0</v>
      </c>
      <c r="BN16" s="522">
        <f t="shared" si="68"/>
        <v>297399.37000000011</v>
      </c>
      <c r="BO16" s="522">
        <f t="shared" si="48"/>
        <v>297399.37000000011</v>
      </c>
      <c r="BP16" s="522">
        <f t="shared" si="40"/>
        <v>297399.37000000011</v>
      </c>
      <c r="BQ16" s="525">
        <v>0</v>
      </c>
      <c r="BR16" s="522">
        <f>'[67]Дир_ имущ'!BB7</f>
        <v>0</v>
      </c>
      <c r="BS16" s="522">
        <f>'[67]Дир_ имущ'!BC7</f>
        <v>0</v>
      </c>
      <c r="BT16" s="536"/>
      <c r="BU16" s="522"/>
      <c r="BV16" s="522"/>
      <c r="BW16" s="522">
        <f>2105884.17-321236.84+742894.09</f>
        <v>2527541.42</v>
      </c>
      <c r="BX16" s="574"/>
      <c r="BY16" s="522"/>
      <c r="BZ16" s="522"/>
      <c r="CA16" s="522">
        <f>1784647.33+742894.09</f>
        <v>2527541.42</v>
      </c>
      <c r="CB16" s="522">
        <f t="shared" si="56"/>
        <v>2527541.42</v>
      </c>
      <c r="CC16" s="522">
        <f t="shared" si="44"/>
        <v>0</v>
      </c>
      <c r="CD16" s="522"/>
      <c r="CE16" s="522"/>
      <c r="CF16" s="522"/>
      <c r="CG16" s="522"/>
      <c r="CH16" s="522"/>
      <c r="CI16" s="522"/>
      <c r="CJ16" s="522"/>
      <c r="CK16" s="542" t="s">
        <v>1815</v>
      </c>
      <c r="CL16" s="542" t="s">
        <v>1816</v>
      </c>
      <c r="CM16" s="509"/>
      <c r="CN16" s="509"/>
      <c r="CO16" s="528"/>
      <c r="CP16" s="544"/>
      <c r="CQ16" s="544"/>
      <c r="CR16" s="544">
        <f t="shared" si="69"/>
        <v>0</v>
      </c>
      <c r="CS16" s="1706"/>
      <c r="CT16" s="1707"/>
      <c r="CU16" s="1707"/>
      <c r="CV16" s="1707"/>
      <c r="CW16" s="1708"/>
      <c r="CX16" s="528"/>
      <c r="CY16" s="528"/>
      <c r="CZ16" s="528"/>
      <c r="DA16" s="528"/>
      <c r="DB16" s="544">
        <f>1306841.02+164747.85</f>
        <v>1471588.87</v>
      </c>
      <c r="DC16" s="544">
        <f t="shared" si="70"/>
        <v>1471588.87</v>
      </c>
      <c r="DD16" s="535"/>
      <c r="DE16" s="535"/>
      <c r="DF16" s="522">
        <f t="shared" si="49"/>
        <v>0</v>
      </c>
      <c r="DG16" s="522">
        <f t="shared" si="49"/>
        <v>0</v>
      </c>
      <c r="DH16" s="522">
        <f t="shared" si="49"/>
        <v>2527.54142</v>
      </c>
      <c r="DI16" s="522">
        <f t="shared" si="49"/>
        <v>2527.54142</v>
      </c>
      <c r="DJ16" s="536"/>
      <c r="DK16" s="536"/>
      <c r="DL16" s="536"/>
      <c r="DM16" s="536"/>
      <c r="DN16" s="536"/>
      <c r="DO16" s="536"/>
      <c r="DP16" s="536"/>
      <c r="DQ16" s="536"/>
      <c r="DR16" s="536"/>
      <c r="DS16" s="536"/>
    </row>
    <row r="17" spans="1:123" s="534" customFormat="1" ht="33" customHeight="1">
      <c r="A17" s="537" t="s">
        <v>1817</v>
      </c>
      <c r="B17" s="538" t="s">
        <v>1818</v>
      </c>
      <c r="C17" s="539"/>
      <c r="D17" s="525"/>
      <c r="E17" s="525"/>
      <c r="F17" s="525"/>
      <c r="G17" s="540">
        <v>0</v>
      </c>
      <c r="H17" s="540">
        <v>0</v>
      </c>
      <c r="I17" s="525">
        <f t="shared" si="63"/>
        <v>0</v>
      </c>
      <c r="J17" s="525">
        <v>0</v>
      </c>
      <c r="K17" s="525">
        <v>0</v>
      </c>
      <c r="L17" s="525">
        <v>0</v>
      </c>
      <c r="M17" s="525">
        <f t="shared" si="64"/>
        <v>0</v>
      </c>
      <c r="N17" s="525">
        <v>378432.21</v>
      </c>
      <c r="O17" s="525">
        <f t="shared" si="65"/>
        <v>472176.96</v>
      </c>
      <c r="P17" s="522">
        <v>850609.17</v>
      </c>
      <c r="Q17" s="525">
        <f t="shared" si="12"/>
        <v>850609.17</v>
      </c>
      <c r="R17" s="525">
        <v>0</v>
      </c>
      <c r="S17" s="525"/>
      <c r="T17" s="525"/>
      <c r="U17" s="522">
        <f t="shared" si="66"/>
        <v>0</v>
      </c>
      <c r="V17" s="522">
        <f t="shared" si="1"/>
        <v>0</v>
      </c>
      <c r="W17" s="522">
        <v>0</v>
      </c>
      <c r="X17" s="522">
        <f t="shared" si="15"/>
        <v>-850609.17</v>
      </c>
      <c r="Y17" s="522">
        <f>U17/P17*100-100</f>
        <v>-100</v>
      </c>
      <c r="Z17" s="524">
        <f t="shared" si="17"/>
        <v>398805.07999999996</v>
      </c>
      <c r="AA17" s="522">
        <f t="shared" si="18"/>
        <v>398805.07999999996</v>
      </c>
      <c r="AB17" s="522">
        <v>0</v>
      </c>
      <c r="AC17" s="522">
        <f t="shared" si="20"/>
        <v>398805.07999999996</v>
      </c>
      <c r="AD17" s="522">
        <v>0</v>
      </c>
      <c r="AE17" s="522">
        <f t="shared" si="22"/>
        <v>-451804.09000000008</v>
      </c>
      <c r="AF17" s="522">
        <f t="shared" si="23"/>
        <v>-53.11535613941242</v>
      </c>
      <c r="AG17" s="522">
        <f t="shared" si="46"/>
        <v>954276.38000000012</v>
      </c>
      <c r="AH17" s="522">
        <f t="shared" si="24"/>
        <v>954276.38000000012</v>
      </c>
      <c r="AI17" s="522">
        <v>0</v>
      </c>
      <c r="AJ17" s="522">
        <f t="shared" si="26"/>
        <v>555471.30000000016</v>
      </c>
      <c r="AK17" s="522">
        <f t="shared" si="2"/>
        <v>139.28390781782426</v>
      </c>
      <c r="AL17" s="522">
        <f t="shared" si="71"/>
        <v>954276.38000000012</v>
      </c>
      <c r="AM17" s="522">
        <f t="shared" si="3"/>
        <v>0</v>
      </c>
      <c r="AN17" s="522">
        <f t="shared" si="3"/>
        <v>398805.07999999996</v>
      </c>
      <c r="AO17" s="522">
        <f t="shared" si="27"/>
        <v>398805.07999999996</v>
      </c>
      <c r="AP17" s="522">
        <v>0</v>
      </c>
      <c r="AQ17" s="522">
        <v>0</v>
      </c>
      <c r="AR17" s="522">
        <v>135593.22</v>
      </c>
      <c r="AS17" s="522">
        <v>0</v>
      </c>
      <c r="AT17" s="522">
        <v>263211.86</v>
      </c>
      <c r="AU17" s="522">
        <f t="shared" si="4"/>
        <v>0</v>
      </c>
      <c r="AV17" s="522">
        <f t="shared" si="4"/>
        <v>0</v>
      </c>
      <c r="AW17" s="522">
        <f t="shared" si="28"/>
        <v>0</v>
      </c>
      <c r="AX17" s="522">
        <v>0</v>
      </c>
      <c r="AY17" s="522">
        <f t="shared" si="5"/>
        <v>555471.30000000016</v>
      </c>
      <c r="AZ17" s="522">
        <f t="shared" si="30"/>
        <v>-555471.30000000016</v>
      </c>
      <c r="BA17" s="522">
        <v>0</v>
      </c>
      <c r="BB17" s="522">
        <v>0</v>
      </c>
      <c r="BC17" s="525">
        <f>'[67]Дир_ имущ'!AT8</f>
        <v>0</v>
      </c>
      <c r="BD17" s="525">
        <f t="shared" si="67"/>
        <v>210169.49000000011</v>
      </c>
      <c r="BE17" s="525">
        <f t="shared" si="33"/>
        <v>210169.49000000011</v>
      </c>
      <c r="BF17" s="525">
        <f t="shared" si="34"/>
        <v>210169.49000000011</v>
      </c>
      <c r="BG17" s="525">
        <f t="shared" si="35"/>
        <v>0</v>
      </c>
      <c r="BH17" s="522">
        <f t="shared" si="35"/>
        <v>398805.07999999996</v>
      </c>
      <c r="BI17" s="522">
        <v>608974.57000000007</v>
      </c>
      <c r="BJ17" s="522">
        <f t="shared" si="37"/>
        <v>608974.57000000007</v>
      </c>
      <c r="BK17" s="522">
        <f t="shared" si="38"/>
        <v>210169.49000000011</v>
      </c>
      <c r="BL17" s="525">
        <v>0</v>
      </c>
      <c r="BM17" s="522">
        <f>'[67]Дир_ имущ'!AW8</f>
        <v>0</v>
      </c>
      <c r="BN17" s="522">
        <f t="shared" si="68"/>
        <v>345301.81000000006</v>
      </c>
      <c r="BO17" s="522">
        <f t="shared" si="48"/>
        <v>345301.81000000006</v>
      </c>
      <c r="BP17" s="522">
        <f t="shared" si="40"/>
        <v>345301.81000000006</v>
      </c>
      <c r="BQ17" s="525">
        <v>0</v>
      </c>
      <c r="BR17" s="522">
        <f>'[67]Дир_ имущ'!BB8</f>
        <v>0</v>
      </c>
      <c r="BS17" s="522">
        <f>'[67]Дир_ имущ'!BC8</f>
        <v>0</v>
      </c>
      <c r="BT17" s="536"/>
      <c r="BU17" s="522"/>
      <c r="BV17" s="522"/>
      <c r="BW17" s="522">
        <f>1109418.1-155141.72</f>
        <v>954276.38000000012</v>
      </c>
      <c r="BX17" s="574"/>
      <c r="BY17" s="522"/>
      <c r="BZ17" s="522"/>
      <c r="CA17" s="522">
        <f>BW17</f>
        <v>954276.38000000012</v>
      </c>
      <c r="CB17" s="522">
        <f t="shared" si="56"/>
        <v>954276.38000000012</v>
      </c>
      <c r="CC17" s="522">
        <f t="shared" si="44"/>
        <v>0</v>
      </c>
      <c r="CD17" s="522"/>
      <c r="CE17" s="522"/>
      <c r="CF17" s="522"/>
      <c r="CG17" s="522"/>
      <c r="CH17" s="522"/>
      <c r="CI17" s="522"/>
      <c r="CJ17" s="522"/>
      <c r="CK17" s="542" t="s">
        <v>1815</v>
      </c>
      <c r="CL17" s="542" t="s">
        <v>1816</v>
      </c>
      <c r="CM17" s="509"/>
      <c r="CN17" s="509"/>
      <c r="CO17" s="528"/>
      <c r="CP17" s="544"/>
      <c r="CQ17" s="544"/>
      <c r="CR17" s="544">
        <f t="shared" si="69"/>
        <v>0</v>
      </c>
      <c r="CS17" s="1706"/>
      <c r="CT17" s="1707"/>
      <c r="CU17" s="1707"/>
      <c r="CV17" s="1707"/>
      <c r="CW17" s="1708"/>
      <c r="CX17" s="528"/>
      <c r="CY17" s="528"/>
      <c r="CZ17" s="528"/>
      <c r="DA17" s="528"/>
      <c r="DB17" s="544">
        <v>135593.22</v>
      </c>
      <c r="DC17" s="544">
        <f t="shared" si="70"/>
        <v>135593.22</v>
      </c>
      <c r="DD17" s="535"/>
      <c r="DE17" s="535"/>
      <c r="DF17" s="522">
        <f t="shared" si="49"/>
        <v>0</v>
      </c>
      <c r="DG17" s="522">
        <f t="shared" si="49"/>
        <v>0</v>
      </c>
      <c r="DH17" s="522">
        <f t="shared" si="49"/>
        <v>954.27638000000013</v>
      </c>
      <c r="DI17" s="522">
        <f t="shared" si="49"/>
        <v>954.27638000000013</v>
      </c>
      <c r="DJ17" s="536"/>
      <c r="DK17" s="536"/>
      <c r="DL17" s="536"/>
      <c r="DM17" s="536"/>
      <c r="DN17" s="536"/>
      <c r="DO17" s="536"/>
      <c r="DP17" s="536"/>
      <c r="DQ17" s="536"/>
      <c r="DR17" s="536"/>
      <c r="DS17" s="536"/>
    </row>
    <row r="18" spans="1:123" s="534" customFormat="1">
      <c r="A18" s="537" t="s">
        <v>1819</v>
      </c>
      <c r="B18" s="538" t="s">
        <v>1820</v>
      </c>
      <c r="C18" s="539"/>
      <c r="D18" s="525"/>
      <c r="E18" s="525"/>
      <c r="F18" s="525"/>
      <c r="G18" s="540">
        <v>0</v>
      </c>
      <c r="H18" s="540">
        <v>0</v>
      </c>
      <c r="I18" s="525">
        <f t="shared" si="63"/>
        <v>80523000</v>
      </c>
      <c r="J18" s="525">
        <v>0</v>
      </c>
      <c r="K18" s="525">
        <v>0</v>
      </c>
      <c r="L18" s="525">
        <v>80523000</v>
      </c>
      <c r="M18" s="525">
        <f t="shared" si="64"/>
        <v>0</v>
      </c>
      <c r="N18" s="525"/>
      <c r="O18" s="525">
        <f t="shared" si="65"/>
        <v>80523000</v>
      </c>
      <c r="P18" s="522">
        <v>80523000</v>
      </c>
      <c r="Q18" s="525">
        <f t="shared" si="12"/>
        <v>0</v>
      </c>
      <c r="R18" s="525">
        <f t="shared" si="13"/>
        <v>0</v>
      </c>
      <c r="S18" s="525"/>
      <c r="T18" s="525"/>
      <c r="U18" s="522">
        <f t="shared" si="66"/>
        <v>0</v>
      </c>
      <c r="V18" s="522">
        <f t="shared" si="1"/>
        <v>0</v>
      </c>
      <c r="W18" s="522">
        <v>0</v>
      </c>
      <c r="X18" s="522">
        <f t="shared" si="15"/>
        <v>-80523000</v>
      </c>
      <c r="Y18" s="522">
        <f t="shared" si="16"/>
        <v>-100</v>
      </c>
      <c r="Z18" s="524">
        <f t="shared" si="17"/>
        <v>0</v>
      </c>
      <c r="AA18" s="522">
        <f t="shared" si="18"/>
        <v>0</v>
      </c>
      <c r="AB18" s="522">
        <v>0</v>
      </c>
      <c r="AC18" s="522">
        <f t="shared" si="20"/>
        <v>0</v>
      </c>
      <c r="AD18" s="522">
        <v>0</v>
      </c>
      <c r="AE18" s="522">
        <f t="shared" si="22"/>
        <v>-80523000</v>
      </c>
      <c r="AF18" s="522">
        <f t="shared" si="23"/>
        <v>-100</v>
      </c>
      <c r="AG18" s="522">
        <f t="shared" si="46"/>
        <v>0</v>
      </c>
      <c r="AH18" s="522">
        <f t="shared" si="24"/>
        <v>0</v>
      </c>
      <c r="AI18" s="522">
        <v>0</v>
      </c>
      <c r="AJ18" s="522">
        <f t="shared" si="26"/>
        <v>0</v>
      </c>
      <c r="AK18" s="522">
        <v>0</v>
      </c>
      <c r="AL18" s="522">
        <f t="shared" si="71"/>
        <v>0</v>
      </c>
      <c r="AM18" s="522">
        <f t="shared" si="3"/>
        <v>0</v>
      </c>
      <c r="AN18" s="522">
        <f t="shared" si="3"/>
        <v>0</v>
      </c>
      <c r="AO18" s="522">
        <f t="shared" si="27"/>
        <v>0</v>
      </c>
      <c r="AP18" s="522">
        <v>0</v>
      </c>
      <c r="AQ18" s="522">
        <v>0</v>
      </c>
      <c r="AR18" s="522">
        <v>0</v>
      </c>
      <c r="AS18" s="522">
        <v>0</v>
      </c>
      <c r="AT18" s="522">
        <v>0</v>
      </c>
      <c r="AU18" s="522">
        <f t="shared" si="4"/>
        <v>0</v>
      </c>
      <c r="AV18" s="522">
        <f t="shared" si="4"/>
        <v>0</v>
      </c>
      <c r="AW18" s="522">
        <f t="shared" si="28"/>
        <v>0</v>
      </c>
      <c r="AX18" s="522">
        <v>0</v>
      </c>
      <c r="AY18" s="522">
        <f t="shared" si="5"/>
        <v>0</v>
      </c>
      <c r="AZ18" s="522">
        <f t="shared" si="30"/>
        <v>0</v>
      </c>
      <c r="BA18" s="522">
        <v>0</v>
      </c>
      <c r="BB18" s="522">
        <v>0</v>
      </c>
      <c r="BC18" s="525">
        <f>'[67]Дир_по корп'!AT44</f>
        <v>0</v>
      </c>
      <c r="BD18" s="525">
        <f t="shared" si="67"/>
        <v>0</v>
      </c>
      <c r="BE18" s="525">
        <f t="shared" si="33"/>
        <v>0</v>
      </c>
      <c r="BF18" s="525">
        <f t="shared" si="34"/>
        <v>0</v>
      </c>
      <c r="BG18" s="525">
        <f t="shared" si="35"/>
        <v>0</v>
      </c>
      <c r="BH18" s="522">
        <f t="shared" si="35"/>
        <v>0</v>
      </c>
      <c r="BI18" s="522">
        <v>0</v>
      </c>
      <c r="BJ18" s="522">
        <f t="shared" si="37"/>
        <v>0</v>
      </c>
      <c r="BK18" s="522">
        <f t="shared" si="38"/>
        <v>0</v>
      </c>
      <c r="BL18" s="525">
        <v>0</v>
      </c>
      <c r="BM18" s="522">
        <f>'[67]Дир_по корп'!AW44</f>
        <v>0</v>
      </c>
      <c r="BN18" s="522">
        <f t="shared" si="68"/>
        <v>0</v>
      </c>
      <c r="BO18" s="522">
        <f t="shared" si="48"/>
        <v>0</v>
      </c>
      <c r="BP18" s="522">
        <f t="shared" si="40"/>
        <v>0</v>
      </c>
      <c r="BQ18" s="525">
        <v>0</v>
      </c>
      <c r="BR18" s="522">
        <f>'[67]Дир_по корп'!BB44</f>
        <v>0</v>
      </c>
      <c r="BS18" s="522">
        <f>'[67]Дир_по корп'!BC44</f>
        <v>0</v>
      </c>
      <c r="BT18" s="536"/>
      <c r="BU18" s="522"/>
      <c r="BV18" s="522"/>
      <c r="BW18" s="522"/>
      <c r="BX18" s="574"/>
      <c r="BY18" s="522"/>
      <c r="BZ18" s="522"/>
      <c r="CA18" s="522"/>
      <c r="CB18" s="522">
        <f t="shared" si="56"/>
        <v>0</v>
      </c>
      <c r="CC18" s="522">
        <f t="shared" si="44"/>
        <v>0</v>
      </c>
      <c r="CD18" s="522"/>
      <c r="CE18" s="522"/>
      <c r="CF18" s="522"/>
      <c r="CG18" s="522"/>
      <c r="CH18" s="522"/>
      <c r="CI18" s="522"/>
      <c r="CJ18" s="522"/>
      <c r="CK18" s="542" t="s">
        <v>80</v>
      </c>
      <c r="CL18" s="542" t="s">
        <v>1821</v>
      </c>
      <c r="CM18" s="509"/>
      <c r="CN18" s="509"/>
      <c r="CO18" s="528"/>
      <c r="CP18" s="544"/>
      <c r="CQ18" s="544"/>
      <c r="CR18" s="544">
        <f t="shared" si="69"/>
        <v>0</v>
      </c>
      <c r="CS18" s="1706"/>
      <c r="CT18" s="1707"/>
      <c r="CU18" s="1707"/>
      <c r="CV18" s="1707"/>
      <c r="CW18" s="1708"/>
      <c r="CX18" s="528"/>
      <c r="CY18" s="528"/>
      <c r="CZ18" s="528"/>
      <c r="DA18" s="528"/>
      <c r="DB18" s="544"/>
      <c r="DC18" s="544">
        <f t="shared" si="70"/>
        <v>0</v>
      </c>
      <c r="DD18" s="535"/>
      <c r="DE18" s="535"/>
      <c r="DF18" s="522">
        <f t="shared" si="49"/>
        <v>0</v>
      </c>
      <c r="DG18" s="522">
        <f t="shared" si="49"/>
        <v>0</v>
      </c>
      <c r="DH18" s="522">
        <f t="shared" si="49"/>
        <v>0</v>
      </c>
      <c r="DI18" s="522">
        <f t="shared" si="49"/>
        <v>0</v>
      </c>
      <c r="DJ18" s="536"/>
      <c r="DK18" s="536"/>
      <c r="DL18" s="536"/>
      <c r="DM18" s="536"/>
      <c r="DN18" s="536"/>
      <c r="DO18" s="536"/>
      <c r="DP18" s="536"/>
      <c r="DQ18" s="536"/>
      <c r="DR18" s="536"/>
      <c r="DS18" s="536"/>
    </row>
    <row r="19" spans="1:123" s="534" customFormat="1" ht="57.75" customHeight="1">
      <c r="A19" s="537" t="s">
        <v>1822</v>
      </c>
      <c r="B19" s="538" t="s">
        <v>1823</v>
      </c>
      <c r="C19" s="539">
        <v>153000000</v>
      </c>
      <c r="D19" s="576"/>
      <c r="E19" s="576"/>
      <c r="F19" s="576"/>
      <c r="G19" s="577">
        <v>0</v>
      </c>
      <c r="H19" s="577">
        <v>0</v>
      </c>
      <c r="I19" s="576">
        <f t="shared" si="63"/>
        <v>0</v>
      </c>
      <c r="J19" s="576">
        <v>0</v>
      </c>
      <c r="K19" s="576">
        <v>0</v>
      </c>
      <c r="L19" s="576">
        <v>0</v>
      </c>
      <c r="M19" s="576">
        <f t="shared" si="64"/>
        <v>0</v>
      </c>
      <c r="N19" s="576"/>
      <c r="O19" s="525">
        <f t="shared" si="65"/>
        <v>0</v>
      </c>
      <c r="P19" s="522">
        <v>0</v>
      </c>
      <c r="Q19" s="576">
        <f t="shared" si="12"/>
        <v>0</v>
      </c>
      <c r="R19" s="576">
        <v>0</v>
      </c>
      <c r="S19" s="576"/>
      <c r="T19" s="576"/>
      <c r="U19" s="522">
        <f t="shared" si="66"/>
        <v>0</v>
      </c>
      <c r="V19" s="522">
        <f t="shared" si="1"/>
        <v>0</v>
      </c>
      <c r="W19" s="522">
        <v>0</v>
      </c>
      <c r="X19" s="522">
        <f t="shared" si="15"/>
        <v>0</v>
      </c>
      <c r="Y19" s="522">
        <v>0</v>
      </c>
      <c r="Z19" s="524">
        <f t="shared" si="17"/>
        <v>0</v>
      </c>
      <c r="AA19" s="522">
        <f t="shared" si="18"/>
        <v>0</v>
      </c>
      <c r="AB19" s="522">
        <v>0</v>
      </c>
      <c r="AC19" s="522">
        <f t="shared" si="20"/>
        <v>0</v>
      </c>
      <c r="AD19" s="522">
        <v>0</v>
      </c>
      <c r="AE19" s="522">
        <f t="shared" si="22"/>
        <v>0</v>
      </c>
      <c r="AF19" s="522">
        <v>0</v>
      </c>
      <c r="AG19" s="522">
        <f t="shared" si="46"/>
        <v>0</v>
      </c>
      <c r="AH19" s="522">
        <f t="shared" si="24"/>
        <v>0</v>
      </c>
      <c r="AI19" s="522">
        <v>0</v>
      </c>
      <c r="AJ19" s="522">
        <f t="shared" si="26"/>
        <v>0</v>
      </c>
      <c r="AK19" s="522">
        <v>0</v>
      </c>
      <c r="AL19" s="522">
        <f t="shared" si="71"/>
        <v>0</v>
      </c>
      <c r="AM19" s="522">
        <f t="shared" si="3"/>
        <v>0</v>
      </c>
      <c r="AN19" s="522">
        <f t="shared" si="3"/>
        <v>0</v>
      </c>
      <c r="AO19" s="522">
        <f t="shared" si="27"/>
        <v>0</v>
      </c>
      <c r="AP19" s="522">
        <v>0</v>
      </c>
      <c r="AQ19" s="578">
        <v>0</v>
      </c>
      <c r="AR19" s="578">
        <v>0</v>
      </c>
      <c r="AS19" s="578">
        <v>0</v>
      </c>
      <c r="AT19" s="578">
        <v>0</v>
      </c>
      <c r="AU19" s="578">
        <f t="shared" si="4"/>
        <v>0</v>
      </c>
      <c r="AV19" s="578">
        <f t="shared" si="4"/>
        <v>0</v>
      </c>
      <c r="AW19" s="578">
        <f t="shared" si="28"/>
        <v>0</v>
      </c>
      <c r="AX19" s="522">
        <v>0</v>
      </c>
      <c r="AY19" s="578">
        <f t="shared" si="5"/>
        <v>0</v>
      </c>
      <c r="AZ19" s="578">
        <f t="shared" si="30"/>
        <v>0</v>
      </c>
      <c r="BA19" s="522">
        <v>0</v>
      </c>
      <c r="BB19" s="578">
        <v>0</v>
      </c>
      <c r="BC19" s="576">
        <f>'[67]Дир_по фин'!AT8</f>
        <v>0</v>
      </c>
      <c r="BD19" s="576">
        <f t="shared" si="67"/>
        <v>0</v>
      </c>
      <c r="BE19" s="576">
        <f t="shared" si="33"/>
        <v>0</v>
      </c>
      <c r="BF19" s="576">
        <f t="shared" si="34"/>
        <v>0</v>
      </c>
      <c r="BG19" s="576">
        <f t="shared" si="35"/>
        <v>0</v>
      </c>
      <c r="BH19" s="578">
        <f t="shared" si="35"/>
        <v>0</v>
      </c>
      <c r="BI19" s="578">
        <v>0</v>
      </c>
      <c r="BJ19" s="578">
        <f t="shared" si="37"/>
        <v>0</v>
      </c>
      <c r="BK19" s="578">
        <f t="shared" si="38"/>
        <v>0</v>
      </c>
      <c r="BL19" s="576">
        <v>0</v>
      </c>
      <c r="BM19" s="578">
        <f>'[67]Дир_по фин'!AW8</f>
        <v>0</v>
      </c>
      <c r="BN19" s="522">
        <f t="shared" si="68"/>
        <v>0</v>
      </c>
      <c r="BO19" s="578">
        <f t="shared" si="48"/>
        <v>0</v>
      </c>
      <c r="BP19" s="578">
        <f t="shared" si="40"/>
        <v>0</v>
      </c>
      <c r="BQ19" s="576">
        <v>0</v>
      </c>
      <c r="BR19" s="578">
        <f>'[67]Дир_по фин'!BB8</f>
        <v>0</v>
      </c>
      <c r="BS19" s="578">
        <f>'[67]Дир_по фин'!BC8</f>
        <v>0</v>
      </c>
      <c r="BT19" s="536"/>
      <c r="BU19" s="578"/>
      <c r="BV19" s="578"/>
      <c r="BW19" s="578"/>
      <c r="BX19" s="574"/>
      <c r="BY19" s="578"/>
      <c r="BZ19" s="578"/>
      <c r="CA19" s="522"/>
      <c r="CB19" s="522">
        <f t="shared" si="56"/>
        <v>0</v>
      </c>
      <c r="CC19" s="522">
        <f t="shared" si="44"/>
        <v>0</v>
      </c>
      <c r="CD19" s="578"/>
      <c r="CE19" s="578"/>
      <c r="CF19" s="578"/>
      <c r="CG19" s="578"/>
      <c r="CH19" s="578"/>
      <c r="CI19" s="578"/>
      <c r="CJ19" s="578"/>
      <c r="CK19" s="542" t="s">
        <v>81</v>
      </c>
      <c r="CL19" s="542" t="s">
        <v>1810</v>
      </c>
      <c r="CM19" s="509"/>
      <c r="CN19" s="509"/>
      <c r="CO19" s="528"/>
      <c r="CP19" s="579"/>
      <c r="CQ19" s="579"/>
      <c r="CR19" s="544">
        <f t="shared" si="69"/>
        <v>0</v>
      </c>
      <c r="CS19" s="1706"/>
      <c r="CT19" s="1707"/>
      <c r="CU19" s="1707"/>
      <c r="CV19" s="1707"/>
      <c r="CW19" s="1708"/>
      <c r="CX19" s="528"/>
      <c r="CY19" s="528"/>
      <c r="CZ19" s="528"/>
      <c r="DA19" s="528"/>
      <c r="DB19" s="579"/>
      <c r="DC19" s="579">
        <f t="shared" si="70"/>
        <v>0</v>
      </c>
      <c r="DD19" s="535"/>
      <c r="DE19" s="535"/>
      <c r="DF19" s="578">
        <f t="shared" si="49"/>
        <v>0</v>
      </c>
      <c r="DG19" s="578">
        <f t="shared" si="49"/>
        <v>0</v>
      </c>
      <c r="DH19" s="522">
        <f t="shared" si="49"/>
        <v>0</v>
      </c>
      <c r="DI19" s="522">
        <f t="shared" si="49"/>
        <v>0</v>
      </c>
      <c r="DJ19" s="536"/>
      <c r="DK19" s="536"/>
      <c r="DL19" s="536"/>
      <c r="DM19" s="536"/>
      <c r="DN19" s="536"/>
      <c r="DO19" s="536"/>
      <c r="DP19" s="536"/>
      <c r="DQ19" s="536"/>
      <c r="DR19" s="536"/>
      <c r="DS19" s="536"/>
    </row>
    <row r="20" spans="1:123" s="534" customFormat="1" ht="63" customHeight="1">
      <c r="A20" s="537" t="s">
        <v>1824</v>
      </c>
      <c r="B20" s="538" t="s">
        <v>1825</v>
      </c>
      <c r="C20" s="539">
        <v>229798193.34999999</v>
      </c>
      <c r="D20" s="525"/>
      <c r="E20" s="525"/>
      <c r="F20" s="525">
        <v>69554849.859999999</v>
      </c>
      <c r="G20" s="540">
        <v>0</v>
      </c>
      <c r="H20" s="540">
        <v>0</v>
      </c>
      <c r="I20" s="525">
        <f t="shared" si="63"/>
        <v>77405950.730000004</v>
      </c>
      <c r="J20" s="525">
        <v>37905950.730000004</v>
      </c>
      <c r="K20" s="525">
        <v>39500000</v>
      </c>
      <c r="L20" s="525">
        <v>0</v>
      </c>
      <c r="M20" s="525">
        <f t="shared" si="64"/>
        <v>77405950.730000004</v>
      </c>
      <c r="N20" s="525">
        <v>55359532.960000001</v>
      </c>
      <c r="O20" s="525">
        <f t="shared" si="65"/>
        <v>35305355.380000003</v>
      </c>
      <c r="P20" s="522">
        <v>90664888.340000004</v>
      </c>
      <c r="Q20" s="525">
        <f t="shared" si="12"/>
        <v>13258937.609999999</v>
      </c>
      <c r="R20" s="525">
        <f t="shared" si="13"/>
        <v>17.129093415890665</v>
      </c>
      <c r="S20" s="525"/>
      <c r="T20" s="525"/>
      <c r="U20" s="522">
        <f t="shared" si="66"/>
        <v>156100000</v>
      </c>
      <c r="V20" s="522">
        <f t="shared" si="1"/>
        <v>156100000</v>
      </c>
      <c r="W20" s="522">
        <v>0</v>
      </c>
      <c r="X20" s="522">
        <f t="shared" si="15"/>
        <v>65435111.659999996</v>
      </c>
      <c r="Y20" s="522">
        <f t="shared" si="16"/>
        <v>72.17249462064467</v>
      </c>
      <c r="Z20" s="524">
        <f t="shared" si="17"/>
        <v>275548874.13999999</v>
      </c>
      <c r="AA20" s="522">
        <f t="shared" si="18"/>
        <v>275548874.13999999</v>
      </c>
      <c r="AB20" s="522">
        <v>0</v>
      </c>
      <c r="AC20" s="522">
        <f t="shared" si="20"/>
        <v>119448874.13999999</v>
      </c>
      <c r="AD20" s="522">
        <f t="shared" si="21"/>
        <v>76.520739359385004</v>
      </c>
      <c r="AE20" s="522">
        <f t="shared" si="22"/>
        <v>184883985.79999998</v>
      </c>
      <c r="AF20" s="522">
        <f t="shared" si="23"/>
        <v>203.92016047785933</v>
      </c>
      <c r="AG20" s="522">
        <f t="shared" si="46"/>
        <v>342816877.94999999</v>
      </c>
      <c r="AH20" s="522">
        <f t="shared" si="24"/>
        <v>186716877.94999999</v>
      </c>
      <c r="AI20" s="522">
        <f t="shared" si="25"/>
        <v>119.61363097373479</v>
      </c>
      <c r="AJ20" s="522">
        <f t="shared" si="26"/>
        <v>67268003.810000002</v>
      </c>
      <c r="AK20" s="522">
        <f>AG20/Z20*100-100</f>
        <v>24.41236750465643</v>
      </c>
      <c r="AL20" s="522">
        <f t="shared" si="71"/>
        <v>342816877.94999999</v>
      </c>
      <c r="AM20" s="522">
        <f t="shared" si="3"/>
        <v>143600000</v>
      </c>
      <c r="AN20" s="522">
        <f t="shared" si="3"/>
        <v>235148874.13999999</v>
      </c>
      <c r="AO20" s="522">
        <f t="shared" si="27"/>
        <v>91548874.139999986</v>
      </c>
      <c r="AP20" s="522">
        <f t="shared" si="47"/>
        <v>63.752697869080777</v>
      </c>
      <c r="AQ20" s="522">
        <f>128900000+8500000</f>
        <v>137400000</v>
      </c>
      <c r="AR20" s="522">
        <v>211724975.28</v>
      </c>
      <c r="AS20" s="522">
        <v>6200000</v>
      </c>
      <c r="AT20" s="522">
        <v>23423898.859999985</v>
      </c>
      <c r="AU20" s="522">
        <f t="shared" si="4"/>
        <v>12500000</v>
      </c>
      <c r="AV20" s="522">
        <f t="shared" si="4"/>
        <v>40400000</v>
      </c>
      <c r="AW20" s="522">
        <f t="shared" si="28"/>
        <v>27900000</v>
      </c>
      <c r="AX20" s="522">
        <f t="shared" si="29"/>
        <v>223.20000000000005</v>
      </c>
      <c r="AY20" s="522">
        <f t="shared" si="5"/>
        <v>107668003.81</v>
      </c>
      <c r="AZ20" s="522">
        <f t="shared" si="30"/>
        <v>-67268003.810000002</v>
      </c>
      <c r="BA20" s="522">
        <v>0</v>
      </c>
      <c r="BB20" s="522">
        <v>7100000</v>
      </c>
      <c r="BC20" s="525">
        <f>'[67]Дир_по экон'!AT9</f>
        <v>17500000</v>
      </c>
      <c r="BD20" s="525">
        <f t="shared" si="67"/>
        <v>49951880.800000012</v>
      </c>
      <c r="BE20" s="525">
        <f t="shared" si="33"/>
        <v>42851880.800000012</v>
      </c>
      <c r="BF20" s="525">
        <f t="shared" si="34"/>
        <v>32451880.800000012</v>
      </c>
      <c r="BG20" s="525">
        <f t="shared" si="35"/>
        <v>150700000</v>
      </c>
      <c r="BH20" s="522">
        <f t="shared" si="35"/>
        <v>252648874.13999999</v>
      </c>
      <c r="BI20" s="522">
        <v>285100754.94</v>
      </c>
      <c r="BJ20" s="522">
        <f t="shared" si="37"/>
        <v>134400754.94</v>
      </c>
      <c r="BK20" s="522">
        <f t="shared" si="38"/>
        <v>32451880.800000012</v>
      </c>
      <c r="BL20" s="525">
        <v>5400000</v>
      </c>
      <c r="BM20" s="522">
        <f>'[67]Дир_по экон'!AW9</f>
        <v>22900000</v>
      </c>
      <c r="BN20" s="522">
        <f t="shared" si="68"/>
        <v>57716123.00999999</v>
      </c>
      <c r="BO20" s="522">
        <f t="shared" si="48"/>
        <v>52316123.00999999</v>
      </c>
      <c r="BP20" s="522">
        <f t="shared" si="40"/>
        <v>34816123.00999999</v>
      </c>
      <c r="BQ20" s="525">
        <v>5400000</v>
      </c>
      <c r="BR20" s="522">
        <f>'[67]Дир_по экон'!BB9</f>
        <v>0</v>
      </c>
      <c r="BS20" s="522">
        <f>'[67]Дир_по экон'!BC9</f>
        <v>0</v>
      </c>
      <c r="BT20" s="536"/>
      <c r="BU20" s="522"/>
      <c r="BV20" s="522"/>
      <c r="BW20" s="522">
        <v>342816877.94999999</v>
      </c>
      <c r="BX20" s="574"/>
      <c r="BY20" s="522">
        <v>298606514.16000003</v>
      </c>
      <c r="BZ20" s="522">
        <f>31265599.12+127636.16+4619515.95</f>
        <v>36012751.230000004</v>
      </c>
      <c r="CA20" s="522">
        <f>8197612.56</f>
        <v>8197612.5599999996</v>
      </c>
      <c r="CB20" s="522">
        <f t="shared" si="56"/>
        <v>342816877.95000005</v>
      </c>
      <c r="CC20" s="522">
        <f t="shared" si="44"/>
        <v>0</v>
      </c>
      <c r="CD20" s="522"/>
      <c r="CE20" s="522"/>
      <c r="CF20" s="522"/>
      <c r="CG20" s="522"/>
      <c r="CH20" s="522"/>
      <c r="CI20" s="522"/>
      <c r="CJ20" s="522"/>
      <c r="CK20" s="542" t="s">
        <v>77</v>
      </c>
      <c r="CL20" s="542" t="s">
        <v>1800</v>
      </c>
      <c r="CM20" s="509"/>
      <c r="CN20" s="509"/>
      <c r="CO20" s="528"/>
      <c r="CP20" s="544">
        <f>U20*$CU$7/100</f>
        <v>144021052.28853872</v>
      </c>
      <c r="CQ20" s="544">
        <f>U20*$CU$8/100</f>
        <v>10578816.14699157</v>
      </c>
      <c r="CR20" s="544">
        <f>U20*$CU$9/100</f>
        <v>1500131.5644697098</v>
      </c>
      <c r="CS20" s="1709" t="s">
        <v>1826</v>
      </c>
      <c r="CT20" s="1710"/>
      <c r="CU20" s="1710"/>
      <c r="CV20" s="1710"/>
      <c r="CW20" s="1711"/>
      <c r="CX20" s="528"/>
      <c r="CY20" s="528"/>
      <c r="CZ20" s="528"/>
      <c r="DA20" s="528"/>
      <c r="DB20" s="544">
        <v>211724975.28</v>
      </c>
      <c r="DC20" s="544">
        <f t="shared" si="70"/>
        <v>74324975.280000001</v>
      </c>
      <c r="DD20" s="535"/>
      <c r="DE20" s="535"/>
      <c r="DF20" s="522">
        <f t="shared" si="49"/>
        <v>298606.51416000002</v>
      </c>
      <c r="DG20" s="522">
        <f t="shared" si="49"/>
        <v>36012.751230000002</v>
      </c>
      <c r="DH20" s="522">
        <f t="shared" si="49"/>
        <v>8197.6125599999996</v>
      </c>
      <c r="DI20" s="522">
        <f t="shared" si="49"/>
        <v>342816.87795000005</v>
      </c>
      <c r="DJ20" s="536"/>
      <c r="DK20" s="536"/>
      <c r="DL20" s="536"/>
      <c r="DM20" s="536"/>
      <c r="DN20" s="536"/>
      <c r="DO20" s="536"/>
      <c r="DP20" s="536"/>
      <c r="DQ20" s="536"/>
      <c r="DR20" s="536"/>
      <c r="DS20" s="536"/>
    </row>
    <row r="21" spans="1:123" s="534" customFormat="1" ht="60.75" customHeight="1">
      <c r="A21" s="537" t="s">
        <v>1827</v>
      </c>
      <c r="B21" s="538" t="s">
        <v>1828</v>
      </c>
      <c r="C21" s="539">
        <v>18903230.850000001</v>
      </c>
      <c r="D21" s="525"/>
      <c r="E21" s="573">
        <v>18652774.440000001</v>
      </c>
      <c r="F21" s="573">
        <v>29043606.84</v>
      </c>
      <c r="G21" s="540">
        <v>0</v>
      </c>
      <c r="H21" s="540">
        <v>0</v>
      </c>
      <c r="I21" s="522">
        <f t="shared" si="63"/>
        <v>33863036.049999997</v>
      </c>
      <c r="J21" s="525">
        <v>17140944.609999999</v>
      </c>
      <c r="K21" s="525">
        <v>8354440.7999999998</v>
      </c>
      <c r="L21" s="525">
        <v>8367650.6399999997</v>
      </c>
      <c r="M21" s="525">
        <f t="shared" si="64"/>
        <v>25495385.41</v>
      </c>
      <c r="N21" s="525">
        <v>26480441.920000002</v>
      </c>
      <c r="O21" s="525">
        <f t="shared" si="65"/>
        <v>13225086.100000001</v>
      </c>
      <c r="P21" s="522">
        <v>39705528.020000003</v>
      </c>
      <c r="Q21" s="525">
        <f t="shared" si="12"/>
        <v>5842491.9700000063</v>
      </c>
      <c r="R21" s="525">
        <f t="shared" si="13"/>
        <v>17.253302277366259</v>
      </c>
      <c r="S21" s="525"/>
      <c r="T21" s="525"/>
      <c r="U21" s="522">
        <f t="shared" si="66"/>
        <v>31903228.879999999</v>
      </c>
      <c r="V21" s="522">
        <f t="shared" si="1"/>
        <v>31903228.879999999</v>
      </c>
      <c r="W21" s="522">
        <v>0</v>
      </c>
      <c r="X21" s="522">
        <f t="shared" si="15"/>
        <v>-7802299.1400000043</v>
      </c>
      <c r="Y21" s="522">
        <f t="shared" si="16"/>
        <v>-19.650410230207555</v>
      </c>
      <c r="Z21" s="524">
        <f t="shared" si="17"/>
        <v>50692631.399999999</v>
      </c>
      <c r="AA21" s="522">
        <f t="shared" si="18"/>
        <v>50692631.399999999</v>
      </c>
      <c r="AB21" s="522">
        <v>0</v>
      </c>
      <c r="AC21" s="522">
        <f t="shared" si="20"/>
        <v>18789402.52</v>
      </c>
      <c r="AD21" s="522">
        <f t="shared" si="21"/>
        <v>58.894987058125025</v>
      </c>
      <c r="AE21" s="522">
        <f t="shared" si="22"/>
        <v>10987103.379999995</v>
      </c>
      <c r="AF21" s="522">
        <f t="shared" si="23"/>
        <v>27.671470265968253</v>
      </c>
      <c r="AG21" s="522">
        <f t="shared" si="46"/>
        <v>50606073.400000006</v>
      </c>
      <c r="AH21" s="522">
        <f t="shared" si="24"/>
        <v>18702844.520000007</v>
      </c>
      <c r="AI21" s="522">
        <f t="shared" si="25"/>
        <v>58.623672827438298</v>
      </c>
      <c r="AJ21" s="522">
        <f t="shared" si="26"/>
        <v>-86557.999999992549</v>
      </c>
      <c r="AK21" s="522">
        <f>AG21/Z21*100-100</f>
        <v>-0.17075065469967399</v>
      </c>
      <c r="AL21" s="522">
        <f t="shared" si="71"/>
        <v>50606073.400000006</v>
      </c>
      <c r="AM21" s="522">
        <f t="shared" ref="AM21:AN82" si="72">AQ21+AS21</f>
        <v>15951614.439999999</v>
      </c>
      <c r="AN21" s="522">
        <f t="shared" si="72"/>
        <v>24716812.879999999</v>
      </c>
      <c r="AO21" s="522">
        <f t="shared" si="27"/>
        <v>8765198.4399999995</v>
      </c>
      <c r="AP21" s="522">
        <f t="shared" si="47"/>
        <v>54.948660356412176</v>
      </c>
      <c r="AQ21" s="522">
        <v>7975807.2199999997</v>
      </c>
      <c r="AR21" s="522">
        <v>11187139.77</v>
      </c>
      <c r="AS21" s="522">
        <v>7975807.2199999997</v>
      </c>
      <c r="AT21" s="522">
        <v>13529673.109999999</v>
      </c>
      <c r="AU21" s="522">
        <f t="shared" si="4"/>
        <v>15951614.439999999</v>
      </c>
      <c r="AV21" s="522">
        <f t="shared" si="4"/>
        <v>25975818.52</v>
      </c>
      <c r="AW21" s="522">
        <f t="shared" si="28"/>
        <v>10024204.08</v>
      </c>
      <c r="AX21" s="522">
        <f t="shared" si="29"/>
        <v>62.841313759837846</v>
      </c>
      <c r="AY21" s="522">
        <f t="shared" si="5"/>
        <v>25889260.520000007</v>
      </c>
      <c r="AZ21" s="522">
        <f t="shared" si="30"/>
        <v>86557.999999992549</v>
      </c>
      <c r="BA21" s="522">
        <f t="shared" si="31"/>
        <v>0.33433940661660699</v>
      </c>
      <c r="BB21" s="522">
        <v>7975807.2199999997</v>
      </c>
      <c r="BC21" s="525">
        <f>'[67]Дир_ имущ'!AT9</f>
        <v>12987909.26</v>
      </c>
      <c r="BD21" s="525">
        <f t="shared" si="67"/>
        <v>12256984.860000003</v>
      </c>
      <c r="BE21" s="525">
        <f t="shared" si="33"/>
        <v>4281177.6400000034</v>
      </c>
      <c r="BF21" s="525">
        <f t="shared" si="34"/>
        <v>-730924.39999999665</v>
      </c>
      <c r="BG21" s="525">
        <f t="shared" si="35"/>
        <v>23927421.66</v>
      </c>
      <c r="BH21" s="522">
        <f t="shared" si="35"/>
        <v>37704722.140000001</v>
      </c>
      <c r="BI21" s="522">
        <v>36973797.740000002</v>
      </c>
      <c r="BJ21" s="522">
        <f t="shared" si="37"/>
        <v>13046376.080000002</v>
      </c>
      <c r="BK21" s="522">
        <f t="shared" si="38"/>
        <v>-730924.39999999851</v>
      </c>
      <c r="BL21" s="525">
        <v>7975807.2199999997</v>
      </c>
      <c r="BM21" s="522">
        <f>'[67]Дир_ имущ'!AW9</f>
        <v>12987909.26</v>
      </c>
      <c r="BN21" s="522">
        <f t="shared" si="68"/>
        <v>13632275.660000004</v>
      </c>
      <c r="BO21" s="522">
        <f t="shared" si="48"/>
        <v>5656468.4400000041</v>
      </c>
      <c r="BP21" s="522">
        <f t="shared" si="40"/>
        <v>644366.4000000041</v>
      </c>
      <c r="BQ21" s="525">
        <v>7975807.2199999997</v>
      </c>
      <c r="BR21" s="522">
        <f>'[67]Дир_ имущ'!BB9</f>
        <v>0</v>
      </c>
      <c r="BS21" s="522">
        <f>'[67]Дир_ имущ'!BC9</f>
        <v>0</v>
      </c>
      <c r="BT21" s="536"/>
      <c r="BU21" s="522"/>
      <c r="BV21" s="522"/>
      <c r="BW21" s="522">
        <f>59715166.95-9109093.55</f>
        <v>50606073.400000006</v>
      </c>
      <c r="BX21" s="574"/>
      <c r="BY21" s="522"/>
      <c r="BZ21" s="522"/>
      <c r="CA21" s="522">
        <f>BW21</f>
        <v>50606073.400000006</v>
      </c>
      <c r="CB21" s="522">
        <f t="shared" si="56"/>
        <v>50606073.400000006</v>
      </c>
      <c r="CC21" s="522">
        <f t="shared" si="44"/>
        <v>0</v>
      </c>
      <c r="CD21" s="522"/>
      <c r="CE21" s="522"/>
      <c r="CF21" s="522"/>
      <c r="CG21" s="522"/>
      <c r="CH21" s="522"/>
      <c r="CI21" s="522"/>
      <c r="CJ21" s="522"/>
      <c r="CK21" s="542" t="s">
        <v>1815</v>
      </c>
      <c r="CL21" s="542" t="s">
        <v>1816</v>
      </c>
      <c r="CM21" s="509"/>
      <c r="CN21" s="509"/>
      <c r="CO21" s="528"/>
      <c r="CP21" s="544"/>
      <c r="CQ21" s="544"/>
      <c r="CR21" s="544">
        <f>U21</f>
        <v>31903228.879999999</v>
      </c>
      <c r="CS21" s="1706"/>
      <c r="CT21" s="1707"/>
      <c r="CU21" s="1707"/>
      <c r="CV21" s="1707"/>
      <c r="CW21" s="1708"/>
      <c r="CX21" s="528"/>
      <c r="CY21" s="528"/>
      <c r="CZ21" s="528"/>
      <c r="DA21" s="528"/>
      <c r="DB21" s="544">
        <v>11187139.77</v>
      </c>
      <c r="DC21" s="544">
        <f t="shared" si="70"/>
        <v>3211332.55</v>
      </c>
      <c r="DD21" s="535"/>
      <c r="DE21" s="535"/>
      <c r="DF21" s="522">
        <f t="shared" si="49"/>
        <v>0</v>
      </c>
      <c r="DG21" s="522">
        <f t="shared" si="49"/>
        <v>0</v>
      </c>
      <c r="DH21" s="522">
        <f t="shared" si="49"/>
        <v>50606.073400000008</v>
      </c>
      <c r="DI21" s="522">
        <f t="shared" si="49"/>
        <v>50606.073400000008</v>
      </c>
      <c r="DJ21" s="536"/>
      <c r="DK21" s="536"/>
      <c r="DL21" s="536"/>
      <c r="DM21" s="536"/>
      <c r="DN21" s="536"/>
      <c r="DO21" s="536"/>
      <c r="DP21" s="536"/>
      <c r="DQ21" s="536"/>
      <c r="DR21" s="536"/>
      <c r="DS21" s="536"/>
    </row>
    <row r="22" spans="1:123" s="534" customFormat="1" ht="96.75" customHeight="1">
      <c r="A22" s="537" t="s">
        <v>1829</v>
      </c>
      <c r="B22" s="538" t="s">
        <v>1830</v>
      </c>
      <c r="C22" s="539">
        <v>5238837.4800000004</v>
      </c>
      <c r="D22" s="525"/>
      <c r="E22" s="573"/>
      <c r="F22" s="573">
        <v>6105052.71</v>
      </c>
      <c r="G22" s="540">
        <v>0</v>
      </c>
      <c r="H22" s="540">
        <v>0</v>
      </c>
      <c r="I22" s="522">
        <f t="shared" si="63"/>
        <v>181320975.18000001</v>
      </c>
      <c r="J22" s="525">
        <v>181320975.18000001</v>
      </c>
      <c r="K22" s="525">
        <v>0</v>
      </c>
      <c r="L22" s="525">
        <v>0</v>
      </c>
      <c r="M22" s="525">
        <f t="shared" si="64"/>
        <v>181320975.18000001</v>
      </c>
      <c r="N22" s="525">
        <v>186166812.68000001</v>
      </c>
      <c r="O22" s="525">
        <f t="shared" si="65"/>
        <v>303622470.56</v>
      </c>
      <c r="P22" s="522">
        <v>489789283.24000001</v>
      </c>
      <c r="Q22" s="525">
        <f t="shared" si="12"/>
        <v>308468308.06</v>
      </c>
      <c r="R22" s="525">
        <f t="shared" si="13"/>
        <v>170.12279343511085</v>
      </c>
      <c r="S22" s="525"/>
      <c r="T22" s="525"/>
      <c r="U22" s="522">
        <f t="shared" si="66"/>
        <v>0</v>
      </c>
      <c r="V22" s="522">
        <f t="shared" si="1"/>
        <v>0</v>
      </c>
      <c r="W22" s="522">
        <v>0</v>
      </c>
      <c r="X22" s="522">
        <f t="shared" si="15"/>
        <v>-489789283.24000001</v>
      </c>
      <c r="Y22" s="522">
        <f t="shared" si="16"/>
        <v>-100</v>
      </c>
      <c r="Z22" s="524">
        <f t="shared" si="17"/>
        <v>26975247.050000001</v>
      </c>
      <c r="AA22" s="522">
        <f t="shared" si="18"/>
        <v>26975247.050000001</v>
      </c>
      <c r="AB22" s="522">
        <v>0</v>
      </c>
      <c r="AC22" s="522">
        <f t="shared" si="20"/>
        <v>26975247.050000001</v>
      </c>
      <c r="AD22" s="522">
        <v>0</v>
      </c>
      <c r="AE22" s="522">
        <f t="shared" si="22"/>
        <v>-462814036.19</v>
      </c>
      <c r="AF22" s="522">
        <f t="shared" si="23"/>
        <v>-94.492479118457567</v>
      </c>
      <c r="AG22" s="522">
        <f t="shared" si="46"/>
        <v>69460505.810000002</v>
      </c>
      <c r="AH22" s="522">
        <f t="shared" si="24"/>
        <v>69460505.810000002</v>
      </c>
      <c r="AI22" s="522">
        <v>0</v>
      </c>
      <c r="AJ22" s="522">
        <f t="shared" si="26"/>
        <v>42485258.760000005</v>
      </c>
      <c r="AK22" s="522">
        <f>AG22/Z22*100-100</f>
        <v>157.49719986345781</v>
      </c>
      <c r="AL22" s="522">
        <f t="shared" si="71"/>
        <v>69460505.810000002</v>
      </c>
      <c r="AM22" s="522">
        <f t="shared" si="72"/>
        <v>0</v>
      </c>
      <c r="AN22" s="522">
        <f t="shared" si="72"/>
        <v>26975247.050000001</v>
      </c>
      <c r="AO22" s="522">
        <f t="shared" si="27"/>
        <v>26975247.050000001</v>
      </c>
      <c r="AP22" s="522">
        <v>0</v>
      </c>
      <c r="AQ22" s="522">
        <v>0</v>
      </c>
      <c r="AR22" s="522">
        <v>2676156.94</v>
      </c>
      <c r="AS22" s="522">
        <v>0</v>
      </c>
      <c r="AT22" s="522">
        <v>24299090.109999999</v>
      </c>
      <c r="AU22" s="522">
        <f t="shared" si="4"/>
        <v>0</v>
      </c>
      <c r="AV22" s="522">
        <f t="shared" si="4"/>
        <v>0</v>
      </c>
      <c r="AW22" s="522">
        <f t="shared" si="28"/>
        <v>0</v>
      </c>
      <c r="AX22" s="522">
        <v>0</v>
      </c>
      <c r="AY22" s="522">
        <f t="shared" si="5"/>
        <v>42485258.760000005</v>
      </c>
      <c r="AZ22" s="522">
        <f t="shared" si="30"/>
        <v>-42485258.760000005</v>
      </c>
      <c r="BA22" s="522">
        <v>0</v>
      </c>
      <c r="BB22" s="522">
        <v>0</v>
      </c>
      <c r="BC22" s="525">
        <f>'[67]Дир_по экон'!AT10</f>
        <v>0</v>
      </c>
      <c r="BD22" s="525">
        <f t="shared" si="67"/>
        <v>5593920.1399999969</v>
      </c>
      <c r="BE22" s="525">
        <f t="shared" si="33"/>
        <v>5593920.1399999969</v>
      </c>
      <c r="BF22" s="525">
        <f t="shared" si="34"/>
        <v>5593920.1399999969</v>
      </c>
      <c r="BG22" s="525">
        <f t="shared" si="35"/>
        <v>0</v>
      </c>
      <c r="BH22" s="522">
        <f t="shared" si="35"/>
        <v>26975247.050000001</v>
      </c>
      <c r="BI22" s="522">
        <f>32568062.22+1104.97</f>
        <v>32569167.189999998</v>
      </c>
      <c r="BJ22" s="522">
        <f t="shared" si="37"/>
        <v>32569167.189999998</v>
      </c>
      <c r="BK22" s="522">
        <f t="shared" si="38"/>
        <v>5593920.1399999969</v>
      </c>
      <c r="BL22" s="525">
        <v>0</v>
      </c>
      <c r="BM22" s="522">
        <f>'[67]Дир_по экон'!AW10</f>
        <v>0</v>
      </c>
      <c r="BN22" s="522">
        <f t="shared" si="68"/>
        <v>36891338.620000005</v>
      </c>
      <c r="BO22" s="522">
        <f t="shared" si="48"/>
        <v>36891338.620000005</v>
      </c>
      <c r="BP22" s="522">
        <f t="shared" si="40"/>
        <v>36891338.620000005</v>
      </c>
      <c r="BQ22" s="525">
        <v>0</v>
      </c>
      <c r="BR22" s="522">
        <f>'[67]Дир_по экон'!BB10</f>
        <v>0</v>
      </c>
      <c r="BS22" s="522">
        <f>'[67]Дир_по экон'!BC10</f>
        <v>0</v>
      </c>
      <c r="BT22" s="536"/>
      <c r="BU22" s="522"/>
      <c r="BV22" s="522"/>
      <c r="BW22" s="522">
        <f>14326040.11-457585.18+6335990.13-26936.74+55560840.37-6277842.88</f>
        <v>69460505.810000002</v>
      </c>
      <c r="BX22" s="574"/>
      <c r="BY22" s="522">
        <f>11326315.05+6280134.39+22983996.65</f>
        <v>40590446.090000004</v>
      </c>
      <c r="BZ22" s="522">
        <f>1888.94+2542139.88+26290271.01</f>
        <v>28834299.830000002</v>
      </c>
      <c r="CA22" s="522">
        <f>28919+6840.89</f>
        <v>35759.89</v>
      </c>
      <c r="CB22" s="522">
        <f t="shared" si="56"/>
        <v>69460505.810000002</v>
      </c>
      <c r="CC22" s="522">
        <f t="shared" si="44"/>
        <v>0</v>
      </c>
      <c r="CD22" s="522"/>
      <c r="CE22" s="522"/>
      <c r="CF22" s="522"/>
      <c r="CG22" s="522"/>
      <c r="CH22" s="522"/>
      <c r="CI22" s="522"/>
      <c r="CJ22" s="522"/>
      <c r="CK22" s="542" t="s">
        <v>77</v>
      </c>
      <c r="CL22" s="542" t="s">
        <v>1800</v>
      </c>
      <c r="CM22" s="509"/>
      <c r="CN22" s="509"/>
      <c r="CO22" s="528"/>
      <c r="CP22" s="544">
        <f>U22*'[68]на  27.02.2015'!$L$26</f>
        <v>0</v>
      </c>
      <c r="CQ22" s="544">
        <f>U22*'[68]на  27.02.2015'!$L$25</f>
        <v>0</v>
      </c>
      <c r="CR22" s="544">
        <f>U22*'[68]на  27.02.2015'!$L$27</f>
        <v>0</v>
      </c>
      <c r="CS22" s="1706"/>
      <c r="CT22" s="1707"/>
      <c r="CU22" s="1707"/>
      <c r="CV22" s="1707"/>
      <c r="CW22" s="1708"/>
      <c r="CX22" s="528"/>
      <c r="CY22" s="528"/>
      <c r="CZ22" s="528"/>
      <c r="DA22" s="528"/>
      <c r="DB22" s="544">
        <f>1759.86+2673292.11+1104.97</f>
        <v>2676156.94</v>
      </c>
      <c r="DC22" s="544">
        <f t="shared" si="70"/>
        <v>2676156.94</v>
      </c>
      <c r="DD22" s="535"/>
      <c r="DE22" s="535"/>
      <c r="DF22" s="522">
        <f t="shared" si="49"/>
        <v>40590.446090000005</v>
      </c>
      <c r="DG22" s="522">
        <f t="shared" si="49"/>
        <v>28834.299830000004</v>
      </c>
      <c r="DH22" s="522">
        <f t="shared" si="49"/>
        <v>35.759889999999999</v>
      </c>
      <c r="DI22" s="522">
        <f t="shared" si="49"/>
        <v>69460.505810000002</v>
      </c>
      <c r="DJ22" s="536"/>
      <c r="DK22" s="536"/>
      <c r="DL22" s="536"/>
      <c r="DM22" s="536"/>
      <c r="DN22" s="536"/>
      <c r="DO22" s="536"/>
      <c r="DP22" s="536"/>
      <c r="DQ22" s="536"/>
      <c r="DR22" s="536"/>
      <c r="DS22" s="536"/>
    </row>
    <row r="23" spans="1:123" s="534" customFormat="1" ht="86.25" customHeight="1">
      <c r="A23" s="537" t="s">
        <v>1831</v>
      </c>
      <c r="B23" s="538" t="s">
        <v>1832</v>
      </c>
      <c r="C23" s="539">
        <v>78952959</v>
      </c>
      <c r="D23" s="525"/>
      <c r="E23" s="573">
        <v>70100000</v>
      </c>
      <c r="F23" s="573">
        <v>47748978.240000002</v>
      </c>
      <c r="G23" s="540">
        <v>0</v>
      </c>
      <c r="H23" s="540">
        <v>0</v>
      </c>
      <c r="I23" s="522">
        <f t="shared" si="63"/>
        <v>127500611.09999999</v>
      </c>
      <c r="J23" s="525">
        <v>61500611.100000001</v>
      </c>
      <c r="K23" s="525">
        <v>33000000</v>
      </c>
      <c r="L23" s="525">
        <v>33000000</v>
      </c>
      <c r="M23" s="525">
        <f t="shared" si="64"/>
        <v>94500611.099999994</v>
      </c>
      <c r="N23" s="525">
        <v>97391958.909999996</v>
      </c>
      <c r="O23" s="525">
        <f t="shared" si="65"/>
        <v>136918068.64000002</v>
      </c>
      <c r="P23" s="522">
        <v>234310027.55000001</v>
      </c>
      <c r="Q23" s="525">
        <f t="shared" si="12"/>
        <v>106809416.45000002</v>
      </c>
      <c r="R23" s="525">
        <f t="shared" si="13"/>
        <v>83.771689820551785</v>
      </c>
      <c r="S23" s="525"/>
      <c r="T23" s="525"/>
      <c r="U23" s="522">
        <f t="shared" si="66"/>
        <v>111911556.84</v>
      </c>
      <c r="V23" s="522">
        <f t="shared" si="1"/>
        <v>111911556.84</v>
      </c>
      <c r="W23" s="522">
        <v>0</v>
      </c>
      <c r="X23" s="522">
        <f t="shared" si="15"/>
        <v>-122398470.71000001</v>
      </c>
      <c r="Y23" s="522">
        <f t="shared" si="16"/>
        <v>-52.237828653697328</v>
      </c>
      <c r="Z23" s="524">
        <f t="shared" si="17"/>
        <v>139331830.38</v>
      </c>
      <c r="AA23" s="522">
        <f t="shared" si="18"/>
        <v>139331830.38</v>
      </c>
      <c r="AB23" s="522">
        <v>0</v>
      </c>
      <c r="AC23" s="522">
        <f t="shared" si="20"/>
        <v>27420273.539999992</v>
      </c>
      <c r="AD23" s="522">
        <f t="shared" si="21"/>
        <v>24.501735400931608</v>
      </c>
      <c r="AE23" s="522">
        <f t="shared" si="22"/>
        <v>-94978197.170000017</v>
      </c>
      <c r="AF23" s="522">
        <f t="shared" si="23"/>
        <v>-40.535267808686669</v>
      </c>
      <c r="AG23" s="522">
        <f t="shared" si="46"/>
        <v>343868565.32000005</v>
      </c>
      <c r="AH23" s="522">
        <f t="shared" si="24"/>
        <v>231957008.48000005</v>
      </c>
      <c r="AI23" s="522">
        <f t="shared" si="25"/>
        <v>207.26814551568526</v>
      </c>
      <c r="AJ23" s="522">
        <f t="shared" si="26"/>
        <v>204536734.94000006</v>
      </c>
      <c r="AK23" s="522">
        <f>AG23/Z23*100-100</f>
        <v>146.79828319355784</v>
      </c>
      <c r="AL23" s="522">
        <f t="shared" si="71"/>
        <v>343868565.32000005</v>
      </c>
      <c r="AM23" s="522">
        <f t="shared" si="72"/>
        <v>60955778.420000002</v>
      </c>
      <c r="AN23" s="522">
        <f t="shared" si="72"/>
        <v>83376051.959999993</v>
      </c>
      <c r="AO23" s="522">
        <f t="shared" si="27"/>
        <v>22420273.539999992</v>
      </c>
      <c r="AP23" s="522">
        <f t="shared" si="47"/>
        <v>36.781211102775046</v>
      </c>
      <c r="AQ23" s="522">
        <v>34227889.210000001</v>
      </c>
      <c r="AR23" s="522">
        <v>43929617.840000004</v>
      </c>
      <c r="AS23" s="522">
        <f>34227889.21-7500000</f>
        <v>26727889.210000001</v>
      </c>
      <c r="AT23" s="522">
        <v>39446434.11999999</v>
      </c>
      <c r="AU23" s="522">
        <f t="shared" si="4"/>
        <v>50955778.420000002</v>
      </c>
      <c r="AV23" s="522">
        <f t="shared" si="4"/>
        <v>55955778.420000002</v>
      </c>
      <c r="AW23" s="522">
        <f t="shared" si="28"/>
        <v>5000000</v>
      </c>
      <c r="AX23" s="522">
        <f t="shared" si="29"/>
        <v>9.81242982648169</v>
      </c>
      <c r="AY23" s="522">
        <f t="shared" si="5"/>
        <v>260492513.36000004</v>
      </c>
      <c r="AZ23" s="522">
        <f t="shared" si="30"/>
        <v>-204536734.94000006</v>
      </c>
      <c r="BA23" s="522">
        <f t="shared" si="31"/>
        <v>-78.519237386807646</v>
      </c>
      <c r="BB23" s="522">
        <f>34227889.21-7500000</f>
        <v>26727889.210000001</v>
      </c>
      <c r="BC23" s="525">
        <f>'[67]Дир_ по реал.услуг'!AT21</f>
        <v>29227889.210000001</v>
      </c>
      <c r="BD23" s="525">
        <f t="shared" si="67"/>
        <v>144860392.97999996</v>
      </c>
      <c r="BE23" s="525">
        <f t="shared" si="33"/>
        <v>118132503.76999995</v>
      </c>
      <c r="BF23" s="525">
        <f t="shared" si="34"/>
        <v>115632503.76999995</v>
      </c>
      <c r="BG23" s="525">
        <f t="shared" si="35"/>
        <v>87683667.629999995</v>
      </c>
      <c r="BH23" s="522">
        <f t="shared" si="35"/>
        <v>112603941.16999999</v>
      </c>
      <c r="BI23" s="522">
        <v>228236444.93999997</v>
      </c>
      <c r="BJ23" s="522">
        <f t="shared" si="37"/>
        <v>140552777.30999997</v>
      </c>
      <c r="BK23" s="522">
        <f t="shared" si="38"/>
        <v>115632503.76999998</v>
      </c>
      <c r="BL23" s="525">
        <f>34227889.21-10000000</f>
        <v>24227889.210000001</v>
      </c>
      <c r="BM23" s="522">
        <f>'[67]Дир_ по реал.услуг'!AW21</f>
        <v>26727889.210000001</v>
      </c>
      <c r="BN23" s="522">
        <f t="shared" si="68"/>
        <v>115632120.38000008</v>
      </c>
      <c r="BO23" s="522">
        <f t="shared" si="48"/>
        <v>91404231.170000076</v>
      </c>
      <c r="BP23" s="522">
        <f t="shared" si="40"/>
        <v>88904231.170000076</v>
      </c>
      <c r="BQ23" s="525">
        <f>34227889.21-10000000</f>
        <v>24227889.210000001</v>
      </c>
      <c r="BR23" s="522">
        <f>'[67]Дир_ по реал.услуг'!BB21</f>
        <v>0</v>
      </c>
      <c r="BS23" s="522">
        <f>'[67]Дир_ по реал.услуг'!BC21</f>
        <v>0</v>
      </c>
      <c r="BT23" s="536"/>
      <c r="BU23" s="522"/>
      <c r="BV23" s="522"/>
      <c r="BW23" s="522">
        <f>405764907.22-61896341.9</f>
        <v>343868565.32000005</v>
      </c>
      <c r="BX23" s="574"/>
      <c r="BY23" s="522">
        <f>BW23</f>
        <v>343868565.32000005</v>
      </c>
      <c r="BZ23" s="522"/>
      <c r="CA23" s="522"/>
      <c r="CB23" s="522">
        <f t="shared" si="56"/>
        <v>343868565.32000005</v>
      </c>
      <c r="CC23" s="522">
        <f t="shared" si="44"/>
        <v>0</v>
      </c>
      <c r="CD23" s="522"/>
      <c r="CE23" s="522"/>
      <c r="CF23" s="522"/>
      <c r="CG23" s="522"/>
      <c r="CH23" s="522"/>
      <c r="CI23" s="522"/>
      <c r="CJ23" s="522"/>
      <c r="CK23" s="542" t="s">
        <v>78</v>
      </c>
      <c r="CL23" s="542" t="s">
        <v>1833</v>
      </c>
      <c r="CM23" s="509"/>
      <c r="CN23" s="509"/>
      <c r="CO23" s="528"/>
      <c r="CP23" s="544">
        <f>U23</f>
        <v>111911556.84</v>
      </c>
      <c r="CQ23" s="544"/>
      <c r="CR23" s="544"/>
      <c r="CS23" s="1706"/>
      <c r="CT23" s="1707"/>
      <c r="CU23" s="1707"/>
      <c r="CV23" s="1707"/>
      <c r="CW23" s="1708"/>
      <c r="CX23" s="528"/>
      <c r="CY23" s="528"/>
      <c r="CZ23" s="528"/>
      <c r="DA23" s="528"/>
      <c r="DB23" s="544">
        <v>43929617.840000004</v>
      </c>
      <c r="DC23" s="544">
        <f t="shared" si="70"/>
        <v>9701728.6300000027</v>
      </c>
      <c r="DD23" s="535"/>
      <c r="DE23" s="535"/>
      <c r="DF23" s="522">
        <f t="shared" si="49"/>
        <v>343868.56532000005</v>
      </c>
      <c r="DG23" s="522">
        <f t="shared" si="49"/>
        <v>0</v>
      </c>
      <c r="DH23" s="522">
        <f t="shared" si="49"/>
        <v>0</v>
      </c>
      <c r="DI23" s="522">
        <f t="shared" si="49"/>
        <v>343868.56532000005</v>
      </c>
      <c r="DJ23" s="536"/>
      <c r="DK23" s="536"/>
      <c r="DL23" s="536"/>
      <c r="DM23" s="536"/>
      <c r="DN23" s="536"/>
      <c r="DO23" s="536"/>
      <c r="DP23" s="536"/>
      <c r="DQ23" s="536"/>
      <c r="DR23" s="536"/>
      <c r="DS23" s="536"/>
    </row>
    <row r="24" spans="1:123" s="534" customFormat="1" ht="83.25" customHeight="1">
      <c r="A24" s="537" t="s">
        <v>1834</v>
      </c>
      <c r="B24" s="538" t="s">
        <v>1835</v>
      </c>
      <c r="C24" s="539"/>
      <c r="D24" s="525"/>
      <c r="E24" s="525"/>
      <c r="F24" s="525">
        <v>79190150</v>
      </c>
      <c r="G24" s="540">
        <v>0</v>
      </c>
      <c r="H24" s="540">
        <v>0</v>
      </c>
      <c r="I24" s="525">
        <f t="shared" si="63"/>
        <v>0</v>
      </c>
      <c r="J24" s="525">
        <v>0</v>
      </c>
      <c r="K24" s="525">
        <v>0</v>
      </c>
      <c r="L24" s="525">
        <v>0</v>
      </c>
      <c r="M24" s="525">
        <f t="shared" si="64"/>
        <v>0</v>
      </c>
      <c r="N24" s="525"/>
      <c r="O24" s="525">
        <f t="shared" si="65"/>
        <v>0</v>
      </c>
      <c r="P24" s="522"/>
      <c r="Q24" s="525">
        <f t="shared" si="12"/>
        <v>0</v>
      </c>
      <c r="R24" s="525">
        <v>0</v>
      </c>
      <c r="S24" s="525"/>
      <c r="T24" s="525"/>
      <c r="U24" s="522">
        <f t="shared" si="66"/>
        <v>0</v>
      </c>
      <c r="V24" s="522">
        <f t="shared" si="1"/>
        <v>0</v>
      </c>
      <c r="W24" s="522">
        <v>0</v>
      </c>
      <c r="X24" s="522">
        <f t="shared" si="15"/>
        <v>0</v>
      </c>
      <c r="Y24" s="522">
        <v>0</v>
      </c>
      <c r="Z24" s="524">
        <f t="shared" si="17"/>
        <v>0</v>
      </c>
      <c r="AA24" s="522">
        <f t="shared" si="18"/>
        <v>0</v>
      </c>
      <c r="AB24" s="522">
        <v>0</v>
      </c>
      <c r="AC24" s="522">
        <f t="shared" si="20"/>
        <v>0</v>
      </c>
      <c r="AD24" s="522">
        <v>0</v>
      </c>
      <c r="AE24" s="522">
        <f t="shared" si="22"/>
        <v>0</v>
      </c>
      <c r="AF24" s="522">
        <v>0</v>
      </c>
      <c r="AG24" s="522">
        <f t="shared" si="46"/>
        <v>0</v>
      </c>
      <c r="AH24" s="522">
        <f t="shared" si="24"/>
        <v>0</v>
      </c>
      <c r="AI24" s="522">
        <v>0</v>
      </c>
      <c r="AJ24" s="522">
        <f t="shared" si="26"/>
        <v>0</v>
      </c>
      <c r="AK24" s="522">
        <v>0</v>
      </c>
      <c r="AL24" s="522">
        <f t="shared" si="71"/>
        <v>0</v>
      </c>
      <c r="AM24" s="522">
        <f t="shared" si="72"/>
        <v>0</v>
      </c>
      <c r="AN24" s="522">
        <f t="shared" si="72"/>
        <v>0</v>
      </c>
      <c r="AO24" s="522">
        <f t="shared" si="27"/>
        <v>0</v>
      </c>
      <c r="AP24" s="522">
        <v>0</v>
      </c>
      <c r="AQ24" s="522">
        <v>0</v>
      </c>
      <c r="AR24" s="522">
        <v>0</v>
      </c>
      <c r="AS24" s="522">
        <v>0</v>
      </c>
      <c r="AT24" s="522">
        <v>0</v>
      </c>
      <c r="AU24" s="522">
        <f t="shared" si="4"/>
        <v>0</v>
      </c>
      <c r="AV24" s="522">
        <f t="shared" si="4"/>
        <v>0</v>
      </c>
      <c r="AW24" s="522">
        <f t="shared" si="28"/>
        <v>0</v>
      </c>
      <c r="AX24" s="522">
        <v>0</v>
      </c>
      <c r="AY24" s="522">
        <f t="shared" si="5"/>
        <v>0</v>
      </c>
      <c r="AZ24" s="522">
        <f t="shared" si="30"/>
        <v>0</v>
      </c>
      <c r="BA24" s="522">
        <v>0</v>
      </c>
      <c r="BB24" s="522">
        <v>0</v>
      </c>
      <c r="BC24" s="525">
        <f>'[67]Дир_по экон'!AT11</f>
        <v>0</v>
      </c>
      <c r="BD24" s="525">
        <f t="shared" si="67"/>
        <v>0</v>
      </c>
      <c r="BE24" s="525">
        <f t="shared" si="33"/>
        <v>0</v>
      </c>
      <c r="BF24" s="525">
        <f t="shared" si="34"/>
        <v>0</v>
      </c>
      <c r="BG24" s="525">
        <f t="shared" si="35"/>
        <v>0</v>
      </c>
      <c r="BH24" s="522">
        <f t="shared" si="35"/>
        <v>0</v>
      </c>
      <c r="BI24" s="522">
        <v>0</v>
      </c>
      <c r="BJ24" s="522">
        <f t="shared" si="37"/>
        <v>0</v>
      </c>
      <c r="BK24" s="522">
        <f t="shared" si="38"/>
        <v>0</v>
      </c>
      <c r="BL24" s="525">
        <v>0</v>
      </c>
      <c r="BM24" s="522">
        <f>'[67]Дир_по экон'!AW11</f>
        <v>0</v>
      </c>
      <c r="BN24" s="522">
        <f t="shared" si="68"/>
        <v>0</v>
      </c>
      <c r="BO24" s="522">
        <f t="shared" si="48"/>
        <v>0</v>
      </c>
      <c r="BP24" s="522">
        <f t="shared" si="40"/>
        <v>0</v>
      </c>
      <c r="BQ24" s="525">
        <v>0</v>
      </c>
      <c r="BR24" s="522">
        <f>'[67]Дир_по экон'!BB11</f>
        <v>0</v>
      </c>
      <c r="BS24" s="522">
        <f>'[67]Дир_по экон'!BC11</f>
        <v>0</v>
      </c>
      <c r="BT24" s="536"/>
      <c r="BU24" s="522"/>
      <c r="BV24" s="522"/>
      <c r="BW24" s="522"/>
      <c r="BX24" s="574"/>
      <c r="BY24" s="522"/>
      <c r="BZ24" s="522"/>
      <c r="CA24" s="522"/>
      <c r="CB24" s="522">
        <f t="shared" si="56"/>
        <v>0</v>
      </c>
      <c r="CC24" s="522">
        <f t="shared" si="44"/>
        <v>0</v>
      </c>
      <c r="CD24" s="522"/>
      <c r="CE24" s="522"/>
      <c r="CF24" s="522"/>
      <c r="CG24" s="522"/>
      <c r="CH24" s="522"/>
      <c r="CI24" s="522"/>
      <c r="CJ24" s="522"/>
      <c r="CK24" s="542" t="s">
        <v>77</v>
      </c>
      <c r="CL24" s="542" t="s">
        <v>1800</v>
      </c>
      <c r="CM24" s="509"/>
      <c r="CN24" s="509"/>
      <c r="CO24" s="528"/>
      <c r="CP24" s="544"/>
      <c r="CQ24" s="544"/>
      <c r="CR24" s="544">
        <f>U24</f>
        <v>0</v>
      </c>
      <c r="CS24" s="1706"/>
      <c r="CT24" s="1707"/>
      <c r="CU24" s="1707"/>
      <c r="CV24" s="1707"/>
      <c r="CW24" s="1708"/>
      <c r="CX24" s="528"/>
      <c r="CY24" s="528"/>
      <c r="CZ24" s="528"/>
      <c r="DA24" s="528"/>
      <c r="DB24" s="544"/>
      <c r="DC24" s="544">
        <f t="shared" si="70"/>
        <v>0</v>
      </c>
      <c r="DD24" s="535"/>
      <c r="DE24" s="535"/>
      <c r="DF24" s="522">
        <f t="shared" si="49"/>
        <v>0</v>
      </c>
      <c r="DG24" s="522">
        <f t="shared" si="49"/>
        <v>0</v>
      </c>
      <c r="DH24" s="522">
        <f t="shared" si="49"/>
        <v>0</v>
      </c>
      <c r="DI24" s="522">
        <f t="shared" si="49"/>
        <v>0</v>
      </c>
      <c r="DJ24" s="536"/>
      <c r="DK24" s="536"/>
      <c r="DL24" s="536"/>
      <c r="DM24" s="536"/>
      <c r="DN24" s="536"/>
      <c r="DO24" s="536"/>
      <c r="DP24" s="536"/>
      <c r="DQ24" s="536"/>
      <c r="DR24" s="536"/>
      <c r="DS24" s="536"/>
    </row>
    <row r="25" spans="1:123" s="534" customFormat="1" ht="72.75" customHeight="1">
      <c r="A25" s="537" t="s">
        <v>1836</v>
      </c>
      <c r="B25" s="538" t="s">
        <v>1676</v>
      </c>
      <c r="C25" s="539">
        <v>54000</v>
      </c>
      <c r="D25" s="525"/>
      <c r="E25" s="525">
        <v>0</v>
      </c>
      <c r="F25" s="525">
        <v>26838.55</v>
      </c>
      <c r="G25" s="540">
        <v>0</v>
      </c>
      <c r="H25" s="540">
        <v>0</v>
      </c>
      <c r="I25" s="525">
        <f t="shared" si="63"/>
        <v>0</v>
      </c>
      <c r="J25" s="525">
        <v>0</v>
      </c>
      <c r="K25" s="525">
        <v>0</v>
      </c>
      <c r="L25" s="525">
        <v>0</v>
      </c>
      <c r="M25" s="525">
        <f t="shared" si="64"/>
        <v>0</v>
      </c>
      <c r="N25" s="525">
        <v>48431.34</v>
      </c>
      <c r="O25" s="525">
        <f t="shared" si="65"/>
        <v>0</v>
      </c>
      <c r="P25" s="522">
        <v>48431.34</v>
      </c>
      <c r="Q25" s="525">
        <f t="shared" si="12"/>
        <v>48431.34</v>
      </c>
      <c r="R25" s="525">
        <v>0</v>
      </c>
      <c r="S25" s="525"/>
      <c r="T25" s="525"/>
      <c r="U25" s="522">
        <f t="shared" si="66"/>
        <v>0</v>
      </c>
      <c r="V25" s="522">
        <f t="shared" si="1"/>
        <v>0</v>
      </c>
      <c r="W25" s="522">
        <v>0</v>
      </c>
      <c r="X25" s="522">
        <f t="shared" si="15"/>
        <v>-48431.34</v>
      </c>
      <c r="Y25" s="522">
        <f t="shared" si="16"/>
        <v>-100</v>
      </c>
      <c r="Z25" s="524">
        <f t="shared" si="17"/>
        <v>0</v>
      </c>
      <c r="AA25" s="522">
        <f t="shared" si="18"/>
        <v>0</v>
      </c>
      <c r="AB25" s="522">
        <v>0</v>
      </c>
      <c r="AC25" s="522">
        <f t="shared" si="20"/>
        <v>0</v>
      </c>
      <c r="AD25" s="522">
        <v>0</v>
      </c>
      <c r="AE25" s="522">
        <f t="shared" si="22"/>
        <v>-48431.34</v>
      </c>
      <c r="AF25" s="522">
        <f t="shared" si="23"/>
        <v>-100</v>
      </c>
      <c r="AG25" s="522">
        <f t="shared" si="46"/>
        <v>0</v>
      </c>
      <c r="AH25" s="522">
        <f t="shared" si="24"/>
        <v>0</v>
      </c>
      <c r="AI25" s="522">
        <v>0</v>
      </c>
      <c r="AJ25" s="522">
        <f t="shared" si="26"/>
        <v>0</v>
      </c>
      <c r="AK25" s="522">
        <v>0</v>
      </c>
      <c r="AL25" s="522">
        <f t="shared" si="71"/>
        <v>0</v>
      </c>
      <c r="AM25" s="522">
        <f t="shared" si="72"/>
        <v>0</v>
      </c>
      <c r="AN25" s="522">
        <f t="shared" si="72"/>
        <v>0</v>
      </c>
      <c r="AO25" s="522">
        <f t="shared" si="27"/>
        <v>0</v>
      </c>
      <c r="AP25" s="522">
        <v>0</v>
      </c>
      <c r="AQ25" s="522">
        <v>0</v>
      </c>
      <c r="AR25" s="522">
        <v>0</v>
      </c>
      <c r="AS25" s="522">
        <v>0</v>
      </c>
      <c r="AT25" s="522">
        <v>0</v>
      </c>
      <c r="AU25" s="522">
        <f t="shared" si="4"/>
        <v>0</v>
      </c>
      <c r="AV25" s="522">
        <f t="shared" si="4"/>
        <v>0</v>
      </c>
      <c r="AW25" s="522">
        <f t="shared" si="28"/>
        <v>0</v>
      </c>
      <c r="AX25" s="522">
        <v>0</v>
      </c>
      <c r="AY25" s="522">
        <f t="shared" si="5"/>
        <v>0</v>
      </c>
      <c r="AZ25" s="522">
        <f t="shared" si="30"/>
        <v>0</v>
      </c>
      <c r="BA25" s="522">
        <v>0</v>
      </c>
      <c r="BB25" s="522">
        <v>0</v>
      </c>
      <c r="BC25" s="525">
        <f>'[67]Дир_по экон'!AT12</f>
        <v>0</v>
      </c>
      <c r="BD25" s="525">
        <f t="shared" si="67"/>
        <v>0</v>
      </c>
      <c r="BE25" s="525">
        <f t="shared" si="33"/>
        <v>0</v>
      </c>
      <c r="BF25" s="525">
        <f t="shared" si="34"/>
        <v>0</v>
      </c>
      <c r="BG25" s="525">
        <f t="shared" si="35"/>
        <v>0</v>
      </c>
      <c r="BH25" s="522">
        <f t="shared" si="35"/>
        <v>0</v>
      </c>
      <c r="BI25" s="522">
        <v>0</v>
      </c>
      <c r="BJ25" s="522">
        <f t="shared" si="37"/>
        <v>0</v>
      </c>
      <c r="BK25" s="522">
        <f t="shared" si="38"/>
        <v>0</v>
      </c>
      <c r="BL25" s="525">
        <v>0</v>
      </c>
      <c r="BM25" s="522">
        <f>'[67]Дир_по экон'!AW12</f>
        <v>0</v>
      </c>
      <c r="BN25" s="522">
        <f t="shared" si="68"/>
        <v>0</v>
      </c>
      <c r="BO25" s="522">
        <f t="shared" si="48"/>
        <v>0</v>
      </c>
      <c r="BP25" s="522">
        <f t="shared" si="40"/>
        <v>0</v>
      </c>
      <c r="BQ25" s="525">
        <v>0</v>
      </c>
      <c r="BR25" s="522">
        <f>'[67]Дир_по экон'!BB12</f>
        <v>0</v>
      </c>
      <c r="BS25" s="522">
        <f>'[67]Дир_по экон'!BC12</f>
        <v>0</v>
      </c>
      <c r="BT25" s="536"/>
      <c r="BU25" s="522"/>
      <c r="BV25" s="522"/>
      <c r="BW25" s="522"/>
      <c r="BX25" s="574"/>
      <c r="BY25" s="522"/>
      <c r="BZ25" s="522"/>
      <c r="CA25" s="522"/>
      <c r="CB25" s="522">
        <f t="shared" si="56"/>
        <v>0</v>
      </c>
      <c r="CC25" s="522">
        <f t="shared" si="44"/>
        <v>0</v>
      </c>
      <c r="CD25" s="522"/>
      <c r="CE25" s="522"/>
      <c r="CF25" s="522"/>
      <c r="CG25" s="522"/>
      <c r="CH25" s="522"/>
      <c r="CI25" s="522"/>
      <c r="CJ25" s="522"/>
      <c r="CK25" s="543" t="s">
        <v>77</v>
      </c>
      <c r="CL25" s="542" t="s">
        <v>1800</v>
      </c>
      <c r="CM25" s="509"/>
      <c r="CN25" s="509"/>
      <c r="CO25" s="528"/>
      <c r="CP25" s="544"/>
      <c r="CQ25" s="544"/>
      <c r="CR25" s="544">
        <f>U25</f>
        <v>0</v>
      </c>
      <c r="CS25" s="1706"/>
      <c r="CT25" s="1707"/>
      <c r="CU25" s="1707"/>
      <c r="CV25" s="1707"/>
      <c r="CW25" s="1708"/>
      <c r="CX25" s="528"/>
      <c r="CY25" s="528"/>
      <c r="CZ25" s="528"/>
      <c r="DA25" s="528"/>
      <c r="DB25" s="544"/>
      <c r="DC25" s="544">
        <f t="shared" si="70"/>
        <v>0</v>
      </c>
      <c r="DD25" s="535"/>
      <c r="DE25" s="535"/>
      <c r="DF25" s="522">
        <f t="shared" si="49"/>
        <v>0</v>
      </c>
      <c r="DG25" s="522">
        <f t="shared" si="49"/>
        <v>0</v>
      </c>
      <c r="DH25" s="522">
        <f t="shared" si="49"/>
        <v>0</v>
      </c>
      <c r="DI25" s="522">
        <f t="shared" si="49"/>
        <v>0</v>
      </c>
      <c r="DJ25" s="536"/>
      <c r="DK25" s="536"/>
      <c r="DL25" s="536"/>
      <c r="DM25" s="536"/>
      <c r="DN25" s="536"/>
      <c r="DO25" s="536"/>
      <c r="DP25" s="536"/>
      <c r="DQ25" s="536"/>
      <c r="DR25" s="536"/>
      <c r="DS25" s="536"/>
    </row>
    <row r="26" spans="1:123" ht="31.5" customHeight="1">
      <c r="A26" s="1725" t="s">
        <v>1837</v>
      </c>
      <c r="B26" s="1726"/>
      <c r="C26" s="507">
        <f t="shared" ref="C26:T26" si="73">C5</f>
        <v>9710481914.9799995</v>
      </c>
      <c r="D26" s="507">
        <f t="shared" si="73"/>
        <v>8616324237.6128178</v>
      </c>
      <c r="E26" s="507">
        <f t="shared" si="73"/>
        <v>9387789791.6499996</v>
      </c>
      <c r="F26" s="507">
        <f t="shared" si="73"/>
        <v>9096125532.6599998</v>
      </c>
      <c r="G26" s="507">
        <f t="shared" si="73"/>
        <v>6466647936.96</v>
      </c>
      <c r="H26" s="507">
        <f t="shared" si="73"/>
        <v>0</v>
      </c>
      <c r="I26" s="507">
        <f t="shared" si="73"/>
        <v>7413495620.6225748</v>
      </c>
      <c r="J26" s="507">
        <f t="shared" si="73"/>
        <v>3567351462.3600006</v>
      </c>
      <c r="K26" s="507">
        <f t="shared" si="73"/>
        <v>1860199430.2326782</v>
      </c>
      <c r="L26" s="507">
        <f t="shared" si="73"/>
        <v>1985944728.029896</v>
      </c>
      <c r="M26" s="507">
        <f t="shared" si="73"/>
        <v>5427550892.5926781</v>
      </c>
      <c r="N26" s="507">
        <f t="shared" si="73"/>
        <v>5325104653.9400005</v>
      </c>
      <c r="O26" s="507">
        <f>O5</f>
        <v>2387596905.2299995</v>
      </c>
      <c r="P26" s="580">
        <f>P5</f>
        <v>7712701559.170001</v>
      </c>
      <c r="Q26" s="507">
        <f t="shared" si="12"/>
        <v>299205938.54742622</v>
      </c>
      <c r="R26" s="507">
        <f t="shared" si="13"/>
        <v>4.0359629769673973</v>
      </c>
      <c r="S26" s="507">
        <f t="shared" si="73"/>
        <v>6745604540.6784496</v>
      </c>
      <c r="T26" s="507">
        <f t="shared" si="73"/>
        <v>7483414447.6683702</v>
      </c>
      <c r="U26" s="580">
        <f>U5</f>
        <v>8168002434.8483706</v>
      </c>
      <c r="V26" s="580">
        <f t="shared" si="1"/>
        <v>684587987.18000031</v>
      </c>
      <c r="W26" s="580">
        <f t="shared" si="14"/>
        <v>9.1480699347515042</v>
      </c>
      <c r="X26" s="580">
        <f t="shared" si="15"/>
        <v>455300875.67836952</v>
      </c>
      <c r="Y26" s="580">
        <f t="shared" si="16"/>
        <v>5.9032606433091104</v>
      </c>
      <c r="Z26" s="580">
        <f t="shared" si="17"/>
        <v>8370658585.3782253</v>
      </c>
      <c r="AA26" s="580">
        <f t="shared" si="18"/>
        <v>887244137.70985508</v>
      </c>
      <c r="AB26" s="580">
        <f t="shared" si="19"/>
        <v>11.856140588154872</v>
      </c>
      <c r="AC26" s="580">
        <f t="shared" si="20"/>
        <v>202656150.52985477</v>
      </c>
      <c r="AD26" s="580">
        <f t="shared" si="21"/>
        <v>2.4810980670773688</v>
      </c>
      <c r="AE26" s="580">
        <f t="shared" si="22"/>
        <v>657957026.2082243</v>
      </c>
      <c r="AF26" s="580">
        <f t="shared" si="23"/>
        <v>8.5308243961021333</v>
      </c>
      <c r="AG26" s="580">
        <f t="shared" si="46"/>
        <v>8741832872.8699989</v>
      </c>
      <c r="AH26" s="580">
        <f t="shared" si="24"/>
        <v>573830438.02162838</v>
      </c>
      <c r="AI26" s="580">
        <f t="shared" si="25"/>
        <v>7.0253460696021506</v>
      </c>
      <c r="AJ26" s="580">
        <f t="shared" si="26"/>
        <v>371174287.49177361</v>
      </c>
      <c r="AK26" s="580">
        <f>AG26/Z26*100-100</f>
        <v>4.4342303978343693</v>
      </c>
      <c r="AL26" s="580">
        <f>AL5</f>
        <v>8741832872.8699989</v>
      </c>
      <c r="AM26" s="580">
        <f t="shared" si="72"/>
        <v>4059847513.1841202</v>
      </c>
      <c r="AN26" s="580">
        <f t="shared" si="72"/>
        <v>4218296473.1500006</v>
      </c>
      <c r="AO26" s="580">
        <f t="shared" si="27"/>
        <v>158448959.96588039</v>
      </c>
      <c r="AP26" s="580">
        <f t="shared" si="47"/>
        <v>3.9028303267875515</v>
      </c>
      <c r="AQ26" s="580">
        <f>AQ5</f>
        <v>2132834528.0598199</v>
      </c>
      <c r="AR26" s="580">
        <f>AR5</f>
        <v>2192333442.6289835</v>
      </c>
      <c r="AS26" s="580">
        <f>AS5</f>
        <v>1927012985.1243</v>
      </c>
      <c r="AT26" s="580">
        <f>AT5</f>
        <v>2025963030.5210168</v>
      </c>
      <c r="AU26" s="580">
        <f t="shared" si="4"/>
        <v>4108154921.6642499</v>
      </c>
      <c r="AV26" s="580">
        <f t="shared" si="4"/>
        <v>4152362112.2282248</v>
      </c>
      <c r="AW26" s="580">
        <f t="shared" si="28"/>
        <v>44207190.563974857</v>
      </c>
      <c r="AX26" s="580">
        <f t="shared" si="29"/>
        <v>1.07608382368565</v>
      </c>
      <c r="AY26" s="580">
        <f t="shared" si="5"/>
        <v>4523536399.7199993</v>
      </c>
      <c r="AZ26" s="580">
        <f t="shared" si="30"/>
        <v>-371174287.49177456</v>
      </c>
      <c r="BA26" s="580">
        <f t="shared" si="31"/>
        <v>-8.2054007018656847</v>
      </c>
      <c r="BB26" s="580">
        <f t="shared" ref="BB26:BN26" si="74">BB5</f>
        <v>2012077493.8994899</v>
      </c>
      <c r="BC26" s="580">
        <f t="shared" si="74"/>
        <v>2030659599.7126293</v>
      </c>
      <c r="BD26" s="580">
        <f t="shared" si="74"/>
        <v>2235079989.0199995</v>
      </c>
      <c r="BE26" s="580">
        <f t="shared" si="33"/>
        <v>223002495.12050962</v>
      </c>
      <c r="BF26" s="580">
        <f t="shared" si="34"/>
        <v>204420389.30737019</v>
      </c>
      <c r="BG26" s="580">
        <f t="shared" si="35"/>
        <v>6071925007.0836105</v>
      </c>
      <c r="BH26" s="580">
        <f t="shared" ref="BH26:BI26" si="75">BH5</f>
        <v>6248956072.8626289</v>
      </c>
      <c r="BI26" s="580">
        <f t="shared" si="75"/>
        <v>6453376462.1700001</v>
      </c>
      <c r="BJ26" s="580">
        <f t="shared" si="37"/>
        <v>381451455.08638954</v>
      </c>
      <c r="BK26" s="580">
        <f t="shared" si="38"/>
        <v>204420389.30737114</v>
      </c>
      <c r="BL26" s="580">
        <f t="shared" si="74"/>
        <v>2096077427.76476</v>
      </c>
      <c r="BM26" s="580">
        <f t="shared" si="74"/>
        <v>2121702512.5155954</v>
      </c>
      <c r="BN26" s="580">
        <f t="shared" si="74"/>
        <v>2288456410.7000003</v>
      </c>
      <c r="BO26" s="580">
        <f t="shared" si="48"/>
        <v>192378982.93524027</v>
      </c>
      <c r="BP26" s="580">
        <f t="shared" si="40"/>
        <v>166753898.18440485</v>
      </c>
      <c r="BQ26" s="580">
        <f t="shared" ref="BQ26:BS26" si="76">BQ5</f>
        <v>2096077427.76476</v>
      </c>
      <c r="BR26" s="580">
        <f t="shared" si="76"/>
        <v>0</v>
      </c>
      <c r="BS26" s="580">
        <f t="shared" si="76"/>
        <v>0</v>
      </c>
      <c r="BU26" s="580">
        <f t="shared" ref="BU26:BV26" si="77">BU5</f>
        <v>0</v>
      </c>
      <c r="BV26" s="580">
        <f t="shared" si="77"/>
        <v>0</v>
      </c>
      <c r="BW26" s="580">
        <f>BW5</f>
        <v>875715794.93000007</v>
      </c>
      <c r="BX26" s="581"/>
      <c r="BY26" s="580">
        <f>BY5</f>
        <v>8243413312.6199999</v>
      </c>
      <c r="BZ26" s="580">
        <f t="shared" ref="BZ26:CB26" si="78">BZ5</f>
        <v>368661520.16999996</v>
      </c>
      <c r="CA26" s="580">
        <f t="shared" si="78"/>
        <v>129758040.08000001</v>
      </c>
      <c r="CB26" s="580">
        <f t="shared" si="78"/>
        <v>8741832872.8699989</v>
      </c>
      <c r="CC26" s="580">
        <f t="shared" si="44"/>
        <v>0</v>
      </c>
      <c r="CD26" s="580"/>
      <c r="CE26" s="580"/>
      <c r="CF26" s="580"/>
      <c r="CG26" s="580"/>
      <c r="CH26" s="580"/>
      <c r="CI26" s="580"/>
      <c r="CJ26" s="580"/>
      <c r="CK26" s="508"/>
      <c r="CL26" s="508"/>
      <c r="CM26" s="509"/>
      <c r="CN26" s="509"/>
      <c r="CO26" s="510"/>
      <c r="CP26" s="582">
        <f>CP5</f>
        <v>7739347056.7969093</v>
      </c>
      <c r="CQ26" s="582">
        <f>CQ5</f>
        <v>341756816.14699155</v>
      </c>
      <c r="CR26" s="582">
        <f>CR5</f>
        <v>86898561.904469714</v>
      </c>
      <c r="CS26" s="1715"/>
      <c r="CT26" s="1716"/>
      <c r="CU26" s="1716"/>
      <c r="CV26" s="1716"/>
      <c r="CW26" s="1717"/>
      <c r="CX26" s="510"/>
      <c r="CY26" s="510"/>
      <c r="CZ26" s="510"/>
      <c r="DA26" s="510"/>
      <c r="DB26" s="582">
        <f>DB5</f>
        <v>2192333442.6289835</v>
      </c>
      <c r="DD26" s="517"/>
      <c r="DE26" s="517"/>
      <c r="DF26" s="580">
        <f t="shared" si="49"/>
        <v>8243413.31262</v>
      </c>
      <c r="DG26" s="580">
        <f t="shared" si="49"/>
        <v>368661.52016999997</v>
      </c>
      <c r="DH26" s="580">
        <f t="shared" si="49"/>
        <v>129758.04008000001</v>
      </c>
      <c r="DI26" s="580">
        <f t="shared" si="49"/>
        <v>8741832.8728699982</v>
      </c>
    </row>
    <row r="27" spans="1:123" s="534" customFormat="1">
      <c r="A27" s="583" t="s">
        <v>1838</v>
      </c>
      <c r="B27" s="584"/>
      <c r="C27" s="585"/>
      <c r="D27" s="585"/>
      <c r="E27" s="585">
        <f>E13-E14</f>
        <v>91154874.439999998</v>
      </c>
      <c r="F27" s="585">
        <f>F13-F14</f>
        <v>249230197.58000001</v>
      </c>
      <c r="G27" s="585"/>
      <c r="H27" s="585"/>
      <c r="I27" s="585"/>
      <c r="J27" s="585"/>
      <c r="K27" s="585"/>
      <c r="L27" s="585"/>
      <c r="M27" s="585"/>
      <c r="N27" s="585"/>
      <c r="O27" s="585"/>
      <c r="P27" s="576"/>
      <c r="Q27" s="585"/>
      <c r="R27" s="585"/>
      <c r="S27" s="585"/>
      <c r="T27" s="585"/>
      <c r="U27" s="576"/>
      <c r="V27" s="576"/>
      <c r="W27" s="576"/>
      <c r="X27" s="576"/>
      <c r="Y27" s="576"/>
      <c r="Z27" s="586"/>
      <c r="AA27" s="578"/>
      <c r="AB27" s="578"/>
      <c r="AC27" s="578"/>
      <c r="AD27" s="578"/>
      <c r="AE27" s="578"/>
      <c r="AF27" s="578"/>
      <c r="AG27" s="578"/>
      <c r="AH27" s="578"/>
      <c r="AI27" s="578"/>
      <c r="AJ27" s="578"/>
      <c r="AK27" s="578"/>
      <c r="AL27" s="576"/>
      <c r="AM27" s="578"/>
      <c r="AN27" s="578"/>
      <c r="AO27" s="578"/>
      <c r="AP27" s="578"/>
      <c r="AQ27" s="578"/>
      <c r="AR27" s="578"/>
      <c r="AS27" s="578"/>
      <c r="AT27" s="578"/>
      <c r="AU27" s="578">
        <f t="shared" ref="AU27:AV90" si="79">BB27+BL27</f>
        <v>0</v>
      </c>
      <c r="AV27" s="578"/>
      <c r="AW27" s="578">
        <f t="shared" si="28"/>
        <v>0</v>
      </c>
      <c r="AX27" s="578"/>
      <c r="AY27" s="578"/>
      <c r="AZ27" s="578">
        <f t="shared" si="30"/>
        <v>0</v>
      </c>
      <c r="BA27" s="578"/>
      <c r="BB27" s="578"/>
      <c r="BC27" s="576"/>
      <c r="BD27" s="576"/>
      <c r="BE27" s="576">
        <f t="shared" si="33"/>
        <v>0</v>
      </c>
      <c r="BF27" s="576">
        <f t="shared" si="34"/>
        <v>0</v>
      </c>
      <c r="BG27" s="576">
        <f t="shared" si="35"/>
        <v>0</v>
      </c>
      <c r="BH27" s="578"/>
      <c r="BI27" s="578"/>
      <c r="BJ27" s="578">
        <f t="shared" si="37"/>
        <v>0</v>
      </c>
      <c r="BK27" s="578">
        <f t="shared" si="38"/>
        <v>0</v>
      </c>
      <c r="BL27" s="576"/>
      <c r="BM27" s="578"/>
      <c r="BN27" s="578"/>
      <c r="BO27" s="578">
        <f t="shared" si="48"/>
        <v>0</v>
      </c>
      <c r="BP27" s="578">
        <f t="shared" si="40"/>
        <v>0</v>
      </c>
      <c r="BQ27" s="576"/>
      <c r="BR27" s="578"/>
      <c r="BS27" s="578"/>
      <c r="BT27" s="536"/>
      <c r="BU27" s="578"/>
      <c r="BV27" s="578"/>
      <c r="BW27" s="578"/>
      <c r="BX27" s="574"/>
      <c r="BY27" s="578"/>
      <c r="BZ27" s="578"/>
      <c r="CA27" s="578"/>
      <c r="CB27" s="578"/>
      <c r="CC27" s="578">
        <f t="shared" si="44"/>
        <v>0</v>
      </c>
      <c r="CD27" s="578"/>
      <c r="CE27" s="578"/>
      <c r="CF27" s="578"/>
      <c r="CG27" s="578"/>
      <c r="CH27" s="578"/>
      <c r="CI27" s="578"/>
      <c r="CJ27" s="578"/>
      <c r="CK27" s="587"/>
      <c r="CL27" s="587"/>
      <c r="CM27" s="528"/>
      <c r="CN27" s="528"/>
      <c r="CO27" s="528"/>
      <c r="CP27" s="588"/>
      <c r="CQ27" s="588"/>
      <c r="CR27" s="588"/>
      <c r="CS27" s="1727"/>
      <c r="CT27" s="1728"/>
      <c r="CU27" s="1728"/>
      <c r="CV27" s="1728"/>
      <c r="CW27" s="1729"/>
      <c r="CX27" s="528"/>
      <c r="CY27" s="528"/>
      <c r="CZ27" s="528"/>
      <c r="DA27" s="528"/>
      <c r="DB27" s="588"/>
      <c r="DD27" s="535"/>
      <c r="DE27" s="535"/>
      <c r="DF27" s="578"/>
      <c r="DG27" s="578"/>
      <c r="DH27" s="578"/>
      <c r="DI27" s="578"/>
      <c r="DJ27" s="536"/>
      <c r="DK27" s="536"/>
      <c r="DL27" s="536"/>
      <c r="DM27" s="536"/>
      <c r="DN27" s="536"/>
      <c r="DO27" s="536"/>
      <c r="DP27" s="536"/>
      <c r="DQ27" s="536"/>
      <c r="DR27" s="536"/>
      <c r="DS27" s="536"/>
    </row>
    <row r="28" spans="1:123">
      <c r="A28" s="505" t="s">
        <v>1839</v>
      </c>
      <c r="B28" s="506" t="s">
        <v>1840</v>
      </c>
      <c r="C28" s="507">
        <f>C29</f>
        <v>4244793232.3099999</v>
      </c>
      <c r="D28" s="507">
        <f t="shared" ref="D28:T29" si="80">D29</f>
        <v>4085738859.0738869</v>
      </c>
      <c r="E28" s="507">
        <f t="shared" si="80"/>
        <v>4108780110</v>
      </c>
      <c r="F28" s="507">
        <f t="shared" si="80"/>
        <v>4052089419.21</v>
      </c>
      <c r="G28" s="507">
        <f t="shared" si="80"/>
        <v>2470880649.5999999</v>
      </c>
      <c r="H28" s="507">
        <f t="shared" si="80"/>
        <v>0</v>
      </c>
      <c r="I28" s="507">
        <f t="shared" si="80"/>
        <v>2408084000.5599999</v>
      </c>
      <c r="J28" s="507">
        <f>J29</f>
        <v>1141525015.4400001</v>
      </c>
      <c r="K28" s="507">
        <f t="shared" si="80"/>
        <v>556373073.76999998</v>
      </c>
      <c r="L28" s="507">
        <f t="shared" si="80"/>
        <v>710185911.35000002</v>
      </c>
      <c r="M28" s="507">
        <f t="shared" si="80"/>
        <v>1697898089.21</v>
      </c>
      <c r="N28" s="507">
        <f t="shared" si="80"/>
        <v>1733622150.3100002</v>
      </c>
      <c r="O28" s="507">
        <f t="shared" si="80"/>
        <v>811180626.53999972</v>
      </c>
      <c r="P28" s="580">
        <f t="shared" si="80"/>
        <v>2544802776.8499999</v>
      </c>
      <c r="Q28" s="507">
        <f t="shared" si="12"/>
        <v>136718776.28999996</v>
      </c>
      <c r="R28" s="507">
        <f t="shared" si="13"/>
        <v>5.6774919918992026</v>
      </c>
      <c r="S28" s="507">
        <f t="shared" si="80"/>
        <v>2588333500</v>
      </c>
      <c r="T28" s="507">
        <f t="shared" si="80"/>
        <v>2974724298.8804603</v>
      </c>
      <c r="U28" s="580">
        <f>U29</f>
        <v>2974724298.86971</v>
      </c>
      <c r="V28" s="580">
        <f t="shared" si="1"/>
        <v>-1.0750293731689453E-2</v>
      </c>
      <c r="W28" s="580">
        <f t="shared" si="14"/>
        <v>-3.6138203540758695E-10</v>
      </c>
      <c r="X28" s="580">
        <f t="shared" si="15"/>
        <v>429921522.01971006</v>
      </c>
      <c r="Y28" s="580">
        <f t="shared" si="16"/>
        <v>16.894099846585135</v>
      </c>
      <c r="Z28" s="580">
        <f t="shared" si="17"/>
        <v>3023399835.126256</v>
      </c>
      <c r="AA28" s="580">
        <f t="shared" si="18"/>
        <v>48675536.245795727</v>
      </c>
      <c r="AB28" s="580">
        <f t="shared" si="19"/>
        <v>1.6363041194814087</v>
      </c>
      <c r="AC28" s="580">
        <f t="shared" si="20"/>
        <v>48675536.256546021</v>
      </c>
      <c r="AD28" s="580">
        <f t="shared" si="21"/>
        <v>1.6363041198487167</v>
      </c>
      <c r="AE28" s="580">
        <f t="shared" si="22"/>
        <v>478597058.27625608</v>
      </c>
      <c r="AF28" s="580">
        <f t="shared" si="23"/>
        <v>18.806842818234884</v>
      </c>
      <c r="AG28" s="580">
        <f t="shared" si="46"/>
        <v>3193462254.54</v>
      </c>
      <c r="AH28" s="580">
        <f t="shared" si="24"/>
        <v>218737955.67028999</v>
      </c>
      <c r="AI28" s="580">
        <f t="shared" si="25"/>
        <v>7.3532177672197321</v>
      </c>
      <c r="AJ28" s="580">
        <f t="shared" si="26"/>
        <v>170062419.41374397</v>
      </c>
      <c r="AK28" s="580">
        <f>AG28/Z28*100-100</f>
        <v>5.6248736087743509</v>
      </c>
      <c r="AL28" s="580">
        <f>AL29</f>
        <v>3193462254.54</v>
      </c>
      <c r="AM28" s="580">
        <f t="shared" si="72"/>
        <v>1437834125.050885</v>
      </c>
      <c r="AN28" s="580">
        <f t="shared" si="72"/>
        <v>1458528013.98</v>
      </c>
      <c r="AO28" s="580">
        <f t="shared" si="27"/>
        <v>20693888.929115057</v>
      </c>
      <c r="AP28" s="580">
        <f t="shared" si="47"/>
        <v>1.4392403524559967</v>
      </c>
      <c r="AQ28" s="580">
        <f t="shared" ref="AQ28:AT29" si="81">AQ29</f>
        <v>961679342.058249</v>
      </c>
      <c r="AR28" s="580">
        <f t="shared" si="81"/>
        <v>955982864.61000001</v>
      </c>
      <c r="AS28" s="580">
        <f t="shared" si="81"/>
        <v>476154782.99263602</v>
      </c>
      <c r="AT28" s="580">
        <f t="shared" si="81"/>
        <v>502545149.37</v>
      </c>
      <c r="AU28" s="580">
        <f t="shared" si="79"/>
        <v>1536890173.818825</v>
      </c>
      <c r="AV28" s="580">
        <f t="shared" si="79"/>
        <v>1564871821.146256</v>
      </c>
      <c r="AW28" s="580">
        <f t="shared" si="28"/>
        <v>27981647.327430964</v>
      </c>
      <c r="AX28" s="580">
        <f t="shared" si="29"/>
        <v>1.8206666815952559</v>
      </c>
      <c r="AY28" s="580">
        <f t="shared" ref="AY28:AY91" si="82">BD28+BN28</f>
        <v>1734934240.5599999</v>
      </c>
      <c r="AZ28" s="580">
        <f t="shared" si="30"/>
        <v>-170062419.41374397</v>
      </c>
      <c r="BA28" s="580">
        <v>0</v>
      </c>
      <c r="BB28" s="580">
        <f t="shared" ref="BB28:BN29" si="83">BB29</f>
        <v>671576040.576442</v>
      </c>
      <c r="BC28" s="580">
        <f t="shared" si="83"/>
        <v>695740842.2927655</v>
      </c>
      <c r="BD28" s="580">
        <f t="shared" si="83"/>
        <v>778554078.61999989</v>
      </c>
      <c r="BE28" s="580">
        <f t="shared" si="33"/>
        <v>106978038.04355788</v>
      </c>
      <c r="BF28" s="580">
        <f t="shared" si="34"/>
        <v>82813236.327234387</v>
      </c>
      <c r="BG28" s="580">
        <f t="shared" si="35"/>
        <v>2109410165.627327</v>
      </c>
      <c r="BH28" s="580">
        <f t="shared" si="83"/>
        <v>2154268856.2727656</v>
      </c>
      <c r="BI28" s="580">
        <f t="shared" si="83"/>
        <v>2237082092.5999999</v>
      </c>
      <c r="BJ28" s="580">
        <f t="shared" si="37"/>
        <v>127671926.97267294</v>
      </c>
      <c r="BK28" s="580">
        <f t="shared" si="38"/>
        <v>82813236.327234268</v>
      </c>
      <c r="BL28" s="580">
        <f t="shared" si="83"/>
        <v>865314133.242383</v>
      </c>
      <c r="BM28" s="580">
        <f t="shared" si="83"/>
        <v>869130978.85349047</v>
      </c>
      <c r="BN28" s="580">
        <f t="shared" si="83"/>
        <v>956380161.94000006</v>
      </c>
      <c r="BO28" s="580">
        <f t="shared" si="48"/>
        <v>91066028.697617054</v>
      </c>
      <c r="BP28" s="580">
        <f t="shared" si="40"/>
        <v>87249183.086509585</v>
      </c>
      <c r="BQ28" s="580">
        <f t="shared" ref="BQ28:BS29" si="84">BQ29</f>
        <v>865314133.242383</v>
      </c>
      <c r="BR28" s="580">
        <f t="shared" si="84"/>
        <v>0</v>
      </c>
      <c r="BS28" s="580">
        <f t="shared" si="84"/>
        <v>0</v>
      </c>
      <c r="BT28" s="569"/>
      <c r="BU28" s="580">
        <f t="shared" ref="BU28:BW29" si="85">BU29</f>
        <v>3193462254.54</v>
      </c>
      <c r="BV28" s="580">
        <f t="shared" si="85"/>
        <v>0</v>
      </c>
      <c r="BW28" s="580">
        <f t="shared" si="85"/>
        <v>0</v>
      </c>
      <c r="BX28" s="570">
        <f>AL28-BU28-BV28</f>
        <v>0</v>
      </c>
      <c r="BY28" s="580">
        <f>BY29</f>
        <v>3193462254.54</v>
      </c>
      <c r="BZ28" s="580">
        <f t="shared" ref="BZ28:CB29" si="86">BZ29</f>
        <v>0</v>
      </c>
      <c r="CA28" s="580">
        <f t="shared" si="86"/>
        <v>0</v>
      </c>
      <c r="CB28" s="580">
        <f t="shared" si="86"/>
        <v>3193462254.54</v>
      </c>
      <c r="CC28" s="580">
        <f t="shared" si="44"/>
        <v>0</v>
      </c>
      <c r="CD28" s="580"/>
      <c r="CE28" s="580"/>
      <c r="CF28" s="580"/>
      <c r="CG28" s="580"/>
      <c r="CH28" s="580"/>
      <c r="CI28" s="580"/>
      <c r="CJ28" s="580"/>
      <c r="CK28" s="508"/>
      <c r="CL28" s="508"/>
      <c r="CM28" s="510"/>
      <c r="CN28" s="510"/>
      <c r="CO28" s="510"/>
      <c r="CP28" s="582">
        <f t="shared" ref="CP28:CR29" si="87">CP29</f>
        <v>2974724298.86971</v>
      </c>
      <c r="CQ28" s="582">
        <f t="shared" si="87"/>
        <v>0</v>
      </c>
      <c r="CR28" s="582">
        <f t="shared" si="87"/>
        <v>0</v>
      </c>
      <c r="CS28" s="1715"/>
      <c r="CT28" s="1716"/>
      <c r="CU28" s="1716"/>
      <c r="CV28" s="1716"/>
      <c r="CW28" s="1717"/>
      <c r="CX28" s="510"/>
      <c r="CY28" s="510"/>
      <c r="CZ28" s="510"/>
      <c r="DA28" s="510"/>
      <c r="DB28" s="582">
        <f>DB29</f>
        <v>955982864.61000001</v>
      </c>
      <c r="DD28" s="517"/>
      <c r="DE28" s="517"/>
      <c r="DF28" s="580">
        <f t="shared" ref="DF28:DI91" si="88">BY28/1000</f>
        <v>3193462.2545400001</v>
      </c>
      <c r="DG28" s="580">
        <f t="shared" si="88"/>
        <v>0</v>
      </c>
      <c r="DH28" s="580">
        <f t="shared" si="88"/>
        <v>0</v>
      </c>
      <c r="DI28" s="580">
        <f t="shared" si="88"/>
        <v>3193462.2545400001</v>
      </c>
      <c r="DJ28" s="569"/>
      <c r="DK28" s="569"/>
    </row>
    <row r="29" spans="1:123" ht="82.8">
      <c r="A29" s="505" t="s">
        <v>1841</v>
      </c>
      <c r="B29" s="506" t="s">
        <v>1842</v>
      </c>
      <c r="C29" s="507">
        <f>C30</f>
        <v>4244793232.3099999</v>
      </c>
      <c r="D29" s="507">
        <f t="shared" si="80"/>
        <v>4085738859.0738869</v>
      </c>
      <c r="E29" s="507">
        <f t="shared" si="80"/>
        <v>4108780110</v>
      </c>
      <c r="F29" s="507">
        <f t="shared" si="80"/>
        <v>4052089419.21</v>
      </c>
      <c r="G29" s="507">
        <f t="shared" si="80"/>
        <v>2470880649.5999999</v>
      </c>
      <c r="H29" s="507">
        <f t="shared" si="80"/>
        <v>0</v>
      </c>
      <c r="I29" s="507">
        <f t="shared" si="80"/>
        <v>2408084000.5599999</v>
      </c>
      <c r="J29" s="507">
        <f>J30</f>
        <v>1141525015.4400001</v>
      </c>
      <c r="K29" s="507">
        <f t="shared" si="80"/>
        <v>556373073.76999998</v>
      </c>
      <c r="L29" s="507">
        <f t="shared" si="80"/>
        <v>710185911.35000002</v>
      </c>
      <c r="M29" s="507">
        <f t="shared" si="80"/>
        <v>1697898089.21</v>
      </c>
      <c r="N29" s="507">
        <f t="shared" si="80"/>
        <v>1733622150.3100002</v>
      </c>
      <c r="O29" s="507">
        <f t="shared" si="80"/>
        <v>811180626.53999972</v>
      </c>
      <c r="P29" s="580">
        <f t="shared" si="80"/>
        <v>2544802776.8499999</v>
      </c>
      <c r="Q29" s="507">
        <f t="shared" si="12"/>
        <v>136718776.28999996</v>
      </c>
      <c r="R29" s="507">
        <f t="shared" si="13"/>
        <v>5.6774919918992026</v>
      </c>
      <c r="S29" s="507">
        <f t="shared" si="80"/>
        <v>2588333500</v>
      </c>
      <c r="T29" s="507">
        <f t="shared" si="80"/>
        <v>2974724298.8804603</v>
      </c>
      <c r="U29" s="580">
        <f>U30</f>
        <v>2974724298.86971</v>
      </c>
      <c r="V29" s="580">
        <f t="shared" si="1"/>
        <v>-1.0750293731689453E-2</v>
      </c>
      <c r="W29" s="580">
        <f t="shared" si="14"/>
        <v>-3.6138203540758695E-10</v>
      </c>
      <c r="X29" s="580">
        <f t="shared" si="15"/>
        <v>429921522.01971006</v>
      </c>
      <c r="Y29" s="580">
        <f t="shared" si="16"/>
        <v>16.894099846585135</v>
      </c>
      <c r="Z29" s="580">
        <f t="shared" si="17"/>
        <v>3023399835.126256</v>
      </c>
      <c r="AA29" s="580">
        <f t="shared" si="18"/>
        <v>48675536.245795727</v>
      </c>
      <c r="AB29" s="580">
        <f t="shared" si="19"/>
        <v>1.6363041194814087</v>
      </c>
      <c r="AC29" s="580">
        <f t="shared" si="20"/>
        <v>48675536.256546021</v>
      </c>
      <c r="AD29" s="580">
        <f t="shared" si="21"/>
        <v>1.6363041198487167</v>
      </c>
      <c r="AE29" s="580">
        <f t="shared" si="22"/>
        <v>478597058.27625608</v>
      </c>
      <c r="AF29" s="580">
        <f t="shared" si="23"/>
        <v>18.806842818234884</v>
      </c>
      <c r="AG29" s="580">
        <f t="shared" si="46"/>
        <v>3193462254.54</v>
      </c>
      <c r="AH29" s="580">
        <f t="shared" si="24"/>
        <v>218737955.67028999</v>
      </c>
      <c r="AI29" s="580">
        <f t="shared" si="25"/>
        <v>7.3532177672197321</v>
      </c>
      <c r="AJ29" s="580">
        <f t="shared" si="26"/>
        <v>170062419.41374397</v>
      </c>
      <c r="AK29" s="580">
        <f>AG29/Z29*100-100</f>
        <v>5.6248736087743509</v>
      </c>
      <c r="AL29" s="580">
        <f>AL30</f>
        <v>3193462254.54</v>
      </c>
      <c r="AM29" s="580">
        <f t="shared" si="72"/>
        <v>1437834125.050885</v>
      </c>
      <c r="AN29" s="580">
        <f t="shared" si="72"/>
        <v>1458528013.98</v>
      </c>
      <c r="AO29" s="580">
        <f t="shared" si="27"/>
        <v>20693888.929115057</v>
      </c>
      <c r="AP29" s="580">
        <f t="shared" si="47"/>
        <v>1.4392403524559967</v>
      </c>
      <c r="AQ29" s="580">
        <f t="shared" si="81"/>
        <v>961679342.058249</v>
      </c>
      <c r="AR29" s="580">
        <f t="shared" si="81"/>
        <v>955982864.61000001</v>
      </c>
      <c r="AS29" s="580">
        <f t="shared" si="81"/>
        <v>476154782.99263602</v>
      </c>
      <c r="AT29" s="580">
        <f t="shared" si="81"/>
        <v>502545149.37</v>
      </c>
      <c r="AU29" s="580">
        <f t="shared" si="79"/>
        <v>1536890173.818825</v>
      </c>
      <c r="AV29" s="580">
        <f t="shared" si="79"/>
        <v>1564871821.146256</v>
      </c>
      <c r="AW29" s="580">
        <f t="shared" si="28"/>
        <v>27981647.327430964</v>
      </c>
      <c r="AX29" s="580">
        <f t="shared" si="29"/>
        <v>1.8206666815952559</v>
      </c>
      <c r="AY29" s="580">
        <f t="shared" si="82"/>
        <v>1734934240.5599999</v>
      </c>
      <c r="AZ29" s="580">
        <f t="shared" si="30"/>
        <v>-170062419.41374397</v>
      </c>
      <c r="BA29" s="580">
        <v>0</v>
      </c>
      <c r="BB29" s="580">
        <f t="shared" si="83"/>
        <v>671576040.576442</v>
      </c>
      <c r="BC29" s="580">
        <f t="shared" si="83"/>
        <v>695740842.2927655</v>
      </c>
      <c r="BD29" s="580">
        <f t="shared" si="83"/>
        <v>778554078.61999989</v>
      </c>
      <c r="BE29" s="580">
        <f t="shared" si="33"/>
        <v>106978038.04355788</v>
      </c>
      <c r="BF29" s="580">
        <f t="shared" si="34"/>
        <v>82813236.327234387</v>
      </c>
      <c r="BG29" s="580">
        <f t="shared" si="35"/>
        <v>2109410165.627327</v>
      </c>
      <c r="BH29" s="580">
        <f t="shared" si="83"/>
        <v>2154268856.2727656</v>
      </c>
      <c r="BI29" s="580">
        <f t="shared" si="83"/>
        <v>2237082092.5999999</v>
      </c>
      <c r="BJ29" s="580">
        <f t="shared" si="37"/>
        <v>127671926.97267294</v>
      </c>
      <c r="BK29" s="580">
        <f t="shared" si="38"/>
        <v>82813236.327234268</v>
      </c>
      <c r="BL29" s="580">
        <f t="shared" si="83"/>
        <v>865314133.242383</v>
      </c>
      <c r="BM29" s="580">
        <f t="shared" si="83"/>
        <v>869130978.85349047</v>
      </c>
      <c r="BN29" s="580">
        <f t="shared" si="83"/>
        <v>956380161.94000006</v>
      </c>
      <c r="BO29" s="580">
        <f t="shared" si="48"/>
        <v>91066028.697617054</v>
      </c>
      <c r="BP29" s="580">
        <f t="shared" si="40"/>
        <v>87249183.086509585</v>
      </c>
      <c r="BQ29" s="580">
        <f t="shared" si="84"/>
        <v>865314133.242383</v>
      </c>
      <c r="BR29" s="580">
        <f t="shared" si="84"/>
        <v>0</v>
      </c>
      <c r="BS29" s="580">
        <f t="shared" si="84"/>
        <v>0</v>
      </c>
      <c r="BU29" s="580">
        <f t="shared" si="85"/>
        <v>3193462254.54</v>
      </c>
      <c r="BV29" s="580">
        <f t="shared" si="85"/>
        <v>0</v>
      </c>
      <c r="BW29" s="580">
        <f t="shared" si="85"/>
        <v>0</v>
      </c>
      <c r="BX29" s="581"/>
      <c r="BY29" s="589">
        <f>BY30</f>
        <v>3193462254.54</v>
      </c>
      <c r="BZ29" s="589">
        <f t="shared" si="86"/>
        <v>0</v>
      </c>
      <c r="CA29" s="589">
        <f t="shared" si="86"/>
        <v>0</v>
      </c>
      <c r="CB29" s="589">
        <f t="shared" si="86"/>
        <v>3193462254.54</v>
      </c>
      <c r="CC29" s="589">
        <f t="shared" si="44"/>
        <v>0</v>
      </c>
      <c r="CD29" s="580"/>
      <c r="CE29" s="580"/>
      <c r="CF29" s="580"/>
      <c r="CG29" s="580"/>
      <c r="CH29" s="580"/>
      <c r="CI29" s="580"/>
      <c r="CJ29" s="580"/>
      <c r="CK29" s="508"/>
      <c r="CL29" s="508"/>
      <c r="CM29" s="510"/>
      <c r="CN29" s="510"/>
      <c r="CO29" s="510"/>
      <c r="CP29" s="582">
        <f t="shared" si="87"/>
        <v>2974724298.86971</v>
      </c>
      <c r="CQ29" s="582">
        <f t="shared" si="87"/>
        <v>0</v>
      </c>
      <c r="CR29" s="582">
        <f t="shared" si="87"/>
        <v>0</v>
      </c>
      <c r="CS29" s="1715"/>
      <c r="CT29" s="1716"/>
      <c r="CU29" s="1716"/>
      <c r="CV29" s="1716"/>
      <c r="CW29" s="1717"/>
      <c r="CX29" s="510"/>
      <c r="CY29" s="510"/>
      <c r="CZ29" s="510"/>
      <c r="DA29" s="510"/>
      <c r="DB29" s="582">
        <f>DB30</f>
        <v>955982864.61000001</v>
      </c>
      <c r="DD29" s="517"/>
      <c r="DE29" s="517"/>
      <c r="DF29" s="589">
        <f t="shared" si="88"/>
        <v>3193462.2545400001</v>
      </c>
      <c r="DG29" s="589">
        <f t="shared" si="88"/>
        <v>0</v>
      </c>
      <c r="DH29" s="589">
        <f t="shared" si="88"/>
        <v>0</v>
      </c>
      <c r="DI29" s="589">
        <f t="shared" si="88"/>
        <v>3193462.2545400001</v>
      </c>
    </row>
    <row r="30" spans="1:123" s="534" customFormat="1" ht="117" customHeight="1">
      <c r="A30" s="520" t="s">
        <v>1843</v>
      </c>
      <c r="B30" s="521" t="s">
        <v>1844</v>
      </c>
      <c r="C30" s="590">
        <v>4244793232.3099999</v>
      </c>
      <c r="D30" s="578">
        <v>4085738859.0738869</v>
      </c>
      <c r="E30" s="522">
        <v>4108780110</v>
      </c>
      <c r="F30" s="522">
        <v>4052089419.21</v>
      </c>
      <c r="G30" s="523">
        <v>2470880649.5999999</v>
      </c>
      <c r="H30" s="523">
        <v>0</v>
      </c>
      <c r="I30" s="522">
        <f>J30+K30+L30</f>
        <v>2408084000.5599999</v>
      </c>
      <c r="J30" s="522">
        <v>1141525015.4400001</v>
      </c>
      <c r="K30" s="522">
        <v>556373073.76999998</v>
      </c>
      <c r="L30" s="522">
        <v>710185911.35000002</v>
      </c>
      <c r="M30" s="522">
        <f>J30+K30</f>
        <v>1697898089.21</v>
      </c>
      <c r="N30" s="522">
        <v>1733622150.3100002</v>
      </c>
      <c r="O30" s="522">
        <f>P30-N30</f>
        <v>811180626.53999972</v>
      </c>
      <c r="P30" s="522">
        <f>2547992696.64-3189919.79</f>
        <v>2544802776.8499999</v>
      </c>
      <c r="Q30" s="522">
        <f t="shared" si="12"/>
        <v>136718776.28999996</v>
      </c>
      <c r="R30" s="522">
        <f t="shared" si="13"/>
        <v>5.6774919918992026</v>
      </c>
      <c r="S30" s="522">
        <v>2588333500</v>
      </c>
      <c r="T30" s="522">
        <f>2974724.29888046*1000</f>
        <v>2974724298.8804603</v>
      </c>
      <c r="U30" s="522">
        <f>AQ30+AS30+BB30+BL30</f>
        <v>2974724298.86971</v>
      </c>
      <c r="V30" s="522">
        <f t="shared" si="1"/>
        <v>-1.0750293731689453E-2</v>
      </c>
      <c r="W30" s="522">
        <f t="shared" si="14"/>
        <v>-3.6138203540758695E-10</v>
      </c>
      <c r="X30" s="522">
        <f t="shared" si="15"/>
        <v>429921522.01971006</v>
      </c>
      <c r="Y30" s="522">
        <f t="shared" si="16"/>
        <v>16.894099846585135</v>
      </c>
      <c r="Z30" s="524">
        <f t="shared" si="17"/>
        <v>3023399835.126256</v>
      </c>
      <c r="AA30" s="522">
        <f t="shared" si="18"/>
        <v>48675536.245795727</v>
      </c>
      <c r="AB30" s="522">
        <f t="shared" si="19"/>
        <v>1.6363041194814087</v>
      </c>
      <c r="AC30" s="522">
        <f t="shared" si="20"/>
        <v>48675536.256546021</v>
      </c>
      <c r="AD30" s="522">
        <f t="shared" si="21"/>
        <v>1.6363041198487167</v>
      </c>
      <c r="AE30" s="522">
        <f t="shared" si="22"/>
        <v>478597058.27625608</v>
      </c>
      <c r="AF30" s="522">
        <f t="shared" si="23"/>
        <v>18.806842818234884</v>
      </c>
      <c r="AG30" s="522">
        <f t="shared" si="46"/>
        <v>3193462254.54</v>
      </c>
      <c r="AH30" s="522">
        <f t="shared" si="24"/>
        <v>218737955.67028999</v>
      </c>
      <c r="AI30" s="522">
        <f t="shared" si="25"/>
        <v>7.3532177672197321</v>
      </c>
      <c r="AJ30" s="522">
        <f t="shared" si="26"/>
        <v>170062419.41374397</v>
      </c>
      <c r="AK30" s="522">
        <f>AG30/Z30*100-100</f>
        <v>5.6248736087743509</v>
      </c>
      <c r="AL30" s="522">
        <f>SUM(BU30:BV30)</f>
        <v>3193462254.54</v>
      </c>
      <c r="AM30" s="522">
        <f t="shared" si="72"/>
        <v>1437834125.050885</v>
      </c>
      <c r="AN30" s="522">
        <f t="shared" si="72"/>
        <v>1458528013.98</v>
      </c>
      <c r="AO30" s="522">
        <f t="shared" si="27"/>
        <v>20693888.929115057</v>
      </c>
      <c r="AP30" s="522">
        <f t="shared" si="47"/>
        <v>1.4392403524559967</v>
      </c>
      <c r="AQ30" s="522">
        <f>961679.342058249*1000</f>
        <v>961679342.058249</v>
      </c>
      <c r="AR30" s="522">
        <v>955982864.61000001</v>
      </c>
      <c r="AS30" s="522">
        <f>476154.782992636*1000</f>
        <v>476154782.99263602</v>
      </c>
      <c r="AT30" s="522">
        <v>502545149.37</v>
      </c>
      <c r="AU30" s="522">
        <f t="shared" si="79"/>
        <v>1536890173.818825</v>
      </c>
      <c r="AV30" s="522">
        <f t="shared" si="79"/>
        <v>1564871821.146256</v>
      </c>
      <c r="AW30" s="522">
        <f t="shared" si="28"/>
        <v>27981647.327430964</v>
      </c>
      <c r="AX30" s="522">
        <f t="shared" si="29"/>
        <v>1.8206666815952559</v>
      </c>
      <c r="AY30" s="522">
        <f t="shared" si="82"/>
        <v>1734934240.5599999</v>
      </c>
      <c r="AZ30" s="522">
        <f t="shared" si="30"/>
        <v>-170062419.41374397</v>
      </c>
      <c r="BA30" s="522">
        <v>0</v>
      </c>
      <c r="BB30" s="522">
        <f>671576.040576442*1000</f>
        <v>671576040.576442</v>
      </c>
      <c r="BC30" s="525">
        <f>'[67]Дир_ по реал.услуг'!AT8</f>
        <v>695740842.2927655</v>
      </c>
      <c r="BD30" s="525">
        <f>BI30-AN30</f>
        <v>778554078.61999989</v>
      </c>
      <c r="BE30" s="525">
        <f t="shared" si="33"/>
        <v>106978038.04355788</v>
      </c>
      <c r="BF30" s="525">
        <f t="shared" si="34"/>
        <v>82813236.327234387</v>
      </c>
      <c r="BG30" s="525">
        <f t="shared" si="35"/>
        <v>2109410165.627327</v>
      </c>
      <c r="BH30" s="522">
        <f>AN30+BC30</f>
        <v>2154268856.2727656</v>
      </c>
      <c r="BI30" s="522">
        <v>2237082092.5999999</v>
      </c>
      <c r="BJ30" s="522">
        <f t="shared" si="37"/>
        <v>127671926.97267294</v>
      </c>
      <c r="BK30" s="522">
        <f t="shared" si="38"/>
        <v>82813236.327234268</v>
      </c>
      <c r="BL30" s="525">
        <f>865314.133242383*1000</f>
        <v>865314133.242383</v>
      </c>
      <c r="BM30" s="522">
        <f>'[67]Дир_ по реал.услуг'!AW8</f>
        <v>869130978.85349047</v>
      </c>
      <c r="BN30" s="522">
        <f>AL30-BI30</f>
        <v>956380161.94000006</v>
      </c>
      <c r="BO30" s="522">
        <f t="shared" si="48"/>
        <v>91066028.697617054</v>
      </c>
      <c r="BP30" s="522">
        <f t="shared" si="40"/>
        <v>87249183.086509585</v>
      </c>
      <c r="BQ30" s="525">
        <f>865314.133242383*1000</f>
        <v>865314133.242383</v>
      </c>
      <c r="BR30" s="522">
        <f>'[67]Дир_ по реал.услуг'!BB8</f>
        <v>0</v>
      </c>
      <c r="BS30" s="522">
        <f>'[67]Дир_ по реал.услуг'!BC8</f>
        <v>0</v>
      </c>
      <c r="BT30" s="536"/>
      <c r="BU30" s="522">
        <v>3193462254.54</v>
      </c>
      <c r="BV30" s="522"/>
      <c r="BW30" s="522"/>
      <c r="BX30" s="574"/>
      <c r="BY30" s="591">
        <f>BU30</f>
        <v>3193462254.54</v>
      </c>
      <c r="BZ30" s="591"/>
      <c r="CA30" s="591"/>
      <c r="CB30" s="522">
        <f t="shared" ref="CB30" si="89">SUM(BY30:CA30)</f>
        <v>3193462254.54</v>
      </c>
      <c r="CC30" s="522">
        <f t="shared" si="44"/>
        <v>0</v>
      </c>
      <c r="CD30" s="522"/>
      <c r="CE30" s="522"/>
      <c r="CF30" s="522"/>
      <c r="CG30" s="522"/>
      <c r="CH30" s="522"/>
      <c r="CI30" s="522"/>
      <c r="CJ30" s="522"/>
      <c r="CK30" s="526" t="s">
        <v>78</v>
      </c>
      <c r="CL30" s="526" t="s">
        <v>1787</v>
      </c>
      <c r="CM30" s="528"/>
      <c r="CN30" s="528"/>
      <c r="CO30" s="528"/>
      <c r="CP30" s="529">
        <f>U30</f>
        <v>2974724298.86971</v>
      </c>
      <c r="CQ30" s="529"/>
      <c r="CR30" s="529"/>
      <c r="CS30" s="1718"/>
      <c r="CT30" s="1719"/>
      <c r="CU30" s="1719"/>
      <c r="CV30" s="1719"/>
      <c r="CW30" s="1720"/>
      <c r="CX30" s="528"/>
      <c r="CY30" s="528"/>
      <c r="CZ30" s="528"/>
      <c r="DA30" s="528"/>
      <c r="DB30" s="529">
        <f>955982864.61</f>
        <v>955982864.61000001</v>
      </c>
      <c r="DD30" s="575"/>
      <c r="DE30" s="575"/>
      <c r="DF30" s="591">
        <f t="shared" si="88"/>
        <v>3193462.2545400001</v>
      </c>
      <c r="DG30" s="591">
        <f t="shared" si="88"/>
        <v>0</v>
      </c>
      <c r="DH30" s="591">
        <f t="shared" si="88"/>
        <v>0</v>
      </c>
      <c r="DI30" s="522">
        <f t="shared" si="88"/>
        <v>3193462.2545400001</v>
      </c>
      <c r="DJ30" s="536"/>
      <c r="DK30" s="536"/>
      <c r="DL30" s="536"/>
      <c r="DM30" s="536"/>
      <c r="DN30" s="536"/>
      <c r="DO30" s="536"/>
      <c r="DP30" s="536"/>
      <c r="DQ30" s="536"/>
      <c r="DR30" s="536"/>
      <c r="DS30" s="536"/>
    </row>
    <row r="31" spans="1:123">
      <c r="A31" s="1721" t="s">
        <v>1845</v>
      </c>
      <c r="B31" s="1721"/>
      <c r="C31" s="507">
        <f>C28</f>
        <v>4244793232.3099999</v>
      </c>
      <c r="D31" s="507">
        <f t="shared" ref="D31:T31" si="90">D28</f>
        <v>4085738859.0738869</v>
      </c>
      <c r="E31" s="507">
        <f t="shared" si="90"/>
        <v>4108780110</v>
      </c>
      <c r="F31" s="507">
        <f t="shared" si="90"/>
        <v>4052089419.21</v>
      </c>
      <c r="G31" s="507">
        <f t="shared" si="90"/>
        <v>2470880649.5999999</v>
      </c>
      <c r="H31" s="507">
        <f t="shared" si="90"/>
        <v>0</v>
      </c>
      <c r="I31" s="507">
        <f t="shared" si="90"/>
        <v>2408084000.5599999</v>
      </c>
      <c r="J31" s="507">
        <f t="shared" si="90"/>
        <v>1141525015.4400001</v>
      </c>
      <c r="K31" s="507">
        <f t="shared" si="90"/>
        <v>556373073.76999998</v>
      </c>
      <c r="L31" s="507">
        <f t="shared" si="90"/>
        <v>710185911.35000002</v>
      </c>
      <c r="M31" s="507">
        <f t="shared" si="90"/>
        <v>1697898089.21</v>
      </c>
      <c r="N31" s="507">
        <f t="shared" si="90"/>
        <v>1733622150.3100002</v>
      </c>
      <c r="O31" s="507">
        <f>O28</f>
        <v>811180626.53999972</v>
      </c>
      <c r="P31" s="580">
        <f>P28</f>
        <v>2544802776.8499999</v>
      </c>
      <c r="Q31" s="507">
        <f t="shared" si="12"/>
        <v>136718776.28999996</v>
      </c>
      <c r="R31" s="507">
        <f t="shared" si="13"/>
        <v>5.6774919918992026</v>
      </c>
      <c r="S31" s="507">
        <f t="shared" si="90"/>
        <v>2588333500</v>
      </c>
      <c r="T31" s="507">
        <f t="shared" si="90"/>
        <v>2974724298.8804603</v>
      </c>
      <c r="U31" s="580">
        <f>U28</f>
        <v>2974724298.86971</v>
      </c>
      <c r="V31" s="580">
        <f t="shared" si="1"/>
        <v>-1.0750293731689453E-2</v>
      </c>
      <c r="W31" s="580">
        <f t="shared" si="14"/>
        <v>-3.6138203540758695E-10</v>
      </c>
      <c r="X31" s="580">
        <f t="shared" si="15"/>
        <v>429921522.01971006</v>
      </c>
      <c r="Y31" s="580">
        <f t="shared" si="16"/>
        <v>16.894099846585135</v>
      </c>
      <c r="Z31" s="580">
        <f t="shared" si="17"/>
        <v>3023399835.126256</v>
      </c>
      <c r="AA31" s="580">
        <f t="shared" si="18"/>
        <v>48675536.245795727</v>
      </c>
      <c r="AB31" s="580">
        <f t="shared" si="19"/>
        <v>1.6363041194814087</v>
      </c>
      <c r="AC31" s="580">
        <f t="shared" si="20"/>
        <v>48675536.256546021</v>
      </c>
      <c r="AD31" s="580">
        <f t="shared" si="21"/>
        <v>1.6363041198487167</v>
      </c>
      <c r="AE31" s="580">
        <f t="shared" si="22"/>
        <v>478597058.27625608</v>
      </c>
      <c r="AF31" s="580">
        <f t="shared" si="23"/>
        <v>18.806842818234884</v>
      </c>
      <c r="AG31" s="580">
        <f t="shared" si="46"/>
        <v>3193462254.54</v>
      </c>
      <c r="AH31" s="580">
        <f t="shared" si="24"/>
        <v>218737955.67028999</v>
      </c>
      <c r="AI31" s="580">
        <f t="shared" si="25"/>
        <v>7.3532177672197321</v>
      </c>
      <c r="AJ31" s="580">
        <f t="shared" si="26"/>
        <v>170062419.41374397</v>
      </c>
      <c r="AK31" s="580">
        <f>AG31/Z31*100-100</f>
        <v>5.6248736087743509</v>
      </c>
      <c r="AL31" s="580">
        <f>AL28</f>
        <v>3193462254.54</v>
      </c>
      <c r="AM31" s="580">
        <f t="shared" si="72"/>
        <v>1437834125.050885</v>
      </c>
      <c r="AN31" s="580">
        <f t="shared" si="72"/>
        <v>1458528013.98</v>
      </c>
      <c r="AO31" s="580">
        <f t="shared" si="27"/>
        <v>20693888.929115057</v>
      </c>
      <c r="AP31" s="580">
        <f t="shared" si="47"/>
        <v>1.4392403524559967</v>
      </c>
      <c r="AQ31" s="580">
        <f>AQ28</f>
        <v>961679342.058249</v>
      </c>
      <c r="AR31" s="580">
        <f>AR28</f>
        <v>955982864.61000001</v>
      </c>
      <c r="AS31" s="580">
        <f>AS28</f>
        <v>476154782.99263602</v>
      </c>
      <c r="AT31" s="580">
        <f>AT28</f>
        <v>502545149.37</v>
      </c>
      <c r="AU31" s="580">
        <f t="shared" si="79"/>
        <v>1536890173.818825</v>
      </c>
      <c r="AV31" s="580">
        <f t="shared" si="79"/>
        <v>1564871821.146256</v>
      </c>
      <c r="AW31" s="580">
        <f t="shared" si="28"/>
        <v>27981647.327430964</v>
      </c>
      <c r="AX31" s="580">
        <f t="shared" si="29"/>
        <v>1.8206666815952559</v>
      </c>
      <c r="AY31" s="580">
        <f t="shared" si="82"/>
        <v>1734934240.5599999</v>
      </c>
      <c r="AZ31" s="580">
        <f t="shared" si="30"/>
        <v>-170062419.41374397</v>
      </c>
      <c r="BA31" s="580">
        <v>0</v>
      </c>
      <c r="BB31" s="580">
        <f t="shared" ref="BB31:BN31" si="91">BB28</f>
        <v>671576040.576442</v>
      </c>
      <c r="BC31" s="580">
        <f t="shared" si="91"/>
        <v>695740842.2927655</v>
      </c>
      <c r="BD31" s="580">
        <f t="shared" si="91"/>
        <v>778554078.61999989</v>
      </c>
      <c r="BE31" s="580">
        <f t="shared" si="33"/>
        <v>106978038.04355788</v>
      </c>
      <c r="BF31" s="580">
        <f t="shared" si="34"/>
        <v>82813236.327234387</v>
      </c>
      <c r="BG31" s="580">
        <f t="shared" si="35"/>
        <v>2109410165.627327</v>
      </c>
      <c r="BH31" s="580">
        <f t="shared" ref="BH31:BI31" si="92">BH28</f>
        <v>2154268856.2727656</v>
      </c>
      <c r="BI31" s="580">
        <f t="shared" si="92"/>
        <v>2237082092.5999999</v>
      </c>
      <c r="BJ31" s="580">
        <f t="shared" si="37"/>
        <v>127671926.97267294</v>
      </c>
      <c r="BK31" s="580">
        <f t="shared" si="38"/>
        <v>82813236.327234268</v>
      </c>
      <c r="BL31" s="580">
        <f t="shared" si="91"/>
        <v>865314133.242383</v>
      </c>
      <c r="BM31" s="580">
        <f t="shared" si="91"/>
        <v>869130978.85349047</v>
      </c>
      <c r="BN31" s="580">
        <f t="shared" si="91"/>
        <v>956380161.94000006</v>
      </c>
      <c r="BO31" s="580">
        <f t="shared" si="48"/>
        <v>91066028.697617054</v>
      </c>
      <c r="BP31" s="580">
        <f t="shared" si="40"/>
        <v>87249183.086509585</v>
      </c>
      <c r="BQ31" s="580">
        <f t="shared" ref="BQ31:BS31" si="93">BQ28</f>
        <v>865314133.242383</v>
      </c>
      <c r="BR31" s="580">
        <f t="shared" si="93"/>
        <v>0</v>
      </c>
      <c r="BS31" s="580">
        <f t="shared" si="93"/>
        <v>0</v>
      </c>
      <c r="BU31" s="580">
        <f t="shared" ref="BU31:BV31" si="94">BU28</f>
        <v>3193462254.54</v>
      </c>
      <c r="BV31" s="580">
        <f t="shared" si="94"/>
        <v>0</v>
      </c>
      <c r="BW31" s="580">
        <f t="shared" ref="BW31" si="95">BW27</f>
        <v>0</v>
      </c>
      <c r="BX31" s="581"/>
      <c r="BY31" s="580">
        <f>BY28</f>
        <v>3193462254.54</v>
      </c>
      <c r="BZ31" s="580">
        <f t="shared" ref="BZ31:CB31" si="96">BZ28</f>
        <v>0</v>
      </c>
      <c r="CA31" s="580">
        <f t="shared" si="96"/>
        <v>0</v>
      </c>
      <c r="CB31" s="580">
        <f t="shared" si="96"/>
        <v>3193462254.54</v>
      </c>
      <c r="CC31" s="580">
        <f t="shared" si="44"/>
        <v>0</v>
      </c>
      <c r="CD31" s="580"/>
      <c r="CE31" s="580"/>
      <c r="CF31" s="580"/>
      <c r="CG31" s="580"/>
      <c r="CH31" s="580"/>
      <c r="CI31" s="580"/>
      <c r="CJ31" s="580"/>
      <c r="CK31" s="508"/>
      <c r="CL31" s="508"/>
      <c r="CM31" s="510"/>
      <c r="CN31" s="510"/>
      <c r="CO31" s="510"/>
      <c r="CP31" s="582">
        <f>CP28</f>
        <v>2974724298.86971</v>
      </c>
      <c r="CQ31" s="582">
        <f>CQ28</f>
        <v>0</v>
      </c>
      <c r="CR31" s="582">
        <f>CR28</f>
        <v>0</v>
      </c>
      <c r="CS31" s="1715"/>
      <c r="CT31" s="1716"/>
      <c r="CU31" s="1716"/>
      <c r="CV31" s="1716"/>
      <c r="CW31" s="1717"/>
      <c r="CX31" s="510"/>
      <c r="CY31" s="510"/>
      <c r="CZ31" s="510"/>
      <c r="DA31" s="510"/>
      <c r="DB31" s="582">
        <f>DB28</f>
        <v>955982864.61000001</v>
      </c>
      <c r="DD31" s="572">
        <f>BI28+BI34</f>
        <v>5059847613.0900002</v>
      </c>
      <c r="DE31" s="572"/>
      <c r="DF31" s="580">
        <f t="shared" si="88"/>
        <v>3193462.2545400001</v>
      </c>
      <c r="DG31" s="580">
        <f t="shared" si="88"/>
        <v>0</v>
      </c>
      <c r="DH31" s="580">
        <f t="shared" si="88"/>
        <v>0</v>
      </c>
      <c r="DI31" s="580">
        <f t="shared" si="88"/>
        <v>3193462.2545400001</v>
      </c>
    </row>
    <row r="32" spans="1:123" s="534" customFormat="1">
      <c r="A32" s="583" t="s">
        <v>1846</v>
      </c>
      <c r="B32" s="584"/>
      <c r="C32" s="578"/>
      <c r="D32" s="578"/>
      <c r="E32" s="578">
        <f>E31+E34+E301</f>
        <v>8951195360.6264801</v>
      </c>
      <c r="F32" s="578">
        <f>F31+F34+F301</f>
        <v>8705684234.8800011</v>
      </c>
      <c r="G32" s="578"/>
      <c r="H32" s="578"/>
      <c r="I32" s="578">
        <f t="shared" ref="I32:P32" si="97">I31+I34+I301</f>
        <v>7265944930.4920015</v>
      </c>
      <c r="J32" s="578">
        <f t="shared" si="97"/>
        <v>3503767276.5099998</v>
      </c>
      <c r="K32" s="578">
        <f t="shared" si="97"/>
        <v>1768967929.1199999</v>
      </c>
      <c r="L32" s="578">
        <f t="shared" si="97"/>
        <v>1993209724.862</v>
      </c>
      <c r="M32" s="578">
        <f t="shared" si="97"/>
        <v>5272735205.6300011</v>
      </c>
      <c r="N32" s="578">
        <f t="shared" si="97"/>
        <v>5232207530.4300003</v>
      </c>
      <c r="O32" s="578">
        <f t="shared" si="97"/>
        <v>2194552065.6499996</v>
      </c>
      <c r="P32" s="578">
        <f t="shared" si="97"/>
        <v>7426759596.079999</v>
      </c>
      <c r="Q32" s="578">
        <f t="shared" si="12"/>
        <v>160814665.58799744</v>
      </c>
      <c r="R32" s="578">
        <f t="shared" si="13"/>
        <v>2.2132656815650762</v>
      </c>
      <c r="S32" s="578"/>
      <c r="T32" s="578"/>
      <c r="U32" s="578"/>
      <c r="V32" s="578">
        <f t="shared" si="1"/>
        <v>0</v>
      </c>
      <c r="W32" s="578"/>
      <c r="X32" s="578">
        <f t="shared" si="15"/>
        <v>-7426759596.079999</v>
      </c>
      <c r="Y32" s="578">
        <f t="shared" si="16"/>
        <v>-100</v>
      </c>
      <c r="Z32" s="586">
        <f t="shared" si="17"/>
        <v>0</v>
      </c>
      <c r="AA32" s="578">
        <f t="shared" si="18"/>
        <v>0</v>
      </c>
      <c r="AB32" s="578"/>
      <c r="AC32" s="578">
        <f t="shared" si="20"/>
        <v>0</v>
      </c>
      <c r="AD32" s="578"/>
      <c r="AE32" s="578">
        <f t="shared" si="22"/>
        <v>-7426759596.079999</v>
      </c>
      <c r="AF32" s="578">
        <f t="shared" si="23"/>
        <v>-100</v>
      </c>
      <c r="AG32" s="578">
        <f t="shared" si="46"/>
        <v>0</v>
      </c>
      <c r="AH32" s="578">
        <f t="shared" si="24"/>
        <v>0</v>
      </c>
      <c r="AI32" s="578"/>
      <c r="AJ32" s="578">
        <f t="shared" si="26"/>
        <v>0</v>
      </c>
      <c r="AK32" s="578"/>
      <c r="AL32" s="578"/>
      <c r="AM32" s="578">
        <f t="shared" si="72"/>
        <v>0</v>
      </c>
      <c r="AN32" s="578">
        <f t="shared" si="72"/>
        <v>0</v>
      </c>
      <c r="AO32" s="578">
        <f t="shared" si="27"/>
        <v>0</v>
      </c>
      <c r="AP32" s="578"/>
      <c r="AQ32" s="578"/>
      <c r="AR32" s="578">
        <v>0</v>
      </c>
      <c r="AS32" s="578"/>
      <c r="AT32" s="578">
        <v>0</v>
      </c>
      <c r="AU32" s="578">
        <f t="shared" si="79"/>
        <v>0</v>
      </c>
      <c r="AV32" s="578">
        <f t="shared" si="79"/>
        <v>0</v>
      </c>
      <c r="AW32" s="578">
        <f t="shared" si="28"/>
        <v>0</v>
      </c>
      <c r="AX32" s="578"/>
      <c r="AY32" s="578">
        <f t="shared" si="82"/>
        <v>0</v>
      </c>
      <c r="AZ32" s="578">
        <f t="shared" si="30"/>
        <v>0</v>
      </c>
      <c r="BA32" s="578"/>
      <c r="BB32" s="578"/>
      <c r="BC32" s="576"/>
      <c r="BD32" s="576"/>
      <c r="BE32" s="576">
        <f t="shared" si="33"/>
        <v>0</v>
      </c>
      <c r="BF32" s="576">
        <f t="shared" si="34"/>
        <v>0</v>
      </c>
      <c r="BG32" s="576">
        <f t="shared" si="35"/>
        <v>0</v>
      </c>
      <c r="BH32" s="578"/>
      <c r="BI32" s="578"/>
      <c r="BJ32" s="578">
        <f t="shared" si="37"/>
        <v>0</v>
      </c>
      <c r="BK32" s="578">
        <f t="shared" si="38"/>
        <v>0</v>
      </c>
      <c r="BL32" s="576"/>
      <c r="BM32" s="578"/>
      <c r="BN32" s="578"/>
      <c r="BO32" s="578">
        <f t="shared" si="48"/>
        <v>0</v>
      </c>
      <c r="BP32" s="578">
        <f t="shared" si="40"/>
        <v>0</v>
      </c>
      <c r="BQ32" s="576"/>
      <c r="BR32" s="578"/>
      <c r="BS32" s="578"/>
      <c r="BT32" s="536"/>
      <c r="BU32" s="578"/>
      <c r="BV32" s="578"/>
      <c r="BW32" s="578"/>
      <c r="BX32" s="574"/>
      <c r="BY32" s="578"/>
      <c r="BZ32" s="578"/>
      <c r="CA32" s="578"/>
      <c r="CB32" s="578"/>
      <c r="CC32" s="578">
        <f t="shared" si="44"/>
        <v>0</v>
      </c>
      <c r="CD32" s="578"/>
      <c r="CE32" s="578"/>
      <c r="CF32" s="578"/>
      <c r="CG32" s="578"/>
      <c r="CH32" s="578"/>
      <c r="CI32" s="578"/>
      <c r="CJ32" s="578"/>
      <c r="CK32" s="587"/>
      <c r="CL32" s="587"/>
      <c r="CM32" s="528"/>
      <c r="CN32" s="528"/>
      <c r="CO32" s="528"/>
      <c r="CP32" s="592"/>
      <c r="CQ32" s="592"/>
      <c r="CR32" s="592"/>
      <c r="CS32" s="1722"/>
      <c r="CT32" s="1723"/>
      <c r="CU32" s="1723"/>
      <c r="CV32" s="1723"/>
      <c r="CW32" s="1724"/>
      <c r="CX32" s="528"/>
      <c r="CY32" s="528"/>
      <c r="CZ32" s="528"/>
      <c r="DA32" s="528"/>
      <c r="DB32" s="592"/>
      <c r="DD32" s="535"/>
      <c r="DE32" s="535"/>
      <c r="DF32" s="578">
        <f t="shared" si="88"/>
        <v>0</v>
      </c>
      <c r="DG32" s="578">
        <f t="shared" si="88"/>
        <v>0</v>
      </c>
      <c r="DH32" s="578">
        <f t="shared" si="88"/>
        <v>0</v>
      </c>
      <c r="DI32" s="578">
        <f t="shared" si="88"/>
        <v>0</v>
      </c>
      <c r="DJ32" s="536"/>
      <c r="DK32" s="536"/>
      <c r="DL32" s="536"/>
      <c r="DM32" s="536"/>
      <c r="DN32" s="536"/>
      <c r="DO32" s="536"/>
      <c r="DP32" s="536"/>
      <c r="DQ32" s="536"/>
      <c r="DR32" s="536"/>
      <c r="DS32" s="536"/>
    </row>
    <row r="33" spans="1:123" s="534" customFormat="1">
      <c r="A33" s="583"/>
      <c r="B33" s="584"/>
      <c r="C33" s="585"/>
      <c r="D33" s="585"/>
      <c r="E33" s="585">
        <f>E38-E52</f>
        <v>909360852</v>
      </c>
      <c r="F33" s="585">
        <f>F38-F52</f>
        <v>931015988.43000007</v>
      </c>
      <c r="G33" s="593"/>
      <c r="H33" s="593"/>
      <c r="I33" s="585">
        <f t="shared" ref="I33:P33" si="98">I38-I52</f>
        <v>998439071.88000011</v>
      </c>
      <c r="J33" s="585">
        <f t="shared" si="98"/>
        <v>513603112.62000006</v>
      </c>
      <c r="K33" s="585">
        <f t="shared" si="98"/>
        <v>244908370.81000003</v>
      </c>
      <c r="L33" s="585">
        <f t="shared" si="98"/>
        <v>239927588.44999999</v>
      </c>
      <c r="M33" s="585">
        <f t="shared" si="98"/>
        <v>758511483.42999995</v>
      </c>
      <c r="N33" s="585">
        <f t="shared" si="98"/>
        <v>740561339.26999986</v>
      </c>
      <c r="O33" s="585">
        <f t="shared" si="98"/>
        <v>222914618.45000008</v>
      </c>
      <c r="P33" s="585">
        <f t="shared" si="98"/>
        <v>963475957.72000003</v>
      </c>
      <c r="Q33" s="578">
        <f t="shared" si="12"/>
        <v>-34963114.160000086</v>
      </c>
      <c r="R33" s="578">
        <f t="shared" si="13"/>
        <v>-3.5017774388743277</v>
      </c>
      <c r="S33" s="578"/>
      <c r="T33" s="578"/>
      <c r="U33" s="578"/>
      <c r="V33" s="578">
        <f t="shared" si="1"/>
        <v>0</v>
      </c>
      <c r="W33" s="578"/>
      <c r="X33" s="578">
        <f t="shared" si="15"/>
        <v>-963475957.72000003</v>
      </c>
      <c r="Y33" s="578">
        <f t="shared" si="16"/>
        <v>-100</v>
      </c>
      <c r="Z33" s="586">
        <f t="shared" si="17"/>
        <v>0</v>
      </c>
      <c r="AA33" s="578">
        <f t="shared" si="18"/>
        <v>0</v>
      </c>
      <c r="AB33" s="578"/>
      <c r="AC33" s="578">
        <f t="shared" si="20"/>
        <v>0</v>
      </c>
      <c r="AD33" s="578"/>
      <c r="AE33" s="578">
        <f t="shared" si="22"/>
        <v>-963475957.72000003</v>
      </c>
      <c r="AF33" s="578">
        <f t="shared" si="23"/>
        <v>-100</v>
      </c>
      <c r="AG33" s="578">
        <f t="shared" si="46"/>
        <v>0</v>
      </c>
      <c r="AH33" s="578">
        <f t="shared" si="24"/>
        <v>0</v>
      </c>
      <c r="AI33" s="578"/>
      <c r="AJ33" s="578">
        <f t="shared" si="26"/>
        <v>0</v>
      </c>
      <c r="AK33" s="578"/>
      <c r="AL33" s="578"/>
      <c r="AM33" s="578">
        <f t="shared" si="72"/>
        <v>0</v>
      </c>
      <c r="AN33" s="578">
        <f t="shared" si="72"/>
        <v>0</v>
      </c>
      <c r="AO33" s="578">
        <f t="shared" si="27"/>
        <v>0</v>
      </c>
      <c r="AP33" s="578"/>
      <c r="AQ33" s="578"/>
      <c r="AR33" s="578">
        <v>0</v>
      </c>
      <c r="AS33" s="578"/>
      <c r="AT33" s="578">
        <v>0</v>
      </c>
      <c r="AU33" s="578">
        <f t="shared" si="79"/>
        <v>0</v>
      </c>
      <c r="AV33" s="578">
        <f t="shared" si="79"/>
        <v>0</v>
      </c>
      <c r="AW33" s="578">
        <f t="shared" si="28"/>
        <v>0</v>
      </c>
      <c r="AX33" s="578"/>
      <c r="AY33" s="578">
        <f t="shared" si="82"/>
        <v>0</v>
      </c>
      <c r="AZ33" s="578">
        <f t="shared" si="30"/>
        <v>0</v>
      </c>
      <c r="BA33" s="578"/>
      <c r="BB33" s="578"/>
      <c r="BC33" s="576"/>
      <c r="BD33" s="576"/>
      <c r="BE33" s="576">
        <f t="shared" si="33"/>
        <v>0</v>
      </c>
      <c r="BF33" s="576">
        <f t="shared" si="34"/>
        <v>0</v>
      </c>
      <c r="BG33" s="576">
        <f t="shared" si="35"/>
        <v>0</v>
      </c>
      <c r="BH33" s="578"/>
      <c r="BI33" s="578"/>
      <c r="BJ33" s="578">
        <f t="shared" si="37"/>
        <v>0</v>
      </c>
      <c r="BK33" s="578">
        <f t="shared" si="38"/>
        <v>0</v>
      </c>
      <c r="BL33" s="576"/>
      <c r="BM33" s="578"/>
      <c r="BN33" s="578"/>
      <c r="BO33" s="578">
        <f t="shared" si="48"/>
        <v>0</v>
      </c>
      <c r="BP33" s="578">
        <f t="shared" si="40"/>
        <v>0</v>
      </c>
      <c r="BQ33" s="576"/>
      <c r="BR33" s="578"/>
      <c r="BS33" s="578"/>
      <c r="BT33" s="536"/>
      <c r="BU33" s="578"/>
      <c r="BV33" s="578"/>
      <c r="BW33" s="578"/>
      <c r="BX33" s="574"/>
      <c r="BY33" s="578"/>
      <c r="BZ33" s="578"/>
      <c r="CA33" s="578"/>
      <c r="CB33" s="578"/>
      <c r="CC33" s="578">
        <f t="shared" si="44"/>
        <v>0</v>
      </c>
      <c r="CD33" s="578"/>
      <c r="CE33" s="578"/>
      <c r="CF33" s="578"/>
      <c r="CG33" s="578"/>
      <c r="CH33" s="578"/>
      <c r="CI33" s="578"/>
      <c r="CJ33" s="578"/>
      <c r="CK33" s="587"/>
      <c r="CL33" s="587"/>
      <c r="CM33" s="528"/>
      <c r="CN33" s="528"/>
      <c r="CO33" s="528"/>
      <c r="CP33" s="592"/>
      <c r="CQ33" s="592"/>
      <c r="CR33" s="592"/>
      <c r="CS33" s="1722"/>
      <c r="CT33" s="1723"/>
      <c r="CU33" s="1723"/>
      <c r="CV33" s="1723"/>
      <c r="CW33" s="1724"/>
      <c r="CX33" s="528"/>
      <c r="CY33" s="528"/>
      <c r="CZ33" s="528"/>
      <c r="DA33" s="528"/>
      <c r="DB33" s="592"/>
      <c r="DC33" s="571"/>
      <c r="DD33" s="535"/>
      <c r="DE33" s="535"/>
      <c r="DF33" s="578">
        <f t="shared" si="88"/>
        <v>0</v>
      </c>
      <c r="DG33" s="578">
        <f t="shared" si="88"/>
        <v>0</v>
      </c>
      <c r="DH33" s="578">
        <f t="shared" si="88"/>
        <v>0</v>
      </c>
      <c r="DI33" s="578">
        <f t="shared" si="88"/>
        <v>0</v>
      </c>
      <c r="DJ33" s="536"/>
      <c r="DK33" s="536"/>
      <c r="DL33" s="536"/>
      <c r="DM33" s="536"/>
      <c r="DN33" s="536"/>
      <c r="DO33" s="536"/>
      <c r="DP33" s="536"/>
      <c r="DQ33" s="536"/>
      <c r="DR33" s="536"/>
      <c r="DS33" s="536"/>
    </row>
    <row r="34" spans="1:123">
      <c r="A34" s="505" t="s">
        <v>1839</v>
      </c>
      <c r="B34" s="506" t="s">
        <v>1840</v>
      </c>
      <c r="C34" s="580">
        <f>C35+C38+C56+C72+C85+C139+C230</f>
        <v>3903001892.0259995</v>
      </c>
      <c r="D34" s="580">
        <f t="shared" ref="D34:S34" si="99">D35+D38+D56+D72+D85+D139+D230</f>
        <v>3359426039.024178</v>
      </c>
      <c r="E34" s="580">
        <f t="shared" si="99"/>
        <v>4179342794.1764789</v>
      </c>
      <c r="F34" s="580">
        <f t="shared" si="99"/>
        <v>3945232720.5499997</v>
      </c>
      <c r="G34" s="580">
        <f t="shared" si="99"/>
        <v>3366281105.9767146</v>
      </c>
      <c r="H34" s="580">
        <f t="shared" si="99"/>
        <v>0</v>
      </c>
      <c r="I34" s="580">
        <f t="shared" si="99"/>
        <v>3903770733.0800009</v>
      </c>
      <c r="J34" s="580">
        <f>J35+J38+J56+J72+J85+J139+J230</f>
        <v>1873246123.8</v>
      </c>
      <c r="K34" s="580">
        <f t="shared" si="99"/>
        <v>1028079476.02</v>
      </c>
      <c r="L34" s="580">
        <f t="shared" si="99"/>
        <v>1002445133.2600002</v>
      </c>
      <c r="M34" s="580">
        <f t="shared" si="99"/>
        <v>2901325599.8200002</v>
      </c>
      <c r="N34" s="580">
        <f t="shared" si="99"/>
        <v>2789063452.2400002</v>
      </c>
      <c r="O34" s="580">
        <f>O35+O38+O56+O72+O85+O139+O230</f>
        <v>987415600.3900001</v>
      </c>
      <c r="P34" s="580">
        <f>P35+P38+P56+P72+P85+P139+P230</f>
        <v>3776479052.6300001</v>
      </c>
      <c r="Q34" s="580">
        <f t="shared" si="12"/>
        <v>-127291680.45000076</v>
      </c>
      <c r="R34" s="580">
        <f t="shared" si="13"/>
        <v>-3.2607365840249969</v>
      </c>
      <c r="S34" s="580">
        <f t="shared" si="99"/>
        <v>3578962017.3510051</v>
      </c>
      <c r="T34" s="580">
        <f>T35+T38+T56+T72+T85+T139+T230</f>
        <v>3538623144.1550665</v>
      </c>
      <c r="U34" s="580">
        <f>U35+U38+U56+U72+U85+U139+U230</f>
        <v>3768456824.7570519</v>
      </c>
      <c r="V34" s="580">
        <f t="shared" si="1"/>
        <v>229833680.60198545</v>
      </c>
      <c r="W34" s="580">
        <f t="shared" si="14"/>
        <v>6.4950030347711305</v>
      </c>
      <c r="X34" s="580">
        <f t="shared" si="15"/>
        <v>-8022227.8729481697</v>
      </c>
      <c r="Y34" s="580">
        <f t="shared" si="16"/>
        <v>-0.21242611864512639</v>
      </c>
      <c r="Z34" s="580">
        <f t="shared" si="17"/>
        <v>3805196374.4254885</v>
      </c>
      <c r="AA34" s="580">
        <f t="shared" si="18"/>
        <v>266573230.27042198</v>
      </c>
      <c r="AB34" s="580">
        <f t="shared" si="19"/>
        <v>7.5332472380037245</v>
      </c>
      <c r="AC34" s="580">
        <f t="shared" si="20"/>
        <v>36739549.668436527</v>
      </c>
      <c r="AD34" s="580">
        <f t="shared" si="21"/>
        <v>0.97492292938250102</v>
      </c>
      <c r="AE34" s="580">
        <f t="shared" si="22"/>
        <v>28717321.795488358</v>
      </c>
      <c r="AF34" s="580">
        <f t="shared" si="23"/>
        <v>0.76042581979871215</v>
      </c>
      <c r="AG34" s="580">
        <f t="shared" si="46"/>
        <v>3812346771.723</v>
      </c>
      <c r="AH34" s="580">
        <f t="shared" si="24"/>
        <v>43889946.965948105</v>
      </c>
      <c r="AI34" s="580">
        <f t="shared" si="25"/>
        <v>1.1646663079064865</v>
      </c>
      <c r="AJ34" s="580">
        <f t="shared" si="26"/>
        <v>7150397.2975115776</v>
      </c>
      <c r="AK34" s="580">
        <f>AG34/Z34*100-100</f>
        <v>0.18791138732206036</v>
      </c>
      <c r="AL34" s="580">
        <f>AL35+AL38+AL56+AL72+AL85+AL139+AL230</f>
        <v>3812346771.7230005</v>
      </c>
      <c r="AM34" s="580">
        <f t="shared" si="72"/>
        <v>1955195775.1060073</v>
      </c>
      <c r="AN34" s="580">
        <f t="shared" si="72"/>
        <v>1842474976.8299999</v>
      </c>
      <c r="AO34" s="580">
        <f t="shared" si="27"/>
        <v>-112720798.27600741</v>
      </c>
      <c r="AP34" s="580">
        <f t="shared" si="47"/>
        <v>-5.7651924022746925</v>
      </c>
      <c r="AQ34" s="580">
        <f>AQ35+AQ38+AQ56+AQ72+AQ85+AQ139+AQ230</f>
        <v>883768739.35259151</v>
      </c>
      <c r="AR34" s="580">
        <f>AR35+AR38+AR56+AR72+AR85+AR139+AR230</f>
        <v>900677724.91000009</v>
      </c>
      <c r="AS34" s="580">
        <f>AS35+AS38+AS56+AS72+AS85+AS139+AS230</f>
        <v>1071427035.7534158</v>
      </c>
      <c r="AT34" s="580">
        <f>AT35+AT38+AT56+AT72+AT85+AT139+AT230</f>
        <v>941797251.91999996</v>
      </c>
      <c r="AU34" s="580">
        <f t="shared" si="79"/>
        <v>1813261049.6510448</v>
      </c>
      <c r="AV34" s="580">
        <f t="shared" si="79"/>
        <v>1962721397.5954885</v>
      </c>
      <c r="AW34" s="580">
        <f t="shared" si="28"/>
        <v>149460347.9444437</v>
      </c>
      <c r="AX34" s="580">
        <f t="shared" si="29"/>
        <v>8.2426271701587979</v>
      </c>
      <c r="AY34" s="580">
        <f t="shared" si="82"/>
        <v>1969871794.8930001</v>
      </c>
      <c r="AZ34" s="580">
        <f t="shared" si="30"/>
        <v>-7150397.2975115776</v>
      </c>
      <c r="BA34" s="580">
        <f t="shared" si="31"/>
        <v>-0.36298795261951966</v>
      </c>
      <c r="BB34" s="580">
        <f t="shared" ref="BB34:BN34" si="100">BB35+BB38+BB56+BB72+BB85+BB139+BB230</f>
        <v>953444848.73323822</v>
      </c>
      <c r="BC34" s="580">
        <f t="shared" si="100"/>
        <v>1044074670.7523745</v>
      </c>
      <c r="BD34" s="580">
        <f t="shared" si="100"/>
        <v>980290543.66000009</v>
      </c>
      <c r="BE34" s="580">
        <f t="shared" si="33"/>
        <v>26845694.926761866</v>
      </c>
      <c r="BF34" s="580">
        <f t="shared" si="34"/>
        <v>-63784127.092374444</v>
      </c>
      <c r="BG34" s="580">
        <f t="shared" si="35"/>
        <v>2908640623.8392458</v>
      </c>
      <c r="BH34" s="580">
        <f t="shared" ref="BH34:BI34" si="101">BH35+BH38+BH56+BH72+BH85+BH139+BH230</f>
        <v>2886549647.5823741</v>
      </c>
      <c r="BI34" s="580">
        <f t="shared" si="101"/>
        <v>2822765520.4900007</v>
      </c>
      <c r="BJ34" s="580">
        <f t="shared" si="37"/>
        <v>-85875103.349245071</v>
      </c>
      <c r="BK34" s="580">
        <f t="shared" si="38"/>
        <v>-63784127.092373371</v>
      </c>
      <c r="BL34" s="580">
        <f t="shared" si="100"/>
        <v>859816200.91780651</v>
      </c>
      <c r="BM34" s="580">
        <f t="shared" si="100"/>
        <v>918646726.8431139</v>
      </c>
      <c r="BN34" s="580">
        <f t="shared" si="100"/>
        <v>989581251.23299992</v>
      </c>
      <c r="BO34" s="580">
        <f t="shared" si="48"/>
        <v>129765050.31519341</v>
      </c>
      <c r="BP34" s="580">
        <f t="shared" si="40"/>
        <v>70934524.389886022</v>
      </c>
      <c r="BQ34" s="580">
        <f t="shared" ref="BQ34:BS34" si="102">BQ35+BQ38+BQ56+BQ72+BQ85+BQ139+BQ230</f>
        <v>859816200.91780651</v>
      </c>
      <c r="BR34" s="580">
        <f t="shared" si="102"/>
        <v>0</v>
      </c>
      <c r="BS34" s="580">
        <f t="shared" si="102"/>
        <v>0</v>
      </c>
      <c r="BU34" s="580">
        <f t="shared" ref="BU34:BV34" si="103">BU35+BU38+BU56+BU72+BU85+BU139+BU230</f>
        <v>3411888443.1400003</v>
      </c>
      <c r="BV34" s="580">
        <f t="shared" si="103"/>
        <v>400458328.58299994</v>
      </c>
      <c r="BW34" s="580">
        <f t="shared" ref="BW34" si="104">BW35+BW38+BW56+BW72+BW85+BW140+BW233</f>
        <v>0</v>
      </c>
      <c r="BX34" s="581"/>
      <c r="BY34" s="580">
        <f t="shared" ref="BY34:CB34" si="105">BY35+BY38+BY56+BY72+BY85+BY139+BY230</f>
        <v>3706938201</v>
      </c>
      <c r="BZ34" s="580">
        <f t="shared" si="105"/>
        <v>71668869.850000009</v>
      </c>
      <c r="CA34" s="580">
        <f t="shared" si="105"/>
        <v>33739700.870000005</v>
      </c>
      <c r="CB34" s="580">
        <f t="shared" si="105"/>
        <v>3812346771.7200003</v>
      </c>
      <c r="CC34" s="580">
        <f t="shared" si="44"/>
        <v>3.0002593994140625E-3</v>
      </c>
      <c r="CD34" s="580"/>
      <c r="CE34" s="580"/>
      <c r="CF34" s="580"/>
      <c r="CG34" s="580"/>
      <c r="CH34" s="580"/>
      <c r="CI34" s="580"/>
      <c r="CJ34" s="580"/>
      <c r="CK34" s="508"/>
      <c r="CL34" s="508"/>
      <c r="CM34" s="510"/>
      <c r="CN34" s="510"/>
      <c r="CO34" s="510"/>
      <c r="CP34" s="582">
        <f>CP35+CP38+CP56+CP72+CP85+CP139+CP230</f>
        <v>3581200022.5516486</v>
      </c>
      <c r="CQ34" s="582">
        <f>CQ35+CQ38+CQ56+CQ72+CQ85+CQ139+CQ230</f>
        <v>160817811.79253244</v>
      </c>
      <c r="CR34" s="582">
        <f>CR35+CR38+CR56+CR72+CR85+CR139+CR230</f>
        <v>26438990.412871424</v>
      </c>
      <c r="CS34" s="1715"/>
      <c r="CT34" s="1716"/>
      <c r="CU34" s="1716"/>
      <c r="CV34" s="1716"/>
      <c r="CW34" s="1717"/>
      <c r="CX34" s="510"/>
      <c r="CY34" s="510"/>
      <c r="CZ34" s="510"/>
      <c r="DA34" s="510"/>
      <c r="DB34" s="582">
        <f>DB35+DB38+DB56+DB72+DB85+DB139+DB230</f>
        <v>900677724.91000009</v>
      </c>
      <c r="DD34" s="517"/>
      <c r="DE34" s="517"/>
      <c r="DF34" s="580">
        <f t="shared" si="88"/>
        <v>3706938.2009999999</v>
      </c>
      <c r="DG34" s="580">
        <f t="shared" si="88"/>
        <v>71668.869850000003</v>
      </c>
      <c r="DH34" s="580">
        <f t="shared" si="88"/>
        <v>33739.700870000008</v>
      </c>
      <c r="DI34" s="580">
        <f t="shared" si="88"/>
        <v>3812346.7717200001</v>
      </c>
    </row>
    <row r="35" spans="1:123">
      <c r="A35" s="505" t="s">
        <v>1847</v>
      </c>
      <c r="B35" s="506" t="s">
        <v>64</v>
      </c>
      <c r="C35" s="580">
        <f t="shared" ref="C35:S35" si="106">C36+C37</f>
        <v>211858438.81</v>
      </c>
      <c r="D35" s="580">
        <f t="shared" si="106"/>
        <v>320675590</v>
      </c>
      <c r="E35" s="594">
        <f t="shared" si="106"/>
        <v>352381315.56</v>
      </c>
      <c r="F35" s="594">
        <f t="shared" si="106"/>
        <v>297900504.12</v>
      </c>
      <c r="G35" s="580">
        <f t="shared" si="106"/>
        <v>206057330</v>
      </c>
      <c r="H35" s="580">
        <f t="shared" si="106"/>
        <v>0</v>
      </c>
      <c r="I35" s="580">
        <f t="shared" si="106"/>
        <v>326412603.35000002</v>
      </c>
      <c r="J35" s="580">
        <f>J36+J37</f>
        <v>160609730.24000001</v>
      </c>
      <c r="K35" s="580">
        <f t="shared" si="106"/>
        <v>81931596.74000001</v>
      </c>
      <c r="L35" s="580">
        <f t="shared" si="106"/>
        <v>83871276.370000005</v>
      </c>
      <c r="M35" s="580">
        <f t="shared" si="106"/>
        <v>242541326.97999999</v>
      </c>
      <c r="N35" s="580">
        <f t="shared" si="106"/>
        <v>240976483.78</v>
      </c>
      <c r="O35" s="580">
        <f>O36+O37</f>
        <v>80852149.879999995</v>
      </c>
      <c r="P35" s="580">
        <f>P36+P37</f>
        <v>321828633.65999997</v>
      </c>
      <c r="Q35" s="580">
        <f t="shared" si="12"/>
        <v>-4583969.6900000572</v>
      </c>
      <c r="R35" s="580">
        <f t="shared" si="13"/>
        <v>-1.4043482521674662</v>
      </c>
      <c r="S35" s="580">
        <f t="shared" si="106"/>
        <v>297196020</v>
      </c>
      <c r="T35" s="580">
        <f>T36+T37</f>
        <v>297196020</v>
      </c>
      <c r="U35" s="580">
        <f>U36+U37</f>
        <v>319845333.33249998</v>
      </c>
      <c r="V35" s="580">
        <f t="shared" si="1"/>
        <v>22649313.332499981</v>
      </c>
      <c r="W35" s="580">
        <f t="shared" si="14"/>
        <v>7.6210015640518947</v>
      </c>
      <c r="X35" s="580">
        <f t="shared" si="15"/>
        <v>-1983300.3274999857</v>
      </c>
      <c r="Y35" s="580">
        <f t="shared" si="16"/>
        <v>-0.616259748222177</v>
      </c>
      <c r="Z35" s="580">
        <f t="shared" si="17"/>
        <v>347132062.44999999</v>
      </c>
      <c r="AA35" s="580">
        <f t="shared" si="18"/>
        <v>49936042.449999988</v>
      </c>
      <c r="AB35" s="580">
        <f t="shared" si="19"/>
        <v>16.802392727197343</v>
      </c>
      <c r="AC35" s="580">
        <f t="shared" si="20"/>
        <v>27286729.117500007</v>
      </c>
      <c r="AD35" s="580">
        <f t="shared" si="21"/>
        <v>8.5312262752740224</v>
      </c>
      <c r="AE35" s="580">
        <f t="shared" si="22"/>
        <v>25303428.790000021</v>
      </c>
      <c r="AF35" s="580">
        <f t="shared" si="23"/>
        <v>7.8623920134875789</v>
      </c>
      <c r="AG35" s="580">
        <f t="shared" si="46"/>
        <v>360665697.98000002</v>
      </c>
      <c r="AH35" s="580">
        <f t="shared" si="24"/>
        <v>40820364.647500038</v>
      </c>
      <c r="AI35" s="580">
        <f t="shared" si="25"/>
        <v>12.762532509756724</v>
      </c>
      <c r="AJ35" s="580">
        <f t="shared" si="26"/>
        <v>13533635.530000031</v>
      </c>
      <c r="AK35" s="580">
        <f>AG35/Z35*100-100</f>
        <v>3.898699369479715</v>
      </c>
      <c r="AL35" s="580">
        <f>AL36+AL37</f>
        <v>360665697.98000002</v>
      </c>
      <c r="AM35" s="580">
        <f t="shared" si="72"/>
        <v>159618000</v>
      </c>
      <c r="AN35" s="580">
        <f t="shared" si="72"/>
        <v>172574907.88999999</v>
      </c>
      <c r="AO35" s="580">
        <f t="shared" si="27"/>
        <v>12956907.889999986</v>
      </c>
      <c r="AP35" s="580">
        <f t="shared" si="47"/>
        <v>8.1174478379631267</v>
      </c>
      <c r="AQ35" s="580">
        <f>AQ36+AQ37</f>
        <v>79886000</v>
      </c>
      <c r="AR35" s="580">
        <f>AR36+AR37</f>
        <v>85984794.669999987</v>
      </c>
      <c r="AS35" s="580">
        <f>AS36+AS37</f>
        <v>79732000</v>
      </c>
      <c r="AT35" s="580">
        <f>AT36+AT37</f>
        <v>86590113.219999999</v>
      </c>
      <c r="AU35" s="580">
        <f t="shared" si="79"/>
        <v>160227333.33249998</v>
      </c>
      <c r="AV35" s="580">
        <f t="shared" si="79"/>
        <v>174557154.56</v>
      </c>
      <c r="AW35" s="580">
        <f t="shared" si="28"/>
        <v>14329821.227500021</v>
      </c>
      <c r="AX35" s="580">
        <f t="shared" si="29"/>
        <v>8.9434311421529458</v>
      </c>
      <c r="AY35" s="580">
        <f t="shared" si="82"/>
        <v>188090790.09000003</v>
      </c>
      <c r="AZ35" s="580">
        <f t="shared" si="30"/>
        <v>-13533635.530000031</v>
      </c>
      <c r="BA35" s="580">
        <f t="shared" si="31"/>
        <v>-7.1952675213519512</v>
      </c>
      <c r="BB35" s="580">
        <f t="shared" ref="BB35:BN35" si="107">BB36+BB37</f>
        <v>80266000</v>
      </c>
      <c r="BC35" s="580">
        <f t="shared" si="107"/>
        <v>87319043.430000007</v>
      </c>
      <c r="BD35" s="580">
        <f t="shared" si="107"/>
        <v>88544804.50000003</v>
      </c>
      <c r="BE35" s="580">
        <f t="shared" si="33"/>
        <v>8278804.5000000298</v>
      </c>
      <c r="BF35" s="580">
        <f t="shared" si="34"/>
        <v>1225761.0700000226</v>
      </c>
      <c r="BG35" s="580">
        <f t="shared" si="35"/>
        <v>239884000</v>
      </c>
      <c r="BH35" s="580">
        <f t="shared" ref="BH35:BI35" si="108">BH36+BH37</f>
        <v>259893951.31999999</v>
      </c>
      <c r="BI35" s="580">
        <f t="shared" si="108"/>
        <v>261119712.39000002</v>
      </c>
      <c r="BJ35" s="580">
        <f t="shared" si="37"/>
        <v>21235712.390000015</v>
      </c>
      <c r="BK35" s="580">
        <f t="shared" si="38"/>
        <v>1225761.0700000226</v>
      </c>
      <c r="BL35" s="580">
        <f t="shared" si="107"/>
        <v>79961333.332499996</v>
      </c>
      <c r="BM35" s="580">
        <f t="shared" si="107"/>
        <v>87238111.129999995</v>
      </c>
      <c r="BN35" s="580">
        <f t="shared" si="107"/>
        <v>99545985.590000004</v>
      </c>
      <c r="BO35" s="580">
        <f t="shared" si="48"/>
        <v>19584652.257500008</v>
      </c>
      <c r="BP35" s="580">
        <f t="shared" si="40"/>
        <v>12307874.460000008</v>
      </c>
      <c r="BQ35" s="580">
        <f t="shared" ref="BQ35:BS35" si="109">BQ36+BQ37</f>
        <v>79961333.332499996</v>
      </c>
      <c r="BR35" s="580">
        <f t="shared" si="109"/>
        <v>0</v>
      </c>
      <c r="BS35" s="580">
        <f t="shared" si="109"/>
        <v>0</v>
      </c>
      <c r="BU35" s="580">
        <f t="shared" ref="BU35:BW35" si="110">BU36+BU37</f>
        <v>351339339.13</v>
      </c>
      <c r="BV35" s="580">
        <f t="shared" si="110"/>
        <v>9326358.8499999996</v>
      </c>
      <c r="BW35" s="580">
        <f t="shared" si="110"/>
        <v>0</v>
      </c>
      <c r="BX35" s="581"/>
      <c r="BY35" s="580">
        <f>BY36+BY37</f>
        <v>360093474.20000005</v>
      </c>
      <c r="BZ35" s="580">
        <f t="shared" ref="BZ35:CB35" si="111">BZ36+BZ37</f>
        <v>463893.58</v>
      </c>
      <c r="CA35" s="580">
        <f t="shared" si="111"/>
        <v>108330.2</v>
      </c>
      <c r="CB35" s="580">
        <f t="shared" si="111"/>
        <v>360665697.98000002</v>
      </c>
      <c r="CC35" s="580">
        <f t="shared" si="44"/>
        <v>0</v>
      </c>
      <c r="CD35" s="580"/>
      <c r="CE35" s="580"/>
      <c r="CF35" s="580"/>
      <c r="CG35" s="580"/>
      <c r="CH35" s="580"/>
      <c r="CI35" s="580"/>
      <c r="CJ35" s="580"/>
      <c r="CK35" s="508"/>
      <c r="CL35" s="508"/>
      <c r="CM35" s="510"/>
      <c r="CN35" s="510"/>
      <c r="CO35" s="510"/>
      <c r="CP35" s="582">
        <f>CP36+CP37</f>
        <v>295095845.45884097</v>
      </c>
      <c r="CQ35" s="582">
        <f>CQ36+CQ37</f>
        <v>21675752.573976632</v>
      </c>
      <c r="CR35" s="582">
        <f>CR36+CR37</f>
        <v>3073735.2996823764</v>
      </c>
      <c r="CS35" s="1715"/>
      <c r="CT35" s="1716"/>
      <c r="CU35" s="1716"/>
      <c r="CV35" s="1716"/>
      <c r="CW35" s="1717"/>
      <c r="CX35" s="510"/>
      <c r="CY35" s="510"/>
      <c r="CZ35" s="510"/>
      <c r="DA35" s="510"/>
      <c r="DB35" s="582">
        <f>DB36+DB37</f>
        <v>85984794.669999987</v>
      </c>
      <c r="DD35" s="517"/>
      <c r="DE35" s="517"/>
      <c r="DF35" s="580">
        <f t="shared" si="88"/>
        <v>360093.47420000006</v>
      </c>
      <c r="DG35" s="580">
        <f t="shared" si="88"/>
        <v>463.89358000000004</v>
      </c>
      <c r="DH35" s="580">
        <f t="shared" si="88"/>
        <v>108.33019999999999</v>
      </c>
      <c r="DI35" s="580">
        <f t="shared" si="88"/>
        <v>360665.69798</v>
      </c>
      <c r="DJ35" s="569"/>
    </row>
    <row r="36" spans="1:123" s="534" customFormat="1" ht="29.25" customHeight="1">
      <c r="A36" s="537" t="s">
        <v>1150</v>
      </c>
      <c r="B36" s="538" t="s">
        <v>1848</v>
      </c>
      <c r="C36" s="576">
        <v>211858438.81</v>
      </c>
      <c r="D36" s="576">
        <v>320675590</v>
      </c>
      <c r="E36" s="576">
        <v>352381315.56</v>
      </c>
      <c r="F36" s="576">
        <f>297900504.12-114973.8</f>
        <v>297785530.31999999</v>
      </c>
      <c r="G36" s="577">
        <v>206057330</v>
      </c>
      <c r="H36" s="577">
        <v>0</v>
      </c>
      <c r="I36" s="576">
        <f>J36+K36+L36</f>
        <v>326297629.55000001</v>
      </c>
      <c r="J36" s="576">
        <v>160552243.34</v>
      </c>
      <c r="K36" s="576">
        <v>81902853.290000007</v>
      </c>
      <c r="L36" s="576">
        <v>83842532.920000002</v>
      </c>
      <c r="M36" s="576">
        <f>J36+K36</f>
        <v>242455096.63</v>
      </c>
      <c r="N36" s="576">
        <v>240918996.81999999</v>
      </c>
      <c r="O36" s="525">
        <f>P36-N36</f>
        <v>80852149.879999995</v>
      </c>
      <c r="P36" s="522">
        <v>321771146.69999999</v>
      </c>
      <c r="Q36" s="576">
        <f t="shared" si="12"/>
        <v>-4526482.8500000238</v>
      </c>
      <c r="R36" s="576">
        <f t="shared" si="13"/>
        <v>-1.3872251711551087</v>
      </c>
      <c r="S36" s="576">
        <v>297084140</v>
      </c>
      <c r="T36" s="576">
        <v>297084140</v>
      </c>
      <c r="U36" s="522">
        <f>AQ36+AS36+BB36+BL36</f>
        <v>319845333.33249998</v>
      </c>
      <c r="V36" s="522">
        <f t="shared" si="1"/>
        <v>22761193.332499981</v>
      </c>
      <c r="W36" s="522">
        <f t="shared" si="14"/>
        <v>7.661530949615809</v>
      </c>
      <c r="X36" s="522">
        <f t="shared" si="15"/>
        <v>-1925813.3675000072</v>
      </c>
      <c r="Y36" s="522">
        <f t="shared" si="16"/>
        <v>-0.59850405707616972</v>
      </c>
      <c r="Z36" s="524">
        <f t="shared" si="17"/>
        <v>347132062.44999999</v>
      </c>
      <c r="AA36" s="522">
        <f t="shared" si="18"/>
        <v>50047922.449999988</v>
      </c>
      <c r="AB36" s="522">
        <f t="shared" si="19"/>
        <v>16.846379766351703</v>
      </c>
      <c r="AC36" s="522">
        <f t="shared" si="20"/>
        <v>27286729.117500007</v>
      </c>
      <c r="AD36" s="522">
        <f t="shared" si="21"/>
        <v>8.5312262752740224</v>
      </c>
      <c r="AE36" s="522">
        <f t="shared" si="22"/>
        <v>25360915.75</v>
      </c>
      <c r="AF36" s="522">
        <f t="shared" si="23"/>
        <v>7.8816624828219801</v>
      </c>
      <c r="AG36" s="522">
        <f t="shared" si="46"/>
        <v>360665697.98000002</v>
      </c>
      <c r="AH36" s="522">
        <f t="shared" si="24"/>
        <v>40820364.647500038</v>
      </c>
      <c r="AI36" s="522">
        <f t="shared" si="25"/>
        <v>12.762532509756724</v>
      </c>
      <c r="AJ36" s="522">
        <f t="shared" si="26"/>
        <v>13533635.530000031</v>
      </c>
      <c r="AK36" s="522">
        <f>AG36/Z36*100-100</f>
        <v>3.898699369479715</v>
      </c>
      <c r="AL36" s="522">
        <f t="shared" ref="AL36:AL37" si="112">SUM(BU36:BV36)</f>
        <v>360665697.98000002</v>
      </c>
      <c r="AM36" s="522">
        <f t="shared" si="72"/>
        <v>159618000</v>
      </c>
      <c r="AN36" s="522">
        <f t="shared" si="72"/>
        <v>172574907.88999999</v>
      </c>
      <c r="AO36" s="522">
        <f t="shared" si="27"/>
        <v>12956907.889999986</v>
      </c>
      <c r="AP36" s="522">
        <f t="shared" si="47"/>
        <v>8.1174478379631267</v>
      </c>
      <c r="AQ36" s="578">
        <v>79886000</v>
      </c>
      <c r="AR36" s="578">
        <v>85984794.669999987</v>
      </c>
      <c r="AS36" s="578">
        <v>79732000</v>
      </c>
      <c r="AT36" s="578">
        <v>86590113.219999999</v>
      </c>
      <c r="AU36" s="578">
        <f t="shared" si="79"/>
        <v>160227333.33249998</v>
      </c>
      <c r="AV36" s="578">
        <f t="shared" si="79"/>
        <v>174557154.56</v>
      </c>
      <c r="AW36" s="578">
        <f t="shared" si="28"/>
        <v>14329821.227500021</v>
      </c>
      <c r="AX36" s="578">
        <f t="shared" si="29"/>
        <v>8.9434311421529458</v>
      </c>
      <c r="AY36" s="578">
        <f t="shared" si="82"/>
        <v>188090790.09000003</v>
      </c>
      <c r="AZ36" s="578">
        <f t="shared" si="30"/>
        <v>-13533635.530000031</v>
      </c>
      <c r="BA36" s="578">
        <f t="shared" si="31"/>
        <v>-7.1952675213519512</v>
      </c>
      <c r="BB36" s="578">
        <v>80266000</v>
      </c>
      <c r="BC36" s="576">
        <f>'[67]Дир_по экон'!AT13</f>
        <v>87319043.430000007</v>
      </c>
      <c r="BD36" s="576">
        <f>BI36-AN36</f>
        <v>88544804.50000003</v>
      </c>
      <c r="BE36" s="576">
        <f t="shared" si="33"/>
        <v>8278804.5000000298</v>
      </c>
      <c r="BF36" s="576">
        <f t="shared" si="34"/>
        <v>1225761.0700000226</v>
      </c>
      <c r="BG36" s="576">
        <f t="shared" si="35"/>
        <v>239884000</v>
      </c>
      <c r="BH36" s="578">
        <f>AN36+BC36</f>
        <v>259893951.31999999</v>
      </c>
      <c r="BI36" s="578">
        <f>254963314.87+6156397.52</f>
        <v>261119712.39000002</v>
      </c>
      <c r="BJ36" s="578">
        <f t="shared" si="37"/>
        <v>21235712.390000015</v>
      </c>
      <c r="BK36" s="578">
        <f t="shared" si="38"/>
        <v>1225761.0700000226</v>
      </c>
      <c r="BL36" s="576">
        <v>79961333.332499996</v>
      </c>
      <c r="BM36" s="578">
        <f>'[67]Дир_по экон'!AW13</f>
        <v>87238111.129999995</v>
      </c>
      <c r="BN36" s="522">
        <f t="shared" ref="BN36:BN37" si="113">AL36-BI36</f>
        <v>99545985.590000004</v>
      </c>
      <c r="BO36" s="578">
        <f t="shared" si="48"/>
        <v>19584652.257500008</v>
      </c>
      <c r="BP36" s="578">
        <f t="shared" si="40"/>
        <v>12307874.460000008</v>
      </c>
      <c r="BQ36" s="576">
        <v>79961333.332499996</v>
      </c>
      <c r="BR36" s="578">
        <f>'[67]Дир_по экон'!BB13</f>
        <v>0</v>
      </c>
      <c r="BS36" s="578">
        <f>'[67]Дир_по экон'!BC13</f>
        <v>0</v>
      </c>
      <c r="BT36" s="536"/>
      <c r="BU36" s="522">
        <v>351339339.13</v>
      </c>
      <c r="BV36" s="522">
        <v>9326358.8499999996</v>
      </c>
      <c r="BW36" s="522"/>
      <c r="BX36" s="595"/>
      <c r="BY36" s="525">
        <f>346860927.37+3925654.22+9306892.61</f>
        <v>360093474.20000005</v>
      </c>
      <c r="BZ36" s="525">
        <f>434072.43+10359.2+19461.95</f>
        <v>463893.58</v>
      </c>
      <c r="CA36" s="525">
        <f>106415.5+1910.41+4.29</f>
        <v>108330.2</v>
      </c>
      <c r="CB36" s="522">
        <f t="shared" ref="CB36:CB37" si="114">SUM(BY36:CA36)</f>
        <v>360665697.98000002</v>
      </c>
      <c r="CC36" s="522">
        <f t="shared" si="44"/>
        <v>0</v>
      </c>
      <c r="CD36" s="578"/>
      <c r="CE36" s="578"/>
      <c r="CF36" s="578"/>
      <c r="CG36" s="578"/>
      <c r="CH36" s="578"/>
      <c r="CI36" s="578"/>
      <c r="CJ36" s="578"/>
      <c r="CK36" s="542" t="s">
        <v>77</v>
      </c>
      <c r="CL36" s="542" t="s">
        <v>1800</v>
      </c>
      <c r="CM36" s="510" t="s">
        <v>64</v>
      </c>
      <c r="CN36" s="528" t="s">
        <v>1849</v>
      </c>
      <c r="CO36" s="528"/>
      <c r="CP36" s="544">
        <f>U36*$CU$7/100</f>
        <v>295095845.45884097</v>
      </c>
      <c r="CQ36" s="544">
        <f>U36*$CU$8/100</f>
        <v>21675752.573976632</v>
      </c>
      <c r="CR36" s="544">
        <f>U36*$CU$9/100</f>
        <v>3073735.2996823764</v>
      </c>
      <c r="CS36" s="1709" t="s">
        <v>1826</v>
      </c>
      <c r="CT36" s="1710"/>
      <c r="CU36" s="1710"/>
      <c r="CV36" s="1710"/>
      <c r="CW36" s="1711"/>
      <c r="CX36" s="528"/>
      <c r="CY36" s="528"/>
      <c r="CZ36" s="528"/>
      <c r="DA36" s="528"/>
      <c r="DB36" s="579">
        <f>82993816.85+819757.13+2127050.58+44170.11</f>
        <v>85984794.669999987</v>
      </c>
      <c r="DD36" s="535">
        <f>254963314.87</f>
        <v>254963314.87</v>
      </c>
      <c r="DE36" s="535"/>
      <c r="DF36" s="525">
        <f t="shared" si="88"/>
        <v>360093.47420000006</v>
      </c>
      <c r="DG36" s="525">
        <f t="shared" si="88"/>
        <v>463.89358000000004</v>
      </c>
      <c r="DH36" s="525">
        <f t="shared" si="88"/>
        <v>108.33019999999999</v>
      </c>
      <c r="DI36" s="522">
        <f t="shared" si="88"/>
        <v>360665.69798</v>
      </c>
      <c r="DJ36" s="536"/>
      <c r="DK36" s="536"/>
      <c r="DL36" s="536"/>
      <c r="DM36" s="536"/>
      <c r="DN36" s="536"/>
      <c r="DO36" s="536"/>
      <c r="DP36" s="536"/>
      <c r="DQ36" s="536"/>
      <c r="DR36" s="536"/>
      <c r="DS36" s="536"/>
    </row>
    <row r="37" spans="1:123" s="534" customFormat="1" ht="36.75" customHeight="1">
      <c r="A37" s="537" t="s">
        <v>1850</v>
      </c>
      <c r="B37" s="538" t="s">
        <v>1851</v>
      </c>
      <c r="C37" s="576"/>
      <c r="D37" s="576"/>
      <c r="E37" s="576"/>
      <c r="F37" s="576">
        <v>114973.8</v>
      </c>
      <c r="G37" s="577">
        <v>0</v>
      </c>
      <c r="H37" s="577">
        <v>0</v>
      </c>
      <c r="I37" s="576">
        <f>J37+K37+L37</f>
        <v>114973.8</v>
      </c>
      <c r="J37" s="576">
        <v>57486.9</v>
      </c>
      <c r="K37" s="576">
        <v>28743.45</v>
      </c>
      <c r="L37" s="576">
        <v>28743.45</v>
      </c>
      <c r="M37" s="576">
        <f>J37+K37</f>
        <v>86230.35</v>
      </c>
      <c r="N37" s="576">
        <v>57486.96</v>
      </c>
      <c r="O37" s="525">
        <f>P37-N37</f>
        <v>0</v>
      </c>
      <c r="P37" s="522">
        <v>57486.96</v>
      </c>
      <c r="Q37" s="576">
        <f t="shared" si="12"/>
        <v>-57486.840000000004</v>
      </c>
      <c r="R37" s="576">
        <f t="shared" si="13"/>
        <v>-49.999947814197675</v>
      </c>
      <c r="S37" s="576">
        <v>111880</v>
      </c>
      <c r="T37" s="576">
        <v>111880</v>
      </c>
      <c r="U37" s="522">
        <f>AQ37+AS37+BB37+BL37</f>
        <v>0</v>
      </c>
      <c r="V37" s="522">
        <f t="shared" si="1"/>
        <v>-111880</v>
      </c>
      <c r="W37" s="522">
        <f t="shared" si="14"/>
        <v>-100</v>
      </c>
      <c r="X37" s="522">
        <f t="shared" si="15"/>
        <v>-57486.96</v>
      </c>
      <c r="Y37" s="522">
        <f t="shared" si="16"/>
        <v>-100</v>
      </c>
      <c r="Z37" s="524">
        <f t="shared" si="17"/>
        <v>0</v>
      </c>
      <c r="AA37" s="522">
        <f t="shared" si="18"/>
        <v>-111880</v>
      </c>
      <c r="AB37" s="522">
        <f t="shared" si="19"/>
        <v>-100</v>
      </c>
      <c r="AC37" s="522">
        <f t="shared" si="20"/>
        <v>0</v>
      </c>
      <c r="AD37" s="522">
        <v>0</v>
      </c>
      <c r="AE37" s="522">
        <f t="shared" si="22"/>
        <v>-57486.96</v>
      </c>
      <c r="AF37" s="522">
        <f t="shared" si="23"/>
        <v>-100</v>
      </c>
      <c r="AG37" s="522">
        <f t="shared" si="46"/>
        <v>0</v>
      </c>
      <c r="AH37" s="522">
        <f t="shared" si="24"/>
        <v>0</v>
      </c>
      <c r="AI37" s="522">
        <v>0</v>
      </c>
      <c r="AJ37" s="522">
        <f t="shared" si="26"/>
        <v>0</v>
      </c>
      <c r="AK37" s="522">
        <v>0</v>
      </c>
      <c r="AL37" s="522">
        <f t="shared" si="112"/>
        <v>0</v>
      </c>
      <c r="AM37" s="522">
        <f t="shared" si="72"/>
        <v>0</v>
      </c>
      <c r="AN37" s="522">
        <f t="shared" si="72"/>
        <v>0</v>
      </c>
      <c r="AO37" s="522">
        <f t="shared" si="27"/>
        <v>0</v>
      </c>
      <c r="AP37" s="522">
        <v>0</v>
      </c>
      <c r="AQ37" s="578">
        <v>0</v>
      </c>
      <c r="AR37" s="578">
        <v>0</v>
      </c>
      <c r="AS37" s="578">
        <v>0</v>
      </c>
      <c r="AT37" s="578">
        <v>0</v>
      </c>
      <c r="AU37" s="578">
        <f t="shared" si="79"/>
        <v>0</v>
      </c>
      <c r="AV37" s="578">
        <f t="shared" si="79"/>
        <v>0</v>
      </c>
      <c r="AW37" s="578">
        <f t="shared" si="28"/>
        <v>0</v>
      </c>
      <c r="AX37" s="578">
        <v>0</v>
      </c>
      <c r="AY37" s="578">
        <f t="shared" si="82"/>
        <v>0</v>
      </c>
      <c r="AZ37" s="578">
        <f t="shared" si="30"/>
        <v>0</v>
      </c>
      <c r="BA37" s="578">
        <v>0</v>
      </c>
      <c r="BB37" s="578">
        <v>0</v>
      </c>
      <c r="BC37" s="576">
        <f>'[67]Дир_по экон'!AT14</f>
        <v>0</v>
      </c>
      <c r="BD37" s="576">
        <f>BI37-AN37</f>
        <v>0</v>
      </c>
      <c r="BE37" s="576">
        <f t="shared" si="33"/>
        <v>0</v>
      </c>
      <c r="BF37" s="576">
        <f t="shared" si="34"/>
        <v>0</v>
      </c>
      <c r="BG37" s="576">
        <f t="shared" si="35"/>
        <v>0</v>
      </c>
      <c r="BH37" s="578">
        <f>AN37+BC37</f>
        <v>0</v>
      </c>
      <c r="BI37" s="578"/>
      <c r="BJ37" s="578">
        <f t="shared" si="37"/>
        <v>0</v>
      </c>
      <c r="BK37" s="578">
        <f t="shared" si="38"/>
        <v>0</v>
      </c>
      <c r="BL37" s="576">
        <v>0</v>
      </c>
      <c r="BM37" s="578">
        <f>'[67]Дир_по экон'!AW14</f>
        <v>0</v>
      </c>
      <c r="BN37" s="522">
        <f t="shared" si="113"/>
        <v>0</v>
      </c>
      <c r="BO37" s="578">
        <f t="shared" si="48"/>
        <v>0</v>
      </c>
      <c r="BP37" s="578">
        <f t="shared" si="40"/>
        <v>0</v>
      </c>
      <c r="BQ37" s="576">
        <v>0</v>
      </c>
      <c r="BR37" s="578">
        <f>'[67]Дир_по экон'!BB14</f>
        <v>0</v>
      </c>
      <c r="BS37" s="578">
        <f>'[67]Дир_по экон'!BC14</f>
        <v>0</v>
      </c>
      <c r="BT37" s="536"/>
      <c r="BU37" s="522">
        <v>0</v>
      </c>
      <c r="BV37" s="522">
        <v>0</v>
      </c>
      <c r="BW37" s="522"/>
      <c r="BX37" s="595"/>
      <c r="BY37" s="522"/>
      <c r="BZ37" s="522"/>
      <c r="CA37" s="522"/>
      <c r="CB37" s="522">
        <f t="shared" si="114"/>
        <v>0</v>
      </c>
      <c r="CC37" s="522">
        <f t="shared" si="44"/>
        <v>0</v>
      </c>
      <c r="CD37" s="578"/>
      <c r="CE37" s="578"/>
      <c r="CF37" s="578"/>
      <c r="CG37" s="578"/>
      <c r="CH37" s="578"/>
      <c r="CI37" s="578"/>
      <c r="CJ37" s="578"/>
      <c r="CK37" s="542" t="s">
        <v>77</v>
      </c>
      <c r="CL37" s="542" t="s">
        <v>1800</v>
      </c>
      <c r="CM37" s="510" t="s">
        <v>64</v>
      </c>
      <c r="CN37" s="528" t="s">
        <v>1849</v>
      </c>
      <c r="CO37" s="528"/>
      <c r="CP37" s="544">
        <f>U37*$CU$7/100</f>
        <v>0</v>
      </c>
      <c r="CQ37" s="544">
        <f>U37*$CU$8/100</f>
        <v>0</v>
      </c>
      <c r="CR37" s="544">
        <f>U37*$CU$9/100</f>
        <v>0</v>
      </c>
      <c r="CS37" s="1709" t="s">
        <v>1826</v>
      </c>
      <c r="CT37" s="1710"/>
      <c r="CU37" s="1710"/>
      <c r="CV37" s="1710"/>
      <c r="CW37" s="1711"/>
      <c r="CX37" s="528"/>
      <c r="CY37" s="528"/>
      <c r="CZ37" s="528"/>
      <c r="DA37" s="528"/>
      <c r="DB37" s="579"/>
      <c r="DD37" s="535"/>
      <c r="DE37" s="535"/>
      <c r="DF37" s="522">
        <f t="shared" si="88"/>
        <v>0</v>
      </c>
      <c r="DG37" s="522">
        <f t="shared" si="88"/>
        <v>0</v>
      </c>
      <c r="DH37" s="522">
        <f t="shared" si="88"/>
        <v>0</v>
      </c>
      <c r="DI37" s="522">
        <f t="shared" si="88"/>
        <v>0</v>
      </c>
      <c r="DJ37" s="536"/>
      <c r="DK37" s="536"/>
      <c r="DL37" s="536"/>
      <c r="DM37" s="536"/>
      <c r="DN37" s="536"/>
      <c r="DO37" s="536"/>
      <c r="DP37" s="536"/>
      <c r="DQ37" s="536"/>
      <c r="DR37" s="536"/>
      <c r="DS37" s="536"/>
    </row>
    <row r="38" spans="1:123" ht="55.2">
      <c r="A38" s="505" t="s">
        <v>1852</v>
      </c>
      <c r="B38" s="506" t="s">
        <v>1853</v>
      </c>
      <c r="C38" s="580">
        <f>SUM(C39:C54)</f>
        <v>1035169590.8299999</v>
      </c>
      <c r="D38" s="580">
        <f t="shared" ref="D38:N38" si="115">SUM(D39:D54)</f>
        <v>1102317893.3199999</v>
      </c>
      <c r="E38" s="594">
        <f t="shared" si="115"/>
        <v>1185806552</v>
      </c>
      <c r="F38" s="580">
        <f t="shared" si="115"/>
        <v>1202019227.4000001</v>
      </c>
      <c r="G38" s="580">
        <f t="shared" si="115"/>
        <v>1105013224.6325636</v>
      </c>
      <c r="H38" s="580">
        <f t="shared" si="115"/>
        <v>0</v>
      </c>
      <c r="I38" s="580">
        <f t="shared" si="115"/>
        <v>1259136300.74</v>
      </c>
      <c r="J38" s="580">
        <f>SUM(J39:J54)</f>
        <v>646574147.71000004</v>
      </c>
      <c r="K38" s="580">
        <f t="shared" si="115"/>
        <v>309419623.97000003</v>
      </c>
      <c r="L38" s="580">
        <f t="shared" si="115"/>
        <v>303142529.06</v>
      </c>
      <c r="M38" s="580">
        <f t="shared" si="115"/>
        <v>955993771.67999995</v>
      </c>
      <c r="N38" s="580">
        <f t="shared" si="115"/>
        <v>929040241.12999988</v>
      </c>
      <c r="O38" s="580">
        <f>SUM(O39:O55)</f>
        <v>279024739.85000008</v>
      </c>
      <c r="P38" s="580">
        <f>SUM(P39:P55)</f>
        <v>1208064980.98</v>
      </c>
      <c r="Q38" s="580">
        <f t="shared" si="12"/>
        <v>-51071319.75999999</v>
      </c>
      <c r="R38" s="580">
        <f t="shared" si="13"/>
        <v>-4.0560596759846561</v>
      </c>
      <c r="S38" s="580">
        <f>SUM(S39:S55)</f>
        <v>1193753477.0388</v>
      </c>
      <c r="T38" s="580">
        <f>SUM(T39:T55)</f>
        <v>1268136781.5015049</v>
      </c>
      <c r="U38" s="580">
        <f>SUM(U39:U55)</f>
        <v>1294515298.7345521</v>
      </c>
      <c r="V38" s="580">
        <f t="shared" si="1"/>
        <v>26378517.233047247</v>
      </c>
      <c r="W38" s="580">
        <f t="shared" si="14"/>
        <v>2.0801003186591913</v>
      </c>
      <c r="X38" s="580">
        <f t="shared" si="15"/>
        <v>86450317.754552126</v>
      </c>
      <c r="Y38" s="580">
        <f t="shared" si="16"/>
        <v>7.1560983155411435</v>
      </c>
      <c r="Z38" s="580">
        <f t="shared" si="17"/>
        <v>1307994142.604836</v>
      </c>
      <c r="AA38" s="580">
        <f t="shared" si="18"/>
        <v>39857361.103331089</v>
      </c>
      <c r="AB38" s="580">
        <f t="shared" si="19"/>
        <v>3.1429859684488406</v>
      </c>
      <c r="AC38" s="580">
        <f t="shared" si="20"/>
        <v>13478843.870283842</v>
      </c>
      <c r="AD38" s="580">
        <f t="shared" si="21"/>
        <v>1.0412270819402494</v>
      </c>
      <c r="AE38" s="580">
        <f t="shared" si="22"/>
        <v>99929161.624835968</v>
      </c>
      <c r="AF38" s="580">
        <f t="shared" si="23"/>
        <v>8.2718366311530787</v>
      </c>
      <c r="AG38" s="580">
        <f t="shared" si="46"/>
        <v>1289373007.763</v>
      </c>
      <c r="AH38" s="580">
        <f t="shared" si="24"/>
        <v>-5142290.9715521336</v>
      </c>
      <c r="AI38" s="580">
        <f t="shared" si="25"/>
        <v>-0.39723678635384374</v>
      </c>
      <c r="AJ38" s="580">
        <f t="shared" si="26"/>
        <v>-18621134.841835976</v>
      </c>
      <c r="AK38" s="580">
        <f t="shared" ref="AK38:AK46" si="116">AG38/Z38*100-100</f>
        <v>-1.4236405374685006</v>
      </c>
      <c r="AL38" s="580">
        <f>SUM(AL39:AL55)</f>
        <v>1289373007.763</v>
      </c>
      <c r="AM38" s="580">
        <f t="shared" si="72"/>
        <v>692929064.15600729</v>
      </c>
      <c r="AN38" s="580">
        <f t="shared" si="72"/>
        <v>595833251.98000002</v>
      </c>
      <c r="AO38" s="580">
        <f t="shared" si="27"/>
        <v>-97095812.176007271</v>
      </c>
      <c r="AP38" s="580">
        <f t="shared" si="47"/>
        <v>-14.012374021902332</v>
      </c>
      <c r="AQ38" s="580">
        <f>SUM(AQ39:AQ55)</f>
        <v>295742443.06259167</v>
      </c>
      <c r="AR38" s="580">
        <f>SUM(AR39:AR55)</f>
        <v>291984906</v>
      </c>
      <c r="AS38" s="580">
        <f>SUM(AS39:AS55)</f>
        <v>397186621.09341568</v>
      </c>
      <c r="AT38" s="580">
        <f>SUM(AT39:AT55)</f>
        <v>303848345.98000002</v>
      </c>
      <c r="AU38" s="580">
        <f t="shared" si="79"/>
        <v>601586234.57854486</v>
      </c>
      <c r="AV38" s="580">
        <f t="shared" si="79"/>
        <v>712160890.62483585</v>
      </c>
      <c r="AW38" s="580">
        <f t="shared" si="28"/>
        <v>110574656.04629099</v>
      </c>
      <c r="AX38" s="580">
        <f t="shared" si="29"/>
        <v>18.380516323442237</v>
      </c>
      <c r="AY38" s="580">
        <f t="shared" si="82"/>
        <v>693539755.78299999</v>
      </c>
      <c r="AZ38" s="580">
        <f t="shared" si="30"/>
        <v>18621134.841835856</v>
      </c>
      <c r="BA38" s="580">
        <f t="shared" si="31"/>
        <v>2.6849412289008114</v>
      </c>
      <c r="BB38" s="580">
        <f t="shared" ref="BB38:BN38" si="117">SUM(BB39:BB55)</f>
        <v>308275869.30323833</v>
      </c>
      <c r="BC38" s="580">
        <f t="shared" si="117"/>
        <v>388834560.39819336</v>
      </c>
      <c r="BD38" s="580">
        <f t="shared" si="117"/>
        <v>346303954.16000003</v>
      </c>
      <c r="BE38" s="580">
        <f t="shared" si="33"/>
        <v>38028084.856761694</v>
      </c>
      <c r="BF38" s="580">
        <f t="shared" si="34"/>
        <v>-42530606.238193333</v>
      </c>
      <c r="BG38" s="580">
        <f t="shared" si="35"/>
        <v>1001204933.4592457</v>
      </c>
      <c r="BH38" s="580">
        <f t="shared" ref="BH38:BI38" si="118">SUM(BH39:BH55)</f>
        <v>984667812.37819314</v>
      </c>
      <c r="BI38" s="580">
        <f t="shared" si="118"/>
        <v>942137206.1400001</v>
      </c>
      <c r="BJ38" s="580">
        <f t="shared" si="37"/>
        <v>-59067727.319245577</v>
      </c>
      <c r="BK38" s="580">
        <f t="shared" si="38"/>
        <v>-42530606.238193035</v>
      </c>
      <c r="BL38" s="580">
        <f t="shared" si="117"/>
        <v>293310365.27530646</v>
      </c>
      <c r="BM38" s="580">
        <f t="shared" si="117"/>
        <v>323326330.22664249</v>
      </c>
      <c r="BN38" s="580">
        <f t="shared" si="117"/>
        <v>347235801.62299997</v>
      </c>
      <c r="BO38" s="580">
        <f t="shared" si="48"/>
        <v>53925436.347693503</v>
      </c>
      <c r="BP38" s="580">
        <f t="shared" si="40"/>
        <v>23909471.396357477</v>
      </c>
      <c r="BQ38" s="580">
        <f t="shared" ref="BQ38:BS38" si="119">SUM(BQ39:BQ55)</f>
        <v>293310365.27530646</v>
      </c>
      <c r="BR38" s="580">
        <f t="shared" si="119"/>
        <v>0</v>
      </c>
      <c r="BS38" s="580">
        <f t="shared" si="119"/>
        <v>0</v>
      </c>
      <c r="BU38" s="580">
        <f>SUM(BU39:BU55)</f>
        <v>1107460010.5799999</v>
      </c>
      <c r="BV38" s="580">
        <f t="shared" ref="BV38:BW38" si="120">SUM(BV39:BV55)</f>
        <v>181912997.18300003</v>
      </c>
      <c r="BW38" s="580">
        <f t="shared" si="120"/>
        <v>0</v>
      </c>
      <c r="BX38" s="581"/>
      <c r="BY38" s="580">
        <f t="shared" ref="BY38:CB38" si="121">SUM(BY39:BY55)</f>
        <v>1214687458.04</v>
      </c>
      <c r="BZ38" s="580">
        <f t="shared" si="121"/>
        <v>48581510.820000008</v>
      </c>
      <c r="CA38" s="580">
        <f t="shared" si="121"/>
        <v>26104038.900000002</v>
      </c>
      <c r="CB38" s="580">
        <f t="shared" si="121"/>
        <v>1289373007.76</v>
      </c>
      <c r="CC38" s="580">
        <f t="shared" si="44"/>
        <v>3.0000209808349609E-3</v>
      </c>
      <c r="CD38" s="580"/>
      <c r="CE38" s="580"/>
      <c r="CF38" s="580"/>
      <c r="CG38" s="580"/>
      <c r="CH38" s="580"/>
      <c r="CI38" s="580"/>
      <c r="CJ38" s="580"/>
      <c r="CK38" s="508"/>
      <c r="CL38" s="508"/>
      <c r="CM38" s="510"/>
      <c r="CN38" s="510"/>
      <c r="CO38" s="510"/>
      <c r="CP38" s="582">
        <f>SUM(CP39:CP55)</f>
        <v>1194346287.8114176</v>
      </c>
      <c r="CQ38" s="582">
        <f>SUM(CQ39:CQ55)</f>
        <v>87728631.292637408</v>
      </c>
      <c r="CR38" s="582">
        <f>SUM(CR39:CR55)</f>
        <v>12440379.630497359</v>
      </c>
      <c r="CS38" s="1715"/>
      <c r="CT38" s="1716"/>
      <c r="CU38" s="1716"/>
      <c r="CV38" s="1716"/>
      <c r="CW38" s="1717"/>
      <c r="CX38" s="510"/>
      <c r="CY38" s="510"/>
      <c r="CZ38" s="510"/>
      <c r="DA38" s="510"/>
      <c r="DB38" s="582">
        <f>SUM(DB39:DB55)</f>
        <v>291984906</v>
      </c>
      <c r="DD38" s="517"/>
      <c r="DE38" s="517"/>
      <c r="DF38" s="580">
        <f t="shared" si="88"/>
        <v>1214687.4580399999</v>
      </c>
      <c r="DG38" s="580">
        <f t="shared" si="88"/>
        <v>48581.51082000001</v>
      </c>
      <c r="DH38" s="580">
        <f t="shared" si="88"/>
        <v>26104.038900000003</v>
      </c>
      <c r="DI38" s="580">
        <f t="shared" si="88"/>
        <v>1289373.0077599999</v>
      </c>
    </row>
    <row r="39" spans="1:123" s="534" customFormat="1" ht="94.5" customHeight="1">
      <c r="A39" s="537" t="s">
        <v>1854</v>
      </c>
      <c r="B39" s="521" t="s">
        <v>1855</v>
      </c>
      <c r="C39" s="525">
        <f>456549794.94+2847543</f>
        <v>459397337.94</v>
      </c>
      <c r="D39" s="576">
        <v>835837327.39999998</v>
      </c>
      <c r="E39" s="525">
        <v>504643428</v>
      </c>
      <c r="F39" s="525">
        <f>423426659.64+3220000.91</f>
        <v>426646660.55000001</v>
      </c>
      <c r="G39" s="596">
        <v>837905097.40024161</v>
      </c>
      <c r="H39" s="596">
        <v>0</v>
      </c>
      <c r="I39" s="525">
        <f t="shared" ref="I39:I55" si="122">J39+K39+L39</f>
        <v>491930643.84000003</v>
      </c>
      <c r="J39" s="525">
        <v>226775540.21000001</v>
      </c>
      <c r="K39" s="525">
        <v>132366208.38</v>
      </c>
      <c r="L39" s="525">
        <v>132788895.25</v>
      </c>
      <c r="M39" s="525">
        <f t="shared" ref="M39:M55" si="123">J39+K39</f>
        <v>359141748.59000003</v>
      </c>
      <c r="N39" s="525">
        <v>329949530.39999998</v>
      </c>
      <c r="O39" s="525">
        <f t="shared" ref="O39:O55" si="124">P39-N39</f>
        <v>115659713.66000003</v>
      </c>
      <c r="P39" s="522">
        <f>55624316.67+389984927.39</f>
        <v>445609244.06</v>
      </c>
      <c r="Q39" s="525">
        <f t="shared" si="12"/>
        <v>-46321399.780000031</v>
      </c>
      <c r="R39" s="525">
        <f t="shared" si="13"/>
        <v>-9.4162460420062786</v>
      </c>
      <c r="S39" s="525">
        <f>905435.06595*1000</f>
        <v>905435065.94999993</v>
      </c>
      <c r="T39" s="525">
        <v>962477477.34777987</v>
      </c>
      <c r="U39" s="522">
        <f t="shared" ref="U39:U55" si="125">AQ39+AS39+BB39+BL39</f>
        <v>529898435.92946392</v>
      </c>
      <c r="V39" s="522">
        <f t="shared" si="1"/>
        <v>-432579041.41831595</v>
      </c>
      <c r="W39" s="522">
        <f t="shared" si="14"/>
        <v>-44.944328734874759</v>
      </c>
      <c r="X39" s="522">
        <f t="shared" si="15"/>
        <v>84289191.869463921</v>
      </c>
      <c r="Y39" s="522">
        <f t="shared" si="16"/>
        <v>18.91549445911285</v>
      </c>
      <c r="Z39" s="524">
        <f t="shared" si="17"/>
        <v>528554712.63999999</v>
      </c>
      <c r="AA39" s="522">
        <f t="shared" si="18"/>
        <v>-433922764.70777988</v>
      </c>
      <c r="AB39" s="522">
        <f t="shared" si="19"/>
        <v>-45.083939616281221</v>
      </c>
      <c r="AC39" s="522">
        <f t="shared" si="20"/>
        <v>-1343723.2894639373</v>
      </c>
      <c r="AD39" s="522">
        <f t="shared" si="21"/>
        <v>-0.25358128998946938</v>
      </c>
      <c r="AE39" s="522">
        <f t="shared" si="22"/>
        <v>82945468.579999983</v>
      </c>
      <c r="AF39" s="522">
        <f t="shared" si="23"/>
        <v>18.61394701426606</v>
      </c>
      <c r="AG39" s="522">
        <f t="shared" si="46"/>
        <v>479574758.44999999</v>
      </c>
      <c r="AH39" s="522">
        <f t="shared" si="24"/>
        <v>-50323677.479463935</v>
      </c>
      <c r="AI39" s="522">
        <f t="shared" si="25"/>
        <v>-9.4968533717587036</v>
      </c>
      <c r="AJ39" s="522">
        <f t="shared" si="26"/>
        <v>-48979954.189999998</v>
      </c>
      <c r="AK39" s="522">
        <f t="shared" si="116"/>
        <v>-9.2667708789043246</v>
      </c>
      <c r="AL39" s="522">
        <f t="shared" ref="AL39:AL55" si="126">SUM(BU39:BV39)</f>
        <v>479574758.44999999</v>
      </c>
      <c r="AM39" s="522">
        <f t="shared" si="72"/>
        <v>264949217.96473196</v>
      </c>
      <c r="AN39" s="522">
        <f t="shared" si="72"/>
        <v>239957237.38</v>
      </c>
      <c r="AO39" s="522">
        <f t="shared" si="27"/>
        <v>-24991980.584731966</v>
      </c>
      <c r="AP39" s="522">
        <f t="shared" si="47"/>
        <v>-9.4327436694146911</v>
      </c>
      <c r="AQ39" s="522">
        <f>132474.608982366*1000</f>
        <v>132474608.98236598</v>
      </c>
      <c r="AR39" s="522">
        <v>122480010.83999999</v>
      </c>
      <c r="AS39" s="522">
        <f>132474.608982366*1000</f>
        <v>132474608.98236598</v>
      </c>
      <c r="AT39" s="522">
        <v>117477226.54000001</v>
      </c>
      <c r="AU39" s="522">
        <f t="shared" si="79"/>
        <v>264949217.96473196</v>
      </c>
      <c r="AV39" s="522">
        <f t="shared" si="79"/>
        <v>288597475.25999999</v>
      </c>
      <c r="AW39" s="522">
        <f t="shared" si="28"/>
        <v>23648257.295268029</v>
      </c>
      <c r="AX39" s="522">
        <f t="shared" si="29"/>
        <v>8.9255810894357523</v>
      </c>
      <c r="AY39" s="522">
        <f t="shared" si="82"/>
        <v>239617521.06999999</v>
      </c>
      <c r="AZ39" s="522">
        <f t="shared" si="30"/>
        <v>48979954.189999998</v>
      </c>
      <c r="BA39" s="522">
        <f t="shared" si="31"/>
        <v>20.440890119922145</v>
      </c>
      <c r="BB39" s="522">
        <f>132474.608982366*1000</f>
        <v>132474608.98236598</v>
      </c>
      <c r="BC39" s="525">
        <f>'[67]Дир_по экон'!AT53</f>
        <v>144215550.32999998</v>
      </c>
      <c r="BD39" s="525">
        <f t="shared" ref="BD39:BD55" si="127">BI39-AN39</f>
        <v>113025051.54000002</v>
      </c>
      <c r="BE39" s="525">
        <f t="shared" si="33"/>
        <v>-19449557.442365959</v>
      </c>
      <c r="BF39" s="525">
        <f t="shared" si="34"/>
        <v>-31190498.789999962</v>
      </c>
      <c r="BG39" s="525">
        <f t="shared" si="35"/>
        <v>397423826.94709796</v>
      </c>
      <c r="BH39" s="522">
        <f t="shared" si="35"/>
        <v>384172787.70999998</v>
      </c>
      <c r="BI39" s="522">
        <f>305633538.63+47348750.29</f>
        <v>352982288.92000002</v>
      </c>
      <c r="BJ39" s="522">
        <f t="shared" si="37"/>
        <v>-44441538.02709794</v>
      </c>
      <c r="BK39" s="522">
        <f t="shared" si="38"/>
        <v>-31190498.789999962</v>
      </c>
      <c r="BL39" s="525">
        <f>132474.608982366*1000</f>
        <v>132474608.98236598</v>
      </c>
      <c r="BM39" s="522">
        <f>'[67]Дир_по экон'!AW53</f>
        <v>144381924.93000004</v>
      </c>
      <c r="BN39" s="522">
        <f t="shared" ref="BN39:BN55" si="128">AL39-BI39</f>
        <v>126592469.52999997</v>
      </c>
      <c r="BO39" s="522">
        <f t="shared" si="48"/>
        <v>-5882139.4523660094</v>
      </c>
      <c r="BP39" s="522">
        <f t="shared" si="40"/>
        <v>-17789455.400000066</v>
      </c>
      <c r="BQ39" s="525">
        <f>132474.608982366*1000</f>
        <v>132474608.98236598</v>
      </c>
      <c r="BR39" s="522">
        <f>'[67]Дир_по экон'!BB53</f>
        <v>0</v>
      </c>
      <c r="BS39" s="522">
        <f>'[67]Дир_по экон'!BC53</f>
        <v>0</v>
      </c>
      <c r="BT39" s="536"/>
      <c r="BU39" s="522">
        <v>413864540.69</v>
      </c>
      <c r="BV39" s="522">
        <v>65710217.759999998</v>
      </c>
      <c r="BW39" s="522"/>
      <c r="BX39" s="574"/>
      <c r="BY39" s="522">
        <f>389328390.23+65710217.76</f>
        <v>455038607.99000001</v>
      </c>
      <c r="BZ39" s="522">
        <v>19159011.879999999</v>
      </c>
      <c r="CA39" s="522">
        <v>5377138.5800000001</v>
      </c>
      <c r="CB39" s="522">
        <f>SUM(BY39:CA39)</f>
        <v>479574758.44999999</v>
      </c>
      <c r="CC39" s="522">
        <f t="shared" si="44"/>
        <v>0</v>
      </c>
      <c r="CD39" s="522"/>
      <c r="CE39" s="522"/>
      <c r="CF39" s="522"/>
      <c r="CG39" s="522"/>
      <c r="CH39" s="522"/>
      <c r="CI39" s="522"/>
      <c r="CJ39" s="522"/>
      <c r="CK39" s="543" t="s">
        <v>77</v>
      </c>
      <c r="CL39" s="543" t="s">
        <v>1856</v>
      </c>
      <c r="CM39" s="528" t="s">
        <v>1857</v>
      </c>
      <c r="CN39" s="528" t="s">
        <v>1849</v>
      </c>
      <c r="CO39" s="528"/>
      <c r="CP39" s="544">
        <f t="shared" ref="CP39:CP55" si="129">U39*$CU$7/100</f>
        <v>488895133.55933511</v>
      </c>
      <c r="CQ39" s="544">
        <f t="shared" ref="CQ39:CQ55" si="130">U39*$CU$8/100</f>
        <v>35910942.538604684</v>
      </c>
      <c r="CR39" s="544">
        <f t="shared" ref="CR39:CR55" si="131">U39*$CU$9/100</f>
        <v>5092359.8315241439</v>
      </c>
      <c r="CS39" s="1709" t="s">
        <v>1826</v>
      </c>
      <c r="CT39" s="1710"/>
      <c r="CU39" s="1710"/>
      <c r="CV39" s="1710"/>
      <c r="CW39" s="1711"/>
      <c r="CX39" s="528"/>
      <c r="CY39" s="528"/>
      <c r="CZ39" s="528"/>
      <c r="DA39" s="528"/>
      <c r="DB39" s="544">
        <f>107265669.85+15214340.99</f>
        <v>122480010.83999999</v>
      </c>
      <c r="DD39" s="535"/>
      <c r="DE39" s="535"/>
      <c r="DF39" s="522">
        <f t="shared" si="88"/>
        <v>455038.60798999999</v>
      </c>
      <c r="DG39" s="522">
        <f t="shared" si="88"/>
        <v>19159.011879999998</v>
      </c>
      <c r="DH39" s="522">
        <f t="shared" si="88"/>
        <v>5377.1385799999998</v>
      </c>
      <c r="DI39" s="522">
        <f t="shared" si="88"/>
        <v>479574.75844999996</v>
      </c>
      <c r="DJ39" s="597">
        <f>DI39+DI40+DI41+DI42+DI43+DI44+DI45+DI46+DI47+DI48+DI49+DI50+DI51</f>
        <v>996568.79250999982</v>
      </c>
      <c r="DK39" s="536"/>
      <c r="DL39" s="536"/>
      <c r="DM39" s="536"/>
      <c r="DN39" s="536"/>
      <c r="DO39" s="536"/>
      <c r="DP39" s="536"/>
      <c r="DQ39" s="536"/>
      <c r="DR39" s="536"/>
      <c r="DS39" s="536"/>
    </row>
    <row r="40" spans="1:123" s="534" customFormat="1">
      <c r="A40" s="537" t="s">
        <v>1858</v>
      </c>
      <c r="B40" s="521" t="s">
        <v>1859</v>
      </c>
      <c r="C40" s="525">
        <v>230897337.09999999</v>
      </c>
      <c r="D40" s="576"/>
      <c r="E40" s="525">
        <f>274106384+13825671</f>
        <v>287932055</v>
      </c>
      <c r="F40" s="525">
        <v>290034687.00999999</v>
      </c>
      <c r="G40" s="596">
        <v>0</v>
      </c>
      <c r="H40" s="596">
        <v>0</v>
      </c>
      <c r="I40" s="525">
        <f t="shared" si="122"/>
        <v>327120590.90999997</v>
      </c>
      <c r="J40" s="525">
        <v>169267544.94</v>
      </c>
      <c r="K40" s="525">
        <v>79298564.590000004</v>
      </c>
      <c r="L40" s="525">
        <v>78554481.379999995</v>
      </c>
      <c r="M40" s="525">
        <f t="shared" si="123"/>
        <v>248566109.53</v>
      </c>
      <c r="N40" s="525">
        <v>231034467.18000001</v>
      </c>
      <c r="O40" s="525">
        <f t="shared" si="124"/>
        <v>69621733.360000014</v>
      </c>
      <c r="P40" s="522">
        <f>37105253.13+263550947.41</f>
        <v>300656200.54000002</v>
      </c>
      <c r="Q40" s="525">
        <f t="shared" si="12"/>
        <v>-26464390.369999945</v>
      </c>
      <c r="R40" s="525">
        <f t="shared" si="13"/>
        <v>-8.0901022758549175</v>
      </c>
      <c r="S40" s="525"/>
      <c r="T40" s="525"/>
      <c r="U40" s="522">
        <f t="shared" si="125"/>
        <v>370394224.91100824</v>
      </c>
      <c r="V40" s="522">
        <f t="shared" si="1"/>
        <v>370394224.91100824</v>
      </c>
      <c r="W40" s="522">
        <v>0</v>
      </c>
      <c r="X40" s="522">
        <f t="shared" si="15"/>
        <v>69738024.371008217</v>
      </c>
      <c r="Y40" s="522">
        <f t="shared" si="16"/>
        <v>23.195272289662981</v>
      </c>
      <c r="Z40" s="524">
        <f t="shared" si="17"/>
        <v>342865763.95866793</v>
      </c>
      <c r="AA40" s="522">
        <f t="shared" si="18"/>
        <v>342865763.95866793</v>
      </c>
      <c r="AB40" s="522">
        <v>0</v>
      </c>
      <c r="AC40" s="522">
        <f t="shared" si="20"/>
        <v>-27528460.952340305</v>
      </c>
      <c r="AD40" s="522">
        <f t="shared" si="21"/>
        <v>-7.4322057691246073</v>
      </c>
      <c r="AE40" s="522">
        <f t="shared" si="22"/>
        <v>42209563.418667912</v>
      </c>
      <c r="AF40" s="522">
        <f t="shared" si="23"/>
        <v>14.039146155261889</v>
      </c>
      <c r="AG40" s="522">
        <f t="shared" si="46"/>
        <v>339484454.60000002</v>
      </c>
      <c r="AH40" s="522">
        <f t="shared" si="24"/>
        <v>-30909770.311008215</v>
      </c>
      <c r="AI40" s="522">
        <f t="shared" si="25"/>
        <v>-8.3451004989169775</v>
      </c>
      <c r="AJ40" s="522">
        <f t="shared" si="26"/>
        <v>-3381309.3586679101</v>
      </c>
      <c r="AK40" s="522">
        <f t="shared" si="116"/>
        <v>-0.98619043197194856</v>
      </c>
      <c r="AL40" s="522">
        <f t="shared" si="126"/>
        <v>339484454.60000002</v>
      </c>
      <c r="AM40" s="522">
        <f t="shared" si="72"/>
        <v>216940479.52645022</v>
      </c>
      <c r="AN40" s="522">
        <f t="shared" si="72"/>
        <v>134096166.7</v>
      </c>
      <c r="AO40" s="522">
        <f t="shared" si="27"/>
        <v>-82844312.826450214</v>
      </c>
      <c r="AP40" s="522">
        <f t="shared" si="47"/>
        <v>-38.187577075190113</v>
      </c>
      <c r="AQ40" s="522">
        <f>74667.8653600632*1000</f>
        <v>74667865.360063195</v>
      </c>
      <c r="AR40" s="522">
        <v>64990707.640000001</v>
      </c>
      <c r="AS40" s="522">
        <f>142272.614166387*1000</f>
        <v>142272614.16638702</v>
      </c>
      <c r="AT40" s="522">
        <v>69105459.060000002</v>
      </c>
      <c r="AU40" s="522">
        <f t="shared" si="79"/>
        <v>153453745.38455802</v>
      </c>
      <c r="AV40" s="522">
        <f t="shared" si="79"/>
        <v>208769597.25866792</v>
      </c>
      <c r="AW40" s="522">
        <f t="shared" si="28"/>
        <v>55315851.874109894</v>
      </c>
      <c r="AX40" s="522">
        <f t="shared" si="29"/>
        <v>36.047247811050369</v>
      </c>
      <c r="AY40" s="522">
        <f t="shared" si="82"/>
        <v>205388287.90000004</v>
      </c>
      <c r="AZ40" s="522">
        <f t="shared" si="30"/>
        <v>3381309.3586678803</v>
      </c>
      <c r="BA40" s="522">
        <f t="shared" si="31"/>
        <v>1.6463009615787882</v>
      </c>
      <c r="BB40" s="522">
        <f>76838.6715930871*1000</f>
        <v>76838671.593087107</v>
      </c>
      <c r="BC40" s="525">
        <f>'[67]Дир_по экон'!AT54</f>
        <v>123248669.15050791</v>
      </c>
      <c r="BD40" s="525">
        <f t="shared" si="127"/>
        <v>102056632.01000001</v>
      </c>
      <c r="BE40" s="525">
        <f t="shared" si="33"/>
        <v>25217960.416912898</v>
      </c>
      <c r="BF40" s="525">
        <f t="shared" si="34"/>
        <v>-21192037.140507907</v>
      </c>
      <c r="BG40" s="525">
        <f t="shared" si="35"/>
        <v>293779151.11953735</v>
      </c>
      <c r="BH40" s="522">
        <f t="shared" si="35"/>
        <v>257344835.85050792</v>
      </c>
      <c r="BI40" s="522">
        <f>205611529.4+30541269.31</f>
        <v>236152798.71000001</v>
      </c>
      <c r="BJ40" s="522">
        <f t="shared" si="37"/>
        <v>-57626352.409537345</v>
      </c>
      <c r="BK40" s="522">
        <f t="shared" si="38"/>
        <v>-21192037.140507907</v>
      </c>
      <c r="BL40" s="525">
        <f>76615.0737914709*1000</f>
        <v>76615073.7914709</v>
      </c>
      <c r="BM40" s="522">
        <f>'[67]Дир_по экон'!AW54</f>
        <v>85520928.108160004</v>
      </c>
      <c r="BN40" s="522">
        <f t="shared" si="128"/>
        <v>103331655.89000002</v>
      </c>
      <c r="BO40" s="522">
        <f t="shared" si="48"/>
        <v>26716582.098529115</v>
      </c>
      <c r="BP40" s="522">
        <f t="shared" si="40"/>
        <v>17810727.781840011</v>
      </c>
      <c r="BQ40" s="525">
        <f>76615.0737914709*1000</f>
        <v>76615073.7914709</v>
      </c>
      <c r="BR40" s="522">
        <f>'[67]Дир_по экон'!BB54</f>
        <v>0</v>
      </c>
      <c r="BS40" s="522">
        <f>'[67]Дир_по экон'!BC54</f>
        <v>0</v>
      </c>
      <c r="BT40" s="536"/>
      <c r="BU40" s="522">
        <v>293170398.61000001</v>
      </c>
      <c r="BV40" s="522">
        <v>46314055.990000002</v>
      </c>
      <c r="BW40" s="522"/>
      <c r="BX40" s="574"/>
      <c r="BY40" s="522">
        <f>276236740.73+46314055.99</f>
        <v>322550796.72000003</v>
      </c>
      <c r="BZ40" s="522">
        <v>13526283.460000001</v>
      </c>
      <c r="CA40" s="522">
        <v>3407374.42</v>
      </c>
      <c r="CB40" s="522">
        <f t="shared" ref="CB40:CB50" si="132">SUM(BY40:CA40)</f>
        <v>339484454.60000002</v>
      </c>
      <c r="CC40" s="522">
        <f t="shared" si="44"/>
        <v>0</v>
      </c>
      <c r="CD40" s="522"/>
      <c r="CE40" s="522"/>
      <c r="CF40" s="522"/>
      <c r="CG40" s="522"/>
      <c r="CH40" s="522"/>
      <c r="CI40" s="522"/>
      <c r="CJ40" s="522"/>
      <c r="CK40" s="543" t="s">
        <v>77</v>
      </c>
      <c r="CL40" s="543" t="s">
        <v>1856</v>
      </c>
      <c r="CM40" s="528" t="s">
        <v>1857</v>
      </c>
      <c r="CN40" s="528" t="s">
        <v>1849</v>
      </c>
      <c r="CO40" s="528"/>
      <c r="CP40" s="544">
        <f t="shared" si="129"/>
        <v>341733286.56810439</v>
      </c>
      <c r="CQ40" s="544">
        <f t="shared" si="130"/>
        <v>25101424.774125565</v>
      </c>
      <c r="CR40" s="544">
        <f t="shared" si="131"/>
        <v>3559513.5687783235</v>
      </c>
      <c r="CS40" s="1709" t="s">
        <v>1826</v>
      </c>
      <c r="CT40" s="1710"/>
      <c r="CU40" s="1710"/>
      <c r="CV40" s="1710"/>
      <c r="CW40" s="1711"/>
      <c r="CX40" s="528"/>
      <c r="CY40" s="528"/>
      <c r="CZ40" s="528"/>
      <c r="DA40" s="528"/>
      <c r="DB40" s="544">
        <f>56273248.74+8717458.9</f>
        <v>64990707.640000001</v>
      </c>
      <c r="DD40" s="535"/>
      <c r="DE40" s="535"/>
      <c r="DF40" s="522">
        <f t="shared" si="88"/>
        <v>322550.79672000004</v>
      </c>
      <c r="DG40" s="522">
        <f t="shared" si="88"/>
        <v>13526.283460000001</v>
      </c>
      <c r="DH40" s="522">
        <f t="shared" si="88"/>
        <v>3407.3744200000001</v>
      </c>
      <c r="DI40" s="522">
        <f t="shared" si="88"/>
        <v>339484.4546</v>
      </c>
      <c r="DJ40" s="536"/>
      <c r="DK40" s="536"/>
      <c r="DL40" s="536"/>
      <c r="DM40" s="536"/>
      <c r="DN40" s="536"/>
      <c r="DO40" s="536"/>
      <c r="DP40" s="536"/>
      <c r="DQ40" s="536"/>
      <c r="DR40" s="536"/>
      <c r="DS40" s="536"/>
    </row>
    <row r="41" spans="1:123" s="534" customFormat="1" ht="56.4">
      <c r="A41" s="537" t="s">
        <v>1860</v>
      </c>
      <c r="B41" s="521" t="s">
        <v>1861</v>
      </c>
      <c r="C41" s="525">
        <v>26606752.739999998</v>
      </c>
      <c r="D41" s="576"/>
      <c r="E41" s="525">
        <v>25957487</v>
      </c>
      <c r="F41" s="525">
        <v>27630943.120000001</v>
      </c>
      <c r="G41" s="596">
        <v>0</v>
      </c>
      <c r="H41" s="596">
        <v>0</v>
      </c>
      <c r="I41" s="525">
        <f t="shared" si="122"/>
        <v>28379790.75</v>
      </c>
      <c r="J41" s="525">
        <v>14863113.91</v>
      </c>
      <c r="K41" s="525">
        <v>6791330.1399999997</v>
      </c>
      <c r="L41" s="525">
        <v>6725346.7000000002</v>
      </c>
      <c r="M41" s="525">
        <f t="shared" si="123"/>
        <v>21654444.050000001</v>
      </c>
      <c r="N41" s="525">
        <v>21246461.649999999</v>
      </c>
      <c r="O41" s="525">
        <f t="shared" si="124"/>
        <v>7329837.9800000042</v>
      </c>
      <c r="P41" s="522">
        <f>7236110.51+21340189.12</f>
        <v>28576299.630000003</v>
      </c>
      <c r="Q41" s="525">
        <f t="shared" si="12"/>
        <v>196508.88000000268</v>
      </c>
      <c r="R41" s="525">
        <f t="shared" si="13"/>
        <v>0.69242540133951991</v>
      </c>
      <c r="S41" s="525"/>
      <c r="T41" s="525"/>
      <c r="U41" s="522">
        <f t="shared" si="125"/>
        <v>28602802.29391351</v>
      </c>
      <c r="V41" s="522">
        <f t="shared" si="1"/>
        <v>28602802.29391351</v>
      </c>
      <c r="W41" s="522">
        <v>0</v>
      </c>
      <c r="X41" s="522">
        <f t="shared" si="15"/>
        <v>26502.663913507015</v>
      </c>
      <c r="Y41" s="522">
        <f t="shared" si="16"/>
        <v>9.2743512129487726E-2</v>
      </c>
      <c r="Z41" s="524">
        <f t="shared" si="17"/>
        <v>32192656.7962</v>
      </c>
      <c r="AA41" s="522">
        <f t="shared" si="18"/>
        <v>32192656.7962</v>
      </c>
      <c r="AB41" s="522">
        <v>0</v>
      </c>
      <c r="AC41" s="522">
        <f t="shared" si="20"/>
        <v>3589854.5022864901</v>
      </c>
      <c r="AD41" s="522">
        <f t="shared" si="21"/>
        <v>12.550709071783459</v>
      </c>
      <c r="AE41" s="522">
        <f t="shared" si="22"/>
        <v>3616357.1661999971</v>
      </c>
      <c r="AF41" s="522">
        <f t="shared" si="23"/>
        <v>12.655092552303259</v>
      </c>
      <c r="AG41" s="522">
        <f t="shared" si="46"/>
        <v>31290251.310000002</v>
      </c>
      <c r="AH41" s="522">
        <f t="shared" si="24"/>
        <v>2687449.0160864927</v>
      </c>
      <c r="AI41" s="522">
        <f t="shared" si="25"/>
        <v>9.3957542637644451</v>
      </c>
      <c r="AJ41" s="522">
        <f t="shared" si="26"/>
        <v>-902405.48619999737</v>
      </c>
      <c r="AK41" s="522">
        <f t="shared" si="116"/>
        <v>-2.8031407656497436</v>
      </c>
      <c r="AL41" s="522">
        <f t="shared" si="126"/>
        <v>31290251.310000002</v>
      </c>
      <c r="AM41" s="522">
        <f t="shared" si="72"/>
        <v>15508371.573671538</v>
      </c>
      <c r="AN41" s="522">
        <f t="shared" si="72"/>
        <v>15770823.84</v>
      </c>
      <c r="AO41" s="522">
        <f t="shared" si="27"/>
        <v>262452.26632846147</v>
      </c>
      <c r="AP41" s="522">
        <f t="shared" si="47"/>
        <v>1.6923263998524902</v>
      </c>
      <c r="AQ41" s="522">
        <f>8302.83143834054*1000</f>
        <v>8302831.4383405391</v>
      </c>
      <c r="AR41" s="522">
        <v>8050803.25</v>
      </c>
      <c r="AS41" s="522">
        <f>7205.540135331*1000</f>
        <v>7205540.1353310002</v>
      </c>
      <c r="AT41" s="522">
        <v>7720020.5899999999</v>
      </c>
      <c r="AU41" s="522">
        <f t="shared" si="79"/>
        <v>13094430.720241969</v>
      </c>
      <c r="AV41" s="522">
        <f t="shared" si="79"/>
        <v>16421832.9562</v>
      </c>
      <c r="AW41" s="522">
        <f t="shared" si="28"/>
        <v>3327402.2359580304</v>
      </c>
      <c r="AX41" s="522">
        <f t="shared" si="29"/>
        <v>25.410820119231147</v>
      </c>
      <c r="AY41" s="522">
        <f t="shared" si="82"/>
        <v>15519427.470000003</v>
      </c>
      <c r="AZ41" s="522">
        <f t="shared" si="30"/>
        <v>902405.48619999737</v>
      </c>
      <c r="BA41" s="522">
        <f t="shared" si="31"/>
        <v>5.8146828415184899</v>
      </c>
      <c r="BB41" s="522">
        <f>6637.87232540477*1000</f>
        <v>6637872.3254047697</v>
      </c>
      <c r="BC41" s="525">
        <f>'[67]Дир_по экон'!AT55</f>
        <v>8339479.3855999997</v>
      </c>
      <c r="BD41" s="525">
        <f t="shared" si="127"/>
        <v>7422817.4199999981</v>
      </c>
      <c r="BE41" s="525">
        <f t="shared" si="33"/>
        <v>784945.09459522832</v>
      </c>
      <c r="BF41" s="525">
        <f t="shared" si="34"/>
        <v>-916661.96560000163</v>
      </c>
      <c r="BG41" s="525">
        <f t="shared" si="35"/>
        <v>22146243.899076309</v>
      </c>
      <c r="BH41" s="522">
        <f t="shared" si="35"/>
        <v>24110303.2256</v>
      </c>
      <c r="BI41" s="522">
        <f>16034017.04+7159624.22</f>
        <v>23193641.259999998</v>
      </c>
      <c r="BJ41" s="522">
        <f t="shared" si="37"/>
        <v>1047397.3609236889</v>
      </c>
      <c r="BK41" s="522">
        <f t="shared" si="38"/>
        <v>-916661.96560000256</v>
      </c>
      <c r="BL41" s="525">
        <f>6456.5583948372*1000</f>
        <v>6456558.3948371997</v>
      </c>
      <c r="BM41" s="522">
        <f>'[67]Дир_по экон'!AW55</f>
        <v>8082353.5706000011</v>
      </c>
      <c r="BN41" s="522">
        <f t="shared" si="128"/>
        <v>8096610.0500000045</v>
      </c>
      <c r="BO41" s="522">
        <f t="shared" si="48"/>
        <v>1640051.6551628048</v>
      </c>
      <c r="BP41" s="522">
        <f t="shared" si="40"/>
        <v>14256.479400003329</v>
      </c>
      <c r="BQ41" s="525">
        <f>6456.5583948372*1000</f>
        <v>6456558.3948371997</v>
      </c>
      <c r="BR41" s="522">
        <f>'[67]Дир_по экон'!BB55</f>
        <v>0</v>
      </c>
      <c r="BS41" s="522">
        <f>'[67]Дир_по экон'!BC55</f>
        <v>0</v>
      </c>
      <c r="BT41" s="536"/>
      <c r="BU41" s="522">
        <v>21308044.23</v>
      </c>
      <c r="BV41" s="522">
        <v>9982207.0800000001</v>
      </c>
      <c r="BW41" s="522"/>
      <c r="BX41" s="574"/>
      <c r="BY41" s="522">
        <f>20903670.08+9982207.08</f>
        <v>30885877.159999996</v>
      </c>
      <c r="BZ41" s="522">
        <v>171294.41</v>
      </c>
      <c r="CA41" s="522">
        <v>233079.74</v>
      </c>
      <c r="CB41" s="522">
        <f t="shared" si="132"/>
        <v>31290251.309999995</v>
      </c>
      <c r="CC41" s="522">
        <f t="shared" si="44"/>
        <v>0</v>
      </c>
      <c r="CD41" s="522"/>
      <c r="CE41" s="522"/>
      <c r="CF41" s="522"/>
      <c r="CG41" s="522"/>
      <c r="CH41" s="522"/>
      <c r="CI41" s="522"/>
      <c r="CJ41" s="522"/>
      <c r="CK41" s="543" t="s">
        <v>77</v>
      </c>
      <c r="CL41" s="543" t="s">
        <v>1856</v>
      </c>
      <c r="CM41" s="528" t="s">
        <v>1857</v>
      </c>
      <c r="CN41" s="528" t="s">
        <v>1849</v>
      </c>
      <c r="CO41" s="528"/>
      <c r="CP41" s="544">
        <f t="shared" si="129"/>
        <v>26389530.331649285</v>
      </c>
      <c r="CQ41" s="544">
        <f t="shared" si="130"/>
        <v>1938397.0964513759</v>
      </c>
      <c r="CR41" s="544">
        <f t="shared" si="131"/>
        <v>274874.86581285245</v>
      </c>
      <c r="CS41" s="1709" t="s">
        <v>1826</v>
      </c>
      <c r="CT41" s="1710"/>
      <c r="CU41" s="1710"/>
      <c r="CV41" s="1710"/>
      <c r="CW41" s="1711"/>
      <c r="CX41" s="528"/>
      <c r="CY41" s="528"/>
      <c r="CZ41" s="528"/>
      <c r="DA41" s="528"/>
      <c r="DB41" s="544">
        <f>5989187.69+2061615.56</f>
        <v>8050803.25</v>
      </c>
      <c r="DD41" s="535"/>
      <c r="DE41" s="535"/>
      <c r="DF41" s="522">
        <f t="shared" si="88"/>
        <v>30885.877159999996</v>
      </c>
      <c r="DG41" s="522">
        <f t="shared" si="88"/>
        <v>171.29441</v>
      </c>
      <c r="DH41" s="522">
        <f t="shared" si="88"/>
        <v>233.07973999999999</v>
      </c>
      <c r="DI41" s="522">
        <f t="shared" si="88"/>
        <v>31290.251309999996</v>
      </c>
      <c r="DJ41" s="536"/>
      <c r="DK41" s="536"/>
      <c r="DL41" s="536"/>
      <c r="DM41" s="536"/>
      <c r="DN41" s="536"/>
      <c r="DO41" s="536"/>
      <c r="DP41" s="536"/>
      <c r="DQ41" s="536"/>
      <c r="DR41" s="536"/>
      <c r="DS41" s="536"/>
    </row>
    <row r="42" spans="1:123" s="534" customFormat="1" ht="81.75" customHeight="1">
      <c r="A42" s="537" t="s">
        <v>1862</v>
      </c>
      <c r="B42" s="521" t="s">
        <v>1863</v>
      </c>
      <c r="C42" s="525">
        <v>6724304.7699999996</v>
      </c>
      <c r="D42" s="576"/>
      <c r="E42" s="525">
        <v>5025066</v>
      </c>
      <c r="F42" s="525">
        <v>6395401.6399999997</v>
      </c>
      <c r="G42" s="596">
        <v>0</v>
      </c>
      <c r="H42" s="596">
        <v>0</v>
      </c>
      <c r="I42" s="525">
        <f t="shared" si="122"/>
        <v>14895144.48</v>
      </c>
      <c r="J42" s="525">
        <v>7447572.2400000012</v>
      </c>
      <c r="K42" s="525">
        <v>1616358.96</v>
      </c>
      <c r="L42" s="525">
        <v>5831213.2800000003</v>
      </c>
      <c r="M42" s="525">
        <f t="shared" si="123"/>
        <v>9063931.2000000011</v>
      </c>
      <c r="N42" s="525">
        <v>8821056.8699999992</v>
      </c>
      <c r="O42" s="525">
        <f t="shared" si="124"/>
        <v>-78522.539999999106</v>
      </c>
      <c r="P42" s="522">
        <f>1328249.64+7414284.69</f>
        <v>8742534.3300000001</v>
      </c>
      <c r="Q42" s="525">
        <f t="shared" si="12"/>
        <v>-6152610.1500000004</v>
      </c>
      <c r="R42" s="525">
        <f t="shared" si="13"/>
        <v>-41.306146162336518</v>
      </c>
      <c r="S42" s="525"/>
      <c r="T42" s="525"/>
      <c r="U42" s="522">
        <f t="shared" si="125"/>
        <v>6815097.5800000001</v>
      </c>
      <c r="V42" s="522">
        <f t="shared" si="1"/>
        <v>6815097.5800000001</v>
      </c>
      <c r="W42" s="522">
        <v>0</v>
      </c>
      <c r="X42" s="522">
        <f t="shared" si="15"/>
        <v>-1927436.75</v>
      </c>
      <c r="Y42" s="522">
        <f t="shared" si="16"/>
        <v>-22.046659209401128</v>
      </c>
      <c r="Z42" s="524">
        <f t="shared" si="17"/>
        <v>9149154.6099999994</v>
      </c>
      <c r="AA42" s="522">
        <f t="shared" si="18"/>
        <v>9149154.6099999994</v>
      </c>
      <c r="AB42" s="522">
        <v>0</v>
      </c>
      <c r="AC42" s="522">
        <f t="shared" si="20"/>
        <v>2334057.0299999993</v>
      </c>
      <c r="AD42" s="522">
        <f t="shared" si="21"/>
        <v>34.248328840509402</v>
      </c>
      <c r="AE42" s="522">
        <f t="shared" si="22"/>
        <v>406620.27999999933</v>
      </c>
      <c r="AF42" s="522">
        <f t="shared" si="23"/>
        <v>4.651057286726143</v>
      </c>
      <c r="AG42" s="522">
        <f t="shared" si="46"/>
        <v>10827989.630000001</v>
      </c>
      <c r="AH42" s="522">
        <f t="shared" si="24"/>
        <v>4012892.0500000007</v>
      </c>
      <c r="AI42" s="522">
        <f t="shared" si="25"/>
        <v>58.882385804371722</v>
      </c>
      <c r="AJ42" s="522">
        <f t="shared" si="26"/>
        <v>1678835.0200000014</v>
      </c>
      <c r="AK42" s="522">
        <f t="shared" si="116"/>
        <v>18.349619080270415</v>
      </c>
      <c r="AL42" s="522">
        <f t="shared" si="126"/>
        <v>10827989.630000001</v>
      </c>
      <c r="AM42" s="522">
        <f t="shared" si="72"/>
        <v>4512831.68</v>
      </c>
      <c r="AN42" s="522">
        <f t="shared" si="72"/>
        <v>6659926.3200000003</v>
      </c>
      <c r="AO42" s="522">
        <f t="shared" si="27"/>
        <v>2147094.6400000006</v>
      </c>
      <c r="AP42" s="522">
        <f t="shared" si="47"/>
        <v>47.577547585377715</v>
      </c>
      <c r="AQ42" s="522">
        <f>3428.1637*1000</f>
        <v>3428163.7</v>
      </c>
      <c r="AR42" s="522">
        <v>4675691.38</v>
      </c>
      <c r="AS42" s="522">
        <f>1084.66798*1000</f>
        <v>1084667.98</v>
      </c>
      <c r="AT42" s="522">
        <v>1984234.9400000004</v>
      </c>
      <c r="AU42" s="522">
        <f t="shared" si="79"/>
        <v>2302265.9000000004</v>
      </c>
      <c r="AV42" s="522">
        <f t="shared" si="79"/>
        <v>2489228.29</v>
      </c>
      <c r="AW42" s="522">
        <f t="shared" si="28"/>
        <v>186962.38999999966</v>
      </c>
      <c r="AX42" s="522">
        <f t="shared" si="29"/>
        <v>8.1207991657262397</v>
      </c>
      <c r="AY42" s="522">
        <f t="shared" si="82"/>
        <v>4168063.3100000005</v>
      </c>
      <c r="AZ42" s="522">
        <f t="shared" si="30"/>
        <v>-1678835.0200000005</v>
      </c>
      <c r="BA42" s="522">
        <f t="shared" si="31"/>
        <v>-40.278539339173335</v>
      </c>
      <c r="BB42" s="522">
        <f>1060.39857*1000</f>
        <v>1060398.57</v>
      </c>
      <c r="BC42" s="525">
        <f>'[67]Дир_по экон'!AT56</f>
        <v>1151034.8</v>
      </c>
      <c r="BD42" s="525">
        <f t="shared" si="127"/>
        <v>2261476.459999999</v>
      </c>
      <c r="BE42" s="525">
        <f t="shared" si="33"/>
        <v>1201077.889999999</v>
      </c>
      <c r="BF42" s="525">
        <f t="shared" si="34"/>
        <v>1110441.659999999</v>
      </c>
      <c r="BG42" s="525">
        <f t="shared" si="35"/>
        <v>5573230.25</v>
      </c>
      <c r="BH42" s="522">
        <f t="shared" si="35"/>
        <v>7810961.1200000001</v>
      </c>
      <c r="BI42" s="522">
        <f>7312225.6+1609177.18</f>
        <v>8921402.7799999993</v>
      </c>
      <c r="BJ42" s="522">
        <f t="shared" si="37"/>
        <v>3348172.5299999993</v>
      </c>
      <c r="BK42" s="522">
        <f t="shared" si="38"/>
        <v>1110441.6599999992</v>
      </c>
      <c r="BL42" s="525">
        <f>1241.86733*1000</f>
        <v>1241867.33</v>
      </c>
      <c r="BM42" s="522">
        <f>'[67]Дир_по экон'!AW56</f>
        <v>1338193.4900000002</v>
      </c>
      <c r="BN42" s="522">
        <f t="shared" si="128"/>
        <v>1906586.8500000015</v>
      </c>
      <c r="BO42" s="522">
        <f t="shared" si="48"/>
        <v>664719.52000000142</v>
      </c>
      <c r="BP42" s="522">
        <f t="shared" si="40"/>
        <v>568393.36000000127</v>
      </c>
      <c r="BQ42" s="525">
        <f>1241.86733*1000</f>
        <v>1241867.33</v>
      </c>
      <c r="BR42" s="522">
        <f>'[67]Дир_по экон'!BB56</f>
        <v>0</v>
      </c>
      <c r="BS42" s="522">
        <f>'[67]Дир_по экон'!BC56</f>
        <v>0</v>
      </c>
      <c r="BT42" s="536"/>
      <c r="BU42" s="522">
        <v>8854285.6500000004</v>
      </c>
      <c r="BV42" s="522">
        <v>1973703.98</v>
      </c>
      <c r="BW42" s="522"/>
      <c r="BX42" s="574"/>
      <c r="BY42" s="522">
        <f>8691113.7+1973703.98</f>
        <v>10664817.68</v>
      </c>
      <c r="BZ42" s="522">
        <v>93718.79</v>
      </c>
      <c r="CA42" s="522">
        <v>69453.16</v>
      </c>
      <c r="CB42" s="522">
        <f t="shared" si="132"/>
        <v>10827989.629999999</v>
      </c>
      <c r="CC42" s="522">
        <f t="shared" si="44"/>
        <v>0</v>
      </c>
      <c r="CD42" s="522"/>
      <c r="CE42" s="522"/>
      <c r="CF42" s="522"/>
      <c r="CG42" s="522"/>
      <c r="CH42" s="522"/>
      <c r="CI42" s="522"/>
      <c r="CJ42" s="522"/>
      <c r="CK42" s="543" t="s">
        <v>77</v>
      </c>
      <c r="CL42" s="543" t="s">
        <v>1856</v>
      </c>
      <c r="CM42" s="528" t="s">
        <v>1857</v>
      </c>
      <c r="CN42" s="528" t="s">
        <v>1849</v>
      </c>
      <c r="CO42" s="528"/>
      <c r="CP42" s="544">
        <f t="shared" si="129"/>
        <v>6287748.3979543485</v>
      </c>
      <c r="CQ42" s="544">
        <f t="shared" si="130"/>
        <v>461855.63307256356</v>
      </c>
      <c r="CR42" s="544">
        <f t="shared" si="131"/>
        <v>65493.548973088611</v>
      </c>
      <c r="CS42" s="1709" t="s">
        <v>1826</v>
      </c>
      <c r="CT42" s="1710"/>
      <c r="CU42" s="1710"/>
      <c r="CV42" s="1710"/>
      <c r="CW42" s="1711"/>
      <c r="CX42" s="528"/>
      <c r="CY42" s="528"/>
      <c r="CZ42" s="528"/>
      <c r="DA42" s="528"/>
      <c r="DB42" s="544">
        <f>3960210.1+715481.28</f>
        <v>4675691.38</v>
      </c>
      <c r="DD42" s="535"/>
      <c r="DE42" s="535"/>
      <c r="DF42" s="522">
        <f t="shared" si="88"/>
        <v>10664.81768</v>
      </c>
      <c r="DG42" s="522">
        <f t="shared" si="88"/>
        <v>93.718789999999998</v>
      </c>
      <c r="DH42" s="522">
        <f t="shared" si="88"/>
        <v>69.453159999999997</v>
      </c>
      <c r="DI42" s="522">
        <f t="shared" si="88"/>
        <v>10827.989629999998</v>
      </c>
      <c r="DJ42" s="536"/>
      <c r="DK42" s="536"/>
      <c r="DL42" s="536"/>
      <c r="DM42" s="536"/>
      <c r="DN42" s="536"/>
      <c r="DO42" s="536"/>
      <c r="DP42" s="536"/>
      <c r="DQ42" s="536"/>
      <c r="DR42" s="536"/>
      <c r="DS42" s="536"/>
    </row>
    <row r="43" spans="1:123" s="534" customFormat="1" ht="64.5" customHeight="1">
      <c r="A43" s="537" t="s">
        <v>1864</v>
      </c>
      <c r="B43" s="521" t="s">
        <v>1865</v>
      </c>
      <c r="C43" s="525">
        <v>2009333</v>
      </c>
      <c r="D43" s="576"/>
      <c r="E43" s="525">
        <v>2014504</v>
      </c>
      <c r="F43" s="525">
        <v>664507.6</v>
      </c>
      <c r="G43" s="596">
        <v>0</v>
      </c>
      <c r="H43" s="596">
        <v>0</v>
      </c>
      <c r="I43" s="525">
        <f t="shared" si="122"/>
        <v>798050</v>
      </c>
      <c r="J43" s="525">
        <v>138050</v>
      </c>
      <c r="K43" s="525">
        <v>330000</v>
      </c>
      <c r="L43" s="525">
        <v>330000</v>
      </c>
      <c r="M43" s="525">
        <f t="shared" si="123"/>
        <v>468050</v>
      </c>
      <c r="N43" s="525">
        <v>138050</v>
      </c>
      <c r="O43" s="525">
        <f t="shared" si="124"/>
        <v>0</v>
      </c>
      <c r="P43" s="522">
        <v>138050</v>
      </c>
      <c r="Q43" s="525">
        <f t="shared" si="12"/>
        <v>-660000</v>
      </c>
      <c r="R43" s="525">
        <f t="shared" si="13"/>
        <v>-82.701585113714685</v>
      </c>
      <c r="S43" s="525"/>
      <c r="T43" s="525"/>
      <c r="U43" s="522">
        <f t="shared" si="125"/>
        <v>1320000</v>
      </c>
      <c r="V43" s="522">
        <f t="shared" si="1"/>
        <v>1320000</v>
      </c>
      <c r="W43" s="522">
        <v>0</v>
      </c>
      <c r="X43" s="522">
        <f t="shared" si="15"/>
        <v>1181950</v>
      </c>
      <c r="Y43" s="522">
        <f t="shared" si="16"/>
        <v>856.17529880478094</v>
      </c>
      <c r="Z43" s="524">
        <f t="shared" si="17"/>
        <v>674960</v>
      </c>
      <c r="AA43" s="522">
        <f t="shared" si="18"/>
        <v>674960</v>
      </c>
      <c r="AB43" s="522">
        <v>0</v>
      </c>
      <c r="AC43" s="522">
        <f t="shared" si="20"/>
        <v>-645040</v>
      </c>
      <c r="AD43" s="522">
        <f t="shared" si="21"/>
        <v>-48.866666666666667</v>
      </c>
      <c r="AE43" s="522">
        <f t="shared" si="22"/>
        <v>536910</v>
      </c>
      <c r="AF43" s="522">
        <f t="shared" si="23"/>
        <v>388.92430278884456</v>
      </c>
      <c r="AG43" s="522">
        <f t="shared" si="46"/>
        <v>14960</v>
      </c>
      <c r="AH43" s="522">
        <f t="shared" si="24"/>
        <v>-1305040</v>
      </c>
      <c r="AI43" s="522">
        <f t="shared" si="25"/>
        <v>-98.86666666666666</v>
      </c>
      <c r="AJ43" s="522">
        <f t="shared" si="26"/>
        <v>-660000</v>
      </c>
      <c r="AK43" s="522">
        <f t="shared" si="116"/>
        <v>-97.783572359843546</v>
      </c>
      <c r="AL43" s="522">
        <f t="shared" si="126"/>
        <v>14960</v>
      </c>
      <c r="AM43" s="522">
        <f t="shared" si="72"/>
        <v>660000</v>
      </c>
      <c r="AN43" s="522">
        <f t="shared" si="72"/>
        <v>14960</v>
      </c>
      <c r="AO43" s="522">
        <f t="shared" si="27"/>
        <v>-645040</v>
      </c>
      <c r="AP43" s="522">
        <f t="shared" si="47"/>
        <v>-97.733333333333334</v>
      </c>
      <c r="AQ43" s="522">
        <v>330000</v>
      </c>
      <c r="AR43" s="522">
        <v>0</v>
      </c>
      <c r="AS43" s="522">
        <v>330000</v>
      </c>
      <c r="AT43" s="522">
        <v>14960</v>
      </c>
      <c r="AU43" s="522">
        <f t="shared" si="79"/>
        <v>660000</v>
      </c>
      <c r="AV43" s="522">
        <f t="shared" si="79"/>
        <v>660000</v>
      </c>
      <c r="AW43" s="522">
        <f t="shared" si="28"/>
        <v>0</v>
      </c>
      <c r="AX43" s="522">
        <f t="shared" si="29"/>
        <v>0</v>
      </c>
      <c r="AY43" s="522">
        <f t="shared" si="82"/>
        <v>0</v>
      </c>
      <c r="AZ43" s="522">
        <f t="shared" si="30"/>
        <v>660000</v>
      </c>
      <c r="BA43" s="522" t="e">
        <f t="shared" si="31"/>
        <v>#DIV/0!</v>
      </c>
      <c r="BB43" s="522">
        <v>330000</v>
      </c>
      <c r="BC43" s="525">
        <f>'[67]Дир_по экон'!AT57</f>
        <v>330000</v>
      </c>
      <c r="BD43" s="525">
        <f t="shared" si="127"/>
        <v>0</v>
      </c>
      <c r="BE43" s="525">
        <f t="shared" si="33"/>
        <v>-330000</v>
      </c>
      <c r="BF43" s="525">
        <f t="shared" si="34"/>
        <v>-330000</v>
      </c>
      <c r="BG43" s="525">
        <f t="shared" si="35"/>
        <v>990000</v>
      </c>
      <c r="BH43" s="522">
        <f t="shared" si="35"/>
        <v>344960</v>
      </c>
      <c r="BI43" s="522">
        <v>14960</v>
      </c>
      <c r="BJ43" s="522">
        <f t="shared" si="37"/>
        <v>-975040</v>
      </c>
      <c r="BK43" s="522">
        <f t="shared" si="38"/>
        <v>-330000</v>
      </c>
      <c r="BL43" s="525">
        <v>330000</v>
      </c>
      <c r="BM43" s="522">
        <f>'[67]Дир_по экон'!AW57</f>
        <v>330000</v>
      </c>
      <c r="BN43" s="522">
        <f t="shared" si="128"/>
        <v>0</v>
      </c>
      <c r="BO43" s="522">
        <f t="shared" si="48"/>
        <v>-330000</v>
      </c>
      <c r="BP43" s="522">
        <f t="shared" si="40"/>
        <v>-330000</v>
      </c>
      <c r="BQ43" s="525">
        <v>330000</v>
      </c>
      <c r="BR43" s="522">
        <f>'[67]Дир_по экон'!BB57</f>
        <v>0</v>
      </c>
      <c r="BS43" s="522">
        <f>'[67]Дир_по экон'!BC57</f>
        <v>0</v>
      </c>
      <c r="BT43" s="536"/>
      <c r="BU43" s="522"/>
      <c r="BV43" s="522">
        <v>14960</v>
      </c>
      <c r="BW43" s="522"/>
      <c r="BX43" s="574"/>
      <c r="BY43" s="522">
        <v>14960</v>
      </c>
      <c r="BZ43" s="522"/>
      <c r="CA43" s="522"/>
      <c r="CB43" s="522">
        <f t="shared" si="132"/>
        <v>14960</v>
      </c>
      <c r="CC43" s="522">
        <f t="shared" si="44"/>
        <v>0</v>
      </c>
      <c r="CD43" s="522"/>
      <c r="CE43" s="522"/>
      <c r="CF43" s="522"/>
      <c r="CG43" s="522"/>
      <c r="CH43" s="522"/>
      <c r="CI43" s="522"/>
      <c r="CJ43" s="522"/>
      <c r="CK43" s="543" t="s">
        <v>77</v>
      </c>
      <c r="CL43" s="543" t="s">
        <v>1856</v>
      </c>
      <c r="CM43" s="528" t="s">
        <v>1857</v>
      </c>
      <c r="CN43" s="528" t="s">
        <v>1849</v>
      </c>
      <c r="CO43" s="528"/>
      <c r="CP43" s="544">
        <f t="shared" si="129"/>
        <v>1217858.9943681685</v>
      </c>
      <c r="CQ43" s="544">
        <f t="shared" si="130"/>
        <v>89455.716297430321</v>
      </c>
      <c r="CR43" s="544">
        <f t="shared" si="131"/>
        <v>12685.289334401132</v>
      </c>
      <c r="CS43" s="1709" t="s">
        <v>1826</v>
      </c>
      <c r="CT43" s="1710"/>
      <c r="CU43" s="1710"/>
      <c r="CV43" s="1710"/>
      <c r="CW43" s="1711"/>
      <c r="CX43" s="528"/>
      <c r="CY43" s="528"/>
      <c r="CZ43" s="528"/>
      <c r="DA43" s="528"/>
      <c r="DB43" s="544"/>
      <c r="DD43" s="535"/>
      <c r="DE43" s="535"/>
      <c r="DF43" s="522">
        <f t="shared" si="88"/>
        <v>14.96</v>
      </c>
      <c r="DG43" s="522">
        <f t="shared" si="88"/>
        <v>0</v>
      </c>
      <c r="DH43" s="522">
        <f t="shared" si="88"/>
        <v>0</v>
      </c>
      <c r="DI43" s="522">
        <f t="shared" si="88"/>
        <v>14.96</v>
      </c>
      <c r="DJ43" s="536"/>
      <c r="DK43" s="536"/>
      <c r="DL43" s="536"/>
      <c r="DM43" s="536"/>
      <c r="DN43" s="536"/>
      <c r="DO43" s="536"/>
      <c r="DP43" s="536"/>
      <c r="DQ43" s="536"/>
      <c r="DR43" s="536"/>
      <c r="DS43" s="536"/>
    </row>
    <row r="44" spans="1:123" s="602" customFormat="1" ht="69" customHeight="1">
      <c r="A44" s="598" t="s">
        <v>1866</v>
      </c>
      <c r="B44" s="599" t="s">
        <v>1867</v>
      </c>
      <c r="C44" s="525">
        <v>21716004</v>
      </c>
      <c r="D44" s="525"/>
      <c r="E44" s="525">
        <v>37444559</v>
      </c>
      <c r="F44" s="525">
        <v>26697141.199999999</v>
      </c>
      <c r="G44" s="596">
        <v>0</v>
      </c>
      <c r="H44" s="596">
        <v>0</v>
      </c>
      <c r="I44" s="525">
        <f t="shared" si="122"/>
        <v>15799870</v>
      </c>
      <c r="J44" s="525">
        <v>6760271</v>
      </c>
      <c r="K44" s="525">
        <v>3265583</v>
      </c>
      <c r="L44" s="525">
        <v>5774016</v>
      </c>
      <c r="M44" s="525">
        <f t="shared" si="123"/>
        <v>10025854</v>
      </c>
      <c r="N44" s="525">
        <v>12162563</v>
      </c>
      <c r="O44" s="525">
        <f t="shared" si="124"/>
        <v>3338063</v>
      </c>
      <c r="P44" s="522">
        <v>15500626</v>
      </c>
      <c r="Q44" s="525">
        <f t="shared" si="12"/>
        <v>-299244</v>
      </c>
      <c r="R44" s="525">
        <f t="shared" si="13"/>
        <v>-1.8939649503445253</v>
      </c>
      <c r="S44" s="525"/>
      <c r="T44" s="525"/>
      <c r="U44" s="522">
        <f t="shared" si="125"/>
        <v>14706234</v>
      </c>
      <c r="V44" s="522">
        <f t="shared" si="1"/>
        <v>14706234</v>
      </c>
      <c r="W44" s="522">
        <v>0</v>
      </c>
      <c r="X44" s="522">
        <f t="shared" si="15"/>
        <v>-794392</v>
      </c>
      <c r="Y44" s="522">
        <f t="shared" si="16"/>
        <v>-5.1249026974781486</v>
      </c>
      <c r="Z44" s="524">
        <f t="shared" si="17"/>
        <v>7782061</v>
      </c>
      <c r="AA44" s="522">
        <f t="shared" si="18"/>
        <v>7782061</v>
      </c>
      <c r="AB44" s="522">
        <v>0</v>
      </c>
      <c r="AC44" s="522">
        <f t="shared" si="20"/>
        <v>-6924173</v>
      </c>
      <c r="AD44" s="522">
        <f t="shared" si="21"/>
        <v>-47.083250545312957</v>
      </c>
      <c r="AE44" s="522">
        <f t="shared" si="22"/>
        <v>-7718565</v>
      </c>
      <c r="AF44" s="522">
        <f t="shared" si="23"/>
        <v>-49.795182465533969</v>
      </c>
      <c r="AG44" s="522">
        <f t="shared" si="46"/>
        <v>8683748</v>
      </c>
      <c r="AH44" s="522">
        <f t="shared" si="24"/>
        <v>-6022486</v>
      </c>
      <c r="AI44" s="522">
        <f t="shared" si="25"/>
        <v>-40.951925557556066</v>
      </c>
      <c r="AJ44" s="522">
        <f t="shared" si="26"/>
        <v>901687</v>
      </c>
      <c r="AK44" s="522">
        <f t="shared" si="116"/>
        <v>11.586737754946924</v>
      </c>
      <c r="AL44" s="522">
        <f t="shared" si="126"/>
        <v>8683748</v>
      </c>
      <c r="AM44" s="522">
        <f t="shared" si="72"/>
        <v>10386609</v>
      </c>
      <c r="AN44" s="522">
        <f t="shared" si="72"/>
        <v>3462436</v>
      </c>
      <c r="AO44" s="522">
        <f t="shared" si="27"/>
        <v>-6924173</v>
      </c>
      <c r="AP44" s="522">
        <f t="shared" si="47"/>
        <v>-66.664423393621533</v>
      </c>
      <c r="AQ44" s="522">
        <v>5102888</v>
      </c>
      <c r="AR44" s="522">
        <v>293993</v>
      </c>
      <c r="AS44" s="522">
        <v>5283721</v>
      </c>
      <c r="AT44" s="522">
        <v>3168443</v>
      </c>
      <c r="AU44" s="522">
        <f t="shared" si="79"/>
        <v>4319625</v>
      </c>
      <c r="AV44" s="522">
        <f t="shared" si="79"/>
        <v>4319625</v>
      </c>
      <c r="AW44" s="522">
        <f t="shared" si="28"/>
        <v>0</v>
      </c>
      <c r="AX44" s="522">
        <f t="shared" si="29"/>
        <v>0</v>
      </c>
      <c r="AY44" s="522">
        <f t="shared" si="82"/>
        <v>5221312</v>
      </c>
      <c r="AZ44" s="522">
        <f t="shared" si="30"/>
        <v>-901687</v>
      </c>
      <c r="BA44" s="522">
        <f t="shared" si="31"/>
        <v>-17.269356820661159</v>
      </c>
      <c r="BB44" s="522">
        <v>1781383</v>
      </c>
      <c r="BC44" s="525">
        <f>'[67]Дир_по экон'!AT58</f>
        <v>1781382.9999999998</v>
      </c>
      <c r="BD44" s="525">
        <f t="shared" si="127"/>
        <v>2754935</v>
      </c>
      <c r="BE44" s="525">
        <f t="shared" si="33"/>
        <v>973552</v>
      </c>
      <c r="BF44" s="525">
        <f t="shared" si="34"/>
        <v>973552.00000000023</v>
      </c>
      <c r="BG44" s="525">
        <f t="shared" si="35"/>
        <v>12167992</v>
      </c>
      <c r="BH44" s="522">
        <f t="shared" si="35"/>
        <v>5243819</v>
      </c>
      <c r="BI44" s="522">
        <v>6217371</v>
      </c>
      <c r="BJ44" s="522">
        <f t="shared" si="37"/>
        <v>-5950621</v>
      </c>
      <c r="BK44" s="522">
        <f t="shared" si="38"/>
        <v>973552</v>
      </c>
      <c r="BL44" s="525">
        <v>2538242</v>
      </c>
      <c r="BM44" s="522">
        <f>'[67]Дир_по экон'!AW58</f>
        <v>2538242</v>
      </c>
      <c r="BN44" s="522">
        <f t="shared" si="128"/>
        <v>2466377</v>
      </c>
      <c r="BO44" s="522">
        <f t="shared" si="48"/>
        <v>-71865</v>
      </c>
      <c r="BP44" s="522">
        <f t="shared" si="40"/>
        <v>-71865</v>
      </c>
      <c r="BQ44" s="525">
        <v>2538242</v>
      </c>
      <c r="BR44" s="522">
        <f>'[67]Дир_по экон'!BB58</f>
        <v>0</v>
      </c>
      <c r="BS44" s="522">
        <f>'[67]Дир_по экон'!BC58</f>
        <v>0</v>
      </c>
      <c r="BT44" s="600"/>
      <c r="BU44" s="522">
        <v>8683748</v>
      </c>
      <c r="BV44" s="522"/>
      <c r="BW44" s="522"/>
      <c r="BX44" s="574"/>
      <c r="BY44" s="522">
        <v>8683748</v>
      </c>
      <c r="BZ44" s="522"/>
      <c r="CA44" s="522"/>
      <c r="CB44" s="522">
        <f t="shared" si="132"/>
        <v>8683748</v>
      </c>
      <c r="CC44" s="522">
        <f t="shared" si="44"/>
        <v>0</v>
      </c>
      <c r="CD44" s="522"/>
      <c r="CE44" s="522"/>
      <c r="CF44" s="522"/>
      <c r="CG44" s="522"/>
      <c r="CH44" s="522"/>
      <c r="CI44" s="522"/>
      <c r="CJ44" s="522"/>
      <c r="CK44" s="543" t="s">
        <v>77</v>
      </c>
      <c r="CL44" s="543" t="s">
        <v>1856</v>
      </c>
      <c r="CM44" s="528" t="s">
        <v>1857</v>
      </c>
      <c r="CN44" s="528" t="s">
        <v>1849</v>
      </c>
      <c r="CO44" s="601"/>
      <c r="CP44" s="544">
        <f t="shared" si="129"/>
        <v>13568272.234987099</v>
      </c>
      <c r="CQ44" s="544">
        <f t="shared" si="130"/>
        <v>996633.86099062418</v>
      </c>
      <c r="CR44" s="544">
        <f t="shared" si="131"/>
        <v>141327.90402227824</v>
      </c>
      <c r="CS44" s="1709" t="s">
        <v>1826</v>
      </c>
      <c r="CT44" s="1710"/>
      <c r="CU44" s="1710"/>
      <c r="CV44" s="1710"/>
      <c r="CW44" s="1711"/>
      <c r="CX44" s="601"/>
      <c r="CY44" s="601"/>
      <c r="CZ44" s="601"/>
      <c r="DA44" s="601"/>
      <c r="DB44" s="544">
        <f>293993</f>
        <v>293993</v>
      </c>
      <c r="DD44" s="603"/>
      <c r="DE44" s="603"/>
      <c r="DF44" s="522">
        <f t="shared" si="88"/>
        <v>8683.7479999999996</v>
      </c>
      <c r="DG44" s="522">
        <f t="shared" si="88"/>
        <v>0</v>
      </c>
      <c r="DH44" s="522">
        <f t="shared" si="88"/>
        <v>0</v>
      </c>
      <c r="DI44" s="522">
        <f t="shared" si="88"/>
        <v>8683.7479999999996</v>
      </c>
      <c r="DJ44" s="600"/>
      <c r="DK44" s="600"/>
      <c r="DL44" s="600"/>
      <c r="DM44" s="600"/>
      <c r="DN44" s="600"/>
      <c r="DO44" s="600"/>
      <c r="DP44" s="600"/>
      <c r="DQ44" s="600"/>
      <c r="DR44" s="600"/>
      <c r="DS44" s="600"/>
    </row>
    <row r="45" spans="1:123" s="534" customFormat="1" ht="57.75" customHeight="1">
      <c r="A45" s="520" t="s">
        <v>1868</v>
      </c>
      <c r="B45" s="521" t="s">
        <v>1869</v>
      </c>
      <c r="C45" s="522">
        <v>8597309.8100000005</v>
      </c>
      <c r="D45" s="578"/>
      <c r="E45" s="522">
        <v>10571000</v>
      </c>
      <c r="F45" s="522">
        <v>12993866.220000001</v>
      </c>
      <c r="G45" s="604">
        <v>0</v>
      </c>
      <c r="H45" s="604">
        <v>0</v>
      </c>
      <c r="I45" s="522">
        <f t="shared" si="122"/>
        <v>10233287.75</v>
      </c>
      <c r="J45" s="522">
        <v>4351255.75</v>
      </c>
      <c r="K45" s="522">
        <v>2896366</v>
      </c>
      <c r="L45" s="522">
        <v>2985666</v>
      </c>
      <c r="M45" s="522">
        <f t="shared" si="123"/>
        <v>7247621.75</v>
      </c>
      <c r="N45" s="522">
        <v>6458654.0599999996</v>
      </c>
      <c r="O45" s="522">
        <f t="shared" si="124"/>
        <v>1525838.1400000006</v>
      </c>
      <c r="P45" s="522">
        <v>7984492.2000000002</v>
      </c>
      <c r="Q45" s="522">
        <f t="shared" si="12"/>
        <v>-2248795.5499999998</v>
      </c>
      <c r="R45" s="522">
        <f t="shared" si="13"/>
        <v>-21.975298701045517</v>
      </c>
      <c r="S45" s="522"/>
      <c r="T45" s="522"/>
      <c r="U45" s="522">
        <f t="shared" si="125"/>
        <v>13453228.18</v>
      </c>
      <c r="V45" s="522">
        <f t="shared" si="1"/>
        <v>13453228.18</v>
      </c>
      <c r="W45" s="522">
        <v>0</v>
      </c>
      <c r="X45" s="522">
        <f t="shared" si="15"/>
        <v>5468735.9799999995</v>
      </c>
      <c r="Y45" s="522">
        <f t="shared" si="16"/>
        <v>68.491969721004921</v>
      </c>
      <c r="Z45" s="524">
        <f t="shared" si="17"/>
        <v>10050843.139999999</v>
      </c>
      <c r="AA45" s="522">
        <f t="shared" si="18"/>
        <v>10050843.139999999</v>
      </c>
      <c r="AB45" s="522">
        <v>0</v>
      </c>
      <c r="AC45" s="522">
        <f t="shared" si="20"/>
        <v>-3402385.040000001</v>
      </c>
      <c r="AD45" s="522">
        <f t="shared" si="21"/>
        <v>-25.290472996348157</v>
      </c>
      <c r="AE45" s="522">
        <f t="shared" si="22"/>
        <v>2066350.9399999985</v>
      </c>
      <c r="AF45" s="522">
        <f t="shared" si="23"/>
        <v>25.879553617699045</v>
      </c>
      <c r="AG45" s="522">
        <f t="shared" si="46"/>
        <v>8929226.1899999995</v>
      </c>
      <c r="AH45" s="522">
        <f t="shared" si="24"/>
        <v>-4524001.99</v>
      </c>
      <c r="AI45" s="522">
        <f t="shared" si="25"/>
        <v>-33.627631446298707</v>
      </c>
      <c r="AJ45" s="522">
        <f t="shared" si="26"/>
        <v>-1121616.9499999993</v>
      </c>
      <c r="AK45" s="522">
        <f t="shared" si="116"/>
        <v>-11.159431446464694</v>
      </c>
      <c r="AL45" s="522">
        <f t="shared" si="126"/>
        <v>8929226.1899999995</v>
      </c>
      <c r="AM45" s="522">
        <f t="shared" si="72"/>
        <v>7378029.5699999994</v>
      </c>
      <c r="AN45" s="522">
        <f t="shared" si="72"/>
        <v>3975644.53</v>
      </c>
      <c r="AO45" s="522">
        <f t="shared" si="27"/>
        <v>-3402385.0399999996</v>
      </c>
      <c r="AP45" s="522">
        <f t="shared" si="47"/>
        <v>-46.115090861583518</v>
      </c>
      <c r="AQ45" s="522">
        <v>0</v>
      </c>
      <c r="AR45" s="522">
        <v>0</v>
      </c>
      <c r="AS45" s="522">
        <v>7378029.5699999994</v>
      </c>
      <c r="AT45" s="522">
        <v>3975644.53</v>
      </c>
      <c r="AU45" s="522">
        <f t="shared" si="79"/>
        <v>6075198.6099999994</v>
      </c>
      <c r="AV45" s="522">
        <f t="shared" si="79"/>
        <v>6075198.6099999994</v>
      </c>
      <c r="AW45" s="522">
        <f t="shared" si="28"/>
        <v>0</v>
      </c>
      <c r="AX45" s="522">
        <f t="shared" si="29"/>
        <v>0</v>
      </c>
      <c r="AY45" s="522">
        <f t="shared" si="82"/>
        <v>4953581.66</v>
      </c>
      <c r="AZ45" s="522">
        <f t="shared" si="30"/>
        <v>1121616.9499999993</v>
      </c>
      <c r="BA45" s="522">
        <f t="shared" si="31"/>
        <v>22.642544869241135</v>
      </c>
      <c r="BB45" s="522">
        <v>3047584.0199999996</v>
      </c>
      <c r="BC45" s="525">
        <f>'[67]Дир_по экон'!AT59</f>
        <v>3047584.02</v>
      </c>
      <c r="BD45" s="525">
        <f t="shared" si="127"/>
        <v>2555753.9200000004</v>
      </c>
      <c r="BE45" s="525">
        <f t="shared" si="33"/>
        <v>-491830.09999999916</v>
      </c>
      <c r="BF45" s="525">
        <f t="shared" si="34"/>
        <v>-491830.09999999963</v>
      </c>
      <c r="BG45" s="525">
        <f t="shared" si="35"/>
        <v>10425613.59</v>
      </c>
      <c r="BH45" s="522">
        <f t="shared" si="35"/>
        <v>7023228.5499999998</v>
      </c>
      <c r="BI45" s="522">
        <v>6531398.4500000002</v>
      </c>
      <c r="BJ45" s="522">
        <f t="shared" si="37"/>
        <v>-3894215.1399999997</v>
      </c>
      <c r="BK45" s="522">
        <f t="shared" si="38"/>
        <v>-491830.09999999963</v>
      </c>
      <c r="BL45" s="525">
        <v>3027614.5900000003</v>
      </c>
      <c r="BM45" s="522">
        <f>'[67]Дир_по экон'!AW59</f>
        <v>3027614.59</v>
      </c>
      <c r="BN45" s="522">
        <f t="shared" si="128"/>
        <v>2397827.7399999993</v>
      </c>
      <c r="BO45" s="522">
        <f t="shared" si="48"/>
        <v>-629786.85000000102</v>
      </c>
      <c r="BP45" s="522">
        <f t="shared" si="40"/>
        <v>-629786.85000000056</v>
      </c>
      <c r="BQ45" s="525">
        <v>3027614.5900000003</v>
      </c>
      <c r="BR45" s="522">
        <f>'[67]Дир_по экон'!BB59</f>
        <v>0</v>
      </c>
      <c r="BS45" s="522">
        <f>'[67]Дир_по экон'!BC59</f>
        <v>0</v>
      </c>
      <c r="BT45" s="536"/>
      <c r="BU45" s="522">
        <v>8929226.1899999995</v>
      </c>
      <c r="BV45" s="522"/>
      <c r="BW45" s="522"/>
      <c r="BX45" s="595"/>
      <c r="BY45" s="522"/>
      <c r="BZ45" s="522"/>
      <c r="CA45" s="522">
        <v>8929226.1899999995</v>
      </c>
      <c r="CB45" s="522">
        <f t="shared" si="132"/>
        <v>8929226.1899999995</v>
      </c>
      <c r="CC45" s="522">
        <f t="shared" si="44"/>
        <v>0</v>
      </c>
      <c r="CD45" s="522"/>
      <c r="CE45" s="522"/>
      <c r="CF45" s="522"/>
      <c r="CG45" s="522"/>
      <c r="CH45" s="522"/>
      <c r="CI45" s="522"/>
      <c r="CJ45" s="522"/>
      <c r="CK45" s="605" t="s">
        <v>77</v>
      </c>
      <c r="CL45" s="605" t="s">
        <v>1856</v>
      </c>
      <c r="CM45" s="528" t="s">
        <v>1857</v>
      </c>
      <c r="CN45" s="528" t="s">
        <v>1849</v>
      </c>
      <c r="CO45" s="528"/>
      <c r="CP45" s="529">
        <f t="shared" si="129"/>
        <v>12412223.441136597</v>
      </c>
      <c r="CQ45" s="529">
        <f t="shared" si="130"/>
        <v>911718.30557172326</v>
      </c>
      <c r="CR45" s="529">
        <f t="shared" si="131"/>
        <v>129286.43329168086</v>
      </c>
      <c r="CS45" s="1730" t="s">
        <v>1826</v>
      </c>
      <c r="CT45" s="1731"/>
      <c r="CU45" s="1731"/>
      <c r="CV45" s="1731"/>
      <c r="CW45" s="1732"/>
      <c r="CX45" s="528"/>
      <c r="CY45" s="528"/>
      <c r="CZ45" s="528"/>
      <c r="DA45" s="528"/>
      <c r="DB45" s="529"/>
      <c r="DD45" s="535"/>
      <c r="DE45" s="535"/>
      <c r="DF45" s="522">
        <f t="shared" si="88"/>
        <v>0</v>
      </c>
      <c r="DG45" s="522">
        <f t="shared" si="88"/>
        <v>0</v>
      </c>
      <c r="DH45" s="522">
        <f t="shared" si="88"/>
        <v>8929.2261899999994</v>
      </c>
      <c r="DI45" s="522">
        <f t="shared" si="88"/>
        <v>8929.2261899999994</v>
      </c>
      <c r="DJ45" s="536"/>
      <c r="DK45" s="536"/>
      <c r="DL45" s="536"/>
      <c r="DM45" s="536"/>
      <c r="DN45" s="536"/>
      <c r="DO45" s="536"/>
      <c r="DP45" s="536"/>
      <c r="DQ45" s="536"/>
      <c r="DR45" s="536"/>
      <c r="DS45" s="536"/>
    </row>
    <row r="46" spans="1:123" s="602" customFormat="1" ht="59.25" customHeight="1">
      <c r="A46" s="598" t="s">
        <v>1870</v>
      </c>
      <c r="B46" s="599" t="s">
        <v>1871</v>
      </c>
      <c r="C46" s="525">
        <v>30841410</v>
      </c>
      <c r="D46" s="525"/>
      <c r="E46" s="525">
        <v>35772753</v>
      </c>
      <c r="F46" s="525">
        <v>33687424.5</v>
      </c>
      <c r="G46" s="596">
        <v>0</v>
      </c>
      <c r="H46" s="596">
        <v>0</v>
      </c>
      <c r="I46" s="525">
        <f t="shared" si="122"/>
        <v>38257057.759999998</v>
      </c>
      <c r="J46" s="525">
        <v>15522761.75</v>
      </c>
      <c r="K46" s="525">
        <v>17041309.739999998</v>
      </c>
      <c r="L46" s="525">
        <v>5692986.2699999996</v>
      </c>
      <c r="M46" s="525">
        <f t="shared" si="123"/>
        <v>32564071.489999998</v>
      </c>
      <c r="N46" s="525">
        <v>31258796.25</v>
      </c>
      <c r="O46" s="525">
        <f t="shared" si="124"/>
        <v>3636618</v>
      </c>
      <c r="P46" s="522">
        <f>4708496.75+30186917.5</f>
        <v>34895414.25</v>
      </c>
      <c r="Q46" s="525">
        <f t="shared" si="12"/>
        <v>-3361643.5099999979</v>
      </c>
      <c r="R46" s="525">
        <f t="shared" si="13"/>
        <v>-8.7869891382886038</v>
      </c>
      <c r="S46" s="525"/>
      <c r="T46" s="525"/>
      <c r="U46" s="522">
        <f t="shared" si="125"/>
        <v>37718438.455677666</v>
      </c>
      <c r="V46" s="522">
        <f t="shared" si="1"/>
        <v>37718438.455677666</v>
      </c>
      <c r="W46" s="522">
        <v>0</v>
      </c>
      <c r="X46" s="522">
        <f t="shared" si="15"/>
        <v>2823024.2056776658</v>
      </c>
      <c r="Y46" s="522">
        <f t="shared" si="16"/>
        <v>8.0899575670681827</v>
      </c>
      <c r="Z46" s="524">
        <f t="shared" si="17"/>
        <v>41277107.187720001</v>
      </c>
      <c r="AA46" s="522">
        <f t="shared" si="18"/>
        <v>41277107.187720001</v>
      </c>
      <c r="AB46" s="522">
        <v>0</v>
      </c>
      <c r="AC46" s="522">
        <f t="shared" si="20"/>
        <v>3558668.732042335</v>
      </c>
      <c r="AD46" s="522">
        <f t="shared" si="21"/>
        <v>9.4348251882804561</v>
      </c>
      <c r="AE46" s="522">
        <f t="shared" si="22"/>
        <v>6381692.9377200007</v>
      </c>
      <c r="AF46" s="522">
        <f t="shared" si="23"/>
        <v>18.288056109607581</v>
      </c>
      <c r="AG46" s="522">
        <f t="shared" si="46"/>
        <v>38536865.002999999</v>
      </c>
      <c r="AH46" s="522">
        <f t="shared" si="24"/>
        <v>818426.54732233286</v>
      </c>
      <c r="AI46" s="522">
        <f t="shared" si="25"/>
        <v>2.1698314692535519</v>
      </c>
      <c r="AJ46" s="522">
        <f t="shared" si="26"/>
        <v>-2740242.1847200021</v>
      </c>
      <c r="AK46" s="522">
        <f t="shared" si="116"/>
        <v>-6.6386488090309399</v>
      </c>
      <c r="AL46" s="522">
        <f t="shared" si="126"/>
        <v>38536865.002999999</v>
      </c>
      <c r="AM46" s="522">
        <f t="shared" si="72"/>
        <v>15912435.276959371</v>
      </c>
      <c r="AN46" s="522">
        <f t="shared" si="72"/>
        <v>16166291.5</v>
      </c>
      <c r="AO46" s="522">
        <f t="shared" si="27"/>
        <v>253856.22304062918</v>
      </c>
      <c r="AP46" s="522">
        <f t="shared" si="47"/>
        <v>1.5953323210571284</v>
      </c>
      <c r="AQ46" s="522">
        <f>3829.75712668687*1000</f>
        <v>3829757.1266868701</v>
      </c>
      <c r="AR46" s="522">
        <v>3684759.5</v>
      </c>
      <c r="AS46" s="522">
        <f>12082.6781502725*1000</f>
        <v>12082678.150272502</v>
      </c>
      <c r="AT46" s="522">
        <v>12481532</v>
      </c>
      <c r="AU46" s="522">
        <f t="shared" si="79"/>
        <v>21806003.178718291</v>
      </c>
      <c r="AV46" s="522">
        <f t="shared" si="79"/>
        <v>25110815.687720004</v>
      </c>
      <c r="AW46" s="522">
        <f t="shared" si="28"/>
        <v>3304812.5090017132</v>
      </c>
      <c r="AX46" s="522">
        <f t="shared" si="29"/>
        <v>15.155516955198209</v>
      </c>
      <c r="AY46" s="522">
        <f t="shared" si="82"/>
        <v>22370573.502999999</v>
      </c>
      <c r="AZ46" s="522">
        <f t="shared" si="30"/>
        <v>2740242.1847200058</v>
      </c>
      <c r="BA46" s="522">
        <f t="shared" si="31"/>
        <v>12.249315755595291</v>
      </c>
      <c r="BB46" s="522">
        <f>16964.8079091873*1000</f>
        <v>16964807.909187302</v>
      </c>
      <c r="BC46" s="525">
        <f>'[67]Дир_по экон'!AT60</f>
        <v>19518670.783724003</v>
      </c>
      <c r="BD46" s="525">
        <f t="shared" si="127"/>
        <v>18323116.5</v>
      </c>
      <c r="BE46" s="525">
        <f t="shared" si="33"/>
        <v>1358308.590812698</v>
      </c>
      <c r="BF46" s="525">
        <f t="shared" si="34"/>
        <v>-1195554.2837240025</v>
      </c>
      <c r="BG46" s="525">
        <f t="shared" si="35"/>
        <v>32877243.186146673</v>
      </c>
      <c r="BH46" s="522">
        <f t="shared" si="35"/>
        <v>35684962.283724003</v>
      </c>
      <c r="BI46" s="522">
        <f>30153829.67+4335578.33</f>
        <v>34489408</v>
      </c>
      <c r="BJ46" s="522">
        <f t="shared" si="37"/>
        <v>1612164.8138533272</v>
      </c>
      <c r="BK46" s="522">
        <f t="shared" si="38"/>
        <v>-1195554.2837240025</v>
      </c>
      <c r="BL46" s="525">
        <f>4841.19526953099*1000</f>
        <v>4841195.2695309902</v>
      </c>
      <c r="BM46" s="522">
        <f>'[67]Дир_по экон'!AW60</f>
        <v>5592144.903996001</v>
      </c>
      <c r="BN46" s="522">
        <f t="shared" si="128"/>
        <v>4047457.0029999986</v>
      </c>
      <c r="BO46" s="522">
        <f t="shared" si="48"/>
        <v>-793738.26653099153</v>
      </c>
      <c r="BP46" s="522">
        <f t="shared" si="40"/>
        <v>-1544687.9009960024</v>
      </c>
      <c r="BQ46" s="525">
        <f>4841.19526953099*1000</f>
        <v>4841195.2695309902</v>
      </c>
      <c r="BR46" s="522">
        <f>'[67]Дир_по экон'!BB60</f>
        <v>0</v>
      </c>
      <c r="BS46" s="522">
        <f>'[67]Дир_по экон'!BC60</f>
        <v>0</v>
      </c>
      <c r="BT46" s="600"/>
      <c r="BU46" s="522">
        <v>33579285.159999996</v>
      </c>
      <c r="BV46" s="522">
        <v>4957579.8430000003</v>
      </c>
      <c r="BW46" s="522"/>
      <c r="BX46" s="574"/>
      <c r="BY46" s="522">
        <f>31557277.22+4957579.84</f>
        <v>36514857.060000002</v>
      </c>
      <c r="BZ46" s="522">
        <v>1582589.49</v>
      </c>
      <c r="CA46" s="522">
        <v>439418.45</v>
      </c>
      <c r="CB46" s="522">
        <f t="shared" si="132"/>
        <v>38536865.000000007</v>
      </c>
      <c r="CC46" s="522">
        <f t="shared" si="44"/>
        <v>2.9999911785125732E-3</v>
      </c>
      <c r="CD46" s="522"/>
      <c r="CE46" s="522"/>
      <c r="CF46" s="522"/>
      <c r="CG46" s="522"/>
      <c r="CH46" s="522"/>
      <c r="CI46" s="522"/>
      <c r="CJ46" s="522"/>
      <c r="CK46" s="543" t="s">
        <v>77</v>
      </c>
      <c r="CL46" s="543" t="s">
        <v>1856</v>
      </c>
      <c r="CM46" s="528" t="s">
        <v>1857</v>
      </c>
      <c r="CN46" s="528" t="s">
        <v>1849</v>
      </c>
      <c r="CO46" s="601"/>
      <c r="CP46" s="544">
        <f t="shared" si="129"/>
        <v>34799802.671794899</v>
      </c>
      <c r="CQ46" s="544">
        <f t="shared" si="130"/>
        <v>2556159.0376312025</v>
      </c>
      <c r="CR46" s="544">
        <f t="shared" si="131"/>
        <v>362476.74625157076</v>
      </c>
      <c r="CS46" s="1709" t="s">
        <v>1826</v>
      </c>
      <c r="CT46" s="1710"/>
      <c r="CU46" s="1710"/>
      <c r="CV46" s="1710"/>
      <c r="CW46" s="1711"/>
      <c r="CX46" s="601"/>
      <c r="CY46" s="601"/>
      <c r="CZ46" s="601"/>
      <c r="DA46" s="601"/>
      <c r="DB46" s="544">
        <f>3313041.02+371718.48</f>
        <v>3684759.5</v>
      </c>
      <c r="DD46" s="603"/>
      <c r="DE46" s="603"/>
      <c r="DF46" s="522">
        <f t="shared" si="88"/>
        <v>36514.857060000002</v>
      </c>
      <c r="DG46" s="522">
        <f t="shared" si="88"/>
        <v>1582.5894900000001</v>
      </c>
      <c r="DH46" s="522">
        <f t="shared" si="88"/>
        <v>439.41845000000001</v>
      </c>
      <c r="DI46" s="522">
        <f t="shared" si="88"/>
        <v>38536.865000000005</v>
      </c>
      <c r="DJ46" s="600"/>
      <c r="DK46" s="600"/>
      <c r="DL46" s="600"/>
      <c r="DM46" s="600"/>
      <c r="DN46" s="600"/>
      <c r="DO46" s="600"/>
      <c r="DP46" s="600"/>
      <c r="DQ46" s="600"/>
      <c r="DR46" s="600"/>
      <c r="DS46" s="600"/>
    </row>
    <row r="47" spans="1:123" s="602" customFormat="1" ht="84.6">
      <c r="A47" s="598" t="s">
        <v>1872</v>
      </c>
      <c r="B47" s="606" t="s">
        <v>1873</v>
      </c>
      <c r="C47" s="525">
        <v>281880</v>
      </c>
      <c r="D47" s="525"/>
      <c r="E47" s="525">
        <v>0</v>
      </c>
      <c r="F47" s="525"/>
      <c r="G47" s="596">
        <v>0</v>
      </c>
      <c r="H47" s="596">
        <v>0</v>
      </c>
      <c r="I47" s="525">
        <f t="shared" si="122"/>
        <v>0</v>
      </c>
      <c r="J47" s="525">
        <v>0</v>
      </c>
      <c r="K47" s="525">
        <v>0</v>
      </c>
      <c r="L47" s="525">
        <v>0</v>
      </c>
      <c r="M47" s="525">
        <f t="shared" si="123"/>
        <v>0</v>
      </c>
      <c r="N47" s="525">
        <v>145295.67999999999</v>
      </c>
      <c r="O47" s="525">
        <f t="shared" si="124"/>
        <v>0</v>
      </c>
      <c r="P47" s="522">
        <v>145295.67999999999</v>
      </c>
      <c r="Q47" s="525">
        <f t="shared" si="12"/>
        <v>145295.67999999999</v>
      </c>
      <c r="R47" s="525">
        <v>0</v>
      </c>
      <c r="S47" s="525"/>
      <c r="T47" s="525"/>
      <c r="U47" s="522">
        <f t="shared" si="125"/>
        <v>0</v>
      </c>
      <c r="V47" s="522">
        <f t="shared" si="1"/>
        <v>0</v>
      </c>
      <c r="W47" s="522">
        <v>0</v>
      </c>
      <c r="X47" s="522">
        <f t="shared" si="15"/>
        <v>-145295.67999999999</v>
      </c>
      <c r="Y47" s="522">
        <f t="shared" si="16"/>
        <v>-100</v>
      </c>
      <c r="Z47" s="524">
        <f t="shared" si="17"/>
        <v>0</v>
      </c>
      <c r="AA47" s="522">
        <f t="shared" si="18"/>
        <v>0</v>
      </c>
      <c r="AB47" s="522">
        <v>0</v>
      </c>
      <c r="AC47" s="522">
        <f t="shared" si="20"/>
        <v>0</v>
      </c>
      <c r="AD47" s="522">
        <v>0</v>
      </c>
      <c r="AE47" s="522">
        <f t="shared" si="22"/>
        <v>-145295.67999999999</v>
      </c>
      <c r="AF47" s="522">
        <f t="shared" si="23"/>
        <v>-100</v>
      </c>
      <c r="AG47" s="522">
        <f t="shared" si="46"/>
        <v>37260</v>
      </c>
      <c r="AH47" s="522">
        <f t="shared" si="24"/>
        <v>37260</v>
      </c>
      <c r="AI47" s="522">
        <v>0</v>
      </c>
      <c r="AJ47" s="522">
        <f t="shared" si="26"/>
        <v>37260</v>
      </c>
      <c r="AK47" s="522">
        <v>0</v>
      </c>
      <c r="AL47" s="522">
        <f t="shared" si="126"/>
        <v>37260</v>
      </c>
      <c r="AM47" s="522">
        <f t="shared" si="72"/>
        <v>0</v>
      </c>
      <c r="AN47" s="522">
        <f t="shared" si="72"/>
        <v>0</v>
      </c>
      <c r="AO47" s="522">
        <f t="shared" si="27"/>
        <v>0</v>
      </c>
      <c r="AP47" s="522">
        <v>0</v>
      </c>
      <c r="AQ47" s="522">
        <v>0</v>
      </c>
      <c r="AR47" s="522">
        <v>0</v>
      </c>
      <c r="AS47" s="522">
        <v>0</v>
      </c>
      <c r="AT47" s="522">
        <v>0</v>
      </c>
      <c r="AU47" s="522">
        <f t="shared" si="79"/>
        <v>0</v>
      </c>
      <c r="AV47" s="522">
        <f t="shared" si="79"/>
        <v>0</v>
      </c>
      <c r="AW47" s="522">
        <f t="shared" si="28"/>
        <v>0</v>
      </c>
      <c r="AX47" s="522">
        <v>0</v>
      </c>
      <c r="AY47" s="522">
        <f t="shared" si="82"/>
        <v>37260</v>
      </c>
      <c r="AZ47" s="522">
        <f t="shared" si="30"/>
        <v>-37260</v>
      </c>
      <c r="BA47" s="522">
        <v>0</v>
      </c>
      <c r="BB47" s="522">
        <v>0</v>
      </c>
      <c r="BC47" s="525">
        <f>'[67]Дир_по экон'!AT61</f>
        <v>0</v>
      </c>
      <c r="BD47" s="525">
        <f t="shared" si="127"/>
        <v>37260</v>
      </c>
      <c r="BE47" s="525">
        <f t="shared" si="33"/>
        <v>37260</v>
      </c>
      <c r="BF47" s="525">
        <f t="shared" si="34"/>
        <v>37260</v>
      </c>
      <c r="BG47" s="525">
        <f t="shared" si="35"/>
        <v>0</v>
      </c>
      <c r="BH47" s="522">
        <f t="shared" si="35"/>
        <v>0</v>
      </c>
      <c r="BI47" s="522">
        <v>37260</v>
      </c>
      <c r="BJ47" s="522">
        <f t="shared" si="37"/>
        <v>37260</v>
      </c>
      <c r="BK47" s="522">
        <f t="shared" si="38"/>
        <v>37260</v>
      </c>
      <c r="BL47" s="525">
        <v>0</v>
      </c>
      <c r="BM47" s="522">
        <f>'[67]Дир_по экон'!AW61</f>
        <v>0</v>
      </c>
      <c r="BN47" s="522">
        <f t="shared" si="128"/>
        <v>0</v>
      </c>
      <c r="BO47" s="522">
        <f t="shared" si="48"/>
        <v>0</v>
      </c>
      <c r="BP47" s="522">
        <f t="shared" si="40"/>
        <v>0</v>
      </c>
      <c r="BQ47" s="525">
        <v>0</v>
      </c>
      <c r="BR47" s="522">
        <f>'[67]Дир_по экон'!BB61</f>
        <v>0</v>
      </c>
      <c r="BS47" s="522">
        <f>'[67]Дир_по экон'!BC61</f>
        <v>0</v>
      </c>
      <c r="BT47" s="600"/>
      <c r="BU47" s="522">
        <v>37260</v>
      </c>
      <c r="BV47" s="522"/>
      <c r="BW47" s="522"/>
      <c r="BX47" s="595"/>
      <c r="BY47" s="522">
        <v>37198.639999999999</v>
      </c>
      <c r="BZ47" s="522">
        <v>45.77</v>
      </c>
      <c r="CA47" s="522">
        <v>15.59</v>
      </c>
      <c r="CB47" s="522">
        <f t="shared" si="132"/>
        <v>37259.999999999993</v>
      </c>
      <c r="CC47" s="522">
        <f t="shared" si="44"/>
        <v>0</v>
      </c>
      <c r="CD47" s="522"/>
      <c r="CE47" s="522"/>
      <c r="CF47" s="522"/>
      <c r="CG47" s="522"/>
      <c r="CH47" s="522"/>
      <c r="CI47" s="522"/>
      <c r="CJ47" s="522"/>
      <c r="CK47" s="543" t="s">
        <v>77</v>
      </c>
      <c r="CL47" s="543" t="s">
        <v>1856</v>
      </c>
      <c r="CM47" s="528" t="s">
        <v>1857</v>
      </c>
      <c r="CN47" s="528" t="s">
        <v>1849</v>
      </c>
      <c r="CO47" s="601"/>
      <c r="CP47" s="544">
        <f t="shared" si="129"/>
        <v>0</v>
      </c>
      <c r="CQ47" s="544">
        <f t="shared" si="130"/>
        <v>0</v>
      </c>
      <c r="CR47" s="544">
        <f t="shared" si="131"/>
        <v>0</v>
      </c>
      <c r="CS47" s="1709" t="s">
        <v>1826</v>
      </c>
      <c r="CT47" s="1710"/>
      <c r="CU47" s="1710"/>
      <c r="CV47" s="1710"/>
      <c r="CW47" s="1711"/>
      <c r="CX47" s="601"/>
      <c r="CY47" s="601"/>
      <c r="CZ47" s="601"/>
      <c r="DA47" s="601"/>
      <c r="DB47" s="544"/>
      <c r="DD47" s="603"/>
      <c r="DE47" s="603"/>
      <c r="DF47" s="522">
        <f t="shared" si="88"/>
        <v>37.198639999999997</v>
      </c>
      <c r="DG47" s="522">
        <f t="shared" si="88"/>
        <v>4.5770000000000005E-2</v>
      </c>
      <c r="DH47" s="522">
        <f t="shared" si="88"/>
        <v>1.559E-2</v>
      </c>
      <c r="DI47" s="522">
        <f t="shared" si="88"/>
        <v>37.259999999999991</v>
      </c>
      <c r="DJ47" s="600"/>
      <c r="DK47" s="600"/>
      <c r="DL47" s="600"/>
      <c r="DM47" s="600"/>
      <c r="DN47" s="600"/>
      <c r="DO47" s="600"/>
      <c r="DP47" s="600"/>
      <c r="DQ47" s="600"/>
      <c r="DR47" s="600"/>
      <c r="DS47" s="600"/>
    </row>
    <row r="48" spans="1:123" s="534" customFormat="1" ht="37.5" customHeight="1">
      <c r="A48" s="537" t="s">
        <v>1874</v>
      </c>
      <c r="B48" s="538" t="s">
        <v>1875</v>
      </c>
      <c r="C48" s="525">
        <v>8558562.7599999998</v>
      </c>
      <c r="D48" s="576"/>
      <c r="E48" s="576">
        <v>0</v>
      </c>
      <c r="F48" s="576">
        <v>55737.73</v>
      </c>
      <c r="G48" s="577">
        <v>0</v>
      </c>
      <c r="H48" s="577">
        <v>0</v>
      </c>
      <c r="I48" s="576">
        <f t="shared" si="122"/>
        <v>41663.360000000001</v>
      </c>
      <c r="J48" s="576">
        <v>19735.79</v>
      </c>
      <c r="K48" s="576">
        <v>11061</v>
      </c>
      <c r="L48" s="576">
        <v>10866.57</v>
      </c>
      <c r="M48" s="576">
        <f t="shared" si="123"/>
        <v>30796.79</v>
      </c>
      <c r="N48" s="576">
        <v>83574.320000000007</v>
      </c>
      <c r="O48" s="525">
        <f t="shared" si="124"/>
        <v>9378.8799999999901</v>
      </c>
      <c r="P48" s="522">
        <v>92953.2</v>
      </c>
      <c r="Q48" s="576">
        <f t="shared" si="12"/>
        <v>51289.84</v>
      </c>
      <c r="R48" s="576">
        <f t="shared" si="13"/>
        <v>123.10538564340465</v>
      </c>
      <c r="S48" s="576"/>
      <c r="T48" s="576"/>
      <c r="U48" s="522">
        <f t="shared" si="125"/>
        <v>94440.88</v>
      </c>
      <c r="V48" s="522">
        <f t="shared" si="1"/>
        <v>94440.88</v>
      </c>
      <c r="W48" s="522">
        <v>0</v>
      </c>
      <c r="X48" s="522">
        <f t="shared" si="15"/>
        <v>1487.6800000000076</v>
      </c>
      <c r="Y48" s="522">
        <f t="shared" si="16"/>
        <v>1.600461307410626</v>
      </c>
      <c r="Z48" s="524">
        <f t="shared" si="17"/>
        <v>105168.94</v>
      </c>
      <c r="AA48" s="522">
        <f t="shared" si="18"/>
        <v>105168.94</v>
      </c>
      <c r="AB48" s="522">
        <v>0</v>
      </c>
      <c r="AC48" s="522">
        <f t="shared" si="20"/>
        <v>10728.059999999998</v>
      </c>
      <c r="AD48" s="522">
        <f t="shared" si="21"/>
        <v>11.359551075762937</v>
      </c>
      <c r="AE48" s="522">
        <f t="shared" si="22"/>
        <v>12215.740000000005</v>
      </c>
      <c r="AF48" s="522">
        <f t="shared" si="23"/>
        <v>13.14181760283671</v>
      </c>
      <c r="AG48" s="522">
        <f t="shared" si="46"/>
        <v>231889.11</v>
      </c>
      <c r="AH48" s="522">
        <f t="shared" si="24"/>
        <v>137448.22999999998</v>
      </c>
      <c r="AI48" s="522">
        <f t="shared" si="25"/>
        <v>145.53891280979167</v>
      </c>
      <c r="AJ48" s="522">
        <f t="shared" si="26"/>
        <v>126720.16999999998</v>
      </c>
      <c r="AK48" s="522">
        <f t="shared" ref="AK48:AK97" si="133">AG48/Z48*100-100</f>
        <v>120.49201028364456</v>
      </c>
      <c r="AL48" s="522">
        <f t="shared" si="126"/>
        <v>231889.11</v>
      </c>
      <c r="AM48" s="522">
        <f t="shared" si="72"/>
        <v>47220.44</v>
      </c>
      <c r="AN48" s="522">
        <f t="shared" si="72"/>
        <v>57948.5</v>
      </c>
      <c r="AO48" s="522">
        <f t="shared" si="27"/>
        <v>10728.059999999998</v>
      </c>
      <c r="AP48" s="522">
        <f t="shared" si="47"/>
        <v>22.719102151525902</v>
      </c>
      <c r="AQ48" s="578">
        <v>23610.22</v>
      </c>
      <c r="AR48" s="578">
        <v>9890.5400000000009</v>
      </c>
      <c r="AS48" s="578">
        <v>23610.22</v>
      </c>
      <c r="AT48" s="578">
        <v>48057.96</v>
      </c>
      <c r="AU48" s="578">
        <f t="shared" si="79"/>
        <v>47220.44</v>
      </c>
      <c r="AV48" s="578">
        <f t="shared" si="79"/>
        <v>47220.44</v>
      </c>
      <c r="AW48" s="578">
        <f t="shared" si="28"/>
        <v>0</v>
      </c>
      <c r="AX48" s="578">
        <f t="shared" si="29"/>
        <v>0</v>
      </c>
      <c r="AY48" s="578">
        <f t="shared" si="82"/>
        <v>173940.61</v>
      </c>
      <c r="AZ48" s="578">
        <f t="shared" si="30"/>
        <v>-126720.16999999998</v>
      </c>
      <c r="BA48" s="578">
        <f t="shared" si="31"/>
        <v>-72.852550074419071</v>
      </c>
      <c r="BB48" s="578">
        <v>23610.22</v>
      </c>
      <c r="BC48" s="576">
        <f>'[67]Дир_по экон'!AT15</f>
        <v>23610.22</v>
      </c>
      <c r="BD48" s="576">
        <f t="shared" si="127"/>
        <v>62156.36</v>
      </c>
      <c r="BE48" s="576">
        <f t="shared" si="33"/>
        <v>38546.14</v>
      </c>
      <c r="BF48" s="576">
        <f t="shared" si="34"/>
        <v>38546.14</v>
      </c>
      <c r="BG48" s="576">
        <f t="shared" si="35"/>
        <v>70830.66</v>
      </c>
      <c r="BH48" s="578">
        <f t="shared" si="35"/>
        <v>81558.720000000001</v>
      </c>
      <c r="BI48" s="578">
        <v>120104.86</v>
      </c>
      <c r="BJ48" s="578">
        <f t="shared" si="37"/>
        <v>49274.2</v>
      </c>
      <c r="BK48" s="578">
        <f t="shared" si="38"/>
        <v>38546.14</v>
      </c>
      <c r="BL48" s="576">
        <v>23610.22</v>
      </c>
      <c r="BM48" s="578">
        <f>'[67]Дир_по экон'!AW15</f>
        <v>23610.22</v>
      </c>
      <c r="BN48" s="522">
        <f t="shared" si="128"/>
        <v>111784.24999999999</v>
      </c>
      <c r="BO48" s="578">
        <f t="shared" si="48"/>
        <v>88174.029999999984</v>
      </c>
      <c r="BP48" s="578">
        <f t="shared" si="40"/>
        <v>88174.029999999984</v>
      </c>
      <c r="BQ48" s="576">
        <v>23610.22</v>
      </c>
      <c r="BR48" s="578">
        <f>'[67]Дир_по экон'!BB15</f>
        <v>0</v>
      </c>
      <c r="BS48" s="578">
        <f>'[67]Дир_по экон'!BC15</f>
        <v>0</v>
      </c>
      <c r="BT48" s="536"/>
      <c r="BU48" s="578">
        <v>231889.11</v>
      </c>
      <c r="BV48" s="578"/>
      <c r="BW48" s="578"/>
      <c r="BX48" s="595"/>
      <c r="BY48" s="522">
        <v>179391.12</v>
      </c>
      <c r="BZ48" s="522">
        <v>52429.96</v>
      </c>
      <c r="CA48" s="522">
        <v>68.03</v>
      </c>
      <c r="CB48" s="522">
        <f t="shared" si="132"/>
        <v>231889.11</v>
      </c>
      <c r="CC48" s="522">
        <f t="shared" si="44"/>
        <v>0</v>
      </c>
      <c r="CD48" s="578"/>
      <c r="CE48" s="578"/>
      <c r="CF48" s="578"/>
      <c r="CG48" s="578"/>
      <c r="CH48" s="578"/>
      <c r="CI48" s="578"/>
      <c r="CJ48" s="578"/>
      <c r="CK48" s="543" t="s">
        <v>77</v>
      </c>
      <c r="CL48" s="542" t="s">
        <v>1800</v>
      </c>
      <c r="CM48" s="528" t="s">
        <v>1857</v>
      </c>
      <c r="CN48" s="528" t="s">
        <v>1849</v>
      </c>
      <c r="CO48" s="528"/>
      <c r="CP48" s="544">
        <f t="shared" si="129"/>
        <v>87133.087230337042</v>
      </c>
      <c r="CQ48" s="544">
        <f t="shared" si="130"/>
        <v>6400.2095213330767</v>
      </c>
      <c r="CR48" s="544">
        <f t="shared" si="131"/>
        <v>907.58324832989183</v>
      </c>
      <c r="CS48" s="1709" t="s">
        <v>1826</v>
      </c>
      <c r="CT48" s="1710"/>
      <c r="CU48" s="1710"/>
      <c r="CV48" s="1710"/>
      <c r="CW48" s="1711"/>
      <c r="CX48" s="528"/>
      <c r="CY48" s="528"/>
      <c r="CZ48" s="528"/>
      <c r="DA48" s="528"/>
      <c r="DB48" s="579">
        <f>9890.54</f>
        <v>9890.5400000000009</v>
      </c>
      <c r="DD48" s="535"/>
      <c r="DE48" s="535"/>
      <c r="DF48" s="522">
        <f t="shared" si="88"/>
        <v>179.39112</v>
      </c>
      <c r="DG48" s="522">
        <f t="shared" si="88"/>
        <v>52.429960000000001</v>
      </c>
      <c r="DH48" s="522">
        <f t="shared" si="88"/>
        <v>6.8030000000000007E-2</v>
      </c>
      <c r="DI48" s="522">
        <f t="shared" si="88"/>
        <v>231.88910999999999</v>
      </c>
      <c r="DJ48" s="536"/>
      <c r="DK48" s="536"/>
      <c r="DL48" s="536"/>
      <c r="DM48" s="536"/>
      <c r="DN48" s="536"/>
      <c r="DO48" s="536"/>
      <c r="DP48" s="536"/>
      <c r="DQ48" s="536"/>
      <c r="DR48" s="536"/>
      <c r="DS48" s="536"/>
    </row>
    <row r="49" spans="1:123" s="534" customFormat="1" ht="56.4">
      <c r="A49" s="537" t="s">
        <v>1876</v>
      </c>
      <c r="B49" s="538" t="s">
        <v>1093</v>
      </c>
      <c r="C49" s="525"/>
      <c r="D49" s="576"/>
      <c r="E49" s="576"/>
      <c r="F49" s="576">
        <v>8215259.6200000001</v>
      </c>
      <c r="G49" s="577">
        <v>0</v>
      </c>
      <c r="H49" s="577">
        <v>0</v>
      </c>
      <c r="I49" s="576">
        <f t="shared" si="122"/>
        <v>4824921.16</v>
      </c>
      <c r="J49" s="576">
        <v>2299215.16</v>
      </c>
      <c r="K49" s="576">
        <v>1291589</v>
      </c>
      <c r="L49" s="576">
        <v>1234117</v>
      </c>
      <c r="M49" s="576">
        <f t="shared" si="123"/>
        <v>3590804.16</v>
      </c>
      <c r="N49" s="576">
        <v>3242269.26</v>
      </c>
      <c r="O49" s="525">
        <f t="shared" si="124"/>
        <v>968598</v>
      </c>
      <c r="P49" s="522">
        <f>2745147.87+1465719.39</f>
        <v>4210867.26</v>
      </c>
      <c r="Q49" s="576">
        <f t="shared" si="12"/>
        <v>-614053.90000000037</v>
      </c>
      <c r="R49" s="576">
        <f t="shared" si="13"/>
        <v>-12.726713652664117</v>
      </c>
      <c r="S49" s="576"/>
      <c r="T49" s="576"/>
      <c r="U49" s="522">
        <f t="shared" si="125"/>
        <v>1275840</v>
      </c>
      <c r="V49" s="522">
        <f t="shared" si="1"/>
        <v>1275840</v>
      </c>
      <c r="W49" s="522">
        <v>0</v>
      </c>
      <c r="X49" s="522">
        <f t="shared" si="15"/>
        <v>-2935027.26</v>
      </c>
      <c r="Y49" s="522">
        <f t="shared" si="16"/>
        <v>-69.701253418280402</v>
      </c>
      <c r="Z49" s="524">
        <f t="shared" si="17"/>
        <v>968598</v>
      </c>
      <c r="AA49" s="522">
        <f t="shared" si="18"/>
        <v>968598</v>
      </c>
      <c r="AB49" s="522">
        <v>0</v>
      </c>
      <c r="AC49" s="522">
        <f t="shared" si="20"/>
        <v>-307242</v>
      </c>
      <c r="AD49" s="522">
        <f t="shared" si="21"/>
        <v>-24.081546275395041</v>
      </c>
      <c r="AE49" s="522">
        <f t="shared" si="22"/>
        <v>-3242269.26</v>
      </c>
      <c r="AF49" s="522">
        <f t="shared" si="23"/>
        <v>-76.997660097221868</v>
      </c>
      <c r="AG49" s="522">
        <f t="shared" si="46"/>
        <v>968598</v>
      </c>
      <c r="AH49" s="522">
        <f t="shared" si="24"/>
        <v>-307242</v>
      </c>
      <c r="AI49" s="522">
        <f t="shared" si="25"/>
        <v>-24.081546275395041</v>
      </c>
      <c r="AJ49" s="522">
        <f t="shared" si="26"/>
        <v>0</v>
      </c>
      <c r="AK49" s="522">
        <f t="shared" si="133"/>
        <v>0</v>
      </c>
      <c r="AL49" s="522">
        <f t="shared" si="126"/>
        <v>968598</v>
      </c>
      <c r="AM49" s="522">
        <f t="shared" si="72"/>
        <v>1275840</v>
      </c>
      <c r="AN49" s="522">
        <f t="shared" si="72"/>
        <v>968598</v>
      </c>
      <c r="AO49" s="522">
        <f t="shared" si="27"/>
        <v>-307242</v>
      </c>
      <c r="AP49" s="522">
        <f t="shared" si="47"/>
        <v>-24.081546275395041</v>
      </c>
      <c r="AQ49" s="578">
        <v>1275840</v>
      </c>
      <c r="AR49" s="578">
        <v>968598</v>
      </c>
      <c r="AS49" s="578">
        <f>1275840-1275840</f>
        <v>0</v>
      </c>
      <c r="AT49" s="578">
        <v>0</v>
      </c>
      <c r="AU49" s="578">
        <f t="shared" si="79"/>
        <v>0</v>
      </c>
      <c r="AV49" s="578">
        <f t="shared" si="79"/>
        <v>0</v>
      </c>
      <c r="AW49" s="578">
        <f t="shared" si="28"/>
        <v>0</v>
      </c>
      <c r="AX49" s="578">
        <v>0</v>
      </c>
      <c r="AY49" s="578">
        <f t="shared" si="82"/>
        <v>0</v>
      </c>
      <c r="AZ49" s="578">
        <f t="shared" si="30"/>
        <v>0</v>
      </c>
      <c r="BA49" s="578">
        <v>0</v>
      </c>
      <c r="BB49" s="578">
        <f>1275840-1275840</f>
        <v>0</v>
      </c>
      <c r="BC49" s="576">
        <f>'[67]Дир_ имущ'!AT10</f>
        <v>0</v>
      </c>
      <c r="BD49" s="576">
        <f t="shared" si="127"/>
        <v>0</v>
      </c>
      <c r="BE49" s="576">
        <f t="shared" si="33"/>
        <v>0</v>
      </c>
      <c r="BF49" s="576">
        <f t="shared" si="34"/>
        <v>0</v>
      </c>
      <c r="BG49" s="576">
        <f t="shared" si="35"/>
        <v>1275840</v>
      </c>
      <c r="BH49" s="578">
        <f t="shared" si="35"/>
        <v>968598</v>
      </c>
      <c r="BI49" s="578">
        <v>968598</v>
      </c>
      <c r="BJ49" s="578">
        <f t="shared" si="37"/>
        <v>-307242</v>
      </c>
      <c r="BK49" s="578">
        <f t="shared" si="38"/>
        <v>0</v>
      </c>
      <c r="BL49" s="576">
        <f>1275840-1275840</f>
        <v>0</v>
      </c>
      <c r="BM49" s="578">
        <f>'[67]Дир_ имущ'!AW10</f>
        <v>0</v>
      </c>
      <c r="BN49" s="522">
        <f t="shared" si="128"/>
        <v>0</v>
      </c>
      <c r="BO49" s="578">
        <f t="shared" si="48"/>
        <v>0</v>
      </c>
      <c r="BP49" s="578">
        <f t="shared" si="40"/>
        <v>0</v>
      </c>
      <c r="BQ49" s="576">
        <f>1275840-1275840</f>
        <v>0</v>
      </c>
      <c r="BR49" s="578">
        <f>'[67]Дир_ имущ'!BB10</f>
        <v>0</v>
      </c>
      <c r="BS49" s="578">
        <f>'[67]Дир_ имущ'!BC10</f>
        <v>0</v>
      </c>
      <c r="BT49" s="536"/>
      <c r="BU49" s="578">
        <v>968598</v>
      </c>
      <c r="BV49" s="578"/>
      <c r="BW49" s="578"/>
      <c r="BX49" s="574"/>
      <c r="BY49" s="522">
        <v>967257.81</v>
      </c>
      <c r="BZ49" s="522">
        <v>974.72</v>
      </c>
      <c r="CA49" s="522">
        <v>365.47</v>
      </c>
      <c r="CB49" s="522">
        <f t="shared" si="132"/>
        <v>968598</v>
      </c>
      <c r="CC49" s="522">
        <f t="shared" si="44"/>
        <v>0</v>
      </c>
      <c r="CD49" s="578"/>
      <c r="CE49" s="578"/>
      <c r="CF49" s="578"/>
      <c r="CG49" s="578"/>
      <c r="CH49" s="578"/>
      <c r="CI49" s="578"/>
      <c r="CJ49" s="578"/>
      <c r="CK49" s="543" t="s">
        <v>1815</v>
      </c>
      <c r="CL49" s="543" t="s">
        <v>1816</v>
      </c>
      <c r="CM49" s="528" t="s">
        <v>1857</v>
      </c>
      <c r="CN49" s="528" t="s">
        <v>1849</v>
      </c>
      <c r="CO49" s="528"/>
      <c r="CP49" s="544">
        <f t="shared" si="129"/>
        <v>1177116.0752838517</v>
      </c>
      <c r="CQ49" s="544">
        <f t="shared" si="130"/>
        <v>86463.015970389009</v>
      </c>
      <c r="CR49" s="544">
        <f t="shared" si="131"/>
        <v>12260.908745759349</v>
      </c>
      <c r="CS49" s="1709" t="s">
        <v>1826</v>
      </c>
      <c r="CT49" s="1710"/>
      <c r="CU49" s="1710"/>
      <c r="CV49" s="1710"/>
      <c r="CW49" s="1711"/>
      <c r="CX49" s="528"/>
      <c r="CY49" s="528"/>
      <c r="CZ49" s="528"/>
      <c r="DA49" s="528"/>
      <c r="DB49" s="579">
        <f>968598</f>
        <v>968598</v>
      </c>
      <c r="DD49" s="535"/>
      <c r="DE49" s="535"/>
      <c r="DF49" s="522">
        <f t="shared" si="88"/>
        <v>967.25781000000006</v>
      </c>
      <c r="DG49" s="522">
        <f t="shared" si="88"/>
        <v>0.97472000000000003</v>
      </c>
      <c r="DH49" s="522">
        <f t="shared" si="88"/>
        <v>0.36547000000000002</v>
      </c>
      <c r="DI49" s="522">
        <f t="shared" si="88"/>
        <v>968.59799999999996</v>
      </c>
      <c r="DJ49" s="536"/>
      <c r="DK49" s="536"/>
      <c r="DL49" s="536"/>
      <c r="DM49" s="536"/>
      <c r="DN49" s="536"/>
      <c r="DO49" s="536"/>
      <c r="DP49" s="536"/>
      <c r="DQ49" s="536"/>
      <c r="DR49" s="536"/>
      <c r="DS49" s="536"/>
    </row>
    <row r="50" spans="1:123" s="534" customFormat="1" ht="36" customHeight="1">
      <c r="A50" s="607" t="s">
        <v>1877</v>
      </c>
      <c r="B50" s="608" t="s">
        <v>1878</v>
      </c>
      <c r="C50" s="525"/>
      <c r="D50" s="576"/>
      <c r="E50" s="576"/>
      <c r="F50" s="576">
        <v>3899925</v>
      </c>
      <c r="G50" s="577">
        <v>0</v>
      </c>
      <c r="H50" s="577">
        <v>0</v>
      </c>
      <c r="I50" s="576">
        <f t="shared" si="122"/>
        <v>0</v>
      </c>
      <c r="J50" s="576">
        <v>0</v>
      </c>
      <c r="K50" s="576">
        <v>0</v>
      </c>
      <c r="L50" s="576">
        <v>0</v>
      </c>
      <c r="M50" s="576">
        <f t="shared" si="123"/>
        <v>0</v>
      </c>
      <c r="N50" s="576">
        <v>2423957.7999999998</v>
      </c>
      <c r="O50" s="525">
        <f t="shared" si="124"/>
        <v>797584.76000000024</v>
      </c>
      <c r="P50" s="522">
        <v>3221542.56</v>
      </c>
      <c r="Q50" s="576">
        <f t="shared" si="12"/>
        <v>3221542.56</v>
      </c>
      <c r="R50" s="576" t="e">
        <f t="shared" si="13"/>
        <v>#DIV/0!</v>
      </c>
      <c r="S50" s="576"/>
      <c r="T50" s="576"/>
      <c r="U50" s="522">
        <f t="shared" si="125"/>
        <v>0</v>
      </c>
      <c r="V50" s="522">
        <f t="shared" si="1"/>
        <v>0</v>
      </c>
      <c r="W50" s="522">
        <v>0</v>
      </c>
      <c r="X50" s="522">
        <f t="shared" si="15"/>
        <v>-3221542.56</v>
      </c>
      <c r="Y50" s="522">
        <f t="shared" si="16"/>
        <v>-100</v>
      </c>
      <c r="Z50" s="524">
        <f t="shared" si="17"/>
        <v>0</v>
      </c>
      <c r="AA50" s="522">
        <f t="shared" si="18"/>
        <v>0</v>
      </c>
      <c r="AB50" s="522">
        <v>0</v>
      </c>
      <c r="AC50" s="522">
        <f t="shared" si="20"/>
        <v>0</v>
      </c>
      <c r="AD50" s="522" t="e">
        <f t="shared" si="21"/>
        <v>#DIV/0!</v>
      </c>
      <c r="AE50" s="522">
        <f t="shared" si="22"/>
        <v>-3221542.56</v>
      </c>
      <c r="AF50" s="522">
        <f t="shared" si="23"/>
        <v>-100</v>
      </c>
      <c r="AG50" s="522">
        <f t="shared" si="46"/>
        <v>0</v>
      </c>
      <c r="AH50" s="522">
        <f t="shared" si="24"/>
        <v>0</v>
      </c>
      <c r="AI50" s="522" t="e">
        <f t="shared" si="25"/>
        <v>#DIV/0!</v>
      </c>
      <c r="AJ50" s="522">
        <f t="shared" si="26"/>
        <v>0</v>
      </c>
      <c r="AK50" s="522" t="e">
        <f t="shared" si="133"/>
        <v>#DIV/0!</v>
      </c>
      <c r="AL50" s="522">
        <f t="shared" si="126"/>
        <v>0</v>
      </c>
      <c r="AM50" s="522">
        <f t="shared" si="72"/>
        <v>0</v>
      </c>
      <c r="AN50" s="522">
        <f t="shared" si="72"/>
        <v>0</v>
      </c>
      <c r="AO50" s="522">
        <f t="shared" si="27"/>
        <v>0</v>
      </c>
      <c r="AP50" s="522" t="e">
        <f t="shared" si="47"/>
        <v>#DIV/0!</v>
      </c>
      <c r="AQ50" s="578">
        <v>0</v>
      </c>
      <c r="AR50" s="578">
        <v>0</v>
      </c>
      <c r="AS50" s="578">
        <v>0</v>
      </c>
      <c r="AT50" s="578">
        <v>0</v>
      </c>
      <c r="AU50" s="578">
        <f t="shared" si="79"/>
        <v>0</v>
      </c>
      <c r="AV50" s="578">
        <f t="shared" si="79"/>
        <v>0</v>
      </c>
      <c r="AW50" s="578">
        <f t="shared" si="28"/>
        <v>0</v>
      </c>
      <c r="AX50" s="578" t="e">
        <f t="shared" si="29"/>
        <v>#DIV/0!</v>
      </c>
      <c r="AY50" s="578">
        <f t="shared" si="82"/>
        <v>0</v>
      </c>
      <c r="AZ50" s="578">
        <f t="shared" si="30"/>
        <v>0</v>
      </c>
      <c r="BA50" s="578" t="e">
        <f t="shared" si="31"/>
        <v>#DIV/0!</v>
      </c>
      <c r="BB50" s="578">
        <v>0</v>
      </c>
      <c r="BC50" s="576"/>
      <c r="BD50" s="576">
        <f t="shared" si="127"/>
        <v>0</v>
      </c>
      <c r="BE50" s="576">
        <f t="shared" si="33"/>
        <v>0</v>
      </c>
      <c r="BF50" s="576">
        <f t="shared" si="34"/>
        <v>0</v>
      </c>
      <c r="BG50" s="576">
        <f t="shared" si="35"/>
        <v>0</v>
      </c>
      <c r="BH50" s="578">
        <f t="shared" si="35"/>
        <v>0</v>
      </c>
      <c r="BI50" s="578"/>
      <c r="BJ50" s="578">
        <f t="shared" si="37"/>
        <v>0</v>
      </c>
      <c r="BK50" s="578">
        <f t="shared" si="38"/>
        <v>0</v>
      </c>
      <c r="BL50" s="576">
        <v>0</v>
      </c>
      <c r="BM50" s="578"/>
      <c r="BN50" s="522">
        <f t="shared" si="128"/>
        <v>0</v>
      </c>
      <c r="BO50" s="578">
        <f t="shared" si="48"/>
        <v>0</v>
      </c>
      <c r="BP50" s="578">
        <f t="shared" si="40"/>
        <v>0</v>
      </c>
      <c r="BQ50" s="576">
        <v>0</v>
      </c>
      <c r="BR50" s="578"/>
      <c r="BS50" s="578"/>
      <c r="BT50" s="536"/>
      <c r="BU50" s="578"/>
      <c r="BV50" s="578"/>
      <c r="BW50" s="578"/>
      <c r="BX50" s="574"/>
      <c r="BY50" s="522"/>
      <c r="BZ50" s="522"/>
      <c r="CA50" s="522"/>
      <c r="CB50" s="522">
        <f t="shared" si="132"/>
        <v>0</v>
      </c>
      <c r="CC50" s="522">
        <f t="shared" si="44"/>
        <v>0</v>
      </c>
      <c r="CD50" s="578"/>
      <c r="CE50" s="578"/>
      <c r="CF50" s="578"/>
      <c r="CG50" s="578"/>
      <c r="CH50" s="578"/>
      <c r="CI50" s="578"/>
      <c r="CJ50" s="578"/>
      <c r="CK50" s="543" t="s">
        <v>77</v>
      </c>
      <c r="CL50" s="542" t="s">
        <v>1800</v>
      </c>
      <c r="CM50" s="528" t="s">
        <v>1857</v>
      </c>
      <c r="CN50" s="528" t="s">
        <v>1849</v>
      </c>
      <c r="CO50" s="528"/>
      <c r="CP50" s="544">
        <f t="shared" si="129"/>
        <v>0</v>
      </c>
      <c r="CQ50" s="544">
        <f t="shared" si="130"/>
        <v>0</v>
      </c>
      <c r="CR50" s="544">
        <f t="shared" si="131"/>
        <v>0</v>
      </c>
      <c r="CS50" s="1709" t="s">
        <v>1826</v>
      </c>
      <c r="CT50" s="1710"/>
      <c r="CU50" s="1710"/>
      <c r="CV50" s="1710"/>
      <c r="CW50" s="1711"/>
      <c r="CX50" s="528"/>
      <c r="CY50" s="528"/>
      <c r="CZ50" s="528"/>
      <c r="DA50" s="528"/>
      <c r="DB50" s="579"/>
      <c r="DD50" s="535"/>
      <c r="DE50" s="535"/>
      <c r="DF50" s="522">
        <f t="shared" si="88"/>
        <v>0</v>
      </c>
      <c r="DG50" s="522">
        <f t="shared" si="88"/>
        <v>0</v>
      </c>
      <c r="DH50" s="522">
        <f t="shared" si="88"/>
        <v>0</v>
      </c>
      <c r="DI50" s="522">
        <f t="shared" si="88"/>
        <v>0</v>
      </c>
      <c r="DJ50" s="536"/>
      <c r="DK50" s="536"/>
      <c r="DL50" s="536"/>
      <c r="DM50" s="536"/>
      <c r="DN50" s="536"/>
      <c r="DO50" s="536"/>
      <c r="DP50" s="536"/>
      <c r="DQ50" s="536"/>
      <c r="DR50" s="536"/>
      <c r="DS50" s="536"/>
    </row>
    <row r="51" spans="1:123" s="534" customFormat="1" ht="84.6">
      <c r="A51" s="537" t="s">
        <v>1879</v>
      </c>
      <c r="B51" s="538" t="s">
        <v>1880</v>
      </c>
      <c r="C51" s="525"/>
      <c r="D51" s="576"/>
      <c r="E51" s="576"/>
      <c r="F51" s="576">
        <v>94094434.239999995</v>
      </c>
      <c r="G51" s="577">
        <v>0</v>
      </c>
      <c r="H51" s="577">
        <v>0</v>
      </c>
      <c r="I51" s="576">
        <f t="shared" si="122"/>
        <v>50737867.99000001</v>
      </c>
      <c r="J51" s="525">
        <v>50737867.99000001</v>
      </c>
      <c r="K51" s="525">
        <v>0</v>
      </c>
      <c r="L51" s="525">
        <v>0</v>
      </c>
      <c r="M51" s="576">
        <f t="shared" si="123"/>
        <v>50737867.99000001</v>
      </c>
      <c r="N51" s="576">
        <v>71107204.090000004</v>
      </c>
      <c r="O51" s="525">
        <f t="shared" si="124"/>
        <v>10763260.149999991</v>
      </c>
      <c r="P51" s="522">
        <f>9260271.75+72610192.49</f>
        <v>81870464.239999995</v>
      </c>
      <c r="Q51" s="576">
        <f t="shared" si="12"/>
        <v>31132596.249999985</v>
      </c>
      <c r="R51" s="576">
        <f t="shared" si="13"/>
        <v>61.359685543223748</v>
      </c>
      <c r="S51" s="576"/>
      <c r="T51" s="576"/>
      <c r="U51" s="522">
        <f t="shared" si="125"/>
        <v>0</v>
      </c>
      <c r="V51" s="522">
        <f t="shared" si="1"/>
        <v>0</v>
      </c>
      <c r="W51" s="522">
        <v>0</v>
      </c>
      <c r="X51" s="522">
        <f t="shared" si="15"/>
        <v>-81870464.239999995</v>
      </c>
      <c r="Y51" s="522">
        <f t="shared" si="16"/>
        <v>-100</v>
      </c>
      <c r="Z51" s="524">
        <f t="shared" si="17"/>
        <v>36728719.770000003</v>
      </c>
      <c r="AA51" s="522">
        <f t="shared" si="18"/>
        <v>36728719.770000003</v>
      </c>
      <c r="AB51" s="522">
        <v>0</v>
      </c>
      <c r="AC51" s="522">
        <f t="shared" si="20"/>
        <v>36728719.770000003</v>
      </c>
      <c r="AD51" s="522">
        <v>0</v>
      </c>
      <c r="AE51" s="522">
        <f t="shared" si="22"/>
        <v>-45141744.469999991</v>
      </c>
      <c r="AF51" s="522">
        <f t="shared" si="23"/>
        <v>-55.138009646151232</v>
      </c>
      <c r="AG51" s="522">
        <f t="shared" si="46"/>
        <v>77988792.219999999</v>
      </c>
      <c r="AH51" s="522">
        <f t="shared" si="24"/>
        <v>77988792.219999999</v>
      </c>
      <c r="AI51" s="522">
        <v>0</v>
      </c>
      <c r="AJ51" s="522">
        <f t="shared" si="26"/>
        <v>41260072.449999996</v>
      </c>
      <c r="AK51" s="522">
        <f t="shared" si="133"/>
        <v>112.33735536761401</v>
      </c>
      <c r="AL51" s="522">
        <f t="shared" si="126"/>
        <v>77988792.219999999</v>
      </c>
      <c r="AM51" s="522">
        <f t="shared" si="72"/>
        <v>0</v>
      </c>
      <c r="AN51" s="522">
        <f t="shared" si="72"/>
        <v>36728719.770000003</v>
      </c>
      <c r="AO51" s="522">
        <f t="shared" si="27"/>
        <v>36728719.770000003</v>
      </c>
      <c r="AP51" s="522">
        <v>0</v>
      </c>
      <c r="AQ51" s="578">
        <v>0</v>
      </c>
      <c r="AR51" s="578">
        <v>18309782.210000001</v>
      </c>
      <c r="AS51" s="578">
        <v>0</v>
      </c>
      <c r="AT51" s="578">
        <v>18418937.560000002</v>
      </c>
      <c r="AU51" s="578">
        <f t="shared" si="79"/>
        <v>0</v>
      </c>
      <c r="AV51" s="578">
        <f t="shared" si="79"/>
        <v>0</v>
      </c>
      <c r="AW51" s="578">
        <f t="shared" si="28"/>
        <v>0</v>
      </c>
      <c r="AX51" s="578">
        <v>0</v>
      </c>
      <c r="AY51" s="578">
        <f t="shared" si="82"/>
        <v>41260072.449999996</v>
      </c>
      <c r="AZ51" s="578">
        <f t="shared" si="30"/>
        <v>-41260072.449999996</v>
      </c>
      <c r="BA51" s="578">
        <v>0</v>
      </c>
      <c r="BB51" s="578">
        <v>0</v>
      </c>
      <c r="BC51" s="576">
        <f>'[67]Гл бух'!AT7</f>
        <v>0</v>
      </c>
      <c r="BD51" s="576">
        <f t="shared" si="127"/>
        <v>20794023.850000001</v>
      </c>
      <c r="BE51" s="576">
        <f t="shared" si="33"/>
        <v>20794023.850000001</v>
      </c>
      <c r="BF51" s="576">
        <f t="shared" si="34"/>
        <v>20794023.850000001</v>
      </c>
      <c r="BG51" s="576">
        <f t="shared" si="35"/>
        <v>0</v>
      </c>
      <c r="BH51" s="578">
        <f t="shared" si="35"/>
        <v>36728719.770000003</v>
      </c>
      <c r="BI51" s="578">
        <f>49598955.85+7923787.77</f>
        <v>57522743.620000005</v>
      </c>
      <c r="BJ51" s="578">
        <f t="shared" si="37"/>
        <v>57522743.620000005</v>
      </c>
      <c r="BK51" s="578">
        <f t="shared" si="38"/>
        <v>20794023.850000001</v>
      </c>
      <c r="BL51" s="576">
        <v>0</v>
      </c>
      <c r="BM51" s="578">
        <f>'[67]Гл бух'!AW7</f>
        <v>0</v>
      </c>
      <c r="BN51" s="522">
        <f t="shared" si="128"/>
        <v>20466048.599999994</v>
      </c>
      <c r="BO51" s="578">
        <f t="shared" si="48"/>
        <v>20466048.599999994</v>
      </c>
      <c r="BP51" s="578">
        <f t="shared" si="40"/>
        <v>20466048.599999994</v>
      </c>
      <c r="BQ51" s="576">
        <v>0</v>
      </c>
      <c r="BR51" s="578">
        <f>'[67]Гл бух'!BB7</f>
        <v>0</v>
      </c>
      <c r="BS51" s="578">
        <f>'[67]Гл бух'!BC7</f>
        <v>0</v>
      </c>
      <c r="BT51" s="536"/>
      <c r="BU51" s="578">
        <v>67098166.390000001</v>
      </c>
      <c r="BV51" s="578">
        <v>10890625.83</v>
      </c>
      <c r="BW51" s="578"/>
      <c r="BX51" s="574"/>
      <c r="BY51" s="522">
        <f>62538737.82+10890625.83</f>
        <v>73429363.650000006</v>
      </c>
      <c r="BZ51" s="522">
        <v>2957226.77</v>
      </c>
      <c r="CA51" s="522">
        <v>1602201.8</v>
      </c>
      <c r="CB51" s="522">
        <f>SUM(BY51:CA51)</f>
        <v>77988792.219999999</v>
      </c>
      <c r="CC51" s="522">
        <f t="shared" si="44"/>
        <v>0</v>
      </c>
      <c r="CD51" s="578"/>
      <c r="CE51" s="578"/>
      <c r="CF51" s="578"/>
      <c r="CG51" s="578"/>
      <c r="CH51" s="578"/>
      <c r="CI51" s="578"/>
      <c r="CJ51" s="578"/>
      <c r="CK51" s="542" t="s">
        <v>1881</v>
      </c>
      <c r="CL51" s="542" t="s">
        <v>1882</v>
      </c>
      <c r="CM51" s="528" t="s">
        <v>1857</v>
      </c>
      <c r="CN51" s="528" t="s">
        <v>1849</v>
      </c>
      <c r="CO51" s="528"/>
      <c r="CP51" s="544">
        <f t="shared" si="129"/>
        <v>0</v>
      </c>
      <c r="CQ51" s="544">
        <f t="shared" si="130"/>
        <v>0</v>
      </c>
      <c r="CR51" s="544">
        <f t="shared" si="131"/>
        <v>0</v>
      </c>
      <c r="CS51" s="1709" t="s">
        <v>1826</v>
      </c>
      <c r="CT51" s="1710"/>
      <c r="CU51" s="1710"/>
      <c r="CV51" s="1710"/>
      <c r="CW51" s="1711"/>
      <c r="CX51" s="528"/>
      <c r="CY51" s="528"/>
      <c r="CZ51" s="528"/>
      <c r="DA51" s="528"/>
      <c r="DB51" s="579">
        <f>15873863.42+2435918.79</f>
        <v>18309782.210000001</v>
      </c>
      <c r="DD51" s="535"/>
      <c r="DE51" s="535"/>
      <c r="DF51" s="522">
        <f t="shared" si="88"/>
        <v>73429.363649999999</v>
      </c>
      <c r="DG51" s="522">
        <f t="shared" si="88"/>
        <v>2957.2267700000002</v>
      </c>
      <c r="DH51" s="522">
        <f t="shared" si="88"/>
        <v>1602.2018</v>
      </c>
      <c r="DI51" s="522">
        <f t="shared" si="88"/>
        <v>77988.792220000003</v>
      </c>
      <c r="DJ51" s="536"/>
      <c r="DK51" s="536"/>
      <c r="DL51" s="536"/>
      <c r="DM51" s="536"/>
      <c r="DN51" s="536"/>
      <c r="DO51" s="536"/>
      <c r="DP51" s="536"/>
      <c r="DQ51" s="536"/>
      <c r="DR51" s="536"/>
      <c r="DS51" s="536"/>
    </row>
    <row r="52" spans="1:123" s="534" customFormat="1" ht="59.25" customHeight="1">
      <c r="A52" s="520" t="s">
        <v>1145</v>
      </c>
      <c r="B52" s="521" t="s">
        <v>1883</v>
      </c>
      <c r="C52" s="522">
        <v>239539358.71000001</v>
      </c>
      <c r="D52" s="578">
        <v>266480565.91999999</v>
      </c>
      <c r="E52" s="522">
        <v>276445700</v>
      </c>
      <c r="F52" s="522">
        <v>271003238.97000003</v>
      </c>
      <c r="G52" s="604">
        <v>267108127.23232195</v>
      </c>
      <c r="H52" s="604">
        <v>0</v>
      </c>
      <c r="I52" s="522">
        <f t="shared" si="122"/>
        <v>260697228.85999995</v>
      </c>
      <c r="J52" s="522">
        <v>132971035.08999997</v>
      </c>
      <c r="K52" s="522">
        <v>64511253.159999996</v>
      </c>
      <c r="L52" s="522">
        <v>63214940.609999999</v>
      </c>
      <c r="M52" s="522">
        <f t="shared" si="123"/>
        <v>197482288.24999997</v>
      </c>
      <c r="N52" s="522">
        <v>188478901.86000001</v>
      </c>
      <c r="O52" s="522">
        <f t="shared" si="124"/>
        <v>56110121.400000006</v>
      </c>
      <c r="P52" s="522">
        <f>3020231.66+415954.42+22939613.62+5307600.61+19416488.93+2922562.93+153710802.11+2336890.69+33990557.39+528320.9</f>
        <v>244589023.26000002</v>
      </c>
      <c r="Q52" s="522">
        <f t="shared" si="12"/>
        <v>-16108205.599999934</v>
      </c>
      <c r="R52" s="522">
        <f t="shared" si="13"/>
        <v>-6.1788940643670571</v>
      </c>
      <c r="S52" s="522">
        <f>288318.4110888*1000</f>
        <v>288318411.08880001</v>
      </c>
      <c r="T52" s="522">
        <v>305659304.15372509</v>
      </c>
      <c r="U52" s="522">
        <f t="shared" si="125"/>
        <v>290236556.50448889</v>
      </c>
      <c r="V52" s="522">
        <f t="shared" si="1"/>
        <v>-15422747.649236202</v>
      </c>
      <c r="W52" s="522">
        <f t="shared" si="14"/>
        <v>-5.0457314531736444</v>
      </c>
      <c r="X52" s="522">
        <f t="shared" si="15"/>
        <v>45647533.244488865</v>
      </c>
      <c r="Y52" s="522">
        <f t="shared" si="16"/>
        <v>18.662952505421799</v>
      </c>
      <c r="Z52" s="524">
        <f t="shared" si="17"/>
        <v>286478865.7822479</v>
      </c>
      <c r="AA52" s="522">
        <f t="shared" si="18"/>
        <v>-19180438.371477187</v>
      </c>
      <c r="AB52" s="522">
        <f t="shared" si="19"/>
        <v>-6.2751037219631911</v>
      </c>
      <c r="AC52" s="522">
        <f t="shared" si="20"/>
        <v>-3757690.7222409844</v>
      </c>
      <c r="AD52" s="522">
        <f t="shared" si="21"/>
        <v>-1.29469931958171</v>
      </c>
      <c r="AE52" s="522">
        <f t="shared" si="22"/>
        <v>41889842.522247881</v>
      </c>
      <c r="AF52" s="522">
        <f t="shared" si="23"/>
        <v>17.126624066738529</v>
      </c>
      <c r="AG52" s="522">
        <f t="shared" si="46"/>
        <v>269491950.06999999</v>
      </c>
      <c r="AH52" s="522">
        <f t="shared" si="24"/>
        <v>-20744606.434488893</v>
      </c>
      <c r="AI52" s="522">
        <f t="shared" si="25"/>
        <v>-7.1474822759510062</v>
      </c>
      <c r="AJ52" s="522">
        <f t="shared" si="26"/>
        <v>-16986915.712247908</v>
      </c>
      <c r="AK52" s="522">
        <f t="shared" si="133"/>
        <v>-5.9295528365990009</v>
      </c>
      <c r="AL52" s="522">
        <f t="shared" si="126"/>
        <v>269491950.06999999</v>
      </c>
      <c r="AM52" s="522">
        <f t="shared" si="72"/>
        <v>155358029.12419429</v>
      </c>
      <c r="AN52" s="522">
        <f t="shared" si="72"/>
        <v>126808968.66</v>
      </c>
      <c r="AO52" s="522">
        <f t="shared" si="27"/>
        <v>-28549060.464194298</v>
      </c>
      <c r="AP52" s="522">
        <f t="shared" si="47"/>
        <v>-18.376301904146828</v>
      </c>
      <c r="AQ52" s="522">
        <f>66306.8782351351*1000</f>
        <v>66306878.235135093</v>
      </c>
      <c r="AR52" s="522">
        <v>62954495.849999994</v>
      </c>
      <c r="AS52" s="522">
        <f>89051.1508890592*1000</f>
        <v>89051150.889059201</v>
      </c>
      <c r="AT52" s="522">
        <v>63854472.810000002</v>
      </c>
      <c r="AU52" s="522">
        <f t="shared" si="79"/>
        <v>134878527.38029459</v>
      </c>
      <c r="AV52" s="522">
        <f t="shared" si="79"/>
        <v>159669897.12224787</v>
      </c>
      <c r="AW52" s="522">
        <f t="shared" si="28"/>
        <v>24791369.741953284</v>
      </c>
      <c r="AX52" s="522">
        <f t="shared" si="29"/>
        <v>18.380516323442038</v>
      </c>
      <c r="AY52" s="522">
        <f t="shared" si="82"/>
        <v>142682981.41</v>
      </c>
      <c r="AZ52" s="522">
        <f t="shared" si="30"/>
        <v>16986915.712247878</v>
      </c>
      <c r="BA52" s="522">
        <f t="shared" si="31"/>
        <v>11.905355175776663</v>
      </c>
      <c r="BB52" s="522">
        <f>69116.9326831932*1000</f>
        <v>69116932.683193192</v>
      </c>
      <c r="BC52" s="525">
        <f>'[67]Дир_по экон'!AT62</f>
        <v>87178578.708361417</v>
      </c>
      <c r="BD52" s="525">
        <f t="shared" si="127"/>
        <v>70689347.890000015</v>
      </c>
      <c r="BE52" s="525">
        <f t="shared" si="33"/>
        <v>1572415.2068068236</v>
      </c>
      <c r="BF52" s="525">
        <f t="shared" si="34"/>
        <v>-16489230.818361402</v>
      </c>
      <c r="BG52" s="525">
        <f t="shared" si="35"/>
        <v>224474961.80738747</v>
      </c>
      <c r="BH52" s="522">
        <f t="shared" si="35"/>
        <v>213987547.36836141</v>
      </c>
      <c r="BI52" s="522">
        <f>170331823.27+27166493.28</f>
        <v>197498316.55000001</v>
      </c>
      <c r="BJ52" s="522">
        <f t="shared" si="37"/>
        <v>-26976645.257387459</v>
      </c>
      <c r="BK52" s="522">
        <f t="shared" si="38"/>
        <v>-16489230.818361402</v>
      </c>
      <c r="BL52" s="525">
        <f>65761.5946971014*1000</f>
        <v>65761594.697101407</v>
      </c>
      <c r="BM52" s="522">
        <f>'[67]Дир_по экон'!AW62</f>
        <v>72491318.413886473</v>
      </c>
      <c r="BN52" s="522">
        <f t="shared" si="128"/>
        <v>71993633.519999981</v>
      </c>
      <c r="BO52" s="522">
        <f t="shared" si="48"/>
        <v>6232038.8228985742</v>
      </c>
      <c r="BP52" s="522">
        <f t="shared" si="40"/>
        <v>-497684.89388649166</v>
      </c>
      <c r="BQ52" s="525">
        <f>65761.5946971014*1000</f>
        <v>65761594.697101407</v>
      </c>
      <c r="BR52" s="522">
        <f>'[67]Дир_по экон'!BB62</f>
        <v>0</v>
      </c>
      <c r="BS52" s="522">
        <f>'[67]Дир_по экон'!BC62</f>
        <v>0</v>
      </c>
      <c r="BT52" s="536"/>
      <c r="BU52" s="522">
        <v>230817308.19999999</v>
      </c>
      <c r="BV52" s="522">
        <v>38674641.869999997</v>
      </c>
      <c r="BW52" s="522"/>
      <c r="BX52" s="574"/>
      <c r="BY52" s="522">
        <f>233650935.51-BY54+42069646.7</f>
        <v>253765574.53999996</v>
      </c>
      <c r="BZ52" s="522">
        <f>11037935.57-BZ54</f>
        <v>10167446.91</v>
      </c>
      <c r="CA52" s="522">
        <f>6045697.47-CA54</f>
        <v>5558928.6200000001</v>
      </c>
      <c r="CB52" s="522">
        <f t="shared" ref="CB52:CB115" si="134">SUM(BY52:CA52)</f>
        <v>269491950.06999993</v>
      </c>
      <c r="CC52" s="522">
        <f t="shared" si="44"/>
        <v>0</v>
      </c>
      <c r="CD52" s="522"/>
      <c r="CE52" s="522"/>
      <c r="CF52" s="522"/>
      <c r="CG52" s="522"/>
      <c r="CH52" s="522"/>
      <c r="CI52" s="522"/>
      <c r="CJ52" s="522"/>
      <c r="CK52" s="605" t="s">
        <v>77</v>
      </c>
      <c r="CL52" s="605" t="s">
        <v>1856</v>
      </c>
      <c r="CM52" s="528" t="s">
        <v>1884</v>
      </c>
      <c r="CN52" s="528" t="s">
        <v>1849</v>
      </c>
      <c r="CO52" s="528"/>
      <c r="CP52" s="529">
        <f t="shared" si="129"/>
        <v>267778182.44957349</v>
      </c>
      <c r="CQ52" s="529">
        <f t="shared" si="130"/>
        <v>19669181.104400501</v>
      </c>
      <c r="CR52" s="529">
        <f t="shared" si="131"/>
        <v>2789192.9505149275</v>
      </c>
      <c r="CS52" s="1730" t="s">
        <v>1826</v>
      </c>
      <c r="CT52" s="1731"/>
      <c r="CU52" s="1731"/>
      <c r="CV52" s="1731"/>
      <c r="CW52" s="1732"/>
      <c r="CX52" s="528"/>
      <c r="CY52" s="528"/>
      <c r="CZ52" s="528"/>
      <c r="DA52" s="528"/>
      <c r="DB52" s="529">
        <f>54762595.62+8191900.23</f>
        <v>62954495.849999994</v>
      </c>
      <c r="DD52" s="535"/>
      <c r="DE52" s="535"/>
      <c r="DF52" s="522">
        <f t="shared" si="88"/>
        <v>253765.57453999997</v>
      </c>
      <c r="DG52" s="522">
        <f t="shared" si="88"/>
        <v>10167.446910000001</v>
      </c>
      <c r="DH52" s="522">
        <f t="shared" si="88"/>
        <v>5558.9286199999997</v>
      </c>
      <c r="DI52" s="522">
        <f t="shared" si="88"/>
        <v>269491.9500699999</v>
      </c>
      <c r="DJ52" s="536"/>
      <c r="DK52" s="536"/>
      <c r="DL52" s="536"/>
      <c r="DM52" s="536"/>
      <c r="DN52" s="536"/>
      <c r="DO52" s="536"/>
      <c r="DP52" s="536"/>
      <c r="DQ52" s="536"/>
      <c r="DR52" s="536"/>
      <c r="DS52" s="536"/>
    </row>
    <row r="53" spans="1:123" s="534" customFormat="1" ht="30" customHeight="1">
      <c r="A53" s="607" t="s">
        <v>1885</v>
      </c>
      <c r="B53" s="608" t="s">
        <v>1886</v>
      </c>
      <c r="C53" s="525"/>
      <c r="D53" s="576"/>
      <c r="E53" s="525"/>
      <c r="F53" s="525"/>
      <c r="G53" s="596">
        <v>0</v>
      </c>
      <c r="H53" s="596">
        <v>0</v>
      </c>
      <c r="I53" s="525">
        <f t="shared" si="122"/>
        <v>0</v>
      </c>
      <c r="J53" s="525">
        <v>0</v>
      </c>
      <c r="K53" s="525">
        <v>0</v>
      </c>
      <c r="L53" s="525">
        <v>0</v>
      </c>
      <c r="M53" s="525">
        <f t="shared" si="123"/>
        <v>0</v>
      </c>
      <c r="N53" s="525"/>
      <c r="O53" s="525">
        <f t="shared" si="124"/>
        <v>0</v>
      </c>
      <c r="P53" s="609"/>
      <c r="Q53" s="525">
        <f t="shared" si="12"/>
        <v>0</v>
      </c>
      <c r="R53" s="525" t="e">
        <f t="shared" si="13"/>
        <v>#DIV/0!</v>
      </c>
      <c r="S53" s="525"/>
      <c r="T53" s="525"/>
      <c r="U53" s="522">
        <f t="shared" si="125"/>
        <v>0</v>
      </c>
      <c r="V53" s="522">
        <f t="shared" si="1"/>
        <v>0</v>
      </c>
      <c r="W53" s="522" t="e">
        <f t="shared" si="14"/>
        <v>#DIV/0!</v>
      </c>
      <c r="X53" s="522">
        <f t="shared" si="15"/>
        <v>0</v>
      </c>
      <c r="Y53" s="522" t="e">
        <f t="shared" si="16"/>
        <v>#DIV/0!</v>
      </c>
      <c r="Z53" s="524">
        <f t="shared" si="17"/>
        <v>0</v>
      </c>
      <c r="AA53" s="522">
        <f t="shared" si="18"/>
        <v>0</v>
      </c>
      <c r="AB53" s="522" t="e">
        <f t="shared" si="19"/>
        <v>#DIV/0!</v>
      </c>
      <c r="AC53" s="522">
        <f t="shared" si="20"/>
        <v>0</v>
      </c>
      <c r="AD53" s="522" t="e">
        <f t="shared" si="21"/>
        <v>#DIV/0!</v>
      </c>
      <c r="AE53" s="522">
        <f t="shared" si="22"/>
        <v>0</v>
      </c>
      <c r="AF53" s="522" t="e">
        <f t="shared" si="23"/>
        <v>#DIV/0!</v>
      </c>
      <c r="AG53" s="522">
        <f t="shared" si="46"/>
        <v>0</v>
      </c>
      <c r="AH53" s="522">
        <f t="shared" si="24"/>
        <v>0</v>
      </c>
      <c r="AI53" s="522" t="e">
        <f t="shared" si="25"/>
        <v>#DIV/0!</v>
      </c>
      <c r="AJ53" s="522">
        <f t="shared" si="26"/>
        <v>0</v>
      </c>
      <c r="AK53" s="522" t="e">
        <f t="shared" si="133"/>
        <v>#DIV/0!</v>
      </c>
      <c r="AL53" s="522">
        <f t="shared" si="126"/>
        <v>0</v>
      </c>
      <c r="AM53" s="522">
        <f t="shared" si="72"/>
        <v>0</v>
      </c>
      <c r="AN53" s="522">
        <f t="shared" si="72"/>
        <v>0</v>
      </c>
      <c r="AO53" s="522">
        <f t="shared" si="27"/>
        <v>0</v>
      </c>
      <c r="AP53" s="522" t="e">
        <f t="shared" si="47"/>
        <v>#DIV/0!</v>
      </c>
      <c r="AQ53" s="522">
        <v>0</v>
      </c>
      <c r="AR53" s="522">
        <v>0</v>
      </c>
      <c r="AS53" s="522">
        <v>0</v>
      </c>
      <c r="AT53" s="522">
        <v>0</v>
      </c>
      <c r="AU53" s="522">
        <f t="shared" si="79"/>
        <v>0</v>
      </c>
      <c r="AV53" s="522">
        <f t="shared" si="79"/>
        <v>0</v>
      </c>
      <c r="AW53" s="522">
        <f t="shared" si="28"/>
        <v>0</v>
      </c>
      <c r="AX53" s="522" t="e">
        <f t="shared" si="29"/>
        <v>#DIV/0!</v>
      </c>
      <c r="AY53" s="522">
        <f t="shared" si="82"/>
        <v>0</v>
      </c>
      <c r="AZ53" s="522">
        <f t="shared" si="30"/>
        <v>0</v>
      </c>
      <c r="BA53" s="522" t="e">
        <f t="shared" si="31"/>
        <v>#DIV/0!</v>
      </c>
      <c r="BB53" s="522">
        <v>0</v>
      </c>
      <c r="BC53" s="525"/>
      <c r="BD53" s="525">
        <f t="shared" si="127"/>
        <v>0</v>
      </c>
      <c r="BE53" s="525">
        <f t="shared" si="33"/>
        <v>0</v>
      </c>
      <c r="BF53" s="525">
        <f t="shared" si="34"/>
        <v>0</v>
      </c>
      <c r="BG53" s="525">
        <f t="shared" si="35"/>
        <v>0</v>
      </c>
      <c r="BH53" s="522">
        <f t="shared" si="35"/>
        <v>0</v>
      </c>
      <c r="BI53" s="522"/>
      <c r="BJ53" s="522">
        <f t="shared" si="37"/>
        <v>0</v>
      </c>
      <c r="BK53" s="522">
        <f t="shared" si="38"/>
        <v>0</v>
      </c>
      <c r="BL53" s="525">
        <v>0</v>
      </c>
      <c r="BM53" s="522"/>
      <c r="BN53" s="522">
        <f t="shared" si="128"/>
        <v>0</v>
      </c>
      <c r="BO53" s="522">
        <f t="shared" si="48"/>
        <v>0</v>
      </c>
      <c r="BP53" s="522">
        <f t="shared" si="40"/>
        <v>0</v>
      </c>
      <c r="BQ53" s="525">
        <v>0</v>
      </c>
      <c r="BR53" s="522"/>
      <c r="BS53" s="522"/>
      <c r="BT53" s="536"/>
      <c r="BU53" s="522"/>
      <c r="BV53" s="522"/>
      <c r="BW53" s="522"/>
      <c r="BX53" s="574"/>
      <c r="BY53" s="522"/>
      <c r="BZ53" s="522"/>
      <c r="CA53" s="522"/>
      <c r="CB53" s="522">
        <f t="shared" si="134"/>
        <v>0</v>
      </c>
      <c r="CC53" s="522">
        <f t="shared" si="44"/>
        <v>0</v>
      </c>
      <c r="CD53" s="522"/>
      <c r="CE53" s="522"/>
      <c r="CF53" s="522"/>
      <c r="CG53" s="522"/>
      <c r="CH53" s="522"/>
      <c r="CI53" s="522"/>
      <c r="CJ53" s="522"/>
      <c r="CK53" s="543" t="s">
        <v>77</v>
      </c>
      <c r="CL53" s="543" t="s">
        <v>1800</v>
      </c>
      <c r="CM53" s="528" t="s">
        <v>1857</v>
      </c>
      <c r="CN53" s="528" t="s">
        <v>1849</v>
      </c>
      <c r="CO53" s="528"/>
      <c r="CP53" s="544">
        <f t="shared" si="129"/>
        <v>0</v>
      </c>
      <c r="CQ53" s="544">
        <f t="shared" si="130"/>
        <v>0</v>
      </c>
      <c r="CR53" s="544">
        <f t="shared" si="131"/>
        <v>0</v>
      </c>
      <c r="CS53" s="1709" t="s">
        <v>1826</v>
      </c>
      <c r="CT53" s="1710"/>
      <c r="CU53" s="1710"/>
      <c r="CV53" s="1710"/>
      <c r="CW53" s="1711"/>
      <c r="CX53" s="528"/>
      <c r="CY53" s="528"/>
      <c r="CZ53" s="528"/>
      <c r="DA53" s="528"/>
      <c r="DB53" s="544"/>
      <c r="DD53" s="535"/>
      <c r="DE53" s="535"/>
      <c r="DF53" s="522">
        <f t="shared" si="88"/>
        <v>0</v>
      </c>
      <c r="DG53" s="522">
        <f t="shared" si="88"/>
        <v>0</v>
      </c>
      <c r="DH53" s="522">
        <f t="shared" si="88"/>
        <v>0</v>
      </c>
      <c r="DI53" s="522">
        <f t="shared" si="88"/>
        <v>0</v>
      </c>
      <c r="DJ53" s="536"/>
      <c r="DK53" s="536"/>
      <c r="DL53" s="536"/>
      <c r="DM53" s="536"/>
      <c r="DN53" s="536"/>
      <c r="DO53" s="536"/>
      <c r="DP53" s="536"/>
      <c r="DQ53" s="536"/>
      <c r="DR53" s="536"/>
      <c r="DS53" s="536"/>
    </row>
    <row r="54" spans="1:123" s="614" customFormat="1" ht="98.25" customHeight="1">
      <c r="A54" s="598" t="s">
        <v>1887</v>
      </c>
      <c r="B54" s="610" t="s">
        <v>1888</v>
      </c>
      <c r="C54" s="525"/>
      <c r="D54" s="525"/>
      <c r="E54" s="525"/>
      <c r="F54" s="525"/>
      <c r="G54" s="596">
        <v>0</v>
      </c>
      <c r="H54" s="596">
        <v>0</v>
      </c>
      <c r="I54" s="525">
        <f t="shared" si="122"/>
        <v>15420183.880000001</v>
      </c>
      <c r="J54" s="525">
        <v>15420183.880000001</v>
      </c>
      <c r="K54" s="525">
        <v>0</v>
      </c>
      <c r="L54" s="525">
        <v>0</v>
      </c>
      <c r="M54" s="525">
        <f t="shared" si="123"/>
        <v>15420183.880000001</v>
      </c>
      <c r="N54" s="525">
        <v>22489458.710000001</v>
      </c>
      <c r="O54" s="525">
        <f t="shared" si="124"/>
        <v>-1306350.25</v>
      </c>
      <c r="P54" s="522">
        <f>2412859.67+18770248.79</f>
        <v>21183108.460000001</v>
      </c>
      <c r="Q54" s="525">
        <f t="shared" si="12"/>
        <v>5762924.5800000001</v>
      </c>
      <c r="R54" s="525">
        <f t="shared" si="13"/>
        <v>37.372606091127892</v>
      </c>
      <c r="S54" s="525"/>
      <c r="T54" s="525"/>
      <c r="U54" s="522">
        <f t="shared" si="125"/>
        <v>0</v>
      </c>
      <c r="V54" s="522">
        <f t="shared" si="1"/>
        <v>0</v>
      </c>
      <c r="W54" s="522">
        <v>0</v>
      </c>
      <c r="X54" s="522">
        <f t="shared" si="15"/>
        <v>-21183108.460000001</v>
      </c>
      <c r="Y54" s="522">
        <f t="shared" si="16"/>
        <v>-100</v>
      </c>
      <c r="Z54" s="524">
        <f t="shared" si="17"/>
        <v>11165530.779999999</v>
      </c>
      <c r="AA54" s="522">
        <f t="shared" si="18"/>
        <v>11165530.779999999</v>
      </c>
      <c r="AB54" s="522">
        <v>0</v>
      </c>
      <c r="AC54" s="522">
        <f t="shared" si="20"/>
        <v>11165530.779999999</v>
      </c>
      <c r="AD54" s="522">
        <v>0</v>
      </c>
      <c r="AE54" s="522">
        <f t="shared" si="22"/>
        <v>-10017577.680000002</v>
      </c>
      <c r="AF54" s="522">
        <f t="shared" si="23"/>
        <v>-47.290404516958226</v>
      </c>
      <c r="AG54" s="522">
        <f t="shared" si="46"/>
        <v>23312265.18</v>
      </c>
      <c r="AH54" s="522">
        <f t="shared" si="24"/>
        <v>23312265.18</v>
      </c>
      <c r="AI54" s="522">
        <v>0</v>
      </c>
      <c r="AJ54" s="522">
        <f t="shared" si="26"/>
        <v>12146734.4</v>
      </c>
      <c r="AK54" s="522">
        <f t="shared" si="133"/>
        <v>108.78779199424679</v>
      </c>
      <c r="AL54" s="522">
        <f t="shared" si="126"/>
        <v>23312265.18</v>
      </c>
      <c r="AM54" s="522">
        <f t="shared" si="72"/>
        <v>0</v>
      </c>
      <c r="AN54" s="522">
        <f t="shared" si="72"/>
        <v>11165530.779999999</v>
      </c>
      <c r="AO54" s="522">
        <f t="shared" si="27"/>
        <v>11165530.779999999</v>
      </c>
      <c r="AP54" s="522">
        <v>0</v>
      </c>
      <c r="AQ54" s="522">
        <v>0</v>
      </c>
      <c r="AR54" s="522">
        <v>5566173.790000001</v>
      </c>
      <c r="AS54" s="522">
        <v>0</v>
      </c>
      <c r="AT54" s="522">
        <v>5599356.9899999984</v>
      </c>
      <c r="AU54" s="522">
        <f t="shared" si="79"/>
        <v>0</v>
      </c>
      <c r="AV54" s="522">
        <f t="shared" si="79"/>
        <v>0</v>
      </c>
      <c r="AW54" s="522">
        <f t="shared" si="28"/>
        <v>0</v>
      </c>
      <c r="AX54" s="522">
        <v>0</v>
      </c>
      <c r="AY54" s="522">
        <f t="shared" si="82"/>
        <v>12146734.4</v>
      </c>
      <c r="AZ54" s="522">
        <f t="shared" si="30"/>
        <v>-12146734.4</v>
      </c>
      <c r="BA54" s="522">
        <v>0</v>
      </c>
      <c r="BB54" s="522">
        <v>0</v>
      </c>
      <c r="BC54" s="525">
        <f>'[67]Гл бух'!AT8</f>
        <v>0</v>
      </c>
      <c r="BD54" s="525">
        <f t="shared" si="127"/>
        <v>6321383.2100000028</v>
      </c>
      <c r="BE54" s="525">
        <f t="shared" si="33"/>
        <v>6321383.2100000028</v>
      </c>
      <c r="BF54" s="525">
        <f t="shared" si="34"/>
        <v>6321383.2100000028</v>
      </c>
      <c r="BG54" s="525">
        <f t="shared" si="35"/>
        <v>0</v>
      </c>
      <c r="BH54" s="522">
        <f t="shared" si="35"/>
        <v>11165530.779999999</v>
      </c>
      <c r="BI54" s="522">
        <f>15078082.58+2408831.41</f>
        <v>17486913.990000002</v>
      </c>
      <c r="BJ54" s="522">
        <f t="shared" si="37"/>
        <v>17486913.990000002</v>
      </c>
      <c r="BK54" s="522">
        <f t="shared" si="38"/>
        <v>6321383.2100000028</v>
      </c>
      <c r="BL54" s="525">
        <v>0</v>
      </c>
      <c r="BM54" s="522">
        <f>'[67]Гл бух'!AW8</f>
        <v>0</v>
      </c>
      <c r="BN54" s="522">
        <f t="shared" si="128"/>
        <v>5825351.1899999976</v>
      </c>
      <c r="BO54" s="522">
        <f t="shared" si="48"/>
        <v>5825351.1899999976</v>
      </c>
      <c r="BP54" s="522">
        <f t="shared" si="40"/>
        <v>5825351.1899999976</v>
      </c>
      <c r="BQ54" s="525">
        <v>0</v>
      </c>
      <c r="BR54" s="522">
        <f>'[67]Гл бух'!BB8</f>
        <v>0</v>
      </c>
      <c r="BS54" s="522">
        <f>'[67]Гл бух'!BC8</f>
        <v>0</v>
      </c>
      <c r="BT54" s="611"/>
      <c r="BU54" s="522">
        <v>19917260.350000001</v>
      </c>
      <c r="BV54" s="522">
        <v>3395004.83</v>
      </c>
      <c r="BW54" s="522"/>
      <c r="BX54" s="574"/>
      <c r="BY54" s="522">
        <f>18560002.84+3395004.83</f>
        <v>21955007.670000002</v>
      </c>
      <c r="BZ54" s="522">
        <v>870488.66</v>
      </c>
      <c r="CA54" s="522">
        <v>486768.85</v>
      </c>
      <c r="CB54" s="522">
        <f t="shared" si="134"/>
        <v>23312265.180000003</v>
      </c>
      <c r="CC54" s="522">
        <f t="shared" si="44"/>
        <v>0</v>
      </c>
      <c r="CD54" s="522"/>
      <c r="CE54" s="522"/>
      <c r="CF54" s="522"/>
      <c r="CG54" s="522"/>
      <c r="CH54" s="522"/>
      <c r="CI54" s="522"/>
      <c r="CJ54" s="522"/>
      <c r="CK54" s="542" t="s">
        <v>1881</v>
      </c>
      <c r="CL54" s="612" t="s">
        <v>1882</v>
      </c>
      <c r="CM54" s="528" t="s">
        <v>1857</v>
      </c>
      <c r="CN54" s="528" t="s">
        <v>1849</v>
      </c>
      <c r="CO54" s="613"/>
      <c r="CP54" s="544">
        <f t="shared" si="129"/>
        <v>0</v>
      </c>
      <c r="CQ54" s="544">
        <f t="shared" si="130"/>
        <v>0</v>
      </c>
      <c r="CR54" s="544">
        <f t="shared" si="131"/>
        <v>0</v>
      </c>
      <c r="CS54" s="1709" t="s">
        <v>1826</v>
      </c>
      <c r="CT54" s="1710"/>
      <c r="CU54" s="1710"/>
      <c r="CV54" s="1710"/>
      <c r="CW54" s="1711"/>
      <c r="CX54" s="613"/>
      <c r="CY54" s="613"/>
      <c r="CZ54" s="613"/>
      <c r="DA54" s="613"/>
      <c r="DB54" s="544">
        <f>4825654.48+740519.31</f>
        <v>5566173.790000001</v>
      </c>
      <c r="DD54" s="615"/>
      <c r="DE54" s="615"/>
      <c r="DF54" s="522">
        <f t="shared" si="88"/>
        <v>21955.007670000003</v>
      </c>
      <c r="DG54" s="522">
        <f t="shared" si="88"/>
        <v>870.48865999999998</v>
      </c>
      <c r="DH54" s="522">
        <f t="shared" si="88"/>
        <v>486.76884999999999</v>
      </c>
      <c r="DI54" s="522">
        <f t="shared" si="88"/>
        <v>23312.265180000002</v>
      </c>
      <c r="DJ54" s="611"/>
      <c r="DK54" s="611"/>
      <c r="DL54" s="611"/>
      <c r="DM54" s="611"/>
      <c r="DN54" s="611"/>
      <c r="DO54" s="611"/>
      <c r="DP54" s="611"/>
      <c r="DQ54" s="611"/>
      <c r="DR54" s="611"/>
      <c r="DS54" s="611"/>
    </row>
    <row r="55" spans="1:123" s="614" customFormat="1" ht="64.5" customHeight="1">
      <c r="A55" s="607" t="s">
        <v>1889</v>
      </c>
      <c r="B55" s="608" t="s">
        <v>1890</v>
      </c>
      <c r="C55" s="525"/>
      <c r="D55" s="525"/>
      <c r="E55" s="525"/>
      <c r="F55" s="525"/>
      <c r="G55" s="596"/>
      <c r="H55" s="596"/>
      <c r="I55" s="525">
        <f t="shared" si="122"/>
        <v>0</v>
      </c>
      <c r="J55" s="525"/>
      <c r="K55" s="525"/>
      <c r="L55" s="525"/>
      <c r="M55" s="525">
        <f t="shared" si="123"/>
        <v>0</v>
      </c>
      <c r="N55" s="525"/>
      <c r="O55" s="525">
        <f t="shared" si="124"/>
        <v>10648865.310000001</v>
      </c>
      <c r="P55" s="609">
        <v>10648865.310000001</v>
      </c>
      <c r="Q55" s="525">
        <f t="shared" si="12"/>
        <v>10648865.310000001</v>
      </c>
      <c r="R55" s="525" t="e">
        <f t="shared" si="13"/>
        <v>#DIV/0!</v>
      </c>
      <c r="S55" s="525"/>
      <c r="T55" s="525"/>
      <c r="U55" s="522">
        <f t="shared" si="125"/>
        <v>0</v>
      </c>
      <c r="V55" s="522">
        <f t="shared" si="1"/>
        <v>0</v>
      </c>
      <c r="W55" s="522" t="e">
        <f t="shared" si="14"/>
        <v>#DIV/0!</v>
      </c>
      <c r="X55" s="522">
        <f t="shared" si="15"/>
        <v>-10648865.310000001</v>
      </c>
      <c r="Y55" s="522">
        <f t="shared" si="16"/>
        <v>-100</v>
      </c>
      <c r="Z55" s="524">
        <f t="shared" si="17"/>
        <v>0</v>
      </c>
      <c r="AA55" s="522">
        <f t="shared" si="18"/>
        <v>0</v>
      </c>
      <c r="AB55" s="522" t="e">
        <f t="shared" si="19"/>
        <v>#DIV/0!</v>
      </c>
      <c r="AC55" s="522">
        <f t="shared" si="20"/>
        <v>0</v>
      </c>
      <c r="AD55" s="522" t="e">
        <f t="shared" si="21"/>
        <v>#DIV/0!</v>
      </c>
      <c r="AE55" s="522">
        <f t="shared" si="22"/>
        <v>-10648865.310000001</v>
      </c>
      <c r="AF55" s="522">
        <f t="shared" si="23"/>
        <v>-100</v>
      </c>
      <c r="AG55" s="522">
        <f t="shared" si="46"/>
        <v>0</v>
      </c>
      <c r="AH55" s="522">
        <f t="shared" si="24"/>
        <v>0</v>
      </c>
      <c r="AI55" s="522" t="e">
        <f t="shared" si="25"/>
        <v>#DIV/0!</v>
      </c>
      <c r="AJ55" s="522">
        <f t="shared" si="26"/>
        <v>0</v>
      </c>
      <c r="AK55" s="522" t="e">
        <f t="shared" si="133"/>
        <v>#DIV/0!</v>
      </c>
      <c r="AL55" s="522">
        <f t="shared" si="126"/>
        <v>0</v>
      </c>
      <c r="AM55" s="522">
        <f t="shared" si="72"/>
        <v>0</v>
      </c>
      <c r="AN55" s="522">
        <f t="shared" si="72"/>
        <v>0</v>
      </c>
      <c r="AO55" s="522">
        <f t="shared" si="27"/>
        <v>0</v>
      </c>
      <c r="AP55" s="522" t="e">
        <f t="shared" si="47"/>
        <v>#DIV/0!</v>
      </c>
      <c r="AQ55" s="522">
        <v>0</v>
      </c>
      <c r="AR55" s="522">
        <v>0</v>
      </c>
      <c r="AS55" s="522">
        <v>0</v>
      </c>
      <c r="AT55" s="522">
        <v>0</v>
      </c>
      <c r="AU55" s="522">
        <f t="shared" si="79"/>
        <v>0</v>
      </c>
      <c r="AV55" s="522">
        <f t="shared" si="79"/>
        <v>0</v>
      </c>
      <c r="AW55" s="522">
        <f t="shared" si="28"/>
        <v>0</v>
      </c>
      <c r="AX55" s="522" t="e">
        <f t="shared" si="29"/>
        <v>#DIV/0!</v>
      </c>
      <c r="AY55" s="522">
        <f t="shared" si="82"/>
        <v>0</v>
      </c>
      <c r="AZ55" s="522">
        <f t="shared" si="30"/>
        <v>0</v>
      </c>
      <c r="BA55" s="522" t="e">
        <f t="shared" si="31"/>
        <v>#DIV/0!</v>
      </c>
      <c r="BB55" s="522">
        <v>0</v>
      </c>
      <c r="BC55" s="525"/>
      <c r="BD55" s="525">
        <f t="shared" si="127"/>
        <v>0</v>
      </c>
      <c r="BE55" s="525">
        <f t="shared" si="33"/>
        <v>0</v>
      </c>
      <c r="BF55" s="525">
        <f t="shared" si="34"/>
        <v>0</v>
      </c>
      <c r="BG55" s="525">
        <f t="shared" si="35"/>
        <v>0</v>
      </c>
      <c r="BH55" s="522">
        <f t="shared" si="35"/>
        <v>0</v>
      </c>
      <c r="BI55" s="522"/>
      <c r="BJ55" s="522">
        <f t="shared" si="37"/>
        <v>0</v>
      </c>
      <c r="BK55" s="522">
        <f t="shared" si="38"/>
        <v>0</v>
      </c>
      <c r="BL55" s="525">
        <v>0</v>
      </c>
      <c r="BM55" s="522"/>
      <c r="BN55" s="522">
        <f t="shared" si="128"/>
        <v>0</v>
      </c>
      <c r="BO55" s="522">
        <f t="shared" si="48"/>
        <v>0</v>
      </c>
      <c r="BP55" s="522">
        <f t="shared" si="40"/>
        <v>0</v>
      </c>
      <c r="BQ55" s="525">
        <v>0</v>
      </c>
      <c r="BR55" s="522"/>
      <c r="BS55" s="522"/>
      <c r="BT55" s="611"/>
      <c r="BU55" s="522"/>
      <c r="BV55" s="522"/>
      <c r="BW55" s="522"/>
      <c r="BX55" s="616"/>
      <c r="BY55" s="522"/>
      <c r="BZ55" s="522"/>
      <c r="CA55" s="522"/>
      <c r="CB55" s="522">
        <f t="shared" si="134"/>
        <v>0</v>
      </c>
      <c r="CC55" s="522">
        <f t="shared" si="44"/>
        <v>0</v>
      </c>
      <c r="CD55" s="522"/>
      <c r="CE55" s="522"/>
      <c r="CF55" s="522"/>
      <c r="CG55" s="522"/>
      <c r="CH55" s="522"/>
      <c r="CI55" s="522"/>
      <c r="CJ55" s="522"/>
      <c r="CK55" s="543" t="s">
        <v>1891</v>
      </c>
      <c r="CL55" s="543" t="s">
        <v>1892</v>
      </c>
      <c r="CM55" s="528" t="s">
        <v>1857</v>
      </c>
      <c r="CN55" s="528" t="s">
        <v>1849</v>
      </c>
      <c r="CO55" s="613"/>
      <c r="CP55" s="544">
        <f t="shared" si="129"/>
        <v>0</v>
      </c>
      <c r="CQ55" s="544">
        <f t="shared" si="130"/>
        <v>0</v>
      </c>
      <c r="CR55" s="544">
        <f t="shared" si="131"/>
        <v>0</v>
      </c>
      <c r="CS55" s="1709" t="s">
        <v>1826</v>
      </c>
      <c r="CT55" s="1710"/>
      <c r="CU55" s="1710"/>
      <c r="CV55" s="1710"/>
      <c r="CW55" s="1711"/>
      <c r="CX55" s="613"/>
      <c r="CY55" s="613"/>
      <c r="CZ55" s="613"/>
      <c r="DA55" s="613"/>
      <c r="DB55" s="544"/>
      <c r="DD55" s="615"/>
      <c r="DE55" s="615"/>
      <c r="DF55" s="522">
        <f t="shared" si="88"/>
        <v>0</v>
      </c>
      <c r="DG55" s="522">
        <f t="shared" si="88"/>
        <v>0</v>
      </c>
      <c r="DH55" s="522">
        <f t="shared" si="88"/>
        <v>0</v>
      </c>
      <c r="DI55" s="522">
        <f t="shared" si="88"/>
        <v>0</v>
      </c>
      <c r="DJ55" s="611"/>
      <c r="DK55" s="611"/>
      <c r="DL55" s="611"/>
      <c r="DM55" s="611"/>
      <c r="DN55" s="611"/>
      <c r="DO55" s="611"/>
      <c r="DP55" s="611"/>
      <c r="DQ55" s="611"/>
      <c r="DR55" s="611"/>
      <c r="DS55" s="611"/>
    </row>
    <row r="56" spans="1:123" ht="55.2">
      <c r="A56" s="505" t="s">
        <v>1893</v>
      </c>
      <c r="B56" s="506" t="s">
        <v>1894</v>
      </c>
      <c r="C56" s="580">
        <f>SUM(C57:C71)</f>
        <v>20228021.860000003</v>
      </c>
      <c r="D56" s="580">
        <f t="shared" ref="D56:T56" si="135">SUM(D57:D71)</f>
        <v>31475175.191998594</v>
      </c>
      <c r="E56" s="594">
        <f t="shared" si="135"/>
        <v>23970055.059999999</v>
      </c>
      <c r="F56" s="594">
        <f t="shared" si="135"/>
        <v>25728661.679999996</v>
      </c>
      <c r="G56" s="580">
        <f t="shared" si="135"/>
        <v>24217688.411640152</v>
      </c>
      <c r="H56" s="580">
        <f t="shared" si="135"/>
        <v>0</v>
      </c>
      <c r="I56" s="580">
        <f t="shared" si="135"/>
        <v>21857810.439999998</v>
      </c>
      <c r="J56" s="580">
        <f>SUM(J57:J71)</f>
        <v>9799334.3300000001</v>
      </c>
      <c r="K56" s="580">
        <f t="shared" si="135"/>
        <v>5352990.1999999993</v>
      </c>
      <c r="L56" s="580">
        <f t="shared" si="135"/>
        <v>6705485.9100000001</v>
      </c>
      <c r="M56" s="580">
        <f t="shared" si="135"/>
        <v>15152324.530000001</v>
      </c>
      <c r="N56" s="580">
        <f t="shared" si="135"/>
        <v>15597070.200000001</v>
      </c>
      <c r="O56" s="580">
        <f>SUM(O57:O71)</f>
        <v>6350126.4399999985</v>
      </c>
      <c r="P56" s="580">
        <f>SUM(P57:P71)</f>
        <v>21947196.640000001</v>
      </c>
      <c r="Q56" s="580">
        <f t="shared" si="12"/>
        <v>89386.20000000298</v>
      </c>
      <c r="R56" s="580">
        <f t="shared" si="13"/>
        <v>0.40894398020958533</v>
      </c>
      <c r="S56" s="580">
        <f t="shared" si="135"/>
        <v>21065964.133858331</v>
      </c>
      <c r="T56" s="580">
        <f t="shared" si="135"/>
        <v>22056849.146358337</v>
      </c>
      <c r="U56" s="580">
        <f>SUM(U57:U71)</f>
        <v>20944831.34</v>
      </c>
      <c r="V56" s="580">
        <f t="shared" si="1"/>
        <v>-1112017.8063583374</v>
      </c>
      <c r="W56" s="580">
        <f t="shared" si="14"/>
        <v>-5.041598638951271</v>
      </c>
      <c r="X56" s="580">
        <f t="shared" si="15"/>
        <v>-1002365.3000000007</v>
      </c>
      <c r="Y56" s="580">
        <f t="shared" si="16"/>
        <v>-4.567167809364463</v>
      </c>
      <c r="Z56" s="580">
        <f t="shared" si="17"/>
        <v>22491723.965000004</v>
      </c>
      <c r="AA56" s="580">
        <f t="shared" si="18"/>
        <v>434874.81864166632</v>
      </c>
      <c r="AB56" s="580">
        <f t="shared" si="19"/>
        <v>1.9716089807571962</v>
      </c>
      <c r="AC56" s="580">
        <f t="shared" si="20"/>
        <v>1546892.6250000037</v>
      </c>
      <c r="AD56" s="580">
        <f t="shared" si="21"/>
        <v>7.3855578012976366</v>
      </c>
      <c r="AE56" s="580">
        <f t="shared" si="22"/>
        <v>544527.32500000298</v>
      </c>
      <c r="AF56" s="580">
        <f t="shared" si="23"/>
        <v>2.4810791734903006</v>
      </c>
      <c r="AG56" s="580">
        <f t="shared" si="46"/>
        <v>23118494.319999997</v>
      </c>
      <c r="AH56" s="580">
        <f t="shared" si="24"/>
        <v>2173662.9799999967</v>
      </c>
      <c r="AI56" s="580">
        <f t="shared" si="25"/>
        <v>10.378040026747698</v>
      </c>
      <c r="AJ56" s="580">
        <f t="shared" si="26"/>
        <v>626770.354999993</v>
      </c>
      <c r="AK56" s="580">
        <f t="shared" si="133"/>
        <v>2.7866710260864238</v>
      </c>
      <c r="AL56" s="580">
        <f>SUM(AL57:AL71)</f>
        <v>23118494.32</v>
      </c>
      <c r="AM56" s="580">
        <f t="shared" si="72"/>
        <v>9825697.6400000006</v>
      </c>
      <c r="AN56" s="580">
        <f t="shared" si="72"/>
        <v>10116622.59</v>
      </c>
      <c r="AO56" s="580">
        <f t="shared" si="27"/>
        <v>290924.94999999925</v>
      </c>
      <c r="AP56" s="580">
        <f t="shared" si="47"/>
        <v>2.9608579528811845</v>
      </c>
      <c r="AQ56" s="580">
        <f>SUM(AQ57:AQ71)</f>
        <v>3293559.5300000003</v>
      </c>
      <c r="AR56" s="580">
        <f>SUM(AR57:AR71)</f>
        <v>3800545.91</v>
      </c>
      <c r="AS56" s="580">
        <f>SUM(AS57:AS71)</f>
        <v>6532138.1099999994</v>
      </c>
      <c r="AT56" s="580">
        <f>SUM(AT57:AT71)</f>
        <v>6316076.6799999997</v>
      </c>
      <c r="AU56" s="580">
        <f t="shared" si="79"/>
        <v>11119133.699999999</v>
      </c>
      <c r="AV56" s="580">
        <f t="shared" si="79"/>
        <v>12375101.375000002</v>
      </c>
      <c r="AW56" s="580">
        <f t="shared" si="28"/>
        <v>1255967.6750000026</v>
      </c>
      <c r="AX56" s="580">
        <f t="shared" si="29"/>
        <v>11.295553312754961</v>
      </c>
      <c r="AY56" s="580">
        <f t="shared" si="82"/>
        <v>13001871.729999997</v>
      </c>
      <c r="AZ56" s="580">
        <f t="shared" si="30"/>
        <v>-626770.35499999486</v>
      </c>
      <c r="BA56" s="580">
        <f t="shared" si="31"/>
        <v>-4.8206163544423362</v>
      </c>
      <c r="BB56" s="580">
        <f t="shared" ref="BB56:BN56" si="136">SUM(BB57:BB71)</f>
        <v>5541804.4399999995</v>
      </c>
      <c r="BC56" s="580">
        <f t="shared" si="136"/>
        <v>6026538.6900000004</v>
      </c>
      <c r="BD56" s="580">
        <f t="shared" si="136"/>
        <v>5836799.8499999987</v>
      </c>
      <c r="BE56" s="580">
        <f t="shared" si="33"/>
        <v>294995.40999999922</v>
      </c>
      <c r="BF56" s="580">
        <f t="shared" si="34"/>
        <v>-189738.84000000171</v>
      </c>
      <c r="BG56" s="580">
        <f t="shared" si="35"/>
        <v>15367502.08</v>
      </c>
      <c r="BH56" s="580">
        <f t="shared" si="136"/>
        <v>16143161.280000001</v>
      </c>
      <c r="BI56" s="580">
        <f t="shared" si="136"/>
        <v>15953422.439999998</v>
      </c>
      <c r="BJ56" s="580">
        <f t="shared" si="37"/>
        <v>585920.35999999754</v>
      </c>
      <c r="BK56" s="580">
        <f t="shared" si="38"/>
        <v>-189738.84000000358</v>
      </c>
      <c r="BL56" s="580">
        <f t="shared" si="136"/>
        <v>5577329.2600000007</v>
      </c>
      <c r="BM56" s="580">
        <f t="shared" si="136"/>
        <v>6348562.6850000015</v>
      </c>
      <c r="BN56" s="580">
        <f t="shared" si="136"/>
        <v>7165071.879999999</v>
      </c>
      <c r="BO56" s="580">
        <f t="shared" si="48"/>
        <v>1587742.6199999982</v>
      </c>
      <c r="BP56" s="580">
        <f t="shared" si="40"/>
        <v>816509.1949999975</v>
      </c>
      <c r="BQ56" s="580">
        <f t="shared" ref="BQ56:BS56" si="137">SUM(BQ57:BQ71)</f>
        <v>5577329.2600000007</v>
      </c>
      <c r="BR56" s="580">
        <f t="shared" si="137"/>
        <v>0</v>
      </c>
      <c r="BS56" s="580">
        <f t="shared" si="137"/>
        <v>0</v>
      </c>
      <c r="BU56" s="580">
        <f t="shared" ref="BU56:BW56" si="138">SUM(BU57:BU71)</f>
        <v>18772800.659999996</v>
      </c>
      <c r="BV56" s="580">
        <f t="shared" si="138"/>
        <v>4345693.66</v>
      </c>
      <c r="BW56" s="580">
        <f t="shared" si="138"/>
        <v>0</v>
      </c>
      <c r="BX56" s="581"/>
      <c r="BY56" s="580">
        <f>SUM(BY57:BY71)</f>
        <v>22408876.230000004</v>
      </c>
      <c r="BZ56" s="580">
        <f t="shared" ref="BZ56:CB56" si="139">SUM(BZ57:BZ71)</f>
        <v>594587.41</v>
      </c>
      <c r="CA56" s="580">
        <f t="shared" si="139"/>
        <v>115030.67999999998</v>
      </c>
      <c r="CB56" s="580">
        <f t="shared" si="139"/>
        <v>23118494.32</v>
      </c>
      <c r="CC56" s="580">
        <f t="shared" si="44"/>
        <v>0</v>
      </c>
      <c r="CD56" s="580"/>
      <c r="CE56" s="580"/>
      <c r="CF56" s="580"/>
      <c r="CG56" s="580"/>
      <c r="CH56" s="580"/>
      <c r="CI56" s="580"/>
      <c r="CJ56" s="580"/>
      <c r="CK56" s="617"/>
      <c r="CL56" s="508"/>
      <c r="CM56" s="510"/>
      <c r="CN56" s="510"/>
      <c r="CO56" s="510"/>
      <c r="CP56" s="582">
        <f>SUM(CP57:CP71)</f>
        <v>19511637.882477723</v>
      </c>
      <c r="CQ56" s="582">
        <f>SUM(CQ57:CQ71)</f>
        <v>1433193.4575222787</v>
      </c>
      <c r="CR56" s="582">
        <f>SUM(CR57:CR71)</f>
        <v>0</v>
      </c>
      <c r="CS56" s="1715"/>
      <c r="CT56" s="1716"/>
      <c r="CU56" s="1716"/>
      <c r="CV56" s="1716"/>
      <c r="CW56" s="1717"/>
      <c r="CX56" s="510"/>
      <c r="CY56" s="510"/>
      <c r="CZ56" s="510"/>
      <c r="DA56" s="510"/>
      <c r="DB56" s="582">
        <f>SUM(DB57:DB71)</f>
        <v>3800545.91</v>
      </c>
      <c r="DD56" s="517"/>
      <c r="DE56" s="517"/>
      <c r="DF56" s="580">
        <f t="shared" si="88"/>
        <v>22408.876230000005</v>
      </c>
      <c r="DG56" s="580">
        <f t="shared" si="88"/>
        <v>594.58740999999998</v>
      </c>
      <c r="DH56" s="580">
        <f t="shared" si="88"/>
        <v>115.03067999999998</v>
      </c>
      <c r="DI56" s="580">
        <f t="shared" si="88"/>
        <v>23118.494320000002</v>
      </c>
    </row>
    <row r="57" spans="1:123" s="534" customFormat="1" ht="71.25" customHeight="1">
      <c r="A57" s="537" t="s">
        <v>980</v>
      </c>
      <c r="B57" s="538" t="s">
        <v>1895</v>
      </c>
      <c r="C57" s="576">
        <v>680520</v>
      </c>
      <c r="D57" s="525">
        <v>10640860.2419986</v>
      </c>
      <c r="E57" s="525">
        <v>393968.65</v>
      </c>
      <c r="F57" s="525">
        <v>664800</v>
      </c>
      <c r="G57" s="618">
        <v>5884031.1101387702</v>
      </c>
      <c r="H57" s="1733">
        <v>0</v>
      </c>
      <c r="I57" s="525">
        <f t="shared" ref="I57:I71" si="140">J57+K57+L57</f>
        <v>525092.6</v>
      </c>
      <c r="J57" s="525">
        <v>223600</v>
      </c>
      <c r="K57" s="525">
        <v>150746.29999999999</v>
      </c>
      <c r="L57" s="525">
        <v>150746.29999999999</v>
      </c>
      <c r="M57" s="525">
        <f t="shared" ref="M57:M71" si="141">J57+K57</f>
        <v>374346.3</v>
      </c>
      <c r="N57" s="525">
        <v>354900</v>
      </c>
      <c r="O57" s="525">
        <f t="shared" ref="O57:O71" si="142">P57-N57</f>
        <v>172700</v>
      </c>
      <c r="P57" s="522">
        <f>8000+514800+4800</f>
        <v>527600</v>
      </c>
      <c r="Q57" s="525">
        <f t="shared" si="12"/>
        <v>2507.4000000000233</v>
      </c>
      <c r="R57" s="525">
        <f t="shared" si="13"/>
        <v>0.47751577531278144</v>
      </c>
      <c r="S57" s="525">
        <v>397748.97874999995</v>
      </c>
      <c r="T57" s="525">
        <v>644238.97875000001</v>
      </c>
      <c r="U57" s="522">
        <f t="shared" ref="U57:U71" si="143">AQ57+AS57+BB57+BL57</f>
        <v>497333.19999999995</v>
      </c>
      <c r="V57" s="522">
        <f t="shared" si="1"/>
        <v>-146905.77875000006</v>
      </c>
      <c r="W57" s="522">
        <f t="shared" si="14"/>
        <v>-22.802994478079768</v>
      </c>
      <c r="X57" s="522">
        <f t="shared" si="15"/>
        <v>-30266.800000000047</v>
      </c>
      <c r="Y57" s="522">
        <f t="shared" si="16"/>
        <v>-5.7366944655041721</v>
      </c>
      <c r="Z57" s="524">
        <f t="shared" si="17"/>
        <v>497333.2</v>
      </c>
      <c r="AA57" s="522">
        <f t="shared" si="18"/>
        <v>-146905.77875</v>
      </c>
      <c r="AB57" s="522">
        <f t="shared" si="19"/>
        <v>-22.802994478079768</v>
      </c>
      <c r="AC57" s="522">
        <f t="shared" si="20"/>
        <v>0</v>
      </c>
      <c r="AD57" s="522">
        <f t="shared" si="21"/>
        <v>0</v>
      </c>
      <c r="AE57" s="522">
        <f t="shared" si="22"/>
        <v>-30266.799999999988</v>
      </c>
      <c r="AF57" s="522">
        <f t="shared" si="23"/>
        <v>-5.7366944655041721</v>
      </c>
      <c r="AG57" s="522">
        <f t="shared" si="46"/>
        <v>386300</v>
      </c>
      <c r="AH57" s="522">
        <f t="shared" si="24"/>
        <v>-111033.19999999995</v>
      </c>
      <c r="AI57" s="522">
        <f t="shared" si="25"/>
        <v>-22.32571644121083</v>
      </c>
      <c r="AJ57" s="522">
        <f t="shared" si="26"/>
        <v>-111033.20000000001</v>
      </c>
      <c r="AK57" s="522">
        <f t="shared" si="133"/>
        <v>-22.325716441210844</v>
      </c>
      <c r="AL57" s="522">
        <f t="shared" ref="AL57:AL71" si="144">SUM(BU57:BV57)</f>
        <v>386300</v>
      </c>
      <c r="AM57" s="522">
        <f t="shared" si="72"/>
        <v>228745.08000000002</v>
      </c>
      <c r="AN57" s="522">
        <f t="shared" si="72"/>
        <v>180200</v>
      </c>
      <c r="AO57" s="522">
        <f t="shared" si="27"/>
        <v>-48545.080000000016</v>
      </c>
      <c r="AP57" s="522">
        <f t="shared" si="47"/>
        <v>-21.22234935063959</v>
      </c>
      <c r="AQ57" s="522">
        <v>93872.54</v>
      </c>
      <c r="AR57" s="522">
        <v>61200</v>
      </c>
      <c r="AS57" s="522">
        <v>134872.54</v>
      </c>
      <c r="AT57" s="522">
        <v>119000</v>
      </c>
      <c r="AU57" s="522">
        <f t="shared" si="79"/>
        <v>268588.12</v>
      </c>
      <c r="AV57" s="522">
        <f t="shared" si="79"/>
        <v>317133.2</v>
      </c>
      <c r="AW57" s="522">
        <f t="shared" si="28"/>
        <v>48545.080000000016</v>
      </c>
      <c r="AX57" s="522">
        <f t="shared" si="29"/>
        <v>18.074172454090686</v>
      </c>
      <c r="AY57" s="522">
        <f t="shared" si="82"/>
        <v>206100</v>
      </c>
      <c r="AZ57" s="522">
        <f t="shared" si="30"/>
        <v>111033.20000000001</v>
      </c>
      <c r="BA57" s="522">
        <f t="shared" si="31"/>
        <v>53.873459485686567</v>
      </c>
      <c r="BB57" s="522">
        <v>134872.54</v>
      </c>
      <c r="BC57" s="525">
        <f>'[67]Дир_по корп'!AT7</f>
        <v>159145.08000000002</v>
      </c>
      <c r="BD57" s="525">
        <f t="shared" ref="BD57:BD71" si="145">BI57-AN57</f>
        <v>114300</v>
      </c>
      <c r="BE57" s="525">
        <f t="shared" si="33"/>
        <v>-20572.540000000008</v>
      </c>
      <c r="BF57" s="525">
        <f t="shared" si="34"/>
        <v>-44845.080000000016</v>
      </c>
      <c r="BG57" s="525">
        <f t="shared" si="35"/>
        <v>363617.62</v>
      </c>
      <c r="BH57" s="522">
        <f t="shared" si="35"/>
        <v>339345.08</v>
      </c>
      <c r="BI57" s="522">
        <f>288700+5800</f>
        <v>294500</v>
      </c>
      <c r="BJ57" s="522">
        <f t="shared" si="37"/>
        <v>-69117.62</v>
      </c>
      <c r="BK57" s="522">
        <f t="shared" si="38"/>
        <v>-44845.080000000016</v>
      </c>
      <c r="BL57" s="525">
        <v>133715.57999999999</v>
      </c>
      <c r="BM57" s="522">
        <f>'[67]Дир_по корп'!AW7</f>
        <v>157988.12</v>
      </c>
      <c r="BN57" s="522">
        <f t="shared" ref="BN57:BN71" si="146">AL57-BI57</f>
        <v>91800</v>
      </c>
      <c r="BO57" s="522">
        <f t="shared" si="48"/>
        <v>-41915.579999999987</v>
      </c>
      <c r="BP57" s="522">
        <f t="shared" si="40"/>
        <v>-66188.12</v>
      </c>
      <c r="BQ57" s="525">
        <v>133715.57999999999</v>
      </c>
      <c r="BR57" s="522">
        <f>'[67]Дир_по корп'!BB7</f>
        <v>0</v>
      </c>
      <c r="BS57" s="522">
        <f>'[67]Дир_по корп'!BC7</f>
        <v>0</v>
      </c>
      <c r="BT57" s="536"/>
      <c r="BU57" s="522">
        <f>379500+400</f>
        <v>379900</v>
      </c>
      <c r="BV57" s="522">
        <v>6400</v>
      </c>
      <c r="BW57" s="522"/>
      <c r="BX57" s="574"/>
      <c r="BY57" s="525">
        <f>371473.49+399.5+6400</f>
        <v>378272.99</v>
      </c>
      <c r="BZ57" s="525">
        <f>6971.45+0.32</f>
        <v>6971.7699999999995</v>
      </c>
      <c r="CA57" s="525">
        <f>1055.06+0.18</f>
        <v>1055.24</v>
      </c>
      <c r="CB57" s="522">
        <f t="shared" si="134"/>
        <v>386300</v>
      </c>
      <c r="CC57" s="522">
        <f t="shared" si="44"/>
        <v>0</v>
      </c>
      <c r="CD57" s="522"/>
      <c r="CE57" s="522"/>
      <c r="CF57" s="522"/>
      <c r="CG57" s="522"/>
      <c r="CH57" s="522"/>
      <c r="CI57" s="522"/>
      <c r="CJ57" s="522"/>
      <c r="CK57" s="543" t="s">
        <v>1896</v>
      </c>
      <c r="CL57" s="543" t="s">
        <v>1897</v>
      </c>
      <c r="CM57" s="528" t="s">
        <v>1305</v>
      </c>
      <c r="CN57" s="528" t="s">
        <v>1849</v>
      </c>
      <c r="CO57" s="528"/>
      <c r="CP57" s="544">
        <f t="shared" ref="CP57:CP71" si="147">U57*$CW$7/100</f>
        <v>463302.14589991863</v>
      </c>
      <c r="CQ57" s="544">
        <f t="shared" ref="CQ57:CQ71" si="148">U57*$CW$8/100</f>
        <v>34031.054100081325</v>
      </c>
      <c r="CR57" s="544"/>
      <c r="CS57" s="1709" t="s">
        <v>1898</v>
      </c>
      <c r="CT57" s="1710"/>
      <c r="CU57" s="1710"/>
      <c r="CV57" s="1710"/>
      <c r="CW57" s="1711"/>
      <c r="CX57" s="528"/>
      <c r="CY57" s="528"/>
      <c r="CZ57" s="528"/>
      <c r="DA57" s="528"/>
      <c r="DB57" s="544">
        <f>59200+2000</f>
        <v>61200</v>
      </c>
      <c r="DD57" s="535"/>
      <c r="DE57" s="535"/>
      <c r="DF57" s="525">
        <f t="shared" si="88"/>
        <v>378.27298999999999</v>
      </c>
      <c r="DG57" s="525">
        <f t="shared" si="88"/>
        <v>6.9717699999999994</v>
      </c>
      <c r="DH57" s="525">
        <f t="shared" si="88"/>
        <v>1.05524</v>
      </c>
      <c r="DI57" s="522">
        <f t="shared" si="88"/>
        <v>386.3</v>
      </c>
      <c r="DJ57" s="536"/>
      <c r="DK57" s="536"/>
      <c r="DL57" s="536"/>
      <c r="DM57" s="536"/>
      <c r="DN57" s="536"/>
      <c r="DO57" s="536"/>
      <c r="DP57" s="536"/>
      <c r="DQ57" s="536"/>
      <c r="DR57" s="536"/>
      <c r="DS57" s="536"/>
    </row>
    <row r="58" spans="1:123" s="534" customFormat="1" ht="59.25" customHeight="1">
      <c r="A58" s="537" t="s">
        <v>985</v>
      </c>
      <c r="B58" s="538" t="s">
        <v>1899</v>
      </c>
      <c r="C58" s="576">
        <v>1694005.2</v>
      </c>
      <c r="D58" s="525"/>
      <c r="E58" s="525">
        <v>2200000</v>
      </c>
      <c r="F58" s="525">
        <v>2799836.47</v>
      </c>
      <c r="G58" s="619"/>
      <c r="H58" s="1734"/>
      <c r="I58" s="525">
        <f t="shared" si="140"/>
        <v>1677102.4500000002</v>
      </c>
      <c r="J58" s="525">
        <v>479702.11</v>
      </c>
      <c r="K58" s="525">
        <v>598700.17000000004</v>
      </c>
      <c r="L58" s="525">
        <v>598700.17000000004</v>
      </c>
      <c r="M58" s="525">
        <f t="shared" si="141"/>
        <v>1078402.28</v>
      </c>
      <c r="N58" s="525">
        <v>796240.52</v>
      </c>
      <c r="O58" s="525">
        <f t="shared" si="142"/>
        <v>217279.04999999993</v>
      </c>
      <c r="P58" s="522">
        <f>1271+1010969.57+1279</f>
        <v>1013519.57</v>
      </c>
      <c r="Q58" s="525">
        <f t="shared" si="12"/>
        <v>-663582.88000000024</v>
      </c>
      <c r="R58" s="525">
        <f t="shared" si="13"/>
        <v>-39.567223815098487</v>
      </c>
      <c r="S58" s="525">
        <v>3077845.1312499992</v>
      </c>
      <c r="T58" s="525">
        <v>2831355.1312500006</v>
      </c>
      <c r="U58" s="522">
        <f t="shared" si="143"/>
        <v>1115798.3799999999</v>
      </c>
      <c r="V58" s="522">
        <f t="shared" si="1"/>
        <v>-1715556.7512500007</v>
      </c>
      <c r="W58" s="522">
        <f t="shared" si="14"/>
        <v>-60.591366032300172</v>
      </c>
      <c r="X58" s="522">
        <f t="shared" si="15"/>
        <v>102278.80999999994</v>
      </c>
      <c r="Y58" s="522">
        <f t="shared" si="16"/>
        <v>10.091448949525443</v>
      </c>
      <c r="Z58" s="524">
        <f t="shared" si="17"/>
        <v>1177431.04</v>
      </c>
      <c r="AA58" s="522">
        <f t="shared" si="18"/>
        <v>-1653924.0912500005</v>
      </c>
      <c r="AB58" s="522">
        <f t="shared" si="19"/>
        <v>-58.414575868475325</v>
      </c>
      <c r="AC58" s="522">
        <f t="shared" si="20"/>
        <v>61632.660000000149</v>
      </c>
      <c r="AD58" s="522">
        <f t="shared" si="21"/>
        <v>5.5236377023598209</v>
      </c>
      <c r="AE58" s="522">
        <f t="shared" si="22"/>
        <v>163911.47000000009</v>
      </c>
      <c r="AF58" s="522">
        <f t="shared" si="23"/>
        <v>16.172501730775664</v>
      </c>
      <c r="AG58" s="522">
        <f t="shared" si="46"/>
        <v>1374943.39</v>
      </c>
      <c r="AH58" s="522">
        <f t="shared" si="24"/>
        <v>259145.01</v>
      </c>
      <c r="AI58" s="522">
        <f t="shared" si="25"/>
        <v>23.225074945887641</v>
      </c>
      <c r="AJ58" s="522">
        <f t="shared" si="26"/>
        <v>197512.34999999986</v>
      </c>
      <c r="AK58" s="522">
        <f t="shared" si="133"/>
        <v>16.774855026753826</v>
      </c>
      <c r="AL58" s="522">
        <f t="shared" si="144"/>
        <v>1374943.39</v>
      </c>
      <c r="AM58" s="522">
        <f t="shared" si="72"/>
        <v>501479.4</v>
      </c>
      <c r="AN58" s="522">
        <f t="shared" si="72"/>
        <v>563112.06000000006</v>
      </c>
      <c r="AO58" s="522">
        <f t="shared" si="27"/>
        <v>61632.660000000033</v>
      </c>
      <c r="AP58" s="522">
        <f t="shared" si="47"/>
        <v>12.290167851361389</v>
      </c>
      <c r="AQ58" s="522">
        <v>190819.89</v>
      </c>
      <c r="AR58" s="522">
        <v>221853.11</v>
      </c>
      <c r="AS58" s="522">
        <v>310659.51</v>
      </c>
      <c r="AT58" s="522">
        <v>341258.95000000007</v>
      </c>
      <c r="AU58" s="522">
        <f t="shared" si="79"/>
        <v>614318.98</v>
      </c>
      <c r="AV58" s="522">
        <f t="shared" si="79"/>
        <v>614318.98</v>
      </c>
      <c r="AW58" s="522">
        <f t="shared" si="28"/>
        <v>0</v>
      </c>
      <c r="AX58" s="522">
        <f t="shared" si="29"/>
        <v>0</v>
      </c>
      <c r="AY58" s="522">
        <f t="shared" si="82"/>
        <v>811831.32999999984</v>
      </c>
      <c r="AZ58" s="522">
        <f t="shared" si="30"/>
        <v>-197512.34999999986</v>
      </c>
      <c r="BA58" s="522">
        <f t="shared" si="31"/>
        <v>-24.32923474387222</v>
      </c>
      <c r="BB58" s="522">
        <v>304659.51</v>
      </c>
      <c r="BC58" s="525">
        <f>'[67]Дир_по корп'!AT8</f>
        <v>304659.51</v>
      </c>
      <c r="BD58" s="525">
        <f t="shared" si="145"/>
        <v>454587.75</v>
      </c>
      <c r="BE58" s="525">
        <f t="shared" si="33"/>
        <v>149928.24</v>
      </c>
      <c r="BF58" s="525">
        <f t="shared" si="34"/>
        <v>149928.24</v>
      </c>
      <c r="BG58" s="525">
        <f t="shared" si="35"/>
        <v>806138.91</v>
      </c>
      <c r="BH58" s="522">
        <f t="shared" si="35"/>
        <v>867771.57000000007</v>
      </c>
      <c r="BI58" s="522">
        <v>1017699.81</v>
      </c>
      <c r="BJ58" s="522">
        <f t="shared" si="37"/>
        <v>211560.90000000002</v>
      </c>
      <c r="BK58" s="522">
        <f t="shared" si="38"/>
        <v>149928.24</v>
      </c>
      <c r="BL58" s="525">
        <v>309659.46999999997</v>
      </c>
      <c r="BM58" s="522">
        <f>'[67]Дир_по корп'!AW8</f>
        <v>309659.46999999997</v>
      </c>
      <c r="BN58" s="522">
        <f t="shared" si="146"/>
        <v>357243.57999999984</v>
      </c>
      <c r="BO58" s="522">
        <f t="shared" si="48"/>
        <v>47584.10999999987</v>
      </c>
      <c r="BP58" s="522">
        <f t="shared" si="40"/>
        <v>47584.10999999987</v>
      </c>
      <c r="BQ58" s="525">
        <v>309659.46999999997</v>
      </c>
      <c r="BR58" s="522">
        <f>'[67]Дир_по корп'!BB8</f>
        <v>0</v>
      </c>
      <c r="BS58" s="522">
        <f>'[67]Дир_по корп'!BC8</f>
        <v>0</v>
      </c>
      <c r="BT58" s="536"/>
      <c r="BU58" s="522">
        <f>1367943.39+7000</f>
        <v>1374943.39</v>
      </c>
      <c r="BV58" s="522"/>
      <c r="BW58" s="522"/>
      <c r="BX58" s="574"/>
      <c r="BY58" s="525">
        <f>1334741.56+6991.33</f>
        <v>1341732.8900000001</v>
      </c>
      <c r="BZ58" s="525">
        <f>31116.56+5.36</f>
        <v>31121.920000000002</v>
      </c>
      <c r="CA58" s="525">
        <f>2085.27+3.31</f>
        <v>2088.58</v>
      </c>
      <c r="CB58" s="522">
        <f t="shared" si="134"/>
        <v>1374943.3900000001</v>
      </c>
      <c r="CC58" s="522">
        <f t="shared" si="44"/>
        <v>0</v>
      </c>
      <c r="CD58" s="522"/>
      <c r="CE58" s="522"/>
      <c r="CF58" s="522"/>
      <c r="CG58" s="522"/>
      <c r="CH58" s="522"/>
      <c r="CI58" s="522"/>
      <c r="CJ58" s="522"/>
      <c r="CK58" s="543" t="s">
        <v>1896</v>
      </c>
      <c r="CL58" s="543" t="s">
        <v>1897</v>
      </c>
      <c r="CM58" s="528" t="s">
        <v>1305</v>
      </c>
      <c r="CN58" s="528" t="s">
        <v>1849</v>
      </c>
      <c r="CO58" s="528"/>
      <c r="CP58" s="544">
        <f t="shared" si="147"/>
        <v>1039447.5652251907</v>
      </c>
      <c r="CQ58" s="544">
        <f t="shared" si="148"/>
        <v>76350.814774809129</v>
      </c>
      <c r="CR58" s="544"/>
      <c r="CS58" s="1709" t="s">
        <v>1898</v>
      </c>
      <c r="CT58" s="1710"/>
      <c r="CU58" s="1710"/>
      <c r="CV58" s="1710"/>
      <c r="CW58" s="1711"/>
      <c r="CX58" s="528"/>
      <c r="CY58" s="528"/>
      <c r="CZ58" s="528"/>
      <c r="DA58" s="528"/>
      <c r="DB58" s="544">
        <f>221853.11</f>
        <v>221853.11</v>
      </c>
      <c r="DD58" s="535"/>
      <c r="DE58" s="535"/>
      <c r="DF58" s="525">
        <f t="shared" si="88"/>
        <v>1341.7328900000002</v>
      </c>
      <c r="DG58" s="525">
        <f t="shared" si="88"/>
        <v>31.121920000000003</v>
      </c>
      <c r="DH58" s="525">
        <f t="shared" si="88"/>
        <v>2.0885799999999999</v>
      </c>
      <c r="DI58" s="522">
        <f t="shared" si="88"/>
        <v>1374.9433900000001</v>
      </c>
      <c r="DJ58" s="536"/>
      <c r="DK58" s="536"/>
      <c r="DL58" s="536"/>
      <c r="DM58" s="536"/>
      <c r="DN58" s="536"/>
      <c r="DO58" s="536"/>
      <c r="DP58" s="536"/>
      <c r="DQ58" s="536"/>
      <c r="DR58" s="536"/>
      <c r="DS58" s="536"/>
    </row>
    <row r="59" spans="1:123" s="534" customFormat="1" ht="72.75" customHeight="1">
      <c r="A59" s="537" t="s">
        <v>989</v>
      </c>
      <c r="B59" s="538" t="s">
        <v>990</v>
      </c>
      <c r="C59" s="576">
        <f>3305010.73+0</f>
        <v>3305010.73</v>
      </c>
      <c r="D59" s="525">
        <f>548636.67</f>
        <v>548636.67000000004</v>
      </c>
      <c r="E59" s="525">
        <f>2000000+150000</f>
        <v>2150000</v>
      </c>
      <c r="F59" s="525">
        <v>4559044.43</v>
      </c>
      <c r="G59" s="620"/>
      <c r="H59" s="1735"/>
      <c r="I59" s="525">
        <f t="shared" si="140"/>
        <v>2259653.2200000002</v>
      </c>
      <c r="J59" s="525">
        <v>816530.61</v>
      </c>
      <c r="K59" s="525">
        <v>721561.3</v>
      </c>
      <c r="L59" s="525">
        <v>721561.31</v>
      </c>
      <c r="M59" s="525">
        <f t="shared" si="141"/>
        <v>1538091.9100000001</v>
      </c>
      <c r="N59" s="525">
        <v>1582213.65</v>
      </c>
      <c r="O59" s="525">
        <f t="shared" si="142"/>
        <v>680629.62999999989</v>
      </c>
      <c r="P59" s="522">
        <f>24620+2178923.28+59300</f>
        <v>2262843.2799999998</v>
      </c>
      <c r="Q59" s="525">
        <f t="shared" si="12"/>
        <v>3190.0599999995902</v>
      </c>
      <c r="R59" s="525">
        <f t="shared" si="13"/>
        <v>0.14117475955004011</v>
      </c>
      <c r="S59" s="525">
        <v>5075549.6124999998</v>
      </c>
      <c r="T59" s="525">
        <v>4593879.6124999998</v>
      </c>
      <c r="U59" s="522">
        <f t="shared" si="143"/>
        <v>2217208.7399999998</v>
      </c>
      <c r="V59" s="522">
        <f t="shared" si="1"/>
        <v>-2376670.8725000001</v>
      </c>
      <c r="W59" s="522">
        <f t="shared" si="14"/>
        <v>-51.735593288797794</v>
      </c>
      <c r="X59" s="522">
        <f t="shared" si="15"/>
        <v>-45634.540000000037</v>
      </c>
      <c r="Y59" s="522">
        <f t="shared" si="16"/>
        <v>-2.0166902588145632</v>
      </c>
      <c r="Z59" s="524">
        <f t="shared" si="17"/>
        <v>2217208.7350000003</v>
      </c>
      <c r="AA59" s="522">
        <f t="shared" si="18"/>
        <v>-2376670.8774999995</v>
      </c>
      <c r="AB59" s="522">
        <f t="shared" si="19"/>
        <v>-51.735593397638247</v>
      </c>
      <c r="AC59" s="522">
        <f t="shared" si="20"/>
        <v>-4.9999994225800037E-3</v>
      </c>
      <c r="AD59" s="522">
        <f t="shared" si="21"/>
        <v>-2.2550872813553724E-7</v>
      </c>
      <c r="AE59" s="522">
        <f t="shared" si="22"/>
        <v>-45634.54499999946</v>
      </c>
      <c r="AF59" s="522">
        <f t="shared" si="23"/>
        <v>-2.016690479775491</v>
      </c>
      <c r="AG59" s="522">
        <f t="shared" si="46"/>
        <v>2080100.76</v>
      </c>
      <c r="AH59" s="522">
        <f t="shared" si="24"/>
        <v>-137107.97999999975</v>
      </c>
      <c r="AI59" s="522">
        <f t="shared" si="25"/>
        <v>-6.1838101901041398</v>
      </c>
      <c r="AJ59" s="522">
        <f t="shared" si="26"/>
        <v>-137107.97500000033</v>
      </c>
      <c r="AK59" s="522">
        <f t="shared" si="133"/>
        <v>-6.1838099785404381</v>
      </c>
      <c r="AL59" s="522">
        <f t="shared" si="144"/>
        <v>2080100.76</v>
      </c>
      <c r="AM59" s="522">
        <f t="shared" si="72"/>
        <v>1012096.28</v>
      </c>
      <c r="AN59" s="522">
        <f t="shared" si="72"/>
        <v>904376.97</v>
      </c>
      <c r="AO59" s="522">
        <f t="shared" si="27"/>
        <v>-107719.31000000006</v>
      </c>
      <c r="AP59" s="522">
        <f t="shared" si="47"/>
        <v>-10.643188017645912</v>
      </c>
      <c r="AQ59" s="522">
        <v>408548.14</v>
      </c>
      <c r="AR59" s="522">
        <v>372222.37</v>
      </c>
      <c r="AS59" s="522">
        <v>603548.14</v>
      </c>
      <c r="AT59" s="522">
        <v>532154.6</v>
      </c>
      <c r="AU59" s="522">
        <f t="shared" si="79"/>
        <v>1205112.46</v>
      </c>
      <c r="AV59" s="522">
        <f t="shared" si="79"/>
        <v>1312831.7650000001</v>
      </c>
      <c r="AW59" s="522">
        <f t="shared" si="28"/>
        <v>107719.30500000017</v>
      </c>
      <c r="AX59" s="522">
        <f t="shared" si="29"/>
        <v>8.9385271977023848</v>
      </c>
      <c r="AY59" s="522">
        <f t="shared" si="82"/>
        <v>1175723.79</v>
      </c>
      <c r="AZ59" s="522">
        <f t="shared" si="30"/>
        <v>137107.97500000009</v>
      </c>
      <c r="BA59" s="522">
        <f t="shared" si="31"/>
        <v>11.661580395511109</v>
      </c>
      <c r="BB59" s="522">
        <v>603548.14</v>
      </c>
      <c r="BC59" s="525">
        <f>'[67]Дир_по корп'!AT9</f>
        <v>657407.79</v>
      </c>
      <c r="BD59" s="525">
        <f t="shared" si="145"/>
        <v>760512.56</v>
      </c>
      <c r="BE59" s="525">
        <f t="shared" si="33"/>
        <v>156964.42000000004</v>
      </c>
      <c r="BF59" s="525">
        <f t="shared" si="34"/>
        <v>103104.77000000002</v>
      </c>
      <c r="BG59" s="525">
        <f t="shared" si="35"/>
        <v>1615644.42</v>
      </c>
      <c r="BH59" s="522">
        <f t="shared" si="35"/>
        <v>1561784.76</v>
      </c>
      <c r="BI59" s="522">
        <f>1628789.53+36100</f>
        <v>1664889.53</v>
      </c>
      <c r="BJ59" s="522">
        <f t="shared" si="37"/>
        <v>49245.110000000102</v>
      </c>
      <c r="BK59" s="522">
        <f t="shared" si="38"/>
        <v>103104.77000000002</v>
      </c>
      <c r="BL59" s="525">
        <v>601564.31999999995</v>
      </c>
      <c r="BM59" s="522">
        <f>'[67]Дир_по корп'!AW9</f>
        <v>655423.97499999998</v>
      </c>
      <c r="BN59" s="522">
        <f t="shared" si="146"/>
        <v>415211.23</v>
      </c>
      <c r="BO59" s="522">
        <f t="shared" si="48"/>
        <v>-186353.08999999997</v>
      </c>
      <c r="BP59" s="522">
        <f t="shared" si="40"/>
        <v>-240212.745</v>
      </c>
      <c r="BQ59" s="525">
        <v>601564.31999999995</v>
      </c>
      <c r="BR59" s="522">
        <f>'[67]Дир_по корп'!BB9</f>
        <v>0</v>
      </c>
      <c r="BS59" s="522">
        <f>'[67]Дир_по корп'!BC9</f>
        <v>0</v>
      </c>
      <c r="BT59" s="536"/>
      <c r="BU59" s="522">
        <f>2043550.76+1050</f>
        <v>2044600.76</v>
      </c>
      <c r="BV59" s="522">
        <v>35500</v>
      </c>
      <c r="BW59" s="522"/>
      <c r="BX59" s="574"/>
      <c r="BY59" s="525">
        <f>2019822.84+1005.54+35500</f>
        <v>2056328.3800000001</v>
      </c>
      <c r="BZ59" s="525">
        <f>20800.02+28.77</f>
        <v>20828.79</v>
      </c>
      <c r="CA59" s="525">
        <f>2927.9+15.69</f>
        <v>2943.59</v>
      </c>
      <c r="CB59" s="522">
        <f t="shared" si="134"/>
        <v>2080100.7600000002</v>
      </c>
      <c r="CC59" s="522">
        <f t="shared" si="44"/>
        <v>0</v>
      </c>
      <c r="CD59" s="522"/>
      <c r="CE59" s="522"/>
      <c r="CF59" s="522"/>
      <c r="CG59" s="522"/>
      <c r="CH59" s="522"/>
      <c r="CI59" s="522"/>
      <c r="CJ59" s="522"/>
      <c r="CK59" s="543" t="s">
        <v>1896</v>
      </c>
      <c r="CL59" s="543" t="s">
        <v>1897</v>
      </c>
      <c r="CM59" s="528" t="s">
        <v>1305</v>
      </c>
      <c r="CN59" s="528" t="s">
        <v>1849</v>
      </c>
      <c r="CO59" s="528"/>
      <c r="CP59" s="544">
        <f t="shared" si="147"/>
        <v>2065491.6405139547</v>
      </c>
      <c r="CQ59" s="544">
        <f t="shared" si="148"/>
        <v>151717.09948604507</v>
      </c>
      <c r="CR59" s="544"/>
      <c r="CS59" s="1709" t="s">
        <v>1898</v>
      </c>
      <c r="CT59" s="1710"/>
      <c r="CU59" s="1710"/>
      <c r="CV59" s="1710"/>
      <c r="CW59" s="1711"/>
      <c r="CX59" s="528"/>
      <c r="CY59" s="528"/>
      <c r="CZ59" s="528"/>
      <c r="DA59" s="528"/>
      <c r="DB59" s="544">
        <f>364972.37+1050+6200</f>
        <v>372222.37</v>
      </c>
      <c r="DD59" s="535"/>
      <c r="DE59" s="535"/>
      <c r="DF59" s="525">
        <f t="shared" si="88"/>
        <v>2056.3283799999999</v>
      </c>
      <c r="DG59" s="525">
        <f t="shared" si="88"/>
        <v>20.828790000000001</v>
      </c>
      <c r="DH59" s="525">
        <f t="shared" si="88"/>
        <v>2.9435899999999999</v>
      </c>
      <c r="DI59" s="522">
        <f t="shared" si="88"/>
        <v>2080.1007600000003</v>
      </c>
      <c r="DJ59" s="536"/>
      <c r="DK59" s="536"/>
      <c r="DL59" s="536"/>
      <c r="DM59" s="536"/>
      <c r="DN59" s="536"/>
      <c r="DO59" s="536"/>
      <c r="DP59" s="536"/>
      <c r="DQ59" s="536"/>
      <c r="DR59" s="536"/>
      <c r="DS59" s="536"/>
    </row>
    <row r="60" spans="1:123" s="534" customFormat="1" ht="63.75" customHeight="1">
      <c r="A60" s="537" t="s">
        <v>993</v>
      </c>
      <c r="B60" s="538" t="s">
        <v>994</v>
      </c>
      <c r="C60" s="576"/>
      <c r="D60" s="525"/>
      <c r="E60" s="525"/>
      <c r="F60" s="525">
        <v>112359</v>
      </c>
      <c r="G60" s="540">
        <v>0</v>
      </c>
      <c r="H60" s="540">
        <v>0</v>
      </c>
      <c r="I60" s="525">
        <f t="shared" si="140"/>
        <v>31117</v>
      </c>
      <c r="J60" s="525">
        <v>31117</v>
      </c>
      <c r="K60" s="525">
        <v>0</v>
      </c>
      <c r="L60" s="525">
        <v>0</v>
      </c>
      <c r="M60" s="525">
        <f t="shared" si="141"/>
        <v>31117</v>
      </c>
      <c r="N60" s="525">
        <v>52946</v>
      </c>
      <c r="O60" s="525">
        <f t="shared" si="142"/>
        <v>7306.9000000000015</v>
      </c>
      <c r="P60" s="522">
        <v>60252.9</v>
      </c>
      <c r="Q60" s="525">
        <f t="shared" si="12"/>
        <v>29135.9</v>
      </c>
      <c r="R60" s="525">
        <f t="shared" si="13"/>
        <v>93.63338368094611</v>
      </c>
      <c r="S60" s="525">
        <v>0</v>
      </c>
      <c r="T60" s="525"/>
      <c r="U60" s="522">
        <f t="shared" si="143"/>
        <v>65407.899999999994</v>
      </c>
      <c r="V60" s="522">
        <f t="shared" si="1"/>
        <v>65407.899999999994</v>
      </c>
      <c r="W60" s="522">
        <v>0</v>
      </c>
      <c r="X60" s="522">
        <f t="shared" si="15"/>
        <v>5154.9999999999927</v>
      </c>
      <c r="Y60" s="522">
        <f t="shared" si="16"/>
        <v>8.5556047924663972</v>
      </c>
      <c r="Z60" s="524">
        <f t="shared" si="17"/>
        <v>80048.460000000006</v>
      </c>
      <c r="AA60" s="522">
        <f t="shared" si="18"/>
        <v>80048.460000000006</v>
      </c>
      <c r="AB60" s="522">
        <v>0</v>
      </c>
      <c r="AC60" s="522">
        <f t="shared" si="20"/>
        <v>14640.560000000012</v>
      </c>
      <c r="AD60" s="522">
        <f t="shared" si="21"/>
        <v>22.383473555946637</v>
      </c>
      <c r="AE60" s="522">
        <f t="shared" si="22"/>
        <v>19795.560000000005</v>
      </c>
      <c r="AF60" s="522">
        <f t="shared" si="23"/>
        <v>32.854119884686042</v>
      </c>
      <c r="AG60" s="522">
        <f t="shared" si="46"/>
        <v>76949.69</v>
      </c>
      <c r="AH60" s="522">
        <f t="shared" si="24"/>
        <v>11541.790000000008</v>
      </c>
      <c r="AI60" s="522">
        <f t="shared" si="25"/>
        <v>17.64586540769541</v>
      </c>
      <c r="AJ60" s="522">
        <f t="shared" si="26"/>
        <v>-3098.7700000000041</v>
      </c>
      <c r="AK60" s="522">
        <f t="shared" si="133"/>
        <v>-3.8711175705316521</v>
      </c>
      <c r="AL60" s="522">
        <f t="shared" si="144"/>
        <v>76949.69</v>
      </c>
      <c r="AM60" s="522">
        <f t="shared" si="72"/>
        <v>29271.49</v>
      </c>
      <c r="AN60" s="522">
        <f t="shared" si="72"/>
        <v>43912.05</v>
      </c>
      <c r="AO60" s="522">
        <f t="shared" si="27"/>
        <v>14640.560000000001</v>
      </c>
      <c r="AP60" s="522">
        <f t="shared" si="47"/>
        <v>50.01644945303434</v>
      </c>
      <c r="AQ60" s="522">
        <v>11224.7</v>
      </c>
      <c r="AR60" s="522">
        <v>15411.92</v>
      </c>
      <c r="AS60" s="522">
        <v>18046.79</v>
      </c>
      <c r="AT60" s="522">
        <v>28500.130000000005</v>
      </c>
      <c r="AU60" s="522">
        <f t="shared" si="79"/>
        <v>36136.410000000003</v>
      </c>
      <c r="AV60" s="522">
        <f t="shared" si="79"/>
        <v>36136.410000000003</v>
      </c>
      <c r="AW60" s="522">
        <f t="shared" si="28"/>
        <v>0</v>
      </c>
      <c r="AX60" s="522">
        <f t="shared" si="29"/>
        <v>0</v>
      </c>
      <c r="AY60" s="522">
        <f t="shared" si="82"/>
        <v>33037.64</v>
      </c>
      <c r="AZ60" s="522">
        <f t="shared" si="30"/>
        <v>3098.7700000000041</v>
      </c>
      <c r="BA60" s="522">
        <f t="shared" si="31"/>
        <v>9.3795137909366417</v>
      </c>
      <c r="BB60" s="522">
        <v>17921.150000000001</v>
      </c>
      <c r="BC60" s="525">
        <f>'[67]Дир_по корп'!AT10</f>
        <v>17921.150000000001</v>
      </c>
      <c r="BD60" s="525">
        <f t="shared" si="145"/>
        <v>19544</v>
      </c>
      <c r="BE60" s="525">
        <f t="shared" si="33"/>
        <v>1622.8499999999985</v>
      </c>
      <c r="BF60" s="525">
        <f t="shared" si="34"/>
        <v>1622.8499999999985</v>
      </c>
      <c r="BG60" s="525">
        <f t="shared" si="35"/>
        <v>47192.639999999999</v>
      </c>
      <c r="BH60" s="522">
        <f t="shared" si="35"/>
        <v>61833.200000000004</v>
      </c>
      <c r="BI60" s="522">
        <v>63456.05</v>
      </c>
      <c r="BJ60" s="522">
        <f t="shared" si="37"/>
        <v>16263.410000000003</v>
      </c>
      <c r="BK60" s="522">
        <f t="shared" si="38"/>
        <v>1622.8499999999985</v>
      </c>
      <c r="BL60" s="525">
        <v>18215.259999999998</v>
      </c>
      <c r="BM60" s="522">
        <f>'[67]Дир_по корп'!AW10</f>
        <v>18215.259999999998</v>
      </c>
      <c r="BN60" s="522">
        <f t="shared" si="146"/>
        <v>13493.64</v>
      </c>
      <c r="BO60" s="522">
        <f t="shared" si="48"/>
        <v>-4721.619999999999</v>
      </c>
      <c r="BP60" s="522">
        <f t="shared" si="40"/>
        <v>-4721.619999999999</v>
      </c>
      <c r="BQ60" s="525">
        <v>18215.259999999998</v>
      </c>
      <c r="BR60" s="522">
        <f>'[67]Дир_по корп'!BB10</f>
        <v>0</v>
      </c>
      <c r="BS60" s="522">
        <f>'[67]Дир_по корп'!BC10</f>
        <v>0</v>
      </c>
      <c r="BT60" s="536"/>
      <c r="BU60" s="522">
        <f>72476.25+4473.44</f>
        <v>76949.69</v>
      </c>
      <c r="BV60" s="522"/>
      <c r="BW60" s="522"/>
      <c r="BX60" s="574"/>
      <c r="BY60" s="525">
        <f>70572.22+4352.08</f>
        <v>74924.3</v>
      </c>
      <c r="BZ60" s="525">
        <f>1802.27+92.96</f>
        <v>1895.23</v>
      </c>
      <c r="CA60" s="525">
        <f>101.76+28.4</f>
        <v>130.16</v>
      </c>
      <c r="CB60" s="522">
        <f t="shared" si="134"/>
        <v>76949.69</v>
      </c>
      <c r="CC60" s="522">
        <f t="shared" si="44"/>
        <v>0</v>
      </c>
      <c r="CD60" s="522"/>
      <c r="CE60" s="522"/>
      <c r="CF60" s="522"/>
      <c r="CG60" s="522"/>
      <c r="CH60" s="522"/>
      <c r="CI60" s="522"/>
      <c r="CJ60" s="522"/>
      <c r="CK60" s="543" t="s">
        <v>1896</v>
      </c>
      <c r="CL60" s="543" t="s">
        <v>1897</v>
      </c>
      <c r="CM60" s="528" t="s">
        <v>1305</v>
      </c>
      <c r="CN60" s="528" t="s">
        <v>1849</v>
      </c>
      <c r="CO60" s="528"/>
      <c r="CP60" s="544">
        <f t="shared" si="147"/>
        <v>60932.228994177924</v>
      </c>
      <c r="CQ60" s="544">
        <f t="shared" si="148"/>
        <v>4475.6710058220715</v>
      </c>
      <c r="CR60" s="544"/>
      <c r="CS60" s="1709" t="s">
        <v>1898</v>
      </c>
      <c r="CT60" s="1710"/>
      <c r="CU60" s="1710"/>
      <c r="CV60" s="1710"/>
      <c r="CW60" s="1711"/>
      <c r="CX60" s="528"/>
      <c r="CY60" s="528"/>
      <c r="CZ60" s="528"/>
      <c r="DA60" s="528"/>
      <c r="DB60" s="544">
        <f>14698.72+713.2</f>
        <v>15411.92</v>
      </c>
      <c r="DD60" s="535"/>
      <c r="DE60" s="535"/>
      <c r="DF60" s="525">
        <f t="shared" si="88"/>
        <v>74.924300000000002</v>
      </c>
      <c r="DG60" s="525">
        <f t="shared" si="88"/>
        <v>1.89523</v>
      </c>
      <c r="DH60" s="525">
        <f t="shared" si="88"/>
        <v>0.13016</v>
      </c>
      <c r="DI60" s="522">
        <f t="shared" si="88"/>
        <v>76.949690000000004</v>
      </c>
      <c r="DJ60" s="536"/>
      <c r="DK60" s="536"/>
      <c r="DL60" s="536"/>
      <c r="DM60" s="536"/>
      <c r="DN60" s="536"/>
      <c r="DO60" s="536"/>
      <c r="DP60" s="536"/>
      <c r="DQ60" s="536"/>
      <c r="DR60" s="536"/>
      <c r="DS60" s="536"/>
    </row>
    <row r="61" spans="1:123" s="534" customFormat="1" ht="84.6">
      <c r="A61" s="537" t="s">
        <v>1900</v>
      </c>
      <c r="B61" s="538" t="s">
        <v>1000</v>
      </c>
      <c r="C61" s="576">
        <f>4806195.61+24562.51</f>
        <v>4830758.12</v>
      </c>
      <c r="D61" s="525">
        <f>7039205.92+548636.67</f>
        <v>7587842.5899999999</v>
      </c>
      <c r="E61" s="525">
        <f>6511000+2604000</f>
        <v>9115000</v>
      </c>
      <c r="F61" s="525">
        <v>5229414.32</v>
      </c>
      <c r="G61" s="540">
        <v>6322099.2924233777</v>
      </c>
      <c r="H61" s="540">
        <v>0</v>
      </c>
      <c r="I61" s="525">
        <f t="shared" si="140"/>
        <v>5050119.53</v>
      </c>
      <c r="J61" s="525">
        <v>2075600.35</v>
      </c>
      <c r="K61" s="525">
        <v>1125641</v>
      </c>
      <c r="L61" s="525">
        <v>1848878.18</v>
      </c>
      <c r="M61" s="525">
        <f t="shared" si="141"/>
        <v>3201241.35</v>
      </c>
      <c r="N61" s="525">
        <v>3301134.57</v>
      </c>
      <c r="O61" s="525">
        <f t="shared" si="142"/>
        <v>1764770.0899999994</v>
      </c>
      <c r="P61" s="522">
        <f>205952.89+4859951.77</f>
        <v>5065904.6599999992</v>
      </c>
      <c r="Q61" s="525">
        <f t="shared" si="12"/>
        <v>15785.129999998957</v>
      </c>
      <c r="R61" s="525">
        <f t="shared" si="13"/>
        <v>0.31256943338129872</v>
      </c>
      <c r="S61" s="525">
        <v>5846754.6124999998</v>
      </c>
      <c r="T61" s="525">
        <v>6328424.6124999998</v>
      </c>
      <c r="U61" s="522">
        <f t="shared" si="143"/>
        <v>4625989.91</v>
      </c>
      <c r="V61" s="522">
        <f t="shared" si="1"/>
        <v>-1702434.7024999997</v>
      </c>
      <c r="W61" s="522">
        <f t="shared" si="14"/>
        <v>-26.901398163728217</v>
      </c>
      <c r="X61" s="522">
        <f t="shared" si="15"/>
        <v>-439914.74999999907</v>
      </c>
      <c r="Y61" s="522">
        <f t="shared" si="16"/>
        <v>-8.6838339748778282</v>
      </c>
      <c r="Z61" s="524">
        <f t="shared" si="17"/>
        <v>4369298.6900000004</v>
      </c>
      <c r="AA61" s="522">
        <f t="shared" si="18"/>
        <v>-1959125.9224999994</v>
      </c>
      <c r="AB61" s="522">
        <f t="shared" si="19"/>
        <v>-30.957561201413455</v>
      </c>
      <c r="AC61" s="522">
        <f t="shared" si="20"/>
        <v>-256691.21999999974</v>
      </c>
      <c r="AD61" s="522">
        <f t="shared" si="21"/>
        <v>-5.5488927774163557</v>
      </c>
      <c r="AE61" s="522">
        <f t="shared" si="22"/>
        <v>-696605.96999999881</v>
      </c>
      <c r="AF61" s="522">
        <f t="shared" si="23"/>
        <v>-13.75087011605936</v>
      </c>
      <c r="AG61" s="522">
        <f t="shared" si="46"/>
        <v>5203320.33</v>
      </c>
      <c r="AH61" s="522">
        <f t="shared" si="24"/>
        <v>577330.41999999993</v>
      </c>
      <c r="AI61" s="522">
        <f t="shared" si="25"/>
        <v>12.480148708322616</v>
      </c>
      <c r="AJ61" s="522">
        <f t="shared" si="26"/>
        <v>834021.63999999966</v>
      </c>
      <c r="AK61" s="522">
        <f t="shared" si="133"/>
        <v>19.088226719515021</v>
      </c>
      <c r="AL61" s="522">
        <f t="shared" si="144"/>
        <v>5203320.33</v>
      </c>
      <c r="AM61" s="522">
        <f t="shared" si="72"/>
        <v>2315824</v>
      </c>
      <c r="AN61" s="522">
        <f t="shared" si="72"/>
        <v>2059132.78</v>
      </c>
      <c r="AO61" s="522">
        <f t="shared" si="27"/>
        <v>-256691.21999999997</v>
      </c>
      <c r="AP61" s="522">
        <f t="shared" si="47"/>
        <v>-11.084228335141191</v>
      </c>
      <c r="AQ61" s="522">
        <v>778562</v>
      </c>
      <c r="AR61" s="522">
        <v>561347.21</v>
      </c>
      <c r="AS61" s="522">
        <v>1537262</v>
      </c>
      <c r="AT61" s="522">
        <v>1497785.57</v>
      </c>
      <c r="AU61" s="522">
        <f t="shared" si="79"/>
        <v>2310165.91</v>
      </c>
      <c r="AV61" s="522">
        <f t="shared" si="79"/>
        <v>2310165.91</v>
      </c>
      <c r="AW61" s="522">
        <f t="shared" si="28"/>
        <v>0</v>
      </c>
      <c r="AX61" s="522">
        <f t="shared" si="29"/>
        <v>0</v>
      </c>
      <c r="AY61" s="522">
        <f t="shared" si="82"/>
        <v>3144187.55</v>
      </c>
      <c r="AZ61" s="522">
        <f t="shared" si="30"/>
        <v>-834021.63999999966</v>
      </c>
      <c r="BA61" s="522">
        <f t="shared" si="31"/>
        <v>-26.525823499301111</v>
      </c>
      <c r="BB61" s="522">
        <v>1139398</v>
      </c>
      <c r="BC61" s="525">
        <f>'[67]Дир_по корп'!AT11</f>
        <v>1139398</v>
      </c>
      <c r="BD61" s="525">
        <f t="shared" si="145"/>
        <v>1213437.5200000003</v>
      </c>
      <c r="BE61" s="525">
        <f t="shared" si="33"/>
        <v>74039.520000000251</v>
      </c>
      <c r="BF61" s="525">
        <f t="shared" si="34"/>
        <v>74039.520000000251</v>
      </c>
      <c r="BG61" s="525">
        <f t="shared" si="35"/>
        <v>3455222</v>
      </c>
      <c r="BH61" s="522">
        <f t="shared" si="35"/>
        <v>3198530.7800000003</v>
      </c>
      <c r="BI61" s="522">
        <f>3105304.1+167266.2</f>
        <v>3272570.3000000003</v>
      </c>
      <c r="BJ61" s="522">
        <f t="shared" si="37"/>
        <v>-182651.69999999972</v>
      </c>
      <c r="BK61" s="522">
        <f t="shared" si="38"/>
        <v>74039.520000000019</v>
      </c>
      <c r="BL61" s="525">
        <v>1170767.9099999999</v>
      </c>
      <c r="BM61" s="522">
        <f>'[67]Дир_по корп'!AW11</f>
        <v>1170767.9099999999</v>
      </c>
      <c r="BN61" s="522">
        <f t="shared" si="146"/>
        <v>1930750.0299999998</v>
      </c>
      <c r="BO61" s="522">
        <f t="shared" si="48"/>
        <v>759982.11999999988</v>
      </c>
      <c r="BP61" s="522">
        <f t="shared" si="40"/>
        <v>759982.11999999988</v>
      </c>
      <c r="BQ61" s="525">
        <v>1170767.9099999999</v>
      </c>
      <c r="BR61" s="522">
        <f>'[67]Дир_по корп'!BB11</f>
        <v>0</v>
      </c>
      <c r="BS61" s="522">
        <f>'[67]Дир_по корп'!BC11</f>
        <v>0</v>
      </c>
      <c r="BT61" s="536"/>
      <c r="BU61" s="522">
        <v>4972844.13</v>
      </c>
      <c r="BV61" s="522">
        <v>230476.2</v>
      </c>
      <c r="BW61" s="522"/>
      <c r="BX61" s="574"/>
      <c r="BY61" s="525">
        <f>4766569.58+230476.2</f>
        <v>4997045.78</v>
      </c>
      <c r="BZ61" s="525">
        <v>173761.35</v>
      </c>
      <c r="CA61" s="525">
        <v>32513.200000000001</v>
      </c>
      <c r="CB61" s="522">
        <f t="shared" si="134"/>
        <v>5203320.33</v>
      </c>
      <c r="CC61" s="522">
        <f t="shared" si="44"/>
        <v>0</v>
      </c>
      <c r="CD61" s="522"/>
      <c r="CE61" s="522"/>
      <c r="CF61" s="522"/>
      <c r="CG61" s="522"/>
      <c r="CH61" s="522"/>
      <c r="CI61" s="522"/>
      <c r="CJ61" s="522"/>
      <c r="CK61" s="543" t="s">
        <v>80</v>
      </c>
      <c r="CL61" s="543" t="s">
        <v>1901</v>
      </c>
      <c r="CM61" s="528" t="s">
        <v>1305</v>
      </c>
      <c r="CN61" s="528" t="s">
        <v>1849</v>
      </c>
      <c r="CO61" s="528"/>
      <c r="CP61" s="544">
        <f t="shared" si="147"/>
        <v>4309446.9707921604</v>
      </c>
      <c r="CQ61" s="544">
        <f t="shared" si="148"/>
        <v>316542.93920783966</v>
      </c>
      <c r="CR61" s="544"/>
      <c r="CS61" s="1709" t="s">
        <v>1898</v>
      </c>
      <c r="CT61" s="1710"/>
      <c r="CU61" s="1710"/>
      <c r="CV61" s="1710"/>
      <c r="CW61" s="1711"/>
      <c r="CX61" s="528"/>
      <c r="CY61" s="528"/>
      <c r="CZ61" s="528"/>
      <c r="DA61" s="528"/>
      <c r="DB61" s="544">
        <f>536871.01+24476.2</f>
        <v>561347.21</v>
      </c>
      <c r="DD61" s="535"/>
      <c r="DE61" s="535"/>
      <c r="DF61" s="525">
        <f t="shared" si="88"/>
        <v>4997.0457800000004</v>
      </c>
      <c r="DG61" s="525">
        <f t="shared" si="88"/>
        <v>173.76134999999999</v>
      </c>
      <c r="DH61" s="525">
        <f t="shared" si="88"/>
        <v>32.513199999999998</v>
      </c>
      <c r="DI61" s="522">
        <f t="shared" si="88"/>
        <v>5203.3203300000005</v>
      </c>
      <c r="DJ61" s="536"/>
      <c r="DK61" s="536"/>
      <c r="DL61" s="536"/>
      <c r="DM61" s="536"/>
      <c r="DN61" s="536"/>
      <c r="DO61" s="536"/>
      <c r="DP61" s="536"/>
      <c r="DQ61" s="536"/>
      <c r="DR61" s="536"/>
      <c r="DS61" s="536"/>
    </row>
    <row r="62" spans="1:123" s="534" customFormat="1" ht="74.25" customHeight="1">
      <c r="A62" s="537" t="s">
        <v>1004</v>
      </c>
      <c r="B62" s="538" t="s">
        <v>1005</v>
      </c>
      <c r="C62" s="576">
        <v>1403032.41</v>
      </c>
      <c r="D62" s="525">
        <v>1316728</v>
      </c>
      <c r="E62" s="525">
        <v>706850</v>
      </c>
      <c r="F62" s="525">
        <v>1497501.03</v>
      </c>
      <c r="G62" s="540">
        <v>1994994.2903390971</v>
      </c>
      <c r="H62" s="540">
        <v>0</v>
      </c>
      <c r="I62" s="525">
        <f t="shared" si="140"/>
        <v>891516.5</v>
      </c>
      <c r="J62" s="525">
        <v>602833.5</v>
      </c>
      <c r="K62" s="525">
        <v>96027</v>
      </c>
      <c r="L62" s="525">
        <v>192656</v>
      </c>
      <c r="M62" s="525">
        <f t="shared" si="141"/>
        <v>698860.5</v>
      </c>
      <c r="N62" s="525">
        <v>889869.47</v>
      </c>
      <c r="O62" s="525">
        <f t="shared" si="142"/>
        <v>507176.07000000007</v>
      </c>
      <c r="P62" s="522">
        <v>1397045.54</v>
      </c>
      <c r="Q62" s="525">
        <f t="shared" si="12"/>
        <v>505529.04000000004</v>
      </c>
      <c r="R62" s="525">
        <f t="shared" si="13"/>
        <v>56.704395263576174</v>
      </c>
      <c r="S62" s="525">
        <v>2104718.9763077479</v>
      </c>
      <c r="T62" s="525">
        <v>2104718.9763077479</v>
      </c>
      <c r="U62" s="522">
        <f t="shared" si="143"/>
        <v>738676</v>
      </c>
      <c r="V62" s="522">
        <f t="shared" si="1"/>
        <v>-1366042.9763077479</v>
      </c>
      <c r="W62" s="522">
        <f t="shared" si="14"/>
        <v>-64.903818119422311</v>
      </c>
      <c r="X62" s="522">
        <f t="shared" si="15"/>
        <v>-658369.54</v>
      </c>
      <c r="Y62" s="522">
        <f t="shared" si="16"/>
        <v>-47.125846735103572</v>
      </c>
      <c r="Z62" s="524">
        <f t="shared" si="17"/>
        <v>838202.37</v>
      </c>
      <c r="AA62" s="522">
        <f t="shared" si="18"/>
        <v>-1266516.6063077478</v>
      </c>
      <c r="AB62" s="522">
        <f t="shared" si="19"/>
        <v>-60.175093234041348</v>
      </c>
      <c r="AC62" s="522">
        <f t="shared" si="20"/>
        <v>99526.37</v>
      </c>
      <c r="AD62" s="522">
        <f t="shared" si="21"/>
        <v>13.473616308097178</v>
      </c>
      <c r="AE62" s="522">
        <f t="shared" si="22"/>
        <v>-558843.17000000004</v>
      </c>
      <c r="AF62" s="522">
        <f t="shared" si="23"/>
        <v>-40.001786198036186</v>
      </c>
      <c r="AG62" s="522">
        <f t="shared" si="46"/>
        <v>744442.93</v>
      </c>
      <c r="AH62" s="522">
        <f t="shared" si="24"/>
        <v>5766.9300000000512</v>
      </c>
      <c r="AI62" s="522">
        <f t="shared" si="25"/>
        <v>0.78071170580878402</v>
      </c>
      <c r="AJ62" s="522">
        <f t="shared" si="26"/>
        <v>-93759.439999999944</v>
      </c>
      <c r="AK62" s="522">
        <f t="shared" si="133"/>
        <v>-11.185776055488844</v>
      </c>
      <c r="AL62" s="522">
        <f t="shared" si="144"/>
        <v>744442.93</v>
      </c>
      <c r="AM62" s="522">
        <f t="shared" si="72"/>
        <v>158676</v>
      </c>
      <c r="AN62" s="522">
        <f t="shared" si="72"/>
        <v>258202.37</v>
      </c>
      <c r="AO62" s="522">
        <f t="shared" si="27"/>
        <v>99526.37</v>
      </c>
      <c r="AP62" s="522">
        <f t="shared" si="47"/>
        <v>62.723014192442463</v>
      </c>
      <c r="AQ62" s="522">
        <v>38676</v>
      </c>
      <c r="AR62" s="522">
        <v>19900</v>
      </c>
      <c r="AS62" s="522">
        <v>120000</v>
      </c>
      <c r="AT62" s="522">
        <v>238302.37</v>
      </c>
      <c r="AU62" s="522">
        <f t="shared" si="79"/>
        <v>580000</v>
      </c>
      <c r="AV62" s="522">
        <f t="shared" si="79"/>
        <v>580000</v>
      </c>
      <c r="AW62" s="522">
        <f t="shared" si="28"/>
        <v>0</v>
      </c>
      <c r="AX62" s="522">
        <f t="shared" si="29"/>
        <v>0</v>
      </c>
      <c r="AY62" s="522">
        <f t="shared" si="82"/>
        <v>486240.56000000006</v>
      </c>
      <c r="AZ62" s="522">
        <f t="shared" si="30"/>
        <v>93759.439999999944</v>
      </c>
      <c r="BA62" s="522">
        <f t="shared" si="31"/>
        <v>19.282521392291898</v>
      </c>
      <c r="BB62" s="522">
        <v>500000</v>
      </c>
      <c r="BC62" s="525">
        <f>'[67]Дир_по корп'!AT12</f>
        <v>500000</v>
      </c>
      <c r="BD62" s="525">
        <f t="shared" si="145"/>
        <v>157710</v>
      </c>
      <c r="BE62" s="525">
        <f t="shared" si="33"/>
        <v>-342290</v>
      </c>
      <c r="BF62" s="525">
        <f t="shared" si="34"/>
        <v>-342290</v>
      </c>
      <c r="BG62" s="525">
        <f t="shared" si="35"/>
        <v>658676</v>
      </c>
      <c r="BH62" s="522">
        <f t="shared" si="35"/>
        <v>758202.37</v>
      </c>
      <c r="BI62" s="522">
        <f>405912.37+10000</f>
        <v>415912.37</v>
      </c>
      <c r="BJ62" s="522">
        <f t="shared" si="37"/>
        <v>-242763.63</v>
      </c>
      <c r="BK62" s="522">
        <f t="shared" si="38"/>
        <v>-342290</v>
      </c>
      <c r="BL62" s="525">
        <v>80000</v>
      </c>
      <c r="BM62" s="522">
        <f>'[67]Дир_по корп'!AW12</f>
        <v>80000</v>
      </c>
      <c r="BN62" s="522">
        <f t="shared" si="146"/>
        <v>328530.56000000006</v>
      </c>
      <c r="BO62" s="522">
        <f t="shared" si="48"/>
        <v>248530.56000000006</v>
      </c>
      <c r="BP62" s="522">
        <f t="shared" si="40"/>
        <v>248530.56000000006</v>
      </c>
      <c r="BQ62" s="525">
        <v>80000</v>
      </c>
      <c r="BR62" s="522">
        <f>'[67]Дир_по корп'!BB12</f>
        <v>0</v>
      </c>
      <c r="BS62" s="522">
        <f>'[67]Дир_по корп'!BC12</f>
        <v>0</v>
      </c>
      <c r="BT62" s="536"/>
      <c r="BU62" s="522">
        <v>728442.93</v>
      </c>
      <c r="BV62" s="522">
        <v>16000</v>
      </c>
      <c r="BW62" s="522"/>
      <c r="BX62" s="574"/>
      <c r="BY62" s="525">
        <f>712099.52+16000</f>
        <v>728099.52</v>
      </c>
      <c r="BZ62" s="525">
        <v>13060.63</v>
      </c>
      <c r="CA62" s="525">
        <v>3282.78</v>
      </c>
      <c r="CB62" s="522">
        <f t="shared" si="134"/>
        <v>744442.93</v>
      </c>
      <c r="CC62" s="522">
        <f t="shared" si="44"/>
        <v>0</v>
      </c>
      <c r="CD62" s="522"/>
      <c r="CE62" s="522"/>
      <c r="CF62" s="522"/>
      <c r="CG62" s="522"/>
      <c r="CH62" s="522"/>
      <c r="CI62" s="522"/>
      <c r="CJ62" s="522"/>
      <c r="CK62" s="543" t="s">
        <v>80</v>
      </c>
      <c r="CL62" s="543" t="s">
        <v>1901</v>
      </c>
      <c r="CM62" s="528" t="s">
        <v>1305</v>
      </c>
      <c r="CN62" s="528" t="s">
        <v>1849</v>
      </c>
      <c r="CO62" s="528"/>
      <c r="CP62" s="544">
        <f t="shared" si="147"/>
        <v>688130.56503118691</v>
      </c>
      <c r="CQ62" s="544">
        <f t="shared" si="148"/>
        <v>50545.434968813017</v>
      </c>
      <c r="CR62" s="544"/>
      <c r="CS62" s="1709" t="s">
        <v>1898</v>
      </c>
      <c r="CT62" s="1710"/>
      <c r="CU62" s="1710"/>
      <c r="CV62" s="1710"/>
      <c r="CW62" s="1711"/>
      <c r="CX62" s="528"/>
      <c r="CY62" s="528"/>
      <c r="CZ62" s="528"/>
      <c r="DA62" s="528"/>
      <c r="DB62" s="544">
        <f>19900</f>
        <v>19900</v>
      </c>
      <c r="DD62" s="535"/>
      <c r="DE62" s="535"/>
      <c r="DF62" s="525">
        <f t="shared" si="88"/>
        <v>728.09951999999998</v>
      </c>
      <c r="DG62" s="525">
        <f t="shared" si="88"/>
        <v>13.06063</v>
      </c>
      <c r="DH62" s="525">
        <f t="shared" si="88"/>
        <v>3.2827800000000003</v>
      </c>
      <c r="DI62" s="522">
        <f t="shared" si="88"/>
        <v>744.44293000000005</v>
      </c>
      <c r="DJ62" s="536"/>
      <c r="DK62" s="536"/>
      <c r="DL62" s="536"/>
      <c r="DM62" s="536"/>
      <c r="DN62" s="536"/>
      <c r="DO62" s="536"/>
      <c r="DP62" s="536"/>
      <c r="DQ62" s="536"/>
      <c r="DR62" s="536"/>
      <c r="DS62" s="536"/>
    </row>
    <row r="63" spans="1:123" s="534" customFormat="1" ht="65.25" customHeight="1">
      <c r="A63" s="537" t="s">
        <v>1074</v>
      </c>
      <c r="B63" s="538" t="s">
        <v>1075</v>
      </c>
      <c r="C63" s="576">
        <v>557562</v>
      </c>
      <c r="D63" s="525">
        <v>1855854.04</v>
      </c>
      <c r="E63" s="525">
        <v>710000</v>
      </c>
      <c r="F63" s="525">
        <v>593002</v>
      </c>
      <c r="G63" s="540">
        <v>584792.19924156892</v>
      </c>
      <c r="H63" s="540">
        <v>0</v>
      </c>
      <c r="I63" s="525">
        <f t="shared" si="140"/>
        <v>715768.45</v>
      </c>
      <c r="J63" s="525">
        <v>302504.95</v>
      </c>
      <c r="K63" s="525">
        <v>204941.74</v>
      </c>
      <c r="L63" s="525">
        <v>208321.76</v>
      </c>
      <c r="M63" s="525">
        <f t="shared" si="141"/>
        <v>507446.69</v>
      </c>
      <c r="N63" s="525">
        <v>440116.9</v>
      </c>
      <c r="O63" s="525">
        <f t="shared" si="142"/>
        <v>154046.15000000002</v>
      </c>
      <c r="P63" s="522">
        <v>594163.05000000005</v>
      </c>
      <c r="Q63" s="525">
        <f t="shared" si="12"/>
        <v>-121605.39999999991</v>
      </c>
      <c r="R63" s="525">
        <f t="shared" si="13"/>
        <v>-16.989488709651837</v>
      </c>
      <c r="S63" s="525">
        <v>664472.49624999997</v>
      </c>
      <c r="T63" s="525">
        <v>664472.49624999997</v>
      </c>
      <c r="U63" s="522">
        <f t="shared" si="143"/>
        <v>664472.5</v>
      </c>
      <c r="V63" s="522">
        <f t="shared" si="1"/>
        <v>3.7500000325962901E-3</v>
      </c>
      <c r="W63" s="522">
        <f t="shared" si="14"/>
        <v>5.6435744966165657E-7</v>
      </c>
      <c r="X63" s="522">
        <f t="shared" si="15"/>
        <v>70309.449999999953</v>
      </c>
      <c r="Y63" s="522">
        <f t="shared" si="16"/>
        <v>11.833359546676618</v>
      </c>
      <c r="Z63" s="524">
        <f t="shared" si="17"/>
        <v>568492.69999999995</v>
      </c>
      <c r="AA63" s="522">
        <f t="shared" si="18"/>
        <v>-95979.796250000014</v>
      </c>
      <c r="AB63" s="522">
        <f t="shared" si="19"/>
        <v>-14.44451001232845</v>
      </c>
      <c r="AC63" s="522">
        <f t="shared" si="20"/>
        <v>-95979.800000000047</v>
      </c>
      <c r="AD63" s="522">
        <f t="shared" si="21"/>
        <v>-14.444510495167222</v>
      </c>
      <c r="AE63" s="522">
        <f t="shared" si="22"/>
        <v>-25670.350000000093</v>
      </c>
      <c r="AF63" s="522">
        <f t="shared" si="23"/>
        <v>-4.320421810141184</v>
      </c>
      <c r="AG63" s="522">
        <f t="shared" si="46"/>
        <v>556396.85</v>
      </c>
      <c r="AH63" s="522">
        <f t="shared" si="24"/>
        <v>-108075.65000000002</v>
      </c>
      <c r="AI63" s="522">
        <f t="shared" si="25"/>
        <v>-16.264879283943273</v>
      </c>
      <c r="AJ63" s="522">
        <f t="shared" si="26"/>
        <v>-12095.849999999977</v>
      </c>
      <c r="AK63" s="522">
        <f t="shared" si="133"/>
        <v>-2.1277054217230926</v>
      </c>
      <c r="AL63" s="522">
        <f t="shared" si="144"/>
        <v>556396.85</v>
      </c>
      <c r="AM63" s="522">
        <f t="shared" si="72"/>
        <v>328595.94</v>
      </c>
      <c r="AN63" s="522">
        <f t="shared" si="72"/>
        <v>255012.3</v>
      </c>
      <c r="AO63" s="522">
        <f t="shared" si="27"/>
        <v>-73583.640000000014</v>
      </c>
      <c r="AP63" s="522">
        <f t="shared" si="47"/>
        <v>-22.393350325630934</v>
      </c>
      <c r="AQ63" s="522">
        <v>162688.28</v>
      </c>
      <c r="AR63" s="522">
        <v>118523.4</v>
      </c>
      <c r="AS63" s="522">
        <v>165907.66</v>
      </c>
      <c r="AT63" s="522">
        <v>136488.9</v>
      </c>
      <c r="AU63" s="522">
        <f t="shared" si="79"/>
        <v>335876.56</v>
      </c>
      <c r="AV63" s="522">
        <f t="shared" si="79"/>
        <v>313480.40000000002</v>
      </c>
      <c r="AW63" s="522">
        <f t="shared" si="28"/>
        <v>-22396.159999999974</v>
      </c>
      <c r="AX63" s="522">
        <f t="shared" si="29"/>
        <v>-6.6679734959772077</v>
      </c>
      <c r="AY63" s="522">
        <f t="shared" si="82"/>
        <v>301384.55</v>
      </c>
      <c r="AZ63" s="522">
        <f t="shared" si="30"/>
        <v>12095.850000000035</v>
      </c>
      <c r="BA63" s="522">
        <f t="shared" si="31"/>
        <v>4.013427363811445</v>
      </c>
      <c r="BB63" s="522">
        <v>168088.28</v>
      </c>
      <c r="BC63" s="525">
        <f>'[67]Дир_по экон'!AT18</f>
        <v>156890.20000000001</v>
      </c>
      <c r="BD63" s="525">
        <f t="shared" si="145"/>
        <v>144251.79999999999</v>
      </c>
      <c r="BE63" s="525">
        <f t="shared" si="33"/>
        <v>-23836.48000000001</v>
      </c>
      <c r="BF63" s="525">
        <f t="shared" si="34"/>
        <v>-12638.400000000023</v>
      </c>
      <c r="BG63" s="525">
        <f t="shared" si="35"/>
        <v>496684.22</v>
      </c>
      <c r="BH63" s="522">
        <f t="shared" si="35"/>
        <v>411902.5</v>
      </c>
      <c r="BI63" s="522">
        <v>399264.1</v>
      </c>
      <c r="BJ63" s="522">
        <f t="shared" si="37"/>
        <v>-97420.12</v>
      </c>
      <c r="BK63" s="522">
        <f t="shared" si="38"/>
        <v>-12638.400000000023</v>
      </c>
      <c r="BL63" s="525">
        <v>167788.28</v>
      </c>
      <c r="BM63" s="522">
        <f>'[67]Дир_по экон'!AW18</f>
        <v>156590.20000000001</v>
      </c>
      <c r="BN63" s="522">
        <f t="shared" si="146"/>
        <v>157132.75</v>
      </c>
      <c r="BO63" s="522">
        <f t="shared" si="48"/>
        <v>-10655.529999999999</v>
      </c>
      <c r="BP63" s="522">
        <f t="shared" si="40"/>
        <v>542.54999999998836</v>
      </c>
      <c r="BQ63" s="525">
        <v>167788.28</v>
      </c>
      <c r="BR63" s="522">
        <f>'[67]Дир_по экон'!BB18</f>
        <v>0</v>
      </c>
      <c r="BS63" s="522">
        <f>'[67]Дир_по экон'!BC18</f>
        <v>0</v>
      </c>
      <c r="BT63" s="536"/>
      <c r="BU63" s="522">
        <v>556396.85</v>
      </c>
      <c r="BV63" s="522"/>
      <c r="BW63" s="522"/>
      <c r="BX63" s="574"/>
      <c r="BY63" s="525">
        <v>546624.63</v>
      </c>
      <c r="BZ63" s="525">
        <v>8270.59</v>
      </c>
      <c r="CA63" s="525">
        <v>1501.63</v>
      </c>
      <c r="CB63" s="522">
        <f t="shared" si="134"/>
        <v>556396.85</v>
      </c>
      <c r="CC63" s="522">
        <f t="shared" si="44"/>
        <v>0</v>
      </c>
      <c r="CD63" s="522"/>
      <c r="CE63" s="522"/>
      <c r="CF63" s="522"/>
      <c r="CG63" s="522"/>
      <c r="CH63" s="522"/>
      <c r="CI63" s="522"/>
      <c r="CJ63" s="522"/>
      <c r="CK63" s="543" t="s">
        <v>77</v>
      </c>
      <c r="CL63" s="542" t="s">
        <v>1800</v>
      </c>
      <c r="CM63" s="528" t="s">
        <v>1305</v>
      </c>
      <c r="CN63" s="528"/>
      <c r="CO63" s="528"/>
      <c r="CP63" s="544">
        <f t="shared" si="147"/>
        <v>619004.59318115842</v>
      </c>
      <c r="CQ63" s="544">
        <f t="shared" si="148"/>
        <v>45467.906818841555</v>
      </c>
      <c r="CR63" s="544"/>
      <c r="CS63" s="1709" t="s">
        <v>1898</v>
      </c>
      <c r="CT63" s="1710"/>
      <c r="CU63" s="1710"/>
      <c r="CV63" s="1710"/>
      <c r="CW63" s="1711"/>
      <c r="CX63" s="528"/>
      <c r="CY63" s="528"/>
      <c r="CZ63" s="528"/>
      <c r="DA63" s="528"/>
      <c r="DB63" s="544">
        <f>118523.4</f>
        <v>118523.4</v>
      </c>
      <c r="DD63" s="535"/>
      <c r="DE63" s="535"/>
      <c r="DF63" s="525">
        <f t="shared" si="88"/>
        <v>546.62463000000002</v>
      </c>
      <c r="DG63" s="525">
        <f t="shared" si="88"/>
        <v>8.2705900000000003</v>
      </c>
      <c r="DH63" s="525">
        <f t="shared" si="88"/>
        <v>1.50163</v>
      </c>
      <c r="DI63" s="522">
        <f t="shared" si="88"/>
        <v>556.39684999999997</v>
      </c>
      <c r="DJ63" s="536"/>
      <c r="DK63" s="536"/>
      <c r="DL63" s="536"/>
      <c r="DM63" s="536"/>
      <c r="DN63" s="536"/>
      <c r="DO63" s="536"/>
      <c r="DP63" s="536"/>
      <c r="DQ63" s="536"/>
      <c r="DR63" s="536"/>
      <c r="DS63" s="536"/>
    </row>
    <row r="64" spans="1:123" s="534" customFormat="1" ht="94.5" customHeight="1">
      <c r="A64" s="537" t="s">
        <v>1079</v>
      </c>
      <c r="B64" s="538" t="s">
        <v>1080</v>
      </c>
      <c r="C64" s="576">
        <v>860558.28</v>
      </c>
      <c r="D64" s="525">
        <v>1855854.04</v>
      </c>
      <c r="E64" s="525">
        <v>1050000</v>
      </c>
      <c r="F64" s="525">
        <v>1000278.49</v>
      </c>
      <c r="G64" s="540">
        <v>1129698.2904038767</v>
      </c>
      <c r="H64" s="540">
        <v>0</v>
      </c>
      <c r="I64" s="525">
        <f t="shared" si="140"/>
        <v>1038864.93</v>
      </c>
      <c r="J64" s="525">
        <v>536606.93000000005</v>
      </c>
      <c r="K64" s="525">
        <v>253360</v>
      </c>
      <c r="L64" s="525">
        <v>248898</v>
      </c>
      <c r="M64" s="525">
        <f t="shared" si="141"/>
        <v>789966.93</v>
      </c>
      <c r="N64" s="525">
        <v>752328.54</v>
      </c>
      <c r="O64" s="525">
        <f t="shared" si="142"/>
        <v>231785.5</v>
      </c>
      <c r="P64" s="522">
        <f>48994.28+935119.76</f>
        <v>984114.04</v>
      </c>
      <c r="Q64" s="525">
        <f t="shared" si="12"/>
        <v>-54750.890000000014</v>
      </c>
      <c r="R64" s="525">
        <f t="shared" si="13"/>
        <v>-5.2702606873060915</v>
      </c>
      <c r="S64" s="525">
        <v>0</v>
      </c>
      <c r="T64" s="525"/>
      <c r="U64" s="522">
        <f t="shared" si="143"/>
        <v>1003104.72</v>
      </c>
      <c r="V64" s="522">
        <f t="shared" si="1"/>
        <v>1003104.72</v>
      </c>
      <c r="W64" s="522">
        <v>0</v>
      </c>
      <c r="X64" s="522">
        <f t="shared" si="15"/>
        <v>18990.679999999935</v>
      </c>
      <c r="Y64" s="522">
        <f t="shared" si="16"/>
        <v>1.9297235104988459</v>
      </c>
      <c r="Z64" s="524">
        <f t="shared" si="17"/>
        <v>937107.08</v>
      </c>
      <c r="AA64" s="522">
        <f t="shared" si="18"/>
        <v>937107.08</v>
      </c>
      <c r="AB64" s="522">
        <v>0</v>
      </c>
      <c r="AC64" s="522">
        <f t="shared" si="20"/>
        <v>-65997.640000000014</v>
      </c>
      <c r="AD64" s="522">
        <f t="shared" si="21"/>
        <v>-6.5793370008267971</v>
      </c>
      <c r="AE64" s="522">
        <f t="shared" si="22"/>
        <v>-47006.960000000079</v>
      </c>
      <c r="AF64" s="522">
        <f t="shared" si="23"/>
        <v>-4.7765765032678615</v>
      </c>
      <c r="AG64" s="522">
        <f t="shared" si="46"/>
        <v>854300.02</v>
      </c>
      <c r="AH64" s="522">
        <f t="shared" si="24"/>
        <v>-148804.69999999995</v>
      </c>
      <c r="AI64" s="522">
        <f t="shared" si="25"/>
        <v>-14.83441330033817</v>
      </c>
      <c r="AJ64" s="522">
        <f t="shared" si="26"/>
        <v>-82807.059999999939</v>
      </c>
      <c r="AK64" s="522">
        <f t="shared" si="133"/>
        <v>-8.8364565552103187</v>
      </c>
      <c r="AL64" s="522">
        <f t="shared" si="144"/>
        <v>854300.02</v>
      </c>
      <c r="AM64" s="522">
        <f t="shared" si="72"/>
        <v>512952.36</v>
      </c>
      <c r="AN64" s="522">
        <f t="shared" si="72"/>
        <v>444990.74</v>
      </c>
      <c r="AO64" s="522">
        <f t="shared" si="27"/>
        <v>-67961.62</v>
      </c>
      <c r="AP64" s="522">
        <f t="shared" si="47"/>
        <v>-13.249109527442272</v>
      </c>
      <c r="AQ64" s="522">
        <v>254376.18</v>
      </c>
      <c r="AR64" s="522">
        <v>218428.87</v>
      </c>
      <c r="AS64" s="522">
        <v>258576.18</v>
      </c>
      <c r="AT64" s="522">
        <v>226561.87</v>
      </c>
      <c r="AU64" s="522">
        <f t="shared" si="79"/>
        <v>490152.36</v>
      </c>
      <c r="AV64" s="522">
        <f t="shared" si="79"/>
        <v>492116.33999999997</v>
      </c>
      <c r="AW64" s="522">
        <f t="shared" si="28"/>
        <v>1963.9799999999814</v>
      </c>
      <c r="AX64" s="522">
        <f t="shared" si="29"/>
        <v>0.4006876555689729</v>
      </c>
      <c r="AY64" s="522">
        <f t="shared" si="82"/>
        <v>409309.28</v>
      </c>
      <c r="AZ64" s="522">
        <f t="shared" si="30"/>
        <v>82807.059999999939</v>
      </c>
      <c r="BA64" s="522">
        <f t="shared" si="31"/>
        <v>20.230926599074394</v>
      </c>
      <c r="BB64" s="522">
        <v>251376.18</v>
      </c>
      <c r="BC64" s="525">
        <f>'[67]Дир_по экон'!AT19</f>
        <v>251540.16</v>
      </c>
      <c r="BD64" s="525">
        <f t="shared" si="145"/>
        <v>200488.89</v>
      </c>
      <c r="BE64" s="525">
        <f t="shared" si="33"/>
        <v>-50887.289999999979</v>
      </c>
      <c r="BF64" s="525">
        <f t="shared" si="34"/>
        <v>-51051.26999999999</v>
      </c>
      <c r="BG64" s="525">
        <f t="shared" si="35"/>
        <v>764328.54</v>
      </c>
      <c r="BH64" s="522">
        <f t="shared" si="35"/>
        <v>696530.9</v>
      </c>
      <c r="BI64" s="522">
        <f>600204.79+45274.84</f>
        <v>645479.63</v>
      </c>
      <c r="BJ64" s="522">
        <f t="shared" si="37"/>
        <v>-118848.91000000003</v>
      </c>
      <c r="BK64" s="522">
        <f t="shared" si="38"/>
        <v>-51051.270000000019</v>
      </c>
      <c r="BL64" s="525">
        <v>238776.18</v>
      </c>
      <c r="BM64" s="522">
        <f>'[67]Дир_по экон'!AW19</f>
        <v>240576.18</v>
      </c>
      <c r="BN64" s="522">
        <f t="shared" si="146"/>
        <v>208820.39</v>
      </c>
      <c r="BO64" s="522">
        <f t="shared" si="48"/>
        <v>-29955.789999999979</v>
      </c>
      <c r="BP64" s="522">
        <f t="shared" si="40"/>
        <v>-31755.789999999979</v>
      </c>
      <c r="BQ64" s="525">
        <v>238776.18</v>
      </c>
      <c r="BR64" s="522">
        <f>'[67]Дир_по экон'!BB19</f>
        <v>0</v>
      </c>
      <c r="BS64" s="522">
        <f>'[67]Дир_по экон'!BC19</f>
        <v>0</v>
      </c>
      <c r="BT64" s="536"/>
      <c r="BU64" s="522">
        <v>797537.9</v>
      </c>
      <c r="BV64" s="522">
        <v>56762.12</v>
      </c>
      <c r="BW64" s="522"/>
      <c r="BX64" s="574"/>
      <c r="BY64" s="525">
        <f>749375.2+56762.12</f>
        <v>806137.32</v>
      </c>
      <c r="BZ64" s="525">
        <v>36040.04</v>
      </c>
      <c r="CA64" s="525">
        <v>12122.66</v>
      </c>
      <c r="CB64" s="522">
        <f t="shared" si="134"/>
        <v>854300.02</v>
      </c>
      <c r="CC64" s="522">
        <f t="shared" si="44"/>
        <v>0</v>
      </c>
      <c r="CD64" s="522"/>
      <c r="CE64" s="522"/>
      <c r="CF64" s="522"/>
      <c r="CG64" s="522"/>
      <c r="CH64" s="522"/>
      <c r="CI64" s="522"/>
      <c r="CJ64" s="522"/>
      <c r="CK64" s="543" t="s">
        <v>77</v>
      </c>
      <c r="CL64" s="542" t="s">
        <v>1800</v>
      </c>
      <c r="CM64" s="528" t="s">
        <v>1305</v>
      </c>
      <c r="CN64" s="528"/>
      <c r="CO64" s="528"/>
      <c r="CP64" s="544">
        <f t="shared" si="147"/>
        <v>934465.20227955235</v>
      </c>
      <c r="CQ64" s="544">
        <f t="shared" si="148"/>
        <v>68639.517720447649</v>
      </c>
      <c r="CR64" s="544"/>
      <c r="CS64" s="1709" t="s">
        <v>1898</v>
      </c>
      <c r="CT64" s="1710"/>
      <c r="CU64" s="1710"/>
      <c r="CV64" s="1710"/>
      <c r="CW64" s="1711"/>
      <c r="CX64" s="528"/>
      <c r="CY64" s="528"/>
      <c r="CZ64" s="528"/>
      <c r="DA64" s="528"/>
      <c r="DB64" s="544">
        <f>202028.87+16400</f>
        <v>218428.87</v>
      </c>
      <c r="DD64" s="535"/>
      <c r="DE64" s="535"/>
      <c r="DF64" s="525">
        <f t="shared" si="88"/>
        <v>806.13731999999993</v>
      </c>
      <c r="DG64" s="525">
        <f t="shared" si="88"/>
        <v>36.040039999999998</v>
      </c>
      <c r="DH64" s="525">
        <f t="shared" si="88"/>
        <v>12.12266</v>
      </c>
      <c r="DI64" s="522">
        <f t="shared" si="88"/>
        <v>854.30002000000002</v>
      </c>
      <c r="DJ64" s="536"/>
      <c r="DK64" s="536"/>
      <c r="DL64" s="536"/>
      <c r="DM64" s="536"/>
      <c r="DN64" s="536"/>
      <c r="DO64" s="536"/>
      <c r="DP64" s="536"/>
      <c r="DQ64" s="536"/>
      <c r="DR64" s="536"/>
      <c r="DS64" s="536"/>
    </row>
    <row r="65" spans="1:123" s="534" customFormat="1" ht="84.6">
      <c r="A65" s="537" t="s">
        <v>1084</v>
      </c>
      <c r="B65" s="538" t="s">
        <v>1902</v>
      </c>
      <c r="C65" s="576"/>
      <c r="D65" s="525">
        <v>0</v>
      </c>
      <c r="E65" s="525">
        <v>0</v>
      </c>
      <c r="F65" s="525">
        <v>0</v>
      </c>
      <c r="G65" s="540">
        <v>0</v>
      </c>
      <c r="H65" s="540">
        <v>0</v>
      </c>
      <c r="I65" s="525">
        <f t="shared" si="140"/>
        <v>136005.39999999997</v>
      </c>
      <c r="J65" s="525">
        <v>136005.39999999997</v>
      </c>
      <c r="K65" s="525">
        <v>0</v>
      </c>
      <c r="L65" s="525">
        <v>0</v>
      </c>
      <c r="M65" s="525">
        <f t="shared" si="141"/>
        <v>136005.39999999997</v>
      </c>
      <c r="N65" s="525">
        <v>210070.28</v>
      </c>
      <c r="O65" s="525">
        <f t="shared" si="142"/>
        <v>78025.360000000015</v>
      </c>
      <c r="P65" s="522">
        <v>288095.64</v>
      </c>
      <c r="Q65" s="525">
        <f t="shared" si="12"/>
        <v>152090.24000000005</v>
      </c>
      <c r="R65" s="525">
        <f t="shared" si="13"/>
        <v>111.82661864896545</v>
      </c>
      <c r="S65" s="525">
        <v>0</v>
      </c>
      <c r="T65" s="525"/>
      <c r="U65" s="522">
        <f t="shared" si="143"/>
        <v>294378.49</v>
      </c>
      <c r="V65" s="522">
        <f t="shared" si="1"/>
        <v>294378.49</v>
      </c>
      <c r="W65" s="522">
        <v>0</v>
      </c>
      <c r="X65" s="522">
        <f t="shared" si="15"/>
        <v>6282.8499999999767</v>
      </c>
      <c r="Y65" s="522">
        <f t="shared" si="16"/>
        <v>2.1808209246068344</v>
      </c>
      <c r="Z65" s="524">
        <f t="shared" si="17"/>
        <v>312767.99</v>
      </c>
      <c r="AA65" s="522">
        <f t="shared" si="18"/>
        <v>312767.99</v>
      </c>
      <c r="AB65" s="522">
        <v>0</v>
      </c>
      <c r="AC65" s="522">
        <f t="shared" si="20"/>
        <v>18389.5</v>
      </c>
      <c r="AD65" s="522">
        <f t="shared" si="21"/>
        <v>6.2468898457900224</v>
      </c>
      <c r="AE65" s="522">
        <f t="shared" si="22"/>
        <v>24672.349999999977</v>
      </c>
      <c r="AF65" s="522">
        <f t="shared" si="23"/>
        <v>8.5639442512909909</v>
      </c>
      <c r="AG65" s="522">
        <f t="shared" si="46"/>
        <v>334689.48</v>
      </c>
      <c r="AH65" s="522">
        <f t="shared" si="24"/>
        <v>40310.989999999991</v>
      </c>
      <c r="AI65" s="522">
        <f t="shared" si="25"/>
        <v>13.693592218643417</v>
      </c>
      <c r="AJ65" s="522">
        <f t="shared" si="26"/>
        <v>21921.489999999991</v>
      </c>
      <c r="AK65" s="522">
        <f t="shared" si="133"/>
        <v>7.0088662206129158</v>
      </c>
      <c r="AL65" s="522">
        <f t="shared" si="144"/>
        <v>334689.48</v>
      </c>
      <c r="AM65" s="522">
        <f t="shared" si="72"/>
        <v>136005</v>
      </c>
      <c r="AN65" s="522">
        <f t="shared" si="72"/>
        <v>154394.5</v>
      </c>
      <c r="AO65" s="522">
        <f t="shared" si="27"/>
        <v>18389.5</v>
      </c>
      <c r="AP65" s="522">
        <f t="shared" si="47"/>
        <v>13.521194073747282</v>
      </c>
      <c r="AQ65" s="522">
        <v>67175</v>
      </c>
      <c r="AR65" s="522">
        <v>70309.72</v>
      </c>
      <c r="AS65" s="522">
        <v>68830</v>
      </c>
      <c r="AT65" s="522">
        <v>84084.78</v>
      </c>
      <c r="AU65" s="522">
        <f t="shared" si="79"/>
        <v>158373.49</v>
      </c>
      <c r="AV65" s="522">
        <f t="shared" si="79"/>
        <v>158373.49</v>
      </c>
      <c r="AW65" s="522">
        <f t="shared" si="28"/>
        <v>0</v>
      </c>
      <c r="AX65" s="522">
        <f t="shared" si="29"/>
        <v>0</v>
      </c>
      <c r="AY65" s="522">
        <f t="shared" si="82"/>
        <v>180294.97999999998</v>
      </c>
      <c r="AZ65" s="522">
        <f t="shared" si="30"/>
        <v>-21921.489999999991</v>
      </c>
      <c r="BA65" s="522">
        <f t="shared" si="31"/>
        <v>-12.15868018066837</v>
      </c>
      <c r="BB65" s="522">
        <v>74064</v>
      </c>
      <c r="BC65" s="525">
        <f>'[67]Гл инж_Тех дир'!AT45</f>
        <v>74064</v>
      </c>
      <c r="BD65" s="525">
        <f t="shared" si="145"/>
        <v>85963.799999999988</v>
      </c>
      <c r="BE65" s="525">
        <f t="shared" si="33"/>
        <v>11899.799999999988</v>
      </c>
      <c r="BF65" s="525">
        <f t="shared" si="34"/>
        <v>11899.799999999988</v>
      </c>
      <c r="BG65" s="525">
        <f t="shared" si="35"/>
        <v>210069</v>
      </c>
      <c r="BH65" s="522">
        <f t="shared" si="35"/>
        <v>228458.5</v>
      </c>
      <c r="BI65" s="522">
        <v>240358.3</v>
      </c>
      <c r="BJ65" s="522">
        <f t="shared" si="37"/>
        <v>30289.299999999988</v>
      </c>
      <c r="BK65" s="522">
        <f t="shared" si="38"/>
        <v>11899.799999999988</v>
      </c>
      <c r="BL65" s="525">
        <v>84309.49</v>
      </c>
      <c r="BM65" s="522">
        <f>'[67]Гл инж_Тех дир'!AW45</f>
        <v>84309.49</v>
      </c>
      <c r="BN65" s="522">
        <f t="shared" si="146"/>
        <v>94331.18</v>
      </c>
      <c r="BO65" s="522">
        <f t="shared" si="48"/>
        <v>10021.689999999988</v>
      </c>
      <c r="BP65" s="522">
        <f t="shared" si="40"/>
        <v>10021.689999999988</v>
      </c>
      <c r="BQ65" s="525">
        <v>84309.49</v>
      </c>
      <c r="BR65" s="522">
        <f>'[67]Гл инж_Тех дир'!BB45</f>
        <v>0</v>
      </c>
      <c r="BS65" s="522">
        <f>'[67]Гл инж_Тех дир'!BC45</f>
        <v>0</v>
      </c>
      <c r="BT65" s="536"/>
      <c r="BU65" s="522">
        <v>334689.48</v>
      </c>
      <c r="BV65" s="522"/>
      <c r="BW65" s="522"/>
      <c r="BX65" s="574"/>
      <c r="BY65" s="525">
        <v>333587.98</v>
      </c>
      <c r="BZ65" s="525">
        <v>948.94</v>
      </c>
      <c r="CA65" s="525">
        <v>152.56</v>
      </c>
      <c r="CB65" s="522">
        <f t="shared" si="134"/>
        <v>334689.48</v>
      </c>
      <c r="CC65" s="522">
        <f t="shared" si="44"/>
        <v>0</v>
      </c>
      <c r="CD65" s="522"/>
      <c r="CE65" s="522"/>
      <c r="CF65" s="522"/>
      <c r="CG65" s="522"/>
      <c r="CH65" s="522"/>
      <c r="CI65" s="522"/>
      <c r="CJ65" s="522"/>
      <c r="CK65" s="542" t="s">
        <v>79</v>
      </c>
      <c r="CL65" s="543" t="s">
        <v>1903</v>
      </c>
      <c r="CM65" s="528" t="s">
        <v>1305</v>
      </c>
      <c r="CN65" s="528" t="s">
        <v>1849</v>
      </c>
      <c r="CO65" s="528"/>
      <c r="CP65" s="544">
        <f t="shared" si="147"/>
        <v>274235.03221537941</v>
      </c>
      <c r="CQ65" s="544">
        <f t="shared" si="148"/>
        <v>20143.457784620554</v>
      </c>
      <c r="CR65" s="544"/>
      <c r="CS65" s="1709" t="s">
        <v>1898</v>
      </c>
      <c r="CT65" s="1710"/>
      <c r="CU65" s="1710"/>
      <c r="CV65" s="1710"/>
      <c r="CW65" s="1711"/>
      <c r="CX65" s="528"/>
      <c r="CY65" s="528"/>
      <c r="CZ65" s="528"/>
      <c r="DA65" s="528"/>
      <c r="DB65" s="544">
        <f>70309.72</f>
        <v>70309.72</v>
      </c>
      <c r="DD65" s="535"/>
      <c r="DE65" s="535"/>
      <c r="DF65" s="525">
        <f t="shared" si="88"/>
        <v>333.58797999999996</v>
      </c>
      <c r="DG65" s="525">
        <f t="shared" si="88"/>
        <v>0.94894000000000001</v>
      </c>
      <c r="DH65" s="525">
        <f t="shared" si="88"/>
        <v>0.15256</v>
      </c>
      <c r="DI65" s="522">
        <f t="shared" si="88"/>
        <v>334.68948</v>
      </c>
      <c r="DJ65" s="536"/>
      <c r="DK65" s="536"/>
      <c r="DL65" s="536"/>
      <c r="DM65" s="536"/>
      <c r="DN65" s="536"/>
      <c r="DO65" s="536"/>
      <c r="DP65" s="536"/>
      <c r="DQ65" s="536"/>
      <c r="DR65" s="536"/>
      <c r="DS65" s="536"/>
    </row>
    <row r="66" spans="1:123" s="534" customFormat="1" ht="85.5" customHeight="1">
      <c r="A66" s="537" t="s">
        <v>1088</v>
      </c>
      <c r="B66" s="538" t="s">
        <v>1089</v>
      </c>
      <c r="C66" s="576">
        <v>2136332.69</v>
      </c>
      <c r="D66" s="525">
        <v>1975091.99</v>
      </c>
      <c r="E66" s="525">
        <v>0</v>
      </c>
      <c r="F66" s="525">
        <v>2029851.41</v>
      </c>
      <c r="G66" s="540">
        <v>2085509.5103545545</v>
      </c>
      <c r="H66" s="540">
        <v>0</v>
      </c>
      <c r="I66" s="525">
        <f t="shared" si="140"/>
        <v>2285495.25</v>
      </c>
      <c r="J66" s="525">
        <v>1223278.1599999999</v>
      </c>
      <c r="K66" s="525">
        <v>540839.71</v>
      </c>
      <c r="L66" s="525">
        <v>521377.38</v>
      </c>
      <c r="M66" s="525">
        <f t="shared" si="141"/>
        <v>1764117.8699999999</v>
      </c>
      <c r="N66" s="525">
        <v>1766616.17</v>
      </c>
      <c r="O66" s="525">
        <f t="shared" si="142"/>
        <v>596008.16000000015</v>
      </c>
      <c r="P66" s="522">
        <f>260148.11+2102476.22</f>
        <v>2362624.33</v>
      </c>
      <c r="Q66" s="525">
        <f t="shared" si="12"/>
        <v>77129.080000000075</v>
      </c>
      <c r="R66" s="525">
        <f t="shared" si="13"/>
        <v>3.3747206431516332</v>
      </c>
      <c r="S66" s="525">
        <v>0</v>
      </c>
      <c r="T66" s="525"/>
      <c r="U66" s="522">
        <f t="shared" si="143"/>
        <v>2287993.56</v>
      </c>
      <c r="V66" s="522">
        <f t="shared" si="1"/>
        <v>2287993.56</v>
      </c>
      <c r="W66" s="522">
        <v>0</v>
      </c>
      <c r="X66" s="522">
        <f t="shared" si="15"/>
        <v>-74630.770000000019</v>
      </c>
      <c r="Y66" s="522">
        <f t="shared" si="16"/>
        <v>-3.1588081546590985</v>
      </c>
      <c r="Z66" s="524">
        <f t="shared" si="17"/>
        <v>2702023.8200000003</v>
      </c>
      <c r="AA66" s="522">
        <f t="shared" si="18"/>
        <v>2702023.8200000003</v>
      </c>
      <c r="AB66" s="522">
        <v>0</v>
      </c>
      <c r="AC66" s="522">
        <f t="shared" si="20"/>
        <v>414030.26000000024</v>
      </c>
      <c r="AD66" s="522">
        <f t="shared" si="21"/>
        <v>18.095779080776794</v>
      </c>
      <c r="AE66" s="522">
        <f t="shared" si="22"/>
        <v>339399.49000000022</v>
      </c>
      <c r="AF66" s="522">
        <f t="shared" si="23"/>
        <v>14.365359980865009</v>
      </c>
      <c r="AG66" s="522">
        <f t="shared" si="46"/>
        <v>3026875.85</v>
      </c>
      <c r="AH66" s="522">
        <f t="shared" si="24"/>
        <v>738882.29</v>
      </c>
      <c r="AI66" s="522">
        <f t="shared" si="25"/>
        <v>32.293897278277285</v>
      </c>
      <c r="AJ66" s="522">
        <f t="shared" si="26"/>
        <v>324852.0299999998</v>
      </c>
      <c r="AK66" s="522">
        <f t="shared" si="133"/>
        <v>12.022545012204944</v>
      </c>
      <c r="AL66" s="522">
        <f t="shared" si="144"/>
        <v>3026875.85</v>
      </c>
      <c r="AM66" s="522">
        <f t="shared" si="72"/>
        <v>1143996.78</v>
      </c>
      <c r="AN66" s="522">
        <f t="shared" si="72"/>
        <v>1558027.04</v>
      </c>
      <c r="AO66" s="522">
        <f t="shared" si="27"/>
        <v>414030.26</v>
      </c>
      <c r="AP66" s="522">
        <f t="shared" si="47"/>
        <v>36.191558161553559</v>
      </c>
      <c r="AQ66" s="522">
        <v>571998.39</v>
      </c>
      <c r="AR66" s="522">
        <v>942934.7</v>
      </c>
      <c r="AS66" s="522">
        <v>571998.39</v>
      </c>
      <c r="AT66" s="522">
        <v>615092.34000000008</v>
      </c>
      <c r="AU66" s="522">
        <f t="shared" si="79"/>
        <v>1143996.78</v>
      </c>
      <c r="AV66" s="522">
        <f t="shared" si="79"/>
        <v>1143996.78</v>
      </c>
      <c r="AW66" s="522">
        <f t="shared" si="28"/>
        <v>0</v>
      </c>
      <c r="AX66" s="522">
        <f t="shared" si="29"/>
        <v>0</v>
      </c>
      <c r="AY66" s="522">
        <f t="shared" si="82"/>
        <v>1468848.81</v>
      </c>
      <c r="AZ66" s="522">
        <f t="shared" si="30"/>
        <v>-324852.03000000003</v>
      </c>
      <c r="BA66" s="522">
        <f t="shared" si="31"/>
        <v>-22.11609716319272</v>
      </c>
      <c r="BB66" s="522">
        <v>571998.39</v>
      </c>
      <c r="BC66" s="525">
        <f>'[67]Дир_по экон'!AT20</f>
        <v>571998.39</v>
      </c>
      <c r="BD66" s="525">
        <f t="shared" si="145"/>
        <v>730690.60999999987</v>
      </c>
      <c r="BE66" s="525">
        <f t="shared" si="33"/>
        <v>158692.21999999986</v>
      </c>
      <c r="BF66" s="525">
        <f t="shared" si="34"/>
        <v>158692.21999999986</v>
      </c>
      <c r="BG66" s="525">
        <f t="shared" si="35"/>
        <v>1715995.17</v>
      </c>
      <c r="BH66" s="522">
        <f t="shared" si="35"/>
        <v>2130025.4300000002</v>
      </c>
      <c r="BI66" s="522">
        <f>1994391.27+294326.38</f>
        <v>2288717.65</v>
      </c>
      <c r="BJ66" s="522">
        <f t="shared" si="37"/>
        <v>572722.48</v>
      </c>
      <c r="BK66" s="522">
        <f t="shared" si="38"/>
        <v>158692.21999999974</v>
      </c>
      <c r="BL66" s="525">
        <v>571998.39</v>
      </c>
      <c r="BM66" s="522">
        <f>'[67]Дир_по экон'!AW20</f>
        <v>571998.39</v>
      </c>
      <c r="BN66" s="522">
        <f t="shared" si="146"/>
        <v>738158.20000000019</v>
      </c>
      <c r="BO66" s="522">
        <f t="shared" si="48"/>
        <v>166159.81000000017</v>
      </c>
      <c r="BP66" s="522">
        <f t="shared" si="40"/>
        <v>166159.81000000017</v>
      </c>
      <c r="BQ66" s="525">
        <v>571998.39</v>
      </c>
      <c r="BR66" s="522">
        <f>'[67]Дир_по экон'!BB20</f>
        <v>0</v>
      </c>
      <c r="BS66" s="522">
        <f>'[67]Дир_по экон'!BC20</f>
        <v>0</v>
      </c>
      <c r="BT66" s="536"/>
      <c r="BU66" s="522">
        <v>2622576.04</v>
      </c>
      <c r="BV66" s="522">
        <v>404299.81</v>
      </c>
      <c r="BW66" s="522"/>
      <c r="BX66" s="574"/>
      <c r="BY66" s="525">
        <f>2468563.57+404299.81</f>
        <v>2872863.38</v>
      </c>
      <c r="BZ66" s="525">
        <v>117926.82</v>
      </c>
      <c r="CA66" s="525">
        <v>36085.65</v>
      </c>
      <c r="CB66" s="522">
        <f t="shared" si="134"/>
        <v>3026875.8499999996</v>
      </c>
      <c r="CC66" s="522">
        <f t="shared" si="44"/>
        <v>0</v>
      </c>
      <c r="CD66" s="522"/>
      <c r="CE66" s="522"/>
      <c r="CF66" s="522"/>
      <c r="CG66" s="522"/>
      <c r="CH66" s="522"/>
      <c r="CI66" s="522"/>
      <c r="CJ66" s="522"/>
      <c r="CK66" s="543" t="s">
        <v>77</v>
      </c>
      <c r="CL66" s="542" t="s">
        <v>1800</v>
      </c>
      <c r="CM66" s="528" t="s">
        <v>1305</v>
      </c>
      <c r="CN66" s="528"/>
      <c r="CO66" s="528"/>
      <c r="CP66" s="544">
        <f t="shared" si="147"/>
        <v>2131432.8626224715</v>
      </c>
      <c r="CQ66" s="544">
        <f t="shared" si="148"/>
        <v>156560.69737752815</v>
      </c>
      <c r="CR66" s="544"/>
      <c r="CS66" s="1709" t="s">
        <v>1898</v>
      </c>
      <c r="CT66" s="1710"/>
      <c r="CU66" s="1710"/>
      <c r="CV66" s="1710"/>
      <c r="CW66" s="1711"/>
      <c r="CX66" s="528"/>
      <c r="CY66" s="528"/>
      <c r="CZ66" s="528"/>
      <c r="DA66" s="528"/>
      <c r="DB66" s="544">
        <f>834971.85+107962.85</f>
        <v>942934.7</v>
      </c>
      <c r="DD66" s="535"/>
      <c r="DE66" s="535"/>
      <c r="DF66" s="525">
        <f t="shared" si="88"/>
        <v>2872.8633799999998</v>
      </c>
      <c r="DG66" s="525">
        <f t="shared" si="88"/>
        <v>117.92682000000001</v>
      </c>
      <c r="DH66" s="525">
        <f t="shared" si="88"/>
        <v>36.085650000000001</v>
      </c>
      <c r="DI66" s="522">
        <f t="shared" si="88"/>
        <v>3026.8758499999994</v>
      </c>
      <c r="DJ66" s="536"/>
      <c r="DK66" s="536"/>
      <c r="DL66" s="536"/>
      <c r="DM66" s="536"/>
      <c r="DN66" s="536"/>
      <c r="DO66" s="536"/>
      <c r="DP66" s="536"/>
      <c r="DQ66" s="536"/>
      <c r="DR66" s="536"/>
      <c r="DS66" s="536"/>
    </row>
    <row r="67" spans="1:123" s="534" customFormat="1" ht="84.6">
      <c r="A67" s="537" t="s">
        <v>1011</v>
      </c>
      <c r="B67" s="538" t="s">
        <v>1012</v>
      </c>
      <c r="C67" s="576">
        <v>2679695.0299999998</v>
      </c>
      <c r="D67" s="525">
        <v>914607.5</v>
      </c>
      <c r="E67" s="525">
        <v>2800000</v>
      </c>
      <c r="F67" s="525">
        <v>2663223.61</v>
      </c>
      <c r="G67" s="540">
        <v>1831493.9751664333</v>
      </c>
      <c r="H67" s="540">
        <v>0</v>
      </c>
      <c r="I67" s="525">
        <f t="shared" si="140"/>
        <v>3120593.33</v>
      </c>
      <c r="J67" s="525">
        <v>1535254.9899999998</v>
      </c>
      <c r="K67" s="525">
        <v>705941.16</v>
      </c>
      <c r="L67" s="525">
        <v>879397.18</v>
      </c>
      <c r="M67" s="525">
        <f t="shared" si="141"/>
        <v>2241196.15</v>
      </c>
      <c r="N67" s="525">
        <v>2271032.5699999998</v>
      </c>
      <c r="O67" s="525">
        <f t="shared" si="142"/>
        <v>800050.73999999976</v>
      </c>
      <c r="P67" s="522">
        <f>2691131.55+379951.76</f>
        <v>3071083.3099999996</v>
      </c>
      <c r="Q67" s="525">
        <f t="shared" si="12"/>
        <v>-49510.020000000484</v>
      </c>
      <c r="R67" s="525">
        <f t="shared" si="13"/>
        <v>-1.5865578998722185</v>
      </c>
      <c r="S67" s="525">
        <v>1932226.1438005872</v>
      </c>
      <c r="T67" s="525">
        <v>2923111.1563005904</v>
      </c>
      <c r="U67" s="522">
        <f t="shared" si="143"/>
        <v>3182473.6399999997</v>
      </c>
      <c r="V67" s="522">
        <f t="shared" si="1"/>
        <v>259362.48369940929</v>
      </c>
      <c r="W67" s="522">
        <f t="shared" si="14"/>
        <v>8.8728231610477337</v>
      </c>
      <c r="X67" s="522">
        <f t="shared" si="15"/>
        <v>111390.33000000007</v>
      </c>
      <c r="Y67" s="522">
        <f t="shared" si="16"/>
        <v>3.6270696284042003</v>
      </c>
      <c r="Z67" s="524">
        <f t="shared" si="17"/>
        <v>3802821.5599999996</v>
      </c>
      <c r="AA67" s="522">
        <f t="shared" si="18"/>
        <v>879710.40369940922</v>
      </c>
      <c r="AB67" s="522">
        <f t="shared" si="19"/>
        <v>30.095003462432373</v>
      </c>
      <c r="AC67" s="522">
        <f t="shared" si="20"/>
        <v>620347.91999999993</v>
      </c>
      <c r="AD67" s="522">
        <f t="shared" si="21"/>
        <v>19.49263340952605</v>
      </c>
      <c r="AE67" s="522">
        <f t="shared" si="22"/>
        <v>731738.25</v>
      </c>
      <c r="AF67" s="522">
        <f t="shared" si="23"/>
        <v>23.826714424103329</v>
      </c>
      <c r="AG67" s="522">
        <f t="shared" si="46"/>
        <v>3710148.51</v>
      </c>
      <c r="AH67" s="522">
        <f t="shared" si="24"/>
        <v>527674.87000000011</v>
      </c>
      <c r="AI67" s="522">
        <f t="shared" si="25"/>
        <v>16.580651709655641</v>
      </c>
      <c r="AJ67" s="522">
        <f t="shared" si="26"/>
        <v>-92673.049999999814</v>
      </c>
      <c r="AK67" s="522">
        <f t="shared" si="133"/>
        <v>-2.4369549961213579</v>
      </c>
      <c r="AL67" s="522">
        <f t="shared" si="144"/>
        <v>3710148.51</v>
      </c>
      <c r="AM67" s="522">
        <f t="shared" si="72"/>
        <v>1537903.48</v>
      </c>
      <c r="AN67" s="522">
        <f t="shared" si="72"/>
        <v>1742651.4</v>
      </c>
      <c r="AO67" s="522">
        <f t="shared" si="27"/>
        <v>204747.91999999993</v>
      </c>
      <c r="AP67" s="522">
        <f t="shared" si="47"/>
        <v>13.31344409208306</v>
      </c>
      <c r="AQ67" s="522">
        <v>715618.41</v>
      </c>
      <c r="AR67" s="522">
        <v>827632.1</v>
      </c>
      <c r="AS67" s="522">
        <v>822285.07</v>
      </c>
      <c r="AT67" s="522">
        <v>915019.29999999993</v>
      </c>
      <c r="AU67" s="522">
        <f t="shared" si="79"/>
        <v>1644570.16</v>
      </c>
      <c r="AV67" s="522">
        <f t="shared" si="79"/>
        <v>2060170.16</v>
      </c>
      <c r="AW67" s="522">
        <f t="shared" si="28"/>
        <v>415600</v>
      </c>
      <c r="AX67" s="522">
        <f t="shared" si="29"/>
        <v>25.27104103603584</v>
      </c>
      <c r="AY67" s="522">
        <f t="shared" si="82"/>
        <v>1967497.1099999999</v>
      </c>
      <c r="AZ67" s="522">
        <f t="shared" si="30"/>
        <v>92673.050000000047</v>
      </c>
      <c r="BA67" s="522">
        <f t="shared" si="31"/>
        <v>4.7102000571680662</v>
      </c>
      <c r="BB67" s="522">
        <v>822285.07</v>
      </c>
      <c r="BC67" s="525">
        <f>'[67]Гл инж_Тех дир'!AT24</f>
        <v>1031085.07</v>
      </c>
      <c r="BD67" s="525">
        <f t="shared" si="145"/>
        <v>949898.58999999985</v>
      </c>
      <c r="BE67" s="525">
        <f t="shared" si="33"/>
        <v>127613.5199999999</v>
      </c>
      <c r="BF67" s="525">
        <f t="shared" si="34"/>
        <v>-81186.480000000098</v>
      </c>
      <c r="BG67" s="525">
        <f t="shared" si="35"/>
        <v>2360188.5499999998</v>
      </c>
      <c r="BH67" s="522">
        <f t="shared" si="35"/>
        <v>2773736.4699999997</v>
      </c>
      <c r="BI67" s="522">
        <f>213247.82+266811.16+2212491.01</f>
        <v>2692549.9899999998</v>
      </c>
      <c r="BJ67" s="522">
        <f t="shared" si="37"/>
        <v>332361.43999999994</v>
      </c>
      <c r="BK67" s="522">
        <f t="shared" si="38"/>
        <v>-81186.479999999981</v>
      </c>
      <c r="BL67" s="525">
        <v>822285.09</v>
      </c>
      <c r="BM67" s="522">
        <f>'[67]Гл инж_Тех дир'!AW24</f>
        <v>1029085.09</v>
      </c>
      <c r="BN67" s="522">
        <f t="shared" si="146"/>
        <v>1017598.52</v>
      </c>
      <c r="BO67" s="522">
        <f t="shared" si="48"/>
        <v>195313.43000000005</v>
      </c>
      <c r="BP67" s="522">
        <f t="shared" si="40"/>
        <v>-11486.569999999949</v>
      </c>
      <c r="BQ67" s="525">
        <v>822285.09</v>
      </c>
      <c r="BR67" s="522">
        <f>'[67]Гл инж_Тех дир'!BB24</f>
        <v>0</v>
      </c>
      <c r="BS67" s="522">
        <f>'[67]Гл инж_Тех дир'!BC24</f>
        <v>0</v>
      </c>
      <c r="BT67" s="536"/>
      <c r="BU67" s="522">
        <f>281047.82+370130.44</f>
        <v>651178.26</v>
      </c>
      <c r="BV67" s="522">
        <v>3058970.25</v>
      </c>
      <c r="BW67" s="522"/>
      <c r="BX67" s="574"/>
      <c r="BY67" s="522">
        <f>(280204.82)+357908.39+3058970.25</f>
        <v>3697083.46</v>
      </c>
      <c r="BZ67" s="522">
        <f>(717.94)+10387.14</f>
        <v>11105.08</v>
      </c>
      <c r="CA67" s="522">
        <f>(125.06)+1834.91</f>
        <v>1959.97</v>
      </c>
      <c r="CB67" s="522">
        <f t="shared" si="134"/>
        <v>3710148.5100000002</v>
      </c>
      <c r="CC67" s="522">
        <f t="shared" si="44"/>
        <v>0</v>
      </c>
      <c r="CD67" s="522"/>
      <c r="CE67" s="522"/>
      <c r="CF67" s="522"/>
      <c r="CG67" s="522"/>
      <c r="CH67" s="522"/>
      <c r="CI67" s="522"/>
      <c r="CJ67" s="522"/>
      <c r="CK67" s="543" t="s">
        <v>79</v>
      </c>
      <c r="CL67" s="543" t="s">
        <v>1806</v>
      </c>
      <c r="CM67" s="528" t="s">
        <v>1305</v>
      </c>
      <c r="CN67" s="528" t="s">
        <v>1849</v>
      </c>
      <c r="CO67" s="528"/>
      <c r="CP67" s="544">
        <f t="shared" si="147"/>
        <v>2964706.2908366565</v>
      </c>
      <c r="CQ67" s="544">
        <f t="shared" si="148"/>
        <v>217767.34916334308</v>
      </c>
      <c r="CR67" s="544"/>
      <c r="CS67" s="1709" t="s">
        <v>1898</v>
      </c>
      <c r="CT67" s="1710"/>
      <c r="CU67" s="1710"/>
      <c r="CV67" s="1710"/>
      <c r="CW67" s="1711"/>
      <c r="CX67" s="528"/>
      <c r="CY67" s="528"/>
      <c r="CZ67" s="528"/>
      <c r="DA67" s="528"/>
      <c r="DB67" s="544">
        <f>72300+86450.28+668881.82</f>
        <v>827632.1</v>
      </c>
      <c r="DD67" s="535"/>
      <c r="DE67" s="535"/>
      <c r="DF67" s="522">
        <f t="shared" si="88"/>
        <v>3697.0834599999998</v>
      </c>
      <c r="DG67" s="522">
        <f t="shared" si="88"/>
        <v>11.105079999999999</v>
      </c>
      <c r="DH67" s="522">
        <f t="shared" si="88"/>
        <v>1.95997</v>
      </c>
      <c r="DI67" s="522">
        <f t="shared" si="88"/>
        <v>3710.1485100000004</v>
      </c>
      <c r="DJ67" s="536"/>
      <c r="DK67" s="536"/>
      <c r="DL67" s="536"/>
      <c r="DM67" s="536"/>
      <c r="DN67" s="536"/>
      <c r="DO67" s="536"/>
      <c r="DP67" s="536"/>
      <c r="DQ67" s="536"/>
      <c r="DR67" s="536"/>
      <c r="DS67" s="536"/>
    </row>
    <row r="68" spans="1:123" s="534" customFormat="1" ht="84.6">
      <c r="A68" s="537" t="s">
        <v>1016</v>
      </c>
      <c r="B68" s="610" t="s">
        <v>1017</v>
      </c>
      <c r="C68" s="576"/>
      <c r="D68" s="525"/>
      <c r="E68" s="525">
        <v>150000</v>
      </c>
      <c r="F68" s="525">
        <v>170549.9</v>
      </c>
      <c r="G68" s="540">
        <v>367260.08457400312</v>
      </c>
      <c r="H68" s="540">
        <v>0</v>
      </c>
      <c r="I68" s="525">
        <f t="shared" si="140"/>
        <v>187421.12999999998</v>
      </c>
      <c r="J68" s="525">
        <v>96063.42</v>
      </c>
      <c r="K68" s="525">
        <v>43042.559999999998</v>
      </c>
      <c r="L68" s="525">
        <v>48315.15</v>
      </c>
      <c r="M68" s="525">
        <f t="shared" si="141"/>
        <v>139105.97999999998</v>
      </c>
      <c r="N68" s="525">
        <v>123373.77</v>
      </c>
      <c r="O68" s="525">
        <f t="shared" si="142"/>
        <v>11855.759999999995</v>
      </c>
      <c r="P68" s="522">
        <f>125065.15+10164.38</f>
        <v>135229.53</v>
      </c>
      <c r="Q68" s="525">
        <f t="shared" si="12"/>
        <v>-52191.599999999977</v>
      </c>
      <c r="R68" s="525">
        <f t="shared" si="13"/>
        <v>-27.847233660366882</v>
      </c>
      <c r="S68" s="525">
        <v>192370.28249999997</v>
      </c>
      <c r="T68" s="525">
        <v>192370.28249999997</v>
      </c>
      <c r="U68" s="522">
        <f t="shared" si="143"/>
        <v>172887.78</v>
      </c>
      <c r="V68" s="522">
        <f t="shared" si="1"/>
        <v>-19482.502499999973</v>
      </c>
      <c r="W68" s="522">
        <f t="shared" si="14"/>
        <v>-10.127605078502683</v>
      </c>
      <c r="X68" s="522">
        <f t="shared" si="15"/>
        <v>37658.25</v>
      </c>
      <c r="Y68" s="522">
        <f t="shared" si="16"/>
        <v>27.847652801869543</v>
      </c>
      <c r="Z68" s="524">
        <f t="shared" si="17"/>
        <v>404360.6</v>
      </c>
      <c r="AA68" s="522">
        <f t="shared" si="18"/>
        <v>211990.3175</v>
      </c>
      <c r="AB68" s="522">
        <f t="shared" si="19"/>
        <v>110.19909870954211</v>
      </c>
      <c r="AC68" s="522">
        <f t="shared" si="20"/>
        <v>231472.81999999998</v>
      </c>
      <c r="AD68" s="522">
        <f t="shared" si="21"/>
        <v>133.88616592797939</v>
      </c>
      <c r="AE68" s="522">
        <f t="shared" si="22"/>
        <v>269131.06999999995</v>
      </c>
      <c r="AF68" s="522">
        <f t="shared" si="23"/>
        <v>199.01797336720762</v>
      </c>
      <c r="AG68" s="522">
        <f t="shared" si="46"/>
        <v>321424.73</v>
      </c>
      <c r="AH68" s="522">
        <f t="shared" si="24"/>
        <v>148536.94999999998</v>
      </c>
      <c r="AI68" s="522">
        <f t="shared" si="25"/>
        <v>85.915239353527483</v>
      </c>
      <c r="AJ68" s="522">
        <f t="shared" si="26"/>
        <v>-82935.87</v>
      </c>
      <c r="AK68" s="522">
        <f t="shared" si="133"/>
        <v>-20.510373661528845</v>
      </c>
      <c r="AL68" s="522">
        <f t="shared" si="144"/>
        <v>321424.73</v>
      </c>
      <c r="AM68" s="522">
        <f t="shared" si="72"/>
        <v>57629.26</v>
      </c>
      <c r="AN68" s="522">
        <f t="shared" si="72"/>
        <v>224252.08</v>
      </c>
      <c r="AO68" s="522">
        <f t="shared" si="27"/>
        <v>166622.81999999998</v>
      </c>
      <c r="AP68" s="522">
        <f t="shared" si="47"/>
        <v>289.12885572363757</v>
      </c>
      <c r="AQ68" s="522">
        <v>0</v>
      </c>
      <c r="AR68" s="522">
        <v>80121.760000000009</v>
      </c>
      <c r="AS68" s="522">
        <v>57629.26</v>
      </c>
      <c r="AT68" s="522">
        <v>144130.31999999998</v>
      </c>
      <c r="AU68" s="522">
        <f t="shared" si="79"/>
        <v>115258.52</v>
      </c>
      <c r="AV68" s="522">
        <f t="shared" si="79"/>
        <v>180108.52</v>
      </c>
      <c r="AW68" s="522">
        <f t="shared" si="28"/>
        <v>64849.999999999985</v>
      </c>
      <c r="AX68" s="522">
        <f t="shared" si="29"/>
        <v>56.264821030150301</v>
      </c>
      <c r="AY68" s="522">
        <f t="shared" si="82"/>
        <v>97172.65</v>
      </c>
      <c r="AZ68" s="522">
        <f t="shared" si="30"/>
        <v>82935.87</v>
      </c>
      <c r="BA68" s="522">
        <f t="shared" si="31"/>
        <v>85.348984513646599</v>
      </c>
      <c r="BB68" s="522">
        <v>57629.26</v>
      </c>
      <c r="BC68" s="525">
        <f>'[67]Гл инж_Тех дир'!AT25</f>
        <v>80179.259999999995</v>
      </c>
      <c r="BD68" s="525">
        <f t="shared" si="145"/>
        <v>28648.850000000006</v>
      </c>
      <c r="BE68" s="525">
        <f t="shared" si="33"/>
        <v>-28980.409999999996</v>
      </c>
      <c r="BF68" s="525">
        <f t="shared" si="34"/>
        <v>-51530.409999999989</v>
      </c>
      <c r="BG68" s="525">
        <f t="shared" si="35"/>
        <v>115258.52</v>
      </c>
      <c r="BH68" s="522">
        <f t="shared" si="35"/>
        <v>304431.33999999997</v>
      </c>
      <c r="BI68" s="522">
        <f>78272.52+174628.41</f>
        <v>252900.93</v>
      </c>
      <c r="BJ68" s="522">
        <f t="shared" si="37"/>
        <v>137642.40999999997</v>
      </c>
      <c r="BK68" s="522">
        <f t="shared" si="38"/>
        <v>-51530.409999999974</v>
      </c>
      <c r="BL68" s="525">
        <v>57629.26</v>
      </c>
      <c r="BM68" s="522">
        <f>'[67]Гл инж_Тех дир'!AW25</f>
        <v>99929.26</v>
      </c>
      <c r="BN68" s="522">
        <f t="shared" si="146"/>
        <v>68523.799999999988</v>
      </c>
      <c r="BO68" s="522">
        <f t="shared" si="48"/>
        <v>10894.539999999986</v>
      </c>
      <c r="BP68" s="522">
        <f t="shared" si="40"/>
        <v>-31405.460000000006</v>
      </c>
      <c r="BQ68" s="525">
        <v>57629.26</v>
      </c>
      <c r="BR68" s="522">
        <f>'[67]Гл инж_Тех дир'!BB25</f>
        <v>0</v>
      </c>
      <c r="BS68" s="522">
        <f>'[67]Гл инж_Тех дир'!BC25</f>
        <v>0</v>
      </c>
      <c r="BT68" s="536"/>
      <c r="BU68" s="522">
        <v>101511.02</v>
      </c>
      <c r="BV68" s="522">
        <v>219913.71</v>
      </c>
      <c r="BW68" s="522"/>
      <c r="BX68" s="574"/>
      <c r="BY68" s="525">
        <f>97948.05+219913.71</f>
        <v>317861.76000000001</v>
      </c>
      <c r="BZ68" s="525">
        <v>3272.83</v>
      </c>
      <c r="CA68" s="525">
        <v>290.14</v>
      </c>
      <c r="CB68" s="522">
        <f t="shared" si="134"/>
        <v>321424.73000000004</v>
      </c>
      <c r="CC68" s="522">
        <f t="shared" si="44"/>
        <v>0</v>
      </c>
      <c r="CD68" s="522"/>
      <c r="CE68" s="522"/>
      <c r="CF68" s="522"/>
      <c r="CG68" s="522"/>
      <c r="CH68" s="522"/>
      <c r="CI68" s="522"/>
      <c r="CJ68" s="522"/>
      <c r="CK68" s="543" t="s">
        <v>79</v>
      </c>
      <c r="CL68" s="543" t="s">
        <v>1806</v>
      </c>
      <c r="CM68" s="528" t="s">
        <v>1305</v>
      </c>
      <c r="CN68" s="528" t="s">
        <v>1849</v>
      </c>
      <c r="CO68" s="528"/>
      <c r="CP68" s="544">
        <f t="shared" si="147"/>
        <v>161057.57563314299</v>
      </c>
      <c r="CQ68" s="544">
        <f t="shared" si="148"/>
        <v>11830.204366856986</v>
      </c>
      <c r="CR68" s="544"/>
      <c r="CS68" s="1709" t="s">
        <v>1898</v>
      </c>
      <c r="CT68" s="1710"/>
      <c r="CU68" s="1710"/>
      <c r="CV68" s="1710"/>
      <c r="CW68" s="1711"/>
      <c r="CX68" s="528"/>
      <c r="CY68" s="528"/>
      <c r="CZ68" s="528"/>
      <c r="DA68" s="528"/>
      <c r="DB68" s="544">
        <f>44342+35779.76</f>
        <v>80121.760000000009</v>
      </c>
      <c r="DD68" s="535"/>
      <c r="DE68" s="535"/>
      <c r="DF68" s="525">
        <f t="shared" si="88"/>
        <v>317.86176</v>
      </c>
      <c r="DG68" s="525">
        <f t="shared" si="88"/>
        <v>3.2728299999999999</v>
      </c>
      <c r="DH68" s="525">
        <f t="shared" si="88"/>
        <v>0.29014000000000001</v>
      </c>
      <c r="DI68" s="522">
        <f t="shared" si="88"/>
        <v>321.42473000000007</v>
      </c>
      <c r="DJ68" s="536"/>
      <c r="DK68" s="536"/>
      <c r="DL68" s="536"/>
      <c r="DM68" s="536"/>
      <c r="DN68" s="536"/>
      <c r="DO68" s="536"/>
      <c r="DP68" s="536"/>
      <c r="DQ68" s="536"/>
      <c r="DR68" s="536"/>
      <c r="DS68" s="536"/>
    </row>
    <row r="69" spans="1:123" s="534" customFormat="1" ht="84.6">
      <c r="A69" s="537" t="s">
        <v>1021</v>
      </c>
      <c r="B69" s="538" t="s">
        <v>1022</v>
      </c>
      <c r="C69" s="576">
        <v>21404.25</v>
      </c>
      <c r="D69" s="525">
        <v>711496.72</v>
      </c>
      <c r="E69" s="525">
        <v>642330</v>
      </c>
      <c r="F69" s="525">
        <v>451830.47</v>
      </c>
      <c r="G69" s="618">
        <v>1681781.764848778</v>
      </c>
      <c r="H69" s="618">
        <v>0</v>
      </c>
      <c r="I69" s="525">
        <f t="shared" si="140"/>
        <v>608353.32999999996</v>
      </c>
      <c r="J69" s="525">
        <v>285477.33</v>
      </c>
      <c r="K69" s="525">
        <v>138104.51999999999</v>
      </c>
      <c r="L69" s="525">
        <v>184771.48</v>
      </c>
      <c r="M69" s="525">
        <f t="shared" si="141"/>
        <v>423581.85</v>
      </c>
      <c r="N69" s="525">
        <v>539462.82999999996</v>
      </c>
      <c r="O69" s="525">
        <f t="shared" si="142"/>
        <v>226908.92000000004</v>
      </c>
      <c r="P69" s="522">
        <f>69791.74+696580.01</f>
        <v>766371.75</v>
      </c>
      <c r="Q69" s="525">
        <f t="shared" si="12"/>
        <v>158018.42000000004</v>
      </c>
      <c r="R69" s="525">
        <f t="shared" si="13"/>
        <v>25.974776861992368</v>
      </c>
      <c r="S69" s="525">
        <v>214681.95</v>
      </c>
      <c r="T69" s="525">
        <v>214681.95</v>
      </c>
      <c r="U69" s="522">
        <f t="shared" si="143"/>
        <v>572540.36</v>
      </c>
      <c r="V69" s="522">
        <f t="shared" ref="V69:V132" si="149">U69-T69</f>
        <v>357858.41</v>
      </c>
      <c r="W69" s="522">
        <f t="shared" si="14"/>
        <v>166.69236048955207</v>
      </c>
      <c r="X69" s="522">
        <f t="shared" si="15"/>
        <v>-193831.39</v>
      </c>
      <c r="Y69" s="522">
        <f t="shared" si="16"/>
        <v>-25.292084422475128</v>
      </c>
      <c r="Z69" s="524">
        <f t="shared" si="17"/>
        <v>924851.25999999989</v>
      </c>
      <c r="AA69" s="522">
        <f t="shared" si="18"/>
        <v>710169.30999999982</v>
      </c>
      <c r="AB69" s="522">
        <f t="shared" si="19"/>
        <v>330.80066116410808</v>
      </c>
      <c r="AC69" s="522">
        <f t="shared" si="20"/>
        <v>352310.89999999991</v>
      </c>
      <c r="AD69" s="522">
        <f t="shared" si="21"/>
        <v>61.534683773210332</v>
      </c>
      <c r="AE69" s="522">
        <f t="shared" si="22"/>
        <v>158479.50999999989</v>
      </c>
      <c r="AF69" s="522">
        <f t="shared" si="23"/>
        <v>20.679195181711734</v>
      </c>
      <c r="AG69" s="522">
        <f t="shared" si="46"/>
        <v>791582.58</v>
      </c>
      <c r="AH69" s="522">
        <f t="shared" si="24"/>
        <v>219042.21999999997</v>
      </c>
      <c r="AI69" s="522">
        <f t="shared" si="25"/>
        <v>38.257952679528131</v>
      </c>
      <c r="AJ69" s="522">
        <f t="shared" si="26"/>
        <v>-133268.67999999993</v>
      </c>
      <c r="AK69" s="522">
        <f t="shared" si="133"/>
        <v>-14.409741951370634</v>
      </c>
      <c r="AL69" s="522">
        <f t="shared" si="144"/>
        <v>791582.58</v>
      </c>
      <c r="AM69" s="522">
        <f t="shared" si="72"/>
        <v>143135.09</v>
      </c>
      <c r="AN69" s="522">
        <f t="shared" si="72"/>
        <v>337986.35</v>
      </c>
      <c r="AO69" s="522">
        <f t="shared" si="27"/>
        <v>194851.25999999998</v>
      </c>
      <c r="AP69" s="522">
        <f t="shared" si="47"/>
        <v>136.13102140083191</v>
      </c>
      <c r="AQ69" s="522">
        <v>0</v>
      </c>
      <c r="AR69" s="522">
        <v>166725.58000000002</v>
      </c>
      <c r="AS69" s="522">
        <v>143135.09</v>
      </c>
      <c r="AT69" s="522">
        <v>171260.76999999996</v>
      </c>
      <c r="AU69" s="522">
        <f t="shared" si="79"/>
        <v>429405.27</v>
      </c>
      <c r="AV69" s="522">
        <f t="shared" si="79"/>
        <v>586864.90999999992</v>
      </c>
      <c r="AW69" s="522">
        <f t="shared" si="28"/>
        <v>157459.6399999999</v>
      </c>
      <c r="AX69" s="522">
        <f t="shared" si="29"/>
        <v>36.669237897336444</v>
      </c>
      <c r="AY69" s="522">
        <f t="shared" si="82"/>
        <v>453596.23</v>
      </c>
      <c r="AZ69" s="522">
        <f t="shared" si="30"/>
        <v>133268.67999999993</v>
      </c>
      <c r="BA69" s="522">
        <f t="shared" si="31"/>
        <v>29.380464648041709</v>
      </c>
      <c r="BB69" s="522">
        <v>286270.18</v>
      </c>
      <c r="BC69" s="525">
        <f>'[67]Гл инж_Тех дир'!AT46</f>
        <v>286270.18</v>
      </c>
      <c r="BD69" s="525">
        <f t="shared" si="145"/>
        <v>261999.01</v>
      </c>
      <c r="BE69" s="525">
        <f t="shared" si="33"/>
        <v>-24271.169999999984</v>
      </c>
      <c r="BF69" s="525">
        <f t="shared" si="34"/>
        <v>-24271.169999999984</v>
      </c>
      <c r="BG69" s="525">
        <f t="shared" ref="BG69:BH132" si="150">AM69+BB69</f>
        <v>429405.27</v>
      </c>
      <c r="BH69" s="522">
        <f t="shared" si="150"/>
        <v>624256.53</v>
      </c>
      <c r="BI69" s="522">
        <f>544294.1+55691.26</f>
        <v>599985.36</v>
      </c>
      <c r="BJ69" s="522">
        <f t="shared" si="37"/>
        <v>170580.08999999997</v>
      </c>
      <c r="BK69" s="522">
        <f t="shared" si="38"/>
        <v>-24271.170000000042</v>
      </c>
      <c r="BL69" s="525">
        <v>143135.09</v>
      </c>
      <c r="BM69" s="522">
        <f>'[67]Гл инж_Тех дир'!AW46</f>
        <v>300594.73</v>
      </c>
      <c r="BN69" s="522">
        <f t="shared" si="146"/>
        <v>191597.21999999997</v>
      </c>
      <c r="BO69" s="522">
        <f t="shared" si="48"/>
        <v>48462.129999999976</v>
      </c>
      <c r="BP69" s="522">
        <f t="shared" si="40"/>
        <v>-108997.51000000001</v>
      </c>
      <c r="BQ69" s="525">
        <v>143135.09</v>
      </c>
      <c r="BR69" s="522">
        <f>'[67]Гл инж_Тех дир'!BB46</f>
        <v>0</v>
      </c>
      <c r="BS69" s="522">
        <f>'[67]Гл инж_Тех дир'!BC46</f>
        <v>0</v>
      </c>
      <c r="BT69" s="536"/>
      <c r="BU69" s="522">
        <v>706409.12</v>
      </c>
      <c r="BV69" s="522">
        <v>85173.46</v>
      </c>
      <c r="BW69" s="522"/>
      <c r="BX69" s="574"/>
      <c r="BY69" s="525">
        <f>686875.5+85173.46</f>
        <v>772048.96</v>
      </c>
      <c r="BZ69" s="525">
        <v>16961.919999999998</v>
      </c>
      <c r="CA69" s="525">
        <v>2571.6999999999998</v>
      </c>
      <c r="CB69" s="522">
        <f t="shared" si="134"/>
        <v>791582.58</v>
      </c>
      <c r="CC69" s="522">
        <f t="shared" si="44"/>
        <v>0</v>
      </c>
      <c r="CD69" s="522"/>
      <c r="CE69" s="522"/>
      <c r="CF69" s="522"/>
      <c r="CG69" s="522"/>
      <c r="CH69" s="522"/>
      <c r="CI69" s="522"/>
      <c r="CJ69" s="522"/>
      <c r="CK69" s="542" t="s">
        <v>79</v>
      </c>
      <c r="CL69" s="542" t="s">
        <v>1903</v>
      </c>
      <c r="CM69" s="528" t="s">
        <v>1305</v>
      </c>
      <c r="CN69" s="528" t="s">
        <v>1849</v>
      </c>
      <c r="CO69" s="528"/>
      <c r="CP69" s="544">
        <f t="shared" si="147"/>
        <v>533363.10023604287</v>
      </c>
      <c r="CQ69" s="544">
        <f t="shared" si="148"/>
        <v>39177.259763957125</v>
      </c>
      <c r="CR69" s="544"/>
      <c r="CS69" s="1709" t="s">
        <v>1898</v>
      </c>
      <c r="CT69" s="1710"/>
      <c r="CU69" s="1710"/>
      <c r="CV69" s="1710"/>
      <c r="CW69" s="1711"/>
      <c r="CX69" s="528"/>
      <c r="CY69" s="528"/>
      <c r="CZ69" s="528"/>
      <c r="DA69" s="528"/>
      <c r="DB69" s="544">
        <f>159512.07+7213.51</f>
        <v>166725.58000000002</v>
      </c>
      <c r="DD69" s="535"/>
      <c r="DE69" s="535"/>
      <c r="DF69" s="525">
        <f t="shared" si="88"/>
        <v>772.04895999999997</v>
      </c>
      <c r="DG69" s="525">
        <f t="shared" si="88"/>
        <v>16.961919999999999</v>
      </c>
      <c r="DH69" s="525">
        <f t="shared" si="88"/>
        <v>2.5716999999999999</v>
      </c>
      <c r="DI69" s="522">
        <f t="shared" si="88"/>
        <v>791.58258000000001</v>
      </c>
      <c r="DJ69" s="536"/>
      <c r="DK69" s="536"/>
      <c r="DL69" s="536"/>
      <c r="DM69" s="536"/>
      <c r="DN69" s="536"/>
      <c r="DO69" s="536"/>
      <c r="DP69" s="536"/>
      <c r="DQ69" s="536"/>
      <c r="DR69" s="536"/>
      <c r="DS69" s="536"/>
    </row>
    <row r="70" spans="1:123" s="534" customFormat="1" ht="117.75" customHeight="1">
      <c r="A70" s="537" t="s">
        <v>1026</v>
      </c>
      <c r="B70" s="610" t="s">
        <v>1027</v>
      </c>
      <c r="C70" s="576">
        <v>1830376.03</v>
      </c>
      <c r="D70" s="525">
        <v>1855854.04</v>
      </c>
      <c r="E70" s="525">
        <v>3051906.41</v>
      </c>
      <c r="F70" s="525">
        <v>2809025.35</v>
      </c>
      <c r="G70" s="620"/>
      <c r="H70" s="620"/>
      <c r="I70" s="525">
        <f t="shared" si="140"/>
        <v>2314730.9</v>
      </c>
      <c r="J70" s="525">
        <v>938783.16</v>
      </c>
      <c r="K70" s="525">
        <v>774084.74</v>
      </c>
      <c r="L70" s="525">
        <v>601863</v>
      </c>
      <c r="M70" s="525">
        <f t="shared" si="141"/>
        <v>1712867.9</v>
      </c>
      <c r="N70" s="525">
        <v>1607319.24</v>
      </c>
      <c r="O70" s="525">
        <f t="shared" si="142"/>
        <v>635687.32999999984</v>
      </c>
      <c r="P70" s="522">
        <f>152751.66+2090254.91</f>
        <v>2243006.5699999998</v>
      </c>
      <c r="Q70" s="525">
        <f t="shared" ref="Q70:Q133" si="151">P70-I70</f>
        <v>-71724.330000000075</v>
      </c>
      <c r="R70" s="525">
        <f t="shared" ref="R70:R133" si="152">P70/I70*100-100</f>
        <v>-3.0986033840910068</v>
      </c>
      <c r="S70" s="525">
        <v>1559595.95</v>
      </c>
      <c r="T70" s="525">
        <v>1559595.95</v>
      </c>
      <c r="U70" s="522">
        <f t="shared" si="143"/>
        <v>2438774.96</v>
      </c>
      <c r="V70" s="522">
        <f t="shared" si="149"/>
        <v>879179.01</v>
      </c>
      <c r="W70" s="522">
        <f t="shared" ref="W70:W132" si="153">U70/T70*100-100</f>
        <v>56.372229614984576</v>
      </c>
      <c r="X70" s="522">
        <f t="shared" ref="X70:X133" si="154">U70-P70</f>
        <v>195768.39000000013</v>
      </c>
      <c r="Y70" s="522">
        <f t="shared" ref="Y70:Y133" si="155">U70/P70*100-100</f>
        <v>8.7279454558173626</v>
      </c>
      <c r="Z70" s="524">
        <f t="shared" ref="Z70:Z133" si="156">AN70+AV70</f>
        <v>2804422.5700000003</v>
      </c>
      <c r="AA70" s="522">
        <f t="shared" ref="AA70:AA133" si="157">Z70-T70</f>
        <v>1244826.6200000003</v>
      </c>
      <c r="AB70" s="522">
        <f t="shared" ref="AB70:AB132" si="158">Z70/T70*100-100</f>
        <v>79.817251384885964</v>
      </c>
      <c r="AC70" s="522">
        <f t="shared" ref="AC70:AC133" si="159">Z70-U70</f>
        <v>365647.61000000034</v>
      </c>
      <c r="AD70" s="522">
        <f t="shared" ref="AD70:AD133" si="160">Z70/U70*100-100</f>
        <v>14.993085298858404</v>
      </c>
      <c r="AE70" s="522">
        <f t="shared" ref="AE70:AE133" si="161">Z70-P70</f>
        <v>561416.00000000047</v>
      </c>
      <c r="AF70" s="522">
        <f t="shared" ref="AF70:AF133" si="162">Z70/P70*100-100</f>
        <v>25.029619061704338</v>
      </c>
      <c r="AG70" s="522">
        <f t="shared" si="46"/>
        <v>2797871.78</v>
      </c>
      <c r="AH70" s="522">
        <f t="shared" ref="AH70:AH133" si="163">AG70-U70</f>
        <v>359096.81999999983</v>
      </c>
      <c r="AI70" s="522">
        <f t="shared" ref="AI70:AI133" si="164">AG70/U70*100-100</f>
        <v>14.724475439095031</v>
      </c>
      <c r="AJ70" s="522">
        <f t="shared" ref="AJ70:AJ133" si="165">AG70-Z70</f>
        <v>-6550.7900000005029</v>
      </c>
      <c r="AK70" s="522">
        <f t="shared" si="133"/>
        <v>-0.23358783622970236</v>
      </c>
      <c r="AL70" s="522">
        <f t="shared" si="144"/>
        <v>2797871.78</v>
      </c>
      <c r="AM70" s="522">
        <f t="shared" si="72"/>
        <v>1219387.48</v>
      </c>
      <c r="AN70" s="522">
        <f t="shared" si="72"/>
        <v>1102809.26</v>
      </c>
      <c r="AO70" s="522">
        <f t="shared" ref="AO70:AO133" si="166">AN70-AM70</f>
        <v>-116578.21999999997</v>
      </c>
      <c r="AP70" s="522">
        <f t="shared" si="47"/>
        <v>-9.5603917468465482</v>
      </c>
      <c r="AQ70" s="522">
        <v>0</v>
      </c>
      <c r="AR70" s="522">
        <v>647.5</v>
      </c>
      <c r="AS70" s="522">
        <v>1219387.48</v>
      </c>
      <c r="AT70" s="522">
        <v>1102161.76</v>
      </c>
      <c r="AU70" s="522">
        <f t="shared" si="79"/>
        <v>1219387.48</v>
      </c>
      <c r="AV70" s="522">
        <f t="shared" si="79"/>
        <v>1701613.31</v>
      </c>
      <c r="AW70" s="522">
        <f t="shared" ref="AW70:AW133" si="167">AV70-AU70</f>
        <v>482225.83000000007</v>
      </c>
      <c r="AX70" s="522">
        <f t="shared" ref="AX70:AX133" si="168">AV70/AU70*100-100</f>
        <v>39.546562344563341</v>
      </c>
      <c r="AY70" s="522">
        <f t="shared" si="82"/>
        <v>1695062.5199999998</v>
      </c>
      <c r="AZ70" s="522">
        <f t="shared" ref="AZ70:AZ133" si="169">AV70-AY70</f>
        <v>6550.7900000002701</v>
      </c>
      <c r="BA70" s="522">
        <f t="shared" ref="BA70:BA133" si="170">AV70/AY70*100-100</f>
        <v>0.38646303146390437</v>
      </c>
      <c r="BB70" s="522">
        <v>609693.74</v>
      </c>
      <c r="BC70" s="525">
        <f>'[67]Гл инж_Тех дир'!AT47</f>
        <v>795979.9</v>
      </c>
      <c r="BD70" s="525">
        <f t="shared" si="145"/>
        <v>463056</v>
      </c>
      <c r="BE70" s="525">
        <f t="shared" ref="BE70:BE133" si="171">BD70-BB70</f>
        <v>-146637.74</v>
      </c>
      <c r="BF70" s="525">
        <f t="shared" ref="BF70:BF133" si="172">BD70-BC70</f>
        <v>-332923.90000000002</v>
      </c>
      <c r="BG70" s="525">
        <f t="shared" si="150"/>
        <v>1829081.22</v>
      </c>
      <c r="BH70" s="522">
        <f t="shared" si="150"/>
        <v>1898789.1600000001</v>
      </c>
      <c r="BI70" s="522">
        <f>1505248.95+60616.31</f>
        <v>1565865.26</v>
      </c>
      <c r="BJ70" s="522">
        <f t="shared" ref="BJ70:BJ133" si="173">BI70-BG70</f>
        <v>-263215.95999999996</v>
      </c>
      <c r="BK70" s="522">
        <f t="shared" ref="BK70:BK133" si="174">BI70-BH70</f>
        <v>-332923.90000000014</v>
      </c>
      <c r="BL70" s="525">
        <v>609693.74</v>
      </c>
      <c r="BM70" s="522">
        <f>'[67]Гл инж_Тех дир'!AW47</f>
        <v>905633.41</v>
      </c>
      <c r="BN70" s="522">
        <f t="shared" si="146"/>
        <v>1232006.5199999998</v>
      </c>
      <c r="BO70" s="522">
        <f t="shared" si="48"/>
        <v>622312.7799999998</v>
      </c>
      <c r="BP70" s="522">
        <f t="shared" ref="BP70:BP133" si="175">BN70-BM70</f>
        <v>326373.10999999975</v>
      </c>
      <c r="BQ70" s="525">
        <v>609693.74</v>
      </c>
      <c r="BR70" s="522">
        <f>'[67]Гл инж_Тех дир'!BB47</f>
        <v>0</v>
      </c>
      <c r="BS70" s="522">
        <f>'[67]Гл инж_Тех дир'!BC47</f>
        <v>0</v>
      </c>
      <c r="BT70" s="536"/>
      <c r="BU70" s="522">
        <v>2565673.67</v>
      </c>
      <c r="BV70" s="522">
        <v>232198.11</v>
      </c>
      <c r="BW70" s="522"/>
      <c r="BX70" s="574"/>
      <c r="BY70" s="525">
        <f>2397845.48+232198.11</f>
        <v>2630043.59</v>
      </c>
      <c r="BZ70" s="525">
        <v>149893.43</v>
      </c>
      <c r="CA70" s="525">
        <v>17934.759999999998</v>
      </c>
      <c r="CB70" s="522">
        <f t="shared" si="134"/>
        <v>2797871.78</v>
      </c>
      <c r="CC70" s="522">
        <f t="shared" ref="CC70:CC133" si="176">AL70-CB70</f>
        <v>0</v>
      </c>
      <c r="CD70" s="522"/>
      <c r="CE70" s="522"/>
      <c r="CF70" s="522"/>
      <c r="CG70" s="522"/>
      <c r="CH70" s="522"/>
      <c r="CI70" s="522"/>
      <c r="CJ70" s="522"/>
      <c r="CK70" s="542" t="s">
        <v>79</v>
      </c>
      <c r="CL70" s="543" t="s">
        <v>1903</v>
      </c>
      <c r="CM70" s="528" t="s">
        <v>1305</v>
      </c>
      <c r="CN70" s="528"/>
      <c r="CO70" s="528"/>
      <c r="CP70" s="544">
        <f t="shared" si="147"/>
        <v>2271896.7330855615</v>
      </c>
      <c r="CQ70" s="544">
        <f t="shared" si="148"/>
        <v>166878.22691443822</v>
      </c>
      <c r="CR70" s="544"/>
      <c r="CS70" s="1709" t="s">
        <v>1898</v>
      </c>
      <c r="CT70" s="1710"/>
      <c r="CU70" s="1710"/>
      <c r="CV70" s="1710"/>
      <c r="CW70" s="1711"/>
      <c r="CX70" s="528"/>
      <c r="CY70" s="528"/>
      <c r="CZ70" s="528"/>
      <c r="DA70" s="528"/>
      <c r="DB70" s="544">
        <f>647.5</f>
        <v>647.5</v>
      </c>
      <c r="DD70" s="535"/>
      <c r="DE70" s="535"/>
      <c r="DF70" s="525">
        <f t="shared" si="88"/>
        <v>2630.0435899999998</v>
      </c>
      <c r="DG70" s="525">
        <f t="shared" si="88"/>
        <v>149.89343</v>
      </c>
      <c r="DH70" s="525">
        <f t="shared" si="88"/>
        <v>17.934759999999997</v>
      </c>
      <c r="DI70" s="522">
        <f t="shared" si="88"/>
        <v>2797.8717799999999</v>
      </c>
      <c r="DJ70" s="536"/>
      <c r="DK70" s="536"/>
      <c r="DL70" s="536"/>
      <c r="DM70" s="536"/>
      <c r="DN70" s="536"/>
      <c r="DO70" s="536"/>
      <c r="DP70" s="536"/>
      <c r="DQ70" s="536"/>
      <c r="DR70" s="536"/>
      <c r="DS70" s="536"/>
    </row>
    <row r="71" spans="1:123" s="534" customFormat="1" ht="84.6">
      <c r="A71" s="537" t="s">
        <v>1037</v>
      </c>
      <c r="B71" s="538" t="s">
        <v>1038</v>
      </c>
      <c r="C71" s="576">
        <v>228767.12</v>
      </c>
      <c r="D71" s="525">
        <v>2212349.36</v>
      </c>
      <c r="E71" s="525">
        <v>1000000</v>
      </c>
      <c r="F71" s="525">
        <v>1147945.2</v>
      </c>
      <c r="G71" s="540">
        <v>2336027.8941496899</v>
      </c>
      <c r="H71" s="540">
        <v>0</v>
      </c>
      <c r="I71" s="525">
        <f t="shared" si="140"/>
        <v>1015976.4199999999</v>
      </c>
      <c r="J71" s="525">
        <v>515976.41999999993</v>
      </c>
      <c r="K71" s="525">
        <v>0</v>
      </c>
      <c r="L71" s="525">
        <v>500000</v>
      </c>
      <c r="M71" s="525">
        <f t="shared" si="141"/>
        <v>515976.41999999993</v>
      </c>
      <c r="N71" s="525">
        <v>909445.69</v>
      </c>
      <c r="O71" s="525">
        <f t="shared" si="142"/>
        <v>265896.78000000003</v>
      </c>
      <c r="P71" s="522">
        <v>1175342.47</v>
      </c>
      <c r="Q71" s="525">
        <f t="shared" si="151"/>
        <v>159366.05000000005</v>
      </c>
      <c r="R71" s="525">
        <f t="shared" si="152"/>
        <v>15.685998893556999</v>
      </c>
      <c r="S71" s="525"/>
      <c r="T71" s="525"/>
      <c r="U71" s="522">
        <f t="shared" si="143"/>
        <v>1067791.2</v>
      </c>
      <c r="V71" s="522">
        <f t="shared" si="149"/>
        <v>1067791.2</v>
      </c>
      <c r="W71" s="522">
        <v>0</v>
      </c>
      <c r="X71" s="522">
        <f t="shared" si="154"/>
        <v>-107551.27000000002</v>
      </c>
      <c r="Y71" s="522">
        <f t="shared" si="155"/>
        <v>-9.1506324960758008</v>
      </c>
      <c r="Z71" s="524">
        <f t="shared" si="156"/>
        <v>855353.8899999999</v>
      </c>
      <c r="AA71" s="522">
        <f t="shared" si="157"/>
        <v>855353.8899999999</v>
      </c>
      <c r="AB71" s="522">
        <v>0</v>
      </c>
      <c r="AC71" s="522">
        <f t="shared" si="159"/>
        <v>-212437.31000000006</v>
      </c>
      <c r="AD71" s="522">
        <f t="shared" si="160"/>
        <v>-19.895023483992006</v>
      </c>
      <c r="AE71" s="522">
        <f t="shared" si="161"/>
        <v>-319988.58000000007</v>
      </c>
      <c r="AF71" s="522">
        <f t="shared" si="162"/>
        <v>-27.225135496039726</v>
      </c>
      <c r="AG71" s="522">
        <f t="shared" ref="AG71:AG134" si="177">AN71+AY71</f>
        <v>859147.41999999993</v>
      </c>
      <c r="AH71" s="522">
        <f t="shared" si="163"/>
        <v>-208643.78000000003</v>
      </c>
      <c r="AI71" s="522">
        <f t="shared" si="164"/>
        <v>-19.539754588724847</v>
      </c>
      <c r="AJ71" s="522">
        <f t="shared" si="165"/>
        <v>3793.5300000000279</v>
      </c>
      <c r="AK71" s="522">
        <f t="shared" si="133"/>
        <v>0.4435041500775867</v>
      </c>
      <c r="AL71" s="522">
        <f t="shared" si="144"/>
        <v>859147.42</v>
      </c>
      <c r="AM71" s="522">
        <f t="shared" si="72"/>
        <v>500000</v>
      </c>
      <c r="AN71" s="522">
        <f t="shared" si="72"/>
        <v>287562.69</v>
      </c>
      <c r="AO71" s="522">
        <f t="shared" si="166"/>
        <v>-212437.31</v>
      </c>
      <c r="AP71" s="522">
        <f t="shared" ref="AP71:AP134" si="178">AN71/AM71*100-100</f>
        <v>-42.487462000000001</v>
      </c>
      <c r="AQ71" s="522">
        <v>0</v>
      </c>
      <c r="AR71" s="522">
        <v>123287.67</v>
      </c>
      <c r="AS71" s="522">
        <v>500000</v>
      </c>
      <c r="AT71" s="522">
        <v>164275.02000000002</v>
      </c>
      <c r="AU71" s="522">
        <f t="shared" si="79"/>
        <v>567791.19999999995</v>
      </c>
      <c r="AV71" s="522">
        <f t="shared" si="79"/>
        <v>567791.19999999995</v>
      </c>
      <c r="AW71" s="522">
        <f t="shared" si="167"/>
        <v>0</v>
      </c>
      <c r="AX71" s="522">
        <f t="shared" si="168"/>
        <v>0</v>
      </c>
      <c r="AY71" s="522">
        <f t="shared" si="82"/>
        <v>571584.73</v>
      </c>
      <c r="AZ71" s="522">
        <f t="shared" si="169"/>
        <v>-3793.5300000000279</v>
      </c>
      <c r="BA71" s="522">
        <f t="shared" si="170"/>
        <v>-0.66368637944545128</v>
      </c>
      <c r="BB71" s="522">
        <v>0</v>
      </c>
      <c r="BC71" s="525">
        <f>'[67]Дир_по корп'!AT13</f>
        <v>0</v>
      </c>
      <c r="BD71" s="525">
        <f t="shared" si="145"/>
        <v>251710.47000000003</v>
      </c>
      <c r="BE71" s="525">
        <f t="shared" si="171"/>
        <v>251710.47000000003</v>
      </c>
      <c r="BF71" s="525">
        <f t="shared" si="172"/>
        <v>251710.47000000003</v>
      </c>
      <c r="BG71" s="525">
        <f t="shared" si="150"/>
        <v>500000</v>
      </c>
      <c r="BH71" s="522">
        <f t="shared" si="150"/>
        <v>287562.69</v>
      </c>
      <c r="BI71" s="522">
        <v>539273.16</v>
      </c>
      <c r="BJ71" s="522">
        <f t="shared" si="173"/>
        <v>39273.160000000033</v>
      </c>
      <c r="BK71" s="522">
        <f t="shared" si="174"/>
        <v>251710.47000000003</v>
      </c>
      <c r="BL71" s="525">
        <v>567791.19999999995</v>
      </c>
      <c r="BM71" s="522">
        <f>'[67]Дир_по корп'!AW13</f>
        <v>567791.19999999995</v>
      </c>
      <c r="BN71" s="522">
        <f t="shared" si="146"/>
        <v>319874.26</v>
      </c>
      <c r="BO71" s="522">
        <f t="shared" si="48"/>
        <v>-247916.93999999994</v>
      </c>
      <c r="BP71" s="522">
        <f t="shared" si="175"/>
        <v>-247916.93999999994</v>
      </c>
      <c r="BQ71" s="525">
        <v>567791.19999999995</v>
      </c>
      <c r="BR71" s="522">
        <f>'[67]Дир_по корп'!BB13</f>
        <v>0</v>
      </c>
      <c r="BS71" s="522">
        <f>'[67]Дир_по корп'!BC13</f>
        <v>0</v>
      </c>
      <c r="BT71" s="536"/>
      <c r="BU71" s="522">
        <v>859147.42</v>
      </c>
      <c r="BV71" s="522"/>
      <c r="BW71" s="522"/>
      <c r="BX71" s="574"/>
      <c r="BY71" s="525">
        <v>856221.29</v>
      </c>
      <c r="BZ71" s="525">
        <v>2528.0700000000002</v>
      </c>
      <c r="CA71" s="525">
        <v>398.06</v>
      </c>
      <c r="CB71" s="522">
        <f t="shared" si="134"/>
        <v>859147.42</v>
      </c>
      <c r="CC71" s="522">
        <f t="shared" si="176"/>
        <v>0</v>
      </c>
      <c r="CD71" s="522"/>
      <c r="CE71" s="522"/>
      <c r="CF71" s="522"/>
      <c r="CG71" s="522"/>
      <c r="CH71" s="522"/>
      <c r="CI71" s="522"/>
      <c r="CJ71" s="522"/>
      <c r="CK71" s="543" t="s">
        <v>80</v>
      </c>
      <c r="CL71" s="543" t="s">
        <v>1901</v>
      </c>
      <c r="CM71" s="528" t="s">
        <v>1305</v>
      </c>
      <c r="CN71" s="528"/>
      <c r="CO71" s="528"/>
      <c r="CP71" s="544">
        <f t="shared" si="147"/>
        <v>994725.37593116495</v>
      </c>
      <c r="CQ71" s="544">
        <f t="shared" si="148"/>
        <v>73065.824068835063</v>
      </c>
      <c r="CR71" s="544"/>
      <c r="CS71" s="1709" t="s">
        <v>1898</v>
      </c>
      <c r="CT71" s="1710"/>
      <c r="CU71" s="1710"/>
      <c r="CV71" s="1710"/>
      <c r="CW71" s="1711"/>
      <c r="CX71" s="528"/>
      <c r="CY71" s="528"/>
      <c r="CZ71" s="528"/>
      <c r="DA71" s="528"/>
      <c r="DB71" s="544">
        <f>123287.67</f>
        <v>123287.67</v>
      </c>
      <c r="DD71" s="535"/>
      <c r="DE71" s="535"/>
      <c r="DF71" s="525">
        <f t="shared" si="88"/>
        <v>856.22129000000007</v>
      </c>
      <c r="DG71" s="525">
        <f t="shared" si="88"/>
        <v>2.52807</v>
      </c>
      <c r="DH71" s="525">
        <f t="shared" si="88"/>
        <v>0.39806000000000002</v>
      </c>
      <c r="DI71" s="522">
        <f t="shared" si="88"/>
        <v>859.14742000000001</v>
      </c>
      <c r="DJ71" s="536"/>
      <c r="DK71" s="536"/>
      <c r="DL71" s="536"/>
      <c r="DM71" s="536"/>
      <c r="DN71" s="536"/>
      <c r="DO71" s="536"/>
      <c r="DP71" s="536"/>
      <c r="DQ71" s="536"/>
      <c r="DR71" s="536"/>
      <c r="DS71" s="536"/>
    </row>
    <row r="72" spans="1:123" ht="42" customHeight="1">
      <c r="A72" s="505" t="s">
        <v>1904</v>
      </c>
      <c r="B72" s="506" t="s">
        <v>1905</v>
      </c>
      <c r="C72" s="580">
        <f t="shared" ref="C72:T72" si="179">SUM(C73:C84)</f>
        <v>1778499531.6700001</v>
      </c>
      <c r="D72" s="580">
        <f t="shared" si="179"/>
        <v>1142089771.0600002</v>
      </c>
      <c r="E72" s="594">
        <f t="shared" si="179"/>
        <v>1647189192.52</v>
      </c>
      <c r="F72" s="580">
        <f t="shared" si="179"/>
        <v>1613667320.9099998</v>
      </c>
      <c r="G72" s="580">
        <f t="shared" si="179"/>
        <v>1371851016.4803262</v>
      </c>
      <c r="H72" s="580">
        <f t="shared" si="179"/>
        <v>0</v>
      </c>
      <c r="I72" s="580">
        <f t="shared" si="179"/>
        <v>1370467635.5400002</v>
      </c>
      <c r="J72" s="580">
        <f t="shared" si="179"/>
        <v>707974624.26000011</v>
      </c>
      <c r="K72" s="580">
        <f t="shared" si="179"/>
        <v>334649870.25999999</v>
      </c>
      <c r="L72" s="580">
        <f t="shared" si="179"/>
        <v>327843141.02000004</v>
      </c>
      <c r="M72" s="580">
        <f t="shared" si="179"/>
        <v>1042624494.52</v>
      </c>
      <c r="N72" s="580">
        <f t="shared" si="179"/>
        <v>1038030065.6999999</v>
      </c>
      <c r="O72" s="580">
        <f>SUM(O73:O84)</f>
        <v>326918135.42999995</v>
      </c>
      <c r="P72" s="580">
        <f>SUM(P73:P84)</f>
        <v>1364948201.1300001</v>
      </c>
      <c r="Q72" s="580">
        <f t="shared" si="151"/>
        <v>-5519434.4100000858</v>
      </c>
      <c r="R72" s="580">
        <f t="shared" si="152"/>
        <v>-0.40274095256728515</v>
      </c>
      <c r="S72" s="580">
        <f t="shared" si="179"/>
        <v>1412934144.9205999</v>
      </c>
      <c r="T72" s="580">
        <f t="shared" si="179"/>
        <v>1263084855.1806002</v>
      </c>
      <c r="U72" s="580">
        <f>SUM(U73:U84)</f>
        <v>1304065106.77</v>
      </c>
      <c r="V72" s="580">
        <f t="shared" si="149"/>
        <v>40980251.589399815</v>
      </c>
      <c r="W72" s="580">
        <f t="shared" si="153"/>
        <v>3.2444575217030973</v>
      </c>
      <c r="X72" s="580">
        <f t="shared" si="154"/>
        <v>-60883094.360000134</v>
      </c>
      <c r="Y72" s="580">
        <f t="shared" si="155"/>
        <v>-4.4604692185093029</v>
      </c>
      <c r="Z72" s="580">
        <f t="shared" si="156"/>
        <v>1298171547.6199999</v>
      </c>
      <c r="AA72" s="580">
        <f t="shared" si="157"/>
        <v>35086692.439399719</v>
      </c>
      <c r="AB72" s="580">
        <f t="shared" si="158"/>
        <v>2.7778571087674777</v>
      </c>
      <c r="AC72" s="580">
        <f t="shared" si="159"/>
        <v>-5893559.1500000954</v>
      </c>
      <c r="AD72" s="580">
        <f t="shared" si="160"/>
        <v>-0.45193749295215468</v>
      </c>
      <c r="AE72" s="580">
        <f t="shared" si="161"/>
        <v>-66776653.510000229</v>
      </c>
      <c r="AF72" s="580">
        <f t="shared" si="162"/>
        <v>-4.892248178701422</v>
      </c>
      <c r="AG72" s="580">
        <f t="shared" si="177"/>
        <v>1269641357.8899999</v>
      </c>
      <c r="AH72" s="580">
        <f t="shared" si="163"/>
        <v>-34423748.880000114</v>
      </c>
      <c r="AI72" s="580">
        <f t="shared" si="164"/>
        <v>-2.639726245360805</v>
      </c>
      <c r="AJ72" s="580">
        <f t="shared" si="165"/>
        <v>-28530189.730000019</v>
      </c>
      <c r="AK72" s="580">
        <f t="shared" si="133"/>
        <v>-2.1977210779504333</v>
      </c>
      <c r="AL72" s="580">
        <f>SUM(AL73:AL84)</f>
        <v>1269641357.8900003</v>
      </c>
      <c r="AM72" s="580">
        <f t="shared" si="72"/>
        <v>678393351.88999987</v>
      </c>
      <c r="AN72" s="580">
        <f t="shared" si="72"/>
        <v>659239344.84000003</v>
      </c>
      <c r="AO72" s="580">
        <f t="shared" si="166"/>
        <v>-19154007.049999833</v>
      </c>
      <c r="AP72" s="580">
        <f t="shared" si="178"/>
        <v>-2.8234367268837275</v>
      </c>
      <c r="AQ72" s="580">
        <f>SUM(AQ73:AQ84)</f>
        <v>333389904.99999994</v>
      </c>
      <c r="AR72" s="580">
        <f>SUM(AR73:AR84)</f>
        <v>329818283.73000002</v>
      </c>
      <c r="AS72" s="580">
        <f>SUM(AS73:AS84)</f>
        <v>345003446.88999999</v>
      </c>
      <c r="AT72" s="580">
        <f>SUM(AT73:AT84)</f>
        <v>329421061.11000001</v>
      </c>
      <c r="AU72" s="580">
        <f t="shared" si="79"/>
        <v>625671754.88</v>
      </c>
      <c r="AV72" s="580">
        <f t="shared" si="79"/>
        <v>638932202.77999997</v>
      </c>
      <c r="AW72" s="580">
        <f t="shared" si="167"/>
        <v>13260447.899999976</v>
      </c>
      <c r="AX72" s="580">
        <f t="shared" si="168"/>
        <v>2.1193937230782183</v>
      </c>
      <c r="AY72" s="580">
        <f t="shared" si="82"/>
        <v>610402013.04999995</v>
      </c>
      <c r="AZ72" s="580">
        <f t="shared" si="169"/>
        <v>28530189.730000019</v>
      </c>
      <c r="BA72" s="580">
        <f t="shared" si="170"/>
        <v>4.6739999410295212</v>
      </c>
      <c r="BB72" s="580">
        <f t="shared" ref="BB72:BN72" si="180">SUM(BB73:BB84)</f>
        <v>324727501.71999997</v>
      </c>
      <c r="BC72" s="580">
        <f t="shared" si="180"/>
        <v>331368755.82999998</v>
      </c>
      <c r="BD72" s="580">
        <f t="shared" si="180"/>
        <v>311777879.12999994</v>
      </c>
      <c r="BE72" s="580">
        <f t="shared" si="171"/>
        <v>-12949622.590000033</v>
      </c>
      <c r="BF72" s="580">
        <f t="shared" si="172"/>
        <v>-19590876.700000048</v>
      </c>
      <c r="BG72" s="580">
        <f t="shared" si="150"/>
        <v>1003120853.6099999</v>
      </c>
      <c r="BH72" s="580">
        <f t="shared" si="180"/>
        <v>990608100.66999996</v>
      </c>
      <c r="BI72" s="580">
        <f t="shared" si="180"/>
        <v>971017223.97000003</v>
      </c>
      <c r="BJ72" s="580">
        <f t="shared" si="173"/>
        <v>-32103629.639999866</v>
      </c>
      <c r="BK72" s="580">
        <f t="shared" si="174"/>
        <v>-19590876.699999928</v>
      </c>
      <c r="BL72" s="580">
        <f t="shared" si="180"/>
        <v>300944253.16000003</v>
      </c>
      <c r="BM72" s="580">
        <f t="shared" si="180"/>
        <v>307563446.94999999</v>
      </c>
      <c r="BN72" s="580">
        <f t="shared" si="180"/>
        <v>298624133.92000008</v>
      </c>
      <c r="BO72" s="580">
        <f t="shared" ref="BO72:BO135" si="181">BN72-BL72</f>
        <v>-2320119.2399999499</v>
      </c>
      <c r="BP72" s="580">
        <f t="shared" si="175"/>
        <v>-8939313.0299999118</v>
      </c>
      <c r="BQ72" s="580">
        <f t="shared" ref="BQ72:BS72" si="182">SUM(BQ73:BQ84)</f>
        <v>300944253.16000003</v>
      </c>
      <c r="BR72" s="580">
        <f t="shared" si="182"/>
        <v>0</v>
      </c>
      <c r="BS72" s="580">
        <f t="shared" si="182"/>
        <v>0</v>
      </c>
      <c r="BU72" s="580">
        <f>SUM(BU73:BU84)</f>
        <v>1171508781.46</v>
      </c>
      <c r="BV72" s="580">
        <f t="shared" ref="BV72:BW72" si="183">SUM(BV73:BV84)</f>
        <v>98132576.429999992</v>
      </c>
      <c r="BW72" s="580">
        <f t="shared" si="183"/>
        <v>0</v>
      </c>
      <c r="BX72" s="581"/>
      <c r="BY72" s="580">
        <f>SUM(BY73:BY84)</f>
        <v>1267298195.0999999</v>
      </c>
      <c r="BZ72" s="580">
        <f t="shared" ref="BZ72:CB72" si="184">SUM(BZ73:BZ84)</f>
        <v>1963209.5599999998</v>
      </c>
      <c r="CA72" s="580">
        <f t="shared" si="184"/>
        <v>379953.23000000004</v>
      </c>
      <c r="CB72" s="580">
        <f t="shared" si="184"/>
        <v>1269641357.8900003</v>
      </c>
      <c r="CC72" s="580">
        <f t="shared" si="176"/>
        <v>0</v>
      </c>
      <c r="CD72" s="580"/>
      <c r="CE72" s="580"/>
      <c r="CF72" s="580"/>
      <c r="CG72" s="580"/>
      <c r="CH72" s="580"/>
      <c r="CI72" s="580"/>
      <c r="CJ72" s="580"/>
      <c r="CK72" s="508"/>
      <c r="CL72" s="508"/>
      <c r="CM72" s="510" t="s">
        <v>1905</v>
      </c>
      <c r="CN72" s="528"/>
      <c r="CO72" s="510"/>
      <c r="CP72" s="582">
        <f>SUM(CP73:CP84)</f>
        <v>1292851577.694241</v>
      </c>
      <c r="CQ72" s="582">
        <f>SUM(CQ73:CQ84)</f>
        <v>9820877.222511379</v>
      </c>
      <c r="CR72" s="582">
        <f>SUM(CR73:CR84)</f>
        <v>1392651.8532473622</v>
      </c>
      <c r="CS72" s="1715"/>
      <c r="CT72" s="1716"/>
      <c r="CU72" s="1716"/>
      <c r="CV72" s="1716"/>
      <c r="CW72" s="1717"/>
      <c r="CX72" s="510"/>
      <c r="CY72" s="510"/>
      <c r="CZ72" s="510"/>
      <c r="DA72" s="510"/>
      <c r="DB72" s="582">
        <f>SUM(DB73:DB84)</f>
        <v>329818283.73000002</v>
      </c>
      <c r="DD72" s="517"/>
      <c r="DE72" s="517"/>
      <c r="DF72" s="580">
        <f t="shared" si="88"/>
        <v>1267298.1950999999</v>
      </c>
      <c r="DG72" s="580">
        <f t="shared" si="88"/>
        <v>1963.2095599999998</v>
      </c>
      <c r="DH72" s="580">
        <f t="shared" si="88"/>
        <v>379.95323000000002</v>
      </c>
      <c r="DI72" s="580">
        <f t="shared" si="88"/>
        <v>1269641.3578900003</v>
      </c>
    </row>
    <row r="73" spans="1:123" s="534" customFormat="1">
      <c r="A73" s="537" t="s">
        <v>1157</v>
      </c>
      <c r="B73" s="538" t="s">
        <v>1158</v>
      </c>
      <c r="C73" s="576">
        <v>144794011.97</v>
      </c>
      <c r="D73" s="576">
        <v>158517905.49000001</v>
      </c>
      <c r="E73" s="576">
        <v>126797000</v>
      </c>
      <c r="F73" s="576">
        <v>126797001.55</v>
      </c>
      <c r="G73" s="577">
        <v>110968170</v>
      </c>
      <c r="H73" s="577">
        <v>0</v>
      </c>
      <c r="I73" s="576">
        <f t="shared" ref="I73:I84" si="185">J73+K73+L73</f>
        <v>110968169.8</v>
      </c>
      <c r="J73" s="576">
        <v>57443316.439999998</v>
      </c>
      <c r="K73" s="576">
        <v>27271261.050000001</v>
      </c>
      <c r="L73" s="576">
        <v>26253592.309999999</v>
      </c>
      <c r="M73" s="576">
        <f t="shared" ref="M73:M84" si="186">J73+K73</f>
        <v>84714577.489999995</v>
      </c>
      <c r="N73" s="576">
        <v>84714577.489999995</v>
      </c>
      <c r="O73" s="525">
        <f t="shared" ref="O73:O84" si="187">P73-N73</f>
        <v>26253592.300000012</v>
      </c>
      <c r="P73" s="522">
        <v>110968169.79000001</v>
      </c>
      <c r="Q73" s="576">
        <f t="shared" si="151"/>
        <v>-9.9999904632568359E-3</v>
      </c>
      <c r="R73" s="576">
        <f t="shared" si="152"/>
        <v>-9.0115861439699074E-9</v>
      </c>
      <c r="S73" s="576">
        <v>57418250</v>
      </c>
      <c r="T73" s="576">
        <v>57418250</v>
      </c>
      <c r="U73" s="522">
        <f t="shared" ref="U73:U84" si="188">AQ73+AS73+BB73+BL73</f>
        <v>57418245.68</v>
      </c>
      <c r="V73" s="522">
        <f t="shared" si="149"/>
        <v>-4.3200000002980232</v>
      </c>
      <c r="W73" s="522">
        <f t="shared" si="153"/>
        <v>-7.5237402796801689E-6</v>
      </c>
      <c r="X73" s="522">
        <f t="shared" si="154"/>
        <v>-53549924.110000007</v>
      </c>
      <c r="Y73" s="522">
        <f t="shared" si="155"/>
        <v>-48.257012989706624</v>
      </c>
      <c r="Z73" s="524">
        <f t="shared" si="156"/>
        <v>57418245.68</v>
      </c>
      <c r="AA73" s="522">
        <f t="shared" si="157"/>
        <v>-4.3200000002980232</v>
      </c>
      <c r="AB73" s="522">
        <f t="shared" si="158"/>
        <v>-7.5237402796801689E-6</v>
      </c>
      <c r="AC73" s="522">
        <f t="shared" si="159"/>
        <v>0</v>
      </c>
      <c r="AD73" s="522">
        <f t="shared" si="160"/>
        <v>0</v>
      </c>
      <c r="AE73" s="522">
        <f t="shared" si="161"/>
        <v>-53549924.110000007</v>
      </c>
      <c r="AF73" s="522">
        <f t="shared" si="162"/>
        <v>-48.257012989706624</v>
      </c>
      <c r="AG73" s="522">
        <f t="shared" si="177"/>
        <v>57418245.68</v>
      </c>
      <c r="AH73" s="522">
        <f t="shared" si="163"/>
        <v>0</v>
      </c>
      <c r="AI73" s="522">
        <f t="shared" si="164"/>
        <v>0</v>
      </c>
      <c r="AJ73" s="522">
        <f t="shared" si="165"/>
        <v>0</v>
      </c>
      <c r="AK73" s="522">
        <f t="shared" si="133"/>
        <v>0</v>
      </c>
      <c r="AL73" s="522">
        <f t="shared" ref="AL73:AL84" si="189">SUM(BU73:BV73)</f>
        <v>57418245.68</v>
      </c>
      <c r="AM73" s="522">
        <f t="shared" si="72"/>
        <v>49545505.490000002</v>
      </c>
      <c r="AN73" s="522">
        <f t="shared" si="72"/>
        <v>49545505.490000002</v>
      </c>
      <c r="AO73" s="522">
        <f t="shared" si="166"/>
        <v>0</v>
      </c>
      <c r="AP73" s="522">
        <f t="shared" si="178"/>
        <v>0</v>
      </c>
      <c r="AQ73" s="578">
        <v>25258063.460000001</v>
      </c>
      <c r="AR73" s="578">
        <v>25258063.460000001</v>
      </c>
      <c r="AS73" s="578">
        <v>24287442.030000001</v>
      </c>
      <c r="AT73" s="578">
        <v>24287442.030000001</v>
      </c>
      <c r="AU73" s="578">
        <f t="shared" si="79"/>
        <v>7872740.1900000004</v>
      </c>
      <c r="AV73" s="578">
        <f t="shared" si="79"/>
        <v>7872740.1900000004</v>
      </c>
      <c r="AW73" s="578">
        <f t="shared" si="167"/>
        <v>0</v>
      </c>
      <c r="AX73" s="578">
        <f t="shared" si="168"/>
        <v>0</v>
      </c>
      <c r="AY73" s="578">
        <f t="shared" si="82"/>
        <v>7872740.1899999976</v>
      </c>
      <c r="AZ73" s="578">
        <f t="shared" si="169"/>
        <v>0</v>
      </c>
      <c r="BA73" s="578">
        <f t="shared" si="170"/>
        <v>0</v>
      </c>
      <c r="BB73" s="578">
        <v>7872740.1900000004</v>
      </c>
      <c r="BC73" s="576">
        <f>'[67]Дир_ имущ'!AT11</f>
        <v>7872740.1900000004</v>
      </c>
      <c r="BD73" s="576">
        <f t="shared" ref="BD73:BD84" si="190">BI73-AN73</f>
        <v>7872740.1899999976</v>
      </c>
      <c r="BE73" s="576">
        <f t="shared" si="171"/>
        <v>0</v>
      </c>
      <c r="BF73" s="576">
        <f t="shared" si="172"/>
        <v>0</v>
      </c>
      <c r="BG73" s="576">
        <f t="shared" si="150"/>
        <v>57418245.68</v>
      </c>
      <c r="BH73" s="578">
        <f t="shared" si="150"/>
        <v>57418245.68</v>
      </c>
      <c r="BI73" s="578">
        <v>57418245.68</v>
      </c>
      <c r="BJ73" s="578">
        <f t="shared" si="173"/>
        <v>0</v>
      </c>
      <c r="BK73" s="578">
        <f t="shared" si="174"/>
        <v>0</v>
      </c>
      <c r="BL73" s="576">
        <v>0</v>
      </c>
      <c r="BM73" s="578">
        <f>'[67]Дир_ имущ'!AW11</f>
        <v>0</v>
      </c>
      <c r="BN73" s="522">
        <f t="shared" ref="BN73:BN84" si="191">AL73-BI73</f>
        <v>0</v>
      </c>
      <c r="BO73" s="578">
        <f t="shared" si="181"/>
        <v>0</v>
      </c>
      <c r="BP73" s="578">
        <f t="shared" si="175"/>
        <v>0</v>
      </c>
      <c r="BQ73" s="576">
        <v>0</v>
      </c>
      <c r="BR73" s="578">
        <f>'[67]Дир_ имущ'!BB11</f>
        <v>0</v>
      </c>
      <c r="BS73" s="578">
        <f>'[67]Дир_ имущ'!BC11</f>
        <v>0</v>
      </c>
      <c r="BT73" s="536"/>
      <c r="BU73" s="578">
        <v>57418245.68</v>
      </c>
      <c r="BV73" s="578"/>
      <c r="BW73" s="578"/>
      <c r="BX73" s="574"/>
      <c r="BY73" s="576">
        <v>57418245.68</v>
      </c>
      <c r="BZ73" s="576"/>
      <c r="CA73" s="576"/>
      <c r="CB73" s="522">
        <f t="shared" si="134"/>
        <v>57418245.68</v>
      </c>
      <c r="CC73" s="578">
        <f t="shared" si="176"/>
        <v>0</v>
      </c>
      <c r="CD73" s="578"/>
      <c r="CE73" s="578"/>
      <c r="CF73" s="578"/>
      <c r="CG73" s="578"/>
      <c r="CH73" s="578"/>
      <c r="CI73" s="578"/>
      <c r="CJ73" s="578"/>
      <c r="CK73" s="542" t="s">
        <v>1815</v>
      </c>
      <c r="CL73" s="542" t="s">
        <v>1816</v>
      </c>
      <c r="CM73" s="510" t="s">
        <v>1905</v>
      </c>
      <c r="CN73" s="528" t="s">
        <v>1849</v>
      </c>
      <c r="CO73" s="528"/>
      <c r="CP73" s="579">
        <f>U73</f>
        <v>57418245.68</v>
      </c>
      <c r="CQ73" s="579"/>
      <c r="CR73" s="579"/>
      <c r="CS73" s="1727"/>
      <c r="CT73" s="1728"/>
      <c r="CU73" s="1728"/>
      <c r="CV73" s="1728"/>
      <c r="CW73" s="1729"/>
      <c r="CX73" s="528"/>
      <c r="CY73" s="528"/>
      <c r="CZ73" s="528"/>
      <c r="DA73" s="528"/>
      <c r="DB73" s="579">
        <f>25258063.46</f>
        <v>25258063.460000001</v>
      </c>
      <c r="DD73" s="535">
        <f>57418245.68</f>
        <v>57418245.68</v>
      </c>
      <c r="DE73" s="535"/>
      <c r="DF73" s="576">
        <f t="shared" si="88"/>
        <v>57418.24568</v>
      </c>
      <c r="DG73" s="576">
        <f t="shared" si="88"/>
        <v>0</v>
      </c>
      <c r="DH73" s="576">
        <f t="shared" si="88"/>
        <v>0</v>
      </c>
      <c r="DI73" s="522">
        <f t="shared" si="88"/>
        <v>57418.24568</v>
      </c>
      <c r="DJ73" s="536"/>
      <c r="DK73" s="536"/>
      <c r="DL73" s="536"/>
      <c r="DM73" s="536"/>
      <c r="DN73" s="536"/>
      <c r="DO73" s="536"/>
      <c r="DP73" s="536"/>
      <c r="DQ73" s="536"/>
      <c r="DR73" s="536"/>
      <c r="DS73" s="536"/>
    </row>
    <row r="74" spans="1:123" s="534" customFormat="1" ht="63" customHeight="1">
      <c r="A74" s="537" t="s">
        <v>1162</v>
      </c>
      <c r="B74" s="538" t="s">
        <v>1163</v>
      </c>
      <c r="C74" s="576">
        <v>269432264.44</v>
      </c>
      <c r="D74" s="576">
        <v>348964938.81</v>
      </c>
      <c r="E74" s="525">
        <v>199480640</v>
      </c>
      <c r="F74" s="525">
        <v>185469953.41999999</v>
      </c>
      <c r="G74" s="596">
        <v>152505999.64000002</v>
      </c>
      <c r="H74" s="596">
        <v>0</v>
      </c>
      <c r="I74" s="525">
        <f t="shared" si="185"/>
        <v>154973383.05000001</v>
      </c>
      <c r="J74" s="525">
        <v>78072413.049999997</v>
      </c>
      <c r="K74" s="525">
        <v>38885618</v>
      </c>
      <c r="L74" s="525">
        <v>38015352</v>
      </c>
      <c r="M74" s="525">
        <f t="shared" si="186"/>
        <v>116958031.05</v>
      </c>
      <c r="N74" s="525">
        <v>116898782.39</v>
      </c>
      <c r="O74" s="525">
        <f t="shared" si="187"/>
        <v>37957288.790000007</v>
      </c>
      <c r="P74" s="522">
        <v>154856071.18000001</v>
      </c>
      <c r="Q74" s="525">
        <f t="shared" si="151"/>
        <v>-117311.87000000477</v>
      </c>
      <c r="R74" s="525">
        <f t="shared" si="152"/>
        <v>-7.5698076463979191E-2</v>
      </c>
      <c r="S74" s="525">
        <v>251964950</v>
      </c>
      <c r="T74" s="525">
        <v>144204478.25999996</v>
      </c>
      <c r="U74" s="522">
        <f t="shared" si="188"/>
        <v>169988200.88</v>
      </c>
      <c r="V74" s="522">
        <f t="shared" si="149"/>
        <v>25783722.620000035</v>
      </c>
      <c r="W74" s="522">
        <f t="shared" si="153"/>
        <v>17.879973584115817</v>
      </c>
      <c r="X74" s="522">
        <f t="shared" si="154"/>
        <v>15132129.699999988</v>
      </c>
      <c r="Y74" s="522">
        <f t="shared" si="155"/>
        <v>9.7717380950539905</v>
      </c>
      <c r="Z74" s="524">
        <f t="shared" si="156"/>
        <v>157857090.62</v>
      </c>
      <c r="AA74" s="522">
        <f t="shared" si="157"/>
        <v>13652612.360000044</v>
      </c>
      <c r="AB74" s="522">
        <f t="shared" si="158"/>
        <v>9.4675370173902991</v>
      </c>
      <c r="AC74" s="522">
        <f t="shared" si="159"/>
        <v>-12131110.25999999</v>
      </c>
      <c r="AD74" s="522">
        <f t="shared" si="160"/>
        <v>-7.1364425278926973</v>
      </c>
      <c r="AE74" s="522">
        <f t="shared" si="161"/>
        <v>3001019.4399999976</v>
      </c>
      <c r="AF74" s="522">
        <f t="shared" si="162"/>
        <v>1.937941094031558</v>
      </c>
      <c r="AG74" s="522">
        <f t="shared" si="177"/>
        <v>149846233.33000001</v>
      </c>
      <c r="AH74" s="522">
        <f t="shared" si="163"/>
        <v>-20141967.549999982</v>
      </c>
      <c r="AI74" s="522">
        <f t="shared" si="164"/>
        <v>-11.849038607225935</v>
      </c>
      <c r="AJ74" s="522">
        <f t="shared" si="165"/>
        <v>-8010857.2899999917</v>
      </c>
      <c r="AK74" s="522">
        <f t="shared" si="133"/>
        <v>-5.074752903741313</v>
      </c>
      <c r="AL74" s="522">
        <f t="shared" si="189"/>
        <v>149846233.33000001</v>
      </c>
      <c r="AM74" s="522">
        <f t="shared" si="72"/>
        <v>83563849.840000004</v>
      </c>
      <c r="AN74" s="522">
        <f t="shared" si="72"/>
        <v>74932739.579999998</v>
      </c>
      <c r="AO74" s="522">
        <f t="shared" si="166"/>
        <v>-8631110.2600000054</v>
      </c>
      <c r="AP74" s="522">
        <f t="shared" si="178"/>
        <v>-10.3287609133926</v>
      </c>
      <c r="AQ74" s="522">
        <v>38319754.950000003</v>
      </c>
      <c r="AR74" s="522">
        <v>37812501.030000001</v>
      </c>
      <c r="AS74" s="522">
        <v>45244094.890000001</v>
      </c>
      <c r="AT74" s="522">
        <v>37120238.549999997</v>
      </c>
      <c r="AU74" s="522">
        <f t="shared" si="79"/>
        <v>86424351.039999992</v>
      </c>
      <c r="AV74" s="522">
        <f t="shared" si="79"/>
        <v>82924351.039999992</v>
      </c>
      <c r="AW74" s="522">
        <f t="shared" si="167"/>
        <v>-3500000</v>
      </c>
      <c r="AX74" s="522">
        <f t="shared" si="168"/>
        <v>-4.0497845316536853</v>
      </c>
      <c r="AY74" s="522">
        <f t="shared" si="82"/>
        <v>74913493.750000015</v>
      </c>
      <c r="AZ74" s="522">
        <f t="shared" si="169"/>
        <v>8010857.2899999768</v>
      </c>
      <c r="BA74" s="522">
        <f t="shared" si="170"/>
        <v>10.693477088031258</v>
      </c>
      <c r="BB74" s="522">
        <v>44053129.32</v>
      </c>
      <c r="BC74" s="576">
        <f>'[67]Дир_ имущ'!AT12</f>
        <v>42303129.32</v>
      </c>
      <c r="BD74" s="576">
        <f t="shared" si="190"/>
        <v>37856064.219999999</v>
      </c>
      <c r="BE74" s="576">
        <f t="shared" si="171"/>
        <v>-6197065.1000000015</v>
      </c>
      <c r="BF74" s="576">
        <f t="shared" si="172"/>
        <v>-4447065.1000000015</v>
      </c>
      <c r="BG74" s="576">
        <f t="shared" si="150"/>
        <v>127616979.16</v>
      </c>
      <c r="BH74" s="578">
        <f t="shared" si="150"/>
        <v>117235868.90000001</v>
      </c>
      <c r="BI74" s="578">
        <v>112788803.8</v>
      </c>
      <c r="BJ74" s="578">
        <f t="shared" si="173"/>
        <v>-14828175.359999999</v>
      </c>
      <c r="BK74" s="578">
        <f t="shared" si="174"/>
        <v>-4447065.1000000089</v>
      </c>
      <c r="BL74" s="576">
        <v>42371221.719999999</v>
      </c>
      <c r="BM74" s="578">
        <f>'[67]Дир_ имущ'!AW12</f>
        <v>40621221.719999999</v>
      </c>
      <c r="BN74" s="522">
        <f t="shared" si="191"/>
        <v>37057429.530000016</v>
      </c>
      <c r="BO74" s="578">
        <f t="shared" si="181"/>
        <v>-5313792.1899999827</v>
      </c>
      <c r="BP74" s="578">
        <f t="shared" si="175"/>
        <v>-3563792.1899999827</v>
      </c>
      <c r="BQ74" s="576">
        <v>42371221.719999999</v>
      </c>
      <c r="BR74" s="578">
        <f>'[67]Дир_ имущ'!BB12</f>
        <v>0</v>
      </c>
      <c r="BS74" s="578">
        <f>'[67]Дир_ имущ'!BC12</f>
        <v>0</v>
      </c>
      <c r="BT74" s="536"/>
      <c r="BU74" s="578">
        <v>149846233.33000001</v>
      </c>
      <c r="BV74" s="578"/>
      <c r="BW74" s="578"/>
      <c r="BX74" s="574"/>
      <c r="BY74" s="525">
        <v>149846233.33000001</v>
      </c>
      <c r="BZ74" s="525"/>
      <c r="CA74" s="525"/>
      <c r="CB74" s="522">
        <f t="shared" si="134"/>
        <v>149846233.33000001</v>
      </c>
      <c r="CC74" s="578">
        <f t="shared" si="176"/>
        <v>0</v>
      </c>
      <c r="CD74" s="578"/>
      <c r="CE74" s="578"/>
      <c r="CF74" s="578"/>
      <c r="CG74" s="578"/>
      <c r="CH74" s="578"/>
      <c r="CI74" s="578"/>
      <c r="CJ74" s="578"/>
      <c r="CK74" s="543" t="s">
        <v>1815</v>
      </c>
      <c r="CL74" s="543" t="s">
        <v>1816</v>
      </c>
      <c r="CM74" s="510" t="s">
        <v>1905</v>
      </c>
      <c r="CN74" s="528" t="s">
        <v>1849</v>
      </c>
      <c r="CO74" s="528"/>
      <c r="CP74" s="544">
        <f>U74</f>
        <v>169988200.88</v>
      </c>
      <c r="CQ74" s="544"/>
      <c r="CR74" s="544"/>
      <c r="CS74" s="1706"/>
      <c r="CT74" s="1707"/>
      <c r="CU74" s="1707"/>
      <c r="CV74" s="1707"/>
      <c r="CW74" s="1708"/>
      <c r="CX74" s="528"/>
      <c r="CY74" s="528"/>
      <c r="CZ74" s="528"/>
      <c r="DA74" s="528"/>
      <c r="DB74" s="544">
        <f>37812501.03</f>
        <v>37812501.030000001</v>
      </c>
      <c r="DD74" s="535">
        <f>112788803.8</f>
        <v>112788803.8</v>
      </c>
      <c r="DE74" s="535"/>
      <c r="DF74" s="525">
        <f t="shared" si="88"/>
        <v>149846.23333000002</v>
      </c>
      <c r="DG74" s="525">
        <f t="shared" si="88"/>
        <v>0</v>
      </c>
      <c r="DH74" s="525">
        <f t="shared" si="88"/>
        <v>0</v>
      </c>
      <c r="DI74" s="522">
        <f t="shared" si="88"/>
        <v>149846.23333000002</v>
      </c>
      <c r="DJ74" s="536"/>
      <c r="DK74" s="536"/>
      <c r="DL74" s="536"/>
      <c r="DM74" s="536"/>
      <c r="DN74" s="536"/>
      <c r="DO74" s="536"/>
      <c r="DP74" s="536"/>
      <c r="DQ74" s="536"/>
      <c r="DR74" s="536"/>
      <c r="DS74" s="536"/>
    </row>
    <row r="75" spans="1:123" s="534" customFormat="1" ht="36" customHeight="1">
      <c r="A75" s="537" t="s">
        <v>1167</v>
      </c>
      <c r="B75" s="538" t="s">
        <v>1168</v>
      </c>
      <c r="C75" s="576">
        <v>83145431.890000001</v>
      </c>
      <c r="D75" s="576">
        <v>124350438.90000001</v>
      </c>
      <c r="E75" s="576">
        <v>97753960</v>
      </c>
      <c r="F75" s="576">
        <v>100013734.94</v>
      </c>
      <c r="G75" s="577">
        <v>90494064.429999977</v>
      </c>
      <c r="H75" s="577">
        <v>0</v>
      </c>
      <c r="I75" s="576">
        <f t="shared" si="185"/>
        <v>90494061.409999996</v>
      </c>
      <c r="J75" s="576">
        <v>46071968.75</v>
      </c>
      <c r="K75" s="576">
        <v>22416915.760000002</v>
      </c>
      <c r="L75" s="576">
        <v>22005176.899999999</v>
      </c>
      <c r="M75" s="576">
        <f t="shared" si="186"/>
        <v>68488884.510000005</v>
      </c>
      <c r="N75" s="576">
        <v>68488884.489999995</v>
      </c>
      <c r="O75" s="525">
        <f t="shared" si="187"/>
        <v>22005176.890000001</v>
      </c>
      <c r="P75" s="522">
        <f>85667304.78+4826756.6</f>
        <v>90494061.379999995</v>
      </c>
      <c r="Q75" s="576">
        <f t="shared" si="151"/>
        <v>-3.0000001192092896E-2</v>
      </c>
      <c r="R75" s="576">
        <f t="shared" si="152"/>
        <v>-3.3151351885862823E-8</v>
      </c>
      <c r="S75" s="576">
        <v>130977370</v>
      </c>
      <c r="T75" s="576">
        <v>88888552</v>
      </c>
      <c r="U75" s="522">
        <f t="shared" si="188"/>
        <v>96586419.63000001</v>
      </c>
      <c r="V75" s="522">
        <f t="shared" si="149"/>
        <v>7697867.6300000101</v>
      </c>
      <c r="W75" s="522">
        <f t="shared" si="153"/>
        <v>8.6601339056575171</v>
      </c>
      <c r="X75" s="522">
        <f t="shared" si="154"/>
        <v>6092358.2500000149</v>
      </c>
      <c r="Y75" s="522">
        <f t="shared" si="155"/>
        <v>6.732329345256332</v>
      </c>
      <c r="Z75" s="524">
        <f t="shared" si="156"/>
        <v>91080375.930000007</v>
      </c>
      <c r="AA75" s="522">
        <f t="shared" si="157"/>
        <v>2191823.9300000072</v>
      </c>
      <c r="AB75" s="522">
        <f t="shared" si="158"/>
        <v>2.4658112666747058</v>
      </c>
      <c r="AC75" s="522">
        <f t="shared" si="159"/>
        <v>-5506043.700000003</v>
      </c>
      <c r="AD75" s="522">
        <f t="shared" si="160"/>
        <v>-5.7006396148572236</v>
      </c>
      <c r="AE75" s="522">
        <f t="shared" si="161"/>
        <v>586314.55000001192</v>
      </c>
      <c r="AF75" s="522">
        <f t="shared" si="162"/>
        <v>0.64790389674078597</v>
      </c>
      <c r="AG75" s="522">
        <f t="shared" si="177"/>
        <v>79629913.709999993</v>
      </c>
      <c r="AH75" s="522">
        <f t="shared" si="163"/>
        <v>-16956505.920000017</v>
      </c>
      <c r="AI75" s="522">
        <f t="shared" si="164"/>
        <v>-17.55578681242811</v>
      </c>
      <c r="AJ75" s="522">
        <f t="shared" si="165"/>
        <v>-11450462.220000014</v>
      </c>
      <c r="AK75" s="522">
        <f t="shared" si="133"/>
        <v>-12.571821430337849</v>
      </c>
      <c r="AL75" s="522">
        <f t="shared" si="189"/>
        <v>79629913.709999993</v>
      </c>
      <c r="AM75" s="522">
        <f t="shared" si="72"/>
        <v>51782922.260000005</v>
      </c>
      <c r="AN75" s="522">
        <f t="shared" si="72"/>
        <v>46276878.559999995</v>
      </c>
      <c r="AO75" s="522">
        <f t="shared" si="166"/>
        <v>-5506043.7000000104</v>
      </c>
      <c r="AP75" s="522">
        <f t="shared" si="178"/>
        <v>-10.632933522666761</v>
      </c>
      <c r="AQ75" s="578">
        <v>23473883.82</v>
      </c>
      <c r="AR75" s="578">
        <v>23473883.82</v>
      </c>
      <c r="AS75" s="578">
        <v>28309038.440000001</v>
      </c>
      <c r="AT75" s="578">
        <v>22802994.739999995</v>
      </c>
      <c r="AU75" s="578">
        <f t="shared" si="79"/>
        <v>44803497.370000005</v>
      </c>
      <c r="AV75" s="578">
        <f t="shared" si="79"/>
        <v>44803497.370000005</v>
      </c>
      <c r="AW75" s="578">
        <f t="shared" si="167"/>
        <v>0</v>
      </c>
      <c r="AX75" s="578">
        <f t="shared" si="168"/>
        <v>0</v>
      </c>
      <c r="AY75" s="578">
        <f t="shared" si="82"/>
        <v>33353035.149999999</v>
      </c>
      <c r="AZ75" s="578">
        <f t="shared" si="169"/>
        <v>11450462.220000006</v>
      </c>
      <c r="BA75" s="578">
        <f t="shared" si="170"/>
        <v>34.331095111744304</v>
      </c>
      <c r="BB75" s="578">
        <v>27817299.57</v>
      </c>
      <c r="BC75" s="576">
        <f>'[67]Дир_ имущ'!AT13</f>
        <v>27817299.57</v>
      </c>
      <c r="BD75" s="576">
        <f t="shared" si="190"/>
        <v>17992977.360000007</v>
      </c>
      <c r="BE75" s="576">
        <f t="shared" si="171"/>
        <v>-9824322.2099999934</v>
      </c>
      <c r="BF75" s="576">
        <f t="shared" si="172"/>
        <v>-9824322.2099999934</v>
      </c>
      <c r="BG75" s="576">
        <f t="shared" si="150"/>
        <v>79600221.830000013</v>
      </c>
      <c r="BH75" s="578">
        <f t="shared" si="150"/>
        <v>74094178.129999995</v>
      </c>
      <c r="BI75" s="578">
        <f>3402450.31+60867405.61</f>
        <v>64269855.920000002</v>
      </c>
      <c r="BJ75" s="578">
        <f t="shared" si="173"/>
        <v>-15330365.910000011</v>
      </c>
      <c r="BK75" s="578">
        <f t="shared" si="174"/>
        <v>-9824322.2099999934</v>
      </c>
      <c r="BL75" s="576">
        <v>16986197.800000001</v>
      </c>
      <c r="BM75" s="578">
        <f>'[67]Дир_ имущ'!AW13</f>
        <v>16986197.800000001</v>
      </c>
      <c r="BN75" s="522">
        <f t="shared" si="191"/>
        <v>15360057.789999992</v>
      </c>
      <c r="BO75" s="578">
        <f t="shared" si="181"/>
        <v>-1626140.0100000091</v>
      </c>
      <c r="BP75" s="578">
        <f t="shared" si="175"/>
        <v>-1626140.0100000091</v>
      </c>
      <c r="BQ75" s="576">
        <v>16986197.800000001</v>
      </c>
      <c r="BR75" s="578">
        <f>'[67]Дир_ имущ'!BB13</f>
        <v>0</v>
      </c>
      <c r="BS75" s="578">
        <f>'[67]Дир_ имущ'!BC13</f>
        <v>0</v>
      </c>
      <c r="BT75" s="536"/>
      <c r="BU75" s="578">
        <v>3959957.13</v>
      </c>
      <c r="BV75" s="578">
        <v>75669956.579999998</v>
      </c>
      <c r="BW75" s="578"/>
      <c r="BX75" s="574"/>
      <c r="BY75" s="525">
        <f>3949713.74+75669956.58</f>
        <v>79619670.319999993</v>
      </c>
      <c r="BZ75" s="525">
        <v>8514</v>
      </c>
      <c r="CA75" s="525">
        <v>1729.39</v>
      </c>
      <c r="CB75" s="522">
        <f t="shared" si="134"/>
        <v>79629913.709999993</v>
      </c>
      <c r="CC75" s="522">
        <f t="shared" si="176"/>
        <v>0</v>
      </c>
      <c r="CD75" s="578"/>
      <c r="CE75" s="578"/>
      <c r="CF75" s="578"/>
      <c r="CG75" s="578"/>
      <c r="CH75" s="578"/>
      <c r="CI75" s="578"/>
      <c r="CJ75" s="578"/>
      <c r="CK75" s="543" t="s">
        <v>1815</v>
      </c>
      <c r="CL75" s="543" t="s">
        <v>1816</v>
      </c>
      <c r="CM75" s="510" t="s">
        <v>1905</v>
      </c>
      <c r="CN75" s="528" t="s">
        <v>1849</v>
      </c>
      <c r="CO75" s="528"/>
      <c r="CP75" s="544">
        <f>U75*$CU$7/100</f>
        <v>89112605.9698589</v>
      </c>
      <c r="CQ75" s="544">
        <f>U75*$CU$8/100</f>
        <v>6545611.6307619968</v>
      </c>
      <c r="CR75" s="544">
        <f>U75*$CU$9/100</f>
        <v>928202.02937911451</v>
      </c>
      <c r="CS75" s="1709" t="s">
        <v>1826</v>
      </c>
      <c r="CT75" s="1710"/>
      <c r="CU75" s="1710"/>
      <c r="CV75" s="1710"/>
      <c r="CW75" s="1711"/>
      <c r="CX75" s="528"/>
      <c r="CY75" s="528"/>
      <c r="CZ75" s="528"/>
      <c r="DA75" s="528"/>
      <c r="DB75" s="579">
        <f>1249748.73+22224135.09</f>
        <v>23473883.82</v>
      </c>
      <c r="DD75" s="535">
        <f>3402450.31</f>
        <v>3402450.31</v>
      </c>
      <c r="DE75" s="535"/>
      <c r="DF75" s="525">
        <f t="shared" si="88"/>
        <v>79619.67031999999</v>
      </c>
      <c r="DG75" s="525">
        <f t="shared" si="88"/>
        <v>8.5139999999999993</v>
      </c>
      <c r="DH75" s="525">
        <f t="shared" si="88"/>
        <v>1.7293900000000002</v>
      </c>
      <c r="DI75" s="522">
        <f t="shared" si="88"/>
        <v>79629.913709999993</v>
      </c>
      <c r="DJ75" s="536"/>
      <c r="DK75" s="536"/>
      <c r="DL75" s="536"/>
      <c r="DM75" s="536"/>
      <c r="DN75" s="536"/>
      <c r="DO75" s="536"/>
      <c r="DP75" s="536"/>
      <c r="DQ75" s="536"/>
      <c r="DR75" s="536"/>
      <c r="DS75" s="536"/>
    </row>
    <row r="76" spans="1:123" s="534" customFormat="1">
      <c r="A76" s="537" t="s">
        <v>1172</v>
      </c>
      <c r="B76" s="538" t="s">
        <v>1173</v>
      </c>
      <c r="C76" s="576">
        <v>902596436.20000005</v>
      </c>
      <c r="D76" s="576">
        <v>0</v>
      </c>
      <c r="E76" s="576">
        <v>830969390</v>
      </c>
      <c r="F76" s="576">
        <v>830969392.99000001</v>
      </c>
      <c r="G76" s="577">
        <v>628510490</v>
      </c>
      <c r="H76" s="577">
        <v>0</v>
      </c>
      <c r="I76" s="576">
        <f t="shared" si="185"/>
        <v>641206827.43000007</v>
      </c>
      <c r="J76" s="576">
        <v>344031891.43000001</v>
      </c>
      <c r="K76" s="576">
        <v>150284201</v>
      </c>
      <c r="L76" s="576">
        <v>146890735</v>
      </c>
      <c r="M76" s="576">
        <f t="shared" si="186"/>
        <v>494316092.43000001</v>
      </c>
      <c r="N76" s="576">
        <v>494316091.69</v>
      </c>
      <c r="O76" s="525">
        <f t="shared" si="187"/>
        <v>146890734.56</v>
      </c>
      <c r="P76" s="522">
        <v>641206826.25</v>
      </c>
      <c r="Q76" s="576">
        <f t="shared" si="151"/>
        <v>-1.1800000667572021</v>
      </c>
      <c r="R76" s="576">
        <f t="shared" si="152"/>
        <v>-1.840279963971625E-7</v>
      </c>
      <c r="S76" s="576">
        <v>564085910</v>
      </c>
      <c r="T76" s="576">
        <v>564085910</v>
      </c>
      <c r="U76" s="522">
        <f t="shared" si="188"/>
        <v>581466684.53999996</v>
      </c>
      <c r="V76" s="522">
        <f t="shared" si="149"/>
        <v>17380774.539999962</v>
      </c>
      <c r="W76" s="522">
        <f t="shared" si="153"/>
        <v>3.0812282724807005</v>
      </c>
      <c r="X76" s="522">
        <f t="shared" si="154"/>
        <v>-59740141.710000038</v>
      </c>
      <c r="Y76" s="522">
        <f t="shared" si="155"/>
        <v>-9.3168287149064071</v>
      </c>
      <c r="Z76" s="524">
        <f t="shared" si="156"/>
        <v>581730373.75999999</v>
      </c>
      <c r="AA76" s="522">
        <f t="shared" si="157"/>
        <v>17644463.75999999</v>
      </c>
      <c r="AB76" s="522">
        <f t="shared" si="158"/>
        <v>3.1279745597616539</v>
      </c>
      <c r="AC76" s="522">
        <f t="shared" si="159"/>
        <v>263689.22000002861</v>
      </c>
      <c r="AD76" s="522">
        <f t="shared" si="160"/>
        <v>4.5348981637459929E-2</v>
      </c>
      <c r="AE76" s="522">
        <f t="shared" si="161"/>
        <v>-59476452.49000001</v>
      </c>
      <c r="AF76" s="522">
        <f t="shared" si="162"/>
        <v>-9.2757048202120558</v>
      </c>
      <c r="AG76" s="522">
        <f t="shared" si="177"/>
        <v>581730373.75</v>
      </c>
      <c r="AH76" s="522">
        <f t="shared" si="163"/>
        <v>263689.21000003815</v>
      </c>
      <c r="AI76" s="522">
        <f t="shared" si="164"/>
        <v>4.5348979917676502E-2</v>
      </c>
      <c r="AJ76" s="522">
        <f t="shared" si="165"/>
        <v>-9.9999904632568359E-3</v>
      </c>
      <c r="AK76" s="522">
        <f t="shared" si="133"/>
        <v>-1.7190018297696952E-9</v>
      </c>
      <c r="AL76" s="522">
        <f t="shared" si="189"/>
        <v>581730373.75</v>
      </c>
      <c r="AM76" s="522">
        <f t="shared" si="72"/>
        <v>294203310.98000002</v>
      </c>
      <c r="AN76" s="522">
        <f t="shared" si="72"/>
        <v>294203310.98000002</v>
      </c>
      <c r="AO76" s="522">
        <f t="shared" si="166"/>
        <v>0</v>
      </c>
      <c r="AP76" s="522">
        <f t="shared" si="178"/>
        <v>0</v>
      </c>
      <c r="AQ76" s="578">
        <v>146681494.84999999</v>
      </c>
      <c r="AR76" s="578">
        <v>146681494.84999999</v>
      </c>
      <c r="AS76" s="578">
        <v>147521816.13</v>
      </c>
      <c r="AT76" s="578">
        <v>147521816.13000003</v>
      </c>
      <c r="AU76" s="578">
        <f t="shared" si="79"/>
        <v>287263373.56</v>
      </c>
      <c r="AV76" s="578">
        <f t="shared" si="79"/>
        <v>287527062.77999997</v>
      </c>
      <c r="AW76" s="578">
        <f t="shared" si="167"/>
        <v>263689.21999996901</v>
      </c>
      <c r="AX76" s="578">
        <f t="shared" si="168"/>
        <v>9.1793540099487814E-2</v>
      </c>
      <c r="AY76" s="578">
        <f t="shared" si="82"/>
        <v>287527062.76999998</v>
      </c>
      <c r="AZ76" s="578">
        <f t="shared" si="169"/>
        <v>9.9999904632568359E-3</v>
      </c>
      <c r="BA76" s="578">
        <f t="shared" si="170"/>
        <v>3.477936161289108E-9</v>
      </c>
      <c r="BB76" s="578">
        <v>145339936.28</v>
      </c>
      <c r="BC76" s="576">
        <f>'[67]Дир_ имущ'!AT14</f>
        <v>145482811.05000001</v>
      </c>
      <c r="BD76" s="576">
        <f t="shared" si="190"/>
        <v>145482811.04999995</v>
      </c>
      <c r="BE76" s="576">
        <f t="shared" si="171"/>
        <v>142874.76999995112</v>
      </c>
      <c r="BF76" s="576">
        <f t="shared" si="172"/>
        <v>0</v>
      </c>
      <c r="BG76" s="576">
        <f t="shared" si="150"/>
        <v>439543247.25999999</v>
      </c>
      <c r="BH76" s="578">
        <f t="shared" si="150"/>
        <v>439686122.03000003</v>
      </c>
      <c r="BI76" s="578">
        <v>439686122.02999997</v>
      </c>
      <c r="BJ76" s="578">
        <f t="shared" si="173"/>
        <v>142874.76999998093</v>
      </c>
      <c r="BK76" s="578">
        <f t="shared" si="174"/>
        <v>0</v>
      </c>
      <c r="BL76" s="576">
        <v>141923437.28</v>
      </c>
      <c r="BM76" s="578">
        <f>'[67]Дир_ имущ'!AW14</f>
        <v>142044251.72999999</v>
      </c>
      <c r="BN76" s="522">
        <f t="shared" si="191"/>
        <v>142044251.72000003</v>
      </c>
      <c r="BO76" s="578">
        <f t="shared" si="181"/>
        <v>120814.44000002742</v>
      </c>
      <c r="BP76" s="578">
        <f t="shared" si="175"/>
        <v>-9.9999606609344482E-3</v>
      </c>
      <c r="BQ76" s="576">
        <v>141923437.28</v>
      </c>
      <c r="BR76" s="578">
        <f>'[67]Дир_ имущ'!BB14</f>
        <v>0</v>
      </c>
      <c r="BS76" s="578">
        <f>'[67]Дир_ имущ'!BC14</f>
        <v>0</v>
      </c>
      <c r="BT76" s="536"/>
      <c r="BU76" s="578">
        <v>581730373.75</v>
      </c>
      <c r="BV76" s="578"/>
      <c r="BW76" s="578"/>
      <c r="BX76" s="574"/>
      <c r="BY76" s="576">
        <v>581730373.75</v>
      </c>
      <c r="BZ76" s="576"/>
      <c r="CA76" s="576"/>
      <c r="CB76" s="522">
        <f t="shared" si="134"/>
        <v>581730373.75</v>
      </c>
      <c r="CC76" s="578">
        <f t="shared" si="176"/>
        <v>0</v>
      </c>
      <c r="CD76" s="578"/>
      <c r="CE76" s="578"/>
      <c r="CF76" s="578"/>
      <c r="CG76" s="578"/>
      <c r="CH76" s="578"/>
      <c r="CI76" s="578"/>
      <c r="CJ76" s="578"/>
      <c r="CK76" s="542" t="s">
        <v>1815</v>
      </c>
      <c r="CL76" s="542" t="s">
        <v>1816</v>
      </c>
      <c r="CM76" s="510" t="s">
        <v>1905</v>
      </c>
      <c r="CN76" s="528" t="s">
        <v>1849</v>
      </c>
      <c r="CO76" s="528"/>
      <c r="CP76" s="579">
        <f>U76</f>
        <v>581466684.53999996</v>
      </c>
      <c r="CQ76" s="579"/>
      <c r="CR76" s="579"/>
      <c r="CS76" s="1727"/>
      <c r="CT76" s="1728"/>
      <c r="CU76" s="1728"/>
      <c r="CV76" s="1728"/>
      <c r="CW76" s="1729"/>
      <c r="CX76" s="528"/>
      <c r="CY76" s="528"/>
      <c r="CZ76" s="528"/>
      <c r="DA76" s="528"/>
      <c r="DB76" s="579">
        <f>146681494.85</f>
        <v>146681494.84999999</v>
      </c>
      <c r="DD76" s="535">
        <v>439686122.02999997</v>
      </c>
      <c r="DE76" s="535"/>
      <c r="DF76" s="576">
        <f t="shared" si="88"/>
        <v>581730.37375000003</v>
      </c>
      <c r="DG76" s="576">
        <f t="shared" si="88"/>
        <v>0</v>
      </c>
      <c r="DH76" s="576">
        <f t="shared" si="88"/>
        <v>0</v>
      </c>
      <c r="DI76" s="522">
        <f t="shared" si="88"/>
        <v>581730.37375000003</v>
      </c>
      <c r="DJ76" s="536"/>
      <c r="DK76" s="536"/>
      <c r="DL76" s="536"/>
      <c r="DM76" s="536"/>
      <c r="DN76" s="536"/>
      <c r="DO76" s="536"/>
      <c r="DP76" s="536"/>
      <c r="DQ76" s="536"/>
      <c r="DR76" s="536"/>
      <c r="DS76" s="536"/>
    </row>
    <row r="77" spans="1:123" s="534" customFormat="1" ht="56.4">
      <c r="A77" s="537" t="s">
        <v>1177</v>
      </c>
      <c r="B77" s="538" t="s">
        <v>1178</v>
      </c>
      <c r="C77" s="576">
        <v>80605140.549999997</v>
      </c>
      <c r="D77" s="576">
        <v>105268088.12</v>
      </c>
      <c r="E77" s="576">
        <v>73193240</v>
      </c>
      <c r="F77" s="576">
        <v>68222991.980000004</v>
      </c>
      <c r="G77" s="577">
        <v>66781149.999999993</v>
      </c>
      <c r="H77" s="577">
        <v>0</v>
      </c>
      <c r="I77" s="576">
        <f t="shared" si="185"/>
        <v>64906037.930000007</v>
      </c>
      <c r="J77" s="576">
        <v>31199695.550000001</v>
      </c>
      <c r="K77" s="576">
        <v>16853171.190000001</v>
      </c>
      <c r="L77" s="576">
        <v>16853171.190000001</v>
      </c>
      <c r="M77" s="576">
        <f t="shared" si="186"/>
        <v>48052866.740000002</v>
      </c>
      <c r="N77" s="576">
        <v>46813548.590000004</v>
      </c>
      <c r="O77" s="525">
        <f t="shared" si="187"/>
        <v>15340841.309999995</v>
      </c>
      <c r="P77" s="522">
        <v>62154389.899999999</v>
      </c>
      <c r="Q77" s="576">
        <f t="shared" si="151"/>
        <v>-2751648.0300000086</v>
      </c>
      <c r="R77" s="576">
        <f t="shared" si="152"/>
        <v>-4.239433060091585</v>
      </c>
      <c r="S77" s="576">
        <v>72470540</v>
      </c>
      <c r="T77" s="576">
        <v>72470540</v>
      </c>
      <c r="U77" s="522">
        <f t="shared" si="188"/>
        <v>68403945.550000012</v>
      </c>
      <c r="V77" s="522">
        <f t="shared" si="149"/>
        <v>-4066594.4499999881</v>
      </c>
      <c r="W77" s="522">
        <f t="shared" si="153"/>
        <v>-5.6113759466950057</v>
      </c>
      <c r="X77" s="522">
        <f t="shared" si="154"/>
        <v>6249555.6500000134</v>
      </c>
      <c r="Y77" s="522">
        <f t="shared" si="155"/>
        <v>10.054890185640787</v>
      </c>
      <c r="Z77" s="524">
        <f t="shared" si="156"/>
        <v>63402615.969999999</v>
      </c>
      <c r="AA77" s="522">
        <f t="shared" si="157"/>
        <v>-9067924.0300000012</v>
      </c>
      <c r="AB77" s="522">
        <f t="shared" si="158"/>
        <v>-12.512565837097384</v>
      </c>
      <c r="AC77" s="522">
        <f t="shared" si="159"/>
        <v>-5001329.5800000131</v>
      </c>
      <c r="AD77" s="522">
        <f t="shared" si="160"/>
        <v>-7.3114636002162712</v>
      </c>
      <c r="AE77" s="522">
        <f t="shared" si="161"/>
        <v>1248226.0700000003</v>
      </c>
      <c r="AF77" s="522">
        <f t="shared" si="162"/>
        <v>2.0082669494596814</v>
      </c>
      <c r="AG77" s="522">
        <f t="shared" si="177"/>
        <v>62081940.409999996</v>
      </c>
      <c r="AH77" s="522">
        <f t="shared" si="163"/>
        <v>-6322005.1400000155</v>
      </c>
      <c r="AI77" s="522">
        <f t="shared" si="164"/>
        <v>-9.2421644528953806</v>
      </c>
      <c r="AJ77" s="522">
        <f t="shared" si="165"/>
        <v>-1320675.5600000024</v>
      </c>
      <c r="AK77" s="522">
        <f t="shared" si="133"/>
        <v>-2.0829985321503131</v>
      </c>
      <c r="AL77" s="522">
        <f t="shared" si="189"/>
        <v>62081940.409999996</v>
      </c>
      <c r="AM77" s="522">
        <f t="shared" si="72"/>
        <v>34201972.850000001</v>
      </c>
      <c r="AN77" s="522">
        <f t="shared" si="72"/>
        <v>31000637.25</v>
      </c>
      <c r="AO77" s="522">
        <f t="shared" si="166"/>
        <v>-3201335.6000000015</v>
      </c>
      <c r="AP77" s="522">
        <f t="shared" si="178"/>
        <v>-9.3600904662433919</v>
      </c>
      <c r="AQ77" s="578">
        <f>18372170.46-1271183.97</f>
        <v>17100986.490000002</v>
      </c>
      <c r="AR77" s="578">
        <v>15502742.050000001</v>
      </c>
      <c r="AS77" s="578">
        <f>18372170.36-1271184</f>
        <v>17100986.359999999</v>
      </c>
      <c r="AT77" s="578">
        <v>15497895.199999999</v>
      </c>
      <c r="AU77" s="578">
        <f t="shared" si="79"/>
        <v>34201972.700000003</v>
      </c>
      <c r="AV77" s="578">
        <f t="shared" si="79"/>
        <v>32401978.719999999</v>
      </c>
      <c r="AW77" s="578">
        <f t="shared" si="167"/>
        <v>-1799993.9800000042</v>
      </c>
      <c r="AX77" s="578">
        <f t="shared" si="168"/>
        <v>-5.2628367252044654</v>
      </c>
      <c r="AY77" s="578">
        <f t="shared" si="82"/>
        <v>31081303.159999996</v>
      </c>
      <c r="AZ77" s="578">
        <f t="shared" si="169"/>
        <v>1320675.5600000024</v>
      </c>
      <c r="BA77" s="578">
        <f t="shared" si="170"/>
        <v>4.2490997021632069</v>
      </c>
      <c r="BB77" s="578">
        <f>18372170.35-1271184</f>
        <v>17100986.350000001</v>
      </c>
      <c r="BC77" s="576">
        <f>'[67]Дир_ имущ'!AT15</f>
        <v>16200989.359999999</v>
      </c>
      <c r="BD77" s="576">
        <f t="shared" si="190"/>
        <v>18110045.039999999</v>
      </c>
      <c r="BE77" s="576">
        <f t="shared" si="171"/>
        <v>1009058.6899999976</v>
      </c>
      <c r="BF77" s="576">
        <f t="shared" si="172"/>
        <v>1909055.6799999997</v>
      </c>
      <c r="BG77" s="576">
        <f t="shared" si="150"/>
        <v>51302959.200000003</v>
      </c>
      <c r="BH77" s="578">
        <f t="shared" si="150"/>
        <v>47201626.609999999</v>
      </c>
      <c r="BI77" s="578">
        <v>49110682.289999999</v>
      </c>
      <c r="BJ77" s="578">
        <f t="shared" si="173"/>
        <v>-2192276.9100000039</v>
      </c>
      <c r="BK77" s="578">
        <f t="shared" si="174"/>
        <v>1909055.6799999997</v>
      </c>
      <c r="BL77" s="576">
        <f>18372170.35-1271184</f>
        <v>17100986.350000001</v>
      </c>
      <c r="BM77" s="578">
        <f>'[67]Дир_ имущ'!AW15</f>
        <v>16200989.359999999</v>
      </c>
      <c r="BN77" s="522">
        <f t="shared" si="191"/>
        <v>12971258.119999997</v>
      </c>
      <c r="BO77" s="578">
        <f t="shared" si="181"/>
        <v>-4129728.2300000042</v>
      </c>
      <c r="BP77" s="578">
        <f t="shared" si="175"/>
        <v>-3229731.2400000021</v>
      </c>
      <c r="BQ77" s="576">
        <f>18372170.35-1271184</f>
        <v>17100986.350000001</v>
      </c>
      <c r="BR77" s="578">
        <f>'[67]Дир_ имущ'!BB15</f>
        <v>0</v>
      </c>
      <c r="BS77" s="578">
        <f>'[67]Дир_ имущ'!BC15</f>
        <v>0</v>
      </c>
      <c r="BT77" s="536"/>
      <c r="BU77" s="578">
        <v>62081940.409999996</v>
      </c>
      <c r="BV77" s="578"/>
      <c r="BW77" s="578"/>
      <c r="BX77" s="574"/>
      <c r="BY77" s="576">
        <v>62081940.409999996</v>
      </c>
      <c r="BZ77" s="576"/>
      <c r="CA77" s="576"/>
      <c r="CB77" s="522">
        <f t="shared" si="134"/>
        <v>62081940.409999996</v>
      </c>
      <c r="CC77" s="578">
        <f t="shared" si="176"/>
        <v>0</v>
      </c>
      <c r="CD77" s="578"/>
      <c r="CE77" s="578"/>
      <c r="CF77" s="578"/>
      <c r="CG77" s="578"/>
      <c r="CH77" s="578"/>
      <c r="CI77" s="578"/>
      <c r="CJ77" s="578"/>
      <c r="CK77" s="543" t="s">
        <v>1815</v>
      </c>
      <c r="CL77" s="543" t="s">
        <v>1816</v>
      </c>
      <c r="CM77" s="510" t="s">
        <v>1905</v>
      </c>
      <c r="CN77" s="528" t="s">
        <v>1849</v>
      </c>
      <c r="CO77" s="528"/>
      <c r="CP77" s="579">
        <f>U77</f>
        <v>68403945.550000012</v>
      </c>
      <c r="CQ77" s="579"/>
      <c r="CR77" s="579"/>
      <c r="CS77" s="1727"/>
      <c r="CT77" s="1728"/>
      <c r="CU77" s="1728"/>
      <c r="CV77" s="1728"/>
      <c r="CW77" s="1729"/>
      <c r="CX77" s="528"/>
      <c r="CY77" s="528"/>
      <c r="CZ77" s="528"/>
      <c r="DA77" s="528"/>
      <c r="DB77" s="579">
        <f>15502742.05</f>
        <v>15502742.050000001</v>
      </c>
      <c r="DD77" s="535">
        <v>49110682.289999999</v>
      </c>
      <c r="DE77" s="535"/>
      <c r="DF77" s="576">
        <f t="shared" si="88"/>
        <v>62081.940409999996</v>
      </c>
      <c r="DG77" s="576">
        <f t="shared" si="88"/>
        <v>0</v>
      </c>
      <c r="DH77" s="576">
        <f t="shared" si="88"/>
        <v>0</v>
      </c>
      <c r="DI77" s="522">
        <f t="shared" si="88"/>
        <v>62081.940409999996</v>
      </c>
      <c r="DJ77" s="536"/>
      <c r="DK77" s="536"/>
      <c r="DL77" s="536"/>
      <c r="DM77" s="536"/>
      <c r="DN77" s="536"/>
      <c r="DO77" s="536"/>
      <c r="DP77" s="536"/>
      <c r="DQ77" s="536"/>
      <c r="DR77" s="536"/>
      <c r="DS77" s="536"/>
    </row>
    <row r="78" spans="1:123" s="534" customFormat="1" ht="56.4">
      <c r="A78" s="537" t="s">
        <v>1182</v>
      </c>
      <c r="B78" s="538" t="s">
        <v>1183</v>
      </c>
      <c r="C78" s="576">
        <v>4596007.76</v>
      </c>
      <c r="D78" s="576">
        <v>9393734.7799999993</v>
      </c>
      <c r="E78" s="576">
        <v>4524490</v>
      </c>
      <c r="F78" s="576">
        <v>4636361.84</v>
      </c>
      <c r="G78" s="577">
        <v>4140770.0000000005</v>
      </c>
      <c r="H78" s="577">
        <v>0</v>
      </c>
      <c r="I78" s="576">
        <f t="shared" si="185"/>
        <v>4824186.96</v>
      </c>
      <c r="J78" s="576">
        <v>2509782.96</v>
      </c>
      <c r="K78" s="576">
        <v>1157202</v>
      </c>
      <c r="L78" s="576">
        <v>1157202</v>
      </c>
      <c r="M78" s="576">
        <f t="shared" si="186"/>
        <v>3666984.96</v>
      </c>
      <c r="N78" s="576">
        <v>3799529.49</v>
      </c>
      <c r="O78" s="525">
        <f t="shared" si="187"/>
        <v>1197618.1299999999</v>
      </c>
      <c r="P78" s="522">
        <f>4420824.36+576323.26</f>
        <v>4997147.62</v>
      </c>
      <c r="Q78" s="576">
        <f t="shared" si="151"/>
        <v>172960.66000000015</v>
      </c>
      <c r="R78" s="576">
        <f t="shared" si="152"/>
        <v>3.5852810314797665</v>
      </c>
      <c r="S78" s="576">
        <v>5120400</v>
      </c>
      <c r="T78" s="576">
        <v>5120400</v>
      </c>
      <c r="U78" s="522">
        <f t="shared" si="188"/>
        <v>5101490.5199999996</v>
      </c>
      <c r="V78" s="522">
        <f t="shared" si="149"/>
        <v>-18909.480000000447</v>
      </c>
      <c r="W78" s="522">
        <f t="shared" si="153"/>
        <v>-0.36929692992735852</v>
      </c>
      <c r="X78" s="522">
        <f t="shared" si="154"/>
        <v>104342.89999999944</v>
      </c>
      <c r="Y78" s="522">
        <f t="shared" si="155"/>
        <v>2.0880491819451237</v>
      </c>
      <c r="Z78" s="524">
        <f t="shared" si="156"/>
        <v>22853443.280000001</v>
      </c>
      <c r="AA78" s="522">
        <f t="shared" si="157"/>
        <v>17733043.280000001</v>
      </c>
      <c r="AB78" s="522">
        <f t="shared" si="158"/>
        <v>346.32144519959382</v>
      </c>
      <c r="AC78" s="522">
        <f t="shared" si="159"/>
        <v>17751952.760000002</v>
      </c>
      <c r="AD78" s="522">
        <f t="shared" si="160"/>
        <v>347.97580609833227</v>
      </c>
      <c r="AE78" s="522">
        <f t="shared" si="161"/>
        <v>17856295.66</v>
      </c>
      <c r="AF78" s="522">
        <f t="shared" si="162"/>
        <v>357.32976125288047</v>
      </c>
      <c r="AG78" s="522">
        <f t="shared" si="177"/>
        <v>22739184.769999996</v>
      </c>
      <c r="AH78" s="522">
        <f t="shared" si="163"/>
        <v>17637694.249999996</v>
      </c>
      <c r="AI78" s="522">
        <f t="shared" si="164"/>
        <v>345.73609773168801</v>
      </c>
      <c r="AJ78" s="522">
        <f t="shared" si="165"/>
        <v>-114258.51000000536</v>
      </c>
      <c r="AK78" s="522">
        <f t="shared" si="133"/>
        <v>-0.4999619033338405</v>
      </c>
      <c r="AL78" s="522">
        <f t="shared" si="189"/>
        <v>22739184.77</v>
      </c>
      <c r="AM78" s="522">
        <f t="shared" si="72"/>
        <v>2550745.2599999998</v>
      </c>
      <c r="AN78" s="522">
        <f t="shared" si="72"/>
        <v>5759100.0800000001</v>
      </c>
      <c r="AO78" s="522">
        <f t="shared" si="166"/>
        <v>3208354.8200000003</v>
      </c>
      <c r="AP78" s="522">
        <f t="shared" si="178"/>
        <v>125.78107544929833</v>
      </c>
      <c r="AQ78" s="578">
        <f>1211814.64+63557.99</f>
        <v>1275372.6299999999</v>
      </c>
      <c r="AR78" s="578">
        <v>1314505.6199999999</v>
      </c>
      <c r="AS78" s="578">
        <f>1211814.64+63557.99</f>
        <v>1275372.6299999999</v>
      </c>
      <c r="AT78" s="578">
        <v>4444594.46</v>
      </c>
      <c r="AU78" s="578">
        <f t="shared" si="79"/>
        <v>2550745.2599999998</v>
      </c>
      <c r="AV78" s="578">
        <f t="shared" si="79"/>
        <v>17094343.199999999</v>
      </c>
      <c r="AW78" s="578">
        <f t="shared" si="167"/>
        <v>14543597.939999999</v>
      </c>
      <c r="AX78" s="578">
        <f t="shared" si="168"/>
        <v>570.17053674736621</v>
      </c>
      <c r="AY78" s="578">
        <f t="shared" si="82"/>
        <v>16980084.689999998</v>
      </c>
      <c r="AZ78" s="578">
        <f t="shared" si="169"/>
        <v>114258.51000000164</v>
      </c>
      <c r="BA78" s="578">
        <f t="shared" si="170"/>
        <v>0.67289717387153303</v>
      </c>
      <c r="BB78" s="578">
        <f>1211814.64+63557.99</f>
        <v>1275372.6299999999</v>
      </c>
      <c r="BC78" s="576">
        <f>'[67]Дир_ имущ'!AT16</f>
        <v>8547171.5999999996</v>
      </c>
      <c r="BD78" s="576">
        <f t="shared" si="190"/>
        <v>8321555.4900000002</v>
      </c>
      <c r="BE78" s="576">
        <f t="shared" si="171"/>
        <v>7046182.8600000003</v>
      </c>
      <c r="BF78" s="576">
        <f t="shared" si="172"/>
        <v>-225616.1099999994</v>
      </c>
      <c r="BG78" s="576">
        <f t="shared" si="150"/>
        <v>3826117.8899999997</v>
      </c>
      <c r="BH78" s="578">
        <f t="shared" si="150"/>
        <v>14306271.68</v>
      </c>
      <c r="BI78" s="578">
        <f>783887.04+13296768.53</f>
        <v>14080655.57</v>
      </c>
      <c r="BJ78" s="578">
        <f t="shared" si="173"/>
        <v>10254537.68</v>
      </c>
      <c r="BK78" s="578">
        <f t="shared" si="174"/>
        <v>-225616.1099999994</v>
      </c>
      <c r="BL78" s="576">
        <f>1211814.64+63557.99</f>
        <v>1275372.6299999999</v>
      </c>
      <c r="BM78" s="578">
        <f>'[67]Дир_ имущ'!AW16</f>
        <v>8547171.5999999996</v>
      </c>
      <c r="BN78" s="522">
        <f t="shared" si="191"/>
        <v>8658529.1999999993</v>
      </c>
      <c r="BO78" s="578">
        <f t="shared" si="181"/>
        <v>7383156.5699999994</v>
      </c>
      <c r="BP78" s="578">
        <f t="shared" si="175"/>
        <v>111357.59999999963</v>
      </c>
      <c r="BQ78" s="576">
        <f>1211814.64+63557.99</f>
        <v>1275372.6299999999</v>
      </c>
      <c r="BR78" s="578">
        <f>'[67]Дир_ имущ'!BB16</f>
        <v>0</v>
      </c>
      <c r="BS78" s="578">
        <f>'[67]Дир_ имущ'!BC16</f>
        <v>0</v>
      </c>
      <c r="BT78" s="536"/>
      <c r="BU78" s="578">
        <v>1045182.72</v>
      </c>
      <c r="BV78" s="578">
        <v>21694002.050000001</v>
      </c>
      <c r="BW78" s="578"/>
      <c r="BX78" s="574"/>
      <c r="BY78" s="525">
        <f>1042023.87+21694002.05</f>
        <v>22736025.920000002</v>
      </c>
      <c r="BZ78" s="525">
        <v>2692.12</v>
      </c>
      <c r="CA78" s="525">
        <v>466.73</v>
      </c>
      <c r="CB78" s="522">
        <f t="shared" si="134"/>
        <v>22739184.770000003</v>
      </c>
      <c r="CC78" s="522">
        <f t="shared" si="176"/>
        <v>0</v>
      </c>
      <c r="CD78" s="578"/>
      <c r="CE78" s="578"/>
      <c r="CF78" s="578"/>
      <c r="CG78" s="578"/>
      <c r="CH78" s="578"/>
      <c r="CI78" s="578"/>
      <c r="CJ78" s="578"/>
      <c r="CK78" s="543" t="s">
        <v>1815</v>
      </c>
      <c r="CL78" s="543" t="s">
        <v>1816</v>
      </c>
      <c r="CM78" s="510" t="s">
        <v>1905</v>
      </c>
      <c r="CN78" s="528" t="s">
        <v>1849</v>
      </c>
      <c r="CO78" s="528"/>
      <c r="CP78" s="544">
        <f>U78*$CU$7/100</f>
        <v>4706739.4806560185</v>
      </c>
      <c r="CQ78" s="544">
        <f>U78*$CU$8/100</f>
        <v>345725.37019026536</v>
      </c>
      <c r="CR78" s="544">
        <f>U78*$CU$9/100</f>
        <v>49025.669153715513</v>
      </c>
      <c r="CS78" s="1709" t="s">
        <v>1826</v>
      </c>
      <c r="CT78" s="1710"/>
      <c r="CU78" s="1710"/>
      <c r="CV78" s="1710"/>
      <c r="CW78" s="1711"/>
      <c r="CX78" s="528"/>
      <c r="CY78" s="528"/>
      <c r="CZ78" s="528"/>
      <c r="DA78" s="528"/>
      <c r="DB78" s="579">
        <f>261295.68+1053209.94</f>
        <v>1314505.6199999999</v>
      </c>
      <c r="DD78" s="535">
        <f>783887.04</f>
        <v>783887.04</v>
      </c>
      <c r="DE78" s="535"/>
      <c r="DF78" s="525">
        <f t="shared" si="88"/>
        <v>22736.02592</v>
      </c>
      <c r="DG78" s="525">
        <f t="shared" si="88"/>
        <v>2.6921200000000001</v>
      </c>
      <c r="DH78" s="525">
        <f t="shared" si="88"/>
        <v>0.46673000000000003</v>
      </c>
      <c r="DI78" s="522">
        <f t="shared" si="88"/>
        <v>22739.184770000003</v>
      </c>
      <c r="DJ78" s="536"/>
      <c r="DK78" s="536"/>
      <c r="DL78" s="536"/>
      <c r="DM78" s="536"/>
      <c r="DN78" s="536"/>
      <c r="DO78" s="536"/>
      <c r="DP78" s="536"/>
      <c r="DQ78" s="536"/>
      <c r="DR78" s="536"/>
      <c r="DS78" s="536"/>
    </row>
    <row r="79" spans="1:123" s="534" customFormat="1" ht="58.5" customHeight="1">
      <c r="A79" s="537" t="s">
        <v>1187</v>
      </c>
      <c r="B79" s="538" t="s">
        <v>1188</v>
      </c>
      <c r="C79" s="576">
        <v>13795284.550000001</v>
      </c>
      <c r="D79" s="576">
        <v>2946409.24</v>
      </c>
      <c r="E79" s="576">
        <v>11186890</v>
      </c>
      <c r="F79" s="576">
        <v>9292293.1899999995</v>
      </c>
      <c r="G79" s="577">
        <v>13727381.290326264</v>
      </c>
      <c r="H79" s="577">
        <v>0</v>
      </c>
      <c r="I79" s="576">
        <f t="shared" si="185"/>
        <v>7261856.5499999998</v>
      </c>
      <c r="J79" s="576">
        <v>2850716.85</v>
      </c>
      <c r="K79" s="576">
        <v>2772864.67</v>
      </c>
      <c r="L79" s="576">
        <v>1638275.03</v>
      </c>
      <c r="M79" s="576">
        <f t="shared" si="186"/>
        <v>5623581.5199999996</v>
      </c>
      <c r="N79" s="576">
        <v>4347710.5999999996</v>
      </c>
      <c r="O79" s="525">
        <f t="shared" si="187"/>
        <v>1435212.2000000002</v>
      </c>
      <c r="P79" s="522">
        <f>5772452.46+10470.34</f>
        <v>5782922.7999999998</v>
      </c>
      <c r="Q79" s="576">
        <f t="shared" si="151"/>
        <v>-1478933.75</v>
      </c>
      <c r="R79" s="576">
        <f t="shared" si="152"/>
        <v>-20.36578029071643</v>
      </c>
      <c r="S79" s="576">
        <v>12796040</v>
      </c>
      <c r="T79" s="576">
        <v>12796040</v>
      </c>
      <c r="U79" s="522">
        <f t="shared" si="188"/>
        <v>8113838.7200000007</v>
      </c>
      <c r="V79" s="522">
        <f t="shared" si="149"/>
        <v>-4682201.2799999993</v>
      </c>
      <c r="W79" s="522">
        <f t="shared" si="153"/>
        <v>-36.591017846146144</v>
      </c>
      <c r="X79" s="522">
        <f t="shared" si="154"/>
        <v>2330915.9200000009</v>
      </c>
      <c r="Y79" s="522">
        <f t="shared" si="155"/>
        <v>40.306882879363371</v>
      </c>
      <c r="Z79" s="524">
        <f t="shared" si="156"/>
        <v>9823935.9900000002</v>
      </c>
      <c r="AA79" s="522">
        <f t="shared" si="157"/>
        <v>-2972104.01</v>
      </c>
      <c r="AB79" s="522">
        <f t="shared" si="158"/>
        <v>-23.226748353396829</v>
      </c>
      <c r="AC79" s="522">
        <f t="shared" si="159"/>
        <v>1710097.2699999996</v>
      </c>
      <c r="AD79" s="522">
        <f t="shared" si="160"/>
        <v>21.076303449127451</v>
      </c>
      <c r="AE79" s="522">
        <f t="shared" si="161"/>
        <v>4041013.1900000004</v>
      </c>
      <c r="AF79" s="522">
        <f t="shared" si="162"/>
        <v>69.878387275029866</v>
      </c>
      <c r="AG79" s="522">
        <f t="shared" si="177"/>
        <v>8444741.4499999993</v>
      </c>
      <c r="AH79" s="522">
        <f t="shared" si="163"/>
        <v>330902.72999999858</v>
      </c>
      <c r="AI79" s="522">
        <f t="shared" si="164"/>
        <v>4.0782512620610447</v>
      </c>
      <c r="AJ79" s="522">
        <f t="shared" si="165"/>
        <v>-1379194.540000001</v>
      </c>
      <c r="AK79" s="522">
        <f t="shared" si="133"/>
        <v>-14.039123844087669</v>
      </c>
      <c r="AL79" s="522">
        <f t="shared" si="189"/>
        <v>8444741.4499999993</v>
      </c>
      <c r="AM79" s="522">
        <f t="shared" si="72"/>
        <v>4051904.6</v>
      </c>
      <c r="AN79" s="522">
        <f t="shared" si="72"/>
        <v>3041389.21</v>
      </c>
      <c r="AO79" s="522">
        <f t="shared" si="166"/>
        <v>-1010515.3900000001</v>
      </c>
      <c r="AP79" s="522">
        <f t="shared" si="178"/>
        <v>-24.939269053866681</v>
      </c>
      <c r="AQ79" s="578">
        <v>2024278.51</v>
      </c>
      <c r="AR79" s="578">
        <v>1550099.26</v>
      </c>
      <c r="AS79" s="578">
        <v>2027626.09</v>
      </c>
      <c r="AT79" s="578">
        <v>1491289.95</v>
      </c>
      <c r="AU79" s="578">
        <f t="shared" si="79"/>
        <v>4061934.12</v>
      </c>
      <c r="AV79" s="578">
        <f t="shared" si="79"/>
        <v>6782546.7800000003</v>
      </c>
      <c r="AW79" s="578">
        <f t="shared" si="167"/>
        <v>2720612.66</v>
      </c>
      <c r="AX79" s="578">
        <f t="shared" si="168"/>
        <v>66.978256653753903</v>
      </c>
      <c r="AY79" s="578">
        <f t="shared" si="82"/>
        <v>5403352.2399999993</v>
      </c>
      <c r="AZ79" s="578">
        <f t="shared" si="169"/>
        <v>1379194.540000001</v>
      </c>
      <c r="BA79" s="578">
        <f t="shared" si="170"/>
        <v>25.524794215525759</v>
      </c>
      <c r="BB79" s="578">
        <v>2030967.06</v>
      </c>
      <c r="BC79" s="576">
        <f>'[67]Дир_ имущ'!AT17</f>
        <v>3391273.39</v>
      </c>
      <c r="BD79" s="576">
        <f t="shared" si="190"/>
        <v>2403479.25</v>
      </c>
      <c r="BE79" s="576">
        <f t="shared" si="171"/>
        <v>372512.18999999994</v>
      </c>
      <c r="BF79" s="576">
        <f t="shared" si="172"/>
        <v>-987794.14000000013</v>
      </c>
      <c r="BG79" s="576">
        <f t="shared" si="150"/>
        <v>6082871.6600000001</v>
      </c>
      <c r="BH79" s="578">
        <f t="shared" si="150"/>
        <v>6432662.5999999996</v>
      </c>
      <c r="BI79" s="578">
        <v>5444868.46</v>
      </c>
      <c r="BJ79" s="578">
        <f t="shared" si="173"/>
        <v>-638003.20000000019</v>
      </c>
      <c r="BK79" s="578">
        <f t="shared" si="174"/>
        <v>-987794.13999999966</v>
      </c>
      <c r="BL79" s="576">
        <v>2030967.06</v>
      </c>
      <c r="BM79" s="578">
        <f>'[67]Дир_ имущ'!AW17</f>
        <v>3391273.39</v>
      </c>
      <c r="BN79" s="522">
        <f t="shared" si="191"/>
        <v>2999872.9899999993</v>
      </c>
      <c r="BO79" s="578">
        <f t="shared" si="181"/>
        <v>968905.92999999924</v>
      </c>
      <c r="BP79" s="578">
        <f t="shared" si="175"/>
        <v>-391400.40000000084</v>
      </c>
      <c r="BQ79" s="576">
        <v>2030967.06</v>
      </c>
      <c r="BR79" s="578">
        <f>'[67]Дир_ имущ'!BB17</f>
        <v>0</v>
      </c>
      <c r="BS79" s="578">
        <f>'[67]Дир_ имущ'!BC17</f>
        <v>0</v>
      </c>
      <c r="BT79" s="536"/>
      <c r="BU79" s="578">
        <v>8444741.4499999993</v>
      </c>
      <c r="BV79" s="578"/>
      <c r="BW79" s="578"/>
      <c r="BX79" s="574"/>
      <c r="BY79" s="525">
        <v>8431750.2699999996</v>
      </c>
      <c r="BZ79" s="576">
        <v>9871.41</v>
      </c>
      <c r="CA79" s="576">
        <v>3119.77</v>
      </c>
      <c r="CB79" s="522">
        <f t="shared" si="134"/>
        <v>8444741.4499999993</v>
      </c>
      <c r="CC79" s="578">
        <f t="shared" si="176"/>
        <v>0</v>
      </c>
      <c r="CD79" s="578"/>
      <c r="CE79" s="578"/>
      <c r="CF79" s="578"/>
      <c r="CG79" s="578"/>
      <c r="CH79" s="578"/>
      <c r="CI79" s="578"/>
      <c r="CJ79" s="578"/>
      <c r="CK79" s="543" t="s">
        <v>1815</v>
      </c>
      <c r="CL79" s="543" t="s">
        <v>1816</v>
      </c>
      <c r="CM79" s="510" t="s">
        <v>1905</v>
      </c>
      <c r="CN79" s="528" t="s">
        <v>1849</v>
      </c>
      <c r="CO79" s="528"/>
      <c r="CP79" s="544">
        <f>U79</f>
        <v>8113838.7200000007</v>
      </c>
      <c r="CQ79" s="579"/>
      <c r="CR79" s="579"/>
      <c r="CS79" s="1727"/>
      <c r="CT79" s="1728"/>
      <c r="CU79" s="1728"/>
      <c r="CV79" s="1728"/>
      <c r="CW79" s="1729"/>
      <c r="CX79" s="528"/>
      <c r="CY79" s="528"/>
      <c r="CZ79" s="528"/>
      <c r="DA79" s="528"/>
      <c r="DB79" s="579">
        <f>1550099.26</f>
        <v>1550099.26</v>
      </c>
      <c r="DD79" s="535">
        <f>5444868.46</f>
        <v>5444868.46</v>
      </c>
      <c r="DE79" s="535"/>
      <c r="DF79" s="525">
        <f t="shared" si="88"/>
        <v>8431.7502700000005</v>
      </c>
      <c r="DG79" s="576">
        <f t="shared" si="88"/>
        <v>9.8714099999999991</v>
      </c>
      <c r="DH79" s="576">
        <f t="shared" si="88"/>
        <v>3.1197699999999999</v>
      </c>
      <c r="DI79" s="522">
        <f t="shared" si="88"/>
        <v>8444.7414499999995</v>
      </c>
      <c r="DJ79" s="536"/>
      <c r="DK79" s="536"/>
      <c r="DL79" s="536"/>
      <c r="DM79" s="536"/>
      <c r="DN79" s="536"/>
      <c r="DO79" s="536"/>
      <c r="DP79" s="536"/>
      <c r="DQ79" s="536"/>
      <c r="DR79" s="536"/>
      <c r="DS79" s="536"/>
    </row>
    <row r="80" spans="1:123" s="534" customFormat="1" ht="56.4">
      <c r="A80" s="537" t="s">
        <v>1192</v>
      </c>
      <c r="B80" s="538" t="s">
        <v>1193</v>
      </c>
      <c r="C80" s="576">
        <v>120114377.06999999</v>
      </c>
      <c r="D80" s="576">
        <v>143441523.97</v>
      </c>
      <c r="E80" s="576">
        <v>128911640</v>
      </c>
      <c r="F80" s="576">
        <v>115680124.13</v>
      </c>
      <c r="G80" s="577">
        <v>120738581.12</v>
      </c>
      <c r="H80" s="577">
        <v>0</v>
      </c>
      <c r="I80" s="576">
        <f t="shared" si="185"/>
        <v>121601572.20999999</v>
      </c>
      <c r="J80" s="576">
        <v>60139632.209999993</v>
      </c>
      <c r="K80" s="576">
        <v>30730970</v>
      </c>
      <c r="L80" s="576">
        <v>30730970</v>
      </c>
      <c r="M80" s="576">
        <f t="shared" si="186"/>
        <v>90870602.209999993</v>
      </c>
      <c r="N80" s="576">
        <v>88154316.319999993</v>
      </c>
      <c r="O80" s="525">
        <f t="shared" si="187"/>
        <v>29079564.969999999</v>
      </c>
      <c r="P80" s="522">
        <f>117518285.05+43566.88-327970.64</f>
        <v>117233881.28999999</v>
      </c>
      <c r="Q80" s="576">
        <f t="shared" si="151"/>
        <v>-4367690.9200000018</v>
      </c>
      <c r="R80" s="576">
        <f t="shared" si="152"/>
        <v>-3.5918046457962021</v>
      </c>
      <c r="S80" s="576">
        <v>112419271.22059998</v>
      </c>
      <c r="T80" s="576">
        <v>112419271.22059998</v>
      </c>
      <c r="U80" s="522">
        <f t="shared" si="188"/>
        <v>127054554.93000001</v>
      </c>
      <c r="V80" s="522">
        <f t="shared" si="149"/>
        <v>14635283.709400028</v>
      </c>
      <c r="W80" s="522">
        <f t="shared" si="153"/>
        <v>13.018482997173365</v>
      </c>
      <c r="X80" s="522">
        <f t="shared" si="154"/>
        <v>9820673.6400000155</v>
      </c>
      <c r="Y80" s="522">
        <f t="shared" si="155"/>
        <v>8.376992667935923</v>
      </c>
      <c r="Z80" s="524">
        <f t="shared" si="156"/>
        <v>121449373.66</v>
      </c>
      <c r="AA80" s="522">
        <f t="shared" si="157"/>
        <v>9030102.4394000173</v>
      </c>
      <c r="AB80" s="522">
        <f t="shared" si="158"/>
        <v>8.0325217743853585</v>
      </c>
      <c r="AC80" s="522">
        <f t="shared" si="159"/>
        <v>-5605181.2700000107</v>
      </c>
      <c r="AD80" s="522">
        <f t="shared" si="160"/>
        <v>-4.4116334696447126</v>
      </c>
      <c r="AE80" s="522">
        <f t="shared" si="161"/>
        <v>4215492.3700000048</v>
      </c>
      <c r="AF80" s="522">
        <f t="shared" si="162"/>
        <v>3.5957969860028811</v>
      </c>
      <c r="AG80" s="522">
        <f t="shared" si="177"/>
        <v>120149259.04000001</v>
      </c>
      <c r="AH80" s="522">
        <f t="shared" si="163"/>
        <v>-6905295.8900000006</v>
      </c>
      <c r="AI80" s="522">
        <f t="shared" si="164"/>
        <v>-5.4349062052945953</v>
      </c>
      <c r="AJ80" s="522">
        <f t="shared" si="165"/>
        <v>-1300114.6199999899</v>
      </c>
      <c r="AK80" s="522">
        <f t="shared" si="133"/>
        <v>-1.0704992383408154</v>
      </c>
      <c r="AL80" s="522">
        <f t="shared" si="189"/>
        <v>120149259.04000001</v>
      </c>
      <c r="AM80" s="522">
        <f t="shared" si="72"/>
        <v>63527277.450000003</v>
      </c>
      <c r="AN80" s="522">
        <f t="shared" si="72"/>
        <v>61064243.32</v>
      </c>
      <c r="AO80" s="522">
        <f t="shared" si="166"/>
        <v>-2463034.1300000027</v>
      </c>
      <c r="AP80" s="522">
        <f t="shared" si="178"/>
        <v>-3.8771284224144011</v>
      </c>
      <c r="AQ80" s="578">
        <f>30556012.73+1207625.98</f>
        <v>31763638.710000001</v>
      </c>
      <c r="AR80" s="578">
        <v>31267300.170000002</v>
      </c>
      <c r="AS80" s="578">
        <f>30556012.73+1207626.01</f>
        <v>31763638.740000002</v>
      </c>
      <c r="AT80" s="578">
        <v>29796943.149999999</v>
      </c>
      <c r="AU80" s="578">
        <f t="shared" si="79"/>
        <v>63527277.480000004</v>
      </c>
      <c r="AV80" s="578">
        <f t="shared" si="79"/>
        <v>60385130.340000004</v>
      </c>
      <c r="AW80" s="578">
        <f t="shared" si="167"/>
        <v>-3142147.1400000006</v>
      </c>
      <c r="AX80" s="578">
        <f t="shared" si="168"/>
        <v>-4.9461385166226108</v>
      </c>
      <c r="AY80" s="578">
        <f t="shared" si="82"/>
        <v>59085015.720000006</v>
      </c>
      <c r="AZ80" s="578">
        <f t="shared" si="169"/>
        <v>1300114.6199999973</v>
      </c>
      <c r="BA80" s="578">
        <f t="shared" si="170"/>
        <v>2.2004134282728387</v>
      </c>
      <c r="BB80" s="578">
        <f>30556012.73+1207626.01</f>
        <v>31763638.740000002</v>
      </c>
      <c r="BC80" s="576">
        <f>'[67]Дир_ имущ'!AT18</f>
        <v>30192565.170000002</v>
      </c>
      <c r="BD80" s="576">
        <f t="shared" si="190"/>
        <v>29225329.410000004</v>
      </c>
      <c r="BE80" s="576">
        <f t="shared" si="171"/>
        <v>-2538309.3299999982</v>
      </c>
      <c r="BF80" s="576">
        <f t="shared" si="172"/>
        <v>-967235.75999999791</v>
      </c>
      <c r="BG80" s="576">
        <f t="shared" si="150"/>
        <v>95290916.189999998</v>
      </c>
      <c r="BH80" s="578">
        <f t="shared" si="150"/>
        <v>91256808.49000001</v>
      </c>
      <c r="BI80" s="578">
        <v>90289572.730000004</v>
      </c>
      <c r="BJ80" s="578">
        <f t="shared" si="173"/>
        <v>-5001343.4599999934</v>
      </c>
      <c r="BK80" s="578">
        <f t="shared" si="174"/>
        <v>-967235.76000000536</v>
      </c>
      <c r="BL80" s="576">
        <f>30556012.73+1207626.01</f>
        <v>31763638.740000002</v>
      </c>
      <c r="BM80" s="578">
        <f>'[67]Дир_ имущ'!AW18</f>
        <v>30192565.170000002</v>
      </c>
      <c r="BN80" s="522">
        <f t="shared" si="191"/>
        <v>29859686.310000002</v>
      </c>
      <c r="BO80" s="578">
        <f t="shared" si="181"/>
        <v>-1903952.4299999997</v>
      </c>
      <c r="BP80" s="578">
        <f t="shared" si="175"/>
        <v>-332878.8599999994</v>
      </c>
      <c r="BQ80" s="576">
        <f>30556012.73+1207626.01</f>
        <v>31763638.740000002</v>
      </c>
      <c r="BR80" s="578">
        <f>'[67]Дир_ имущ'!BB18</f>
        <v>0</v>
      </c>
      <c r="BS80" s="578">
        <f>'[67]Дир_ имущ'!BC18</f>
        <v>0</v>
      </c>
      <c r="BT80" s="536"/>
      <c r="BU80" s="578">
        <v>120149259.04000001</v>
      </c>
      <c r="BV80" s="578"/>
      <c r="BW80" s="578"/>
      <c r="BX80" s="574"/>
      <c r="BY80" s="525">
        <v>118045646.34</v>
      </c>
      <c r="BZ80" s="576">
        <v>1773472.9</v>
      </c>
      <c r="CA80" s="576">
        <v>330139.8</v>
      </c>
      <c r="CB80" s="522">
        <f t="shared" si="134"/>
        <v>120149259.04000001</v>
      </c>
      <c r="CC80" s="578">
        <f t="shared" si="176"/>
        <v>0</v>
      </c>
      <c r="CD80" s="578"/>
      <c r="CE80" s="578"/>
      <c r="CF80" s="578"/>
      <c r="CG80" s="578"/>
      <c r="CH80" s="578"/>
      <c r="CI80" s="578"/>
      <c r="CJ80" s="578"/>
      <c r="CK80" s="543" t="s">
        <v>1815</v>
      </c>
      <c r="CL80" s="543" t="s">
        <v>1816</v>
      </c>
      <c r="CM80" s="510" t="s">
        <v>1905</v>
      </c>
      <c r="CN80" s="528" t="s">
        <v>1849</v>
      </c>
      <c r="CO80" s="528"/>
      <c r="CP80" s="544">
        <f>U80</f>
        <v>127054554.93000001</v>
      </c>
      <c r="CQ80" s="579"/>
      <c r="CR80" s="579"/>
      <c r="CS80" s="1727"/>
      <c r="CT80" s="1728"/>
      <c r="CU80" s="1728"/>
      <c r="CV80" s="1728"/>
      <c r="CW80" s="1729"/>
      <c r="CX80" s="528"/>
      <c r="CY80" s="528"/>
      <c r="CZ80" s="528"/>
      <c r="DA80" s="528"/>
      <c r="DB80" s="579">
        <f>31267300.17</f>
        <v>31267300.170000002</v>
      </c>
      <c r="DD80" s="535">
        <v>90289572.730000004</v>
      </c>
      <c r="DE80" s="535"/>
      <c r="DF80" s="525">
        <f t="shared" si="88"/>
        <v>118045.64634000001</v>
      </c>
      <c r="DG80" s="576">
        <f t="shared" si="88"/>
        <v>1773.4729</v>
      </c>
      <c r="DH80" s="576">
        <f t="shared" si="88"/>
        <v>330.13979999999998</v>
      </c>
      <c r="DI80" s="522">
        <f t="shared" si="88"/>
        <v>120149.25904</v>
      </c>
      <c r="DJ80" s="536"/>
      <c r="DK80" s="536"/>
      <c r="DL80" s="536"/>
      <c r="DM80" s="536"/>
      <c r="DN80" s="536"/>
      <c r="DO80" s="536"/>
      <c r="DP80" s="536"/>
      <c r="DQ80" s="536"/>
      <c r="DR80" s="536"/>
      <c r="DS80" s="536"/>
    </row>
    <row r="81" spans="1:123" s="623" customFormat="1" ht="56.4">
      <c r="A81" s="537" t="s">
        <v>1197</v>
      </c>
      <c r="B81" s="538" t="s">
        <v>1198</v>
      </c>
      <c r="C81" s="576">
        <v>5918537.9000000004</v>
      </c>
      <c r="D81" s="576">
        <v>11689888.880000001</v>
      </c>
      <c r="E81" s="576">
        <v>1216952.52</v>
      </c>
      <c r="F81" s="576">
        <v>1678384.2</v>
      </c>
      <c r="G81" s="577">
        <v>1769020</v>
      </c>
      <c r="H81" s="577">
        <v>0</v>
      </c>
      <c r="I81" s="576">
        <f t="shared" si="185"/>
        <v>476544.32</v>
      </c>
      <c r="J81" s="576">
        <v>0</v>
      </c>
      <c r="K81" s="576">
        <v>238272.16</v>
      </c>
      <c r="L81" s="576">
        <v>238272.16</v>
      </c>
      <c r="M81" s="576">
        <f t="shared" si="186"/>
        <v>238272.16</v>
      </c>
      <c r="N81" s="576">
        <v>714813.57</v>
      </c>
      <c r="O81" s="525">
        <f t="shared" si="187"/>
        <v>-714813.57</v>
      </c>
      <c r="P81" s="522"/>
      <c r="Q81" s="576">
        <f t="shared" si="151"/>
        <v>-476544.32</v>
      </c>
      <c r="R81" s="576">
        <f t="shared" si="152"/>
        <v>-100</v>
      </c>
      <c r="S81" s="576">
        <v>1723173.6999999997</v>
      </c>
      <c r="T81" s="576">
        <v>1723173.6999999997</v>
      </c>
      <c r="U81" s="522">
        <f t="shared" si="188"/>
        <v>953084.76</v>
      </c>
      <c r="V81" s="522">
        <f t="shared" si="149"/>
        <v>-770088.93999999971</v>
      </c>
      <c r="W81" s="522">
        <f t="shared" si="153"/>
        <v>-44.690151666079849</v>
      </c>
      <c r="X81" s="522">
        <f t="shared" si="154"/>
        <v>953084.76</v>
      </c>
      <c r="Y81" s="522">
        <v>0</v>
      </c>
      <c r="Z81" s="524">
        <f t="shared" si="156"/>
        <v>476542.38</v>
      </c>
      <c r="AA81" s="522">
        <f t="shared" si="157"/>
        <v>-1246631.3199999998</v>
      </c>
      <c r="AB81" s="522">
        <f t="shared" si="158"/>
        <v>-72.345075833039928</v>
      </c>
      <c r="AC81" s="522">
        <f t="shared" si="159"/>
        <v>-476542.38</v>
      </c>
      <c r="AD81" s="522">
        <f t="shared" si="160"/>
        <v>-50</v>
      </c>
      <c r="AE81" s="522">
        <f t="shared" si="161"/>
        <v>476542.38</v>
      </c>
      <c r="AF81" s="522">
        <v>0</v>
      </c>
      <c r="AG81" s="522">
        <f t="shared" si="177"/>
        <v>0</v>
      </c>
      <c r="AH81" s="522">
        <f t="shared" si="163"/>
        <v>-953084.76</v>
      </c>
      <c r="AI81" s="522">
        <f t="shared" si="164"/>
        <v>-100</v>
      </c>
      <c r="AJ81" s="522">
        <f t="shared" si="165"/>
        <v>-476542.38</v>
      </c>
      <c r="AK81" s="522">
        <f t="shared" si="133"/>
        <v>-100</v>
      </c>
      <c r="AL81" s="522">
        <f t="shared" si="189"/>
        <v>0</v>
      </c>
      <c r="AM81" s="522">
        <f t="shared" si="72"/>
        <v>476542.38</v>
      </c>
      <c r="AN81" s="522">
        <f t="shared" si="72"/>
        <v>0</v>
      </c>
      <c r="AO81" s="522">
        <f t="shared" si="166"/>
        <v>-476542.38</v>
      </c>
      <c r="AP81" s="522">
        <f t="shared" si="178"/>
        <v>-100</v>
      </c>
      <c r="AQ81" s="578">
        <v>238271.19</v>
      </c>
      <c r="AR81" s="578">
        <v>0</v>
      </c>
      <c r="AS81" s="578">
        <v>238271.19</v>
      </c>
      <c r="AT81" s="578">
        <v>0</v>
      </c>
      <c r="AU81" s="578">
        <f t="shared" si="79"/>
        <v>476542.38</v>
      </c>
      <c r="AV81" s="578">
        <f t="shared" si="79"/>
        <v>476542.38</v>
      </c>
      <c r="AW81" s="578">
        <f t="shared" si="167"/>
        <v>0</v>
      </c>
      <c r="AX81" s="578">
        <f t="shared" si="168"/>
        <v>0</v>
      </c>
      <c r="AY81" s="578">
        <f t="shared" si="82"/>
        <v>0</v>
      </c>
      <c r="AZ81" s="578">
        <f t="shared" si="169"/>
        <v>476542.38</v>
      </c>
      <c r="BA81" s="578" t="e">
        <f t="shared" si="170"/>
        <v>#DIV/0!</v>
      </c>
      <c r="BB81" s="578">
        <v>238271.19</v>
      </c>
      <c r="BC81" s="576">
        <f>'[67]Дир_ имущ'!AT19</f>
        <v>238271.19</v>
      </c>
      <c r="BD81" s="576">
        <f t="shared" si="190"/>
        <v>0</v>
      </c>
      <c r="BE81" s="576">
        <f t="shared" si="171"/>
        <v>-238271.19</v>
      </c>
      <c r="BF81" s="576">
        <f t="shared" si="172"/>
        <v>-238271.19</v>
      </c>
      <c r="BG81" s="576">
        <f t="shared" si="150"/>
        <v>714813.57000000007</v>
      </c>
      <c r="BH81" s="578">
        <f t="shared" si="150"/>
        <v>238271.19</v>
      </c>
      <c r="BI81" s="578"/>
      <c r="BJ81" s="578">
        <f t="shared" si="173"/>
        <v>-714813.57000000007</v>
      </c>
      <c r="BK81" s="578">
        <f t="shared" si="174"/>
        <v>-238271.19</v>
      </c>
      <c r="BL81" s="576">
        <v>238271.19</v>
      </c>
      <c r="BM81" s="578">
        <f>'[67]Дир_ имущ'!AW19</f>
        <v>238271.19</v>
      </c>
      <c r="BN81" s="522">
        <f t="shared" si="191"/>
        <v>0</v>
      </c>
      <c r="BO81" s="578">
        <f t="shared" si="181"/>
        <v>-238271.19</v>
      </c>
      <c r="BP81" s="578">
        <f t="shared" si="175"/>
        <v>-238271.19</v>
      </c>
      <c r="BQ81" s="576">
        <v>238271.19</v>
      </c>
      <c r="BR81" s="578">
        <f>'[67]Дир_ имущ'!BB19</f>
        <v>0</v>
      </c>
      <c r="BS81" s="578">
        <f>'[67]Дир_ имущ'!BC19</f>
        <v>0</v>
      </c>
      <c r="BT81" s="621"/>
      <c r="BU81" s="578"/>
      <c r="BV81" s="578"/>
      <c r="BW81" s="578"/>
      <c r="BX81" s="574"/>
      <c r="BY81" s="525"/>
      <c r="BZ81" s="525"/>
      <c r="CA81" s="525"/>
      <c r="CB81" s="522">
        <f t="shared" si="134"/>
        <v>0</v>
      </c>
      <c r="CC81" s="522">
        <f t="shared" si="176"/>
        <v>0</v>
      </c>
      <c r="CD81" s="578"/>
      <c r="CE81" s="578"/>
      <c r="CF81" s="578"/>
      <c r="CG81" s="578"/>
      <c r="CH81" s="578"/>
      <c r="CI81" s="578"/>
      <c r="CJ81" s="578"/>
      <c r="CK81" s="542" t="s">
        <v>1815</v>
      </c>
      <c r="CL81" s="542" t="s">
        <v>1816</v>
      </c>
      <c r="CM81" s="510" t="s">
        <v>1905</v>
      </c>
      <c r="CN81" s="528" t="s">
        <v>1849</v>
      </c>
      <c r="CO81" s="622"/>
      <c r="CP81" s="544">
        <f>U81*$CU$7/100</f>
        <v>879335.49042517215</v>
      </c>
      <c r="CQ81" s="544">
        <f>U81*$CU$8/100</f>
        <v>64590.060528760951</v>
      </c>
      <c r="CR81" s="544">
        <f>U81*$CU$9/100</f>
        <v>9159.209046066866</v>
      </c>
      <c r="CS81" s="1709" t="s">
        <v>1826</v>
      </c>
      <c r="CT81" s="1710"/>
      <c r="CU81" s="1710"/>
      <c r="CV81" s="1710"/>
      <c r="CW81" s="1711"/>
      <c r="CX81" s="622"/>
      <c r="CY81" s="622"/>
      <c r="CZ81" s="622"/>
      <c r="DA81" s="622"/>
      <c r="DB81" s="579"/>
      <c r="DD81" s="624"/>
      <c r="DE81" s="624"/>
      <c r="DF81" s="525">
        <f t="shared" si="88"/>
        <v>0</v>
      </c>
      <c r="DG81" s="525">
        <f t="shared" si="88"/>
        <v>0</v>
      </c>
      <c r="DH81" s="525">
        <f t="shared" si="88"/>
        <v>0</v>
      </c>
      <c r="DI81" s="522">
        <f t="shared" si="88"/>
        <v>0</v>
      </c>
      <c r="DJ81" s="621"/>
      <c r="DK81" s="621"/>
      <c r="DL81" s="621"/>
      <c r="DM81" s="621"/>
      <c r="DN81" s="621"/>
      <c r="DO81" s="621"/>
      <c r="DP81" s="621"/>
      <c r="DQ81" s="621"/>
      <c r="DR81" s="621"/>
      <c r="DS81" s="621"/>
    </row>
    <row r="82" spans="1:123" s="534" customFormat="1" ht="56.4">
      <c r="A82" s="537" t="s">
        <v>1202</v>
      </c>
      <c r="B82" s="538" t="s">
        <v>1203</v>
      </c>
      <c r="C82" s="576">
        <v>34229251.170000002</v>
      </c>
      <c r="D82" s="576">
        <v>48789236.82</v>
      </c>
      <c r="E82" s="576">
        <v>37728680</v>
      </c>
      <c r="F82" s="576">
        <v>37599429.829999998</v>
      </c>
      <c r="G82" s="577">
        <v>38351500</v>
      </c>
      <c r="H82" s="577">
        <v>0</v>
      </c>
      <c r="I82" s="576">
        <f t="shared" si="185"/>
        <v>37418524.340000004</v>
      </c>
      <c r="J82" s="576">
        <v>17834807.640000001</v>
      </c>
      <c r="K82" s="576">
        <v>9791858.3499999996</v>
      </c>
      <c r="L82" s="576">
        <v>9791858.3499999996</v>
      </c>
      <c r="M82" s="576">
        <f t="shared" si="186"/>
        <v>27626665.990000002</v>
      </c>
      <c r="N82" s="576">
        <v>27742677.629999999</v>
      </c>
      <c r="O82" s="525">
        <f t="shared" si="187"/>
        <v>11384506.680000003</v>
      </c>
      <c r="P82" s="522">
        <v>39127184.310000002</v>
      </c>
      <c r="Q82" s="576">
        <f t="shared" si="151"/>
        <v>1708659.9699999988</v>
      </c>
      <c r="R82" s="576">
        <f t="shared" si="152"/>
        <v>4.5663478187285307</v>
      </c>
      <c r="S82" s="576">
        <v>43428900</v>
      </c>
      <c r="T82" s="576">
        <v>43428900</v>
      </c>
      <c r="U82" s="522">
        <f t="shared" si="188"/>
        <v>42274930.759999998</v>
      </c>
      <c r="V82" s="522">
        <f t="shared" si="149"/>
        <v>-1153969.2400000021</v>
      </c>
      <c r="W82" s="522">
        <f t="shared" si="153"/>
        <v>-2.6571459097513497</v>
      </c>
      <c r="X82" s="522">
        <f t="shared" si="154"/>
        <v>3147746.4499999955</v>
      </c>
      <c r="Y82" s="522">
        <f t="shared" si="155"/>
        <v>8.0449091993453266</v>
      </c>
      <c r="Z82" s="524">
        <f t="shared" si="156"/>
        <v>42476851.599999994</v>
      </c>
      <c r="AA82" s="522">
        <f t="shared" si="157"/>
        <v>-952048.40000000596</v>
      </c>
      <c r="AB82" s="522">
        <f t="shared" si="158"/>
        <v>-2.1922001248017011</v>
      </c>
      <c r="AC82" s="522">
        <f t="shared" si="159"/>
        <v>201920.83999999613</v>
      </c>
      <c r="AD82" s="522">
        <f t="shared" si="160"/>
        <v>0.47763730506460433</v>
      </c>
      <c r="AE82" s="522">
        <f t="shared" si="161"/>
        <v>3349667.2899999917</v>
      </c>
      <c r="AF82" s="522">
        <f t="shared" si="162"/>
        <v>8.5609719919045943</v>
      </c>
      <c r="AG82" s="522">
        <f t="shared" si="177"/>
        <v>42678772.439999998</v>
      </c>
      <c r="AH82" s="522">
        <f t="shared" si="163"/>
        <v>403841.6799999997</v>
      </c>
      <c r="AI82" s="522">
        <f t="shared" si="164"/>
        <v>0.9552746101292513</v>
      </c>
      <c r="AJ82" s="522">
        <f t="shared" si="165"/>
        <v>201920.84000000358</v>
      </c>
      <c r="AK82" s="522">
        <f t="shared" si="133"/>
        <v>0.47536677600655253</v>
      </c>
      <c r="AL82" s="522">
        <f t="shared" si="189"/>
        <v>42678772.439999998</v>
      </c>
      <c r="AM82" s="522">
        <f t="shared" si="72"/>
        <v>21137465.379999999</v>
      </c>
      <c r="AN82" s="522">
        <f t="shared" si="72"/>
        <v>21339386.219999999</v>
      </c>
      <c r="AO82" s="522">
        <f t="shared" si="166"/>
        <v>201920.83999999985</v>
      </c>
      <c r="AP82" s="522">
        <f t="shared" si="178"/>
        <v>0.9552746101292513</v>
      </c>
      <c r="AQ82" s="578">
        <v>10568732.689999999</v>
      </c>
      <c r="AR82" s="578">
        <v>10669693.109999999</v>
      </c>
      <c r="AS82" s="578">
        <v>10568732.689999999</v>
      </c>
      <c r="AT82" s="578">
        <v>10669693.109999999</v>
      </c>
      <c r="AU82" s="578">
        <f t="shared" si="79"/>
        <v>21137465.379999999</v>
      </c>
      <c r="AV82" s="578">
        <f t="shared" si="79"/>
        <v>21137465.379999999</v>
      </c>
      <c r="AW82" s="578">
        <f t="shared" si="167"/>
        <v>0</v>
      </c>
      <c r="AX82" s="578">
        <f t="shared" si="168"/>
        <v>0</v>
      </c>
      <c r="AY82" s="578">
        <f t="shared" si="82"/>
        <v>21339386.219999999</v>
      </c>
      <c r="AZ82" s="578">
        <f t="shared" si="169"/>
        <v>-201920.83999999985</v>
      </c>
      <c r="BA82" s="578">
        <f t="shared" si="170"/>
        <v>-0.9462354629991836</v>
      </c>
      <c r="BB82" s="578">
        <v>10568732.689999999</v>
      </c>
      <c r="BC82" s="576">
        <f>'[67]Дир_ имущ'!AT20</f>
        <v>10568732.689999999</v>
      </c>
      <c r="BD82" s="576">
        <f t="shared" si="190"/>
        <v>10669693.109999999</v>
      </c>
      <c r="BE82" s="576">
        <f t="shared" si="171"/>
        <v>100960.41999999993</v>
      </c>
      <c r="BF82" s="576">
        <f t="shared" si="172"/>
        <v>100960.41999999993</v>
      </c>
      <c r="BG82" s="576">
        <f t="shared" si="150"/>
        <v>31706198.07</v>
      </c>
      <c r="BH82" s="578">
        <f t="shared" si="150"/>
        <v>31908118.909999996</v>
      </c>
      <c r="BI82" s="578">
        <v>32009079.329999998</v>
      </c>
      <c r="BJ82" s="578">
        <f t="shared" si="173"/>
        <v>302881.25999999791</v>
      </c>
      <c r="BK82" s="578">
        <f t="shared" si="174"/>
        <v>100960.42000000179</v>
      </c>
      <c r="BL82" s="576">
        <v>10568732.689999999</v>
      </c>
      <c r="BM82" s="578">
        <f>'[67]Дир_ имущ'!AW20</f>
        <v>10568732.689999999</v>
      </c>
      <c r="BN82" s="522">
        <f t="shared" si="191"/>
        <v>10669693.109999999</v>
      </c>
      <c r="BO82" s="578">
        <f t="shared" si="181"/>
        <v>100960.41999999993</v>
      </c>
      <c r="BP82" s="578">
        <f t="shared" si="175"/>
        <v>100960.41999999993</v>
      </c>
      <c r="BQ82" s="576">
        <v>10568732.689999999</v>
      </c>
      <c r="BR82" s="578">
        <f>'[67]Дир_ имущ'!BB20</f>
        <v>0</v>
      </c>
      <c r="BS82" s="578">
        <f>'[67]Дир_ имущ'!BC20</f>
        <v>0</v>
      </c>
      <c r="BT82" s="536"/>
      <c r="BU82" s="578">
        <v>42678772.439999998</v>
      </c>
      <c r="BV82" s="578"/>
      <c r="BW82" s="578"/>
      <c r="BX82" s="625"/>
      <c r="BY82" s="525">
        <v>42547889.479999997</v>
      </c>
      <c r="BZ82" s="525">
        <v>111712.46</v>
      </c>
      <c r="CA82" s="525">
        <v>19170.5</v>
      </c>
      <c r="CB82" s="522">
        <f t="shared" si="134"/>
        <v>42678772.439999998</v>
      </c>
      <c r="CC82" s="522">
        <f t="shared" si="176"/>
        <v>0</v>
      </c>
      <c r="CD82" s="578"/>
      <c r="CE82" s="578"/>
      <c r="CF82" s="578"/>
      <c r="CG82" s="578"/>
      <c r="CH82" s="578"/>
      <c r="CI82" s="578"/>
      <c r="CJ82" s="578"/>
      <c r="CK82" s="542" t="s">
        <v>1815</v>
      </c>
      <c r="CL82" s="542" t="s">
        <v>1816</v>
      </c>
      <c r="CM82" s="510" t="s">
        <v>1905</v>
      </c>
      <c r="CN82" s="528" t="s">
        <v>1849</v>
      </c>
      <c r="CO82" s="528"/>
      <c r="CP82" s="544">
        <f>U82*$CU$7/100</f>
        <v>39003715.653301179</v>
      </c>
      <c r="CQ82" s="544">
        <f>U82*$CU$8/100</f>
        <v>2864950.1610303563</v>
      </c>
      <c r="CR82" s="544">
        <f>U82*$CU$9/100</f>
        <v>406264.94566846534</v>
      </c>
      <c r="CS82" s="1709" t="s">
        <v>1826</v>
      </c>
      <c r="CT82" s="1710"/>
      <c r="CU82" s="1710"/>
      <c r="CV82" s="1710"/>
      <c r="CW82" s="1711"/>
      <c r="CX82" s="528"/>
      <c r="CY82" s="528"/>
      <c r="CZ82" s="528"/>
      <c r="DA82" s="528"/>
      <c r="DB82" s="579">
        <f>10669693.11</f>
        <v>10669693.109999999</v>
      </c>
      <c r="DD82" s="535">
        <v>32009079.329999998</v>
      </c>
      <c r="DE82" s="535"/>
      <c r="DF82" s="525">
        <f t="shared" si="88"/>
        <v>42547.889479999998</v>
      </c>
      <c r="DG82" s="525">
        <f t="shared" si="88"/>
        <v>111.71246000000001</v>
      </c>
      <c r="DH82" s="525">
        <f t="shared" si="88"/>
        <v>19.170500000000001</v>
      </c>
      <c r="DI82" s="522">
        <f t="shared" si="88"/>
        <v>42678.772440000001</v>
      </c>
      <c r="DJ82" s="536"/>
      <c r="DK82" s="536"/>
      <c r="DL82" s="536"/>
      <c r="DM82" s="536"/>
      <c r="DN82" s="536"/>
      <c r="DO82" s="536"/>
      <c r="DP82" s="536"/>
      <c r="DQ82" s="536"/>
      <c r="DR82" s="536"/>
      <c r="DS82" s="536"/>
    </row>
    <row r="83" spans="1:123" s="534" customFormat="1" ht="61.5" customHeight="1">
      <c r="A83" s="537" t="s">
        <v>1207</v>
      </c>
      <c r="B83" s="538" t="s">
        <v>1208</v>
      </c>
      <c r="C83" s="576">
        <v>119272788.17</v>
      </c>
      <c r="D83" s="576">
        <v>188727606.05000001</v>
      </c>
      <c r="E83" s="576">
        <v>135426310</v>
      </c>
      <c r="F83" s="576">
        <v>133307652.84</v>
      </c>
      <c r="G83" s="626">
        <v>143863890</v>
      </c>
      <c r="H83" s="626">
        <v>0</v>
      </c>
      <c r="I83" s="576">
        <f t="shared" si="185"/>
        <v>136191138.61000001</v>
      </c>
      <c r="J83" s="576">
        <v>67766066.450000018</v>
      </c>
      <c r="K83" s="576">
        <v>34212536.079999998</v>
      </c>
      <c r="L83" s="576">
        <v>34212536.079999998</v>
      </c>
      <c r="M83" s="576">
        <f t="shared" si="186"/>
        <v>101978602.53000002</v>
      </c>
      <c r="N83" s="576">
        <v>101966925.38</v>
      </c>
      <c r="O83" s="525">
        <f t="shared" si="187"/>
        <v>36083812.829999983</v>
      </c>
      <c r="P83" s="522">
        <f>895506.32+137155231.89</f>
        <v>138050738.20999998</v>
      </c>
      <c r="Q83" s="576">
        <f t="shared" si="151"/>
        <v>1859599.5999999642</v>
      </c>
      <c r="R83" s="576">
        <f t="shared" si="152"/>
        <v>1.3654336243748872</v>
      </c>
      <c r="S83" s="576">
        <v>160529340</v>
      </c>
      <c r="T83" s="576">
        <v>160529340</v>
      </c>
      <c r="U83" s="522">
        <f t="shared" si="188"/>
        <v>146497710.80000001</v>
      </c>
      <c r="V83" s="522">
        <f t="shared" si="149"/>
        <v>-14031629.199999988</v>
      </c>
      <c r="W83" s="522">
        <f t="shared" si="153"/>
        <v>-8.7408502395885961</v>
      </c>
      <c r="X83" s="522">
        <f t="shared" si="154"/>
        <v>8446972.5900000334</v>
      </c>
      <c r="Y83" s="522">
        <f t="shared" si="155"/>
        <v>6.1187449625591057</v>
      </c>
      <c r="Z83" s="524">
        <f t="shared" si="156"/>
        <v>149490192.45999998</v>
      </c>
      <c r="AA83" s="522">
        <f t="shared" si="157"/>
        <v>-11039147.540000021</v>
      </c>
      <c r="AB83" s="522">
        <f t="shared" si="158"/>
        <v>-6.8767164556958988</v>
      </c>
      <c r="AC83" s="522">
        <f t="shared" si="159"/>
        <v>2992481.6599999666</v>
      </c>
      <c r="AD83" s="522">
        <f t="shared" si="160"/>
        <v>2.0426815160854801</v>
      </c>
      <c r="AE83" s="522">
        <f t="shared" si="161"/>
        <v>11439454.25</v>
      </c>
      <c r="AF83" s="522">
        <f t="shared" si="162"/>
        <v>8.2864129510112008</v>
      </c>
      <c r="AG83" s="522">
        <f t="shared" si="177"/>
        <v>144911378.89000002</v>
      </c>
      <c r="AH83" s="522">
        <f t="shared" si="163"/>
        <v>-1586331.9099999964</v>
      </c>
      <c r="AI83" s="522">
        <f t="shared" si="164"/>
        <v>-1.0828373367319557</v>
      </c>
      <c r="AJ83" s="522">
        <f t="shared" si="165"/>
        <v>-4578813.569999963</v>
      </c>
      <c r="AK83" s="522">
        <f t="shared" si="133"/>
        <v>-3.0629524884886052</v>
      </c>
      <c r="AL83" s="522">
        <f t="shared" si="189"/>
        <v>144911378.89000002</v>
      </c>
      <c r="AM83" s="522">
        <f t="shared" ref="AM83:AN146" si="192">AQ83+AS83</f>
        <v>73248855.400000006</v>
      </c>
      <c r="AN83" s="522">
        <f t="shared" si="192"/>
        <v>72066647.859999999</v>
      </c>
      <c r="AO83" s="522">
        <f t="shared" si="166"/>
        <v>-1182207.5400000066</v>
      </c>
      <c r="AP83" s="522">
        <f t="shared" si="178"/>
        <v>-1.6139604278376254</v>
      </c>
      <c r="AQ83" s="578">
        <v>36624427.700000003</v>
      </c>
      <c r="AR83" s="578">
        <v>36285093.370000005</v>
      </c>
      <c r="AS83" s="578">
        <v>36624427.700000003</v>
      </c>
      <c r="AT83" s="578">
        <v>35781554.489999995</v>
      </c>
      <c r="AU83" s="578">
        <f t="shared" si="79"/>
        <v>73248855.400000006</v>
      </c>
      <c r="AV83" s="578">
        <f t="shared" si="79"/>
        <v>77423544.599999994</v>
      </c>
      <c r="AW83" s="578">
        <f t="shared" si="167"/>
        <v>4174689.1999999881</v>
      </c>
      <c r="AX83" s="578">
        <f t="shared" si="168"/>
        <v>5.699323460008614</v>
      </c>
      <c r="AY83" s="578">
        <f t="shared" si="82"/>
        <v>72844731.030000016</v>
      </c>
      <c r="AZ83" s="578">
        <f t="shared" si="169"/>
        <v>4578813.5699999779</v>
      </c>
      <c r="BA83" s="578">
        <f t="shared" si="170"/>
        <v>6.2857169012186347</v>
      </c>
      <c r="BB83" s="578">
        <v>36624427.700000003</v>
      </c>
      <c r="BC83" s="576">
        <f>'[67]Дир_ имущ'!AT21</f>
        <v>38711772.299999997</v>
      </c>
      <c r="BD83" s="576">
        <f t="shared" si="190"/>
        <v>33841897.819999993</v>
      </c>
      <c r="BE83" s="576">
        <f t="shared" si="171"/>
        <v>-2782529.8800000101</v>
      </c>
      <c r="BF83" s="576">
        <f t="shared" si="172"/>
        <v>-4869874.4800000042</v>
      </c>
      <c r="BG83" s="576">
        <f t="shared" si="150"/>
        <v>109873283.10000001</v>
      </c>
      <c r="BH83" s="578">
        <f t="shared" si="150"/>
        <v>110778420.16</v>
      </c>
      <c r="BI83" s="578">
        <f>105332575.58+575970.1</f>
        <v>105908545.67999999</v>
      </c>
      <c r="BJ83" s="578">
        <f t="shared" si="173"/>
        <v>-3964737.4200000167</v>
      </c>
      <c r="BK83" s="578">
        <f t="shared" si="174"/>
        <v>-4869874.4800000042</v>
      </c>
      <c r="BL83" s="576">
        <v>36624427.700000003</v>
      </c>
      <c r="BM83" s="578">
        <f>'[67]Дир_ имущ'!AW21</f>
        <v>38711772.299999997</v>
      </c>
      <c r="BN83" s="522">
        <f t="shared" si="191"/>
        <v>39002833.210000023</v>
      </c>
      <c r="BO83" s="578">
        <f t="shared" si="181"/>
        <v>2378405.5100000203</v>
      </c>
      <c r="BP83" s="578">
        <f t="shared" si="175"/>
        <v>291060.91000002623</v>
      </c>
      <c r="BQ83" s="576">
        <v>36624427.700000003</v>
      </c>
      <c r="BR83" s="578">
        <f>'[67]Дир_ имущ'!BB21</f>
        <v>0</v>
      </c>
      <c r="BS83" s="578">
        <f>'[67]Дир_ имущ'!BC21</f>
        <v>0</v>
      </c>
      <c r="BT83" s="536"/>
      <c r="BU83" s="578">
        <v>144142761.09</v>
      </c>
      <c r="BV83" s="578">
        <v>768617.8</v>
      </c>
      <c r="BW83" s="578"/>
      <c r="BX83" s="574"/>
      <c r="BY83" s="525">
        <f>144060496.18+768617.8</f>
        <v>144829113.98000002</v>
      </c>
      <c r="BZ83" s="576">
        <v>56940.14</v>
      </c>
      <c r="CA83" s="576">
        <v>25324.77</v>
      </c>
      <c r="CB83" s="522">
        <f t="shared" si="134"/>
        <v>144911378.89000002</v>
      </c>
      <c r="CC83" s="578">
        <f t="shared" si="176"/>
        <v>0</v>
      </c>
      <c r="CD83" s="578"/>
      <c r="CE83" s="578"/>
      <c r="CF83" s="578"/>
      <c r="CG83" s="578"/>
      <c r="CH83" s="578"/>
      <c r="CI83" s="578"/>
      <c r="CJ83" s="578"/>
      <c r="CK83" s="543" t="s">
        <v>1815</v>
      </c>
      <c r="CL83" s="543" t="s">
        <v>1816</v>
      </c>
      <c r="CM83" s="510" t="s">
        <v>1905</v>
      </c>
      <c r="CN83" s="528" t="s">
        <v>1849</v>
      </c>
      <c r="CO83" s="528"/>
      <c r="CP83" s="544">
        <f>U83</f>
        <v>146497710.80000001</v>
      </c>
      <c r="CQ83" s="579"/>
      <c r="CR83" s="579"/>
      <c r="CS83" s="1727"/>
      <c r="CT83" s="1728"/>
      <c r="CU83" s="1728"/>
      <c r="CV83" s="1728"/>
      <c r="CW83" s="1729"/>
      <c r="CX83" s="528"/>
      <c r="CY83" s="528"/>
      <c r="CZ83" s="528"/>
      <c r="DA83" s="528"/>
      <c r="DB83" s="579">
        <f>36094753.67+190339.7</f>
        <v>36285093.370000005</v>
      </c>
      <c r="DD83" s="535">
        <v>105332575.58</v>
      </c>
      <c r="DE83" s="535"/>
      <c r="DF83" s="525">
        <f t="shared" si="88"/>
        <v>144829.11398000002</v>
      </c>
      <c r="DG83" s="576">
        <f t="shared" si="88"/>
        <v>56.94014</v>
      </c>
      <c r="DH83" s="576">
        <f t="shared" si="88"/>
        <v>25.324770000000001</v>
      </c>
      <c r="DI83" s="522">
        <f t="shared" si="88"/>
        <v>144911.37889000002</v>
      </c>
      <c r="DJ83" s="536"/>
      <c r="DK83" s="536"/>
      <c r="DL83" s="536"/>
      <c r="DM83" s="536"/>
      <c r="DN83" s="536"/>
      <c r="DO83" s="536"/>
      <c r="DP83" s="536"/>
      <c r="DQ83" s="536"/>
      <c r="DR83" s="536"/>
      <c r="DS83" s="536"/>
    </row>
    <row r="84" spans="1:123" s="534" customFormat="1" ht="65.25" customHeight="1">
      <c r="A84" s="537" t="s">
        <v>1212</v>
      </c>
      <c r="B84" s="538" t="s">
        <v>1213</v>
      </c>
      <c r="C84" s="576"/>
      <c r="D84" s="576"/>
      <c r="E84" s="576"/>
      <c r="F84" s="576"/>
      <c r="G84" s="627">
        <v>0</v>
      </c>
      <c r="H84" s="627">
        <v>0</v>
      </c>
      <c r="I84" s="576">
        <f t="shared" si="185"/>
        <v>145332.93</v>
      </c>
      <c r="J84" s="576">
        <v>54332.93</v>
      </c>
      <c r="K84" s="576">
        <v>35000</v>
      </c>
      <c r="L84" s="576">
        <v>56000</v>
      </c>
      <c r="M84" s="576">
        <f t="shared" si="186"/>
        <v>89332.93</v>
      </c>
      <c r="N84" s="576">
        <v>72208.06</v>
      </c>
      <c r="O84" s="525">
        <f t="shared" si="187"/>
        <v>4600.3399999999965</v>
      </c>
      <c r="P84" s="522">
        <v>76808.399999999994</v>
      </c>
      <c r="Q84" s="576">
        <f t="shared" si="151"/>
        <v>-68524.53</v>
      </c>
      <c r="R84" s="576">
        <f t="shared" si="152"/>
        <v>-47.150036815469143</v>
      </c>
      <c r="S84" s="576">
        <v>0</v>
      </c>
      <c r="T84" s="576">
        <v>0</v>
      </c>
      <c r="U84" s="522">
        <f t="shared" si="188"/>
        <v>206000</v>
      </c>
      <c r="V84" s="522">
        <f t="shared" si="149"/>
        <v>206000</v>
      </c>
      <c r="W84" s="522">
        <v>0</v>
      </c>
      <c r="X84" s="522">
        <f t="shared" si="154"/>
        <v>129191.6</v>
      </c>
      <c r="Y84" s="522">
        <f t="shared" si="155"/>
        <v>168.19983231000776</v>
      </c>
      <c r="Z84" s="524">
        <f t="shared" si="156"/>
        <v>112506.29000000001</v>
      </c>
      <c r="AA84" s="522">
        <f t="shared" si="157"/>
        <v>112506.29000000001</v>
      </c>
      <c r="AB84" s="522">
        <v>0</v>
      </c>
      <c r="AC84" s="522">
        <f t="shared" si="159"/>
        <v>-93493.709999999992</v>
      </c>
      <c r="AD84" s="522">
        <f t="shared" si="160"/>
        <v>-45.385296116504847</v>
      </c>
      <c r="AE84" s="522">
        <f t="shared" si="161"/>
        <v>35697.890000000014</v>
      </c>
      <c r="AF84" s="522">
        <f t="shared" si="162"/>
        <v>46.476544232141293</v>
      </c>
      <c r="AG84" s="522">
        <f t="shared" si="177"/>
        <v>11314.42</v>
      </c>
      <c r="AH84" s="522">
        <f t="shared" si="163"/>
        <v>-194685.58</v>
      </c>
      <c r="AI84" s="522">
        <f t="shared" si="164"/>
        <v>-94.507563106796113</v>
      </c>
      <c r="AJ84" s="522">
        <f t="shared" si="165"/>
        <v>-101191.87000000001</v>
      </c>
      <c r="AK84" s="522">
        <f t="shared" si="133"/>
        <v>-89.943300059045583</v>
      </c>
      <c r="AL84" s="522">
        <f t="shared" si="189"/>
        <v>11314.42</v>
      </c>
      <c r="AM84" s="522">
        <f t="shared" si="192"/>
        <v>103000</v>
      </c>
      <c r="AN84" s="522">
        <f t="shared" si="192"/>
        <v>9506.2900000000009</v>
      </c>
      <c r="AO84" s="522">
        <f t="shared" si="166"/>
        <v>-93493.709999999992</v>
      </c>
      <c r="AP84" s="522">
        <f t="shared" si="178"/>
        <v>-90.770592233009708</v>
      </c>
      <c r="AQ84" s="578">
        <v>61000</v>
      </c>
      <c r="AR84" s="578">
        <v>2906.99</v>
      </c>
      <c r="AS84" s="578">
        <v>42000</v>
      </c>
      <c r="AT84" s="578">
        <v>6599.3000000000011</v>
      </c>
      <c r="AU84" s="578">
        <f t="shared" si="79"/>
        <v>103000</v>
      </c>
      <c r="AV84" s="578">
        <f t="shared" si="79"/>
        <v>103000</v>
      </c>
      <c r="AW84" s="578">
        <f t="shared" si="167"/>
        <v>0</v>
      </c>
      <c r="AX84" s="578">
        <f t="shared" si="168"/>
        <v>0</v>
      </c>
      <c r="AY84" s="578">
        <f t="shared" si="82"/>
        <v>1808.1299999999992</v>
      </c>
      <c r="AZ84" s="578">
        <f t="shared" si="169"/>
        <v>101191.87</v>
      </c>
      <c r="BA84" s="578">
        <f t="shared" si="170"/>
        <v>5596.4930618926765</v>
      </c>
      <c r="BB84" s="578">
        <v>42000</v>
      </c>
      <c r="BC84" s="576">
        <f>'[67]Дир_ имущ'!AT22</f>
        <v>42000</v>
      </c>
      <c r="BD84" s="576">
        <f t="shared" si="190"/>
        <v>1286.1899999999987</v>
      </c>
      <c r="BE84" s="576">
        <f t="shared" si="171"/>
        <v>-40713.81</v>
      </c>
      <c r="BF84" s="576">
        <f t="shared" si="172"/>
        <v>-40713.81</v>
      </c>
      <c r="BG84" s="576">
        <f t="shared" si="150"/>
        <v>145000</v>
      </c>
      <c r="BH84" s="578">
        <f t="shared" si="150"/>
        <v>51506.29</v>
      </c>
      <c r="BI84" s="578">
        <v>10792.48</v>
      </c>
      <c r="BJ84" s="578">
        <f t="shared" si="173"/>
        <v>-134207.51999999999</v>
      </c>
      <c r="BK84" s="578">
        <f t="shared" si="174"/>
        <v>-40713.81</v>
      </c>
      <c r="BL84" s="576">
        <v>61000</v>
      </c>
      <c r="BM84" s="578">
        <f>'[67]Дир_ имущ'!AW22</f>
        <v>61000</v>
      </c>
      <c r="BN84" s="522">
        <f t="shared" si="191"/>
        <v>521.94000000000051</v>
      </c>
      <c r="BO84" s="578">
        <f t="shared" si="181"/>
        <v>-60478.06</v>
      </c>
      <c r="BP84" s="578">
        <f t="shared" si="175"/>
        <v>-60478.06</v>
      </c>
      <c r="BQ84" s="576">
        <v>61000</v>
      </c>
      <c r="BR84" s="578">
        <f>'[67]Дир_ имущ'!BB22</f>
        <v>0</v>
      </c>
      <c r="BS84" s="578">
        <f>'[67]Дир_ имущ'!BC22</f>
        <v>0</v>
      </c>
      <c r="BT84" s="536"/>
      <c r="BU84" s="578">
        <v>11314.42</v>
      </c>
      <c r="BV84" s="578"/>
      <c r="BW84" s="578"/>
      <c r="BX84" s="574"/>
      <c r="BY84" s="525">
        <v>11305.62</v>
      </c>
      <c r="BZ84" s="576">
        <v>6.53</v>
      </c>
      <c r="CA84" s="576">
        <v>2.27</v>
      </c>
      <c r="CB84" s="522">
        <f t="shared" si="134"/>
        <v>11314.420000000002</v>
      </c>
      <c r="CC84" s="578">
        <f t="shared" si="176"/>
        <v>0</v>
      </c>
      <c r="CD84" s="578"/>
      <c r="CE84" s="578"/>
      <c r="CF84" s="578"/>
      <c r="CG84" s="578"/>
      <c r="CH84" s="578"/>
      <c r="CI84" s="578"/>
      <c r="CJ84" s="578"/>
      <c r="CK84" s="543" t="s">
        <v>1815</v>
      </c>
      <c r="CL84" s="543" t="s">
        <v>1816</v>
      </c>
      <c r="CM84" s="510" t="s">
        <v>1905</v>
      </c>
      <c r="CN84" s="528" t="s">
        <v>1849</v>
      </c>
      <c r="CO84" s="528"/>
      <c r="CP84" s="544">
        <f>U84</f>
        <v>206000</v>
      </c>
      <c r="CQ84" s="579"/>
      <c r="CR84" s="579"/>
      <c r="CS84" s="1727"/>
      <c r="CT84" s="1728"/>
      <c r="CU84" s="1728"/>
      <c r="CV84" s="1728"/>
      <c r="CW84" s="1729"/>
      <c r="CX84" s="528"/>
      <c r="CY84" s="528"/>
      <c r="CZ84" s="528"/>
      <c r="DA84" s="528"/>
      <c r="DB84" s="579">
        <f>2906.99</f>
        <v>2906.99</v>
      </c>
      <c r="DD84" s="535">
        <f>10792.48</f>
        <v>10792.48</v>
      </c>
      <c r="DE84" s="535"/>
      <c r="DF84" s="525">
        <f t="shared" si="88"/>
        <v>11.305620000000001</v>
      </c>
      <c r="DG84" s="576">
        <f t="shared" si="88"/>
        <v>6.5300000000000002E-3</v>
      </c>
      <c r="DH84" s="576">
        <f t="shared" si="88"/>
        <v>2.2699999999999999E-3</v>
      </c>
      <c r="DI84" s="522">
        <f t="shared" si="88"/>
        <v>11.314420000000002</v>
      </c>
      <c r="DJ84" s="536"/>
      <c r="DK84" s="536"/>
      <c r="DL84" s="536"/>
      <c r="DM84" s="536"/>
      <c r="DN84" s="536"/>
      <c r="DO84" s="536"/>
      <c r="DP84" s="536"/>
      <c r="DQ84" s="536"/>
      <c r="DR84" s="536"/>
      <c r="DS84" s="536"/>
    </row>
    <row r="85" spans="1:123" ht="33" customHeight="1">
      <c r="A85" s="505" t="s">
        <v>1906</v>
      </c>
      <c r="B85" s="506" t="s">
        <v>1907</v>
      </c>
      <c r="C85" s="580">
        <f>SUBTOTAL(9,C86:C138)</f>
        <v>288449850.26999998</v>
      </c>
      <c r="D85" s="580">
        <f t="shared" ref="D85:U85" si="193">SUBTOTAL(9,D86:D138)</f>
        <v>339442260.10999995</v>
      </c>
      <c r="E85" s="594">
        <f t="shared" si="193"/>
        <v>319175765.07999992</v>
      </c>
      <c r="F85" s="580">
        <f t="shared" si="193"/>
        <v>246093862.21000004</v>
      </c>
      <c r="G85" s="580">
        <f t="shared" si="193"/>
        <v>283152319.18433881</v>
      </c>
      <c r="H85" s="580">
        <f t="shared" si="193"/>
        <v>0</v>
      </c>
      <c r="I85" s="580">
        <f t="shared" si="193"/>
        <v>310629110.67000008</v>
      </c>
      <c r="J85" s="580">
        <f>SUBTOTAL(9,J86:J138)</f>
        <v>119811059.06000002</v>
      </c>
      <c r="K85" s="580">
        <f t="shared" si="193"/>
        <v>96451881.030000016</v>
      </c>
      <c r="L85" s="580">
        <f t="shared" si="193"/>
        <v>94366170.580000028</v>
      </c>
      <c r="M85" s="580">
        <f t="shared" si="193"/>
        <v>216262940.08999997</v>
      </c>
      <c r="N85" s="580">
        <f t="shared" si="193"/>
        <v>194945950.57000002</v>
      </c>
      <c r="O85" s="580">
        <f>SUBTOTAL(9,O86:O138)</f>
        <v>110169792.02000001</v>
      </c>
      <c r="P85" s="580">
        <f>SUBTOTAL(9,P86:P138)</f>
        <v>305115742.59000009</v>
      </c>
      <c r="Q85" s="580">
        <f t="shared" si="151"/>
        <v>-5513368.0799999833</v>
      </c>
      <c r="R85" s="580">
        <f t="shared" si="152"/>
        <v>-1.7749038614275747</v>
      </c>
      <c r="S85" s="580">
        <f t="shared" si="193"/>
        <v>244570806.39018714</v>
      </c>
      <c r="T85" s="580">
        <f t="shared" si="193"/>
        <v>244570806.3901872</v>
      </c>
      <c r="U85" s="580">
        <f t="shared" si="193"/>
        <v>272063173.75999993</v>
      </c>
      <c r="V85" s="580">
        <f t="shared" si="149"/>
        <v>27492367.369812727</v>
      </c>
      <c r="W85" s="580">
        <f t="shared" si="153"/>
        <v>11.241066656971114</v>
      </c>
      <c r="X85" s="580">
        <f t="shared" si="154"/>
        <v>-33052568.830000162</v>
      </c>
      <c r="Y85" s="580">
        <f t="shared" si="155"/>
        <v>-10.832796941065936</v>
      </c>
      <c r="Z85" s="580">
        <f t="shared" si="156"/>
        <v>274803186.75</v>
      </c>
      <c r="AA85" s="580">
        <f t="shared" si="157"/>
        <v>30232380.359812796</v>
      </c>
      <c r="AB85" s="580">
        <f t="shared" si="158"/>
        <v>12.361401921200766</v>
      </c>
      <c r="AC85" s="580">
        <f t="shared" si="159"/>
        <v>2740012.9900000691</v>
      </c>
      <c r="AD85" s="580">
        <f t="shared" si="160"/>
        <v>1.0071238058911831</v>
      </c>
      <c r="AE85" s="580">
        <f t="shared" si="161"/>
        <v>-30312555.840000093</v>
      </c>
      <c r="AF85" s="580">
        <f t="shared" si="162"/>
        <v>-9.9347728120120848</v>
      </c>
      <c r="AG85" s="580">
        <f t="shared" si="177"/>
        <v>315396655.55999994</v>
      </c>
      <c r="AH85" s="580">
        <f t="shared" si="163"/>
        <v>43333481.800000012</v>
      </c>
      <c r="AI85" s="580">
        <f t="shared" si="164"/>
        <v>15.92772781450627</v>
      </c>
      <c r="AJ85" s="580">
        <f t="shared" si="165"/>
        <v>40593468.809999943</v>
      </c>
      <c r="AK85" s="580">
        <f t="shared" si="133"/>
        <v>14.771833358297087</v>
      </c>
      <c r="AL85" s="580">
        <f t="shared" ref="AL85" si="194">SUBTOTAL(9,AL86:AL138)</f>
        <v>315396655.56</v>
      </c>
      <c r="AM85" s="580">
        <f t="shared" si="192"/>
        <v>129952397.39</v>
      </c>
      <c r="AN85" s="580">
        <f t="shared" si="192"/>
        <v>133573143.60999998</v>
      </c>
      <c r="AO85" s="580">
        <f t="shared" si="166"/>
        <v>3620746.2199999839</v>
      </c>
      <c r="AP85" s="580">
        <f t="shared" si="178"/>
        <v>2.7862096373133909</v>
      </c>
      <c r="AQ85" s="580">
        <f t="shared" ref="AQ85:BN85" si="195">SUBTOTAL(9,AQ86:AQ138)</f>
        <v>39297597.170000002</v>
      </c>
      <c r="AR85" s="580">
        <f t="shared" si="195"/>
        <v>57325126.940000013</v>
      </c>
      <c r="AS85" s="580">
        <f t="shared" si="195"/>
        <v>90654800.219999999</v>
      </c>
      <c r="AT85" s="580">
        <f t="shared" si="195"/>
        <v>76248016.669999972</v>
      </c>
      <c r="AU85" s="580">
        <f t="shared" si="79"/>
        <v>142110776.37000003</v>
      </c>
      <c r="AV85" s="580">
        <f t="shared" si="79"/>
        <v>141230043.13999999</v>
      </c>
      <c r="AW85" s="580">
        <f t="shared" si="167"/>
        <v>-880733.23000004888</v>
      </c>
      <c r="AX85" s="580">
        <f t="shared" si="168"/>
        <v>-0.61975119163867021</v>
      </c>
      <c r="AY85" s="580">
        <f t="shared" si="82"/>
        <v>181823511.94999999</v>
      </c>
      <c r="AZ85" s="580">
        <f t="shared" si="169"/>
        <v>-40593468.810000002</v>
      </c>
      <c r="BA85" s="580">
        <f t="shared" si="170"/>
        <v>-22.325753349854381</v>
      </c>
      <c r="BB85" s="580">
        <f t="shared" si="195"/>
        <v>91834370.370000035</v>
      </c>
      <c r="BC85" s="580">
        <f t="shared" si="195"/>
        <v>83142970.625000015</v>
      </c>
      <c r="BD85" s="580">
        <f t="shared" si="195"/>
        <v>92545668.120000005</v>
      </c>
      <c r="BE85" s="580">
        <f t="shared" si="171"/>
        <v>711297.7499999702</v>
      </c>
      <c r="BF85" s="580">
        <f t="shared" si="172"/>
        <v>9402697.4949999899</v>
      </c>
      <c r="BG85" s="580">
        <f t="shared" si="150"/>
        <v>221786767.76000005</v>
      </c>
      <c r="BH85" s="580">
        <f t="shared" si="195"/>
        <v>216716114.23500007</v>
      </c>
      <c r="BI85" s="580">
        <f>SUBTOTAL(9,BI86:BI138)</f>
        <v>226118811.72999999</v>
      </c>
      <c r="BJ85" s="580">
        <f t="shared" si="173"/>
        <v>4332043.9699999392</v>
      </c>
      <c r="BK85" s="580">
        <f t="shared" si="174"/>
        <v>9402697.4949999154</v>
      </c>
      <c r="BL85" s="580">
        <f t="shared" si="195"/>
        <v>50276405.999999993</v>
      </c>
      <c r="BM85" s="580">
        <f t="shared" si="195"/>
        <v>58087072.514999986</v>
      </c>
      <c r="BN85" s="580">
        <f t="shared" si="195"/>
        <v>89277843.829999983</v>
      </c>
      <c r="BO85" s="580">
        <f t="shared" si="181"/>
        <v>39001437.829999991</v>
      </c>
      <c r="BP85" s="580">
        <f t="shared" si="175"/>
        <v>31190771.314999998</v>
      </c>
      <c r="BQ85" s="580">
        <f t="shared" ref="BQ85:BS85" si="196">SUBTOTAL(9,BQ86:BQ138)</f>
        <v>50276405.999999993</v>
      </c>
      <c r="BR85" s="580">
        <f t="shared" si="196"/>
        <v>0</v>
      </c>
      <c r="BS85" s="580">
        <f t="shared" si="196"/>
        <v>0</v>
      </c>
      <c r="BU85" s="580">
        <f>SUM(BU86:BU137)</f>
        <v>231053001.63</v>
      </c>
      <c r="BV85" s="580">
        <f>SUM(BV86:BV137)</f>
        <v>84343653.929999962</v>
      </c>
      <c r="BW85" s="580">
        <f t="shared" ref="BW85" si="197">SUBTOTAL(9,BW86:BW138)</f>
        <v>0</v>
      </c>
      <c r="BX85" s="581"/>
      <c r="BY85" s="580">
        <f>SUBTOTAL(9,BY86:BY138)</f>
        <v>305661527.97999996</v>
      </c>
      <c r="BZ85" s="580">
        <f>SUBTOTAL(9,BZ86:BZ138)</f>
        <v>4206455.1399999997</v>
      </c>
      <c r="CA85" s="580">
        <f>SUBTOTAL(9,CA86:CA138)</f>
        <v>5528672.4399999995</v>
      </c>
      <c r="CB85" s="580">
        <f>SUBTOTAL(9,CB86:CB138)</f>
        <v>315396655.56</v>
      </c>
      <c r="CC85" s="580">
        <f t="shared" si="176"/>
        <v>0</v>
      </c>
      <c r="CD85" s="580"/>
      <c r="CE85" s="580"/>
      <c r="CF85" s="580"/>
      <c r="CG85" s="580"/>
      <c r="CH85" s="580"/>
      <c r="CI85" s="580"/>
      <c r="CJ85" s="580"/>
      <c r="CK85" s="508"/>
      <c r="CL85" s="508"/>
      <c r="CM85" s="528" t="s">
        <v>1907</v>
      </c>
      <c r="CN85" s="510"/>
      <c r="CO85" s="510"/>
      <c r="CP85" s="582">
        <f>SUBTOTAL(9,CP86:CP138)</f>
        <v>258249365.09168696</v>
      </c>
      <c r="CQ85" s="582">
        <f>SUBTOTAL(9,CQ86:CQ138)</f>
        <v>8737385.3152064476</v>
      </c>
      <c r="CR85" s="582">
        <f>SUBTOTAL(9,CR86:CR138)</f>
        <v>5076423.3531065304</v>
      </c>
      <c r="CS85" s="1715"/>
      <c r="CT85" s="1716"/>
      <c r="CU85" s="1716"/>
      <c r="CV85" s="1716"/>
      <c r="CW85" s="1717"/>
      <c r="CX85" s="510"/>
      <c r="CY85" s="510"/>
      <c r="CZ85" s="510"/>
      <c r="DA85" s="510"/>
      <c r="DB85" s="582">
        <f>SUBTOTAL(9,DB86:DB138)</f>
        <v>57325126.940000013</v>
      </c>
      <c r="DC85" s="628" t="e">
        <f>P85-#REF!</f>
        <v>#REF!</v>
      </c>
      <c r="DD85" s="517"/>
      <c r="DE85" s="517"/>
      <c r="DF85" s="580">
        <f t="shared" si="88"/>
        <v>305661.52797999996</v>
      </c>
      <c r="DG85" s="580">
        <f t="shared" si="88"/>
        <v>4206.45514</v>
      </c>
      <c r="DH85" s="580">
        <f t="shared" si="88"/>
        <v>5528.6724399999994</v>
      </c>
      <c r="DI85" s="580">
        <f t="shared" si="88"/>
        <v>315396.65555999998</v>
      </c>
      <c r="DJ85" s="569"/>
    </row>
    <row r="86" spans="1:123" s="534" customFormat="1">
      <c r="A86" s="537" t="s">
        <v>530</v>
      </c>
      <c r="B86" s="538" t="s">
        <v>531</v>
      </c>
      <c r="C86" s="576"/>
      <c r="D86" s="576"/>
      <c r="E86" s="576"/>
      <c r="F86" s="576"/>
      <c r="G86" s="577">
        <v>148552.09008969704</v>
      </c>
      <c r="H86" s="577">
        <v>0</v>
      </c>
      <c r="I86" s="576">
        <f t="shared" ref="I86:I138" si="198">J86+K86+L86</f>
        <v>1066430.3199999998</v>
      </c>
      <c r="J86" s="576">
        <v>205631.48</v>
      </c>
      <c r="K86" s="576">
        <v>335818.25</v>
      </c>
      <c r="L86" s="576">
        <v>524980.59</v>
      </c>
      <c r="M86" s="576">
        <f t="shared" ref="M86:M138" si="199">J86+K86</f>
        <v>541449.73</v>
      </c>
      <c r="N86" s="576">
        <v>355382.26</v>
      </c>
      <c r="O86" s="525">
        <f t="shared" ref="O86:O138" si="200">P86-N86</f>
        <v>209298.07999999996</v>
      </c>
      <c r="P86" s="522">
        <v>564680.34</v>
      </c>
      <c r="Q86" s="576">
        <f t="shared" si="151"/>
        <v>-501749.97999999986</v>
      </c>
      <c r="R86" s="576">
        <f t="shared" si="152"/>
        <v>-47.049485614775087</v>
      </c>
      <c r="S86" s="576"/>
      <c r="T86" s="576"/>
      <c r="U86" s="522">
        <f t="shared" ref="U86:U137" si="201">AQ86+AS86+BB86+BL86</f>
        <v>498009.01</v>
      </c>
      <c r="V86" s="522">
        <f t="shared" si="149"/>
        <v>498009.01</v>
      </c>
      <c r="W86" s="522">
        <v>0</v>
      </c>
      <c r="X86" s="522">
        <f t="shared" si="154"/>
        <v>-66671.329999999958</v>
      </c>
      <c r="Y86" s="522">
        <f t="shared" si="155"/>
        <v>-11.806915395708657</v>
      </c>
      <c r="Z86" s="524">
        <f t="shared" si="156"/>
        <v>1062694.24</v>
      </c>
      <c r="AA86" s="522">
        <f t="shared" si="157"/>
        <v>1062694.24</v>
      </c>
      <c r="AB86" s="522">
        <v>0</v>
      </c>
      <c r="AC86" s="522">
        <f t="shared" si="159"/>
        <v>564685.23</v>
      </c>
      <c r="AD86" s="522">
        <f t="shared" si="160"/>
        <v>113.38855696606777</v>
      </c>
      <c r="AE86" s="522">
        <f t="shared" si="161"/>
        <v>498013.9</v>
      </c>
      <c r="AF86" s="522">
        <f t="shared" si="162"/>
        <v>88.193950580960546</v>
      </c>
      <c r="AG86" s="522">
        <f t="shared" si="177"/>
        <v>1140697.45</v>
      </c>
      <c r="AH86" s="522">
        <f t="shared" si="163"/>
        <v>642688.43999999994</v>
      </c>
      <c r="AI86" s="522">
        <f t="shared" si="164"/>
        <v>129.051568765794</v>
      </c>
      <c r="AJ86" s="522">
        <f t="shared" si="165"/>
        <v>78003.209999999963</v>
      </c>
      <c r="AK86" s="522">
        <f t="shared" si="133"/>
        <v>7.3401367076196777</v>
      </c>
      <c r="AL86" s="522">
        <f t="shared" ref="AL86:AL137" si="202">SUM(BU86:BV86)</f>
        <v>1140697.45</v>
      </c>
      <c r="AM86" s="522">
        <f t="shared" si="192"/>
        <v>212669.67</v>
      </c>
      <c r="AN86" s="522">
        <f t="shared" si="192"/>
        <v>477354.9</v>
      </c>
      <c r="AO86" s="522">
        <f t="shared" si="166"/>
        <v>264685.23</v>
      </c>
      <c r="AP86" s="522">
        <f t="shared" si="178"/>
        <v>124.45838186517145</v>
      </c>
      <c r="AQ86" s="578">
        <v>70000</v>
      </c>
      <c r="AR86" s="578">
        <v>230292.74</v>
      </c>
      <c r="AS86" s="578">
        <v>142669.67000000001</v>
      </c>
      <c r="AT86" s="578">
        <v>247062.16000000003</v>
      </c>
      <c r="AU86" s="578">
        <f t="shared" si="79"/>
        <v>285339.34000000003</v>
      </c>
      <c r="AV86" s="578">
        <f t="shared" si="79"/>
        <v>585339.34</v>
      </c>
      <c r="AW86" s="578">
        <f t="shared" si="167"/>
        <v>299999.99999999994</v>
      </c>
      <c r="AX86" s="578">
        <f t="shared" si="168"/>
        <v>105.13797361415357</v>
      </c>
      <c r="AY86" s="578">
        <f t="shared" si="82"/>
        <v>663342.54999999993</v>
      </c>
      <c r="AZ86" s="578">
        <f t="shared" si="169"/>
        <v>-78003.209999999963</v>
      </c>
      <c r="BA86" s="578">
        <f t="shared" si="170"/>
        <v>-11.759114502755779</v>
      </c>
      <c r="BB86" s="578">
        <v>142669.67000000001</v>
      </c>
      <c r="BC86" s="576">
        <f>'[67]Гл инж_Тех дир'!AT26</f>
        <v>292669.67</v>
      </c>
      <c r="BD86" s="576">
        <f t="shared" ref="BD86:BD137" si="203">BI86-AN86</f>
        <v>229514.36</v>
      </c>
      <c r="BE86" s="576">
        <f t="shared" si="171"/>
        <v>86844.689999999973</v>
      </c>
      <c r="BF86" s="576">
        <f t="shared" si="172"/>
        <v>-63155.31</v>
      </c>
      <c r="BG86" s="576">
        <f t="shared" si="150"/>
        <v>355339.34</v>
      </c>
      <c r="BH86" s="578">
        <f t="shared" si="150"/>
        <v>770024.57000000007</v>
      </c>
      <c r="BI86" s="578">
        <f>631347+75522.26</f>
        <v>706869.26</v>
      </c>
      <c r="BJ86" s="578">
        <f t="shared" si="173"/>
        <v>351529.92</v>
      </c>
      <c r="BK86" s="578">
        <f t="shared" si="174"/>
        <v>-63155.310000000056</v>
      </c>
      <c r="BL86" s="576">
        <v>142669.67000000001</v>
      </c>
      <c r="BM86" s="578">
        <f>'[67]Гл инж_Тех дир'!AW26</f>
        <v>292669.67</v>
      </c>
      <c r="BN86" s="522">
        <f t="shared" ref="BN86:BN137" si="204">AL86-BI86</f>
        <v>433828.18999999994</v>
      </c>
      <c r="BO86" s="578">
        <f t="shared" si="181"/>
        <v>291158.5199999999</v>
      </c>
      <c r="BP86" s="578">
        <f t="shared" si="175"/>
        <v>141158.51999999996</v>
      </c>
      <c r="BQ86" s="576">
        <v>142669.67000000001</v>
      </c>
      <c r="BR86" s="578">
        <f>'[67]Гл инж_Тех дир'!BB26</f>
        <v>0</v>
      </c>
      <c r="BS86" s="578">
        <f>'[67]Гл инж_Тех дир'!BC26</f>
        <v>0</v>
      </c>
      <c r="BT86" s="536"/>
      <c r="BU86" s="578">
        <v>1019474.27</v>
      </c>
      <c r="BV86" s="578">
        <v>121223.18</v>
      </c>
      <c r="BW86" s="578"/>
      <c r="BX86" s="629"/>
      <c r="BY86" s="525">
        <f>1017464.77+121223.18</f>
        <v>1138687.95</v>
      </c>
      <c r="BZ86" s="525">
        <v>159.46</v>
      </c>
      <c r="CA86" s="525">
        <v>1850.04</v>
      </c>
      <c r="CB86" s="522">
        <f t="shared" si="134"/>
        <v>1140697.45</v>
      </c>
      <c r="CC86" s="522">
        <f t="shared" si="176"/>
        <v>0</v>
      </c>
      <c r="CD86" s="578"/>
      <c r="CE86" s="578"/>
      <c r="CF86" s="578"/>
      <c r="CG86" s="578"/>
      <c r="CH86" s="578"/>
      <c r="CI86" s="578"/>
      <c r="CJ86" s="578"/>
      <c r="CK86" s="543" t="s">
        <v>79</v>
      </c>
      <c r="CL86" s="543" t="s">
        <v>1806</v>
      </c>
      <c r="CM86" s="528" t="s">
        <v>1907</v>
      </c>
      <c r="CN86" s="528"/>
      <c r="CO86" s="528"/>
      <c r="CP86" s="544">
        <f t="shared" ref="CP86:CP112" si="205">U86*$CU$7/100</f>
        <v>459473.29704915703</v>
      </c>
      <c r="CQ86" s="544">
        <f t="shared" ref="CQ86:CQ112" si="206">U86*$CU$8/100</f>
        <v>33749.812660700103</v>
      </c>
      <c r="CR86" s="544">
        <f t="shared" ref="CR86:CR112" si="207">U86*$CU$9/100</f>
        <v>4785.9002901429294</v>
      </c>
      <c r="CS86" s="1709" t="s">
        <v>1826</v>
      </c>
      <c r="CT86" s="1710"/>
      <c r="CU86" s="1710"/>
      <c r="CV86" s="1710"/>
      <c r="CW86" s="1711"/>
      <c r="CX86" s="528"/>
      <c r="CY86" s="528"/>
      <c r="CZ86" s="528"/>
      <c r="DA86" s="528"/>
      <c r="DB86" s="579">
        <f>229882.74+410</f>
        <v>230292.74</v>
      </c>
      <c r="DC86" s="628" t="e">
        <f>P86-#REF!</f>
        <v>#REF!</v>
      </c>
      <c r="DD86" s="535"/>
      <c r="DE86" s="535"/>
      <c r="DF86" s="525">
        <f t="shared" si="88"/>
        <v>1138.68795</v>
      </c>
      <c r="DG86" s="525">
        <f t="shared" si="88"/>
        <v>0.15946000000000002</v>
      </c>
      <c r="DH86" s="525">
        <f t="shared" si="88"/>
        <v>1.8500399999999999</v>
      </c>
      <c r="DI86" s="522">
        <f t="shared" si="88"/>
        <v>1140.6974499999999</v>
      </c>
      <c r="DJ86" s="536"/>
      <c r="DK86" s="536"/>
      <c r="DL86" s="536"/>
      <c r="DM86" s="536"/>
      <c r="DN86" s="536"/>
      <c r="DO86" s="536"/>
      <c r="DP86" s="536"/>
      <c r="DQ86" s="536"/>
      <c r="DR86" s="536"/>
      <c r="DS86" s="536"/>
    </row>
    <row r="87" spans="1:123" s="534" customFormat="1" ht="56.4">
      <c r="A87" s="537" t="s">
        <v>535</v>
      </c>
      <c r="B87" s="538" t="s">
        <v>536</v>
      </c>
      <c r="C87" s="576">
        <v>3541266.16</v>
      </c>
      <c r="D87" s="576">
        <v>7721751.1799999997</v>
      </c>
      <c r="E87" s="576">
        <v>3200000</v>
      </c>
      <c r="F87" s="576">
        <v>2842028.08</v>
      </c>
      <c r="G87" s="577">
        <v>2586015.6887463024</v>
      </c>
      <c r="H87" s="577">
        <v>0</v>
      </c>
      <c r="I87" s="576">
        <f t="shared" si="198"/>
        <v>4039208.6399999997</v>
      </c>
      <c r="J87" s="576">
        <v>1933402.26</v>
      </c>
      <c r="K87" s="576">
        <v>958334.62</v>
      </c>
      <c r="L87" s="576">
        <v>1147471.76</v>
      </c>
      <c r="M87" s="576">
        <f t="shared" si="199"/>
        <v>2891736.88</v>
      </c>
      <c r="N87" s="576">
        <v>2668340.98</v>
      </c>
      <c r="O87" s="525">
        <f t="shared" si="200"/>
        <v>1077221.27</v>
      </c>
      <c r="P87" s="522">
        <f>3622685.87+122876.38</f>
        <v>3745562.25</v>
      </c>
      <c r="Q87" s="576">
        <f t="shared" si="151"/>
        <v>-293646.38999999966</v>
      </c>
      <c r="R87" s="576">
        <f t="shared" si="152"/>
        <v>-7.2698990364607567</v>
      </c>
      <c r="S87" s="576">
        <v>3222173.8787499992</v>
      </c>
      <c r="T87" s="576">
        <v>3132113.8787499997</v>
      </c>
      <c r="U87" s="522">
        <f t="shared" si="201"/>
        <v>4245208.2799999993</v>
      </c>
      <c r="V87" s="522">
        <f t="shared" si="149"/>
        <v>1113094.4012499996</v>
      </c>
      <c r="W87" s="522">
        <f t="shared" si="153"/>
        <v>35.538120398554184</v>
      </c>
      <c r="X87" s="522">
        <f t="shared" si="154"/>
        <v>499646.02999999933</v>
      </c>
      <c r="Y87" s="522">
        <f t="shared" si="155"/>
        <v>13.339680311013353</v>
      </c>
      <c r="Z87" s="524">
        <f t="shared" si="156"/>
        <v>4677400.0999999996</v>
      </c>
      <c r="AA87" s="522">
        <f t="shared" si="157"/>
        <v>1545286.2212499999</v>
      </c>
      <c r="AB87" s="522">
        <f t="shared" si="158"/>
        <v>49.336846649608759</v>
      </c>
      <c r="AC87" s="522">
        <f t="shared" si="159"/>
        <v>432191.8200000003</v>
      </c>
      <c r="AD87" s="522">
        <f t="shared" si="160"/>
        <v>10.180697659432639</v>
      </c>
      <c r="AE87" s="522">
        <f t="shared" si="161"/>
        <v>931837.84999999963</v>
      </c>
      <c r="AF87" s="522">
        <f t="shared" si="162"/>
        <v>24.87845049164514</v>
      </c>
      <c r="AG87" s="522">
        <f t="shared" si="177"/>
        <v>3906735.54</v>
      </c>
      <c r="AH87" s="522">
        <f t="shared" si="163"/>
        <v>-338472.73999999929</v>
      </c>
      <c r="AI87" s="522">
        <f t="shared" si="164"/>
        <v>-7.973053797963459</v>
      </c>
      <c r="AJ87" s="522">
        <f t="shared" si="165"/>
        <v>-770664.55999999959</v>
      </c>
      <c r="AK87" s="522">
        <f t="shared" si="133"/>
        <v>-16.476344625724863</v>
      </c>
      <c r="AL87" s="522">
        <f t="shared" si="202"/>
        <v>3906735.54</v>
      </c>
      <c r="AM87" s="522">
        <f t="shared" si="192"/>
        <v>1815069.42</v>
      </c>
      <c r="AN87" s="522">
        <f t="shared" si="192"/>
        <v>1724886.24</v>
      </c>
      <c r="AO87" s="522">
        <f t="shared" si="166"/>
        <v>-90183.179999999935</v>
      </c>
      <c r="AP87" s="522">
        <f t="shared" si="178"/>
        <v>-4.9685802100065075</v>
      </c>
      <c r="AQ87" s="578">
        <v>600000</v>
      </c>
      <c r="AR87" s="578">
        <v>751474.04</v>
      </c>
      <c r="AS87" s="578">
        <v>1215069.42</v>
      </c>
      <c r="AT87" s="578">
        <v>973412.2</v>
      </c>
      <c r="AU87" s="578">
        <f t="shared" si="79"/>
        <v>2430138.86</v>
      </c>
      <c r="AV87" s="578">
        <f t="shared" si="79"/>
        <v>2952513.86</v>
      </c>
      <c r="AW87" s="578">
        <f t="shared" si="167"/>
        <v>522375</v>
      </c>
      <c r="AX87" s="578">
        <f t="shared" si="168"/>
        <v>21.495685230102453</v>
      </c>
      <c r="AY87" s="578">
        <f t="shared" si="82"/>
        <v>2181849.2999999998</v>
      </c>
      <c r="AZ87" s="578">
        <f t="shared" si="169"/>
        <v>770664.56</v>
      </c>
      <c r="BA87" s="578">
        <f t="shared" si="170"/>
        <v>35.321621892034415</v>
      </c>
      <c r="BB87" s="578">
        <v>1215069.42</v>
      </c>
      <c r="BC87" s="576">
        <f>'[67]Гл инж_Тех дир'!AT27</f>
        <v>1468196.42</v>
      </c>
      <c r="BD87" s="576">
        <f t="shared" si="203"/>
        <v>984851.28</v>
      </c>
      <c r="BE87" s="576">
        <f t="shared" si="171"/>
        <v>-230218.1399999999</v>
      </c>
      <c r="BF87" s="576">
        <f t="shared" si="172"/>
        <v>-483345.1399999999</v>
      </c>
      <c r="BG87" s="576">
        <f t="shared" si="150"/>
        <v>3030138.84</v>
      </c>
      <c r="BH87" s="578">
        <f t="shared" si="150"/>
        <v>3193082.66</v>
      </c>
      <c r="BI87" s="578">
        <f>60896+2648841.52</f>
        <v>2709737.52</v>
      </c>
      <c r="BJ87" s="578">
        <f t="shared" si="173"/>
        <v>-320401.31999999983</v>
      </c>
      <c r="BK87" s="578">
        <f t="shared" si="174"/>
        <v>-483345.14000000013</v>
      </c>
      <c r="BL87" s="576">
        <v>1215069.44</v>
      </c>
      <c r="BM87" s="578">
        <f>'[67]Гл инж_Тех дир'!AW27</f>
        <v>1484317.44</v>
      </c>
      <c r="BN87" s="522">
        <f t="shared" si="204"/>
        <v>1196998.02</v>
      </c>
      <c r="BO87" s="578">
        <f t="shared" si="181"/>
        <v>-18071.419999999925</v>
      </c>
      <c r="BP87" s="578">
        <f t="shared" si="175"/>
        <v>-287319.41999999993</v>
      </c>
      <c r="BQ87" s="576">
        <v>1215069.44</v>
      </c>
      <c r="BR87" s="578">
        <f>'[67]Гл инж_Тех дир'!BB27</f>
        <v>0</v>
      </c>
      <c r="BS87" s="578">
        <f>'[67]Гл инж_Тех дир'!BC27</f>
        <v>0</v>
      </c>
      <c r="BT87" s="536"/>
      <c r="BU87" s="578">
        <v>91420.72</v>
      </c>
      <c r="BV87" s="578">
        <v>3815314.82</v>
      </c>
      <c r="BW87" s="578"/>
      <c r="BX87" s="629"/>
      <c r="BY87" s="525">
        <f>90915.04+3806113.97</f>
        <v>3897029.0100000002</v>
      </c>
      <c r="BZ87" s="525">
        <f>454.37+180</f>
        <v>634.37</v>
      </c>
      <c r="CA87" s="525">
        <f>51.31+9020.85</f>
        <v>9072.16</v>
      </c>
      <c r="CB87" s="522">
        <f t="shared" si="134"/>
        <v>3906735.5400000005</v>
      </c>
      <c r="CC87" s="522">
        <f t="shared" si="176"/>
        <v>0</v>
      </c>
      <c r="CD87" s="578"/>
      <c r="CE87" s="578"/>
      <c r="CF87" s="578"/>
      <c r="CG87" s="578"/>
      <c r="CH87" s="578"/>
      <c r="CI87" s="578"/>
      <c r="CJ87" s="578"/>
      <c r="CK87" s="543" t="s">
        <v>79</v>
      </c>
      <c r="CL87" s="543" t="s">
        <v>1806</v>
      </c>
      <c r="CM87" s="528" t="s">
        <v>1907</v>
      </c>
      <c r="CN87" s="528" t="s">
        <v>1849</v>
      </c>
      <c r="CO87" s="528"/>
      <c r="CP87" s="544">
        <f t="shared" si="205"/>
        <v>3916715.9748213803</v>
      </c>
      <c r="CQ87" s="544">
        <f t="shared" si="206"/>
        <v>287695.56630241068</v>
      </c>
      <c r="CR87" s="544">
        <f t="shared" si="207"/>
        <v>40796.738876208605</v>
      </c>
      <c r="CS87" s="1709" t="s">
        <v>1826</v>
      </c>
      <c r="CT87" s="1710"/>
      <c r="CU87" s="1710"/>
      <c r="CV87" s="1710"/>
      <c r="CW87" s="1711"/>
      <c r="CX87" s="528"/>
      <c r="CY87" s="528"/>
      <c r="CZ87" s="528"/>
      <c r="DA87" s="528"/>
      <c r="DB87" s="579">
        <f>150+751324.04</f>
        <v>751474.04</v>
      </c>
      <c r="DC87" s="628" t="e">
        <f>P87-#REF!</f>
        <v>#REF!</v>
      </c>
      <c r="DD87" s="535">
        <f>60896+631347</f>
        <v>692243</v>
      </c>
      <c r="DE87" s="535"/>
      <c r="DF87" s="525">
        <f t="shared" si="88"/>
        <v>3897.0290100000002</v>
      </c>
      <c r="DG87" s="525">
        <f t="shared" si="88"/>
        <v>0.63436999999999999</v>
      </c>
      <c r="DH87" s="525">
        <f t="shared" si="88"/>
        <v>9.0721600000000002</v>
      </c>
      <c r="DI87" s="522">
        <f t="shared" si="88"/>
        <v>3906.7355400000006</v>
      </c>
      <c r="DJ87" s="536"/>
      <c r="DK87" s="536"/>
      <c r="DL87" s="536"/>
      <c r="DM87" s="536"/>
      <c r="DN87" s="536"/>
      <c r="DO87" s="536"/>
      <c r="DP87" s="536"/>
      <c r="DQ87" s="536"/>
      <c r="DR87" s="536"/>
      <c r="DS87" s="536"/>
    </row>
    <row r="88" spans="1:123" s="534" customFormat="1" ht="84.6">
      <c r="A88" s="537" t="s">
        <v>540</v>
      </c>
      <c r="B88" s="538" t="s">
        <v>541</v>
      </c>
      <c r="C88" s="576">
        <f>50095385.27+160507.27</f>
        <v>50255892.540000007</v>
      </c>
      <c r="D88" s="576">
        <f>65214934.08+514903.97</f>
        <v>65729838.049999997</v>
      </c>
      <c r="E88" s="576">
        <v>58859720</v>
      </c>
      <c r="F88" s="576">
        <v>52774853.340000004</v>
      </c>
      <c r="G88" s="577">
        <v>47997714.207787313</v>
      </c>
      <c r="H88" s="577">
        <v>0</v>
      </c>
      <c r="I88" s="576">
        <f t="shared" si="198"/>
        <v>55622921.459999993</v>
      </c>
      <c r="J88" s="576">
        <v>26549896.379999999</v>
      </c>
      <c r="K88" s="576">
        <v>13213544.779999999</v>
      </c>
      <c r="L88" s="576">
        <v>15859480.300000001</v>
      </c>
      <c r="M88" s="576">
        <f t="shared" si="199"/>
        <v>39763441.159999996</v>
      </c>
      <c r="N88" s="576">
        <v>41981489.939999998</v>
      </c>
      <c r="O88" s="525">
        <f t="shared" si="200"/>
        <v>16958754.580000006</v>
      </c>
      <c r="P88" s="522">
        <v>58940244.520000003</v>
      </c>
      <c r="Q88" s="576">
        <f t="shared" si="151"/>
        <v>3317323.0600000098</v>
      </c>
      <c r="R88" s="576">
        <f t="shared" si="152"/>
        <v>5.9639497044138352</v>
      </c>
      <c r="S88" s="576">
        <v>58417249.008176252</v>
      </c>
      <c r="T88" s="576">
        <v>58507309.008176297</v>
      </c>
      <c r="U88" s="522">
        <f t="shared" si="201"/>
        <v>57394214.609999999</v>
      </c>
      <c r="V88" s="522">
        <f t="shared" si="149"/>
        <v>-1113094.3981762975</v>
      </c>
      <c r="W88" s="522">
        <f t="shared" si="153"/>
        <v>-1.9024877695549804</v>
      </c>
      <c r="X88" s="522">
        <f t="shared" si="154"/>
        <v>-1546029.9100000039</v>
      </c>
      <c r="Y88" s="522">
        <f t="shared" si="155"/>
        <v>-2.6230463117189657</v>
      </c>
      <c r="Z88" s="524">
        <f t="shared" si="156"/>
        <v>65078548.239999995</v>
      </c>
      <c r="AA88" s="522">
        <f t="shared" si="157"/>
        <v>6571239.2318236977</v>
      </c>
      <c r="AB88" s="522">
        <f t="shared" si="158"/>
        <v>11.23148431062755</v>
      </c>
      <c r="AC88" s="522">
        <f t="shared" si="159"/>
        <v>7684333.6299999952</v>
      </c>
      <c r="AD88" s="522">
        <f t="shared" si="160"/>
        <v>13.388690275171271</v>
      </c>
      <c r="AE88" s="522">
        <f t="shared" si="161"/>
        <v>6138303.7199999914</v>
      </c>
      <c r="AF88" s="522">
        <f t="shared" si="162"/>
        <v>10.414452417001939</v>
      </c>
      <c r="AG88" s="522">
        <f t="shared" si="177"/>
        <v>67903828.439999998</v>
      </c>
      <c r="AH88" s="522">
        <f t="shared" si="163"/>
        <v>10509613.829999998</v>
      </c>
      <c r="AI88" s="522">
        <f t="shared" si="164"/>
        <v>18.311277367264239</v>
      </c>
      <c r="AJ88" s="522">
        <f t="shared" si="165"/>
        <v>2825280.200000003</v>
      </c>
      <c r="AK88" s="522">
        <f t="shared" si="133"/>
        <v>4.3413386997829093</v>
      </c>
      <c r="AL88" s="522">
        <f t="shared" si="202"/>
        <v>67903828.439999998</v>
      </c>
      <c r="AM88" s="522">
        <f t="shared" si="192"/>
        <v>33000000</v>
      </c>
      <c r="AN88" s="522">
        <f t="shared" si="192"/>
        <v>31243548.239999998</v>
      </c>
      <c r="AO88" s="522">
        <f t="shared" si="166"/>
        <v>-1756451.7600000016</v>
      </c>
      <c r="AP88" s="522">
        <f t="shared" si="178"/>
        <v>-5.3225810909090967</v>
      </c>
      <c r="AQ88" s="578">
        <v>16000000</v>
      </c>
      <c r="AR88" s="578">
        <v>14399822.640000001</v>
      </c>
      <c r="AS88" s="578">
        <v>17000000</v>
      </c>
      <c r="AT88" s="578">
        <v>16843725.599999998</v>
      </c>
      <c r="AU88" s="578">
        <f t="shared" si="79"/>
        <v>24394214.609999999</v>
      </c>
      <c r="AV88" s="578">
        <f t="shared" si="79"/>
        <v>33835000</v>
      </c>
      <c r="AW88" s="578">
        <f t="shared" si="167"/>
        <v>9440785.3900000006</v>
      </c>
      <c r="AX88" s="578">
        <f t="shared" si="168"/>
        <v>38.700919627598552</v>
      </c>
      <c r="AY88" s="578">
        <f t="shared" si="82"/>
        <v>36660280.200000003</v>
      </c>
      <c r="AZ88" s="578">
        <f t="shared" si="169"/>
        <v>-2825280.200000003</v>
      </c>
      <c r="BA88" s="578">
        <f t="shared" si="170"/>
        <v>-7.7066519529766282</v>
      </c>
      <c r="BB88" s="578">
        <v>17000000</v>
      </c>
      <c r="BC88" s="576">
        <f>'[67]Гл инж_Тех дир'!AT28</f>
        <v>16994000</v>
      </c>
      <c r="BD88" s="576">
        <f t="shared" si="203"/>
        <v>17463290.499999996</v>
      </c>
      <c r="BE88" s="576">
        <f t="shared" si="171"/>
        <v>463290.49999999627</v>
      </c>
      <c r="BF88" s="576">
        <f t="shared" si="172"/>
        <v>469290.49999999627</v>
      </c>
      <c r="BG88" s="576">
        <f t="shared" si="150"/>
        <v>50000000</v>
      </c>
      <c r="BH88" s="578">
        <f t="shared" si="150"/>
        <v>48237548.239999995</v>
      </c>
      <c r="BI88" s="578">
        <f>3368706.62+45338132.12</f>
        <v>48706838.739999995</v>
      </c>
      <c r="BJ88" s="578">
        <f t="shared" si="173"/>
        <v>-1293161.2600000054</v>
      </c>
      <c r="BK88" s="578">
        <f t="shared" si="174"/>
        <v>469290.5</v>
      </c>
      <c r="BL88" s="576">
        <v>7394214.6100000003</v>
      </c>
      <c r="BM88" s="578">
        <f>'[67]Гл инж_Тех дир'!AW28</f>
        <v>16841000</v>
      </c>
      <c r="BN88" s="522">
        <f t="shared" si="204"/>
        <v>19196989.700000003</v>
      </c>
      <c r="BO88" s="578">
        <f t="shared" si="181"/>
        <v>11802775.090000004</v>
      </c>
      <c r="BP88" s="578">
        <f t="shared" si="175"/>
        <v>2355989.700000003</v>
      </c>
      <c r="BQ88" s="576">
        <v>7394214.6100000003</v>
      </c>
      <c r="BR88" s="578">
        <f>'[67]Гл инж_Тех дир'!BB28</f>
        <v>0</v>
      </c>
      <c r="BS88" s="578">
        <f>'[67]Гл инж_Тех дир'!BC28</f>
        <v>0</v>
      </c>
      <c r="BT88" s="536"/>
      <c r="BU88" s="578">
        <v>4782325.05</v>
      </c>
      <c r="BV88" s="578">
        <v>63121503.390000001</v>
      </c>
      <c r="BW88" s="578"/>
      <c r="BX88" s="629"/>
      <c r="BY88" s="525">
        <f>4702442.66+61324610.93</f>
        <v>66027053.590000004</v>
      </c>
      <c r="BZ88" s="525">
        <f>52609.29+97442.42+370684.87+29020.22</f>
        <v>549756.79999999993</v>
      </c>
      <c r="CA88" s="525">
        <f>27273.1+1299744.95</f>
        <v>1327018.05</v>
      </c>
      <c r="CB88" s="522">
        <f t="shared" si="134"/>
        <v>67903828.439999998</v>
      </c>
      <c r="CC88" s="522">
        <f t="shared" si="176"/>
        <v>0</v>
      </c>
      <c r="CD88" s="578"/>
      <c r="CE88" s="578"/>
      <c r="CF88" s="578"/>
      <c r="CG88" s="578"/>
      <c r="CH88" s="578"/>
      <c r="CI88" s="578"/>
      <c r="CJ88" s="578"/>
      <c r="CK88" s="543" t="s">
        <v>79</v>
      </c>
      <c r="CL88" s="543" t="s">
        <v>1806</v>
      </c>
      <c r="CM88" s="528" t="s">
        <v>1907</v>
      </c>
      <c r="CN88" s="528" t="s">
        <v>1849</v>
      </c>
      <c r="CO88" s="528"/>
      <c r="CP88" s="544">
        <f t="shared" si="205"/>
        <v>52953076.126882918</v>
      </c>
      <c r="CQ88" s="544">
        <f t="shared" si="206"/>
        <v>3889576.1964136292</v>
      </c>
      <c r="CR88" s="544">
        <f t="shared" si="207"/>
        <v>551562.28670345654</v>
      </c>
      <c r="CS88" s="1709" t="s">
        <v>1826</v>
      </c>
      <c r="CT88" s="1710"/>
      <c r="CU88" s="1710"/>
      <c r="CV88" s="1710"/>
      <c r="CW88" s="1711"/>
      <c r="CX88" s="528"/>
      <c r="CY88" s="528"/>
      <c r="CZ88" s="528"/>
      <c r="DA88" s="528"/>
      <c r="DB88" s="579">
        <f>1155832.56+13243990.08</f>
        <v>14399822.640000001</v>
      </c>
      <c r="DC88" s="628" t="e">
        <f>P88-#REF!</f>
        <v>#REF!</v>
      </c>
      <c r="DD88" s="535">
        <f>3368706.62</f>
        <v>3368706.62</v>
      </c>
      <c r="DE88" s="535"/>
      <c r="DF88" s="525">
        <f t="shared" si="88"/>
        <v>66027.05359000001</v>
      </c>
      <c r="DG88" s="525">
        <f t="shared" si="88"/>
        <v>549.75679999999988</v>
      </c>
      <c r="DH88" s="525">
        <f t="shared" si="88"/>
        <v>1327.0180500000001</v>
      </c>
      <c r="DI88" s="522">
        <f t="shared" si="88"/>
        <v>67903.828439999997</v>
      </c>
      <c r="DJ88" s="536"/>
      <c r="DK88" s="536"/>
      <c r="DL88" s="536"/>
      <c r="DM88" s="536"/>
      <c r="DN88" s="536"/>
      <c r="DO88" s="536"/>
      <c r="DP88" s="536"/>
      <c r="DQ88" s="536"/>
      <c r="DR88" s="536"/>
      <c r="DS88" s="536"/>
    </row>
    <row r="89" spans="1:123" s="534" customFormat="1" ht="84.6">
      <c r="A89" s="537" t="s">
        <v>298</v>
      </c>
      <c r="B89" s="538" t="s">
        <v>299</v>
      </c>
      <c r="C89" s="576">
        <v>179371.28</v>
      </c>
      <c r="D89" s="576">
        <v>356078.15</v>
      </c>
      <c r="E89" s="576">
        <v>356078.15</v>
      </c>
      <c r="F89" s="576">
        <v>401971.64</v>
      </c>
      <c r="G89" s="577">
        <v>330633.96039921266</v>
      </c>
      <c r="H89" s="577">
        <v>0</v>
      </c>
      <c r="I89" s="576">
        <f t="shared" si="198"/>
        <v>399067.29</v>
      </c>
      <c r="J89" s="576">
        <v>191091.82</v>
      </c>
      <c r="K89" s="576">
        <v>82658.490000000005</v>
      </c>
      <c r="L89" s="576">
        <v>125316.98</v>
      </c>
      <c r="M89" s="576">
        <f t="shared" si="199"/>
        <v>273750.31</v>
      </c>
      <c r="N89" s="576">
        <v>380927.04</v>
      </c>
      <c r="O89" s="525">
        <f t="shared" si="200"/>
        <v>121496.72999999998</v>
      </c>
      <c r="P89" s="522">
        <f>501071.48+1352.29</f>
        <v>502423.76999999996</v>
      </c>
      <c r="Q89" s="576">
        <f t="shared" si="151"/>
        <v>103356.47999999998</v>
      </c>
      <c r="R89" s="576">
        <f t="shared" si="152"/>
        <v>25.899511834207203</v>
      </c>
      <c r="S89" s="576">
        <v>348818.8282211693</v>
      </c>
      <c r="T89" s="576">
        <v>348818.8282211693</v>
      </c>
      <c r="U89" s="522">
        <f t="shared" si="201"/>
        <v>348818.83</v>
      </c>
      <c r="V89" s="522">
        <f t="shared" si="149"/>
        <v>1.7788307159207761E-3</v>
      </c>
      <c r="W89" s="522">
        <f t="shared" si="153"/>
        <v>5.0995834044442745E-7</v>
      </c>
      <c r="X89" s="522">
        <f t="shared" si="154"/>
        <v>-153604.93999999994</v>
      </c>
      <c r="Y89" s="522">
        <f t="shared" si="155"/>
        <v>-30.572785200827568</v>
      </c>
      <c r="Z89" s="524">
        <f t="shared" si="156"/>
        <v>355353.73</v>
      </c>
      <c r="AA89" s="522">
        <f t="shared" si="157"/>
        <v>6534.901778830681</v>
      </c>
      <c r="AB89" s="522">
        <f t="shared" si="158"/>
        <v>1.8734372258962964</v>
      </c>
      <c r="AC89" s="522">
        <f t="shared" si="159"/>
        <v>6534.8999999999651</v>
      </c>
      <c r="AD89" s="522">
        <f t="shared" si="160"/>
        <v>1.8734367063842257</v>
      </c>
      <c r="AE89" s="522">
        <f t="shared" si="161"/>
        <v>-147070.03999999998</v>
      </c>
      <c r="AF89" s="522">
        <f t="shared" si="162"/>
        <v>-29.272110274559665</v>
      </c>
      <c r="AG89" s="522">
        <f t="shared" si="177"/>
        <v>375525.06000000006</v>
      </c>
      <c r="AH89" s="522">
        <f t="shared" si="163"/>
        <v>26706.23000000004</v>
      </c>
      <c r="AI89" s="522">
        <f t="shared" si="164"/>
        <v>7.6561893175319824</v>
      </c>
      <c r="AJ89" s="522">
        <f t="shared" si="165"/>
        <v>20171.330000000075</v>
      </c>
      <c r="AK89" s="522">
        <f t="shared" si="133"/>
        <v>5.6764086871974371</v>
      </c>
      <c r="AL89" s="522">
        <f t="shared" si="202"/>
        <v>375525.06</v>
      </c>
      <c r="AM89" s="522">
        <f t="shared" si="192"/>
        <v>140000</v>
      </c>
      <c r="AN89" s="522">
        <f t="shared" si="192"/>
        <v>82578.899999999994</v>
      </c>
      <c r="AO89" s="522">
        <f t="shared" si="166"/>
        <v>-57421.100000000006</v>
      </c>
      <c r="AP89" s="522">
        <f t="shared" si="178"/>
        <v>-41.015071428571439</v>
      </c>
      <c r="AQ89" s="578">
        <v>50000</v>
      </c>
      <c r="AR89" s="578">
        <v>46067.25</v>
      </c>
      <c r="AS89" s="578">
        <v>90000</v>
      </c>
      <c r="AT89" s="578">
        <v>36511.649999999994</v>
      </c>
      <c r="AU89" s="578">
        <f t="shared" si="79"/>
        <v>208818.83000000002</v>
      </c>
      <c r="AV89" s="578">
        <f t="shared" si="79"/>
        <v>272774.83</v>
      </c>
      <c r="AW89" s="578">
        <f t="shared" si="167"/>
        <v>63956</v>
      </c>
      <c r="AX89" s="578">
        <f t="shared" si="168"/>
        <v>30.627506149708807</v>
      </c>
      <c r="AY89" s="578">
        <f t="shared" si="82"/>
        <v>292946.16000000003</v>
      </c>
      <c r="AZ89" s="578">
        <f t="shared" si="169"/>
        <v>-20171.330000000016</v>
      </c>
      <c r="BA89" s="578">
        <f t="shared" si="170"/>
        <v>-6.8856782420360219</v>
      </c>
      <c r="BB89" s="578">
        <v>100000</v>
      </c>
      <c r="BC89" s="576">
        <f>'[67]Гл инж_Тех дир'!AT29</f>
        <v>154000</v>
      </c>
      <c r="BD89" s="576">
        <f t="shared" si="203"/>
        <v>46082.97</v>
      </c>
      <c r="BE89" s="576">
        <f t="shared" si="171"/>
        <v>-53917.03</v>
      </c>
      <c r="BF89" s="576">
        <f t="shared" si="172"/>
        <v>-107917.03</v>
      </c>
      <c r="BG89" s="576">
        <f t="shared" si="150"/>
        <v>240000</v>
      </c>
      <c r="BH89" s="578">
        <f t="shared" si="150"/>
        <v>236578.9</v>
      </c>
      <c r="BI89" s="578">
        <f>6793.4+121868.47</f>
        <v>128661.87</v>
      </c>
      <c r="BJ89" s="578">
        <f t="shared" si="173"/>
        <v>-111338.13</v>
      </c>
      <c r="BK89" s="578">
        <f t="shared" si="174"/>
        <v>-107917.03</v>
      </c>
      <c r="BL89" s="576">
        <v>108818.83</v>
      </c>
      <c r="BM89" s="578">
        <f>'[67]Гл инж_Тех дир'!AW29</f>
        <v>118774.83</v>
      </c>
      <c r="BN89" s="522">
        <f t="shared" si="204"/>
        <v>246863.19</v>
      </c>
      <c r="BO89" s="578">
        <f t="shared" si="181"/>
        <v>138044.35999999999</v>
      </c>
      <c r="BP89" s="578">
        <f t="shared" si="175"/>
        <v>128088.36</v>
      </c>
      <c r="BQ89" s="576">
        <v>108818.83</v>
      </c>
      <c r="BR89" s="578">
        <f>'[67]Гл инж_Тех дир'!BB29</f>
        <v>0</v>
      </c>
      <c r="BS89" s="578">
        <f>'[67]Гл инж_Тех дир'!BC29</f>
        <v>0</v>
      </c>
      <c r="BT89" s="536"/>
      <c r="BU89" s="578">
        <f>2184.92+9840.68</f>
        <v>12025.6</v>
      </c>
      <c r="BV89" s="578">
        <v>363499.46</v>
      </c>
      <c r="BW89" s="578"/>
      <c r="BX89" s="629"/>
      <c r="BY89" s="525">
        <f>1926.09+9025.89+363499.46</f>
        <v>374451.44</v>
      </c>
      <c r="BZ89" s="525">
        <f>232.46+698.45</f>
        <v>930.91000000000008</v>
      </c>
      <c r="CA89" s="525">
        <f>26.37+116.34</f>
        <v>142.71</v>
      </c>
      <c r="CB89" s="522">
        <f t="shared" si="134"/>
        <v>375525.06</v>
      </c>
      <c r="CC89" s="522">
        <f t="shared" si="176"/>
        <v>0</v>
      </c>
      <c r="CD89" s="578"/>
      <c r="CE89" s="578"/>
      <c r="CF89" s="578"/>
      <c r="CG89" s="578"/>
      <c r="CH89" s="578"/>
      <c r="CI89" s="578"/>
      <c r="CJ89" s="578"/>
      <c r="CK89" s="543" t="s">
        <v>79</v>
      </c>
      <c r="CL89" s="543" t="s">
        <v>1806</v>
      </c>
      <c r="CM89" s="528" t="s">
        <v>1907</v>
      </c>
      <c r="CN89" s="528"/>
      <c r="CO89" s="528"/>
      <c r="CP89" s="544">
        <f t="shared" si="205"/>
        <v>321827.38600036455</v>
      </c>
      <c r="CQ89" s="544">
        <f t="shared" si="206"/>
        <v>23639.271436122406</v>
      </c>
      <c r="CR89" s="544">
        <f t="shared" si="207"/>
        <v>3352.172563513092</v>
      </c>
      <c r="CS89" s="1709" t="s">
        <v>1826</v>
      </c>
      <c r="CT89" s="1710"/>
      <c r="CU89" s="1710"/>
      <c r="CV89" s="1710"/>
      <c r="CW89" s="1711"/>
      <c r="CX89" s="528"/>
      <c r="CY89" s="528"/>
      <c r="CZ89" s="528"/>
      <c r="DA89" s="528"/>
      <c r="DB89" s="579">
        <v>46067.25</v>
      </c>
      <c r="DC89" s="628" t="e">
        <f>P89-#REF!</f>
        <v>#REF!</v>
      </c>
      <c r="DD89" s="535">
        <f>1752.72+5040.68</f>
        <v>6793.4000000000005</v>
      </c>
      <c r="DE89" s="535"/>
      <c r="DF89" s="525">
        <f t="shared" si="88"/>
        <v>374.45143999999999</v>
      </c>
      <c r="DG89" s="525">
        <f t="shared" si="88"/>
        <v>0.93091000000000013</v>
      </c>
      <c r="DH89" s="525">
        <f t="shared" si="88"/>
        <v>0.14271</v>
      </c>
      <c r="DI89" s="522">
        <f t="shared" si="88"/>
        <v>375.52506</v>
      </c>
      <c r="DJ89" s="536"/>
      <c r="DK89" s="536"/>
      <c r="DL89" s="536"/>
      <c r="DM89" s="536"/>
      <c r="DN89" s="536"/>
      <c r="DO89" s="536"/>
      <c r="DP89" s="536"/>
      <c r="DQ89" s="536"/>
      <c r="DR89" s="536"/>
      <c r="DS89" s="536"/>
    </row>
    <row r="90" spans="1:123" s="534" customFormat="1" ht="56.4">
      <c r="A90" s="537" t="s">
        <v>301</v>
      </c>
      <c r="B90" s="538" t="s">
        <v>302</v>
      </c>
      <c r="C90" s="576">
        <f>157666.1+1203380.12</f>
        <v>1361046.2200000002</v>
      </c>
      <c r="D90" s="576">
        <f>1050693.87+0</f>
        <v>1050693.8700000001</v>
      </c>
      <c r="E90" s="576">
        <f>203130+200000</f>
        <v>403130</v>
      </c>
      <c r="F90" s="576">
        <f>98224.65+249990.59</f>
        <v>348215.24</v>
      </c>
      <c r="G90" s="577">
        <v>87069.880378300702</v>
      </c>
      <c r="H90" s="577">
        <v>0</v>
      </c>
      <c r="I90" s="576">
        <f t="shared" si="198"/>
        <v>265743.8</v>
      </c>
      <c r="J90" s="576">
        <v>83805.799999999988</v>
      </c>
      <c r="K90" s="576">
        <v>77575.990000000005</v>
      </c>
      <c r="L90" s="576">
        <v>104362.01</v>
      </c>
      <c r="M90" s="576">
        <f t="shared" si="199"/>
        <v>161381.78999999998</v>
      </c>
      <c r="N90" s="576">
        <v>110475.88</v>
      </c>
      <c r="O90" s="525">
        <f t="shared" si="200"/>
        <v>45813.399999999994</v>
      </c>
      <c r="P90" s="522">
        <f>125456.22+2957.63+19575.43+8300</f>
        <v>156289.28</v>
      </c>
      <c r="Q90" s="576">
        <f t="shared" si="151"/>
        <v>-109454.51999999999</v>
      </c>
      <c r="R90" s="576">
        <f t="shared" si="152"/>
        <v>-41.187986323669634</v>
      </c>
      <c r="S90" s="576">
        <v>388392.44749999989</v>
      </c>
      <c r="T90" s="576">
        <v>388392.44749999989</v>
      </c>
      <c r="U90" s="522">
        <f t="shared" si="201"/>
        <v>240862.22</v>
      </c>
      <c r="V90" s="522">
        <f t="shared" si="149"/>
        <v>-147530.22749999989</v>
      </c>
      <c r="W90" s="522">
        <f t="shared" si="153"/>
        <v>-37.984834269981505</v>
      </c>
      <c r="X90" s="522">
        <f t="shared" si="154"/>
        <v>84572.94</v>
      </c>
      <c r="Y90" s="522">
        <f t="shared" si="155"/>
        <v>54.113078005094138</v>
      </c>
      <c r="Z90" s="524">
        <f t="shared" si="156"/>
        <v>734167.37</v>
      </c>
      <c r="AA90" s="522">
        <f t="shared" si="157"/>
        <v>345774.9225000001</v>
      </c>
      <c r="AB90" s="522">
        <f t="shared" si="158"/>
        <v>89.027200380872557</v>
      </c>
      <c r="AC90" s="522">
        <f t="shared" si="159"/>
        <v>493305.15</v>
      </c>
      <c r="AD90" s="522">
        <f t="shared" si="160"/>
        <v>204.80802261143322</v>
      </c>
      <c r="AE90" s="522">
        <f t="shared" si="161"/>
        <v>577878.09</v>
      </c>
      <c r="AF90" s="522">
        <f t="shared" si="162"/>
        <v>369.74902565294309</v>
      </c>
      <c r="AG90" s="522">
        <f t="shared" si="177"/>
        <v>526843.13</v>
      </c>
      <c r="AH90" s="522">
        <f t="shared" si="163"/>
        <v>285980.91000000003</v>
      </c>
      <c r="AI90" s="522">
        <f t="shared" si="164"/>
        <v>118.73215733044393</v>
      </c>
      <c r="AJ90" s="522">
        <f t="shared" si="165"/>
        <v>-207324.24</v>
      </c>
      <c r="AK90" s="522">
        <f t="shared" si="133"/>
        <v>-28.239369995427609</v>
      </c>
      <c r="AL90" s="522">
        <f t="shared" si="202"/>
        <v>526843.13</v>
      </c>
      <c r="AM90" s="522">
        <f t="shared" si="192"/>
        <v>120431.11</v>
      </c>
      <c r="AN90" s="522">
        <f t="shared" si="192"/>
        <v>293305.26</v>
      </c>
      <c r="AO90" s="522">
        <f t="shared" si="166"/>
        <v>172874.15000000002</v>
      </c>
      <c r="AP90" s="522">
        <f t="shared" si="178"/>
        <v>143.54609037482092</v>
      </c>
      <c r="AQ90" s="578">
        <v>0</v>
      </c>
      <c r="AR90" s="578">
        <v>4548.57</v>
      </c>
      <c r="AS90" s="578">
        <v>120431.11</v>
      </c>
      <c r="AT90" s="578">
        <v>288756.69</v>
      </c>
      <c r="AU90" s="578">
        <f t="shared" si="79"/>
        <v>120431.11</v>
      </c>
      <c r="AV90" s="578">
        <f t="shared" si="79"/>
        <v>440862.11</v>
      </c>
      <c r="AW90" s="578">
        <f t="shared" si="167"/>
        <v>320431</v>
      </c>
      <c r="AX90" s="578">
        <f t="shared" si="168"/>
        <v>266.06995484804548</v>
      </c>
      <c r="AY90" s="578">
        <f t="shared" si="82"/>
        <v>233537.87</v>
      </c>
      <c r="AZ90" s="578">
        <f t="shared" si="169"/>
        <v>207324.24</v>
      </c>
      <c r="BA90" s="578">
        <f t="shared" si="170"/>
        <v>88.775426443685546</v>
      </c>
      <c r="BB90" s="578">
        <v>120431.11</v>
      </c>
      <c r="BC90" s="576">
        <f>'[67]Гл инж_Тех дир'!AT30</f>
        <v>220431.11</v>
      </c>
      <c r="BD90" s="576">
        <f t="shared" si="203"/>
        <v>83945.150000000023</v>
      </c>
      <c r="BE90" s="576">
        <f t="shared" si="171"/>
        <v>-36485.959999999977</v>
      </c>
      <c r="BF90" s="576">
        <f t="shared" si="172"/>
        <v>-136485.95999999996</v>
      </c>
      <c r="BG90" s="576">
        <f t="shared" si="150"/>
        <v>240862.22</v>
      </c>
      <c r="BH90" s="578">
        <f t="shared" si="150"/>
        <v>513736.37</v>
      </c>
      <c r="BI90" s="578">
        <f>159183.82+218066.59</f>
        <v>377250.41000000003</v>
      </c>
      <c r="BJ90" s="578">
        <f t="shared" si="173"/>
        <v>136388.19000000003</v>
      </c>
      <c r="BK90" s="578">
        <f t="shared" si="174"/>
        <v>-136485.95999999996</v>
      </c>
      <c r="BL90" s="576">
        <v>0</v>
      </c>
      <c r="BM90" s="578">
        <f>'[67]Гл инж_Тех дир'!AW30</f>
        <v>220431</v>
      </c>
      <c r="BN90" s="522">
        <f t="shared" si="204"/>
        <v>149592.71999999997</v>
      </c>
      <c r="BO90" s="578">
        <f t="shared" si="181"/>
        <v>149592.71999999997</v>
      </c>
      <c r="BP90" s="578">
        <f t="shared" si="175"/>
        <v>-70838.280000000028</v>
      </c>
      <c r="BQ90" s="576">
        <v>0</v>
      </c>
      <c r="BR90" s="578">
        <f>'[67]Гл инж_Тех дир'!BB30</f>
        <v>0</v>
      </c>
      <c r="BS90" s="578">
        <f>'[67]Гл инж_Тех дир'!BC30</f>
        <v>0</v>
      </c>
      <c r="BT90" s="536"/>
      <c r="BU90" s="578">
        <v>237183.42</v>
      </c>
      <c r="BV90" s="578">
        <f>286100.39+3559.32</f>
        <v>289659.71000000002</v>
      </c>
      <c r="BW90" s="578"/>
      <c r="BX90" s="629"/>
      <c r="BY90" s="525">
        <f>236127.6+286100.39+3559.32</f>
        <v>525787.30999999994</v>
      </c>
      <c r="BZ90" s="525">
        <v>903.12</v>
      </c>
      <c r="CA90" s="525">
        <v>152.69999999999999</v>
      </c>
      <c r="CB90" s="522">
        <f t="shared" si="134"/>
        <v>526843.12999999989</v>
      </c>
      <c r="CC90" s="522">
        <f t="shared" si="176"/>
        <v>0</v>
      </c>
      <c r="CD90" s="578"/>
      <c r="CE90" s="578"/>
      <c r="CF90" s="578"/>
      <c r="CG90" s="578"/>
      <c r="CH90" s="578"/>
      <c r="CI90" s="578"/>
      <c r="CJ90" s="578"/>
      <c r="CK90" s="543" t="s">
        <v>79</v>
      </c>
      <c r="CL90" s="543" t="s">
        <v>1806</v>
      </c>
      <c r="CM90" s="528" t="s">
        <v>1907</v>
      </c>
      <c r="CN90" s="528"/>
      <c r="CO90" s="528"/>
      <c r="CP90" s="544">
        <f t="shared" si="205"/>
        <v>222224.40987157924</v>
      </c>
      <c r="CQ90" s="544">
        <f t="shared" si="206"/>
        <v>16323.107893249429</v>
      </c>
      <c r="CR90" s="544">
        <f t="shared" si="207"/>
        <v>2314.7022351713476</v>
      </c>
      <c r="CS90" s="1709" t="s">
        <v>1826</v>
      </c>
      <c r="CT90" s="1710"/>
      <c r="CU90" s="1710"/>
      <c r="CV90" s="1710"/>
      <c r="CW90" s="1711"/>
      <c r="CX90" s="528"/>
      <c r="CY90" s="528"/>
      <c r="CZ90" s="528"/>
      <c r="DA90" s="528"/>
      <c r="DB90" s="579">
        <f>966.27+3582.3</f>
        <v>4548.57</v>
      </c>
      <c r="DC90" s="628" t="e">
        <f>P90-#REF!</f>
        <v>#REF!</v>
      </c>
      <c r="DD90" s="535">
        <f>159183.82</f>
        <v>159183.82</v>
      </c>
      <c r="DE90" s="535"/>
      <c r="DF90" s="525">
        <f t="shared" si="88"/>
        <v>525.78730999999993</v>
      </c>
      <c r="DG90" s="525">
        <f t="shared" si="88"/>
        <v>0.90312000000000003</v>
      </c>
      <c r="DH90" s="525">
        <f t="shared" si="88"/>
        <v>0.1527</v>
      </c>
      <c r="DI90" s="522">
        <f t="shared" si="88"/>
        <v>526.84312999999986</v>
      </c>
      <c r="DJ90" s="536"/>
      <c r="DK90" s="536"/>
      <c r="DL90" s="536"/>
      <c r="DM90" s="536"/>
      <c r="DN90" s="536"/>
      <c r="DO90" s="536"/>
      <c r="DP90" s="536"/>
      <c r="DQ90" s="536"/>
      <c r="DR90" s="536"/>
      <c r="DS90" s="536"/>
    </row>
    <row r="91" spans="1:123" s="534" customFormat="1" ht="56.4">
      <c r="A91" s="537" t="s">
        <v>304</v>
      </c>
      <c r="B91" s="538" t="s">
        <v>305</v>
      </c>
      <c r="C91" s="576">
        <v>12888849.32</v>
      </c>
      <c r="D91" s="576">
        <v>9433324.5500000007</v>
      </c>
      <c r="E91" s="576">
        <v>9433323.5500000007</v>
      </c>
      <c r="F91" s="576">
        <v>12213171.550000001</v>
      </c>
      <c r="G91" s="577">
        <v>11508547.144853132</v>
      </c>
      <c r="H91" s="577">
        <v>0</v>
      </c>
      <c r="I91" s="576">
        <f t="shared" si="198"/>
        <v>12413396.649999999</v>
      </c>
      <c r="J91" s="576">
        <v>6426966.2899999991</v>
      </c>
      <c r="K91" s="576">
        <v>2877136.78</v>
      </c>
      <c r="L91" s="576">
        <v>3109293.58</v>
      </c>
      <c r="M91" s="576">
        <f t="shared" si="199"/>
        <v>9304103.0699999984</v>
      </c>
      <c r="N91" s="576">
        <v>9728650.4800000004</v>
      </c>
      <c r="O91" s="525">
        <f t="shared" si="200"/>
        <v>4639517.17</v>
      </c>
      <c r="P91" s="522">
        <f>14155686.32+212481.33</f>
        <v>14368167.65</v>
      </c>
      <c r="Q91" s="576">
        <f t="shared" si="151"/>
        <v>1954771.0000000019</v>
      </c>
      <c r="R91" s="576">
        <f t="shared" si="152"/>
        <v>15.74726930199239</v>
      </c>
      <c r="S91" s="576">
        <v>12141517.237820053</v>
      </c>
      <c r="T91" s="576">
        <v>12141517.237820053</v>
      </c>
      <c r="U91" s="522">
        <f t="shared" si="201"/>
        <v>12141517.24</v>
      </c>
      <c r="V91" s="522">
        <f t="shared" si="149"/>
        <v>2.1799467504024506E-3</v>
      </c>
      <c r="W91" s="522">
        <f t="shared" si="153"/>
        <v>1.7954477016246528E-8</v>
      </c>
      <c r="X91" s="522">
        <f t="shared" si="154"/>
        <v>-2226650.41</v>
      </c>
      <c r="Y91" s="522">
        <f t="shared" si="155"/>
        <v>-15.497107663550963</v>
      </c>
      <c r="Z91" s="524">
        <f t="shared" si="156"/>
        <v>14800891.719999999</v>
      </c>
      <c r="AA91" s="522">
        <f t="shared" si="157"/>
        <v>2659374.4821799453</v>
      </c>
      <c r="AB91" s="522">
        <f t="shared" si="158"/>
        <v>21.903147935219863</v>
      </c>
      <c r="AC91" s="522">
        <f t="shared" si="159"/>
        <v>2659374.4799999986</v>
      </c>
      <c r="AD91" s="522">
        <f t="shared" si="160"/>
        <v>21.903147913332759</v>
      </c>
      <c r="AE91" s="522">
        <f t="shared" si="161"/>
        <v>432724.06999999844</v>
      </c>
      <c r="AF91" s="522">
        <f t="shared" si="162"/>
        <v>3.0116858359458263</v>
      </c>
      <c r="AG91" s="522">
        <f t="shared" si="177"/>
        <v>15893385.189999998</v>
      </c>
      <c r="AH91" s="522">
        <f t="shared" si="163"/>
        <v>3751867.9499999974</v>
      </c>
      <c r="AI91" s="522">
        <f t="shared" si="164"/>
        <v>30.901145843943937</v>
      </c>
      <c r="AJ91" s="522">
        <f t="shared" si="165"/>
        <v>1092493.4699999988</v>
      </c>
      <c r="AK91" s="522">
        <f t="shared" si="133"/>
        <v>7.3812679037692277</v>
      </c>
      <c r="AL91" s="522">
        <f t="shared" si="202"/>
        <v>15893385.189999999</v>
      </c>
      <c r="AM91" s="522">
        <f t="shared" si="192"/>
        <v>5913839.0800000001</v>
      </c>
      <c r="AN91" s="522">
        <f t="shared" si="192"/>
        <v>6130217.5599999996</v>
      </c>
      <c r="AO91" s="522">
        <f t="shared" si="166"/>
        <v>216378.47999999952</v>
      </c>
      <c r="AP91" s="522">
        <f t="shared" si="178"/>
        <v>3.6588496418810053</v>
      </c>
      <c r="AQ91" s="578">
        <v>2800000</v>
      </c>
      <c r="AR91" s="578">
        <v>2871256.78</v>
      </c>
      <c r="AS91" s="578">
        <v>3113839.08</v>
      </c>
      <c r="AT91" s="578">
        <v>3258960.78</v>
      </c>
      <c r="AU91" s="578">
        <f t="shared" ref="AU91:AV154" si="208">BB91+BL91</f>
        <v>6227678.1600000001</v>
      </c>
      <c r="AV91" s="578">
        <f t="shared" si="208"/>
        <v>8670674.1600000001</v>
      </c>
      <c r="AW91" s="578">
        <f t="shared" si="167"/>
        <v>2442996</v>
      </c>
      <c r="AX91" s="578">
        <f t="shared" si="168"/>
        <v>39.228038720613654</v>
      </c>
      <c r="AY91" s="578">
        <f t="shared" si="82"/>
        <v>9763167.629999999</v>
      </c>
      <c r="AZ91" s="578">
        <f t="shared" si="169"/>
        <v>-1092493.4699999988</v>
      </c>
      <c r="BA91" s="578">
        <f t="shared" si="170"/>
        <v>-11.189948912103219</v>
      </c>
      <c r="BB91" s="578">
        <v>3113839.08</v>
      </c>
      <c r="BC91" s="576">
        <f>'[67]Гл инж_Тех дир'!AT31</f>
        <v>4335337.08</v>
      </c>
      <c r="BD91" s="576">
        <f t="shared" si="203"/>
        <v>3811249.580000001</v>
      </c>
      <c r="BE91" s="576">
        <f t="shared" si="171"/>
        <v>697410.50000000093</v>
      </c>
      <c r="BF91" s="576">
        <f t="shared" si="172"/>
        <v>-524087.49999999907</v>
      </c>
      <c r="BG91" s="576">
        <f t="shared" si="150"/>
        <v>9027678.1600000001</v>
      </c>
      <c r="BH91" s="578">
        <f t="shared" si="150"/>
        <v>10465554.640000001</v>
      </c>
      <c r="BI91" s="578">
        <f>162311.98+9779155.16</f>
        <v>9941467.1400000006</v>
      </c>
      <c r="BJ91" s="578">
        <f t="shared" si="173"/>
        <v>913788.98000000045</v>
      </c>
      <c r="BK91" s="578">
        <f t="shared" si="174"/>
        <v>-524087.5</v>
      </c>
      <c r="BL91" s="576">
        <v>3113839.08</v>
      </c>
      <c r="BM91" s="578">
        <f>'[67]Гл инж_Тех дир'!AW31</f>
        <v>4335337.08</v>
      </c>
      <c r="BN91" s="522">
        <f t="shared" si="204"/>
        <v>5951918.0499999989</v>
      </c>
      <c r="BO91" s="578">
        <f t="shared" si="181"/>
        <v>2838078.9699999988</v>
      </c>
      <c r="BP91" s="578">
        <f t="shared" si="175"/>
        <v>1616580.9699999988</v>
      </c>
      <c r="BQ91" s="576">
        <v>3113839.08</v>
      </c>
      <c r="BR91" s="578">
        <f>'[67]Гл инж_Тех дир'!BB31</f>
        <v>0</v>
      </c>
      <c r="BS91" s="578">
        <f>'[67]Гл инж_Тех дир'!BC31</f>
        <v>0</v>
      </c>
      <c r="BT91" s="536"/>
      <c r="BU91" s="578">
        <f>236681.45+1378</f>
        <v>238059.45</v>
      </c>
      <c r="BV91" s="578">
        <v>15655325.74</v>
      </c>
      <c r="BW91" s="578"/>
      <c r="BX91" s="629"/>
      <c r="BY91" s="525">
        <f>235610.59+1367.44+15600547.74</f>
        <v>15837525.77</v>
      </c>
      <c r="BZ91" s="525">
        <f>918.8+9.8</f>
        <v>928.59999999999991</v>
      </c>
      <c r="CA91" s="525">
        <f>152.06+0.76+54778</f>
        <v>54930.82</v>
      </c>
      <c r="CB91" s="522">
        <f t="shared" si="134"/>
        <v>15893385.189999999</v>
      </c>
      <c r="CC91" s="522">
        <f t="shared" si="176"/>
        <v>0</v>
      </c>
      <c r="CD91" s="578"/>
      <c r="CE91" s="578"/>
      <c r="CF91" s="578"/>
      <c r="CG91" s="578"/>
      <c r="CH91" s="578"/>
      <c r="CI91" s="578"/>
      <c r="CJ91" s="578"/>
      <c r="CK91" s="543" t="s">
        <v>79</v>
      </c>
      <c r="CL91" s="543" t="s">
        <v>1806</v>
      </c>
      <c r="CM91" s="528" t="s">
        <v>1907</v>
      </c>
      <c r="CN91" s="528" t="s">
        <v>1849</v>
      </c>
      <c r="CO91" s="528" t="s">
        <v>1849</v>
      </c>
      <c r="CP91" s="544">
        <f t="shared" si="205"/>
        <v>11202012.103038019</v>
      </c>
      <c r="CQ91" s="544">
        <f t="shared" si="206"/>
        <v>822824.33457712049</v>
      </c>
      <c r="CR91" s="544">
        <f t="shared" si="207"/>
        <v>116680.80238486323</v>
      </c>
      <c r="CS91" s="1709" t="s">
        <v>1826</v>
      </c>
      <c r="CT91" s="1710"/>
      <c r="CU91" s="1710"/>
      <c r="CV91" s="1710"/>
      <c r="CW91" s="1711"/>
      <c r="CX91" s="528"/>
      <c r="CY91" s="528"/>
      <c r="CZ91" s="528"/>
      <c r="DA91" s="528"/>
      <c r="DB91" s="579">
        <f>2610+2868646.78</f>
        <v>2871256.78</v>
      </c>
      <c r="DC91" s="628" t="e">
        <f>P91-#REF!</f>
        <v>#REF!</v>
      </c>
      <c r="DD91" s="535">
        <f>160933.98+1378</f>
        <v>162311.98000000001</v>
      </c>
      <c r="DE91" s="535"/>
      <c r="DF91" s="525">
        <f t="shared" si="88"/>
        <v>15837.52577</v>
      </c>
      <c r="DG91" s="525">
        <f t="shared" si="88"/>
        <v>0.92859999999999987</v>
      </c>
      <c r="DH91" s="525">
        <f t="shared" si="88"/>
        <v>54.930819999999997</v>
      </c>
      <c r="DI91" s="522">
        <f t="shared" ref="DI91:DI154" si="209">CB91/1000</f>
        <v>15893.385189999999</v>
      </c>
      <c r="DJ91" s="536"/>
      <c r="DK91" s="536"/>
      <c r="DL91" s="536"/>
      <c r="DM91" s="536"/>
      <c r="DN91" s="536"/>
      <c r="DO91" s="536"/>
      <c r="DP91" s="536"/>
      <c r="DQ91" s="536"/>
      <c r="DR91" s="536"/>
      <c r="DS91" s="536"/>
    </row>
    <row r="92" spans="1:123" s="534" customFormat="1" ht="57" customHeight="1">
      <c r="A92" s="537" t="s">
        <v>309</v>
      </c>
      <c r="B92" s="538" t="s">
        <v>310</v>
      </c>
      <c r="C92" s="576">
        <v>2034454.08</v>
      </c>
      <c r="D92" s="576">
        <v>1057791.47</v>
      </c>
      <c r="E92" s="576">
        <v>2060600</v>
      </c>
      <c r="F92" s="576">
        <v>2343929.83</v>
      </c>
      <c r="G92" s="577">
        <v>1939034.0042625754</v>
      </c>
      <c r="H92" s="577">
        <v>0</v>
      </c>
      <c r="I92" s="576">
        <f t="shared" si="198"/>
        <v>2251457.31</v>
      </c>
      <c r="J92" s="576">
        <v>1078324.1100000001</v>
      </c>
      <c r="K92" s="576">
        <v>578547.80000000005</v>
      </c>
      <c r="L92" s="576">
        <v>594585.4</v>
      </c>
      <c r="M92" s="576">
        <f t="shared" si="199"/>
        <v>1656871.9100000001</v>
      </c>
      <c r="N92" s="576">
        <v>1696588.87</v>
      </c>
      <c r="O92" s="525">
        <f t="shared" si="200"/>
        <v>696614.88999999966</v>
      </c>
      <c r="P92" s="522">
        <f>14363.9+2378839.86</f>
        <v>2393203.7599999998</v>
      </c>
      <c r="Q92" s="576">
        <f t="shared" si="151"/>
        <v>141746.44999999972</v>
      </c>
      <c r="R92" s="576">
        <f t="shared" si="152"/>
        <v>6.2957644975289355</v>
      </c>
      <c r="S92" s="576">
        <v>2045676.65</v>
      </c>
      <c r="T92" s="576">
        <v>2045676.65</v>
      </c>
      <c r="U92" s="522">
        <f t="shared" si="201"/>
        <v>2366281.63</v>
      </c>
      <c r="V92" s="522">
        <f t="shared" si="149"/>
        <v>320604.98</v>
      </c>
      <c r="W92" s="522">
        <f t="shared" si="153"/>
        <v>15.672319474341151</v>
      </c>
      <c r="X92" s="522">
        <f t="shared" si="154"/>
        <v>-26922.129999999888</v>
      </c>
      <c r="Y92" s="522">
        <f t="shared" si="155"/>
        <v>-1.1249409870557798</v>
      </c>
      <c r="Z92" s="524">
        <f t="shared" si="156"/>
        <v>2464597.17</v>
      </c>
      <c r="AA92" s="522">
        <f t="shared" si="157"/>
        <v>418920.52</v>
      </c>
      <c r="AB92" s="522">
        <f t="shared" si="158"/>
        <v>20.478335126912668</v>
      </c>
      <c r="AC92" s="522">
        <f t="shared" si="159"/>
        <v>98315.540000000037</v>
      </c>
      <c r="AD92" s="522">
        <f t="shared" si="160"/>
        <v>4.1548537060654098</v>
      </c>
      <c r="AE92" s="522">
        <f t="shared" si="161"/>
        <v>71393.410000000149</v>
      </c>
      <c r="AF92" s="522">
        <f t="shared" si="162"/>
        <v>2.9831730667178959</v>
      </c>
      <c r="AG92" s="522">
        <f t="shared" si="177"/>
        <v>2812923.45</v>
      </c>
      <c r="AH92" s="522">
        <f t="shared" si="163"/>
        <v>446641.8200000003</v>
      </c>
      <c r="AI92" s="522">
        <f t="shared" si="164"/>
        <v>18.875260422826344</v>
      </c>
      <c r="AJ92" s="522">
        <f t="shared" si="165"/>
        <v>348326.28000000026</v>
      </c>
      <c r="AK92" s="522">
        <f t="shared" si="133"/>
        <v>14.133193214694813</v>
      </c>
      <c r="AL92" s="522">
        <f t="shared" si="202"/>
        <v>2812923.45</v>
      </c>
      <c r="AM92" s="522">
        <f t="shared" si="192"/>
        <v>1109361.6299999999</v>
      </c>
      <c r="AN92" s="522">
        <f t="shared" si="192"/>
        <v>1207677.1700000002</v>
      </c>
      <c r="AO92" s="522">
        <f t="shared" si="166"/>
        <v>98315.54000000027</v>
      </c>
      <c r="AP92" s="522">
        <f t="shared" si="178"/>
        <v>8.8623526667314252</v>
      </c>
      <c r="AQ92" s="578">
        <v>439063</v>
      </c>
      <c r="AR92" s="578">
        <v>443379.96</v>
      </c>
      <c r="AS92" s="578">
        <v>670298.63</v>
      </c>
      <c r="AT92" s="578">
        <v>764297.2100000002</v>
      </c>
      <c r="AU92" s="578">
        <f t="shared" si="208"/>
        <v>1256920</v>
      </c>
      <c r="AV92" s="578">
        <f t="shared" si="208"/>
        <v>1256920</v>
      </c>
      <c r="AW92" s="578">
        <f t="shared" si="167"/>
        <v>0</v>
      </c>
      <c r="AX92" s="578">
        <f t="shared" si="168"/>
        <v>0</v>
      </c>
      <c r="AY92" s="578">
        <f t="shared" ref="AY92:AY155" si="210">BD92+BN92</f>
        <v>1605246.28</v>
      </c>
      <c r="AZ92" s="578">
        <f t="shared" si="169"/>
        <v>-348326.28</v>
      </c>
      <c r="BA92" s="578">
        <f t="shared" si="170"/>
        <v>-21.699242311902438</v>
      </c>
      <c r="BB92" s="578">
        <v>650260</v>
      </c>
      <c r="BC92" s="576">
        <f>'[67]Дир_ имущ'!AT41</f>
        <v>650260</v>
      </c>
      <c r="BD92" s="576">
        <f t="shared" si="203"/>
        <v>783998.86999999965</v>
      </c>
      <c r="BE92" s="576">
        <f t="shared" si="171"/>
        <v>133738.86999999965</v>
      </c>
      <c r="BF92" s="576">
        <f t="shared" si="172"/>
        <v>133738.86999999965</v>
      </c>
      <c r="BG92" s="576">
        <f t="shared" si="150"/>
        <v>1759621.63</v>
      </c>
      <c r="BH92" s="578">
        <f t="shared" si="150"/>
        <v>1857937.1700000002</v>
      </c>
      <c r="BI92" s="578">
        <f>1979638.65+12037.39</f>
        <v>1991676.0399999998</v>
      </c>
      <c r="BJ92" s="578">
        <f t="shared" si="173"/>
        <v>232054.40999999992</v>
      </c>
      <c r="BK92" s="578">
        <f t="shared" si="174"/>
        <v>133738.86999999965</v>
      </c>
      <c r="BL92" s="576">
        <v>606660</v>
      </c>
      <c r="BM92" s="578">
        <f>'[67]Дир_ имущ'!AW41</f>
        <v>606660</v>
      </c>
      <c r="BN92" s="522">
        <f t="shared" si="204"/>
        <v>821247.41000000038</v>
      </c>
      <c r="BO92" s="578">
        <f t="shared" si="181"/>
        <v>214587.41000000038</v>
      </c>
      <c r="BP92" s="578">
        <f t="shared" si="175"/>
        <v>214587.41000000038</v>
      </c>
      <c r="BQ92" s="576">
        <v>606660</v>
      </c>
      <c r="BR92" s="578">
        <f>'[67]Дир_ имущ'!BB41</f>
        <v>0</v>
      </c>
      <c r="BS92" s="578">
        <f>'[67]Дир_ имущ'!BC41</f>
        <v>0</v>
      </c>
      <c r="BT92" s="536"/>
      <c r="BU92" s="578">
        <v>2797725.87</v>
      </c>
      <c r="BV92" s="578">
        <v>15197.58</v>
      </c>
      <c r="BW92" s="578"/>
      <c r="BX92" s="629"/>
      <c r="BY92" s="525">
        <f>2255512.65+15197.58</f>
        <v>2270710.23</v>
      </c>
      <c r="BZ92" s="525">
        <v>381491.38</v>
      </c>
      <c r="CA92" s="525">
        <v>160721.84</v>
      </c>
      <c r="CB92" s="522">
        <f t="shared" si="134"/>
        <v>2812923.4499999997</v>
      </c>
      <c r="CC92" s="522">
        <f t="shared" si="176"/>
        <v>0</v>
      </c>
      <c r="CD92" s="578"/>
      <c r="CE92" s="578"/>
      <c r="CF92" s="578"/>
      <c r="CG92" s="578"/>
      <c r="CH92" s="578"/>
      <c r="CI92" s="578"/>
      <c r="CJ92" s="578"/>
      <c r="CK92" s="543" t="s">
        <v>1815</v>
      </c>
      <c r="CL92" s="543" t="s">
        <v>1897</v>
      </c>
      <c r="CM92" s="528" t="s">
        <v>1907</v>
      </c>
      <c r="CN92" s="528" t="s">
        <v>1849</v>
      </c>
      <c r="CO92" s="528"/>
      <c r="CP92" s="544">
        <f t="shared" si="205"/>
        <v>2183179.8229573262</v>
      </c>
      <c r="CQ92" s="544">
        <f t="shared" si="206"/>
        <v>160361.68043416741</v>
      </c>
      <c r="CR92" s="544">
        <f t="shared" si="207"/>
        <v>22740.126608506307</v>
      </c>
      <c r="CS92" s="1709" t="s">
        <v>1826</v>
      </c>
      <c r="CT92" s="1710"/>
      <c r="CU92" s="1710"/>
      <c r="CV92" s="1710"/>
      <c r="CW92" s="1711"/>
      <c r="CX92" s="528"/>
      <c r="CY92" s="528"/>
      <c r="CZ92" s="528"/>
      <c r="DA92" s="528"/>
      <c r="DB92" s="579">
        <f>439211.39+4168.57</f>
        <v>443379.96</v>
      </c>
      <c r="DC92" s="628" t="e">
        <f>P92-#REF!</f>
        <v>#REF!</v>
      </c>
      <c r="DD92" s="535">
        <f>1979638.65</f>
        <v>1979638.65</v>
      </c>
      <c r="DE92" s="535"/>
      <c r="DF92" s="525">
        <f t="shared" ref="DF92:DI155" si="211">BY92/1000</f>
        <v>2270.7102300000001</v>
      </c>
      <c r="DG92" s="525">
        <f t="shared" si="211"/>
        <v>381.49137999999999</v>
      </c>
      <c r="DH92" s="525">
        <f t="shared" si="211"/>
        <v>160.72183999999999</v>
      </c>
      <c r="DI92" s="522">
        <f t="shared" si="209"/>
        <v>2812.9234499999998</v>
      </c>
      <c r="DJ92" s="536"/>
      <c r="DK92" s="536"/>
      <c r="DL92" s="536"/>
      <c r="DM92" s="536"/>
      <c r="DN92" s="536"/>
      <c r="DO92" s="536"/>
      <c r="DP92" s="536"/>
      <c r="DQ92" s="536"/>
      <c r="DR92" s="536"/>
      <c r="DS92" s="536"/>
    </row>
    <row r="93" spans="1:123" s="534" customFormat="1" ht="56.4">
      <c r="A93" s="537" t="s">
        <v>313</v>
      </c>
      <c r="B93" s="538" t="s">
        <v>314</v>
      </c>
      <c r="C93" s="576">
        <v>258148.66</v>
      </c>
      <c r="D93" s="576">
        <v>1213712.7</v>
      </c>
      <c r="E93" s="576">
        <v>288133.28000000003</v>
      </c>
      <c r="F93" s="576">
        <v>265729</v>
      </c>
      <c r="G93" s="577">
        <v>216280.47451465257</v>
      </c>
      <c r="H93" s="577">
        <v>0</v>
      </c>
      <c r="I93" s="576">
        <f t="shared" si="198"/>
        <v>300988.76</v>
      </c>
      <c r="J93" s="576">
        <v>152874.01</v>
      </c>
      <c r="K93" s="576">
        <v>74057.37</v>
      </c>
      <c r="L93" s="576">
        <v>74057.38</v>
      </c>
      <c r="M93" s="576">
        <f t="shared" si="199"/>
        <v>226931.38</v>
      </c>
      <c r="N93" s="576">
        <v>212998.79</v>
      </c>
      <c r="O93" s="525">
        <f t="shared" si="200"/>
        <v>120868.9</v>
      </c>
      <c r="P93" s="522">
        <f>326368.27+3499.42+4000</f>
        <v>333867.69</v>
      </c>
      <c r="Q93" s="576">
        <f t="shared" si="151"/>
        <v>32878.929999999993</v>
      </c>
      <c r="R93" s="576">
        <f t="shared" si="152"/>
        <v>10.923640470826882</v>
      </c>
      <c r="S93" s="576">
        <v>259147.5625</v>
      </c>
      <c r="T93" s="576">
        <v>259147.5625</v>
      </c>
      <c r="U93" s="522">
        <f t="shared" si="201"/>
        <v>259147.56</v>
      </c>
      <c r="V93" s="522">
        <f t="shared" si="149"/>
        <v>-2.5000000023283064E-3</v>
      </c>
      <c r="W93" s="522">
        <f t="shared" si="153"/>
        <v>-9.6470134280934872E-7</v>
      </c>
      <c r="X93" s="522">
        <f t="shared" si="154"/>
        <v>-74720.13</v>
      </c>
      <c r="Y93" s="522">
        <f t="shared" si="155"/>
        <v>-22.380162033648716</v>
      </c>
      <c r="Z93" s="524">
        <f t="shared" si="156"/>
        <v>247747.26</v>
      </c>
      <c r="AA93" s="522">
        <f t="shared" si="157"/>
        <v>-11400.302499999991</v>
      </c>
      <c r="AB93" s="522">
        <f t="shared" si="158"/>
        <v>-4.3991548251587318</v>
      </c>
      <c r="AC93" s="522">
        <f t="shared" si="159"/>
        <v>-11400.299999999988</v>
      </c>
      <c r="AD93" s="522">
        <f t="shared" si="160"/>
        <v>-4.3991539028960887</v>
      </c>
      <c r="AE93" s="522">
        <f t="shared" si="161"/>
        <v>-86120.43</v>
      </c>
      <c r="AF93" s="522">
        <f t="shared" si="162"/>
        <v>-25.794778164967084</v>
      </c>
      <c r="AG93" s="522">
        <f t="shared" si="177"/>
        <v>235210.77</v>
      </c>
      <c r="AH93" s="522">
        <f t="shared" si="163"/>
        <v>-23936.790000000008</v>
      </c>
      <c r="AI93" s="522">
        <f t="shared" si="164"/>
        <v>-9.2367414148140199</v>
      </c>
      <c r="AJ93" s="522">
        <f t="shared" si="165"/>
        <v>-12536.49000000002</v>
      </c>
      <c r="AK93" s="522">
        <f t="shared" si="133"/>
        <v>-5.0601931985040096</v>
      </c>
      <c r="AL93" s="522">
        <f t="shared" si="202"/>
        <v>235210.77</v>
      </c>
      <c r="AM93" s="522">
        <f t="shared" si="192"/>
        <v>103659.02</v>
      </c>
      <c r="AN93" s="522">
        <f t="shared" si="192"/>
        <v>92258.72</v>
      </c>
      <c r="AO93" s="522">
        <f t="shared" si="166"/>
        <v>-11400.300000000003</v>
      </c>
      <c r="AP93" s="522">
        <f t="shared" si="178"/>
        <v>-10.997885181627225</v>
      </c>
      <c r="AQ93" s="578">
        <v>41463.61</v>
      </c>
      <c r="AR93" s="578">
        <v>41439.199999999997</v>
      </c>
      <c r="AS93" s="578">
        <v>62195.41</v>
      </c>
      <c r="AT93" s="578">
        <v>50819.520000000004</v>
      </c>
      <c r="AU93" s="578">
        <f t="shared" si="208"/>
        <v>155488.54</v>
      </c>
      <c r="AV93" s="578">
        <f t="shared" si="208"/>
        <v>155488.54</v>
      </c>
      <c r="AW93" s="578">
        <f t="shared" si="167"/>
        <v>0</v>
      </c>
      <c r="AX93" s="578">
        <f t="shared" si="168"/>
        <v>0</v>
      </c>
      <c r="AY93" s="578">
        <f t="shared" si="210"/>
        <v>142952.04999999999</v>
      </c>
      <c r="AZ93" s="578">
        <f t="shared" si="169"/>
        <v>12536.49000000002</v>
      </c>
      <c r="BA93" s="578">
        <f t="shared" si="170"/>
        <v>8.7697168386182653</v>
      </c>
      <c r="BB93" s="578">
        <v>77744.27</v>
      </c>
      <c r="BC93" s="576">
        <f>'[67]Дир_по корп'!AT23</f>
        <v>77744.27</v>
      </c>
      <c r="BD93" s="576">
        <f t="shared" si="203"/>
        <v>59827.579999999987</v>
      </c>
      <c r="BE93" s="576">
        <f t="shared" si="171"/>
        <v>-17916.690000000017</v>
      </c>
      <c r="BF93" s="576">
        <f t="shared" si="172"/>
        <v>-17916.690000000017</v>
      </c>
      <c r="BG93" s="576">
        <f t="shared" si="150"/>
        <v>181403.29</v>
      </c>
      <c r="BH93" s="578">
        <f t="shared" si="150"/>
        <v>170002.99</v>
      </c>
      <c r="BI93" s="578">
        <v>152086.29999999999</v>
      </c>
      <c r="BJ93" s="578">
        <f t="shared" si="173"/>
        <v>-29316.99000000002</v>
      </c>
      <c r="BK93" s="578">
        <f t="shared" si="174"/>
        <v>-17916.690000000002</v>
      </c>
      <c r="BL93" s="576">
        <v>77744.27</v>
      </c>
      <c r="BM93" s="578">
        <f>'[67]Дир_по корп'!AW23</f>
        <v>77744.27</v>
      </c>
      <c r="BN93" s="522">
        <f t="shared" si="204"/>
        <v>83124.47</v>
      </c>
      <c r="BO93" s="578">
        <f t="shared" si="181"/>
        <v>5380.1999999999971</v>
      </c>
      <c r="BP93" s="578">
        <f t="shared" si="175"/>
        <v>5380.1999999999971</v>
      </c>
      <c r="BQ93" s="576">
        <v>77744.27</v>
      </c>
      <c r="BR93" s="578">
        <f>'[67]Дир_по корп'!BB23</f>
        <v>0</v>
      </c>
      <c r="BS93" s="578">
        <f>'[67]Дир_по корп'!BC23</f>
        <v>0</v>
      </c>
      <c r="BT93" s="536"/>
      <c r="BU93" s="578">
        <f>221995.77+13215</f>
        <v>235210.77</v>
      </c>
      <c r="BV93" s="578"/>
      <c r="BW93" s="578"/>
      <c r="BX93" s="629"/>
      <c r="BY93" s="525">
        <f>170473.52+11040.4</f>
        <v>181513.91999999998</v>
      </c>
      <c r="BZ93" s="525">
        <f>49523.79+2032.53</f>
        <v>51556.32</v>
      </c>
      <c r="CA93" s="525">
        <f>1998.46+142.07</f>
        <v>2140.5300000000002</v>
      </c>
      <c r="CB93" s="522">
        <f t="shared" si="134"/>
        <v>235210.77</v>
      </c>
      <c r="CC93" s="522">
        <f t="shared" si="176"/>
        <v>0</v>
      </c>
      <c r="CD93" s="578"/>
      <c r="CE93" s="578"/>
      <c r="CF93" s="578"/>
      <c r="CG93" s="578"/>
      <c r="CH93" s="578"/>
      <c r="CI93" s="578"/>
      <c r="CJ93" s="578"/>
      <c r="CK93" s="543" t="s">
        <v>80</v>
      </c>
      <c r="CL93" s="543" t="s">
        <v>1908</v>
      </c>
      <c r="CM93" s="528" t="s">
        <v>1907</v>
      </c>
      <c r="CN93" s="528" t="s">
        <v>1849</v>
      </c>
      <c r="CO93" s="528"/>
      <c r="CP93" s="544">
        <f t="shared" si="205"/>
        <v>239094.83849588232</v>
      </c>
      <c r="CQ93" s="544">
        <f t="shared" si="206"/>
        <v>17562.295914038863</v>
      </c>
      <c r="CR93" s="544">
        <f t="shared" si="207"/>
        <v>2490.4255900788467</v>
      </c>
      <c r="CS93" s="1709" t="s">
        <v>1826</v>
      </c>
      <c r="CT93" s="1710"/>
      <c r="CU93" s="1710"/>
      <c r="CV93" s="1710"/>
      <c r="CW93" s="1711"/>
      <c r="CX93" s="528"/>
      <c r="CY93" s="528"/>
      <c r="CZ93" s="528"/>
      <c r="DA93" s="528"/>
      <c r="DB93" s="579">
        <f>38579.2+2860</f>
        <v>41439.199999999997</v>
      </c>
      <c r="DC93" s="628" t="e">
        <f>P93-#REF!</f>
        <v>#REF!</v>
      </c>
      <c r="DD93" s="535"/>
      <c r="DE93" s="535"/>
      <c r="DF93" s="525">
        <f t="shared" si="211"/>
        <v>181.51391999999998</v>
      </c>
      <c r="DG93" s="525">
        <f t="shared" si="211"/>
        <v>51.556319999999999</v>
      </c>
      <c r="DH93" s="525">
        <f t="shared" si="211"/>
        <v>2.14053</v>
      </c>
      <c r="DI93" s="522">
        <f t="shared" si="209"/>
        <v>235.21077</v>
      </c>
      <c r="DJ93" s="536"/>
      <c r="DK93" s="536"/>
      <c r="DL93" s="536"/>
      <c r="DM93" s="536"/>
      <c r="DN93" s="536"/>
      <c r="DO93" s="536"/>
      <c r="DP93" s="536"/>
      <c r="DQ93" s="536"/>
      <c r="DR93" s="536"/>
      <c r="DS93" s="536"/>
    </row>
    <row r="94" spans="1:123" s="534" customFormat="1" ht="54" customHeight="1">
      <c r="A94" s="537" t="s">
        <v>317</v>
      </c>
      <c r="B94" s="538" t="s">
        <v>1909</v>
      </c>
      <c r="C94" s="576">
        <v>1504701.12</v>
      </c>
      <c r="D94" s="576">
        <v>2099059.5499999998</v>
      </c>
      <c r="E94" s="576">
        <v>1464062</v>
      </c>
      <c r="F94" s="576">
        <v>1726740.98</v>
      </c>
      <c r="G94" s="577">
        <v>1315155.4948213659</v>
      </c>
      <c r="H94" s="577">
        <v>0</v>
      </c>
      <c r="I94" s="576">
        <f t="shared" si="198"/>
        <v>1484348.7</v>
      </c>
      <c r="J94" s="576">
        <v>755332.7</v>
      </c>
      <c r="K94" s="576">
        <v>364273.98</v>
      </c>
      <c r="L94" s="576">
        <v>364742.02</v>
      </c>
      <c r="M94" s="576">
        <f t="shared" si="199"/>
        <v>1119606.68</v>
      </c>
      <c r="N94" s="576">
        <v>1107254.58</v>
      </c>
      <c r="O94" s="525">
        <f t="shared" si="200"/>
        <v>504221.37999999989</v>
      </c>
      <c r="P94" s="522">
        <f>7917.78+1603558.18</f>
        <v>1611475.96</v>
      </c>
      <c r="Q94" s="576">
        <f t="shared" si="151"/>
        <v>127127.26000000001</v>
      </c>
      <c r="R94" s="576">
        <f t="shared" si="152"/>
        <v>8.5645145241141734</v>
      </c>
      <c r="S94" s="576">
        <v>1821505.4602999997</v>
      </c>
      <c r="T94" s="576">
        <v>1821505.4602999997</v>
      </c>
      <c r="U94" s="522">
        <f t="shared" si="201"/>
        <v>1505639.61</v>
      </c>
      <c r="V94" s="522">
        <f t="shared" si="149"/>
        <v>-315865.85029999958</v>
      </c>
      <c r="W94" s="522">
        <f t="shared" si="153"/>
        <v>-17.340922505276311</v>
      </c>
      <c r="X94" s="522">
        <f t="shared" si="154"/>
        <v>-105836.34999999986</v>
      </c>
      <c r="Y94" s="522">
        <f t="shared" si="155"/>
        <v>-6.5676654586891772</v>
      </c>
      <c r="Z94" s="524">
        <f t="shared" si="156"/>
        <v>1614873.12</v>
      </c>
      <c r="AA94" s="522">
        <f t="shared" si="157"/>
        <v>-206632.34029999957</v>
      </c>
      <c r="AB94" s="522">
        <f t="shared" si="158"/>
        <v>-11.344041772236437</v>
      </c>
      <c r="AC94" s="522">
        <f t="shared" si="159"/>
        <v>109233.51000000001</v>
      </c>
      <c r="AD94" s="522">
        <f t="shared" si="160"/>
        <v>7.2549572470400108</v>
      </c>
      <c r="AE94" s="522">
        <f t="shared" si="161"/>
        <v>3397.160000000149</v>
      </c>
      <c r="AF94" s="522">
        <f t="shared" si="162"/>
        <v>0.21081046719430674</v>
      </c>
      <c r="AG94" s="522">
        <f t="shared" si="177"/>
        <v>1872527.93</v>
      </c>
      <c r="AH94" s="522">
        <f t="shared" si="163"/>
        <v>366888.31999999983</v>
      </c>
      <c r="AI94" s="522">
        <f t="shared" si="164"/>
        <v>24.367605472334759</v>
      </c>
      <c r="AJ94" s="522">
        <f t="shared" si="165"/>
        <v>257654.80999999982</v>
      </c>
      <c r="AK94" s="522">
        <f t="shared" si="133"/>
        <v>15.955111693233206</v>
      </c>
      <c r="AL94" s="522">
        <f t="shared" si="202"/>
        <v>1872527.93</v>
      </c>
      <c r="AM94" s="522">
        <f t="shared" si="192"/>
        <v>755265.29</v>
      </c>
      <c r="AN94" s="522">
        <f t="shared" si="192"/>
        <v>864498.8</v>
      </c>
      <c r="AO94" s="522">
        <f t="shared" si="166"/>
        <v>109233.51000000001</v>
      </c>
      <c r="AP94" s="522">
        <f t="shared" si="178"/>
        <v>14.462932620668951</v>
      </c>
      <c r="AQ94" s="578">
        <v>373462.73</v>
      </c>
      <c r="AR94" s="578">
        <v>461373.81</v>
      </c>
      <c r="AS94" s="578">
        <v>381802.56</v>
      </c>
      <c r="AT94" s="578">
        <v>403124.99000000005</v>
      </c>
      <c r="AU94" s="578">
        <f t="shared" si="208"/>
        <v>750374.32000000007</v>
      </c>
      <c r="AV94" s="578">
        <f t="shared" si="208"/>
        <v>750374.32000000007</v>
      </c>
      <c r="AW94" s="578">
        <f t="shared" si="167"/>
        <v>0</v>
      </c>
      <c r="AX94" s="578">
        <f t="shared" si="168"/>
        <v>0</v>
      </c>
      <c r="AY94" s="578">
        <f t="shared" si="210"/>
        <v>1008029.1299999999</v>
      </c>
      <c r="AZ94" s="578">
        <f t="shared" si="169"/>
        <v>-257654.80999999982</v>
      </c>
      <c r="BA94" s="578">
        <f t="shared" si="170"/>
        <v>-25.560254394632409</v>
      </c>
      <c r="BB94" s="578">
        <v>361889.03</v>
      </c>
      <c r="BC94" s="576">
        <f>'[67]Дир_ имущ'!AT42</f>
        <v>361889.03</v>
      </c>
      <c r="BD94" s="576">
        <f t="shared" si="203"/>
        <v>402652.64999999991</v>
      </c>
      <c r="BE94" s="576">
        <f t="shared" si="171"/>
        <v>40763.619999999879</v>
      </c>
      <c r="BF94" s="576">
        <f t="shared" si="172"/>
        <v>40763.619999999879</v>
      </c>
      <c r="BG94" s="576">
        <f t="shared" si="150"/>
        <v>1117154.32</v>
      </c>
      <c r="BH94" s="578">
        <f t="shared" si="150"/>
        <v>1226387.83</v>
      </c>
      <c r="BI94" s="578">
        <f>1263394.26+3757.19</f>
        <v>1267151.45</v>
      </c>
      <c r="BJ94" s="578">
        <f t="shared" si="173"/>
        <v>149997.12999999989</v>
      </c>
      <c r="BK94" s="578">
        <f t="shared" si="174"/>
        <v>40763.619999999879</v>
      </c>
      <c r="BL94" s="576">
        <v>388485.29</v>
      </c>
      <c r="BM94" s="578">
        <f>'[67]Дир_ имущ'!AW42</f>
        <v>388485.29</v>
      </c>
      <c r="BN94" s="522">
        <f t="shared" si="204"/>
        <v>605376.48</v>
      </c>
      <c r="BO94" s="578">
        <f t="shared" si="181"/>
        <v>216891.19</v>
      </c>
      <c r="BP94" s="578">
        <f t="shared" si="175"/>
        <v>216891.19</v>
      </c>
      <c r="BQ94" s="576">
        <v>388485.29</v>
      </c>
      <c r="BR94" s="578">
        <f>'[67]Дир_ имущ'!BB42</f>
        <v>0</v>
      </c>
      <c r="BS94" s="578">
        <f>'[67]Дир_ имущ'!BC42</f>
        <v>0</v>
      </c>
      <c r="BT94" s="536"/>
      <c r="BU94" s="578">
        <v>1866132.44</v>
      </c>
      <c r="BV94" s="578">
        <v>6395.49</v>
      </c>
      <c r="BW94" s="578"/>
      <c r="BX94" s="629"/>
      <c r="BY94" s="525">
        <f>1662059.2+6395.49</f>
        <v>1668454.69</v>
      </c>
      <c r="BZ94" s="525">
        <v>164766.29999999999</v>
      </c>
      <c r="CA94" s="525">
        <v>39306.94</v>
      </c>
      <c r="CB94" s="522">
        <f t="shared" si="134"/>
        <v>1872527.93</v>
      </c>
      <c r="CC94" s="522">
        <f t="shared" si="176"/>
        <v>0</v>
      </c>
      <c r="CD94" s="578"/>
      <c r="CE94" s="578"/>
      <c r="CF94" s="578"/>
      <c r="CG94" s="578"/>
      <c r="CH94" s="578"/>
      <c r="CI94" s="578"/>
      <c r="CJ94" s="578"/>
      <c r="CK94" s="543" t="s">
        <v>1815</v>
      </c>
      <c r="CL94" s="543" t="s">
        <v>1897</v>
      </c>
      <c r="CM94" s="528" t="s">
        <v>1907</v>
      </c>
      <c r="CN94" s="528" t="s">
        <v>1849</v>
      </c>
      <c r="CO94" s="528"/>
      <c r="CP94" s="544">
        <f t="shared" si="205"/>
        <v>1389133.8949359709</v>
      </c>
      <c r="CQ94" s="544">
        <f t="shared" si="206"/>
        <v>102036.41651388911</v>
      </c>
      <c r="CR94" s="544">
        <f t="shared" si="207"/>
        <v>14469.298550140062</v>
      </c>
      <c r="CS94" s="1709" t="s">
        <v>1826</v>
      </c>
      <c r="CT94" s="1710"/>
      <c r="CU94" s="1710"/>
      <c r="CV94" s="1710"/>
      <c r="CW94" s="1711"/>
      <c r="CX94" s="528"/>
      <c r="CY94" s="528"/>
      <c r="CZ94" s="528"/>
      <c r="DA94" s="528"/>
      <c r="DB94" s="579">
        <f>460093.76+1280.05</f>
        <v>461373.81</v>
      </c>
      <c r="DC94" s="628" t="e">
        <f>P94-#REF!</f>
        <v>#REF!</v>
      </c>
      <c r="DD94" s="535">
        <f>1263394.26</f>
        <v>1263394.26</v>
      </c>
      <c r="DE94" s="535"/>
      <c r="DF94" s="525">
        <f t="shared" si="211"/>
        <v>1668.45469</v>
      </c>
      <c r="DG94" s="525">
        <f t="shared" si="211"/>
        <v>164.7663</v>
      </c>
      <c r="DH94" s="525">
        <f t="shared" si="211"/>
        <v>39.306940000000004</v>
      </c>
      <c r="DI94" s="522">
        <f t="shared" si="209"/>
        <v>1872.52793</v>
      </c>
      <c r="DJ94" s="536"/>
      <c r="DK94" s="536"/>
      <c r="DL94" s="536"/>
      <c r="DM94" s="536"/>
      <c r="DN94" s="536"/>
      <c r="DO94" s="536"/>
      <c r="DP94" s="536"/>
      <c r="DQ94" s="536"/>
      <c r="DR94" s="536"/>
      <c r="DS94" s="536"/>
    </row>
    <row r="95" spans="1:123" s="534" customFormat="1" ht="34.5" customHeight="1">
      <c r="A95" s="537" t="s">
        <v>321</v>
      </c>
      <c r="B95" s="538" t="s">
        <v>1910</v>
      </c>
      <c r="C95" s="576">
        <v>679642.01</v>
      </c>
      <c r="D95" s="576">
        <v>357321.36</v>
      </c>
      <c r="E95" s="576">
        <v>802509</v>
      </c>
      <c r="F95" s="576">
        <v>801138.59</v>
      </c>
      <c r="G95" s="577">
        <v>664829.34533809568</v>
      </c>
      <c r="H95" s="577">
        <v>0</v>
      </c>
      <c r="I95" s="576">
        <f t="shared" si="198"/>
        <v>609686.92999999993</v>
      </c>
      <c r="J95" s="576">
        <v>303313.77</v>
      </c>
      <c r="K95" s="576">
        <v>152980.04999999999</v>
      </c>
      <c r="L95" s="576">
        <v>153393.10999999999</v>
      </c>
      <c r="M95" s="576">
        <f t="shared" si="199"/>
        <v>456293.82</v>
      </c>
      <c r="N95" s="576">
        <v>498776.97</v>
      </c>
      <c r="O95" s="525">
        <f t="shared" si="200"/>
        <v>221433.58999999997</v>
      </c>
      <c r="P95" s="522">
        <f>471.83+719738.73</f>
        <v>720210.55999999994</v>
      </c>
      <c r="Q95" s="576">
        <f t="shared" si="151"/>
        <v>110523.63</v>
      </c>
      <c r="R95" s="576">
        <f t="shared" si="152"/>
        <v>18.12793165830206</v>
      </c>
      <c r="S95" s="576">
        <v>701394.95933169092</v>
      </c>
      <c r="T95" s="576">
        <v>701394.95933169092</v>
      </c>
      <c r="U95" s="522">
        <f t="shared" si="201"/>
        <v>634265.01</v>
      </c>
      <c r="V95" s="522">
        <f t="shared" si="149"/>
        <v>-67129.949331690907</v>
      </c>
      <c r="W95" s="522">
        <f t="shared" si="153"/>
        <v>-9.5709198417471129</v>
      </c>
      <c r="X95" s="522">
        <f t="shared" si="154"/>
        <v>-85945.54999999993</v>
      </c>
      <c r="Y95" s="522">
        <f t="shared" si="155"/>
        <v>-11.933392090224274</v>
      </c>
      <c r="Z95" s="524">
        <f t="shared" si="156"/>
        <v>705841.73</v>
      </c>
      <c r="AA95" s="522">
        <f t="shared" si="157"/>
        <v>4446.7706683090655</v>
      </c>
      <c r="AB95" s="522">
        <f t="shared" si="158"/>
        <v>0.63398953886782294</v>
      </c>
      <c r="AC95" s="522">
        <f t="shared" si="159"/>
        <v>71576.719999999972</v>
      </c>
      <c r="AD95" s="522">
        <f t="shared" si="160"/>
        <v>11.284986381323463</v>
      </c>
      <c r="AE95" s="522">
        <f t="shared" si="161"/>
        <v>-14368.829999999958</v>
      </c>
      <c r="AF95" s="522">
        <f t="shared" si="162"/>
        <v>-1.9950873811125405</v>
      </c>
      <c r="AG95" s="522">
        <f t="shared" si="177"/>
        <v>847701.76</v>
      </c>
      <c r="AH95" s="522">
        <f t="shared" si="163"/>
        <v>213436.75</v>
      </c>
      <c r="AI95" s="522">
        <f t="shared" si="164"/>
        <v>33.651036496558419</v>
      </c>
      <c r="AJ95" s="522">
        <f t="shared" si="165"/>
        <v>141860.03000000003</v>
      </c>
      <c r="AK95" s="522">
        <f t="shared" si="133"/>
        <v>20.097994206151569</v>
      </c>
      <c r="AL95" s="522">
        <f t="shared" si="202"/>
        <v>847701.76</v>
      </c>
      <c r="AM95" s="522">
        <f t="shared" si="192"/>
        <v>305946.30000000005</v>
      </c>
      <c r="AN95" s="522">
        <f t="shared" si="192"/>
        <v>377523.02</v>
      </c>
      <c r="AO95" s="522">
        <f t="shared" si="166"/>
        <v>71576.719999999972</v>
      </c>
      <c r="AP95" s="522">
        <f t="shared" si="178"/>
        <v>23.395190593904871</v>
      </c>
      <c r="AQ95" s="578">
        <v>143984.64000000001</v>
      </c>
      <c r="AR95" s="578">
        <v>187611.79</v>
      </c>
      <c r="AS95" s="578">
        <v>161961.66</v>
      </c>
      <c r="AT95" s="578">
        <v>189911.23</v>
      </c>
      <c r="AU95" s="578">
        <f t="shared" si="208"/>
        <v>328318.71000000002</v>
      </c>
      <c r="AV95" s="578">
        <f t="shared" si="208"/>
        <v>328318.71000000002</v>
      </c>
      <c r="AW95" s="578">
        <f t="shared" si="167"/>
        <v>0</v>
      </c>
      <c r="AX95" s="578">
        <f t="shared" si="168"/>
        <v>0</v>
      </c>
      <c r="AY95" s="578">
        <f t="shared" si="210"/>
        <v>470178.74</v>
      </c>
      <c r="AZ95" s="578">
        <f t="shared" si="169"/>
        <v>-141860.02999999997</v>
      </c>
      <c r="BA95" s="578">
        <f t="shared" si="170"/>
        <v>-30.171510944965306</v>
      </c>
      <c r="BB95" s="578">
        <v>162099.73000000001</v>
      </c>
      <c r="BC95" s="576">
        <f>'[67]Дир_ имущ'!AT43</f>
        <v>162099.73000000001</v>
      </c>
      <c r="BD95" s="576">
        <f t="shared" si="203"/>
        <v>229223.54999999993</v>
      </c>
      <c r="BE95" s="576">
        <f t="shared" si="171"/>
        <v>67123.81999999992</v>
      </c>
      <c r="BF95" s="576">
        <f t="shared" si="172"/>
        <v>67123.81999999992</v>
      </c>
      <c r="BG95" s="576">
        <f t="shared" si="150"/>
        <v>468046.03</v>
      </c>
      <c r="BH95" s="578">
        <f t="shared" si="150"/>
        <v>539622.75</v>
      </c>
      <c r="BI95" s="578">
        <f>606255.11+491.46</f>
        <v>606746.56999999995</v>
      </c>
      <c r="BJ95" s="578">
        <f t="shared" si="173"/>
        <v>138700.53999999992</v>
      </c>
      <c r="BK95" s="578">
        <f t="shared" si="174"/>
        <v>67123.819999999949</v>
      </c>
      <c r="BL95" s="576">
        <v>166218.98000000001</v>
      </c>
      <c r="BM95" s="578">
        <f>'[67]Дир_ имущ'!AW43</f>
        <v>166218.98000000001</v>
      </c>
      <c r="BN95" s="522">
        <f t="shared" si="204"/>
        <v>240955.19000000006</v>
      </c>
      <c r="BO95" s="578">
        <f t="shared" si="181"/>
        <v>74736.21000000005</v>
      </c>
      <c r="BP95" s="578">
        <f t="shared" si="175"/>
        <v>74736.21000000005</v>
      </c>
      <c r="BQ95" s="576">
        <v>166218.98000000001</v>
      </c>
      <c r="BR95" s="578">
        <f>'[67]Дир_ имущ'!BB43</f>
        <v>0</v>
      </c>
      <c r="BS95" s="578">
        <f>'[67]Дир_ имущ'!BC43</f>
        <v>0</v>
      </c>
      <c r="BT95" s="536"/>
      <c r="BU95" s="578">
        <v>847198.52</v>
      </c>
      <c r="BV95" s="578">
        <v>503.24</v>
      </c>
      <c r="BW95" s="578"/>
      <c r="BX95" s="629"/>
      <c r="BY95" s="525">
        <f>756447.79+503.24</f>
        <v>756951.03</v>
      </c>
      <c r="BZ95" s="525">
        <v>78803.55</v>
      </c>
      <c r="CA95" s="525">
        <v>11947.18</v>
      </c>
      <c r="CB95" s="522">
        <f t="shared" si="134"/>
        <v>847701.76000000013</v>
      </c>
      <c r="CC95" s="522">
        <f t="shared" si="176"/>
        <v>0</v>
      </c>
      <c r="CD95" s="578"/>
      <c r="CE95" s="578"/>
      <c r="CF95" s="578"/>
      <c r="CG95" s="578"/>
      <c r="CH95" s="578"/>
      <c r="CI95" s="578"/>
      <c r="CJ95" s="578"/>
      <c r="CK95" s="543" t="s">
        <v>1815</v>
      </c>
      <c r="CL95" s="543" t="s">
        <v>1897</v>
      </c>
      <c r="CM95" s="528" t="s">
        <v>1907</v>
      </c>
      <c r="CN95" s="528" t="s">
        <v>1849</v>
      </c>
      <c r="CO95" s="528"/>
      <c r="CP95" s="544">
        <f t="shared" si="205"/>
        <v>585185.86912236095</v>
      </c>
      <c r="CQ95" s="544">
        <f t="shared" si="206"/>
        <v>42983.811206020306</v>
      </c>
      <c r="CR95" s="544">
        <f t="shared" si="207"/>
        <v>6095.3296716188079</v>
      </c>
      <c r="CS95" s="1709" t="s">
        <v>1826</v>
      </c>
      <c r="CT95" s="1710"/>
      <c r="CU95" s="1710"/>
      <c r="CV95" s="1710"/>
      <c r="CW95" s="1711"/>
      <c r="CX95" s="528"/>
      <c r="CY95" s="528"/>
      <c r="CZ95" s="528"/>
      <c r="DA95" s="528"/>
      <c r="DB95" s="579">
        <f>187611.79</f>
        <v>187611.79</v>
      </c>
      <c r="DC95" s="628" t="e">
        <f>P95-#REF!</f>
        <v>#REF!</v>
      </c>
      <c r="DD95" s="535">
        <f>606255.11</f>
        <v>606255.11</v>
      </c>
      <c r="DE95" s="535"/>
      <c r="DF95" s="525">
        <f t="shared" si="211"/>
        <v>756.95103000000006</v>
      </c>
      <c r="DG95" s="525">
        <f t="shared" si="211"/>
        <v>78.803550000000001</v>
      </c>
      <c r="DH95" s="525">
        <f t="shared" si="211"/>
        <v>11.947179999999999</v>
      </c>
      <c r="DI95" s="522">
        <f t="shared" si="209"/>
        <v>847.70176000000015</v>
      </c>
      <c r="DJ95" s="536"/>
      <c r="DK95" s="536"/>
      <c r="DL95" s="536"/>
      <c r="DM95" s="536"/>
      <c r="DN95" s="536"/>
      <c r="DO95" s="536"/>
      <c r="DP95" s="536"/>
      <c r="DQ95" s="536"/>
      <c r="DR95" s="536"/>
      <c r="DS95" s="536"/>
    </row>
    <row r="96" spans="1:123" s="534" customFormat="1" ht="60" customHeight="1">
      <c r="A96" s="537" t="s">
        <v>325</v>
      </c>
      <c r="B96" s="538" t="s">
        <v>326</v>
      </c>
      <c r="C96" s="576">
        <v>654096.86</v>
      </c>
      <c r="D96" s="576">
        <v>0</v>
      </c>
      <c r="E96" s="576">
        <v>653736</v>
      </c>
      <c r="F96" s="576">
        <v>657792.18999999994</v>
      </c>
      <c r="G96" s="577">
        <v>0</v>
      </c>
      <c r="H96" s="577">
        <v>0</v>
      </c>
      <c r="I96" s="576">
        <f t="shared" si="198"/>
        <v>694379.38</v>
      </c>
      <c r="J96" s="576">
        <v>382317.46</v>
      </c>
      <c r="K96" s="576">
        <v>144976.51</v>
      </c>
      <c r="L96" s="576">
        <v>167085.41</v>
      </c>
      <c r="M96" s="576">
        <f t="shared" si="199"/>
        <v>527293.97</v>
      </c>
      <c r="N96" s="576">
        <v>539511.41</v>
      </c>
      <c r="O96" s="525">
        <f t="shared" si="200"/>
        <v>225375.20000000007</v>
      </c>
      <c r="P96" s="522">
        <f>90699.93+674186.68</f>
        <v>764886.6100000001</v>
      </c>
      <c r="Q96" s="576">
        <f t="shared" si="151"/>
        <v>70507.230000000098</v>
      </c>
      <c r="R96" s="576">
        <f t="shared" si="152"/>
        <v>10.153992475986271</v>
      </c>
      <c r="S96" s="576">
        <v>0</v>
      </c>
      <c r="T96" s="576">
        <v>0</v>
      </c>
      <c r="U96" s="522">
        <f t="shared" si="201"/>
        <v>726179.19</v>
      </c>
      <c r="V96" s="522">
        <f t="shared" si="149"/>
        <v>726179.19</v>
      </c>
      <c r="W96" s="522">
        <v>0</v>
      </c>
      <c r="X96" s="522">
        <f t="shared" si="154"/>
        <v>-38707.420000000158</v>
      </c>
      <c r="Y96" s="522">
        <f t="shared" si="155"/>
        <v>-5.0605435490627997</v>
      </c>
      <c r="Z96" s="524">
        <f t="shared" si="156"/>
        <v>613317.38</v>
      </c>
      <c r="AA96" s="522">
        <f t="shared" si="157"/>
        <v>613317.38</v>
      </c>
      <c r="AB96" s="522">
        <v>0</v>
      </c>
      <c r="AC96" s="522">
        <f t="shared" si="159"/>
        <v>-112861.80999999994</v>
      </c>
      <c r="AD96" s="522">
        <f t="shared" si="160"/>
        <v>-15.541867841186686</v>
      </c>
      <c r="AE96" s="522">
        <f t="shared" si="161"/>
        <v>-151569.2300000001</v>
      </c>
      <c r="AF96" s="522">
        <f t="shared" si="162"/>
        <v>-19.81590839980845</v>
      </c>
      <c r="AG96" s="522">
        <f t="shared" si="177"/>
        <v>795943.2</v>
      </c>
      <c r="AH96" s="522">
        <f t="shared" si="163"/>
        <v>69764.010000000009</v>
      </c>
      <c r="AI96" s="522">
        <f t="shared" si="164"/>
        <v>9.6069965871646588</v>
      </c>
      <c r="AJ96" s="522">
        <f t="shared" si="165"/>
        <v>182625.81999999995</v>
      </c>
      <c r="AK96" s="522">
        <f t="shared" si="133"/>
        <v>29.776723431512721</v>
      </c>
      <c r="AL96" s="522">
        <f t="shared" si="202"/>
        <v>795943.2</v>
      </c>
      <c r="AM96" s="522">
        <f t="shared" si="192"/>
        <v>319659.73</v>
      </c>
      <c r="AN96" s="522">
        <f t="shared" si="192"/>
        <v>206797.92</v>
      </c>
      <c r="AO96" s="522">
        <f t="shared" si="166"/>
        <v>-112861.80999999997</v>
      </c>
      <c r="AP96" s="522">
        <f t="shared" si="178"/>
        <v>-35.306858952799587</v>
      </c>
      <c r="AQ96" s="578">
        <v>116400</v>
      </c>
      <c r="AR96" s="578">
        <v>104754.34</v>
      </c>
      <c r="AS96" s="578">
        <v>203259.73</v>
      </c>
      <c r="AT96" s="578">
        <v>102043.58000000002</v>
      </c>
      <c r="AU96" s="578">
        <f t="shared" si="208"/>
        <v>406519.46</v>
      </c>
      <c r="AV96" s="578">
        <f t="shared" si="208"/>
        <v>406519.46</v>
      </c>
      <c r="AW96" s="578">
        <f t="shared" si="167"/>
        <v>0</v>
      </c>
      <c r="AX96" s="578">
        <f t="shared" si="168"/>
        <v>0</v>
      </c>
      <c r="AY96" s="578">
        <f t="shared" si="210"/>
        <v>589145.27999999991</v>
      </c>
      <c r="AZ96" s="578">
        <f t="shared" si="169"/>
        <v>-182625.81999999989</v>
      </c>
      <c r="BA96" s="578">
        <f t="shared" si="170"/>
        <v>-30.998435564144714</v>
      </c>
      <c r="BB96" s="578">
        <v>203259.73</v>
      </c>
      <c r="BC96" s="576">
        <f>'[67]Дир_ имущ'!AT44</f>
        <v>203259.73</v>
      </c>
      <c r="BD96" s="576">
        <f t="shared" si="203"/>
        <v>258834.02999999994</v>
      </c>
      <c r="BE96" s="576">
        <f t="shared" si="171"/>
        <v>55574.29999999993</v>
      </c>
      <c r="BF96" s="576">
        <f t="shared" si="172"/>
        <v>55574.29999999993</v>
      </c>
      <c r="BG96" s="576">
        <f t="shared" si="150"/>
        <v>522919.45999999996</v>
      </c>
      <c r="BH96" s="578">
        <f t="shared" si="150"/>
        <v>410057.65</v>
      </c>
      <c r="BI96" s="578">
        <f>390333.16+75298.79</f>
        <v>465631.94999999995</v>
      </c>
      <c r="BJ96" s="578">
        <f t="shared" si="173"/>
        <v>-57287.510000000009</v>
      </c>
      <c r="BK96" s="578">
        <f t="shared" si="174"/>
        <v>55574.29999999993</v>
      </c>
      <c r="BL96" s="576">
        <v>203259.73</v>
      </c>
      <c r="BM96" s="578">
        <f>'[67]Дир_ имущ'!AW44</f>
        <v>203259.73</v>
      </c>
      <c r="BN96" s="522">
        <f t="shared" si="204"/>
        <v>330311.25</v>
      </c>
      <c r="BO96" s="578">
        <f t="shared" si="181"/>
        <v>127051.51999999999</v>
      </c>
      <c r="BP96" s="578">
        <f t="shared" si="175"/>
        <v>127051.51999999999</v>
      </c>
      <c r="BQ96" s="576">
        <v>203259.73</v>
      </c>
      <c r="BR96" s="578">
        <f>'[67]Дир_ имущ'!BB44</f>
        <v>0</v>
      </c>
      <c r="BS96" s="578">
        <f>'[67]Дир_ имущ'!BC44</f>
        <v>0</v>
      </c>
      <c r="BT96" s="536"/>
      <c r="BU96" s="578">
        <v>707764.25</v>
      </c>
      <c r="BV96" s="578">
        <v>88178.95</v>
      </c>
      <c r="BW96" s="578"/>
      <c r="BX96" s="629"/>
      <c r="BY96" s="525">
        <f>669398.23+88178.95</f>
        <v>757577.17999999993</v>
      </c>
      <c r="BZ96" s="525">
        <v>33704.959999999999</v>
      </c>
      <c r="CA96" s="525">
        <v>4661.0600000000004</v>
      </c>
      <c r="CB96" s="522">
        <f t="shared" si="134"/>
        <v>795943.2</v>
      </c>
      <c r="CC96" s="522">
        <f t="shared" si="176"/>
        <v>0</v>
      </c>
      <c r="CD96" s="578"/>
      <c r="CE96" s="578"/>
      <c r="CF96" s="578"/>
      <c r="CG96" s="578"/>
      <c r="CH96" s="578"/>
      <c r="CI96" s="578"/>
      <c r="CJ96" s="578"/>
      <c r="CK96" s="543" t="s">
        <v>1815</v>
      </c>
      <c r="CL96" s="543" t="s">
        <v>1897</v>
      </c>
      <c r="CM96" s="528" t="s">
        <v>1907</v>
      </c>
      <c r="CN96" s="528" t="s">
        <v>1849</v>
      </c>
      <c r="CO96" s="528"/>
      <c r="CP96" s="544">
        <f t="shared" si="205"/>
        <v>669987.77126097819</v>
      </c>
      <c r="CQ96" s="544">
        <f t="shared" si="206"/>
        <v>49212.78757707405</v>
      </c>
      <c r="CR96" s="544">
        <f t="shared" si="207"/>
        <v>6978.6311619477674</v>
      </c>
      <c r="CS96" s="1709" t="s">
        <v>1826</v>
      </c>
      <c r="CT96" s="1710"/>
      <c r="CU96" s="1710"/>
      <c r="CV96" s="1710"/>
      <c r="CW96" s="1711"/>
      <c r="CX96" s="528"/>
      <c r="CY96" s="528"/>
      <c r="CZ96" s="528"/>
      <c r="DA96" s="528"/>
      <c r="DB96" s="579">
        <f>80206.08+24548.26</f>
        <v>104754.34</v>
      </c>
      <c r="DC96" s="628" t="e">
        <f>P96-#REF!</f>
        <v>#REF!</v>
      </c>
      <c r="DD96" s="535">
        <f>390333.16</f>
        <v>390333.16</v>
      </c>
      <c r="DE96" s="535"/>
      <c r="DF96" s="525">
        <f t="shared" si="211"/>
        <v>757.57717999999988</v>
      </c>
      <c r="DG96" s="525">
        <f t="shared" si="211"/>
        <v>33.70496</v>
      </c>
      <c r="DH96" s="525">
        <f t="shared" si="211"/>
        <v>4.66106</v>
      </c>
      <c r="DI96" s="522">
        <f t="shared" si="209"/>
        <v>795.94319999999993</v>
      </c>
      <c r="DJ96" s="536"/>
      <c r="DK96" s="536"/>
      <c r="DL96" s="536"/>
      <c r="DM96" s="536"/>
      <c r="DN96" s="536"/>
      <c r="DO96" s="536"/>
      <c r="DP96" s="536"/>
      <c r="DQ96" s="536"/>
      <c r="DR96" s="536"/>
      <c r="DS96" s="536"/>
    </row>
    <row r="97" spans="1:123" s="534" customFormat="1" ht="34.5" customHeight="1">
      <c r="A97" s="537" t="s">
        <v>330</v>
      </c>
      <c r="B97" s="538" t="s">
        <v>331</v>
      </c>
      <c r="C97" s="576">
        <v>41593.589999999997</v>
      </c>
      <c r="D97" s="576">
        <v>60126.19</v>
      </c>
      <c r="E97" s="576">
        <v>66238</v>
      </c>
      <c r="F97" s="576">
        <v>45993.43</v>
      </c>
      <c r="G97" s="577">
        <v>43174.625614235942</v>
      </c>
      <c r="H97" s="577">
        <v>0</v>
      </c>
      <c r="I97" s="576">
        <f t="shared" si="198"/>
        <v>33988.49</v>
      </c>
      <c r="J97" s="576">
        <v>25971.81</v>
      </c>
      <c r="K97" s="576">
        <v>6651.46</v>
      </c>
      <c r="L97" s="576">
        <v>1365.22</v>
      </c>
      <c r="M97" s="576">
        <f t="shared" si="199"/>
        <v>32623.27</v>
      </c>
      <c r="N97" s="576">
        <v>37653.25</v>
      </c>
      <c r="O97" s="525">
        <f t="shared" si="200"/>
        <v>32504.86</v>
      </c>
      <c r="P97" s="522">
        <v>70158.11</v>
      </c>
      <c r="Q97" s="576">
        <f t="shared" si="151"/>
        <v>36169.620000000003</v>
      </c>
      <c r="R97" s="576">
        <f t="shared" si="152"/>
        <v>106.41726066677282</v>
      </c>
      <c r="S97" s="576">
        <v>46465.10125</v>
      </c>
      <c r="T97" s="576">
        <v>46465.10125</v>
      </c>
      <c r="U97" s="522">
        <f t="shared" si="201"/>
        <v>39573.57</v>
      </c>
      <c r="V97" s="522">
        <f t="shared" si="149"/>
        <v>-6891.53125</v>
      </c>
      <c r="W97" s="522">
        <f t="shared" si="153"/>
        <v>-14.831628608578569</v>
      </c>
      <c r="X97" s="522">
        <f t="shared" si="154"/>
        <v>-30584.54</v>
      </c>
      <c r="Y97" s="522">
        <f t="shared" si="155"/>
        <v>-43.593734209772762</v>
      </c>
      <c r="Z97" s="524">
        <f t="shared" si="156"/>
        <v>211559.72</v>
      </c>
      <c r="AA97" s="522">
        <f t="shared" si="157"/>
        <v>165094.61874999999</v>
      </c>
      <c r="AB97" s="522">
        <f t="shared" si="158"/>
        <v>355.30885397564907</v>
      </c>
      <c r="AC97" s="522">
        <f t="shared" si="159"/>
        <v>171986.15</v>
      </c>
      <c r="AD97" s="522">
        <f t="shared" si="160"/>
        <v>434.59852118471997</v>
      </c>
      <c r="AE97" s="522">
        <f t="shared" si="161"/>
        <v>141401.60999999999</v>
      </c>
      <c r="AF97" s="522">
        <f t="shared" si="162"/>
        <v>201.54706277007745</v>
      </c>
      <c r="AG97" s="522">
        <f t="shared" si="177"/>
        <v>50665.120000000003</v>
      </c>
      <c r="AH97" s="522">
        <f t="shared" si="163"/>
        <v>11091.550000000003</v>
      </c>
      <c r="AI97" s="522">
        <f t="shared" si="164"/>
        <v>28.027670993544433</v>
      </c>
      <c r="AJ97" s="522">
        <f t="shared" si="165"/>
        <v>-160894.6</v>
      </c>
      <c r="AK97" s="522">
        <f t="shared" si="133"/>
        <v>-76.051622681293011</v>
      </c>
      <c r="AL97" s="522">
        <f t="shared" si="202"/>
        <v>50665.120000000003</v>
      </c>
      <c r="AM97" s="522">
        <f t="shared" si="192"/>
        <v>17873.57</v>
      </c>
      <c r="AN97" s="522">
        <f t="shared" si="192"/>
        <v>16969.72</v>
      </c>
      <c r="AO97" s="522">
        <f t="shared" si="166"/>
        <v>-903.84999999999854</v>
      </c>
      <c r="AP97" s="522">
        <f t="shared" si="178"/>
        <v>-5.0569080491474239</v>
      </c>
      <c r="AQ97" s="578">
        <v>7023.57</v>
      </c>
      <c r="AR97" s="578">
        <v>9619.7199999999993</v>
      </c>
      <c r="AS97" s="578">
        <v>10850</v>
      </c>
      <c r="AT97" s="578">
        <v>7350.0000000000018</v>
      </c>
      <c r="AU97" s="578">
        <f t="shared" si="208"/>
        <v>21700</v>
      </c>
      <c r="AV97" s="578">
        <f t="shared" si="208"/>
        <v>194590</v>
      </c>
      <c r="AW97" s="578">
        <f t="shared" si="167"/>
        <v>172890</v>
      </c>
      <c r="AX97" s="578">
        <f t="shared" si="168"/>
        <v>796.72811059907838</v>
      </c>
      <c r="AY97" s="578">
        <f t="shared" si="210"/>
        <v>33695.4</v>
      </c>
      <c r="AZ97" s="578">
        <f t="shared" si="169"/>
        <v>160894.6</v>
      </c>
      <c r="BA97" s="578">
        <f t="shared" si="170"/>
        <v>477.4972251405236</v>
      </c>
      <c r="BB97" s="578">
        <v>10850</v>
      </c>
      <c r="BC97" s="576">
        <f>'[67]Дир_ имущ'!AT45</f>
        <v>183740</v>
      </c>
      <c r="BD97" s="576">
        <f t="shared" si="203"/>
        <v>24223.4</v>
      </c>
      <c r="BE97" s="576">
        <f t="shared" si="171"/>
        <v>13373.400000000001</v>
      </c>
      <c r="BF97" s="576">
        <f t="shared" si="172"/>
        <v>-159516.6</v>
      </c>
      <c r="BG97" s="576">
        <f t="shared" si="150"/>
        <v>28723.57</v>
      </c>
      <c r="BH97" s="578">
        <f t="shared" si="150"/>
        <v>200709.72</v>
      </c>
      <c r="BI97" s="578">
        <v>41193.120000000003</v>
      </c>
      <c r="BJ97" s="578">
        <f t="shared" si="173"/>
        <v>12469.550000000003</v>
      </c>
      <c r="BK97" s="578">
        <f t="shared" si="174"/>
        <v>-159516.6</v>
      </c>
      <c r="BL97" s="576">
        <v>10850</v>
      </c>
      <c r="BM97" s="578">
        <f>'[67]Дир_ имущ'!AW45</f>
        <v>10850</v>
      </c>
      <c r="BN97" s="522">
        <f t="shared" si="204"/>
        <v>9472</v>
      </c>
      <c r="BO97" s="578">
        <f t="shared" si="181"/>
        <v>-1378</v>
      </c>
      <c r="BP97" s="578">
        <f t="shared" si="175"/>
        <v>-1378</v>
      </c>
      <c r="BQ97" s="576">
        <v>10850</v>
      </c>
      <c r="BR97" s="578">
        <f>'[67]Дир_ имущ'!BB45</f>
        <v>0</v>
      </c>
      <c r="BS97" s="578">
        <f>'[67]Дир_ имущ'!BC45</f>
        <v>0</v>
      </c>
      <c r="BT97" s="536"/>
      <c r="BU97" s="578">
        <v>50665.120000000003</v>
      </c>
      <c r="BV97" s="578"/>
      <c r="BW97" s="578"/>
      <c r="BX97" s="629"/>
      <c r="BY97" s="525">
        <v>47940.28</v>
      </c>
      <c r="BZ97" s="525">
        <v>2356.3200000000002</v>
      </c>
      <c r="CA97" s="525">
        <v>368.52</v>
      </c>
      <c r="CB97" s="522">
        <f t="shared" si="134"/>
        <v>50665.119999999995</v>
      </c>
      <c r="CC97" s="522">
        <f t="shared" si="176"/>
        <v>0</v>
      </c>
      <c r="CD97" s="578"/>
      <c r="CE97" s="578"/>
      <c r="CF97" s="578"/>
      <c r="CG97" s="578"/>
      <c r="CH97" s="578"/>
      <c r="CI97" s="578"/>
      <c r="CJ97" s="578"/>
      <c r="CK97" s="543" t="s">
        <v>1815</v>
      </c>
      <c r="CL97" s="543" t="s">
        <v>1897</v>
      </c>
      <c r="CM97" s="528" t="s">
        <v>1907</v>
      </c>
      <c r="CN97" s="528" t="s">
        <v>1849</v>
      </c>
      <c r="CO97" s="528"/>
      <c r="CP97" s="544">
        <f t="shared" si="205"/>
        <v>36511.384972544183</v>
      </c>
      <c r="CQ97" s="544">
        <f t="shared" si="206"/>
        <v>2681.8803415124999</v>
      </c>
      <c r="CR97" s="544">
        <f t="shared" si="207"/>
        <v>380.30468594331558</v>
      </c>
      <c r="CS97" s="1709" t="s">
        <v>1826</v>
      </c>
      <c r="CT97" s="1710"/>
      <c r="CU97" s="1710"/>
      <c r="CV97" s="1710"/>
      <c r="CW97" s="1711"/>
      <c r="CX97" s="528"/>
      <c r="CY97" s="528"/>
      <c r="CZ97" s="528"/>
      <c r="DA97" s="528"/>
      <c r="DB97" s="579">
        <f>9619.72</f>
        <v>9619.7199999999993</v>
      </c>
      <c r="DC97" s="628" t="e">
        <f>P97-#REF!</f>
        <v>#REF!</v>
      </c>
      <c r="DD97" s="535"/>
      <c r="DE97" s="535"/>
      <c r="DF97" s="525">
        <f t="shared" si="211"/>
        <v>47.940280000000001</v>
      </c>
      <c r="DG97" s="525">
        <f t="shared" si="211"/>
        <v>2.3563200000000002</v>
      </c>
      <c r="DH97" s="525">
        <f t="shared" si="211"/>
        <v>0.36851999999999996</v>
      </c>
      <c r="DI97" s="522">
        <f t="shared" si="209"/>
        <v>50.665119999999995</v>
      </c>
      <c r="DJ97" s="536"/>
      <c r="DK97" s="536"/>
      <c r="DL97" s="536"/>
      <c r="DM97" s="536"/>
      <c r="DN97" s="536"/>
      <c r="DO97" s="536"/>
      <c r="DP97" s="536"/>
      <c r="DQ97" s="536"/>
      <c r="DR97" s="536"/>
      <c r="DS97" s="536"/>
    </row>
    <row r="98" spans="1:123" s="534" customFormat="1">
      <c r="A98" s="607" t="s">
        <v>335</v>
      </c>
      <c r="B98" s="608" t="s">
        <v>336</v>
      </c>
      <c r="C98" s="576">
        <v>928758.16</v>
      </c>
      <c r="D98" s="576">
        <v>854334.98</v>
      </c>
      <c r="E98" s="576">
        <v>1007964.72</v>
      </c>
      <c r="F98" s="576">
        <v>630776.6</v>
      </c>
      <c r="G98" s="577">
        <v>799363.14205110446</v>
      </c>
      <c r="H98" s="577">
        <v>0</v>
      </c>
      <c r="I98" s="576">
        <f t="shared" si="198"/>
        <v>519282.87</v>
      </c>
      <c r="J98" s="576">
        <v>154919.72999999998</v>
      </c>
      <c r="K98" s="576">
        <v>90000</v>
      </c>
      <c r="L98" s="576">
        <v>274363.14</v>
      </c>
      <c r="M98" s="576">
        <f t="shared" si="199"/>
        <v>244919.72999999998</v>
      </c>
      <c r="N98" s="576">
        <v>264125.07</v>
      </c>
      <c r="O98" s="525">
        <f t="shared" si="200"/>
        <v>111552.08000000002</v>
      </c>
      <c r="P98" s="522">
        <v>375677.15</v>
      </c>
      <c r="Q98" s="576">
        <f t="shared" si="151"/>
        <v>-143605.71999999997</v>
      </c>
      <c r="R98" s="576">
        <f t="shared" si="152"/>
        <v>-27.654622999599425</v>
      </c>
      <c r="S98" s="576">
        <v>693097.81124999991</v>
      </c>
      <c r="T98" s="576">
        <v>693097.81124999991</v>
      </c>
      <c r="U98" s="522">
        <f t="shared" si="201"/>
        <v>0</v>
      </c>
      <c r="V98" s="522">
        <f t="shared" si="149"/>
        <v>-693097.81124999991</v>
      </c>
      <c r="W98" s="522">
        <f t="shared" si="153"/>
        <v>-100</v>
      </c>
      <c r="X98" s="522">
        <f t="shared" si="154"/>
        <v>-375677.15</v>
      </c>
      <c r="Y98" s="522">
        <f t="shared" si="155"/>
        <v>-100</v>
      </c>
      <c r="Z98" s="524">
        <f t="shared" si="156"/>
        <v>0</v>
      </c>
      <c r="AA98" s="522">
        <f t="shared" si="157"/>
        <v>-693097.81124999991</v>
      </c>
      <c r="AB98" s="522">
        <f t="shared" si="158"/>
        <v>-100</v>
      </c>
      <c r="AC98" s="522">
        <f t="shared" si="159"/>
        <v>0</v>
      </c>
      <c r="AD98" s="522">
        <v>0</v>
      </c>
      <c r="AE98" s="522">
        <f t="shared" si="161"/>
        <v>-375677.15</v>
      </c>
      <c r="AF98" s="522">
        <f t="shared" si="162"/>
        <v>-100</v>
      </c>
      <c r="AG98" s="522">
        <f t="shared" si="177"/>
        <v>0</v>
      </c>
      <c r="AH98" s="522">
        <f t="shared" si="163"/>
        <v>0</v>
      </c>
      <c r="AI98" s="522">
        <v>0</v>
      </c>
      <c r="AJ98" s="522">
        <f t="shared" si="165"/>
        <v>0</v>
      </c>
      <c r="AK98" s="522">
        <v>0</v>
      </c>
      <c r="AL98" s="522">
        <f t="shared" si="202"/>
        <v>0</v>
      </c>
      <c r="AM98" s="522">
        <f t="shared" si="192"/>
        <v>0</v>
      </c>
      <c r="AN98" s="522">
        <f t="shared" si="192"/>
        <v>0</v>
      </c>
      <c r="AO98" s="522">
        <f t="shared" si="166"/>
        <v>0</v>
      </c>
      <c r="AP98" s="522">
        <v>0</v>
      </c>
      <c r="AQ98" s="578">
        <v>0</v>
      </c>
      <c r="AR98" s="578">
        <v>0</v>
      </c>
      <c r="AS98" s="578">
        <f>230766.3-230766.3</f>
        <v>0</v>
      </c>
      <c r="AT98" s="578">
        <v>0</v>
      </c>
      <c r="AU98" s="578">
        <f t="shared" si="208"/>
        <v>0</v>
      </c>
      <c r="AV98" s="578">
        <f t="shared" si="208"/>
        <v>0</v>
      </c>
      <c r="AW98" s="578">
        <f t="shared" si="167"/>
        <v>0</v>
      </c>
      <c r="AX98" s="578">
        <v>0</v>
      </c>
      <c r="AY98" s="578">
        <f t="shared" si="210"/>
        <v>0</v>
      </c>
      <c r="AZ98" s="578">
        <f t="shared" si="169"/>
        <v>0</v>
      </c>
      <c r="BA98" s="578">
        <v>0</v>
      </c>
      <c r="BB98" s="578">
        <v>0</v>
      </c>
      <c r="BC98" s="576"/>
      <c r="BD98" s="576">
        <f t="shared" si="203"/>
        <v>0</v>
      </c>
      <c r="BE98" s="576">
        <f t="shared" si="171"/>
        <v>0</v>
      </c>
      <c r="BF98" s="576">
        <f t="shared" si="172"/>
        <v>0</v>
      </c>
      <c r="BG98" s="576">
        <f t="shared" si="150"/>
        <v>0</v>
      </c>
      <c r="BH98" s="578">
        <f t="shared" si="150"/>
        <v>0</v>
      </c>
      <c r="BI98" s="578"/>
      <c r="BJ98" s="578">
        <f t="shared" si="173"/>
        <v>0</v>
      </c>
      <c r="BK98" s="578">
        <f t="shared" si="174"/>
        <v>0</v>
      </c>
      <c r="BL98" s="576">
        <f>315000-315000</f>
        <v>0</v>
      </c>
      <c r="BM98" s="578"/>
      <c r="BN98" s="522">
        <f t="shared" si="204"/>
        <v>0</v>
      </c>
      <c r="BO98" s="578">
        <f t="shared" si="181"/>
        <v>0</v>
      </c>
      <c r="BP98" s="578">
        <f t="shared" si="175"/>
        <v>0</v>
      </c>
      <c r="BQ98" s="576">
        <f>315000-315000</f>
        <v>0</v>
      </c>
      <c r="BR98" s="578"/>
      <c r="BS98" s="578"/>
      <c r="BT98" s="536"/>
      <c r="BU98" s="578"/>
      <c r="BV98" s="578"/>
      <c r="BW98" s="578"/>
      <c r="BX98" s="629"/>
      <c r="BY98" s="525"/>
      <c r="BZ98" s="525"/>
      <c r="CA98" s="525"/>
      <c r="CB98" s="522">
        <f t="shared" si="134"/>
        <v>0</v>
      </c>
      <c r="CC98" s="522">
        <f t="shared" si="176"/>
        <v>0</v>
      </c>
      <c r="CD98" s="578"/>
      <c r="CE98" s="578"/>
      <c r="CF98" s="578"/>
      <c r="CG98" s="578"/>
      <c r="CH98" s="578"/>
      <c r="CI98" s="578"/>
      <c r="CJ98" s="578"/>
      <c r="CK98" s="543" t="s">
        <v>80</v>
      </c>
      <c r="CL98" s="543" t="s">
        <v>1908</v>
      </c>
      <c r="CM98" s="528" t="s">
        <v>1907</v>
      </c>
      <c r="CN98" s="528"/>
      <c r="CO98" s="528"/>
      <c r="CP98" s="544">
        <f t="shared" si="205"/>
        <v>0</v>
      </c>
      <c r="CQ98" s="544">
        <f t="shared" si="206"/>
        <v>0</v>
      </c>
      <c r="CR98" s="544">
        <f t="shared" si="207"/>
        <v>0</v>
      </c>
      <c r="CS98" s="1709" t="s">
        <v>1826</v>
      </c>
      <c r="CT98" s="1710"/>
      <c r="CU98" s="1710"/>
      <c r="CV98" s="1710"/>
      <c r="CW98" s="1711"/>
      <c r="CX98" s="528"/>
      <c r="CY98" s="528"/>
      <c r="CZ98" s="528"/>
      <c r="DA98" s="528"/>
      <c r="DB98" s="579"/>
      <c r="DC98" s="628" t="e">
        <f>P98-#REF!</f>
        <v>#REF!</v>
      </c>
      <c r="DD98" s="535"/>
      <c r="DE98" s="535"/>
      <c r="DF98" s="525">
        <f t="shared" si="211"/>
        <v>0</v>
      </c>
      <c r="DG98" s="525">
        <f t="shared" si="211"/>
        <v>0</v>
      </c>
      <c r="DH98" s="525">
        <f t="shared" si="211"/>
        <v>0</v>
      </c>
      <c r="DI98" s="522">
        <f t="shared" si="209"/>
        <v>0</v>
      </c>
      <c r="DJ98" s="536"/>
      <c r="DK98" s="536"/>
      <c r="DL98" s="536"/>
      <c r="DM98" s="536"/>
      <c r="DN98" s="536"/>
      <c r="DO98" s="536"/>
      <c r="DP98" s="536"/>
      <c r="DQ98" s="536"/>
      <c r="DR98" s="536"/>
      <c r="DS98" s="536"/>
    </row>
    <row r="99" spans="1:123" s="534" customFormat="1" ht="94.5" customHeight="1">
      <c r="A99" s="537" t="s">
        <v>341</v>
      </c>
      <c r="B99" s="538" t="s">
        <v>342</v>
      </c>
      <c r="C99" s="576">
        <v>566949.41</v>
      </c>
      <c r="D99" s="576">
        <v>377483.98</v>
      </c>
      <c r="E99" s="576">
        <v>639000</v>
      </c>
      <c r="F99" s="576">
        <v>692701.65</v>
      </c>
      <c r="G99" s="577">
        <v>591706.95736626512</v>
      </c>
      <c r="H99" s="577">
        <v>0</v>
      </c>
      <c r="I99" s="576">
        <f t="shared" si="198"/>
        <v>602242.89</v>
      </c>
      <c r="J99" s="576">
        <v>278786.46999999997</v>
      </c>
      <c r="K99" s="576">
        <v>161546.89000000001</v>
      </c>
      <c r="L99" s="576">
        <v>161909.53</v>
      </c>
      <c r="M99" s="576">
        <f t="shared" si="199"/>
        <v>440333.36</v>
      </c>
      <c r="N99" s="576">
        <v>454773.81</v>
      </c>
      <c r="O99" s="525">
        <f t="shared" si="200"/>
        <v>219187.12000000005</v>
      </c>
      <c r="P99" s="522">
        <f>912.61+672806.8+241.52</f>
        <v>673960.93</v>
      </c>
      <c r="Q99" s="576">
        <f t="shared" si="151"/>
        <v>71718.040000000037</v>
      </c>
      <c r="R99" s="576">
        <f t="shared" si="152"/>
        <v>11.908490941254612</v>
      </c>
      <c r="S99" s="576">
        <v>624250.84002140968</v>
      </c>
      <c r="T99" s="576">
        <v>624250.84002140968</v>
      </c>
      <c r="U99" s="522">
        <f t="shared" si="201"/>
        <v>624250.84000000008</v>
      </c>
      <c r="V99" s="522">
        <f t="shared" si="149"/>
        <v>-2.1409592591226101E-5</v>
      </c>
      <c r="W99" s="522">
        <f t="shared" si="153"/>
        <v>-3.4296476769668516E-9</v>
      </c>
      <c r="X99" s="522">
        <f t="shared" si="154"/>
        <v>-49710.089999999967</v>
      </c>
      <c r="Y99" s="522">
        <f t="shared" si="155"/>
        <v>-7.3758118293296207</v>
      </c>
      <c r="Z99" s="524">
        <f t="shared" si="156"/>
        <v>651039.06000000006</v>
      </c>
      <c r="AA99" s="522">
        <f t="shared" si="157"/>
        <v>26788.219978590379</v>
      </c>
      <c r="AB99" s="522">
        <f t="shared" si="158"/>
        <v>4.2912589397030843</v>
      </c>
      <c r="AC99" s="522">
        <f t="shared" si="159"/>
        <v>26788.219999999972</v>
      </c>
      <c r="AD99" s="522">
        <f t="shared" si="160"/>
        <v>4.2912589432799138</v>
      </c>
      <c r="AE99" s="522">
        <f t="shared" si="161"/>
        <v>-22921.869999999995</v>
      </c>
      <c r="AF99" s="522">
        <f t="shared" si="162"/>
        <v>-3.4010680708153131</v>
      </c>
      <c r="AG99" s="522">
        <f t="shared" si="177"/>
        <v>745162.26</v>
      </c>
      <c r="AH99" s="522">
        <f t="shared" si="163"/>
        <v>120911.41999999993</v>
      </c>
      <c r="AI99" s="522">
        <f t="shared" si="164"/>
        <v>19.369044020829818</v>
      </c>
      <c r="AJ99" s="522">
        <f t="shared" si="165"/>
        <v>94123.199999999953</v>
      </c>
      <c r="AK99" s="522">
        <f t="shared" ref="AK99:AK162" si="212">AG99/Z99*100-100</f>
        <v>14.457381405041957</v>
      </c>
      <c r="AL99" s="522">
        <f t="shared" si="202"/>
        <v>745162.26</v>
      </c>
      <c r="AM99" s="522">
        <f t="shared" si="192"/>
        <v>304331.14</v>
      </c>
      <c r="AN99" s="522">
        <f t="shared" si="192"/>
        <v>331119.35999999999</v>
      </c>
      <c r="AO99" s="522">
        <f t="shared" si="166"/>
        <v>26788.219999999972</v>
      </c>
      <c r="AP99" s="522">
        <f t="shared" si="178"/>
        <v>8.8023263081129244</v>
      </c>
      <c r="AQ99" s="578">
        <v>113823.5</v>
      </c>
      <c r="AR99" s="578">
        <v>130352.78000000001</v>
      </c>
      <c r="AS99" s="578">
        <v>190507.64</v>
      </c>
      <c r="AT99" s="578">
        <v>200766.57999999996</v>
      </c>
      <c r="AU99" s="578">
        <f t="shared" si="208"/>
        <v>319919.7</v>
      </c>
      <c r="AV99" s="578">
        <f t="shared" si="208"/>
        <v>319919.7</v>
      </c>
      <c r="AW99" s="578">
        <f t="shared" si="167"/>
        <v>0</v>
      </c>
      <c r="AX99" s="578">
        <f t="shared" si="168"/>
        <v>0</v>
      </c>
      <c r="AY99" s="578">
        <f t="shared" si="210"/>
        <v>414042.9</v>
      </c>
      <c r="AZ99" s="578">
        <f t="shared" si="169"/>
        <v>-94123.200000000012</v>
      </c>
      <c r="BA99" s="578">
        <f t="shared" si="170"/>
        <v>-22.732716827169369</v>
      </c>
      <c r="BB99" s="578">
        <v>164739.81</v>
      </c>
      <c r="BC99" s="576">
        <f>'[67]Дир_ имущ'!AT46</f>
        <v>164739.81</v>
      </c>
      <c r="BD99" s="576">
        <f t="shared" si="203"/>
        <v>206510.33999999997</v>
      </c>
      <c r="BE99" s="576">
        <f t="shared" si="171"/>
        <v>41770.52999999997</v>
      </c>
      <c r="BF99" s="576">
        <f t="shared" si="172"/>
        <v>41770.52999999997</v>
      </c>
      <c r="BG99" s="576">
        <f t="shared" si="150"/>
        <v>469070.95</v>
      </c>
      <c r="BH99" s="578">
        <f t="shared" si="150"/>
        <v>495859.17</v>
      </c>
      <c r="BI99" s="578">
        <f>537063.38+566.32</f>
        <v>537629.69999999995</v>
      </c>
      <c r="BJ99" s="578">
        <f t="shared" si="173"/>
        <v>68558.749999999942</v>
      </c>
      <c r="BK99" s="578">
        <f t="shared" si="174"/>
        <v>41770.52999999997</v>
      </c>
      <c r="BL99" s="576">
        <v>155179.89000000001</v>
      </c>
      <c r="BM99" s="578">
        <f>'[67]Дир_ имущ'!AW46</f>
        <v>155179.89000000001</v>
      </c>
      <c r="BN99" s="522">
        <f t="shared" si="204"/>
        <v>207532.56000000006</v>
      </c>
      <c r="BO99" s="578">
        <f t="shared" si="181"/>
        <v>52352.670000000042</v>
      </c>
      <c r="BP99" s="578">
        <f t="shared" si="175"/>
        <v>52352.670000000042</v>
      </c>
      <c r="BQ99" s="576">
        <v>155179.89000000001</v>
      </c>
      <c r="BR99" s="578">
        <f>'[67]Дир_ имущ'!BB46</f>
        <v>0</v>
      </c>
      <c r="BS99" s="578">
        <f>'[67]Дир_ имущ'!BC46</f>
        <v>0</v>
      </c>
      <c r="BT99" s="536"/>
      <c r="BU99" s="578">
        <f>741704.31+2891.63</f>
        <v>744595.94000000006</v>
      </c>
      <c r="BV99" s="578">
        <v>566.32000000000005</v>
      </c>
      <c r="BW99" s="578"/>
      <c r="BX99" s="629"/>
      <c r="BY99" s="525">
        <f>681146.91+2741.9+566.32</f>
        <v>684455.13</v>
      </c>
      <c r="BZ99" s="525">
        <f>52645.68+107.27</f>
        <v>52752.95</v>
      </c>
      <c r="CA99" s="525">
        <f>7911.72+42.46</f>
        <v>7954.18</v>
      </c>
      <c r="CB99" s="522">
        <f t="shared" si="134"/>
        <v>745162.26</v>
      </c>
      <c r="CC99" s="522">
        <f t="shared" si="176"/>
        <v>0</v>
      </c>
      <c r="CD99" s="578"/>
      <c r="CE99" s="578"/>
      <c r="CF99" s="578"/>
      <c r="CG99" s="578"/>
      <c r="CH99" s="578"/>
      <c r="CI99" s="578"/>
      <c r="CJ99" s="578"/>
      <c r="CK99" s="543" t="s">
        <v>1815</v>
      </c>
      <c r="CL99" s="543" t="s">
        <v>1897</v>
      </c>
      <c r="CM99" s="528" t="s">
        <v>1907</v>
      </c>
      <c r="CN99" s="528"/>
      <c r="CO99" s="528"/>
      <c r="CP99" s="544">
        <f t="shared" si="205"/>
        <v>575946.59108779137</v>
      </c>
      <c r="CQ99" s="544">
        <f t="shared" si="206"/>
        <v>42305.156092024677</v>
      </c>
      <c r="CR99" s="544">
        <f t="shared" si="207"/>
        <v>5999.0928201840516</v>
      </c>
      <c r="CS99" s="1709" t="s">
        <v>1826</v>
      </c>
      <c r="CT99" s="1710"/>
      <c r="CU99" s="1710"/>
      <c r="CV99" s="1710"/>
      <c r="CW99" s="1711"/>
      <c r="CX99" s="528"/>
      <c r="CY99" s="528"/>
      <c r="CZ99" s="528"/>
      <c r="DA99" s="528"/>
      <c r="DB99" s="579">
        <f>129786.46+566.32</f>
        <v>130352.78000000001</v>
      </c>
      <c r="DC99" s="628" t="e">
        <f>P99-#REF!</f>
        <v>#REF!</v>
      </c>
      <c r="DD99" s="535">
        <f>534171.75+2891.63</f>
        <v>537063.38</v>
      </c>
      <c r="DE99" s="535"/>
      <c r="DF99" s="525">
        <f t="shared" si="211"/>
        <v>684.45513000000005</v>
      </c>
      <c r="DG99" s="525">
        <f t="shared" si="211"/>
        <v>52.752949999999998</v>
      </c>
      <c r="DH99" s="525">
        <f t="shared" si="211"/>
        <v>7.95418</v>
      </c>
      <c r="DI99" s="522">
        <f t="shared" si="209"/>
        <v>745.16226000000006</v>
      </c>
      <c r="DJ99" s="536"/>
      <c r="DK99" s="536"/>
      <c r="DL99" s="536"/>
      <c r="DM99" s="536"/>
      <c r="DN99" s="536"/>
      <c r="DO99" s="536"/>
      <c r="DP99" s="536"/>
      <c r="DQ99" s="536"/>
      <c r="DR99" s="536"/>
      <c r="DS99" s="536"/>
    </row>
    <row r="100" spans="1:123" s="534" customFormat="1" ht="84" customHeight="1">
      <c r="A100" s="537" t="s">
        <v>346</v>
      </c>
      <c r="B100" s="538" t="s">
        <v>347</v>
      </c>
      <c r="C100" s="576">
        <v>1817942.98</v>
      </c>
      <c r="D100" s="576">
        <v>842998.57</v>
      </c>
      <c r="E100" s="576">
        <v>1500000</v>
      </c>
      <c r="F100" s="576">
        <v>2110811.4300000002</v>
      </c>
      <c r="G100" s="577">
        <v>1697810.1135423637</v>
      </c>
      <c r="H100" s="577">
        <v>0</v>
      </c>
      <c r="I100" s="576">
        <f t="shared" si="198"/>
        <v>1914051.27</v>
      </c>
      <c r="J100" s="576">
        <v>984341.74</v>
      </c>
      <c r="K100" s="576">
        <v>464693.71</v>
      </c>
      <c r="L100" s="576">
        <v>465015.82</v>
      </c>
      <c r="M100" s="576">
        <f t="shared" si="199"/>
        <v>1449035.45</v>
      </c>
      <c r="N100" s="576">
        <v>1553524.1</v>
      </c>
      <c r="O100" s="525">
        <f t="shared" si="200"/>
        <v>676918.29999999981</v>
      </c>
      <c r="P100" s="522">
        <f>7702.96+2176428+46311.44</f>
        <v>2230442.4</v>
      </c>
      <c r="Q100" s="576">
        <f t="shared" si="151"/>
        <v>316391.12999999989</v>
      </c>
      <c r="R100" s="576">
        <f t="shared" si="152"/>
        <v>16.529919284763977</v>
      </c>
      <c r="S100" s="576">
        <v>1791189.6697871936</v>
      </c>
      <c r="T100" s="576">
        <v>1791189.6697871936</v>
      </c>
      <c r="U100" s="522">
        <f t="shared" si="201"/>
        <v>1351699.05</v>
      </c>
      <c r="V100" s="522">
        <f t="shared" si="149"/>
        <v>-439490.6197871936</v>
      </c>
      <c r="W100" s="522">
        <f t="shared" si="153"/>
        <v>-24.536241314936134</v>
      </c>
      <c r="X100" s="522">
        <f t="shared" si="154"/>
        <v>-878743.34999999986</v>
      </c>
      <c r="Y100" s="522">
        <f t="shared" si="155"/>
        <v>-39.397715448737877</v>
      </c>
      <c r="Z100" s="524">
        <f t="shared" si="156"/>
        <v>1642351.6600000001</v>
      </c>
      <c r="AA100" s="522">
        <f t="shared" si="157"/>
        <v>-148838.0097871935</v>
      </c>
      <c r="AB100" s="522">
        <f t="shared" si="158"/>
        <v>-8.3094499872186276</v>
      </c>
      <c r="AC100" s="522">
        <f t="shared" si="159"/>
        <v>290652.6100000001</v>
      </c>
      <c r="AD100" s="522">
        <f t="shared" si="160"/>
        <v>21.502760544220266</v>
      </c>
      <c r="AE100" s="522">
        <f t="shared" si="161"/>
        <v>-588090.73999999976</v>
      </c>
      <c r="AF100" s="522">
        <f t="shared" si="162"/>
        <v>-26.366551317352986</v>
      </c>
      <c r="AG100" s="522">
        <f t="shared" si="177"/>
        <v>1943115.2799999998</v>
      </c>
      <c r="AH100" s="522">
        <f t="shared" si="163"/>
        <v>591416.22999999975</v>
      </c>
      <c r="AI100" s="522">
        <f t="shared" si="164"/>
        <v>43.753543364552911</v>
      </c>
      <c r="AJ100" s="522">
        <f t="shared" si="165"/>
        <v>300763.61999999965</v>
      </c>
      <c r="AK100" s="522">
        <f t="shared" si="212"/>
        <v>18.312985417507946</v>
      </c>
      <c r="AL100" s="522">
        <f t="shared" si="202"/>
        <v>1943115.2799999998</v>
      </c>
      <c r="AM100" s="522">
        <f t="shared" si="192"/>
        <v>677518.55</v>
      </c>
      <c r="AN100" s="522">
        <f t="shared" si="192"/>
        <v>968171.16</v>
      </c>
      <c r="AO100" s="522">
        <f t="shared" si="166"/>
        <v>290652.61</v>
      </c>
      <c r="AP100" s="522">
        <f t="shared" si="178"/>
        <v>42.899579649885595</v>
      </c>
      <c r="AQ100" s="578">
        <f>366908.55-32500</f>
        <v>334408.55</v>
      </c>
      <c r="AR100" s="578">
        <v>489185.44</v>
      </c>
      <c r="AS100" s="578">
        <f>430712.74-87602.74</f>
        <v>343110</v>
      </c>
      <c r="AT100" s="578">
        <v>478985.72000000003</v>
      </c>
      <c r="AU100" s="578">
        <f t="shared" si="208"/>
        <v>674180.5</v>
      </c>
      <c r="AV100" s="578">
        <f t="shared" si="208"/>
        <v>674180.5</v>
      </c>
      <c r="AW100" s="578">
        <f t="shared" si="167"/>
        <v>0</v>
      </c>
      <c r="AX100" s="578">
        <f t="shared" si="168"/>
        <v>0</v>
      </c>
      <c r="AY100" s="578">
        <f t="shared" si="210"/>
        <v>974944.11999999976</v>
      </c>
      <c r="AZ100" s="578">
        <f t="shared" si="169"/>
        <v>-300763.61999999976</v>
      </c>
      <c r="BA100" s="578">
        <f t="shared" si="170"/>
        <v>-30.849318830703837</v>
      </c>
      <c r="BB100" s="578">
        <f>443130.25-88979.75</f>
        <v>354150.5</v>
      </c>
      <c r="BC100" s="576">
        <f>'[67]Дир_ имущ'!AT47</f>
        <v>354150.5</v>
      </c>
      <c r="BD100" s="576">
        <f t="shared" si="203"/>
        <v>445349.52999999991</v>
      </c>
      <c r="BE100" s="576">
        <f t="shared" si="171"/>
        <v>91199.029999999912</v>
      </c>
      <c r="BF100" s="576">
        <f t="shared" si="172"/>
        <v>91199.029999999912</v>
      </c>
      <c r="BG100" s="576">
        <f t="shared" si="150"/>
        <v>1031669.05</v>
      </c>
      <c r="BH100" s="578">
        <f t="shared" si="150"/>
        <v>1322321.6600000001</v>
      </c>
      <c r="BI100" s="578">
        <f>1413306.28+214.41</f>
        <v>1413520.69</v>
      </c>
      <c r="BJ100" s="578">
        <f t="shared" si="173"/>
        <v>381851.6399999999</v>
      </c>
      <c r="BK100" s="578">
        <f t="shared" si="174"/>
        <v>91199.029999999795</v>
      </c>
      <c r="BL100" s="576">
        <f>406805.57-86775.57</f>
        <v>320030</v>
      </c>
      <c r="BM100" s="578">
        <f>'[67]Дир_ имущ'!AW47</f>
        <v>320030</v>
      </c>
      <c r="BN100" s="522">
        <f t="shared" si="204"/>
        <v>529594.58999999985</v>
      </c>
      <c r="BO100" s="578">
        <f t="shared" si="181"/>
        <v>209564.58999999985</v>
      </c>
      <c r="BP100" s="578">
        <f t="shared" si="175"/>
        <v>209564.58999999985</v>
      </c>
      <c r="BQ100" s="576">
        <f>406805.57-86775.57</f>
        <v>320030</v>
      </c>
      <c r="BR100" s="578">
        <f>'[67]Дир_ имущ'!BB47</f>
        <v>0</v>
      </c>
      <c r="BS100" s="578">
        <f>'[67]Дир_ имущ'!BC47</f>
        <v>0</v>
      </c>
      <c r="BT100" s="536"/>
      <c r="BU100" s="578">
        <f>1883875.41+54801.46</f>
        <v>1938676.8699999999</v>
      </c>
      <c r="BV100" s="578">
        <v>4438.41</v>
      </c>
      <c r="BW100" s="578"/>
      <c r="BX100" s="629"/>
      <c r="BY100" s="525">
        <f>1750950.25+51567.02+4438.41</f>
        <v>1806955.68</v>
      </c>
      <c r="BZ100" s="525">
        <f>114570.77+2613.62</f>
        <v>117184.39</v>
      </c>
      <c r="CA100" s="525">
        <f>18354.39+620.82</f>
        <v>18975.21</v>
      </c>
      <c r="CB100" s="522">
        <f t="shared" si="134"/>
        <v>1943115.2799999998</v>
      </c>
      <c r="CC100" s="522">
        <f t="shared" si="176"/>
        <v>0</v>
      </c>
      <c r="CD100" s="578"/>
      <c r="CE100" s="578"/>
      <c r="CF100" s="578"/>
      <c r="CG100" s="578"/>
      <c r="CH100" s="578"/>
      <c r="CI100" s="578"/>
      <c r="CJ100" s="578"/>
      <c r="CK100" s="543" t="s">
        <v>1815</v>
      </c>
      <c r="CL100" s="543" t="s">
        <v>1897</v>
      </c>
      <c r="CM100" s="528" t="s">
        <v>1907</v>
      </c>
      <c r="CN100" s="528"/>
      <c r="CO100" s="528"/>
      <c r="CP100" s="544">
        <f t="shared" si="205"/>
        <v>1247105.1861525825</v>
      </c>
      <c r="CQ100" s="544">
        <f t="shared" si="206"/>
        <v>91603.944497201577</v>
      </c>
      <c r="CR100" s="544">
        <f t="shared" si="207"/>
        <v>12989.919350216016</v>
      </c>
      <c r="CS100" s="1709" t="s">
        <v>1826</v>
      </c>
      <c r="CT100" s="1710"/>
      <c r="CU100" s="1710"/>
      <c r="CV100" s="1710"/>
      <c r="CW100" s="1711"/>
      <c r="CX100" s="528"/>
      <c r="CY100" s="528"/>
      <c r="CZ100" s="528"/>
      <c r="DA100" s="528"/>
      <c r="DB100" s="579">
        <f>477240.48+11824.96+120</f>
        <v>489185.44</v>
      </c>
      <c r="DC100" s="628" t="e">
        <f>P100-#REF!</f>
        <v>#REF!</v>
      </c>
      <c r="DD100" s="535"/>
      <c r="DE100" s="535"/>
      <c r="DF100" s="525">
        <f t="shared" si="211"/>
        <v>1806.95568</v>
      </c>
      <c r="DG100" s="525">
        <f t="shared" si="211"/>
        <v>117.18438999999999</v>
      </c>
      <c r="DH100" s="525">
        <f t="shared" si="211"/>
        <v>18.975210000000001</v>
      </c>
      <c r="DI100" s="522">
        <f t="shared" si="209"/>
        <v>1943.1152799999998</v>
      </c>
      <c r="DJ100" s="536"/>
      <c r="DK100" s="536"/>
      <c r="DL100" s="536"/>
      <c r="DM100" s="536"/>
      <c r="DN100" s="536"/>
      <c r="DO100" s="536"/>
      <c r="DP100" s="536"/>
      <c r="DQ100" s="536"/>
      <c r="DR100" s="536"/>
      <c r="DS100" s="536"/>
    </row>
    <row r="101" spans="1:123" s="534" customFormat="1" ht="90" customHeight="1">
      <c r="A101" s="537" t="s">
        <v>351</v>
      </c>
      <c r="B101" s="538" t="s">
        <v>352</v>
      </c>
      <c r="C101" s="576">
        <v>5201614.1900000004</v>
      </c>
      <c r="D101" s="576">
        <v>3119837.25</v>
      </c>
      <c r="E101" s="576">
        <v>3119837.25</v>
      </c>
      <c r="F101" s="576">
        <v>4644650.8899999997</v>
      </c>
      <c r="G101" s="577">
        <v>3294245.632812066</v>
      </c>
      <c r="H101" s="577">
        <v>0</v>
      </c>
      <c r="I101" s="576">
        <f t="shared" si="198"/>
        <v>4262575.6900000004</v>
      </c>
      <c r="J101" s="576">
        <v>2772896.37</v>
      </c>
      <c r="K101" s="576">
        <v>863325.99</v>
      </c>
      <c r="L101" s="576">
        <v>626353.32999999996</v>
      </c>
      <c r="M101" s="576">
        <f t="shared" si="199"/>
        <v>3636222.3600000003</v>
      </c>
      <c r="N101" s="576">
        <v>3701596.35</v>
      </c>
      <c r="O101" s="525">
        <f t="shared" si="200"/>
        <v>1563346.3299999996</v>
      </c>
      <c r="P101" s="522">
        <f>15677.97+4700+4942739.52+301825.19</f>
        <v>5264942.68</v>
      </c>
      <c r="Q101" s="576">
        <f t="shared" si="151"/>
        <v>1002366.9899999993</v>
      </c>
      <c r="R101" s="576">
        <f t="shared" si="152"/>
        <v>23.515523544873389</v>
      </c>
      <c r="S101" s="576">
        <v>3475429.1426167297</v>
      </c>
      <c r="T101" s="576">
        <v>3475429.1426167297</v>
      </c>
      <c r="U101" s="522">
        <f t="shared" si="201"/>
        <v>4708640.93</v>
      </c>
      <c r="V101" s="522">
        <f t="shared" si="149"/>
        <v>1233211.78738327</v>
      </c>
      <c r="W101" s="522">
        <f t="shared" si="153"/>
        <v>35.483726952198964</v>
      </c>
      <c r="X101" s="522">
        <f t="shared" si="154"/>
        <v>-556301.75</v>
      </c>
      <c r="Y101" s="522">
        <f t="shared" si="155"/>
        <v>-10.566150171268333</v>
      </c>
      <c r="Z101" s="524">
        <f t="shared" si="156"/>
        <v>4233079.6500000004</v>
      </c>
      <c r="AA101" s="522">
        <f t="shared" si="157"/>
        <v>757650.50738327065</v>
      </c>
      <c r="AB101" s="522">
        <f t="shared" si="158"/>
        <v>21.800200098823439</v>
      </c>
      <c r="AC101" s="522">
        <f t="shared" si="159"/>
        <v>-475561.27999999933</v>
      </c>
      <c r="AD101" s="522">
        <f t="shared" si="160"/>
        <v>-10.099756746582074</v>
      </c>
      <c r="AE101" s="522">
        <f t="shared" si="161"/>
        <v>-1031863.0299999993</v>
      </c>
      <c r="AF101" s="522">
        <f t="shared" si="162"/>
        <v>-19.598751453073731</v>
      </c>
      <c r="AG101" s="522">
        <f t="shared" si="177"/>
        <v>5033189.2700000005</v>
      </c>
      <c r="AH101" s="522">
        <f t="shared" si="163"/>
        <v>324548.34000000078</v>
      </c>
      <c r="AI101" s="522">
        <f t="shared" si="164"/>
        <v>6.8926117923373056</v>
      </c>
      <c r="AJ101" s="522">
        <f t="shared" si="165"/>
        <v>800109.62000000011</v>
      </c>
      <c r="AK101" s="522">
        <f t="shared" si="212"/>
        <v>18.901359911807944</v>
      </c>
      <c r="AL101" s="522">
        <f t="shared" si="202"/>
        <v>5033189.2700000005</v>
      </c>
      <c r="AM101" s="522">
        <f t="shared" si="192"/>
        <v>2440257.13</v>
      </c>
      <c r="AN101" s="522">
        <f t="shared" si="192"/>
        <v>2357695.85</v>
      </c>
      <c r="AO101" s="522">
        <f t="shared" si="166"/>
        <v>-82561.279999999795</v>
      </c>
      <c r="AP101" s="522">
        <f t="shared" si="178"/>
        <v>-3.3833024800956082</v>
      </c>
      <c r="AQ101" s="578">
        <f>760000+446065.23</f>
        <v>1206065.23</v>
      </c>
      <c r="AR101" s="578">
        <v>1073076.45</v>
      </c>
      <c r="AS101" s="578">
        <v>1234191.8999999999</v>
      </c>
      <c r="AT101" s="578">
        <v>1284619.4000000001</v>
      </c>
      <c r="AU101" s="578">
        <f t="shared" si="208"/>
        <v>2268383.7999999998</v>
      </c>
      <c r="AV101" s="578">
        <f t="shared" si="208"/>
        <v>1875383.8</v>
      </c>
      <c r="AW101" s="578">
        <f t="shared" si="167"/>
        <v>-392999.99999999977</v>
      </c>
      <c r="AX101" s="578">
        <f t="shared" si="168"/>
        <v>-17.325110503786874</v>
      </c>
      <c r="AY101" s="578">
        <f t="shared" si="210"/>
        <v>2675493.4200000004</v>
      </c>
      <c r="AZ101" s="578">
        <f t="shared" si="169"/>
        <v>-800109.62000000034</v>
      </c>
      <c r="BA101" s="578">
        <f t="shared" si="170"/>
        <v>-29.905123818245087</v>
      </c>
      <c r="BB101" s="578">
        <v>1234191.8999999999</v>
      </c>
      <c r="BC101" s="576">
        <f>'[67]Дир_ имущ'!AT48</f>
        <v>841191.9</v>
      </c>
      <c r="BD101" s="576">
        <f t="shared" si="203"/>
        <v>1074821.5299999998</v>
      </c>
      <c r="BE101" s="576">
        <f t="shared" si="171"/>
        <v>-159370.37000000011</v>
      </c>
      <c r="BF101" s="576">
        <f t="shared" si="172"/>
        <v>233629.62999999977</v>
      </c>
      <c r="BG101" s="576">
        <f t="shared" si="150"/>
        <v>3674449.03</v>
      </c>
      <c r="BH101" s="578">
        <f t="shared" si="150"/>
        <v>3198887.75</v>
      </c>
      <c r="BI101" s="578">
        <v>3432517.38</v>
      </c>
      <c r="BJ101" s="578">
        <f t="shared" si="173"/>
        <v>-241931.64999999991</v>
      </c>
      <c r="BK101" s="578">
        <f t="shared" si="174"/>
        <v>233629.62999999989</v>
      </c>
      <c r="BL101" s="576">
        <v>1034191.9</v>
      </c>
      <c r="BM101" s="578">
        <f>'[67]Дир_ имущ'!AW48</f>
        <v>1034191.9</v>
      </c>
      <c r="BN101" s="522">
        <f t="shared" si="204"/>
        <v>1600671.8900000006</v>
      </c>
      <c r="BO101" s="578">
        <f t="shared" si="181"/>
        <v>566479.99000000057</v>
      </c>
      <c r="BP101" s="578">
        <f t="shared" si="175"/>
        <v>566479.99000000057</v>
      </c>
      <c r="BQ101" s="576">
        <v>1034191.9</v>
      </c>
      <c r="BR101" s="578">
        <f>'[67]Дир_ имущ'!BB48</f>
        <v>0</v>
      </c>
      <c r="BS101" s="578">
        <f>'[67]Дир_ имущ'!BC48</f>
        <v>0</v>
      </c>
      <c r="BT101" s="536"/>
      <c r="BU101" s="578">
        <f>4892269.3+122513.19</f>
        <v>5014782.49</v>
      </c>
      <c r="BV101" s="578">
        <v>18406.78</v>
      </c>
      <c r="BW101" s="578"/>
      <c r="BX101" s="629"/>
      <c r="BY101" s="525">
        <f>4521012.12+118332.64+18406.78</f>
        <v>4657751.54</v>
      </c>
      <c r="BZ101" s="525">
        <f>327331.33+3884.08</f>
        <v>331215.41000000003</v>
      </c>
      <c r="CA101" s="525">
        <f>43925.85+296.47</f>
        <v>44222.32</v>
      </c>
      <c r="CB101" s="522">
        <f t="shared" si="134"/>
        <v>5033189.2700000005</v>
      </c>
      <c r="CC101" s="522">
        <f t="shared" si="176"/>
        <v>0</v>
      </c>
      <c r="CD101" s="578"/>
      <c r="CE101" s="578"/>
      <c r="CF101" s="578"/>
      <c r="CG101" s="578"/>
      <c r="CH101" s="578"/>
      <c r="CI101" s="578"/>
      <c r="CJ101" s="578"/>
      <c r="CK101" s="543" t="s">
        <v>1815</v>
      </c>
      <c r="CL101" s="543" t="s">
        <v>1897</v>
      </c>
      <c r="CM101" s="528" t="s">
        <v>1907</v>
      </c>
      <c r="CN101" s="528"/>
      <c r="CO101" s="528"/>
      <c r="CP101" s="544">
        <f t="shared" si="205"/>
        <v>4344288.4150383314</v>
      </c>
      <c r="CQ101" s="544">
        <f t="shared" si="206"/>
        <v>319102.15695496096</v>
      </c>
      <c r="CR101" s="544">
        <f t="shared" si="207"/>
        <v>45250.358006707291</v>
      </c>
      <c r="CS101" s="1709" t="s">
        <v>1826</v>
      </c>
      <c r="CT101" s="1710"/>
      <c r="CU101" s="1710"/>
      <c r="CV101" s="1710"/>
      <c r="CW101" s="1711"/>
      <c r="CX101" s="528"/>
      <c r="CY101" s="528"/>
      <c r="CZ101" s="528"/>
      <c r="DA101" s="528"/>
      <c r="DB101" s="579">
        <f>1060218.88+12857.57</f>
        <v>1073076.45</v>
      </c>
      <c r="DC101" s="628" t="e">
        <f>P101-#REF!</f>
        <v>#REF!</v>
      </c>
      <c r="DD101" s="535">
        <f>3399956.44+32560.94</f>
        <v>3432517.38</v>
      </c>
      <c r="DE101" s="535"/>
      <c r="DF101" s="525">
        <f t="shared" si="211"/>
        <v>4657.7515400000002</v>
      </c>
      <c r="DG101" s="525">
        <f t="shared" si="211"/>
        <v>331.21541000000002</v>
      </c>
      <c r="DH101" s="525">
        <f t="shared" si="211"/>
        <v>44.222319999999996</v>
      </c>
      <c r="DI101" s="522">
        <f t="shared" si="209"/>
        <v>5033.1892700000008</v>
      </c>
      <c r="DJ101" s="536"/>
      <c r="DK101" s="536"/>
      <c r="DL101" s="536"/>
      <c r="DM101" s="536"/>
      <c r="DN101" s="536"/>
      <c r="DO101" s="536"/>
      <c r="DP101" s="536"/>
      <c r="DQ101" s="536"/>
      <c r="DR101" s="536"/>
      <c r="DS101" s="536"/>
    </row>
    <row r="102" spans="1:123" s="534" customFormat="1" ht="33.75" customHeight="1">
      <c r="A102" s="537" t="s">
        <v>495</v>
      </c>
      <c r="B102" s="538" t="s">
        <v>496</v>
      </c>
      <c r="C102" s="576">
        <v>27726589.030000001</v>
      </c>
      <c r="D102" s="576">
        <v>367583.5</v>
      </c>
      <c r="E102" s="576">
        <v>367583.5</v>
      </c>
      <c r="F102" s="576">
        <v>839753.48</v>
      </c>
      <c r="G102" s="577">
        <v>766514.82253211725</v>
      </c>
      <c r="H102" s="577">
        <v>0</v>
      </c>
      <c r="I102" s="576">
        <f t="shared" si="198"/>
        <v>811936.76</v>
      </c>
      <c r="J102" s="576">
        <v>373306.07</v>
      </c>
      <c r="K102" s="576">
        <v>297651.18</v>
      </c>
      <c r="L102" s="576">
        <v>140979.51</v>
      </c>
      <c r="M102" s="576">
        <f t="shared" si="199"/>
        <v>670957.25</v>
      </c>
      <c r="N102" s="576">
        <v>646786.28</v>
      </c>
      <c r="O102" s="525">
        <f t="shared" si="200"/>
        <v>318295.86999999988</v>
      </c>
      <c r="P102" s="522">
        <f>30927.13+310.5+594778.32+339066.2</f>
        <v>965082.14999999991</v>
      </c>
      <c r="Q102" s="576">
        <f t="shared" si="151"/>
        <v>153145.3899999999</v>
      </c>
      <c r="R102" s="576">
        <f t="shared" si="152"/>
        <v>18.861738690092068</v>
      </c>
      <c r="S102" s="576">
        <v>808673.13777138363</v>
      </c>
      <c r="T102" s="576">
        <v>808673.13777138363</v>
      </c>
      <c r="U102" s="522">
        <f t="shared" si="201"/>
        <v>846068.72</v>
      </c>
      <c r="V102" s="522">
        <f t="shared" si="149"/>
        <v>37395.582228616346</v>
      </c>
      <c r="W102" s="522">
        <f t="shared" si="153"/>
        <v>4.62431364193381</v>
      </c>
      <c r="X102" s="522">
        <f t="shared" si="154"/>
        <v>-119013.42999999993</v>
      </c>
      <c r="Y102" s="522">
        <f t="shared" si="155"/>
        <v>-12.331948114468787</v>
      </c>
      <c r="Z102" s="524">
        <f t="shared" si="156"/>
        <v>826678.7</v>
      </c>
      <c r="AA102" s="522">
        <f t="shared" si="157"/>
        <v>18005.562228616327</v>
      </c>
      <c r="AB102" s="522">
        <f t="shared" si="158"/>
        <v>2.2265562422708598</v>
      </c>
      <c r="AC102" s="522">
        <f t="shared" si="159"/>
        <v>-19390.020000000019</v>
      </c>
      <c r="AD102" s="522">
        <f t="shared" si="160"/>
        <v>-2.2917783794205349</v>
      </c>
      <c r="AE102" s="522">
        <f t="shared" si="161"/>
        <v>-138403.44999999995</v>
      </c>
      <c r="AF102" s="522">
        <f t="shared" si="162"/>
        <v>-14.341105573240583</v>
      </c>
      <c r="AG102" s="522">
        <f t="shared" si="177"/>
        <v>1125635.95</v>
      </c>
      <c r="AH102" s="522">
        <f t="shared" si="163"/>
        <v>279567.23</v>
      </c>
      <c r="AI102" s="522">
        <f t="shared" si="164"/>
        <v>33.043087800243939</v>
      </c>
      <c r="AJ102" s="522">
        <f t="shared" si="165"/>
        <v>298957.25</v>
      </c>
      <c r="AK102" s="522">
        <f t="shared" si="212"/>
        <v>36.163657053217889</v>
      </c>
      <c r="AL102" s="522">
        <f t="shared" si="202"/>
        <v>1125635.95</v>
      </c>
      <c r="AM102" s="522">
        <f t="shared" si="192"/>
        <v>365383.25</v>
      </c>
      <c r="AN102" s="522">
        <f t="shared" si="192"/>
        <v>345993.23</v>
      </c>
      <c r="AO102" s="522">
        <f t="shared" si="166"/>
        <v>-19390.020000000019</v>
      </c>
      <c r="AP102" s="522">
        <f t="shared" si="178"/>
        <v>-5.3067621463217023</v>
      </c>
      <c r="AQ102" s="578">
        <v>102103.24</v>
      </c>
      <c r="AR102" s="578">
        <v>148486.14000000001</v>
      </c>
      <c r="AS102" s="578">
        <v>263280.01</v>
      </c>
      <c r="AT102" s="578">
        <v>197507.08999999997</v>
      </c>
      <c r="AU102" s="578">
        <f t="shared" si="208"/>
        <v>480685.47</v>
      </c>
      <c r="AV102" s="578">
        <f t="shared" si="208"/>
        <v>480685.47</v>
      </c>
      <c r="AW102" s="578">
        <f t="shared" si="167"/>
        <v>0</v>
      </c>
      <c r="AX102" s="578">
        <f t="shared" si="168"/>
        <v>0</v>
      </c>
      <c r="AY102" s="578">
        <f t="shared" si="210"/>
        <v>779642.72</v>
      </c>
      <c r="AZ102" s="578">
        <f t="shared" si="169"/>
        <v>-298957.25</v>
      </c>
      <c r="BA102" s="578">
        <f t="shared" si="170"/>
        <v>-38.345416731397172</v>
      </c>
      <c r="BB102" s="578">
        <v>233153.86</v>
      </c>
      <c r="BC102" s="576">
        <f>'[67]Дир_ имущ'!AT49</f>
        <v>233153.86</v>
      </c>
      <c r="BD102" s="576">
        <f t="shared" si="203"/>
        <v>556699.4800000001</v>
      </c>
      <c r="BE102" s="576">
        <f t="shared" si="171"/>
        <v>323545.62000000011</v>
      </c>
      <c r="BF102" s="576">
        <f t="shared" si="172"/>
        <v>323545.62000000011</v>
      </c>
      <c r="BG102" s="576">
        <f t="shared" si="150"/>
        <v>598537.11</v>
      </c>
      <c r="BH102" s="578">
        <f t="shared" si="150"/>
        <v>579147.09</v>
      </c>
      <c r="BI102" s="578">
        <f>795863.43+106829.28</f>
        <v>902692.71000000008</v>
      </c>
      <c r="BJ102" s="578">
        <f t="shared" si="173"/>
        <v>304155.60000000009</v>
      </c>
      <c r="BK102" s="578">
        <f t="shared" si="174"/>
        <v>323545.62000000011</v>
      </c>
      <c r="BL102" s="576">
        <v>247531.61</v>
      </c>
      <c r="BM102" s="578">
        <f>'[67]Дир_ имущ'!AW49</f>
        <v>247531.61</v>
      </c>
      <c r="BN102" s="522">
        <f t="shared" si="204"/>
        <v>222943.23999999987</v>
      </c>
      <c r="BO102" s="578">
        <f t="shared" si="181"/>
        <v>-24588.370000000112</v>
      </c>
      <c r="BP102" s="578">
        <f t="shared" si="175"/>
        <v>-24588.370000000112</v>
      </c>
      <c r="BQ102" s="576">
        <v>247531.61</v>
      </c>
      <c r="BR102" s="578">
        <f>'[67]Дир_ имущ'!BB49</f>
        <v>0</v>
      </c>
      <c r="BS102" s="578">
        <f>'[67]Дир_ имущ'!BC49</f>
        <v>0</v>
      </c>
      <c r="BT102" s="536"/>
      <c r="BU102" s="578">
        <f>885815.82+177449.07</f>
        <v>1063264.8899999999</v>
      </c>
      <c r="BV102" s="578">
        <v>62371.06</v>
      </c>
      <c r="BW102" s="578"/>
      <c r="BX102" s="629"/>
      <c r="BY102" s="525">
        <f>819712.4+158458.59+62371.06</f>
        <v>1040542.05</v>
      </c>
      <c r="BZ102" s="525">
        <f>57007.15+17282.07</f>
        <v>74289.22</v>
      </c>
      <c r="CA102" s="525">
        <f>9096.27+1708.41</f>
        <v>10804.68</v>
      </c>
      <c r="CB102" s="522">
        <f t="shared" si="134"/>
        <v>1125635.95</v>
      </c>
      <c r="CC102" s="522">
        <f t="shared" si="176"/>
        <v>0</v>
      </c>
      <c r="CD102" s="578"/>
      <c r="CE102" s="578"/>
      <c r="CF102" s="578"/>
      <c r="CG102" s="578"/>
      <c r="CH102" s="578"/>
      <c r="CI102" s="578"/>
      <c r="CJ102" s="578"/>
      <c r="CK102" s="543" t="s">
        <v>1815</v>
      </c>
      <c r="CL102" s="543" t="s">
        <v>1897</v>
      </c>
      <c r="CM102" s="528" t="s">
        <v>1907</v>
      </c>
      <c r="CN102" s="528"/>
      <c r="CO102" s="528"/>
      <c r="CP102" s="544">
        <f t="shared" si="205"/>
        <v>780600.30341330578</v>
      </c>
      <c r="CQ102" s="544">
        <f t="shared" si="206"/>
        <v>57337.63892761364</v>
      </c>
      <c r="CR102" s="544">
        <f t="shared" si="207"/>
        <v>8130.7776590806188</v>
      </c>
      <c r="CS102" s="1709" t="s">
        <v>1826</v>
      </c>
      <c r="CT102" s="1710"/>
      <c r="CU102" s="1710"/>
      <c r="CV102" s="1710"/>
      <c r="CW102" s="1711"/>
      <c r="CX102" s="528"/>
      <c r="CY102" s="528"/>
      <c r="CZ102" s="528"/>
      <c r="DA102" s="528"/>
      <c r="DB102" s="579">
        <f>141638.04+6848.1</f>
        <v>148486.14000000001</v>
      </c>
      <c r="DC102" s="628" t="e">
        <f>P102-#REF!</f>
        <v>#REF!</v>
      </c>
      <c r="DD102" s="535">
        <f>1106022.84</f>
        <v>1106022.8400000001</v>
      </c>
      <c r="DE102" s="535"/>
      <c r="DF102" s="525">
        <f t="shared" si="211"/>
        <v>1040.54205</v>
      </c>
      <c r="DG102" s="525">
        <f t="shared" si="211"/>
        <v>74.28922</v>
      </c>
      <c r="DH102" s="525">
        <f t="shared" si="211"/>
        <v>10.804680000000001</v>
      </c>
      <c r="DI102" s="522">
        <f t="shared" si="209"/>
        <v>1125.6359499999999</v>
      </c>
      <c r="DJ102" s="536"/>
      <c r="DK102" s="536"/>
      <c r="DL102" s="536"/>
      <c r="DM102" s="536"/>
      <c r="DN102" s="536"/>
      <c r="DO102" s="536"/>
      <c r="DP102" s="536"/>
      <c r="DQ102" s="536"/>
      <c r="DR102" s="536"/>
      <c r="DS102" s="536"/>
    </row>
    <row r="103" spans="1:123" s="534" customFormat="1" ht="34.5" customHeight="1">
      <c r="A103" s="537" t="s">
        <v>500</v>
      </c>
      <c r="B103" s="538" t="s">
        <v>501</v>
      </c>
      <c r="C103" s="576">
        <v>785398.89</v>
      </c>
      <c r="D103" s="576">
        <v>0</v>
      </c>
      <c r="E103" s="576">
        <v>924210</v>
      </c>
      <c r="F103" s="576">
        <v>992982.95</v>
      </c>
      <c r="G103" s="577">
        <v>0</v>
      </c>
      <c r="H103" s="577">
        <v>0</v>
      </c>
      <c r="I103" s="576">
        <f t="shared" si="198"/>
        <v>1028438.21</v>
      </c>
      <c r="J103" s="576">
        <v>467046.78</v>
      </c>
      <c r="K103" s="576">
        <v>293641.40999999997</v>
      </c>
      <c r="L103" s="576">
        <v>267750.02</v>
      </c>
      <c r="M103" s="576">
        <f t="shared" si="199"/>
        <v>760688.19</v>
      </c>
      <c r="N103" s="576">
        <v>743851.41</v>
      </c>
      <c r="O103" s="525">
        <f t="shared" si="200"/>
        <v>253471.65000000002</v>
      </c>
      <c r="P103" s="522">
        <f>3740+993583.06</f>
        <v>997323.06</v>
      </c>
      <c r="Q103" s="576">
        <f t="shared" si="151"/>
        <v>-31115.149999999907</v>
      </c>
      <c r="R103" s="576">
        <f t="shared" si="152"/>
        <v>-3.0254758815310652</v>
      </c>
      <c r="S103" s="576">
        <v>0</v>
      </c>
      <c r="T103" s="576">
        <v>0</v>
      </c>
      <c r="U103" s="522">
        <f t="shared" si="201"/>
        <v>1080888.55</v>
      </c>
      <c r="V103" s="522">
        <f t="shared" si="149"/>
        <v>1080888.55</v>
      </c>
      <c r="W103" s="522">
        <v>0</v>
      </c>
      <c r="X103" s="522">
        <f t="shared" si="154"/>
        <v>83565.489999999991</v>
      </c>
      <c r="Y103" s="522">
        <f t="shared" si="155"/>
        <v>8.3789790241088014</v>
      </c>
      <c r="Z103" s="524">
        <f t="shared" si="156"/>
        <v>1040792.12</v>
      </c>
      <c r="AA103" s="522">
        <f t="shared" si="157"/>
        <v>1040792.12</v>
      </c>
      <c r="AB103" s="522">
        <v>0</v>
      </c>
      <c r="AC103" s="522">
        <f t="shared" si="159"/>
        <v>-40096.430000000051</v>
      </c>
      <c r="AD103" s="522">
        <f t="shared" si="160"/>
        <v>-3.7095804188137578</v>
      </c>
      <c r="AE103" s="522">
        <f t="shared" si="161"/>
        <v>43469.059999999939</v>
      </c>
      <c r="AF103" s="522">
        <f t="shared" si="162"/>
        <v>4.3585736401201842</v>
      </c>
      <c r="AG103" s="522">
        <f t="shared" si="177"/>
        <v>1027553.09</v>
      </c>
      <c r="AH103" s="522">
        <f t="shared" si="163"/>
        <v>-53335.460000000079</v>
      </c>
      <c r="AI103" s="522">
        <f t="shared" si="164"/>
        <v>-4.9344088250356606</v>
      </c>
      <c r="AJ103" s="522">
        <f t="shared" si="165"/>
        <v>-13239.030000000028</v>
      </c>
      <c r="AK103" s="522">
        <f t="shared" si="212"/>
        <v>-1.2720148188670066</v>
      </c>
      <c r="AL103" s="522">
        <f t="shared" si="202"/>
        <v>1027553.09</v>
      </c>
      <c r="AM103" s="522">
        <f t="shared" si="192"/>
        <v>517433.78</v>
      </c>
      <c r="AN103" s="522">
        <f t="shared" si="192"/>
        <v>477337.35</v>
      </c>
      <c r="AO103" s="522">
        <f t="shared" si="166"/>
        <v>-40096.430000000051</v>
      </c>
      <c r="AP103" s="522">
        <f t="shared" si="178"/>
        <v>-7.7490940000090518</v>
      </c>
      <c r="AQ103" s="578">
        <v>219710.67</v>
      </c>
      <c r="AR103" s="578">
        <v>215302.42</v>
      </c>
      <c r="AS103" s="578">
        <v>297723.11</v>
      </c>
      <c r="AT103" s="578">
        <v>262034.92999999996</v>
      </c>
      <c r="AU103" s="578">
        <f t="shared" si="208"/>
        <v>563454.77</v>
      </c>
      <c r="AV103" s="578">
        <f t="shared" si="208"/>
        <v>563454.77</v>
      </c>
      <c r="AW103" s="578">
        <f t="shared" si="167"/>
        <v>0</v>
      </c>
      <c r="AX103" s="578">
        <f t="shared" si="168"/>
        <v>0</v>
      </c>
      <c r="AY103" s="578">
        <f t="shared" si="210"/>
        <v>550215.74</v>
      </c>
      <c r="AZ103" s="578">
        <f t="shared" si="169"/>
        <v>13239.030000000028</v>
      </c>
      <c r="BA103" s="578">
        <f t="shared" si="170"/>
        <v>2.4061525393657348</v>
      </c>
      <c r="BB103" s="578">
        <v>306708.5</v>
      </c>
      <c r="BC103" s="576">
        <f>'[67]Дир_ имущ'!AT50</f>
        <v>306708.5</v>
      </c>
      <c r="BD103" s="576">
        <f t="shared" si="203"/>
        <v>279855.17000000004</v>
      </c>
      <c r="BE103" s="576">
        <f t="shared" si="171"/>
        <v>-26853.329999999958</v>
      </c>
      <c r="BF103" s="576">
        <f t="shared" si="172"/>
        <v>-26853.329999999958</v>
      </c>
      <c r="BG103" s="576">
        <f t="shared" si="150"/>
        <v>824142.28</v>
      </c>
      <c r="BH103" s="578">
        <f t="shared" si="150"/>
        <v>784045.85</v>
      </c>
      <c r="BI103" s="578">
        <v>757192.52</v>
      </c>
      <c r="BJ103" s="578">
        <f t="shared" si="173"/>
        <v>-66949.760000000009</v>
      </c>
      <c r="BK103" s="578">
        <f t="shared" si="174"/>
        <v>-26853.329999999958</v>
      </c>
      <c r="BL103" s="576">
        <v>256746.27</v>
      </c>
      <c r="BM103" s="578">
        <f>'[67]Дир_ имущ'!AW50</f>
        <v>256746.27</v>
      </c>
      <c r="BN103" s="522">
        <f t="shared" si="204"/>
        <v>270360.56999999995</v>
      </c>
      <c r="BO103" s="578">
        <f t="shared" si="181"/>
        <v>13614.299999999959</v>
      </c>
      <c r="BP103" s="578">
        <f t="shared" si="175"/>
        <v>13614.299999999959</v>
      </c>
      <c r="BQ103" s="576">
        <v>256746.27</v>
      </c>
      <c r="BR103" s="578">
        <f>'[67]Дир_ имущ'!BB50</f>
        <v>0</v>
      </c>
      <c r="BS103" s="578">
        <f>'[67]Дир_ имущ'!BC50</f>
        <v>0</v>
      </c>
      <c r="BT103" s="536"/>
      <c r="BU103" s="578">
        <v>1027553.09</v>
      </c>
      <c r="BV103" s="578"/>
      <c r="BW103" s="578"/>
      <c r="BX103" s="629"/>
      <c r="BY103" s="525">
        <v>971923.26</v>
      </c>
      <c r="BZ103" s="525">
        <v>47153.52</v>
      </c>
      <c r="CA103" s="525">
        <v>8476.31</v>
      </c>
      <c r="CB103" s="522">
        <f t="shared" si="134"/>
        <v>1027553.0900000001</v>
      </c>
      <c r="CC103" s="522">
        <f t="shared" si="176"/>
        <v>0</v>
      </c>
      <c r="CD103" s="578"/>
      <c r="CE103" s="578"/>
      <c r="CF103" s="578"/>
      <c r="CG103" s="578"/>
      <c r="CH103" s="578"/>
      <c r="CI103" s="578"/>
      <c r="CJ103" s="578"/>
      <c r="CK103" s="543" t="s">
        <v>1815</v>
      </c>
      <c r="CL103" s="543" t="s">
        <v>1897</v>
      </c>
      <c r="CM103" s="528" t="s">
        <v>1907</v>
      </c>
      <c r="CN103" s="528"/>
      <c r="CO103" s="528"/>
      <c r="CP103" s="544">
        <f t="shared" si="205"/>
        <v>997249.88070232421</v>
      </c>
      <c r="CQ103" s="544">
        <f t="shared" si="206"/>
        <v>73251.25718025821</v>
      </c>
      <c r="CR103" s="544">
        <f t="shared" si="207"/>
        <v>10387.412117417654</v>
      </c>
      <c r="CS103" s="1709" t="s">
        <v>1826</v>
      </c>
      <c r="CT103" s="1710"/>
      <c r="CU103" s="1710"/>
      <c r="CV103" s="1710"/>
      <c r="CW103" s="1711"/>
      <c r="CX103" s="528"/>
      <c r="CY103" s="528"/>
      <c r="CZ103" s="528"/>
      <c r="DA103" s="528"/>
      <c r="DB103" s="579">
        <f>215302.42</f>
        <v>215302.42</v>
      </c>
      <c r="DC103" s="628" t="e">
        <f>P103-#REF!</f>
        <v>#REF!</v>
      </c>
      <c r="DD103" s="535"/>
      <c r="DE103" s="535"/>
      <c r="DF103" s="525">
        <f t="shared" si="211"/>
        <v>971.92326000000003</v>
      </c>
      <c r="DG103" s="525">
        <f t="shared" si="211"/>
        <v>47.15352</v>
      </c>
      <c r="DH103" s="525">
        <f t="shared" si="211"/>
        <v>8.4763099999999998</v>
      </c>
      <c r="DI103" s="522">
        <f t="shared" si="209"/>
        <v>1027.5530900000001</v>
      </c>
      <c r="DJ103" s="536"/>
      <c r="DK103" s="536"/>
      <c r="DL103" s="536"/>
      <c r="DM103" s="536"/>
      <c r="DN103" s="536"/>
      <c r="DO103" s="536"/>
      <c r="DP103" s="536"/>
      <c r="DQ103" s="536"/>
      <c r="DR103" s="536"/>
      <c r="DS103" s="536"/>
    </row>
    <row r="104" spans="1:123" s="534" customFormat="1" ht="84.6">
      <c r="A104" s="537" t="s">
        <v>357</v>
      </c>
      <c r="B104" s="538" t="s">
        <v>358</v>
      </c>
      <c r="C104" s="576">
        <v>4694.1499999999996</v>
      </c>
      <c r="D104" s="576">
        <v>237554.96</v>
      </c>
      <c r="E104" s="576">
        <v>40000</v>
      </c>
      <c r="F104" s="576">
        <v>22808.02</v>
      </c>
      <c r="G104" s="577">
        <v>25630.903210188761</v>
      </c>
      <c r="H104" s="577">
        <v>0</v>
      </c>
      <c r="I104" s="576">
        <f t="shared" si="198"/>
        <v>761.01</v>
      </c>
      <c r="J104" s="576">
        <v>761.01</v>
      </c>
      <c r="K104" s="576">
        <v>0</v>
      </c>
      <c r="L104" s="576">
        <v>0</v>
      </c>
      <c r="M104" s="576">
        <f t="shared" si="199"/>
        <v>761.01</v>
      </c>
      <c r="N104" s="576">
        <v>761.01</v>
      </c>
      <c r="O104" s="525">
        <f t="shared" si="200"/>
        <v>6447.46</v>
      </c>
      <c r="P104" s="522">
        <v>7208.47</v>
      </c>
      <c r="Q104" s="576">
        <f t="shared" si="151"/>
        <v>6447.46</v>
      </c>
      <c r="R104" s="576">
        <f t="shared" si="152"/>
        <v>847.2240837833931</v>
      </c>
      <c r="S104" s="576">
        <v>25359.035</v>
      </c>
      <c r="T104" s="576">
        <v>25359.035</v>
      </c>
      <c r="U104" s="522">
        <f t="shared" si="201"/>
        <v>29754.05</v>
      </c>
      <c r="V104" s="522">
        <f t="shared" si="149"/>
        <v>4395.0149999999994</v>
      </c>
      <c r="W104" s="522">
        <f t="shared" si="153"/>
        <v>17.33116027482906</v>
      </c>
      <c r="X104" s="522">
        <f t="shared" si="154"/>
        <v>22545.579999999998</v>
      </c>
      <c r="Y104" s="522">
        <f t="shared" si="155"/>
        <v>312.76512214103684</v>
      </c>
      <c r="Z104" s="524">
        <f t="shared" si="156"/>
        <v>5076.2700000000004</v>
      </c>
      <c r="AA104" s="522">
        <f t="shared" si="157"/>
        <v>-20282.764999999999</v>
      </c>
      <c r="AB104" s="522">
        <f t="shared" si="158"/>
        <v>-79.982400749870806</v>
      </c>
      <c r="AC104" s="522">
        <f t="shared" si="159"/>
        <v>-24677.78</v>
      </c>
      <c r="AD104" s="522">
        <f t="shared" si="160"/>
        <v>-82.93923012161369</v>
      </c>
      <c r="AE104" s="522">
        <f t="shared" si="161"/>
        <v>-2132.1999999999998</v>
      </c>
      <c r="AF104" s="522">
        <f t="shared" si="162"/>
        <v>-29.579092373277547</v>
      </c>
      <c r="AG104" s="522">
        <f t="shared" si="177"/>
        <v>5076.2700000000004</v>
      </c>
      <c r="AH104" s="522">
        <f t="shared" si="163"/>
        <v>-24677.78</v>
      </c>
      <c r="AI104" s="522">
        <f t="shared" si="164"/>
        <v>-82.93923012161369</v>
      </c>
      <c r="AJ104" s="522">
        <f t="shared" si="165"/>
        <v>0</v>
      </c>
      <c r="AK104" s="522">
        <f t="shared" si="212"/>
        <v>0</v>
      </c>
      <c r="AL104" s="522">
        <f t="shared" si="202"/>
        <v>5076.2700000000004</v>
      </c>
      <c r="AM104" s="522">
        <f t="shared" si="192"/>
        <v>29754.05</v>
      </c>
      <c r="AN104" s="522">
        <f t="shared" si="192"/>
        <v>5076.2700000000004</v>
      </c>
      <c r="AO104" s="522">
        <f t="shared" si="166"/>
        <v>-24677.78</v>
      </c>
      <c r="AP104" s="522">
        <f t="shared" si="178"/>
        <v>-82.93923012161369</v>
      </c>
      <c r="AQ104" s="578">
        <v>0</v>
      </c>
      <c r="AR104" s="578">
        <v>1016.95</v>
      </c>
      <c r="AS104" s="578">
        <v>29754.05</v>
      </c>
      <c r="AT104" s="578">
        <v>4059.3200000000006</v>
      </c>
      <c r="AU104" s="578">
        <f t="shared" si="208"/>
        <v>0</v>
      </c>
      <c r="AV104" s="578">
        <f t="shared" si="208"/>
        <v>0</v>
      </c>
      <c r="AW104" s="578">
        <f t="shared" si="167"/>
        <v>0</v>
      </c>
      <c r="AX104" s="578">
        <v>0</v>
      </c>
      <c r="AY104" s="578">
        <f t="shared" si="210"/>
        <v>0</v>
      </c>
      <c r="AZ104" s="578">
        <f t="shared" si="169"/>
        <v>0</v>
      </c>
      <c r="BA104" s="578">
        <v>0</v>
      </c>
      <c r="BB104" s="578">
        <v>0</v>
      </c>
      <c r="BC104" s="576">
        <f>'[67]Гл инж_Тех дир'!AT63</f>
        <v>0</v>
      </c>
      <c r="BD104" s="576">
        <f t="shared" si="203"/>
        <v>0</v>
      </c>
      <c r="BE104" s="576">
        <f t="shared" si="171"/>
        <v>0</v>
      </c>
      <c r="BF104" s="576">
        <f t="shared" si="172"/>
        <v>0</v>
      </c>
      <c r="BG104" s="576">
        <f t="shared" si="150"/>
        <v>29754.05</v>
      </c>
      <c r="BH104" s="578">
        <f t="shared" si="150"/>
        <v>5076.2700000000004</v>
      </c>
      <c r="BI104" s="578">
        <v>5076.2700000000004</v>
      </c>
      <c r="BJ104" s="578">
        <f t="shared" si="173"/>
        <v>-24677.78</v>
      </c>
      <c r="BK104" s="578">
        <f t="shared" si="174"/>
        <v>0</v>
      </c>
      <c r="BL104" s="576">
        <v>0</v>
      </c>
      <c r="BM104" s="578">
        <f>'[67]Гл инж_Тех дир'!AW63</f>
        <v>0</v>
      </c>
      <c r="BN104" s="522">
        <f t="shared" si="204"/>
        <v>0</v>
      </c>
      <c r="BO104" s="578">
        <f t="shared" si="181"/>
        <v>0</v>
      </c>
      <c r="BP104" s="578">
        <f t="shared" si="175"/>
        <v>0</v>
      </c>
      <c r="BQ104" s="576">
        <v>0</v>
      </c>
      <c r="BR104" s="578">
        <f>'[67]Гл инж_Тех дир'!BB63</f>
        <v>0</v>
      </c>
      <c r="BS104" s="578">
        <f>'[67]Гл инж_Тех дир'!BC63</f>
        <v>0</v>
      </c>
      <c r="BT104" s="536"/>
      <c r="BU104" s="578">
        <v>5076.2700000000004</v>
      </c>
      <c r="BV104" s="578"/>
      <c r="BW104" s="578"/>
      <c r="BX104" s="629"/>
      <c r="BY104" s="525">
        <v>5014.95</v>
      </c>
      <c r="BZ104" s="525">
        <v>53.19</v>
      </c>
      <c r="CA104" s="525">
        <v>8.1300000000000008</v>
      </c>
      <c r="CB104" s="522">
        <f t="shared" si="134"/>
        <v>5076.2699999999995</v>
      </c>
      <c r="CC104" s="522">
        <f t="shared" si="176"/>
        <v>0</v>
      </c>
      <c r="CD104" s="578"/>
      <c r="CE104" s="578"/>
      <c r="CF104" s="578"/>
      <c r="CG104" s="578"/>
      <c r="CH104" s="578"/>
      <c r="CI104" s="578"/>
      <c r="CJ104" s="578"/>
      <c r="CK104" s="542" t="s">
        <v>79</v>
      </c>
      <c r="CL104" s="543" t="s">
        <v>1911</v>
      </c>
      <c r="CM104" s="528" t="s">
        <v>1907</v>
      </c>
      <c r="CN104" s="528"/>
      <c r="CO104" s="528"/>
      <c r="CP104" s="544">
        <f t="shared" si="205"/>
        <v>27451.695008621369</v>
      </c>
      <c r="CQ104" s="544">
        <f t="shared" si="206"/>
        <v>2016.4165571966337</v>
      </c>
      <c r="CR104" s="544">
        <f t="shared" si="207"/>
        <v>285.93843418199845</v>
      </c>
      <c r="CS104" s="1709" t="s">
        <v>1826</v>
      </c>
      <c r="CT104" s="1710"/>
      <c r="CU104" s="1710"/>
      <c r="CV104" s="1710"/>
      <c r="CW104" s="1711"/>
      <c r="CX104" s="528"/>
      <c r="CY104" s="528"/>
      <c r="CZ104" s="528"/>
      <c r="DA104" s="528"/>
      <c r="DB104" s="579">
        <f>1016.95</f>
        <v>1016.95</v>
      </c>
      <c r="DC104" s="628" t="e">
        <f>P104-#REF!</f>
        <v>#REF!</v>
      </c>
      <c r="DD104" s="535"/>
      <c r="DE104" s="535"/>
      <c r="DF104" s="525">
        <f t="shared" si="211"/>
        <v>5.0149499999999998</v>
      </c>
      <c r="DG104" s="525">
        <f t="shared" si="211"/>
        <v>5.3190000000000001E-2</v>
      </c>
      <c r="DH104" s="525">
        <f t="shared" si="211"/>
        <v>8.1300000000000001E-3</v>
      </c>
      <c r="DI104" s="522">
        <f t="shared" si="209"/>
        <v>5.0762699999999992</v>
      </c>
      <c r="DJ104" s="536"/>
      <c r="DK104" s="536"/>
      <c r="DL104" s="536"/>
      <c r="DM104" s="536"/>
      <c r="DN104" s="536"/>
      <c r="DO104" s="536"/>
      <c r="DP104" s="536"/>
      <c r="DQ104" s="536"/>
      <c r="DR104" s="536"/>
      <c r="DS104" s="536"/>
    </row>
    <row r="105" spans="1:123" s="534" customFormat="1" ht="56.4">
      <c r="A105" s="537" t="s">
        <v>362</v>
      </c>
      <c r="B105" s="538" t="s">
        <v>363</v>
      </c>
      <c r="C105" s="576">
        <v>350271.52</v>
      </c>
      <c r="D105" s="576">
        <v>445826.66</v>
      </c>
      <c r="E105" s="576">
        <v>597936.66</v>
      </c>
      <c r="F105" s="576">
        <v>406008.56</v>
      </c>
      <c r="G105" s="577">
        <v>334164.33542537247</v>
      </c>
      <c r="H105" s="577">
        <v>0</v>
      </c>
      <c r="I105" s="576">
        <f t="shared" si="198"/>
        <v>273179.69999999995</v>
      </c>
      <c r="J105" s="576">
        <v>106097.52</v>
      </c>
      <c r="K105" s="576">
        <v>83541.09</v>
      </c>
      <c r="L105" s="576">
        <v>83541.09</v>
      </c>
      <c r="M105" s="576">
        <f t="shared" si="199"/>
        <v>189638.61</v>
      </c>
      <c r="N105" s="576">
        <v>166144.13</v>
      </c>
      <c r="O105" s="525">
        <f t="shared" si="200"/>
        <v>133291.85999999999</v>
      </c>
      <c r="P105" s="522">
        <v>299435.99</v>
      </c>
      <c r="Q105" s="576">
        <f t="shared" si="151"/>
        <v>26256.290000000037</v>
      </c>
      <c r="R105" s="576">
        <f t="shared" si="152"/>
        <v>9.6113620448371648</v>
      </c>
      <c r="S105" s="576">
        <v>374260</v>
      </c>
      <c r="T105" s="576">
        <v>374260</v>
      </c>
      <c r="U105" s="522">
        <f t="shared" si="201"/>
        <v>232823.32</v>
      </c>
      <c r="V105" s="522">
        <f t="shared" si="149"/>
        <v>-141436.68</v>
      </c>
      <c r="W105" s="522">
        <f t="shared" si="153"/>
        <v>-37.79102228397371</v>
      </c>
      <c r="X105" s="522">
        <f t="shared" si="154"/>
        <v>-66612.669999999984</v>
      </c>
      <c r="Y105" s="522">
        <f t="shared" si="155"/>
        <v>-22.246046642556223</v>
      </c>
      <c r="Z105" s="524">
        <f t="shared" si="156"/>
        <v>232823.32</v>
      </c>
      <c r="AA105" s="522">
        <f t="shared" si="157"/>
        <v>-141436.68</v>
      </c>
      <c r="AB105" s="522">
        <f t="shared" si="158"/>
        <v>-37.79102228397371</v>
      </c>
      <c r="AC105" s="522">
        <f t="shared" si="159"/>
        <v>0</v>
      </c>
      <c r="AD105" s="522">
        <f t="shared" si="160"/>
        <v>0</v>
      </c>
      <c r="AE105" s="522">
        <f t="shared" si="161"/>
        <v>-66612.669999999984</v>
      </c>
      <c r="AF105" s="522">
        <f t="shared" si="162"/>
        <v>-22.246046642556223</v>
      </c>
      <c r="AG105" s="522">
        <f t="shared" si="177"/>
        <v>309975.12</v>
      </c>
      <c r="AH105" s="522">
        <f t="shared" si="163"/>
        <v>77151.799999999988</v>
      </c>
      <c r="AI105" s="522">
        <f t="shared" si="164"/>
        <v>33.13748811759919</v>
      </c>
      <c r="AJ105" s="522">
        <f t="shared" si="165"/>
        <v>77151.799999999988</v>
      </c>
      <c r="AK105" s="522">
        <f t="shared" si="212"/>
        <v>33.13748811759919</v>
      </c>
      <c r="AL105" s="522">
        <f t="shared" si="202"/>
        <v>309975.12</v>
      </c>
      <c r="AM105" s="522">
        <f t="shared" si="192"/>
        <v>116411.66</v>
      </c>
      <c r="AN105" s="522">
        <f t="shared" si="192"/>
        <v>135940.79</v>
      </c>
      <c r="AO105" s="522">
        <f t="shared" si="166"/>
        <v>19529.130000000005</v>
      </c>
      <c r="AP105" s="522">
        <f t="shared" si="178"/>
        <v>16.775922618060775</v>
      </c>
      <c r="AQ105" s="578">
        <v>58205.83</v>
      </c>
      <c r="AR105" s="578">
        <v>68557.179999999993</v>
      </c>
      <c r="AS105" s="578">
        <v>58205.83</v>
      </c>
      <c r="AT105" s="578">
        <v>67383.610000000015</v>
      </c>
      <c r="AU105" s="578">
        <f t="shared" si="208"/>
        <v>116411.66</v>
      </c>
      <c r="AV105" s="578">
        <f t="shared" si="208"/>
        <v>96882.53</v>
      </c>
      <c r="AW105" s="578">
        <f t="shared" si="167"/>
        <v>-19529.130000000005</v>
      </c>
      <c r="AX105" s="578">
        <f t="shared" si="168"/>
        <v>-16.775922618060761</v>
      </c>
      <c r="AY105" s="578">
        <f t="shared" si="210"/>
        <v>174034.33</v>
      </c>
      <c r="AZ105" s="578">
        <f t="shared" si="169"/>
        <v>-77151.799999999988</v>
      </c>
      <c r="BA105" s="578">
        <f t="shared" si="170"/>
        <v>-44.331368414496154</v>
      </c>
      <c r="BB105" s="578">
        <v>58205.83</v>
      </c>
      <c r="BC105" s="576">
        <f>'[67]Гл инж_Тех дир'!AT64</f>
        <v>48441.264999999999</v>
      </c>
      <c r="BD105" s="576">
        <f t="shared" si="203"/>
        <v>88288.85</v>
      </c>
      <c r="BE105" s="576">
        <f t="shared" si="171"/>
        <v>30083.020000000004</v>
      </c>
      <c r="BF105" s="576">
        <f t="shared" si="172"/>
        <v>39847.585000000006</v>
      </c>
      <c r="BG105" s="576">
        <f t="shared" si="150"/>
        <v>174617.49</v>
      </c>
      <c r="BH105" s="578">
        <f t="shared" si="150"/>
        <v>184382.05499999999</v>
      </c>
      <c r="BI105" s="578">
        <v>224229.64</v>
      </c>
      <c r="BJ105" s="578">
        <f t="shared" si="173"/>
        <v>49612.150000000023</v>
      </c>
      <c r="BK105" s="578">
        <f t="shared" si="174"/>
        <v>39847.585000000021</v>
      </c>
      <c r="BL105" s="576">
        <v>58205.83</v>
      </c>
      <c r="BM105" s="578">
        <f>'[67]Гл инж_Тех дир'!AW64</f>
        <v>48441.264999999999</v>
      </c>
      <c r="BN105" s="522">
        <f t="shared" si="204"/>
        <v>85745.479999999981</v>
      </c>
      <c r="BO105" s="578">
        <f t="shared" si="181"/>
        <v>27539.64999999998</v>
      </c>
      <c r="BP105" s="578">
        <f t="shared" si="175"/>
        <v>37304.214999999982</v>
      </c>
      <c r="BQ105" s="576">
        <v>58205.83</v>
      </c>
      <c r="BR105" s="578">
        <f>'[67]Гл инж_Тех дир'!BB64</f>
        <v>0</v>
      </c>
      <c r="BS105" s="578">
        <f>'[67]Гл инж_Тех дир'!BC64</f>
        <v>0</v>
      </c>
      <c r="BT105" s="536"/>
      <c r="BU105" s="578">
        <v>309975.12</v>
      </c>
      <c r="BV105" s="578"/>
      <c r="BW105" s="578"/>
      <c r="BX105" s="629"/>
      <c r="BY105" s="525">
        <v>280664.09000000003</v>
      </c>
      <c r="BZ105" s="525">
        <v>26370.31</v>
      </c>
      <c r="CA105" s="525">
        <v>2940.72</v>
      </c>
      <c r="CB105" s="522">
        <f t="shared" si="134"/>
        <v>309975.12</v>
      </c>
      <c r="CC105" s="522">
        <f t="shared" si="176"/>
        <v>0</v>
      </c>
      <c r="CD105" s="578"/>
      <c r="CE105" s="578"/>
      <c r="CF105" s="578"/>
      <c r="CG105" s="578"/>
      <c r="CH105" s="578"/>
      <c r="CI105" s="578"/>
      <c r="CJ105" s="578"/>
      <c r="CK105" s="542" t="s">
        <v>79</v>
      </c>
      <c r="CL105" s="543" t="s">
        <v>1911</v>
      </c>
      <c r="CM105" s="528" t="s">
        <v>1907</v>
      </c>
      <c r="CN105" s="528" t="s">
        <v>1849</v>
      </c>
      <c r="CO105" s="528"/>
      <c r="CP105" s="544">
        <f t="shared" si="205"/>
        <v>214807.55633383206</v>
      </c>
      <c r="CQ105" s="544">
        <f t="shared" si="206"/>
        <v>15778.315804049875</v>
      </c>
      <c r="CR105" s="544">
        <f t="shared" si="207"/>
        <v>2237.447862118077</v>
      </c>
      <c r="CS105" s="1709" t="s">
        <v>1826</v>
      </c>
      <c r="CT105" s="1710"/>
      <c r="CU105" s="1710"/>
      <c r="CV105" s="1710"/>
      <c r="CW105" s="1711"/>
      <c r="CX105" s="528"/>
      <c r="CY105" s="528"/>
      <c r="CZ105" s="528"/>
      <c r="DA105" s="528"/>
      <c r="DB105" s="579">
        <f>68557.18</f>
        <v>68557.179999999993</v>
      </c>
      <c r="DC105" s="628" t="e">
        <f>P105-#REF!</f>
        <v>#REF!</v>
      </c>
      <c r="DD105" s="535"/>
      <c r="DE105" s="535"/>
      <c r="DF105" s="525">
        <f t="shared" si="211"/>
        <v>280.66409000000004</v>
      </c>
      <c r="DG105" s="525">
        <f t="shared" si="211"/>
        <v>26.37031</v>
      </c>
      <c r="DH105" s="525">
        <f t="shared" si="211"/>
        <v>2.9407199999999998</v>
      </c>
      <c r="DI105" s="522">
        <f t="shared" si="209"/>
        <v>309.97512</v>
      </c>
      <c r="DJ105" s="536"/>
      <c r="DK105" s="536"/>
      <c r="DL105" s="536"/>
      <c r="DM105" s="536"/>
      <c r="DN105" s="536"/>
      <c r="DO105" s="536"/>
      <c r="DP105" s="536"/>
      <c r="DQ105" s="536"/>
      <c r="DR105" s="536"/>
      <c r="DS105" s="536"/>
    </row>
    <row r="106" spans="1:123" s="534" customFormat="1">
      <c r="A106" s="520" t="s">
        <v>367</v>
      </c>
      <c r="B106" s="521" t="s">
        <v>368</v>
      </c>
      <c r="C106" s="578">
        <v>439235.6</v>
      </c>
      <c r="D106" s="578">
        <v>2069629.36</v>
      </c>
      <c r="E106" s="578">
        <v>469640</v>
      </c>
      <c r="F106" s="578">
        <v>626968.68000000005</v>
      </c>
      <c r="G106" s="593">
        <v>686086.00349633384</v>
      </c>
      <c r="H106" s="593">
        <v>0</v>
      </c>
      <c r="I106" s="578">
        <f t="shared" si="198"/>
        <v>1162611.2</v>
      </c>
      <c r="J106" s="578">
        <v>805520.54</v>
      </c>
      <c r="K106" s="578">
        <v>178545.33</v>
      </c>
      <c r="L106" s="578">
        <v>178545.33</v>
      </c>
      <c r="M106" s="578">
        <f t="shared" si="199"/>
        <v>984065.87</v>
      </c>
      <c r="N106" s="578">
        <v>954083.12</v>
      </c>
      <c r="O106" s="522">
        <f t="shared" si="200"/>
        <v>1444574.6599999997</v>
      </c>
      <c r="P106" s="522">
        <v>2398657.7799999998</v>
      </c>
      <c r="Q106" s="578">
        <f t="shared" si="151"/>
        <v>1236046.5799999998</v>
      </c>
      <c r="R106" s="578">
        <f t="shared" si="152"/>
        <v>106.31641773277258</v>
      </c>
      <c r="S106" s="578">
        <v>694855.70499999996</v>
      </c>
      <c r="T106" s="578">
        <v>694855.70499999996</v>
      </c>
      <c r="U106" s="522">
        <f t="shared" si="201"/>
        <v>1002741.36</v>
      </c>
      <c r="V106" s="522">
        <f t="shared" si="149"/>
        <v>307885.65500000003</v>
      </c>
      <c r="W106" s="522">
        <f t="shared" si="153"/>
        <v>44.30929368277981</v>
      </c>
      <c r="X106" s="522">
        <f t="shared" si="154"/>
        <v>-1395916.42</v>
      </c>
      <c r="Y106" s="522">
        <f t="shared" si="155"/>
        <v>-58.195730613976956</v>
      </c>
      <c r="Z106" s="524">
        <f t="shared" si="156"/>
        <v>1651827.24</v>
      </c>
      <c r="AA106" s="522">
        <f t="shared" si="157"/>
        <v>956971.53500000003</v>
      </c>
      <c r="AB106" s="522">
        <f t="shared" si="158"/>
        <v>137.72233977700452</v>
      </c>
      <c r="AC106" s="522">
        <f t="shared" si="159"/>
        <v>649085.88</v>
      </c>
      <c r="AD106" s="522">
        <f t="shared" si="160"/>
        <v>64.731136651229775</v>
      </c>
      <c r="AE106" s="522">
        <f t="shared" si="161"/>
        <v>-746830.5399999998</v>
      </c>
      <c r="AF106" s="522">
        <f t="shared" si="162"/>
        <v>-31.135351871662152</v>
      </c>
      <c r="AG106" s="522">
        <f t="shared" si="177"/>
        <v>3084426.13</v>
      </c>
      <c r="AH106" s="522">
        <f t="shared" si="163"/>
        <v>2081684.77</v>
      </c>
      <c r="AI106" s="522">
        <f t="shared" si="164"/>
        <v>207.59937238452</v>
      </c>
      <c r="AJ106" s="522">
        <f t="shared" si="165"/>
        <v>1432598.89</v>
      </c>
      <c r="AK106" s="522">
        <f t="shared" si="212"/>
        <v>86.728130842544999</v>
      </c>
      <c r="AL106" s="522">
        <f t="shared" si="202"/>
        <v>3084426.13</v>
      </c>
      <c r="AM106" s="522">
        <f t="shared" si="192"/>
        <v>501370.68</v>
      </c>
      <c r="AN106" s="522">
        <f t="shared" si="192"/>
        <v>1150456.56</v>
      </c>
      <c r="AO106" s="522">
        <f t="shared" si="166"/>
        <v>649085.88000000012</v>
      </c>
      <c r="AP106" s="522">
        <f t="shared" si="178"/>
        <v>129.46227330245955</v>
      </c>
      <c r="AQ106" s="578">
        <v>250685.34</v>
      </c>
      <c r="AR106" s="578">
        <v>467601.58</v>
      </c>
      <c r="AS106" s="578">
        <v>250685.34</v>
      </c>
      <c r="AT106" s="578">
        <v>682854.98</v>
      </c>
      <c r="AU106" s="578">
        <f t="shared" si="208"/>
        <v>501370.68</v>
      </c>
      <c r="AV106" s="578">
        <f t="shared" si="208"/>
        <v>501370.68</v>
      </c>
      <c r="AW106" s="578">
        <f t="shared" si="167"/>
        <v>0</v>
      </c>
      <c r="AX106" s="578">
        <f t="shared" si="168"/>
        <v>0</v>
      </c>
      <c r="AY106" s="578">
        <f t="shared" si="210"/>
        <v>1933969.5699999998</v>
      </c>
      <c r="AZ106" s="578">
        <f t="shared" si="169"/>
        <v>-1432598.89</v>
      </c>
      <c r="BA106" s="578">
        <f t="shared" si="170"/>
        <v>-74.075565211711165</v>
      </c>
      <c r="BB106" s="578">
        <v>250685.34</v>
      </c>
      <c r="BC106" s="576">
        <f>'[67]Гл инж_Тех дир'!AT65</f>
        <v>250685.34</v>
      </c>
      <c r="BD106" s="576">
        <f t="shared" si="203"/>
        <v>464791.59999999986</v>
      </c>
      <c r="BE106" s="576">
        <f t="shared" si="171"/>
        <v>214106.25999999986</v>
      </c>
      <c r="BF106" s="576">
        <f t="shared" si="172"/>
        <v>214106.25999999986</v>
      </c>
      <c r="BG106" s="576">
        <f t="shared" si="150"/>
        <v>752056.02</v>
      </c>
      <c r="BH106" s="578">
        <f t="shared" si="150"/>
        <v>1401141.9000000001</v>
      </c>
      <c r="BI106" s="578">
        <v>1615248.16</v>
      </c>
      <c r="BJ106" s="578">
        <f t="shared" si="173"/>
        <v>863192.1399999999</v>
      </c>
      <c r="BK106" s="578">
        <f t="shared" si="174"/>
        <v>214106.25999999978</v>
      </c>
      <c r="BL106" s="576">
        <v>250685.34</v>
      </c>
      <c r="BM106" s="578">
        <f>'[67]Гл инж_Тех дир'!AW65</f>
        <v>250685.34</v>
      </c>
      <c r="BN106" s="522">
        <f t="shared" si="204"/>
        <v>1469177.97</v>
      </c>
      <c r="BO106" s="578">
        <f t="shared" si="181"/>
        <v>1218492.6299999999</v>
      </c>
      <c r="BP106" s="578">
        <f t="shared" si="175"/>
        <v>1218492.6299999999</v>
      </c>
      <c r="BQ106" s="576">
        <v>250685.34</v>
      </c>
      <c r="BR106" s="578">
        <f>'[67]Гл инж_Тех дир'!BB65</f>
        <v>0</v>
      </c>
      <c r="BS106" s="578">
        <f>'[67]Гл инж_Тех дир'!BC65</f>
        <v>0</v>
      </c>
      <c r="BT106" s="536"/>
      <c r="BU106" s="578">
        <v>3084426.13</v>
      </c>
      <c r="BV106" s="578"/>
      <c r="BW106" s="578"/>
      <c r="BX106" s="629"/>
      <c r="BY106" s="522">
        <v>2601741.67</v>
      </c>
      <c r="BZ106" s="522">
        <v>461543.49</v>
      </c>
      <c r="CA106" s="522">
        <v>21140.97</v>
      </c>
      <c r="CB106" s="522">
        <f t="shared" si="134"/>
        <v>3084426.1300000004</v>
      </c>
      <c r="CC106" s="522">
        <f t="shared" si="176"/>
        <v>0</v>
      </c>
      <c r="CD106" s="578"/>
      <c r="CE106" s="578"/>
      <c r="CF106" s="578"/>
      <c r="CG106" s="578"/>
      <c r="CH106" s="578"/>
      <c r="CI106" s="578"/>
      <c r="CJ106" s="578"/>
      <c r="CK106" s="526" t="s">
        <v>79</v>
      </c>
      <c r="CL106" s="605" t="s">
        <v>1911</v>
      </c>
      <c r="CM106" s="528" t="s">
        <v>1907</v>
      </c>
      <c r="CN106" s="528" t="s">
        <v>1849</v>
      </c>
      <c r="CO106" s="528"/>
      <c r="CP106" s="529">
        <f t="shared" si="205"/>
        <v>925149.68507649214</v>
      </c>
      <c r="CQ106" s="529">
        <f t="shared" si="206"/>
        <v>67955.262590802609</v>
      </c>
      <c r="CR106" s="529">
        <f t="shared" si="207"/>
        <v>9636.4123327052166</v>
      </c>
      <c r="CS106" s="1730" t="s">
        <v>1826</v>
      </c>
      <c r="CT106" s="1731"/>
      <c r="CU106" s="1731"/>
      <c r="CV106" s="1731"/>
      <c r="CW106" s="1732"/>
      <c r="CX106" s="528"/>
      <c r="CY106" s="528"/>
      <c r="CZ106" s="528"/>
      <c r="DA106" s="528"/>
      <c r="DB106" s="630">
        <f>467601.58</f>
        <v>467601.58</v>
      </c>
      <c r="DC106" s="571" t="e">
        <f>P106-#REF!</f>
        <v>#REF!</v>
      </c>
      <c r="DD106" s="535"/>
      <c r="DE106" s="535"/>
      <c r="DF106" s="522">
        <f t="shared" si="211"/>
        <v>2601.7416699999999</v>
      </c>
      <c r="DG106" s="522">
        <f t="shared" si="211"/>
        <v>461.54348999999996</v>
      </c>
      <c r="DH106" s="522">
        <f t="shared" si="211"/>
        <v>21.140970000000003</v>
      </c>
      <c r="DI106" s="522">
        <f t="shared" si="209"/>
        <v>3084.4261300000003</v>
      </c>
      <c r="DJ106" s="536"/>
      <c r="DK106" s="536"/>
      <c r="DL106" s="536"/>
      <c r="DM106" s="536"/>
      <c r="DN106" s="536"/>
      <c r="DO106" s="536"/>
      <c r="DP106" s="536"/>
      <c r="DQ106" s="536"/>
      <c r="DR106" s="536"/>
      <c r="DS106" s="536"/>
    </row>
    <row r="107" spans="1:123" s="534" customFormat="1" ht="56.4">
      <c r="A107" s="537" t="s">
        <v>372</v>
      </c>
      <c r="B107" s="538" t="s">
        <v>373</v>
      </c>
      <c r="C107" s="576">
        <v>4251829.72</v>
      </c>
      <c r="D107" s="576">
        <v>2041092.02</v>
      </c>
      <c r="E107" s="576">
        <v>3600000</v>
      </c>
      <c r="F107" s="576">
        <v>4265339.88</v>
      </c>
      <c r="G107" s="577">
        <v>3768639.5106192501</v>
      </c>
      <c r="H107" s="577">
        <v>0</v>
      </c>
      <c r="I107" s="576">
        <f t="shared" si="198"/>
        <v>3229680.08</v>
      </c>
      <c r="J107" s="576">
        <v>1316373.74</v>
      </c>
      <c r="K107" s="576">
        <v>956653.17</v>
      </c>
      <c r="L107" s="576">
        <v>956653.17</v>
      </c>
      <c r="M107" s="576">
        <f t="shared" si="199"/>
        <v>2273026.91</v>
      </c>
      <c r="N107" s="576">
        <v>1976126.14</v>
      </c>
      <c r="O107" s="525">
        <f t="shared" si="200"/>
        <v>1798828.8300000003</v>
      </c>
      <c r="P107" s="522">
        <f>135+3774819.97</f>
        <v>3774954.97</v>
      </c>
      <c r="Q107" s="576">
        <f t="shared" si="151"/>
        <v>545274.89000000013</v>
      </c>
      <c r="R107" s="576">
        <f t="shared" si="152"/>
        <v>16.883247767376403</v>
      </c>
      <c r="S107" s="576">
        <v>3975914.6837033085</v>
      </c>
      <c r="T107" s="576">
        <v>3975914.6837033085</v>
      </c>
      <c r="U107" s="522">
        <f t="shared" si="201"/>
        <v>2769211.43</v>
      </c>
      <c r="V107" s="522">
        <f t="shared" si="149"/>
        <v>-1206703.2537033083</v>
      </c>
      <c r="W107" s="522">
        <f t="shared" si="153"/>
        <v>-30.350330671063148</v>
      </c>
      <c r="X107" s="522">
        <f t="shared" si="154"/>
        <v>-1005743.54</v>
      </c>
      <c r="Y107" s="522">
        <f t="shared" si="155"/>
        <v>-26.642530784943375</v>
      </c>
      <c r="Z107" s="524">
        <f t="shared" si="156"/>
        <v>3722225.99</v>
      </c>
      <c r="AA107" s="522">
        <f t="shared" si="157"/>
        <v>-253688.69370330824</v>
      </c>
      <c r="AB107" s="522">
        <f t="shared" si="158"/>
        <v>-6.3806372592234197</v>
      </c>
      <c r="AC107" s="522">
        <f t="shared" si="159"/>
        <v>953014.56</v>
      </c>
      <c r="AD107" s="522">
        <f t="shared" si="160"/>
        <v>34.414655005233755</v>
      </c>
      <c r="AE107" s="522">
        <f t="shared" si="161"/>
        <v>-52728.979999999981</v>
      </c>
      <c r="AF107" s="522">
        <f t="shared" si="162"/>
        <v>-1.3968108340110916</v>
      </c>
      <c r="AG107" s="522">
        <f t="shared" si="177"/>
        <v>3663829.12</v>
      </c>
      <c r="AH107" s="522">
        <f t="shared" si="163"/>
        <v>894617.69</v>
      </c>
      <c r="AI107" s="522">
        <f t="shared" si="164"/>
        <v>32.305864417149252</v>
      </c>
      <c r="AJ107" s="522">
        <f t="shared" si="165"/>
        <v>-58396.870000000112</v>
      </c>
      <c r="AK107" s="522">
        <f t="shared" si="212"/>
        <v>-1.56886954625773</v>
      </c>
      <c r="AL107" s="522">
        <f t="shared" si="202"/>
        <v>3663829.12</v>
      </c>
      <c r="AM107" s="522">
        <f t="shared" si="192"/>
        <v>1560839.26</v>
      </c>
      <c r="AN107" s="522">
        <f t="shared" si="192"/>
        <v>1669635.02</v>
      </c>
      <c r="AO107" s="522">
        <f t="shared" si="166"/>
        <v>108795.76000000001</v>
      </c>
      <c r="AP107" s="522">
        <f t="shared" si="178"/>
        <v>6.9703372274221351</v>
      </c>
      <c r="AQ107" s="578">
        <v>956653.17</v>
      </c>
      <c r="AR107" s="578">
        <v>769498.31</v>
      </c>
      <c r="AS107" s="578">
        <v>604186.09</v>
      </c>
      <c r="AT107" s="578">
        <v>900136.71</v>
      </c>
      <c r="AU107" s="578">
        <f t="shared" si="208"/>
        <v>1208372.17</v>
      </c>
      <c r="AV107" s="578">
        <f t="shared" si="208"/>
        <v>2052590.97</v>
      </c>
      <c r="AW107" s="578">
        <f t="shared" si="167"/>
        <v>844218.8</v>
      </c>
      <c r="AX107" s="578">
        <f t="shared" si="168"/>
        <v>69.864137966699445</v>
      </c>
      <c r="AY107" s="578">
        <f t="shared" si="210"/>
        <v>1994194.1</v>
      </c>
      <c r="AZ107" s="578">
        <f t="shared" si="169"/>
        <v>58396.869999999879</v>
      </c>
      <c r="BA107" s="578">
        <f t="shared" si="170"/>
        <v>2.9283443371936499</v>
      </c>
      <c r="BB107" s="578">
        <v>604186.09</v>
      </c>
      <c r="BC107" s="576">
        <f>'[67]Гл инж_Тех дир'!AT66</f>
        <v>1026295.49</v>
      </c>
      <c r="BD107" s="576">
        <f t="shared" si="203"/>
        <v>694801.83999999985</v>
      </c>
      <c r="BE107" s="576">
        <f t="shared" si="171"/>
        <v>90615.749999999884</v>
      </c>
      <c r="BF107" s="576">
        <f t="shared" si="172"/>
        <v>-331493.65000000014</v>
      </c>
      <c r="BG107" s="576">
        <f t="shared" si="150"/>
        <v>2165025.35</v>
      </c>
      <c r="BH107" s="578">
        <f t="shared" si="150"/>
        <v>2695930.51</v>
      </c>
      <c r="BI107" s="578">
        <v>2364436.86</v>
      </c>
      <c r="BJ107" s="578">
        <f t="shared" si="173"/>
        <v>199411.50999999978</v>
      </c>
      <c r="BK107" s="578">
        <f t="shared" si="174"/>
        <v>-331493.64999999991</v>
      </c>
      <c r="BL107" s="576">
        <v>604186.07999999996</v>
      </c>
      <c r="BM107" s="578">
        <f>'[67]Гл инж_Тех дир'!AW66</f>
        <v>1026295.48</v>
      </c>
      <c r="BN107" s="522">
        <f t="shared" si="204"/>
        <v>1299392.2600000002</v>
      </c>
      <c r="BO107" s="578">
        <f t="shared" si="181"/>
        <v>695206.18000000028</v>
      </c>
      <c r="BP107" s="578">
        <f t="shared" si="175"/>
        <v>273096.78000000026</v>
      </c>
      <c r="BQ107" s="576">
        <v>604186.07999999996</v>
      </c>
      <c r="BR107" s="578">
        <f>'[67]Гл инж_Тех дир'!BB66</f>
        <v>0</v>
      </c>
      <c r="BS107" s="578">
        <f>'[67]Гл инж_Тех дир'!BC66</f>
        <v>0</v>
      </c>
      <c r="BT107" s="536"/>
      <c r="BU107" s="578">
        <v>3663829.12</v>
      </c>
      <c r="BV107" s="578"/>
      <c r="BW107" s="578"/>
      <c r="BX107" s="629"/>
      <c r="BY107" s="525">
        <v>3168578.63</v>
      </c>
      <c r="BZ107" s="525">
        <v>458373.14</v>
      </c>
      <c r="CA107" s="525">
        <v>36877.35</v>
      </c>
      <c r="CB107" s="522">
        <f t="shared" si="134"/>
        <v>3663829.12</v>
      </c>
      <c r="CC107" s="522">
        <f t="shared" si="176"/>
        <v>0</v>
      </c>
      <c r="CD107" s="578"/>
      <c r="CE107" s="578"/>
      <c r="CF107" s="578"/>
      <c r="CG107" s="578"/>
      <c r="CH107" s="578"/>
      <c r="CI107" s="578"/>
      <c r="CJ107" s="578"/>
      <c r="CK107" s="542" t="s">
        <v>79</v>
      </c>
      <c r="CL107" s="543" t="s">
        <v>1911</v>
      </c>
      <c r="CM107" s="528" t="s">
        <v>1907</v>
      </c>
      <c r="CN107" s="528" t="s">
        <v>1849</v>
      </c>
      <c r="CO107" s="528"/>
      <c r="CP107" s="544">
        <f t="shared" si="205"/>
        <v>2554931.0964641199</v>
      </c>
      <c r="CQ107" s="544">
        <f t="shared" si="206"/>
        <v>187668.0242800616</v>
      </c>
      <c r="CR107" s="544">
        <f t="shared" si="207"/>
        <v>26612.30925581872</v>
      </c>
      <c r="CS107" s="1709" t="s">
        <v>1826</v>
      </c>
      <c r="CT107" s="1710"/>
      <c r="CU107" s="1710"/>
      <c r="CV107" s="1710"/>
      <c r="CW107" s="1711"/>
      <c r="CX107" s="528"/>
      <c r="CY107" s="528"/>
      <c r="CZ107" s="528"/>
      <c r="DA107" s="528"/>
      <c r="DB107" s="579">
        <f>769498.31</f>
        <v>769498.31</v>
      </c>
      <c r="DC107" s="628" t="e">
        <f>P107-#REF!</f>
        <v>#REF!</v>
      </c>
      <c r="DD107" s="535"/>
      <c r="DE107" s="535"/>
      <c r="DF107" s="525">
        <f t="shared" si="211"/>
        <v>3168.57863</v>
      </c>
      <c r="DG107" s="525">
        <f t="shared" si="211"/>
        <v>458.37314000000003</v>
      </c>
      <c r="DH107" s="525">
        <f t="shared" si="211"/>
        <v>36.87735</v>
      </c>
      <c r="DI107" s="522">
        <f t="shared" si="209"/>
        <v>3663.8291200000003</v>
      </c>
      <c r="DJ107" s="536"/>
      <c r="DK107" s="536"/>
      <c r="DL107" s="536"/>
      <c r="DM107" s="536"/>
      <c r="DN107" s="536"/>
      <c r="DO107" s="536"/>
      <c r="DP107" s="536"/>
      <c r="DQ107" s="536"/>
      <c r="DR107" s="536"/>
      <c r="DS107" s="536"/>
    </row>
    <row r="108" spans="1:123" s="534" customFormat="1" ht="56.4">
      <c r="A108" s="537" t="s">
        <v>377</v>
      </c>
      <c r="B108" s="538" t="s">
        <v>378</v>
      </c>
      <c r="C108" s="576">
        <v>784057.37</v>
      </c>
      <c r="D108" s="576">
        <v>1101077.81</v>
      </c>
      <c r="E108" s="576">
        <v>1000000</v>
      </c>
      <c r="F108" s="576">
        <v>689844.92</v>
      </c>
      <c r="G108" s="577">
        <v>646595.4387642059</v>
      </c>
      <c r="H108" s="577">
        <v>0</v>
      </c>
      <c r="I108" s="576">
        <f t="shared" si="198"/>
        <v>609341.24</v>
      </c>
      <c r="J108" s="576">
        <v>286043.52000000002</v>
      </c>
      <c r="K108" s="576">
        <v>161648.85999999999</v>
      </c>
      <c r="L108" s="576">
        <v>161648.85999999999</v>
      </c>
      <c r="M108" s="576">
        <f t="shared" si="199"/>
        <v>447692.38</v>
      </c>
      <c r="N108" s="576">
        <v>446031.4</v>
      </c>
      <c r="O108" s="525">
        <f t="shared" si="200"/>
        <v>327348.12</v>
      </c>
      <c r="P108" s="522">
        <f>148.31+772070.19+1161.02</f>
        <v>773379.52</v>
      </c>
      <c r="Q108" s="576">
        <f t="shared" si="151"/>
        <v>164038.28000000003</v>
      </c>
      <c r="R108" s="576">
        <f t="shared" si="152"/>
        <v>26.920593787481067</v>
      </c>
      <c r="S108" s="576">
        <v>724190</v>
      </c>
      <c r="T108" s="576">
        <v>724190</v>
      </c>
      <c r="U108" s="522">
        <f t="shared" si="201"/>
        <v>625038.67000000004</v>
      </c>
      <c r="V108" s="522">
        <f t="shared" si="149"/>
        <v>-99151.329999999958</v>
      </c>
      <c r="W108" s="522">
        <f t="shared" si="153"/>
        <v>-13.691342051119165</v>
      </c>
      <c r="X108" s="522">
        <f t="shared" si="154"/>
        <v>-148340.84999999998</v>
      </c>
      <c r="Y108" s="522">
        <f t="shared" si="155"/>
        <v>-19.180860905134907</v>
      </c>
      <c r="Z108" s="524">
        <f t="shared" si="156"/>
        <v>896577.45</v>
      </c>
      <c r="AA108" s="522">
        <f t="shared" si="157"/>
        <v>172387.44999999995</v>
      </c>
      <c r="AB108" s="522">
        <f t="shared" si="158"/>
        <v>23.804174318894212</v>
      </c>
      <c r="AC108" s="522">
        <f t="shared" si="159"/>
        <v>271538.77999999991</v>
      </c>
      <c r="AD108" s="522">
        <f t="shared" si="160"/>
        <v>43.443516862724664</v>
      </c>
      <c r="AE108" s="522">
        <f t="shared" si="161"/>
        <v>123197.92999999993</v>
      </c>
      <c r="AF108" s="522">
        <f t="shared" si="162"/>
        <v>15.929815415851706</v>
      </c>
      <c r="AG108" s="522">
        <f t="shared" si="177"/>
        <v>1131900.8600000001</v>
      </c>
      <c r="AH108" s="522">
        <f t="shared" si="163"/>
        <v>506862.19000000006</v>
      </c>
      <c r="AI108" s="522">
        <f t="shared" si="164"/>
        <v>81.092933018048313</v>
      </c>
      <c r="AJ108" s="522">
        <f t="shared" si="165"/>
        <v>235323.41000000015</v>
      </c>
      <c r="AK108" s="522">
        <f t="shared" si="212"/>
        <v>26.246857981984732</v>
      </c>
      <c r="AL108" s="522">
        <f t="shared" si="202"/>
        <v>1131900.8600000001</v>
      </c>
      <c r="AM108" s="522">
        <f t="shared" si="192"/>
        <v>312519.34000000003</v>
      </c>
      <c r="AN108" s="522">
        <f t="shared" si="192"/>
        <v>486315.14</v>
      </c>
      <c r="AO108" s="522">
        <f t="shared" si="166"/>
        <v>173795.8</v>
      </c>
      <c r="AP108" s="522">
        <f t="shared" si="178"/>
        <v>55.611214333167339</v>
      </c>
      <c r="AQ108" s="578">
        <v>156259.67000000001</v>
      </c>
      <c r="AR108" s="578">
        <v>256767.9</v>
      </c>
      <c r="AS108" s="578">
        <v>156259.67000000001</v>
      </c>
      <c r="AT108" s="578">
        <v>229547.24000000002</v>
      </c>
      <c r="AU108" s="578">
        <f t="shared" si="208"/>
        <v>312519.33</v>
      </c>
      <c r="AV108" s="578">
        <f t="shared" si="208"/>
        <v>410262.31</v>
      </c>
      <c r="AW108" s="578">
        <f t="shared" si="167"/>
        <v>97742.979999999981</v>
      </c>
      <c r="AX108" s="578">
        <f t="shared" si="168"/>
        <v>31.275819002939755</v>
      </c>
      <c r="AY108" s="578">
        <f t="shared" si="210"/>
        <v>645585.72000000009</v>
      </c>
      <c r="AZ108" s="578">
        <f t="shared" si="169"/>
        <v>-235323.41000000009</v>
      </c>
      <c r="BA108" s="578">
        <f t="shared" si="170"/>
        <v>-36.451148578689143</v>
      </c>
      <c r="BB108" s="578">
        <v>156259.67000000001</v>
      </c>
      <c r="BC108" s="576">
        <f>'[67]Гл инж_Тех дир'!AT67</f>
        <v>205131.16</v>
      </c>
      <c r="BD108" s="576">
        <f t="shared" si="203"/>
        <v>272898.30999999994</v>
      </c>
      <c r="BE108" s="576">
        <f t="shared" si="171"/>
        <v>116638.63999999993</v>
      </c>
      <c r="BF108" s="576">
        <f t="shared" si="172"/>
        <v>67767.149999999936</v>
      </c>
      <c r="BG108" s="576">
        <f t="shared" si="150"/>
        <v>468779.01</v>
      </c>
      <c r="BH108" s="578">
        <f t="shared" si="150"/>
        <v>691446.3</v>
      </c>
      <c r="BI108" s="578">
        <v>759213.45</v>
      </c>
      <c r="BJ108" s="578">
        <f t="shared" si="173"/>
        <v>290434.43999999994</v>
      </c>
      <c r="BK108" s="578">
        <f t="shared" si="174"/>
        <v>67767.149999999907</v>
      </c>
      <c r="BL108" s="576">
        <v>156259.66</v>
      </c>
      <c r="BM108" s="578">
        <f>'[67]Гл инж_Тех дир'!AW67</f>
        <v>205131.15</v>
      </c>
      <c r="BN108" s="522">
        <f t="shared" si="204"/>
        <v>372687.41000000015</v>
      </c>
      <c r="BO108" s="578">
        <f t="shared" si="181"/>
        <v>216427.75000000015</v>
      </c>
      <c r="BP108" s="578">
        <f t="shared" si="175"/>
        <v>167556.26000000015</v>
      </c>
      <c r="BQ108" s="576">
        <v>156259.66</v>
      </c>
      <c r="BR108" s="578">
        <f>'[67]Гл инж_Тех дир'!BB67</f>
        <v>0</v>
      </c>
      <c r="BS108" s="578">
        <f>'[67]Гл инж_Тех дир'!BC67</f>
        <v>0</v>
      </c>
      <c r="BT108" s="536"/>
      <c r="BU108" s="578">
        <v>1131900.8600000001</v>
      </c>
      <c r="BV108" s="578"/>
      <c r="BW108" s="578"/>
      <c r="BX108" s="629"/>
      <c r="BY108" s="525">
        <v>966635.42</v>
      </c>
      <c r="BZ108" s="525">
        <v>155074.76999999999</v>
      </c>
      <c r="CA108" s="525">
        <v>10190.67</v>
      </c>
      <c r="CB108" s="522">
        <f t="shared" si="134"/>
        <v>1131900.8599999999</v>
      </c>
      <c r="CC108" s="522">
        <f t="shared" si="176"/>
        <v>0</v>
      </c>
      <c r="CD108" s="578"/>
      <c r="CE108" s="578"/>
      <c r="CF108" s="578"/>
      <c r="CG108" s="578"/>
      <c r="CH108" s="578"/>
      <c r="CI108" s="578"/>
      <c r="CJ108" s="578"/>
      <c r="CK108" s="542" t="s">
        <v>79</v>
      </c>
      <c r="CL108" s="543" t="s">
        <v>1911</v>
      </c>
      <c r="CM108" s="528" t="s">
        <v>1907</v>
      </c>
      <c r="CN108" s="528" t="s">
        <v>1849</v>
      </c>
      <c r="CO108" s="528"/>
      <c r="CP108" s="544">
        <f t="shared" si="205"/>
        <v>576673.45915713464</v>
      </c>
      <c r="CQ108" s="544">
        <f t="shared" si="206"/>
        <v>42358.546923063004</v>
      </c>
      <c r="CR108" s="544">
        <f t="shared" si="207"/>
        <v>6006.6639198024768</v>
      </c>
      <c r="CS108" s="1709" t="s">
        <v>1826</v>
      </c>
      <c r="CT108" s="1710"/>
      <c r="CU108" s="1710"/>
      <c r="CV108" s="1710"/>
      <c r="CW108" s="1711"/>
      <c r="CX108" s="528"/>
      <c r="CY108" s="528"/>
      <c r="CZ108" s="528"/>
      <c r="DA108" s="528"/>
      <c r="DB108" s="579">
        <f>256767.9</f>
        <v>256767.9</v>
      </c>
      <c r="DC108" s="628" t="e">
        <f>P108-#REF!</f>
        <v>#REF!</v>
      </c>
      <c r="DD108" s="535"/>
      <c r="DE108" s="535"/>
      <c r="DF108" s="525">
        <f t="shared" si="211"/>
        <v>966.63542000000007</v>
      </c>
      <c r="DG108" s="525">
        <f t="shared" si="211"/>
        <v>155.07477</v>
      </c>
      <c r="DH108" s="525">
        <f t="shared" si="211"/>
        <v>10.190670000000001</v>
      </c>
      <c r="DI108" s="522">
        <f t="shared" si="209"/>
        <v>1131.90086</v>
      </c>
      <c r="DJ108" s="536"/>
      <c r="DK108" s="536"/>
      <c r="DL108" s="536"/>
      <c r="DM108" s="536"/>
      <c r="DN108" s="536"/>
      <c r="DO108" s="536"/>
      <c r="DP108" s="536"/>
      <c r="DQ108" s="536"/>
      <c r="DR108" s="536"/>
      <c r="DS108" s="536"/>
    </row>
    <row r="109" spans="1:123" s="534" customFormat="1" ht="84.6">
      <c r="A109" s="537" t="s">
        <v>383</v>
      </c>
      <c r="B109" s="538" t="s">
        <v>384</v>
      </c>
      <c r="C109" s="576">
        <v>15169.11</v>
      </c>
      <c r="D109" s="576">
        <v>63607.18</v>
      </c>
      <c r="E109" s="576">
        <v>51000</v>
      </c>
      <c r="F109" s="576">
        <v>27290.71</v>
      </c>
      <c r="G109" s="577">
        <v>66672.978043463329</v>
      </c>
      <c r="H109" s="577">
        <v>0</v>
      </c>
      <c r="I109" s="576">
        <f t="shared" si="198"/>
        <v>38964.9</v>
      </c>
      <c r="J109" s="576">
        <v>14707.05</v>
      </c>
      <c r="K109" s="576">
        <v>8940</v>
      </c>
      <c r="L109" s="576">
        <v>15317.85</v>
      </c>
      <c r="M109" s="576">
        <f t="shared" si="199"/>
        <v>23647.05</v>
      </c>
      <c r="N109" s="576">
        <v>26197.3</v>
      </c>
      <c r="O109" s="525">
        <f t="shared" si="200"/>
        <v>11034.740000000002</v>
      </c>
      <c r="P109" s="522">
        <v>37232.04</v>
      </c>
      <c r="Q109" s="576">
        <f t="shared" si="151"/>
        <v>-1732.8600000000006</v>
      </c>
      <c r="R109" s="576">
        <f t="shared" si="152"/>
        <v>-4.4472332791820435</v>
      </c>
      <c r="S109" s="576">
        <v>30224.431249999994</v>
      </c>
      <c r="T109" s="576">
        <v>30224.431249999994</v>
      </c>
      <c r="U109" s="522">
        <f t="shared" si="201"/>
        <v>36711.15</v>
      </c>
      <c r="V109" s="522">
        <f t="shared" si="149"/>
        <v>6486.7187500000073</v>
      </c>
      <c r="W109" s="522">
        <f t="shared" si="153"/>
        <v>21.461838922113728</v>
      </c>
      <c r="X109" s="522">
        <f t="shared" si="154"/>
        <v>-520.88999999999942</v>
      </c>
      <c r="Y109" s="522">
        <f t="shared" si="155"/>
        <v>-1.3990369584905835</v>
      </c>
      <c r="Z109" s="524">
        <f t="shared" si="156"/>
        <v>38677.25</v>
      </c>
      <c r="AA109" s="522">
        <f t="shared" si="157"/>
        <v>8452.8187500000058</v>
      </c>
      <c r="AB109" s="522">
        <f t="shared" si="158"/>
        <v>27.966841394244611</v>
      </c>
      <c r="AC109" s="522">
        <f t="shared" si="159"/>
        <v>1966.0999999999985</v>
      </c>
      <c r="AD109" s="522">
        <f t="shared" si="160"/>
        <v>5.3555936003094331</v>
      </c>
      <c r="AE109" s="522">
        <f t="shared" si="161"/>
        <v>1445.2099999999991</v>
      </c>
      <c r="AF109" s="522">
        <f t="shared" si="162"/>
        <v>3.8816299080039585</v>
      </c>
      <c r="AG109" s="522">
        <f t="shared" si="177"/>
        <v>48458.97</v>
      </c>
      <c r="AH109" s="522">
        <f t="shared" si="163"/>
        <v>11747.82</v>
      </c>
      <c r="AI109" s="522">
        <f t="shared" si="164"/>
        <v>32.000686439950812</v>
      </c>
      <c r="AJ109" s="522">
        <f t="shared" si="165"/>
        <v>9781.7200000000012</v>
      </c>
      <c r="AK109" s="522">
        <f t="shared" si="212"/>
        <v>25.290629504424444</v>
      </c>
      <c r="AL109" s="522">
        <f t="shared" si="202"/>
        <v>48458.97</v>
      </c>
      <c r="AM109" s="522">
        <f t="shared" si="192"/>
        <v>10000</v>
      </c>
      <c r="AN109" s="522">
        <f t="shared" si="192"/>
        <v>11966.1</v>
      </c>
      <c r="AO109" s="522">
        <f t="shared" si="166"/>
        <v>1966.1000000000004</v>
      </c>
      <c r="AP109" s="522">
        <f t="shared" si="178"/>
        <v>19.661000000000001</v>
      </c>
      <c r="AQ109" s="578">
        <v>0</v>
      </c>
      <c r="AR109" s="578">
        <v>0</v>
      </c>
      <c r="AS109" s="578">
        <v>10000</v>
      </c>
      <c r="AT109" s="578">
        <v>11966.1</v>
      </c>
      <c r="AU109" s="578">
        <f t="shared" si="208"/>
        <v>26711.15</v>
      </c>
      <c r="AV109" s="578">
        <f t="shared" si="208"/>
        <v>26711.15</v>
      </c>
      <c r="AW109" s="578">
        <f t="shared" si="167"/>
        <v>0</v>
      </c>
      <c r="AX109" s="578">
        <f t="shared" si="168"/>
        <v>0</v>
      </c>
      <c r="AY109" s="578">
        <f t="shared" si="210"/>
        <v>36492.870000000003</v>
      </c>
      <c r="AZ109" s="578">
        <f t="shared" si="169"/>
        <v>-9781.7200000000012</v>
      </c>
      <c r="BA109" s="578">
        <f t="shared" si="170"/>
        <v>-26.804468927765896</v>
      </c>
      <c r="BB109" s="578">
        <v>22000</v>
      </c>
      <c r="BC109" s="576">
        <f>'[67]Гл инж_Тех дир'!AT74</f>
        <v>22000</v>
      </c>
      <c r="BD109" s="576">
        <f t="shared" si="203"/>
        <v>8237.2800000000007</v>
      </c>
      <c r="BE109" s="576">
        <f t="shared" si="171"/>
        <v>-13762.72</v>
      </c>
      <c r="BF109" s="576">
        <f t="shared" si="172"/>
        <v>-13762.72</v>
      </c>
      <c r="BG109" s="576">
        <f t="shared" si="150"/>
        <v>32000</v>
      </c>
      <c r="BH109" s="578">
        <f t="shared" si="150"/>
        <v>33966.1</v>
      </c>
      <c r="BI109" s="578">
        <v>20203.38</v>
      </c>
      <c r="BJ109" s="578">
        <f t="shared" si="173"/>
        <v>-11796.619999999999</v>
      </c>
      <c r="BK109" s="578">
        <f t="shared" si="174"/>
        <v>-13762.719999999998</v>
      </c>
      <c r="BL109" s="576">
        <v>4711.1499999999996</v>
      </c>
      <c r="BM109" s="578">
        <f>'[67]Гл инж_Тех дир'!AW74</f>
        <v>4711.1499999999996</v>
      </c>
      <c r="BN109" s="522">
        <f t="shared" si="204"/>
        <v>28255.59</v>
      </c>
      <c r="BO109" s="578">
        <f t="shared" si="181"/>
        <v>23544.440000000002</v>
      </c>
      <c r="BP109" s="578">
        <f t="shared" si="175"/>
        <v>23544.440000000002</v>
      </c>
      <c r="BQ109" s="576">
        <v>4711.1499999999996</v>
      </c>
      <c r="BR109" s="578">
        <f>'[67]Гл инж_Тех дир'!BB74</f>
        <v>0</v>
      </c>
      <c r="BS109" s="578">
        <f>'[67]Гл инж_Тех дир'!BC74</f>
        <v>0</v>
      </c>
      <c r="BT109" s="536"/>
      <c r="BU109" s="578">
        <v>48458.97</v>
      </c>
      <c r="BV109" s="578"/>
      <c r="BW109" s="578"/>
      <c r="BX109" s="629"/>
      <c r="BY109" s="525">
        <v>45417.33</v>
      </c>
      <c r="BZ109" s="525">
        <v>2657.26</v>
      </c>
      <c r="CA109" s="525">
        <v>384.38</v>
      </c>
      <c r="CB109" s="522">
        <f t="shared" si="134"/>
        <v>48458.97</v>
      </c>
      <c r="CC109" s="522">
        <f t="shared" si="176"/>
        <v>0</v>
      </c>
      <c r="CD109" s="578"/>
      <c r="CE109" s="578"/>
      <c r="CF109" s="578"/>
      <c r="CG109" s="578"/>
      <c r="CH109" s="578"/>
      <c r="CI109" s="578"/>
      <c r="CJ109" s="578"/>
      <c r="CK109" s="542" t="s">
        <v>79</v>
      </c>
      <c r="CL109" s="542" t="s">
        <v>1912</v>
      </c>
      <c r="CM109" s="528" t="s">
        <v>1907</v>
      </c>
      <c r="CN109" s="528"/>
      <c r="CO109" s="528"/>
      <c r="CP109" s="544">
        <f t="shared" si="205"/>
        <v>33870.457743256811</v>
      </c>
      <c r="CQ109" s="544">
        <f t="shared" si="206"/>
        <v>2487.8956207215219</v>
      </c>
      <c r="CR109" s="544">
        <f t="shared" si="207"/>
        <v>352.79663602166676</v>
      </c>
      <c r="CS109" s="1709" t="s">
        <v>1826</v>
      </c>
      <c r="CT109" s="1710"/>
      <c r="CU109" s="1710"/>
      <c r="CV109" s="1710"/>
      <c r="CW109" s="1711"/>
      <c r="CX109" s="528"/>
      <c r="CY109" s="528"/>
      <c r="CZ109" s="528"/>
      <c r="DA109" s="528"/>
      <c r="DB109" s="579"/>
      <c r="DC109" s="628" t="e">
        <f>P109-#REF!</f>
        <v>#REF!</v>
      </c>
      <c r="DD109" s="535"/>
      <c r="DE109" s="535"/>
      <c r="DF109" s="525">
        <f t="shared" si="211"/>
        <v>45.41733</v>
      </c>
      <c r="DG109" s="525">
        <f t="shared" si="211"/>
        <v>2.6572600000000004</v>
      </c>
      <c r="DH109" s="525">
        <f t="shared" si="211"/>
        <v>0.38438</v>
      </c>
      <c r="DI109" s="522">
        <f t="shared" si="209"/>
        <v>48.458970000000001</v>
      </c>
      <c r="DJ109" s="536"/>
      <c r="DK109" s="536"/>
      <c r="DL109" s="536"/>
      <c r="DM109" s="536"/>
      <c r="DN109" s="536"/>
      <c r="DO109" s="536"/>
      <c r="DP109" s="536"/>
      <c r="DQ109" s="536"/>
      <c r="DR109" s="536"/>
      <c r="DS109" s="536"/>
    </row>
    <row r="110" spans="1:123" s="534" customFormat="1">
      <c r="A110" s="537" t="s">
        <v>388</v>
      </c>
      <c r="B110" s="538" t="s">
        <v>389</v>
      </c>
      <c r="C110" s="576">
        <v>1293805.07</v>
      </c>
      <c r="D110" s="576">
        <v>844162.67</v>
      </c>
      <c r="E110" s="576">
        <v>1020000</v>
      </c>
      <c r="F110" s="576">
        <v>1135469.68</v>
      </c>
      <c r="G110" s="577">
        <v>891351.50623829931</v>
      </c>
      <c r="H110" s="577">
        <v>0</v>
      </c>
      <c r="I110" s="576">
        <f t="shared" si="198"/>
        <v>942743.02</v>
      </c>
      <c r="J110" s="576">
        <v>428491.51</v>
      </c>
      <c r="K110" s="576">
        <v>275930</v>
      </c>
      <c r="L110" s="576">
        <v>238321.51</v>
      </c>
      <c r="M110" s="576">
        <f t="shared" si="199"/>
        <v>704421.51</v>
      </c>
      <c r="N110" s="576">
        <v>762365.24</v>
      </c>
      <c r="O110" s="525">
        <f t="shared" si="200"/>
        <v>631029.24</v>
      </c>
      <c r="P110" s="522">
        <f>838.98+1392555.5</f>
        <v>1393394.48</v>
      </c>
      <c r="Q110" s="576">
        <f t="shared" si="151"/>
        <v>450651.45999999996</v>
      </c>
      <c r="R110" s="576">
        <f t="shared" si="152"/>
        <v>47.802152913314586</v>
      </c>
      <c r="S110" s="576">
        <v>940375.83908140578</v>
      </c>
      <c r="T110" s="576">
        <v>940375.83908140578</v>
      </c>
      <c r="U110" s="522">
        <f t="shared" si="201"/>
        <v>762365.24</v>
      </c>
      <c r="V110" s="522">
        <f t="shared" si="149"/>
        <v>-178010.59908140579</v>
      </c>
      <c r="W110" s="522">
        <f t="shared" si="153"/>
        <v>-18.929729123548427</v>
      </c>
      <c r="X110" s="522">
        <f t="shared" si="154"/>
        <v>-631029.24</v>
      </c>
      <c r="Y110" s="522">
        <f t="shared" si="155"/>
        <v>-45.287192468280765</v>
      </c>
      <c r="Z110" s="524">
        <f t="shared" si="156"/>
        <v>1343202.06</v>
      </c>
      <c r="AA110" s="522">
        <f t="shared" si="157"/>
        <v>402826.22091859428</v>
      </c>
      <c r="AB110" s="522">
        <f t="shared" si="158"/>
        <v>42.836725932058187</v>
      </c>
      <c r="AC110" s="522">
        <f t="shared" si="159"/>
        <v>580836.82000000007</v>
      </c>
      <c r="AD110" s="522">
        <f t="shared" si="160"/>
        <v>76.18878583708775</v>
      </c>
      <c r="AE110" s="522">
        <f t="shared" si="161"/>
        <v>-50192.419999999925</v>
      </c>
      <c r="AF110" s="522">
        <f t="shared" si="162"/>
        <v>-3.6021687124811876</v>
      </c>
      <c r="AG110" s="522">
        <f t="shared" si="177"/>
        <v>1968087.46</v>
      </c>
      <c r="AH110" s="522">
        <f t="shared" si="163"/>
        <v>1205722.22</v>
      </c>
      <c r="AI110" s="522">
        <f t="shared" si="164"/>
        <v>158.15545577602677</v>
      </c>
      <c r="AJ110" s="522">
        <f t="shared" si="165"/>
        <v>624885.39999999991</v>
      </c>
      <c r="AK110" s="522">
        <f t="shared" si="212"/>
        <v>46.522069806831581</v>
      </c>
      <c r="AL110" s="522">
        <f t="shared" si="202"/>
        <v>1968087.46</v>
      </c>
      <c r="AM110" s="522">
        <f t="shared" si="192"/>
        <v>240000</v>
      </c>
      <c r="AN110" s="522">
        <f t="shared" si="192"/>
        <v>352836.82</v>
      </c>
      <c r="AO110" s="522">
        <f t="shared" si="166"/>
        <v>112836.82</v>
      </c>
      <c r="AP110" s="522">
        <f t="shared" si="178"/>
        <v>47.015341666666671</v>
      </c>
      <c r="AQ110" s="578">
        <v>30000</v>
      </c>
      <c r="AR110" s="578">
        <v>58613.1</v>
      </c>
      <c r="AS110" s="578">
        <v>210000</v>
      </c>
      <c r="AT110" s="578">
        <v>294223.72000000003</v>
      </c>
      <c r="AU110" s="578">
        <f t="shared" si="208"/>
        <v>522365.24</v>
      </c>
      <c r="AV110" s="578">
        <f t="shared" si="208"/>
        <v>990365.24</v>
      </c>
      <c r="AW110" s="578">
        <f t="shared" si="167"/>
        <v>468000</v>
      </c>
      <c r="AX110" s="578">
        <f t="shared" si="168"/>
        <v>89.592485135496389</v>
      </c>
      <c r="AY110" s="578">
        <f t="shared" si="210"/>
        <v>1615250.64</v>
      </c>
      <c r="AZ110" s="578">
        <f t="shared" si="169"/>
        <v>-624885.39999999991</v>
      </c>
      <c r="BA110" s="578">
        <f t="shared" si="170"/>
        <v>-38.686590460041536</v>
      </c>
      <c r="BB110" s="578">
        <v>330000</v>
      </c>
      <c r="BC110" s="576">
        <f>'[67]Гл инж_Тех дир'!AT75</f>
        <v>702000</v>
      </c>
      <c r="BD110" s="576">
        <f t="shared" si="203"/>
        <v>702403.60999999987</v>
      </c>
      <c r="BE110" s="576">
        <f t="shared" si="171"/>
        <v>372403.60999999987</v>
      </c>
      <c r="BF110" s="576">
        <f t="shared" si="172"/>
        <v>403.60999999986961</v>
      </c>
      <c r="BG110" s="576">
        <f t="shared" si="150"/>
        <v>570000</v>
      </c>
      <c r="BH110" s="578">
        <f t="shared" si="150"/>
        <v>1054836.82</v>
      </c>
      <c r="BI110" s="578">
        <v>1055240.43</v>
      </c>
      <c r="BJ110" s="578">
        <f t="shared" si="173"/>
        <v>485240.42999999993</v>
      </c>
      <c r="BK110" s="578">
        <f t="shared" si="174"/>
        <v>403.60999999986961</v>
      </c>
      <c r="BL110" s="576">
        <v>192365.24</v>
      </c>
      <c r="BM110" s="578">
        <f>'[67]Гл инж_Тех дир'!AW75</f>
        <v>288365.24</v>
      </c>
      <c r="BN110" s="522">
        <f t="shared" si="204"/>
        <v>912847.03</v>
      </c>
      <c r="BO110" s="578">
        <f t="shared" si="181"/>
        <v>720481.79</v>
      </c>
      <c r="BP110" s="578">
        <f t="shared" si="175"/>
        <v>624481.79</v>
      </c>
      <c r="BQ110" s="576">
        <v>192365.24</v>
      </c>
      <c r="BR110" s="578">
        <f>'[67]Гл инж_Тех дир'!BB75</f>
        <v>0</v>
      </c>
      <c r="BS110" s="578">
        <f>'[67]Гл инж_Тех дир'!BC75</f>
        <v>0</v>
      </c>
      <c r="BT110" s="536"/>
      <c r="BU110" s="578">
        <v>1968087.46</v>
      </c>
      <c r="BV110" s="578"/>
      <c r="BW110" s="578"/>
      <c r="BX110" s="629"/>
      <c r="BY110" s="525">
        <v>1853566.8</v>
      </c>
      <c r="BZ110" s="525">
        <v>100728.17</v>
      </c>
      <c r="CA110" s="525">
        <v>13792.49</v>
      </c>
      <c r="CB110" s="522">
        <f t="shared" si="134"/>
        <v>1968087.46</v>
      </c>
      <c r="CC110" s="522">
        <f t="shared" si="176"/>
        <v>0</v>
      </c>
      <c r="CD110" s="578"/>
      <c r="CE110" s="578"/>
      <c r="CF110" s="578"/>
      <c r="CG110" s="578"/>
      <c r="CH110" s="578"/>
      <c r="CI110" s="578"/>
      <c r="CJ110" s="578"/>
      <c r="CK110" s="542" t="s">
        <v>79</v>
      </c>
      <c r="CL110" s="543" t="s">
        <v>1912</v>
      </c>
      <c r="CM110" s="528" t="s">
        <v>1907</v>
      </c>
      <c r="CN110" s="528" t="s">
        <v>1849</v>
      </c>
      <c r="CO110" s="528"/>
      <c r="CP110" s="544">
        <f t="shared" si="205"/>
        <v>703373.76100579347</v>
      </c>
      <c r="CQ110" s="544">
        <f t="shared" si="206"/>
        <v>51665.097442774531</v>
      </c>
      <c r="CR110" s="544">
        <f t="shared" si="207"/>
        <v>7326.3815514319376</v>
      </c>
      <c r="CS110" s="1709" t="s">
        <v>1826</v>
      </c>
      <c r="CT110" s="1710"/>
      <c r="CU110" s="1710"/>
      <c r="CV110" s="1710"/>
      <c r="CW110" s="1711"/>
      <c r="CX110" s="528"/>
      <c r="CY110" s="528"/>
      <c r="CZ110" s="528"/>
      <c r="DA110" s="528"/>
      <c r="DB110" s="579">
        <f>58613.1</f>
        <v>58613.1</v>
      </c>
      <c r="DC110" s="628" t="e">
        <f>P110-#REF!</f>
        <v>#REF!</v>
      </c>
      <c r="DD110" s="535"/>
      <c r="DE110" s="535"/>
      <c r="DF110" s="525">
        <f t="shared" si="211"/>
        <v>1853.5668000000001</v>
      </c>
      <c r="DG110" s="525">
        <f t="shared" si="211"/>
        <v>100.72816999999999</v>
      </c>
      <c r="DH110" s="525">
        <f t="shared" si="211"/>
        <v>13.792489999999999</v>
      </c>
      <c r="DI110" s="522">
        <f t="shared" si="209"/>
        <v>1968.08746</v>
      </c>
      <c r="DJ110" s="536"/>
      <c r="DK110" s="536"/>
      <c r="DL110" s="536"/>
      <c r="DM110" s="536"/>
      <c r="DN110" s="536"/>
      <c r="DO110" s="536"/>
      <c r="DP110" s="536"/>
      <c r="DQ110" s="536"/>
      <c r="DR110" s="536"/>
      <c r="DS110" s="536"/>
    </row>
    <row r="111" spans="1:123" s="534" customFormat="1" ht="56.4">
      <c r="A111" s="537" t="s">
        <v>393</v>
      </c>
      <c r="B111" s="538" t="s">
        <v>394</v>
      </c>
      <c r="C111" s="576">
        <v>63048.32</v>
      </c>
      <c r="D111" s="576">
        <v>351568.68</v>
      </c>
      <c r="E111" s="576">
        <v>160000</v>
      </c>
      <c r="F111" s="576">
        <v>0</v>
      </c>
      <c r="G111" s="577">
        <v>212860.56119745554</v>
      </c>
      <c r="H111" s="577">
        <v>0</v>
      </c>
      <c r="I111" s="576">
        <f t="shared" si="198"/>
        <v>218049.57</v>
      </c>
      <c r="J111" s="576">
        <v>109984.85</v>
      </c>
      <c r="K111" s="576">
        <v>48780</v>
      </c>
      <c r="L111" s="576">
        <v>59284.72</v>
      </c>
      <c r="M111" s="576">
        <f t="shared" si="199"/>
        <v>158764.85</v>
      </c>
      <c r="N111" s="576">
        <v>191049.66</v>
      </c>
      <c r="O111" s="525">
        <f t="shared" si="200"/>
        <v>42933.709999999992</v>
      </c>
      <c r="P111" s="522">
        <v>233983.37</v>
      </c>
      <c r="Q111" s="576">
        <f t="shared" si="151"/>
        <v>15933.799999999988</v>
      </c>
      <c r="R111" s="576">
        <f t="shared" si="152"/>
        <v>7.3074209685439797</v>
      </c>
      <c r="S111" s="576">
        <v>161510.74124999996</v>
      </c>
      <c r="T111" s="576">
        <v>161510.74124999996</v>
      </c>
      <c r="U111" s="522">
        <f t="shared" si="201"/>
        <v>243723.6</v>
      </c>
      <c r="V111" s="522">
        <f t="shared" si="149"/>
        <v>82212.858750000043</v>
      </c>
      <c r="W111" s="522">
        <f t="shared" si="153"/>
        <v>50.902409408637425</v>
      </c>
      <c r="X111" s="522">
        <f t="shared" si="154"/>
        <v>9740.2300000000105</v>
      </c>
      <c r="Y111" s="522">
        <f t="shared" si="155"/>
        <v>4.1627872955244669</v>
      </c>
      <c r="Z111" s="524">
        <f t="shared" si="156"/>
        <v>315103.02</v>
      </c>
      <c r="AA111" s="522">
        <f t="shared" si="157"/>
        <v>153592.27875000006</v>
      </c>
      <c r="AB111" s="522">
        <f t="shared" si="158"/>
        <v>95.097253322772474</v>
      </c>
      <c r="AC111" s="522">
        <f t="shared" si="159"/>
        <v>71379.420000000013</v>
      </c>
      <c r="AD111" s="522">
        <f t="shared" si="160"/>
        <v>29.28703662673621</v>
      </c>
      <c r="AE111" s="522">
        <f t="shared" si="161"/>
        <v>81119.650000000023</v>
      </c>
      <c r="AF111" s="522">
        <f t="shared" si="162"/>
        <v>34.668980962194041</v>
      </c>
      <c r="AG111" s="522">
        <f t="shared" si="177"/>
        <v>331741.40999999997</v>
      </c>
      <c r="AH111" s="522">
        <f t="shared" si="163"/>
        <v>88017.809999999969</v>
      </c>
      <c r="AI111" s="522">
        <f t="shared" si="164"/>
        <v>36.113782169638057</v>
      </c>
      <c r="AJ111" s="522">
        <f t="shared" si="165"/>
        <v>16638.389999999956</v>
      </c>
      <c r="AK111" s="522">
        <f t="shared" si="212"/>
        <v>5.2803016613423637</v>
      </c>
      <c r="AL111" s="522">
        <f t="shared" si="202"/>
        <v>331741.40999999997</v>
      </c>
      <c r="AM111" s="522">
        <f t="shared" si="192"/>
        <v>87000</v>
      </c>
      <c r="AN111" s="522">
        <f t="shared" si="192"/>
        <v>158379.42000000001</v>
      </c>
      <c r="AO111" s="522">
        <f t="shared" si="166"/>
        <v>71379.420000000013</v>
      </c>
      <c r="AP111" s="522">
        <f t="shared" si="178"/>
        <v>82.045310344827612</v>
      </c>
      <c r="AQ111" s="578">
        <v>22000</v>
      </c>
      <c r="AR111" s="578">
        <v>63145.7</v>
      </c>
      <c r="AS111" s="578">
        <v>65000</v>
      </c>
      <c r="AT111" s="578">
        <v>95233.720000000016</v>
      </c>
      <c r="AU111" s="578">
        <f t="shared" si="208"/>
        <v>156723.6</v>
      </c>
      <c r="AV111" s="578">
        <f t="shared" si="208"/>
        <v>156723.6</v>
      </c>
      <c r="AW111" s="578">
        <f t="shared" si="167"/>
        <v>0</v>
      </c>
      <c r="AX111" s="578">
        <f t="shared" si="168"/>
        <v>0</v>
      </c>
      <c r="AY111" s="578">
        <f t="shared" si="210"/>
        <v>173361.98999999996</v>
      </c>
      <c r="AZ111" s="578">
        <f t="shared" si="169"/>
        <v>-16638.389999999956</v>
      </c>
      <c r="BA111" s="578">
        <f t="shared" si="170"/>
        <v>-9.5974844312758307</v>
      </c>
      <c r="BB111" s="578">
        <v>91723.6</v>
      </c>
      <c r="BC111" s="576">
        <f>'[67]Гл инж_Тех дир'!AT76</f>
        <v>91723.6</v>
      </c>
      <c r="BD111" s="576">
        <f t="shared" si="203"/>
        <v>94522.389999999985</v>
      </c>
      <c r="BE111" s="576">
        <f t="shared" si="171"/>
        <v>2798.789999999979</v>
      </c>
      <c r="BF111" s="576">
        <f t="shared" si="172"/>
        <v>2798.789999999979</v>
      </c>
      <c r="BG111" s="576">
        <f t="shared" si="150"/>
        <v>178723.6</v>
      </c>
      <c r="BH111" s="578">
        <f t="shared" si="150"/>
        <v>250103.02000000002</v>
      </c>
      <c r="BI111" s="578">
        <f>252486.56+415.25</f>
        <v>252901.81</v>
      </c>
      <c r="BJ111" s="578">
        <f t="shared" si="173"/>
        <v>74178.209999999992</v>
      </c>
      <c r="BK111" s="578">
        <f t="shared" si="174"/>
        <v>2798.789999999979</v>
      </c>
      <c r="BL111" s="576">
        <v>65000</v>
      </c>
      <c r="BM111" s="578">
        <f>'[67]Гл инж_Тех дир'!AW76</f>
        <v>65000</v>
      </c>
      <c r="BN111" s="522">
        <f t="shared" si="204"/>
        <v>78839.599999999977</v>
      </c>
      <c r="BO111" s="578">
        <f t="shared" si="181"/>
        <v>13839.599999999977</v>
      </c>
      <c r="BP111" s="578">
        <f t="shared" si="175"/>
        <v>13839.599999999977</v>
      </c>
      <c r="BQ111" s="576">
        <v>65000</v>
      </c>
      <c r="BR111" s="578">
        <f>'[67]Гл инж_Тех дир'!BB76</f>
        <v>0</v>
      </c>
      <c r="BS111" s="578">
        <f>'[67]Гл инж_Тех дир'!BC76</f>
        <v>0</v>
      </c>
      <c r="BT111" s="536"/>
      <c r="BU111" s="578">
        <v>331326.15999999997</v>
      </c>
      <c r="BV111" s="578">
        <v>415.25</v>
      </c>
      <c r="BW111" s="578"/>
      <c r="BX111" s="629"/>
      <c r="BY111" s="525">
        <f>310672.84+415.25</f>
        <v>311088.09000000003</v>
      </c>
      <c r="BZ111" s="525">
        <v>17493.599999999999</v>
      </c>
      <c r="CA111" s="525">
        <v>3159.72</v>
      </c>
      <c r="CB111" s="522">
        <f t="shared" si="134"/>
        <v>331741.40999999997</v>
      </c>
      <c r="CC111" s="522">
        <f t="shared" si="176"/>
        <v>0</v>
      </c>
      <c r="CD111" s="578"/>
      <c r="CE111" s="578"/>
      <c r="CF111" s="578"/>
      <c r="CG111" s="578"/>
      <c r="CH111" s="578"/>
      <c r="CI111" s="578"/>
      <c r="CJ111" s="578"/>
      <c r="CK111" s="542" t="s">
        <v>79</v>
      </c>
      <c r="CL111" s="543" t="s">
        <v>1912</v>
      </c>
      <c r="CM111" s="528" t="s">
        <v>1907</v>
      </c>
      <c r="CN111" s="528" t="s">
        <v>1849</v>
      </c>
      <c r="CO111" s="528"/>
      <c r="CP111" s="544">
        <f t="shared" si="205"/>
        <v>224864.37757559831</v>
      </c>
      <c r="CQ111" s="544">
        <f t="shared" si="206"/>
        <v>16517.022133779083</v>
      </c>
      <c r="CR111" s="544">
        <f t="shared" si="207"/>
        <v>2342.2002906226121</v>
      </c>
      <c r="CS111" s="1709" t="s">
        <v>1826</v>
      </c>
      <c r="CT111" s="1710"/>
      <c r="CU111" s="1710"/>
      <c r="CV111" s="1710"/>
      <c r="CW111" s="1711"/>
      <c r="CX111" s="528"/>
      <c r="CY111" s="528"/>
      <c r="CZ111" s="528"/>
      <c r="DA111" s="528"/>
      <c r="DB111" s="579">
        <f>62730.45+415.25</f>
        <v>63145.7</v>
      </c>
      <c r="DC111" s="628" t="e">
        <f>P111-#REF!</f>
        <v>#REF!</v>
      </c>
      <c r="DD111" s="535"/>
      <c r="DE111" s="535"/>
      <c r="DF111" s="525">
        <f t="shared" si="211"/>
        <v>311.08809000000002</v>
      </c>
      <c r="DG111" s="525">
        <f t="shared" si="211"/>
        <v>17.493599999999997</v>
      </c>
      <c r="DH111" s="525">
        <f t="shared" si="211"/>
        <v>3.1597199999999996</v>
      </c>
      <c r="DI111" s="522">
        <f t="shared" si="209"/>
        <v>331.74140999999997</v>
      </c>
      <c r="DJ111" s="536"/>
      <c r="DK111" s="536"/>
      <c r="DL111" s="536"/>
      <c r="DM111" s="536"/>
      <c r="DN111" s="536"/>
      <c r="DO111" s="536"/>
      <c r="DP111" s="536"/>
      <c r="DQ111" s="536"/>
      <c r="DR111" s="536"/>
      <c r="DS111" s="536"/>
    </row>
    <row r="112" spans="1:123" s="534" customFormat="1" ht="56.25" customHeight="1">
      <c r="A112" s="537" t="s">
        <v>505</v>
      </c>
      <c r="B112" s="538" t="s">
        <v>506</v>
      </c>
      <c r="C112" s="576">
        <f>13180.52</f>
        <v>13180.52</v>
      </c>
      <c r="D112" s="576">
        <f>32594.72+77440.72</f>
        <v>110035.44</v>
      </c>
      <c r="E112" s="576">
        <f>0+18584.88</f>
        <v>18584.88</v>
      </c>
      <c r="F112" s="576">
        <v>8135.27</v>
      </c>
      <c r="G112" s="577">
        <v>0</v>
      </c>
      <c r="H112" s="577">
        <v>0</v>
      </c>
      <c r="I112" s="576">
        <f t="shared" si="198"/>
        <v>23394.03</v>
      </c>
      <c r="J112" s="576">
        <v>6187.7800000000007</v>
      </c>
      <c r="K112" s="576">
        <v>4190</v>
      </c>
      <c r="L112" s="576">
        <v>13016.25</v>
      </c>
      <c r="M112" s="576">
        <f t="shared" si="199"/>
        <v>10377.780000000001</v>
      </c>
      <c r="N112" s="576">
        <v>9525.06</v>
      </c>
      <c r="O112" s="525">
        <f t="shared" si="200"/>
        <v>11666.62</v>
      </c>
      <c r="P112" s="522">
        <v>21191.68</v>
      </c>
      <c r="Q112" s="576">
        <f t="shared" si="151"/>
        <v>-2202.3499999999985</v>
      </c>
      <c r="R112" s="576">
        <f t="shared" si="152"/>
        <v>-9.4141539529529581</v>
      </c>
      <c r="S112" s="576">
        <v>8914.2224999999999</v>
      </c>
      <c r="T112" s="576">
        <v>8914.2224999999999</v>
      </c>
      <c r="U112" s="522">
        <f t="shared" si="201"/>
        <v>13347.77</v>
      </c>
      <c r="V112" s="522">
        <f t="shared" si="149"/>
        <v>4433.5475000000006</v>
      </c>
      <c r="W112" s="522">
        <f t="shared" si="153"/>
        <v>49.735661186379417</v>
      </c>
      <c r="X112" s="522">
        <f t="shared" si="154"/>
        <v>-7843.91</v>
      </c>
      <c r="Y112" s="522">
        <f t="shared" si="155"/>
        <v>-37.014101760690984</v>
      </c>
      <c r="Z112" s="524">
        <f t="shared" si="156"/>
        <v>13123.380000000001</v>
      </c>
      <c r="AA112" s="522">
        <f t="shared" si="157"/>
        <v>4209.1575000000012</v>
      </c>
      <c r="AB112" s="522">
        <f t="shared" si="158"/>
        <v>47.218447823127605</v>
      </c>
      <c r="AC112" s="522">
        <f t="shared" si="159"/>
        <v>-224.38999999999942</v>
      </c>
      <c r="AD112" s="522">
        <f t="shared" si="160"/>
        <v>-1.6811047837953339</v>
      </c>
      <c r="AE112" s="522">
        <f t="shared" si="161"/>
        <v>-8068.2999999999993</v>
      </c>
      <c r="AF112" s="522">
        <f t="shared" si="162"/>
        <v>-38.072960709108472</v>
      </c>
      <c r="AG112" s="522">
        <f t="shared" si="177"/>
        <v>12212.93</v>
      </c>
      <c r="AH112" s="522">
        <f t="shared" si="163"/>
        <v>-1134.8400000000001</v>
      </c>
      <c r="AI112" s="522">
        <f t="shared" si="164"/>
        <v>-8.5020943573345988</v>
      </c>
      <c r="AJ112" s="522">
        <f t="shared" si="165"/>
        <v>-910.45000000000073</v>
      </c>
      <c r="AK112" s="522">
        <f t="shared" si="212"/>
        <v>-6.9376182050660731</v>
      </c>
      <c r="AL112" s="522">
        <f t="shared" si="202"/>
        <v>12212.93</v>
      </c>
      <c r="AM112" s="522">
        <f t="shared" si="192"/>
        <v>6580.91</v>
      </c>
      <c r="AN112" s="522">
        <f t="shared" si="192"/>
        <v>6439.53</v>
      </c>
      <c r="AO112" s="522">
        <f t="shared" si="166"/>
        <v>-141.38000000000011</v>
      </c>
      <c r="AP112" s="522">
        <f t="shared" si="178"/>
        <v>-2.1483351086703806</v>
      </c>
      <c r="AQ112" s="578">
        <v>2854.48</v>
      </c>
      <c r="AR112" s="578">
        <v>2930.77</v>
      </c>
      <c r="AS112" s="578">
        <v>3726.43</v>
      </c>
      <c r="AT112" s="578">
        <v>3508.7599999999998</v>
      </c>
      <c r="AU112" s="578">
        <f t="shared" si="208"/>
        <v>6766.8600000000006</v>
      </c>
      <c r="AV112" s="578">
        <f t="shared" si="208"/>
        <v>6683.85</v>
      </c>
      <c r="AW112" s="578">
        <f t="shared" si="167"/>
        <v>-83.010000000000218</v>
      </c>
      <c r="AX112" s="578">
        <f t="shared" si="168"/>
        <v>-1.2267137195095046</v>
      </c>
      <c r="AY112" s="578">
        <f t="shared" si="210"/>
        <v>5773.4000000000005</v>
      </c>
      <c r="AZ112" s="578">
        <f t="shared" si="169"/>
        <v>910.44999999999982</v>
      </c>
      <c r="BA112" s="578">
        <f t="shared" si="170"/>
        <v>15.76973707001072</v>
      </c>
      <c r="BB112" s="578">
        <v>2967.32</v>
      </c>
      <c r="BC112" s="576">
        <f>'[67]Дир_по экон'!AT22</f>
        <v>2782.7</v>
      </c>
      <c r="BD112" s="576">
        <f t="shared" si="203"/>
        <v>2819.7200000000003</v>
      </c>
      <c r="BE112" s="576">
        <f t="shared" si="171"/>
        <v>-147.59999999999991</v>
      </c>
      <c r="BF112" s="576">
        <f t="shared" si="172"/>
        <v>37.020000000000437</v>
      </c>
      <c r="BG112" s="576">
        <f t="shared" si="150"/>
        <v>9548.23</v>
      </c>
      <c r="BH112" s="578">
        <f t="shared" si="150"/>
        <v>9222.23</v>
      </c>
      <c r="BI112" s="578">
        <v>9259.25</v>
      </c>
      <c r="BJ112" s="578">
        <f t="shared" si="173"/>
        <v>-288.97999999999956</v>
      </c>
      <c r="BK112" s="578">
        <f t="shared" si="174"/>
        <v>37.020000000000437</v>
      </c>
      <c r="BL112" s="576">
        <v>3799.54</v>
      </c>
      <c r="BM112" s="578">
        <f>'[67]Дир_по экон'!AW22</f>
        <v>3901.15</v>
      </c>
      <c r="BN112" s="522">
        <f t="shared" si="204"/>
        <v>2953.6800000000003</v>
      </c>
      <c r="BO112" s="578">
        <f t="shared" si="181"/>
        <v>-845.85999999999967</v>
      </c>
      <c r="BP112" s="578">
        <f t="shared" si="175"/>
        <v>-947.4699999999998</v>
      </c>
      <c r="BQ112" s="576">
        <v>3799.54</v>
      </c>
      <c r="BR112" s="578">
        <f>'[67]Дир_по экон'!BB22</f>
        <v>0</v>
      </c>
      <c r="BS112" s="578">
        <f>'[67]Дир_по экон'!BC22</f>
        <v>0</v>
      </c>
      <c r="BT112" s="536"/>
      <c r="BU112" s="578">
        <v>12212.93</v>
      </c>
      <c r="BV112" s="578"/>
      <c r="BW112" s="578"/>
      <c r="BX112" s="629"/>
      <c r="BY112" s="525">
        <v>99.57</v>
      </c>
      <c r="BZ112" s="525">
        <v>3356.21</v>
      </c>
      <c r="CA112" s="525">
        <v>8757.15</v>
      </c>
      <c r="CB112" s="522">
        <f t="shared" si="134"/>
        <v>12212.93</v>
      </c>
      <c r="CC112" s="522">
        <f t="shared" si="176"/>
        <v>0</v>
      </c>
      <c r="CD112" s="578"/>
      <c r="CE112" s="578"/>
      <c r="CF112" s="578"/>
      <c r="CG112" s="578"/>
      <c r="CH112" s="578"/>
      <c r="CI112" s="578"/>
      <c r="CJ112" s="578"/>
      <c r="CK112" s="543" t="s">
        <v>77</v>
      </c>
      <c r="CL112" s="542" t="s">
        <v>1800</v>
      </c>
      <c r="CM112" s="528" t="s">
        <v>1907</v>
      </c>
      <c r="CN112" s="528"/>
      <c r="CO112" s="528"/>
      <c r="CP112" s="544">
        <f t="shared" si="205"/>
        <v>12314.925567619402</v>
      </c>
      <c r="CQ112" s="544">
        <f t="shared" si="206"/>
        <v>904.57145933587231</v>
      </c>
      <c r="CR112" s="544">
        <f t="shared" si="207"/>
        <v>128.27297304472683</v>
      </c>
      <c r="CS112" s="1709" t="s">
        <v>1826</v>
      </c>
      <c r="CT112" s="1710"/>
      <c r="CU112" s="1710"/>
      <c r="CV112" s="1710"/>
      <c r="CW112" s="1711"/>
      <c r="CX112" s="528"/>
      <c r="CY112" s="528"/>
      <c r="CZ112" s="528"/>
      <c r="DA112" s="528"/>
      <c r="DB112" s="579">
        <f>2930.77</f>
        <v>2930.77</v>
      </c>
      <c r="DC112" s="628" t="e">
        <f>P112-#REF!</f>
        <v>#REF!</v>
      </c>
      <c r="DD112" s="535">
        <f>9259.25</f>
        <v>9259.25</v>
      </c>
      <c r="DE112" s="535"/>
      <c r="DF112" s="525">
        <f t="shared" si="211"/>
        <v>9.9569999999999992E-2</v>
      </c>
      <c r="DG112" s="525">
        <f t="shared" si="211"/>
        <v>3.3562099999999999</v>
      </c>
      <c r="DH112" s="525">
        <f t="shared" si="211"/>
        <v>8.7571499999999993</v>
      </c>
      <c r="DI112" s="522">
        <f t="shared" si="209"/>
        <v>12.21293</v>
      </c>
      <c r="DJ112" s="536"/>
      <c r="DK112" s="536"/>
      <c r="DL112" s="536"/>
      <c r="DM112" s="536"/>
      <c r="DN112" s="536"/>
      <c r="DO112" s="536"/>
      <c r="DP112" s="536"/>
      <c r="DQ112" s="536"/>
      <c r="DR112" s="536"/>
      <c r="DS112" s="536"/>
    </row>
    <row r="113" spans="1:123" s="534" customFormat="1" ht="112.8">
      <c r="A113" s="537" t="s">
        <v>417</v>
      </c>
      <c r="B113" s="538" t="s">
        <v>418</v>
      </c>
      <c r="C113" s="576">
        <f>2162128.1+50167428.91+450770.29</f>
        <v>52780327.299999997</v>
      </c>
      <c r="D113" s="576">
        <f>1437716.66+11680742.84+2058169.22</f>
        <v>15176628.720000001</v>
      </c>
      <c r="E113" s="576">
        <f>4515366.74+0+0</f>
        <v>4515366.74</v>
      </c>
      <c r="F113" s="576">
        <v>5060788.84</v>
      </c>
      <c r="G113" s="577">
        <v>2261632.7195872986</v>
      </c>
      <c r="H113" s="577">
        <v>0</v>
      </c>
      <c r="I113" s="576">
        <f t="shared" si="198"/>
        <v>4279526.6100000003</v>
      </c>
      <c r="J113" s="576">
        <v>2103990.4900000002</v>
      </c>
      <c r="K113" s="576">
        <v>1000000</v>
      </c>
      <c r="L113" s="576">
        <v>1175536.1200000001</v>
      </c>
      <c r="M113" s="576">
        <f t="shared" si="199"/>
        <v>3103990.49</v>
      </c>
      <c r="N113" s="576">
        <v>3631926.33</v>
      </c>
      <c r="O113" s="525">
        <f t="shared" si="200"/>
        <v>1246347.42</v>
      </c>
      <c r="P113" s="522">
        <v>4878273.75</v>
      </c>
      <c r="Q113" s="576">
        <f t="shared" si="151"/>
        <v>598747.13999999966</v>
      </c>
      <c r="R113" s="576">
        <f t="shared" si="152"/>
        <v>13.99096663170414</v>
      </c>
      <c r="S113" s="576">
        <v>3488210.078178159</v>
      </c>
      <c r="T113" s="576">
        <v>3488210.078178159</v>
      </c>
      <c r="U113" s="522">
        <f t="shared" si="201"/>
        <v>4335081.1399999997</v>
      </c>
      <c r="V113" s="522">
        <f t="shared" si="149"/>
        <v>846871.0618218407</v>
      </c>
      <c r="W113" s="522">
        <f t="shared" si="153"/>
        <v>24.278098017082428</v>
      </c>
      <c r="X113" s="522">
        <f t="shared" si="154"/>
        <v>-543192.61000000034</v>
      </c>
      <c r="Y113" s="522">
        <f t="shared" si="155"/>
        <v>-11.134934975717599</v>
      </c>
      <c r="Z113" s="524">
        <f t="shared" si="156"/>
        <v>4335081.1400000006</v>
      </c>
      <c r="AA113" s="522">
        <f t="shared" si="157"/>
        <v>846871.06182184163</v>
      </c>
      <c r="AB113" s="522">
        <f t="shared" si="158"/>
        <v>24.278098017082456</v>
      </c>
      <c r="AC113" s="522">
        <f t="shared" si="159"/>
        <v>0</v>
      </c>
      <c r="AD113" s="522">
        <f t="shared" si="160"/>
        <v>0</v>
      </c>
      <c r="AE113" s="522">
        <f t="shared" si="161"/>
        <v>-543192.6099999994</v>
      </c>
      <c r="AF113" s="522">
        <f t="shared" si="162"/>
        <v>-11.134934975717584</v>
      </c>
      <c r="AG113" s="522">
        <f t="shared" si="177"/>
        <v>3810538.02</v>
      </c>
      <c r="AH113" s="522">
        <f t="shared" si="163"/>
        <v>-524543.11999999965</v>
      </c>
      <c r="AI113" s="522">
        <f t="shared" si="164"/>
        <v>-12.099960832567007</v>
      </c>
      <c r="AJ113" s="522">
        <f t="shared" si="165"/>
        <v>-524543.12000000058</v>
      </c>
      <c r="AK113" s="522">
        <f t="shared" si="212"/>
        <v>-12.099960832567035</v>
      </c>
      <c r="AL113" s="522">
        <f t="shared" si="202"/>
        <v>3810538.02</v>
      </c>
      <c r="AM113" s="522">
        <f t="shared" si="192"/>
        <v>2113439.77</v>
      </c>
      <c r="AN113" s="522">
        <f t="shared" si="192"/>
        <v>1719169.33</v>
      </c>
      <c r="AO113" s="522">
        <f t="shared" si="166"/>
        <v>-394270.43999999994</v>
      </c>
      <c r="AP113" s="522">
        <f t="shared" si="178"/>
        <v>-18.655390401780878</v>
      </c>
      <c r="AQ113" s="578">
        <v>861420</v>
      </c>
      <c r="AR113" s="578">
        <v>780813.44</v>
      </c>
      <c r="AS113" s="578">
        <v>1252019.77</v>
      </c>
      <c r="AT113" s="578">
        <v>938355.89000000013</v>
      </c>
      <c r="AU113" s="578">
        <f t="shared" si="208"/>
        <v>2221641.37</v>
      </c>
      <c r="AV113" s="578">
        <f t="shared" si="208"/>
        <v>2615911.81</v>
      </c>
      <c r="AW113" s="578">
        <f t="shared" si="167"/>
        <v>394270.43999999994</v>
      </c>
      <c r="AX113" s="578">
        <f t="shared" si="168"/>
        <v>17.746808522925534</v>
      </c>
      <c r="AY113" s="578">
        <f t="shared" si="210"/>
        <v>2091368.69</v>
      </c>
      <c r="AZ113" s="578">
        <f t="shared" si="169"/>
        <v>524543.12000000011</v>
      </c>
      <c r="BA113" s="578">
        <f t="shared" si="170"/>
        <v>25.081331785645133</v>
      </c>
      <c r="BB113" s="578">
        <v>1520573.4399999999</v>
      </c>
      <c r="BC113" s="576">
        <f>'[67]Гл инж_Тех дир'!AT92</f>
        <v>1520573.4399999999</v>
      </c>
      <c r="BD113" s="576">
        <f t="shared" si="203"/>
        <v>1287287.69</v>
      </c>
      <c r="BE113" s="576">
        <f t="shared" si="171"/>
        <v>-233285.75</v>
      </c>
      <c r="BF113" s="576">
        <f t="shared" si="172"/>
        <v>-233285.75</v>
      </c>
      <c r="BG113" s="576">
        <f t="shared" si="150"/>
        <v>3634013.21</v>
      </c>
      <c r="BH113" s="578">
        <f t="shared" si="150"/>
        <v>3239742.77</v>
      </c>
      <c r="BI113" s="578">
        <f>2991664.52+14792.5</f>
        <v>3006457.02</v>
      </c>
      <c r="BJ113" s="578">
        <f t="shared" si="173"/>
        <v>-627556.18999999994</v>
      </c>
      <c r="BK113" s="578">
        <f t="shared" si="174"/>
        <v>-233285.75</v>
      </c>
      <c r="BL113" s="576">
        <v>701067.93</v>
      </c>
      <c r="BM113" s="578">
        <f>'[67]Гл инж_Тех дир'!AW92</f>
        <v>1095338.3700000001</v>
      </c>
      <c r="BN113" s="522">
        <f t="shared" si="204"/>
        <v>804081</v>
      </c>
      <c r="BO113" s="578">
        <f t="shared" si="181"/>
        <v>103013.06999999995</v>
      </c>
      <c r="BP113" s="578">
        <f t="shared" si="175"/>
        <v>-291257.37000000011</v>
      </c>
      <c r="BQ113" s="576">
        <v>701067.93</v>
      </c>
      <c r="BR113" s="578">
        <f>'[67]Гл инж_Тех дир'!BB92</f>
        <v>0</v>
      </c>
      <c r="BS113" s="578">
        <f>'[67]Гл инж_Тех дир'!BC92</f>
        <v>0</v>
      </c>
      <c r="BT113" s="536"/>
      <c r="BU113" s="578">
        <v>3795645.52</v>
      </c>
      <c r="BV113" s="578">
        <v>14892.5</v>
      </c>
      <c r="BW113" s="578"/>
      <c r="BX113" s="629"/>
      <c r="BY113" s="576">
        <f>3795645.52+14892.5</f>
        <v>3810538.02</v>
      </c>
      <c r="BZ113" s="576"/>
      <c r="CA113" s="576"/>
      <c r="CB113" s="522">
        <f t="shared" si="134"/>
        <v>3810538.02</v>
      </c>
      <c r="CC113" s="578">
        <f t="shared" si="176"/>
        <v>0</v>
      </c>
      <c r="CD113" s="578"/>
      <c r="CE113" s="578"/>
      <c r="CF113" s="578"/>
      <c r="CG113" s="578"/>
      <c r="CH113" s="578"/>
      <c r="CI113" s="578"/>
      <c r="CJ113" s="578"/>
      <c r="CK113" s="542" t="s">
        <v>79</v>
      </c>
      <c r="CL113" s="543" t="s">
        <v>1913</v>
      </c>
      <c r="CM113" s="528" t="s">
        <v>1907</v>
      </c>
      <c r="CN113" s="528" t="s">
        <v>1849</v>
      </c>
      <c r="CO113" s="528" t="s">
        <v>1849</v>
      </c>
      <c r="CP113" s="579">
        <f>U113</f>
        <v>4335081.1399999997</v>
      </c>
      <c r="CQ113" s="579"/>
      <c r="CR113" s="579"/>
      <c r="CS113" s="1727"/>
      <c r="CT113" s="1728"/>
      <c r="CU113" s="1728"/>
      <c r="CV113" s="1728"/>
      <c r="CW113" s="1729"/>
      <c r="CX113" s="528"/>
      <c r="CY113" s="528"/>
      <c r="CZ113" s="528"/>
      <c r="DA113" s="528"/>
      <c r="DB113" s="579">
        <f>780813.44</f>
        <v>780813.44</v>
      </c>
      <c r="DC113" s="628" t="e">
        <f>P113-#REF!</f>
        <v>#REF!</v>
      </c>
      <c r="DD113" s="535">
        <f>2991664.52</f>
        <v>2991664.52</v>
      </c>
      <c r="DE113" s="535"/>
      <c r="DF113" s="576">
        <f t="shared" si="211"/>
        <v>3810.53802</v>
      </c>
      <c r="DG113" s="576">
        <f t="shared" si="211"/>
        <v>0</v>
      </c>
      <c r="DH113" s="576">
        <f t="shared" si="211"/>
        <v>0</v>
      </c>
      <c r="DI113" s="522">
        <f t="shared" si="209"/>
        <v>3810.53802</v>
      </c>
      <c r="DJ113" s="536"/>
      <c r="DK113" s="536"/>
      <c r="DL113" s="536"/>
      <c r="DM113" s="536"/>
      <c r="DN113" s="536"/>
      <c r="DO113" s="536"/>
      <c r="DP113" s="536"/>
      <c r="DQ113" s="536"/>
      <c r="DR113" s="536"/>
      <c r="DS113" s="536"/>
    </row>
    <row r="114" spans="1:123" s="534" customFormat="1" ht="118.5" customHeight="1">
      <c r="A114" s="537" t="s">
        <v>399</v>
      </c>
      <c r="B114" s="538" t="s">
        <v>400</v>
      </c>
      <c r="C114" s="576">
        <v>44312197.68</v>
      </c>
      <c r="D114" s="576">
        <v>139800672.00999999</v>
      </c>
      <c r="E114" s="576">
        <v>144416952.81999999</v>
      </c>
      <c r="F114" s="576">
        <v>67329749.379999995</v>
      </c>
      <c r="G114" s="631">
        <v>128449597.86507805</v>
      </c>
      <c r="H114" s="577">
        <v>0</v>
      </c>
      <c r="I114" s="576">
        <f t="shared" si="198"/>
        <v>123705854.38000001</v>
      </c>
      <c r="J114" s="576">
        <v>33480104.210000001</v>
      </c>
      <c r="K114" s="576">
        <v>50000000</v>
      </c>
      <c r="L114" s="576">
        <v>40225750.170000002</v>
      </c>
      <c r="M114" s="576">
        <f t="shared" si="199"/>
        <v>83480104.210000008</v>
      </c>
      <c r="N114" s="576">
        <v>59914266.93</v>
      </c>
      <c r="O114" s="525">
        <f t="shared" si="200"/>
        <v>39821601.080000006</v>
      </c>
      <c r="P114" s="522">
        <v>99735868.010000005</v>
      </c>
      <c r="Q114" s="576">
        <f t="shared" si="151"/>
        <v>-23969986.370000005</v>
      </c>
      <c r="R114" s="576">
        <f t="shared" si="152"/>
        <v>-19.376598213669766</v>
      </c>
      <c r="S114" s="576">
        <v>76119759.441249982</v>
      </c>
      <c r="T114" s="576">
        <v>76119759.441249982</v>
      </c>
      <c r="U114" s="522">
        <f t="shared" si="201"/>
        <v>98046903.359999999</v>
      </c>
      <c r="V114" s="522">
        <f t="shared" si="149"/>
        <v>21927143.918750018</v>
      </c>
      <c r="W114" s="522">
        <f t="shared" si="153"/>
        <v>28.8061129983912</v>
      </c>
      <c r="X114" s="522">
        <f t="shared" si="154"/>
        <v>-1688964.650000006</v>
      </c>
      <c r="Y114" s="522">
        <f t="shared" si="155"/>
        <v>-1.69343756032751</v>
      </c>
      <c r="Z114" s="524">
        <f t="shared" si="156"/>
        <v>78046903.359999999</v>
      </c>
      <c r="AA114" s="522">
        <f t="shared" si="157"/>
        <v>1927143.9187500179</v>
      </c>
      <c r="AB114" s="522">
        <f t="shared" si="158"/>
        <v>2.5317262336298114</v>
      </c>
      <c r="AC114" s="522">
        <f t="shared" si="159"/>
        <v>-20000000</v>
      </c>
      <c r="AD114" s="522">
        <f t="shared" si="160"/>
        <v>-20.398400474276841</v>
      </c>
      <c r="AE114" s="522">
        <f t="shared" si="161"/>
        <v>-21688964.650000006</v>
      </c>
      <c r="AF114" s="522">
        <f t="shared" si="162"/>
        <v>-21.746403859266934</v>
      </c>
      <c r="AG114" s="522">
        <f t="shared" si="177"/>
        <v>85221706.519999996</v>
      </c>
      <c r="AH114" s="522">
        <f t="shared" si="163"/>
        <v>-12825196.840000004</v>
      </c>
      <c r="AI114" s="522">
        <f t="shared" si="164"/>
        <v>-13.080675065187492</v>
      </c>
      <c r="AJ114" s="522">
        <f t="shared" si="165"/>
        <v>7174803.1599999964</v>
      </c>
      <c r="AK114" s="522">
        <f t="shared" si="212"/>
        <v>9.1929376453354195</v>
      </c>
      <c r="AL114" s="522">
        <f t="shared" si="202"/>
        <v>85221706.519999996</v>
      </c>
      <c r="AM114" s="522">
        <f t="shared" si="192"/>
        <v>44664746.450000003</v>
      </c>
      <c r="AN114" s="522">
        <f t="shared" si="192"/>
        <v>40779361.039999999</v>
      </c>
      <c r="AO114" s="522">
        <f t="shared" si="166"/>
        <v>-3885385.4100000039</v>
      </c>
      <c r="AP114" s="522">
        <f t="shared" si="178"/>
        <v>-8.6989980215145835</v>
      </c>
      <c r="AQ114" s="578">
        <v>2950000</v>
      </c>
      <c r="AR114" s="578">
        <v>15153756.199999999</v>
      </c>
      <c r="AS114" s="578">
        <v>41714746.450000003</v>
      </c>
      <c r="AT114" s="578">
        <v>25625604.84</v>
      </c>
      <c r="AU114" s="578">
        <f t="shared" si="208"/>
        <v>53382156.909999996</v>
      </c>
      <c r="AV114" s="578">
        <f t="shared" si="208"/>
        <v>37267542.32</v>
      </c>
      <c r="AW114" s="578">
        <f t="shared" si="167"/>
        <v>-16114614.589999996</v>
      </c>
      <c r="AX114" s="578">
        <f t="shared" si="168"/>
        <v>-30.187267661680551</v>
      </c>
      <c r="AY114" s="578">
        <f t="shared" si="210"/>
        <v>44442345.479999997</v>
      </c>
      <c r="AZ114" s="578">
        <f t="shared" si="169"/>
        <v>-7174803.1599999964</v>
      </c>
      <c r="BA114" s="578">
        <f t="shared" si="170"/>
        <v>-16.144069541128985</v>
      </c>
      <c r="BB114" s="578">
        <v>41594690.359999999</v>
      </c>
      <c r="BC114" s="576">
        <f>'[67]Гл инж_Тех дир'!AT93</f>
        <v>26594690.359999999</v>
      </c>
      <c r="BD114" s="576">
        <f t="shared" si="203"/>
        <v>27080820.220000006</v>
      </c>
      <c r="BE114" s="576">
        <f t="shared" si="171"/>
        <v>-14513870.139999993</v>
      </c>
      <c r="BF114" s="576">
        <f t="shared" si="172"/>
        <v>486129.86000000685</v>
      </c>
      <c r="BG114" s="576">
        <f t="shared" si="150"/>
        <v>86259436.810000002</v>
      </c>
      <c r="BH114" s="578">
        <f t="shared" si="150"/>
        <v>67374051.400000006</v>
      </c>
      <c r="BI114" s="578">
        <v>67860181.260000005</v>
      </c>
      <c r="BJ114" s="578">
        <f t="shared" si="173"/>
        <v>-18399255.549999997</v>
      </c>
      <c r="BK114" s="578">
        <f t="shared" si="174"/>
        <v>486129.8599999994</v>
      </c>
      <c r="BL114" s="576">
        <v>11787466.550000001</v>
      </c>
      <c r="BM114" s="578">
        <f>'[67]Гл инж_Тех дир'!AW93</f>
        <v>10672851.960000001</v>
      </c>
      <c r="BN114" s="522">
        <f t="shared" si="204"/>
        <v>17361525.25999999</v>
      </c>
      <c r="BO114" s="578">
        <f t="shared" si="181"/>
        <v>5574058.7099999897</v>
      </c>
      <c r="BP114" s="578">
        <f t="shared" si="175"/>
        <v>6688673.2999999896</v>
      </c>
      <c r="BQ114" s="576">
        <v>11787466.550000001</v>
      </c>
      <c r="BR114" s="578">
        <f>'[67]Гл инж_Тех дир'!BB93</f>
        <v>0</v>
      </c>
      <c r="BS114" s="578">
        <f>'[67]Гл инж_Тех дир'!BC93</f>
        <v>0</v>
      </c>
      <c r="BT114" s="536"/>
      <c r="BU114" s="578">
        <v>85221706.519999996</v>
      </c>
      <c r="BV114" s="578"/>
      <c r="BW114" s="578"/>
      <c r="BX114" s="629"/>
      <c r="BY114" s="576">
        <v>85221471.819999993</v>
      </c>
      <c r="BZ114" s="576">
        <v>150.04</v>
      </c>
      <c r="CA114" s="576">
        <v>84.66</v>
      </c>
      <c r="CB114" s="522">
        <f t="shared" si="134"/>
        <v>85221706.519999996</v>
      </c>
      <c r="CC114" s="578">
        <f t="shared" si="176"/>
        <v>0</v>
      </c>
      <c r="CD114" s="578"/>
      <c r="CE114" s="578"/>
      <c r="CF114" s="578"/>
      <c r="CG114" s="578"/>
      <c r="CH114" s="578"/>
      <c r="CI114" s="578"/>
      <c r="CJ114" s="578"/>
      <c r="CK114" s="542" t="s">
        <v>79</v>
      </c>
      <c r="CL114" s="543" t="s">
        <v>1913</v>
      </c>
      <c r="CM114" s="528" t="s">
        <v>1907</v>
      </c>
      <c r="CN114" s="528" t="s">
        <v>1849</v>
      </c>
      <c r="CO114" s="528" t="s">
        <v>1849</v>
      </c>
      <c r="CP114" s="579">
        <f>U114</f>
        <v>98046903.359999999</v>
      </c>
      <c r="CQ114" s="579"/>
      <c r="CR114" s="579"/>
      <c r="CS114" s="1727"/>
      <c r="CT114" s="1728"/>
      <c r="CU114" s="1728"/>
      <c r="CV114" s="1728"/>
      <c r="CW114" s="1729"/>
      <c r="CX114" s="528"/>
      <c r="CY114" s="528"/>
      <c r="CZ114" s="528"/>
      <c r="DA114" s="528"/>
      <c r="DB114" s="579">
        <f>15153756.2</f>
        <v>15153756.199999999</v>
      </c>
      <c r="DC114" s="628" t="e">
        <f>P114-#REF!</f>
        <v>#REF!</v>
      </c>
      <c r="DD114" s="535"/>
      <c r="DE114" s="535"/>
      <c r="DF114" s="576">
        <f t="shared" si="211"/>
        <v>85221.471819999992</v>
      </c>
      <c r="DG114" s="576">
        <f t="shared" si="211"/>
        <v>0.15003999999999998</v>
      </c>
      <c r="DH114" s="576">
        <f t="shared" si="211"/>
        <v>8.4659999999999999E-2</v>
      </c>
      <c r="DI114" s="522">
        <f t="shared" si="209"/>
        <v>85221.706519999992</v>
      </c>
      <c r="DJ114" s="536"/>
      <c r="DK114" s="536"/>
      <c r="DL114" s="536"/>
      <c r="DM114" s="536"/>
      <c r="DN114" s="536"/>
      <c r="DO114" s="536"/>
      <c r="DP114" s="536"/>
      <c r="DQ114" s="536"/>
      <c r="DR114" s="536"/>
      <c r="DS114" s="536"/>
    </row>
    <row r="115" spans="1:123" s="534" customFormat="1" ht="112.8">
      <c r="A115" s="537" t="s">
        <v>404</v>
      </c>
      <c r="B115" s="538" t="s">
        <v>405</v>
      </c>
      <c r="C115" s="576">
        <f>40323439.67+2643477.22+3602353.71</f>
        <v>46569270.600000001</v>
      </c>
      <c r="D115" s="576">
        <f>48606238.15+4369015.36+4758603.68</f>
        <v>57733857.189999998</v>
      </c>
      <c r="E115" s="576">
        <f>33390857.54+0</f>
        <v>33390857.539999999</v>
      </c>
      <c r="F115" s="576">
        <v>46373683.030000001</v>
      </c>
      <c r="G115" s="626">
        <v>41521930.4998485</v>
      </c>
      <c r="H115" s="577">
        <v>0</v>
      </c>
      <c r="I115" s="576">
        <f t="shared" si="198"/>
        <v>41521930.5</v>
      </c>
      <c r="J115" s="576">
        <v>19303952.43</v>
      </c>
      <c r="K115" s="576">
        <v>9179477.5700000003</v>
      </c>
      <c r="L115" s="576">
        <v>13038500.5</v>
      </c>
      <c r="M115" s="576">
        <f t="shared" si="199"/>
        <v>28483430</v>
      </c>
      <c r="N115" s="576">
        <v>30766665.809999999</v>
      </c>
      <c r="O115" s="525">
        <f t="shared" si="200"/>
        <v>13739846.52</v>
      </c>
      <c r="P115" s="522">
        <f>6372.22+44500140.11</f>
        <v>44506512.329999998</v>
      </c>
      <c r="Q115" s="576">
        <f t="shared" si="151"/>
        <v>2984581.8299999982</v>
      </c>
      <c r="R115" s="576">
        <f t="shared" si="152"/>
        <v>7.187964995991706</v>
      </c>
      <c r="S115" s="576">
        <v>51759940</v>
      </c>
      <c r="T115" s="576">
        <v>51759940</v>
      </c>
      <c r="U115" s="522">
        <f t="shared" si="201"/>
        <v>35520687.339999996</v>
      </c>
      <c r="V115" s="522">
        <f t="shared" si="149"/>
        <v>-16239252.660000004</v>
      </c>
      <c r="W115" s="522">
        <f t="shared" si="153"/>
        <v>-31.374172110709566</v>
      </c>
      <c r="X115" s="522">
        <f t="shared" si="154"/>
        <v>-8985824.9900000021</v>
      </c>
      <c r="Y115" s="522">
        <f t="shared" si="155"/>
        <v>-20.18991046382898</v>
      </c>
      <c r="Z115" s="524">
        <f t="shared" si="156"/>
        <v>35520687.340000004</v>
      </c>
      <c r="AA115" s="522">
        <f t="shared" si="157"/>
        <v>-16239252.659999996</v>
      </c>
      <c r="AB115" s="522">
        <f t="shared" si="158"/>
        <v>-31.374172110709551</v>
      </c>
      <c r="AC115" s="522">
        <f t="shared" si="159"/>
        <v>0</v>
      </c>
      <c r="AD115" s="522">
        <f t="shared" si="160"/>
        <v>0</v>
      </c>
      <c r="AE115" s="522">
        <f t="shared" si="161"/>
        <v>-8985824.9899999946</v>
      </c>
      <c r="AF115" s="522">
        <f t="shared" si="162"/>
        <v>-20.189910463828951</v>
      </c>
      <c r="AG115" s="522">
        <f t="shared" si="177"/>
        <v>42949097.960000001</v>
      </c>
      <c r="AH115" s="522">
        <f t="shared" si="163"/>
        <v>7428410.6200000048</v>
      </c>
      <c r="AI115" s="522">
        <f t="shared" si="164"/>
        <v>20.912913505575233</v>
      </c>
      <c r="AJ115" s="522">
        <f t="shared" si="165"/>
        <v>7428410.6199999973</v>
      </c>
      <c r="AK115" s="522">
        <f t="shared" si="212"/>
        <v>20.912913505575176</v>
      </c>
      <c r="AL115" s="522">
        <f t="shared" si="202"/>
        <v>42949097.960000001</v>
      </c>
      <c r="AM115" s="522">
        <f t="shared" si="192"/>
        <v>13666497.869999999</v>
      </c>
      <c r="AN115" s="522">
        <f t="shared" si="192"/>
        <v>20056184.010000002</v>
      </c>
      <c r="AO115" s="522">
        <f t="shared" si="166"/>
        <v>6389686.1400000025</v>
      </c>
      <c r="AP115" s="522">
        <f t="shared" si="178"/>
        <v>46.754378486578588</v>
      </c>
      <c r="AQ115" s="578">
        <v>3540000</v>
      </c>
      <c r="AR115" s="578">
        <v>9562630.8000000007</v>
      </c>
      <c r="AS115" s="578">
        <v>10126497.869999999</v>
      </c>
      <c r="AT115" s="578">
        <v>10493553.210000001</v>
      </c>
      <c r="AU115" s="578">
        <f t="shared" si="208"/>
        <v>21854189.469999999</v>
      </c>
      <c r="AV115" s="578">
        <f t="shared" si="208"/>
        <v>15464503.33</v>
      </c>
      <c r="AW115" s="578">
        <f t="shared" si="167"/>
        <v>-6389686.1399999987</v>
      </c>
      <c r="AX115" s="578">
        <f t="shared" si="168"/>
        <v>-29.237808836476603</v>
      </c>
      <c r="AY115" s="578">
        <f t="shared" si="210"/>
        <v>22892913.949999999</v>
      </c>
      <c r="AZ115" s="578">
        <f t="shared" si="169"/>
        <v>-7428410.6199999992</v>
      </c>
      <c r="BA115" s="578">
        <f t="shared" si="170"/>
        <v>-32.448515013092077</v>
      </c>
      <c r="BB115" s="578">
        <v>11355920.32</v>
      </c>
      <c r="BC115" s="576">
        <f>'[67]Гл инж_Тех дир'!AT94</f>
        <v>11355920.32</v>
      </c>
      <c r="BD115" s="576">
        <f t="shared" si="203"/>
        <v>12488963.149999999</v>
      </c>
      <c r="BE115" s="576">
        <f t="shared" si="171"/>
        <v>1133042.8299999982</v>
      </c>
      <c r="BF115" s="576">
        <f t="shared" si="172"/>
        <v>1133042.8299999982</v>
      </c>
      <c r="BG115" s="576">
        <f t="shared" si="150"/>
        <v>25022418.189999998</v>
      </c>
      <c r="BH115" s="578">
        <f t="shared" si="150"/>
        <v>31412104.330000002</v>
      </c>
      <c r="BI115" s="578">
        <v>32545147.16</v>
      </c>
      <c r="BJ115" s="578">
        <f t="shared" si="173"/>
        <v>7522728.9700000025</v>
      </c>
      <c r="BK115" s="578">
        <f t="shared" si="174"/>
        <v>1133042.8299999982</v>
      </c>
      <c r="BL115" s="576">
        <v>10498269.15</v>
      </c>
      <c r="BM115" s="578">
        <f>'[67]Гл инж_Тех дир'!AW94</f>
        <v>4108583.01</v>
      </c>
      <c r="BN115" s="522">
        <f t="shared" si="204"/>
        <v>10403950.800000001</v>
      </c>
      <c r="BO115" s="578">
        <f t="shared" si="181"/>
        <v>-94318.349999999627</v>
      </c>
      <c r="BP115" s="578">
        <f t="shared" si="175"/>
        <v>6295367.790000001</v>
      </c>
      <c r="BQ115" s="576">
        <v>10498269.15</v>
      </c>
      <c r="BR115" s="578">
        <f>'[67]Гл инж_Тех дир'!BB94</f>
        <v>0</v>
      </c>
      <c r="BS115" s="578">
        <f>'[67]Гл инж_Тех дир'!BC94</f>
        <v>0</v>
      </c>
      <c r="BT115" s="536"/>
      <c r="BU115" s="578">
        <v>42949097.960000001</v>
      </c>
      <c r="BV115" s="578"/>
      <c r="BW115" s="578"/>
      <c r="BX115" s="629"/>
      <c r="BY115" s="576">
        <v>42917599.18</v>
      </c>
      <c r="BZ115" s="576">
        <v>11839.81</v>
      </c>
      <c r="CA115" s="576">
        <v>19658.97</v>
      </c>
      <c r="CB115" s="522">
        <f t="shared" si="134"/>
        <v>42949097.960000001</v>
      </c>
      <c r="CC115" s="578">
        <f t="shared" si="176"/>
        <v>0</v>
      </c>
      <c r="CD115" s="578"/>
      <c r="CE115" s="578"/>
      <c r="CF115" s="578"/>
      <c r="CG115" s="578"/>
      <c r="CH115" s="578"/>
      <c r="CI115" s="578"/>
      <c r="CJ115" s="578"/>
      <c r="CK115" s="542" t="s">
        <v>79</v>
      </c>
      <c r="CL115" s="543" t="s">
        <v>1913</v>
      </c>
      <c r="CM115" s="528" t="s">
        <v>1907</v>
      </c>
      <c r="CN115" s="528" t="s">
        <v>1849</v>
      </c>
      <c r="CO115" s="528" t="s">
        <v>1849</v>
      </c>
      <c r="CP115" s="579">
        <f>U115</f>
        <v>35520687.339999996</v>
      </c>
      <c r="CQ115" s="579"/>
      <c r="CR115" s="579"/>
      <c r="CS115" s="1727"/>
      <c r="CT115" s="1728"/>
      <c r="CU115" s="1728"/>
      <c r="CV115" s="1728"/>
      <c r="CW115" s="1729"/>
      <c r="CX115" s="528"/>
      <c r="CY115" s="528"/>
      <c r="CZ115" s="528"/>
      <c r="DA115" s="528"/>
      <c r="DB115" s="579">
        <v>9562630.8000000007</v>
      </c>
      <c r="DC115" s="628" t="e">
        <f>P115-#REF!</f>
        <v>#REF!</v>
      </c>
      <c r="DD115" s="535"/>
      <c r="DE115" s="535"/>
      <c r="DF115" s="576">
        <f t="shared" si="211"/>
        <v>42917.599179999997</v>
      </c>
      <c r="DG115" s="576">
        <f t="shared" si="211"/>
        <v>11.83981</v>
      </c>
      <c r="DH115" s="576">
        <f t="shared" si="211"/>
        <v>19.65897</v>
      </c>
      <c r="DI115" s="522">
        <f t="shared" si="209"/>
        <v>42949.097959999999</v>
      </c>
      <c r="DJ115" s="536"/>
      <c r="DK115" s="536"/>
      <c r="DL115" s="536"/>
      <c r="DM115" s="536"/>
      <c r="DN115" s="536"/>
      <c r="DO115" s="536"/>
      <c r="DP115" s="536"/>
      <c r="DQ115" s="536"/>
      <c r="DR115" s="536"/>
      <c r="DS115" s="536"/>
    </row>
    <row r="116" spans="1:123" s="534" customFormat="1" ht="84.6">
      <c r="A116" s="537" t="s">
        <v>409</v>
      </c>
      <c r="B116" s="538" t="s">
        <v>410</v>
      </c>
      <c r="C116" s="576"/>
      <c r="D116" s="576"/>
      <c r="E116" s="576"/>
      <c r="F116" s="576"/>
      <c r="G116" s="632"/>
      <c r="H116" s="577">
        <v>0</v>
      </c>
      <c r="I116" s="576">
        <f t="shared" si="198"/>
        <v>126567.43</v>
      </c>
      <c r="J116" s="576">
        <v>25448.25</v>
      </c>
      <c r="K116" s="576">
        <v>40000</v>
      </c>
      <c r="L116" s="576">
        <v>61119.18</v>
      </c>
      <c r="M116" s="576">
        <f t="shared" si="199"/>
        <v>65448.25</v>
      </c>
      <c r="N116" s="576">
        <v>25448.25</v>
      </c>
      <c r="O116" s="525">
        <f t="shared" si="200"/>
        <v>17487.43</v>
      </c>
      <c r="P116" s="522">
        <v>42935.68</v>
      </c>
      <c r="Q116" s="576">
        <f t="shared" si="151"/>
        <v>-83631.75</v>
      </c>
      <c r="R116" s="576">
        <f t="shared" si="152"/>
        <v>-66.076833510801322</v>
      </c>
      <c r="S116" s="576">
        <v>0</v>
      </c>
      <c r="T116" s="576">
        <v>0</v>
      </c>
      <c r="U116" s="522">
        <f t="shared" si="201"/>
        <v>129953.76</v>
      </c>
      <c r="V116" s="522">
        <f t="shared" si="149"/>
        <v>129953.76</v>
      </c>
      <c r="W116" s="522">
        <v>0</v>
      </c>
      <c r="X116" s="522">
        <f t="shared" si="154"/>
        <v>87018.079999999987</v>
      </c>
      <c r="Y116" s="522">
        <f t="shared" si="155"/>
        <v>202.67078569618553</v>
      </c>
      <c r="Z116" s="524">
        <f t="shared" si="156"/>
        <v>129953.76</v>
      </c>
      <c r="AA116" s="522">
        <f t="shared" si="157"/>
        <v>129953.76</v>
      </c>
      <c r="AB116" s="522">
        <v>0</v>
      </c>
      <c r="AC116" s="522">
        <f t="shared" si="159"/>
        <v>0</v>
      </c>
      <c r="AD116" s="522">
        <f t="shared" si="160"/>
        <v>0</v>
      </c>
      <c r="AE116" s="522">
        <f t="shared" si="161"/>
        <v>87018.079999999987</v>
      </c>
      <c r="AF116" s="522">
        <f t="shared" si="162"/>
        <v>202.67078569618553</v>
      </c>
      <c r="AG116" s="522">
        <f t="shared" si="177"/>
        <v>25400</v>
      </c>
      <c r="AH116" s="522">
        <f t="shared" si="163"/>
        <v>-104553.76</v>
      </c>
      <c r="AI116" s="522">
        <f t="shared" si="164"/>
        <v>-80.454586308237637</v>
      </c>
      <c r="AJ116" s="522">
        <f t="shared" si="165"/>
        <v>-104553.76</v>
      </c>
      <c r="AK116" s="522">
        <f t="shared" si="212"/>
        <v>-80.454586308237637</v>
      </c>
      <c r="AL116" s="522">
        <f t="shared" si="202"/>
        <v>25400</v>
      </c>
      <c r="AM116" s="522">
        <f t="shared" si="192"/>
        <v>0</v>
      </c>
      <c r="AN116" s="522">
        <f t="shared" si="192"/>
        <v>0</v>
      </c>
      <c r="AO116" s="522">
        <f t="shared" si="166"/>
        <v>0</v>
      </c>
      <c r="AP116" s="522">
        <v>0</v>
      </c>
      <c r="AQ116" s="578">
        <v>0</v>
      </c>
      <c r="AR116" s="578">
        <v>0</v>
      </c>
      <c r="AS116" s="578">
        <v>0</v>
      </c>
      <c r="AT116" s="578">
        <v>0</v>
      </c>
      <c r="AU116" s="578">
        <f t="shared" si="208"/>
        <v>129953.76</v>
      </c>
      <c r="AV116" s="578">
        <f t="shared" si="208"/>
        <v>129953.76</v>
      </c>
      <c r="AW116" s="578">
        <f t="shared" si="167"/>
        <v>0</v>
      </c>
      <c r="AX116" s="578">
        <f t="shared" si="168"/>
        <v>0</v>
      </c>
      <c r="AY116" s="578">
        <f t="shared" si="210"/>
        <v>25400</v>
      </c>
      <c r="AZ116" s="578">
        <f t="shared" si="169"/>
        <v>104553.76</v>
      </c>
      <c r="BA116" s="578">
        <f t="shared" si="170"/>
        <v>411.62897637795277</v>
      </c>
      <c r="BB116" s="578">
        <v>129953.76</v>
      </c>
      <c r="BC116" s="576">
        <f>'[67]Гл инж_Тех дир'!AT95</f>
        <v>129953.76</v>
      </c>
      <c r="BD116" s="576">
        <f t="shared" si="203"/>
        <v>25400</v>
      </c>
      <c r="BE116" s="576">
        <f t="shared" si="171"/>
        <v>-104553.76</v>
      </c>
      <c r="BF116" s="576">
        <f t="shared" si="172"/>
        <v>-104553.76</v>
      </c>
      <c r="BG116" s="576">
        <f t="shared" si="150"/>
        <v>129953.76</v>
      </c>
      <c r="BH116" s="578">
        <f t="shared" si="150"/>
        <v>129953.76</v>
      </c>
      <c r="BI116" s="578">
        <v>25400</v>
      </c>
      <c r="BJ116" s="578">
        <f t="shared" si="173"/>
        <v>-104553.76</v>
      </c>
      <c r="BK116" s="578">
        <f t="shared" si="174"/>
        <v>-104553.76</v>
      </c>
      <c r="BL116" s="576">
        <v>0</v>
      </c>
      <c r="BM116" s="578">
        <f>'[67]Гл инж_Тех дир'!AW95</f>
        <v>0</v>
      </c>
      <c r="BN116" s="522">
        <f t="shared" si="204"/>
        <v>0</v>
      </c>
      <c r="BO116" s="578">
        <f t="shared" si="181"/>
        <v>0</v>
      </c>
      <c r="BP116" s="578">
        <f t="shared" si="175"/>
        <v>0</v>
      </c>
      <c r="BQ116" s="576">
        <v>0</v>
      </c>
      <c r="BR116" s="578">
        <f>'[67]Гл инж_Тех дир'!BB95</f>
        <v>0</v>
      </c>
      <c r="BS116" s="578">
        <f>'[67]Гл инж_Тех дир'!BC95</f>
        <v>0</v>
      </c>
      <c r="BT116" s="536"/>
      <c r="BU116" s="578"/>
      <c r="BV116" s="578">
        <v>25400</v>
      </c>
      <c r="BW116" s="578"/>
      <c r="BX116" s="629"/>
      <c r="BY116" s="576">
        <v>25400</v>
      </c>
      <c r="BZ116" s="576"/>
      <c r="CA116" s="576"/>
      <c r="CB116" s="522">
        <f t="shared" ref="CB116:CB179" si="213">SUM(BY116:CA116)</f>
        <v>25400</v>
      </c>
      <c r="CC116" s="578">
        <f t="shared" si="176"/>
        <v>0</v>
      </c>
      <c r="CD116" s="578"/>
      <c r="CE116" s="578"/>
      <c r="CF116" s="578"/>
      <c r="CG116" s="578"/>
      <c r="CH116" s="578"/>
      <c r="CI116" s="578"/>
      <c r="CJ116" s="578"/>
      <c r="CK116" s="542" t="s">
        <v>79</v>
      </c>
      <c r="CL116" s="543" t="s">
        <v>1913</v>
      </c>
      <c r="CM116" s="528" t="s">
        <v>1907</v>
      </c>
      <c r="CN116" s="528" t="s">
        <v>1849</v>
      </c>
      <c r="CO116" s="528" t="s">
        <v>1849</v>
      </c>
      <c r="CP116" s="579">
        <f>U116</f>
        <v>129953.76</v>
      </c>
      <c r="CQ116" s="579"/>
      <c r="CR116" s="579"/>
      <c r="CS116" s="1727"/>
      <c r="CT116" s="1728"/>
      <c r="CU116" s="1728"/>
      <c r="CV116" s="1728"/>
      <c r="CW116" s="1729"/>
      <c r="CX116" s="528"/>
      <c r="CY116" s="528"/>
      <c r="CZ116" s="528"/>
      <c r="DA116" s="528"/>
      <c r="DB116" s="579"/>
      <c r="DC116" s="628" t="e">
        <f>P116-#REF!</f>
        <v>#REF!</v>
      </c>
      <c r="DD116" s="535"/>
      <c r="DE116" s="535"/>
      <c r="DF116" s="576">
        <f t="shared" si="211"/>
        <v>25.4</v>
      </c>
      <c r="DG116" s="576">
        <f t="shared" si="211"/>
        <v>0</v>
      </c>
      <c r="DH116" s="576">
        <f t="shared" si="211"/>
        <v>0</v>
      </c>
      <c r="DI116" s="522">
        <f t="shared" si="209"/>
        <v>25.4</v>
      </c>
      <c r="DJ116" s="536"/>
      <c r="DK116" s="536"/>
      <c r="DL116" s="536"/>
      <c r="DM116" s="536"/>
      <c r="DN116" s="536"/>
      <c r="DO116" s="536"/>
      <c r="DP116" s="536"/>
      <c r="DQ116" s="536"/>
      <c r="DR116" s="536"/>
      <c r="DS116" s="536"/>
    </row>
    <row r="117" spans="1:123" s="534" customFormat="1" ht="94.5" customHeight="1">
      <c r="A117" s="537" t="s">
        <v>413</v>
      </c>
      <c r="B117" s="538" t="s">
        <v>414</v>
      </c>
      <c r="C117" s="576"/>
      <c r="D117" s="576"/>
      <c r="E117" s="576"/>
      <c r="F117" s="576"/>
      <c r="G117" s="627"/>
      <c r="H117" s="577">
        <v>0</v>
      </c>
      <c r="I117" s="576">
        <f t="shared" si="198"/>
        <v>2155194.2799999998</v>
      </c>
      <c r="J117" s="576">
        <v>1401309.13</v>
      </c>
      <c r="K117" s="576">
        <v>253885.15</v>
      </c>
      <c r="L117" s="576">
        <v>500000</v>
      </c>
      <c r="M117" s="576">
        <f t="shared" si="199"/>
        <v>1655194.2799999998</v>
      </c>
      <c r="N117" s="576">
        <v>1954619.34</v>
      </c>
      <c r="O117" s="525">
        <f t="shared" si="200"/>
        <v>1599138.2</v>
      </c>
      <c r="P117" s="522">
        <v>3553757.54</v>
      </c>
      <c r="Q117" s="576">
        <f t="shared" si="151"/>
        <v>1398563.2600000002</v>
      </c>
      <c r="R117" s="576">
        <f t="shared" si="152"/>
        <v>64.892676868091939</v>
      </c>
      <c r="S117" s="576">
        <v>0</v>
      </c>
      <c r="T117" s="576">
        <v>0</v>
      </c>
      <c r="U117" s="522">
        <f t="shared" si="201"/>
        <v>1265109.19</v>
      </c>
      <c r="V117" s="522">
        <f t="shared" si="149"/>
        <v>1265109.19</v>
      </c>
      <c r="W117" s="522">
        <v>0</v>
      </c>
      <c r="X117" s="522">
        <f t="shared" si="154"/>
        <v>-2288648.35</v>
      </c>
      <c r="Y117" s="522">
        <f t="shared" si="155"/>
        <v>-64.400801805966765</v>
      </c>
      <c r="Z117" s="524">
        <f t="shared" si="156"/>
        <v>1265109.19</v>
      </c>
      <c r="AA117" s="522">
        <f t="shared" si="157"/>
        <v>1265109.19</v>
      </c>
      <c r="AB117" s="522">
        <v>0</v>
      </c>
      <c r="AC117" s="522">
        <f t="shared" si="159"/>
        <v>0</v>
      </c>
      <c r="AD117" s="522">
        <f t="shared" si="160"/>
        <v>0</v>
      </c>
      <c r="AE117" s="522">
        <f t="shared" si="161"/>
        <v>-2288648.35</v>
      </c>
      <c r="AF117" s="522">
        <f t="shared" si="162"/>
        <v>-64.400801805966765</v>
      </c>
      <c r="AG117" s="522">
        <f t="shared" si="177"/>
        <v>2002871.97</v>
      </c>
      <c r="AH117" s="522">
        <f t="shared" si="163"/>
        <v>737762.78</v>
      </c>
      <c r="AI117" s="522">
        <f t="shared" si="164"/>
        <v>58.316134751973465</v>
      </c>
      <c r="AJ117" s="522">
        <f t="shared" si="165"/>
        <v>737762.78</v>
      </c>
      <c r="AK117" s="522">
        <f t="shared" si="212"/>
        <v>58.316134751973465</v>
      </c>
      <c r="AL117" s="522">
        <f t="shared" si="202"/>
        <v>2002871.97</v>
      </c>
      <c r="AM117" s="522">
        <f t="shared" si="192"/>
        <v>587436.4</v>
      </c>
      <c r="AN117" s="522">
        <f t="shared" si="192"/>
        <v>706704.51</v>
      </c>
      <c r="AO117" s="522">
        <f t="shared" si="166"/>
        <v>119268.10999999999</v>
      </c>
      <c r="AP117" s="522">
        <f t="shared" si="178"/>
        <v>20.303152817905044</v>
      </c>
      <c r="AQ117" s="578">
        <v>248600</v>
      </c>
      <c r="AR117" s="578">
        <v>306132.46000000002</v>
      </c>
      <c r="AS117" s="578">
        <v>338836.4</v>
      </c>
      <c r="AT117" s="578">
        <v>400572.05</v>
      </c>
      <c r="AU117" s="578">
        <f t="shared" si="208"/>
        <v>677672.79</v>
      </c>
      <c r="AV117" s="578">
        <f t="shared" si="208"/>
        <v>558404.68000000005</v>
      </c>
      <c r="AW117" s="578">
        <f t="shared" si="167"/>
        <v>-119268.10999999999</v>
      </c>
      <c r="AX117" s="578">
        <f t="shared" si="168"/>
        <v>-17.599660449698746</v>
      </c>
      <c r="AY117" s="578">
        <f t="shared" si="210"/>
        <v>1296167.46</v>
      </c>
      <c r="AZ117" s="578">
        <f t="shared" si="169"/>
        <v>-737762.77999999991</v>
      </c>
      <c r="BA117" s="578">
        <f t="shared" si="170"/>
        <v>-56.918785787138951</v>
      </c>
      <c r="BB117" s="578">
        <v>338836.4</v>
      </c>
      <c r="BC117" s="576">
        <f>'[67]Гл инж_Тех дир'!AT96</f>
        <v>338836.4</v>
      </c>
      <c r="BD117" s="576">
        <f t="shared" si="203"/>
        <v>656936.08000000007</v>
      </c>
      <c r="BE117" s="576">
        <f t="shared" si="171"/>
        <v>318099.68000000005</v>
      </c>
      <c r="BF117" s="576">
        <f t="shared" si="172"/>
        <v>318099.68000000005</v>
      </c>
      <c r="BG117" s="576">
        <f t="shared" si="150"/>
        <v>926272.8</v>
      </c>
      <c r="BH117" s="578">
        <f t="shared" si="150"/>
        <v>1045540.91</v>
      </c>
      <c r="BI117" s="578">
        <f>1345808.09+17832.5</f>
        <v>1363640.59</v>
      </c>
      <c r="BJ117" s="578">
        <f t="shared" si="173"/>
        <v>437367.79000000004</v>
      </c>
      <c r="BK117" s="578">
        <f t="shared" si="174"/>
        <v>318099.68000000005</v>
      </c>
      <c r="BL117" s="576">
        <v>338836.39</v>
      </c>
      <c r="BM117" s="578">
        <f>'[67]Гл инж_Тех дир'!AW96</f>
        <v>219568.28</v>
      </c>
      <c r="BN117" s="522">
        <f t="shared" si="204"/>
        <v>639231.37999999989</v>
      </c>
      <c r="BO117" s="578">
        <f t="shared" si="181"/>
        <v>300394.98999999987</v>
      </c>
      <c r="BP117" s="578">
        <f t="shared" si="175"/>
        <v>419663.09999999986</v>
      </c>
      <c r="BQ117" s="576">
        <v>338836.39</v>
      </c>
      <c r="BR117" s="578">
        <f>'[67]Гл инж_Тех дир'!BB96</f>
        <v>0</v>
      </c>
      <c r="BS117" s="578">
        <f>'[67]Гл инж_Тех дир'!BC96</f>
        <v>0</v>
      </c>
      <c r="BT117" s="536"/>
      <c r="BU117" s="578">
        <v>1984539.47</v>
      </c>
      <c r="BV117" s="578">
        <v>18332.5</v>
      </c>
      <c r="BW117" s="578"/>
      <c r="BX117" s="629"/>
      <c r="BY117" s="576">
        <f>1823531.73+18332.5</f>
        <v>1841864.23</v>
      </c>
      <c r="BZ117" s="576">
        <v>138510.54</v>
      </c>
      <c r="CA117" s="576">
        <v>22497.200000000001</v>
      </c>
      <c r="CB117" s="522">
        <f t="shared" si="213"/>
        <v>2002871.97</v>
      </c>
      <c r="CC117" s="578">
        <f t="shared" si="176"/>
        <v>0</v>
      </c>
      <c r="CD117" s="578"/>
      <c r="CE117" s="578"/>
      <c r="CF117" s="578"/>
      <c r="CG117" s="578"/>
      <c r="CH117" s="578"/>
      <c r="CI117" s="578"/>
      <c r="CJ117" s="578"/>
      <c r="CK117" s="542" t="s">
        <v>79</v>
      </c>
      <c r="CL117" s="543" t="s">
        <v>1913</v>
      </c>
      <c r="CM117" s="528" t="s">
        <v>1907</v>
      </c>
      <c r="CN117" s="528" t="s">
        <v>1849</v>
      </c>
      <c r="CO117" s="528" t="s">
        <v>1849</v>
      </c>
      <c r="CP117" s="579">
        <f>U117</f>
        <v>1265109.19</v>
      </c>
      <c r="CQ117" s="579"/>
      <c r="CR117" s="579"/>
      <c r="CS117" s="1727"/>
      <c r="CT117" s="1728"/>
      <c r="CU117" s="1728"/>
      <c r="CV117" s="1728"/>
      <c r="CW117" s="1729"/>
      <c r="CX117" s="528"/>
      <c r="CY117" s="528"/>
      <c r="CZ117" s="528"/>
      <c r="DA117" s="528"/>
      <c r="DB117" s="579">
        <f>306132.46</f>
        <v>306132.46000000002</v>
      </c>
      <c r="DC117" s="628" t="e">
        <f>P117-#REF!</f>
        <v>#REF!</v>
      </c>
      <c r="DD117" s="535"/>
      <c r="DE117" s="535"/>
      <c r="DF117" s="576">
        <f t="shared" si="211"/>
        <v>1841.8642299999999</v>
      </c>
      <c r="DG117" s="576">
        <f t="shared" si="211"/>
        <v>138.51054000000002</v>
      </c>
      <c r="DH117" s="576">
        <f t="shared" si="211"/>
        <v>22.497199999999999</v>
      </c>
      <c r="DI117" s="522">
        <f t="shared" si="209"/>
        <v>2002.8719699999999</v>
      </c>
      <c r="DJ117" s="536"/>
      <c r="DK117" s="536"/>
      <c r="DL117" s="536"/>
      <c r="DM117" s="536"/>
      <c r="DN117" s="536"/>
      <c r="DO117" s="536"/>
      <c r="DP117" s="536"/>
      <c r="DQ117" s="536"/>
      <c r="DR117" s="536"/>
      <c r="DS117" s="536"/>
    </row>
    <row r="118" spans="1:123" s="534" customFormat="1" ht="56.4">
      <c r="A118" s="537" t="s">
        <v>422</v>
      </c>
      <c r="B118" s="538" t="s">
        <v>423</v>
      </c>
      <c r="C118" s="576"/>
      <c r="D118" s="576"/>
      <c r="E118" s="576">
        <v>0</v>
      </c>
      <c r="F118" s="576">
        <v>300252.06</v>
      </c>
      <c r="G118" s="631">
        <v>12333748.384166593</v>
      </c>
      <c r="H118" s="577">
        <v>0</v>
      </c>
      <c r="I118" s="576">
        <f t="shared" si="198"/>
        <v>150068.89000000001</v>
      </c>
      <c r="J118" s="576">
        <v>111645.32</v>
      </c>
      <c r="K118" s="576">
        <v>17538.560000000001</v>
      </c>
      <c r="L118" s="576">
        <v>20885.009999999998</v>
      </c>
      <c r="M118" s="576">
        <f t="shared" si="199"/>
        <v>129183.88</v>
      </c>
      <c r="N118" s="576">
        <v>128408.03</v>
      </c>
      <c r="O118" s="525">
        <f t="shared" si="200"/>
        <v>266303.59999999998</v>
      </c>
      <c r="P118" s="522">
        <v>394711.63</v>
      </c>
      <c r="Q118" s="576">
        <f t="shared" si="151"/>
        <v>244642.74</v>
      </c>
      <c r="R118" s="576">
        <f t="shared" si="152"/>
        <v>163.02029021471401</v>
      </c>
      <c r="S118" s="576">
        <v>334280</v>
      </c>
      <c r="T118" s="576">
        <v>334280</v>
      </c>
      <c r="U118" s="522">
        <f t="shared" si="201"/>
        <v>166736.5</v>
      </c>
      <c r="V118" s="522">
        <f t="shared" si="149"/>
        <v>-167543.5</v>
      </c>
      <c r="W118" s="522">
        <f t="shared" si="153"/>
        <v>-50.120707191575924</v>
      </c>
      <c r="X118" s="522">
        <f t="shared" si="154"/>
        <v>-227975.13</v>
      </c>
      <c r="Y118" s="522">
        <f t="shared" si="155"/>
        <v>-57.757388602914993</v>
      </c>
      <c r="Z118" s="524">
        <f t="shared" si="156"/>
        <v>449721.74000000005</v>
      </c>
      <c r="AA118" s="522">
        <f t="shared" si="157"/>
        <v>115441.74000000005</v>
      </c>
      <c r="AB118" s="522">
        <f t="shared" si="158"/>
        <v>34.534444178532965</v>
      </c>
      <c r="AC118" s="522">
        <f t="shared" si="159"/>
        <v>282985.24000000005</v>
      </c>
      <c r="AD118" s="522">
        <f t="shared" si="160"/>
        <v>169.72003130688245</v>
      </c>
      <c r="AE118" s="522">
        <f t="shared" si="161"/>
        <v>55010.110000000044</v>
      </c>
      <c r="AF118" s="522">
        <f t="shared" si="162"/>
        <v>13.936784685062364</v>
      </c>
      <c r="AG118" s="522">
        <f t="shared" si="177"/>
        <v>11700155.110000001</v>
      </c>
      <c r="AH118" s="522">
        <f t="shared" si="163"/>
        <v>11533418.610000001</v>
      </c>
      <c r="AI118" s="522">
        <f t="shared" si="164"/>
        <v>6917.1528789437234</v>
      </c>
      <c r="AJ118" s="522">
        <f t="shared" si="165"/>
        <v>11250433.370000001</v>
      </c>
      <c r="AK118" s="522">
        <f t="shared" si="212"/>
        <v>2501.6432094210077</v>
      </c>
      <c r="AL118" s="522">
        <f t="shared" si="202"/>
        <v>11700155.110000001</v>
      </c>
      <c r="AM118" s="522">
        <f t="shared" si="192"/>
        <v>93145.46</v>
      </c>
      <c r="AN118" s="522">
        <f t="shared" si="192"/>
        <v>376130.70000000007</v>
      </c>
      <c r="AO118" s="522">
        <f t="shared" si="166"/>
        <v>282985.24000000005</v>
      </c>
      <c r="AP118" s="522">
        <f t="shared" si="178"/>
        <v>303.81001929670003</v>
      </c>
      <c r="AQ118" s="578">
        <f>0+31779.66</f>
        <v>31779.66</v>
      </c>
      <c r="AR118" s="578">
        <v>48847.53</v>
      </c>
      <c r="AS118" s="578">
        <v>61365.8</v>
      </c>
      <c r="AT118" s="578">
        <v>327283.17000000004</v>
      </c>
      <c r="AU118" s="578">
        <f t="shared" si="208"/>
        <v>73591.039999999994</v>
      </c>
      <c r="AV118" s="578">
        <f t="shared" si="208"/>
        <v>73591.039999999994</v>
      </c>
      <c r="AW118" s="578">
        <f t="shared" si="167"/>
        <v>0</v>
      </c>
      <c r="AX118" s="578">
        <f t="shared" si="168"/>
        <v>0</v>
      </c>
      <c r="AY118" s="578">
        <f t="shared" si="210"/>
        <v>11324024.410000002</v>
      </c>
      <c r="AZ118" s="578">
        <f t="shared" si="169"/>
        <v>-11250433.370000003</v>
      </c>
      <c r="BA118" s="578">
        <f t="shared" si="170"/>
        <v>-99.350133509646852</v>
      </c>
      <c r="BB118" s="578">
        <v>73591.039999999994</v>
      </c>
      <c r="BC118" s="576">
        <f>'[67]Гл инж_Тех дир'!AT97</f>
        <v>73591.039999999994</v>
      </c>
      <c r="BD118" s="576">
        <f t="shared" si="203"/>
        <v>9039567.1800000016</v>
      </c>
      <c r="BE118" s="576">
        <f t="shared" si="171"/>
        <v>8965976.1400000025</v>
      </c>
      <c r="BF118" s="576">
        <f t="shared" si="172"/>
        <v>8965976.1400000025</v>
      </c>
      <c r="BG118" s="576">
        <f t="shared" si="150"/>
        <v>166736.5</v>
      </c>
      <c r="BH118" s="578">
        <f t="shared" si="150"/>
        <v>449721.74000000005</v>
      </c>
      <c r="BI118" s="578">
        <v>9415697.8800000008</v>
      </c>
      <c r="BJ118" s="578">
        <f t="shared" si="173"/>
        <v>9248961.3800000008</v>
      </c>
      <c r="BK118" s="578">
        <f t="shared" si="174"/>
        <v>8965976.1400000006</v>
      </c>
      <c r="BL118" s="576">
        <v>0</v>
      </c>
      <c r="BM118" s="578">
        <f>'[67]Гл инж_Тех дир'!AW97</f>
        <v>0</v>
      </c>
      <c r="BN118" s="522">
        <f t="shared" si="204"/>
        <v>2284457.2300000004</v>
      </c>
      <c r="BO118" s="578">
        <f t="shared" si="181"/>
        <v>2284457.2300000004</v>
      </c>
      <c r="BP118" s="578">
        <f t="shared" si="175"/>
        <v>2284457.2300000004</v>
      </c>
      <c r="BQ118" s="576">
        <v>0</v>
      </c>
      <c r="BR118" s="578">
        <f>'[67]Гл инж_Тех дир'!BB97</f>
        <v>0</v>
      </c>
      <c r="BS118" s="578">
        <f>'[67]Гл инж_Тех дир'!BC97</f>
        <v>0</v>
      </c>
      <c r="BT118" s="536"/>
      <c r="BU118" s="578">
        <v>11156406.73</v>
      </c>
      <c r="BV118" s="578">
        <v>543748.38</v>
      </c>
      <c r="BW118" s="578"/>
      <c r="BX118" s="629"/>
      <c r="BY118" s="525">
        <f>11155244.79+543748.38</f>
        <v>11698993.17</v>
      </c>
      <c r="BZ118" s="525">
        <v>727.27</v>
      </c>
      <c r="CA118" s="525">
        <v>434.67</v>
      </c>
      <c r="CB118" s="522">
        <f t="shared" si="213"/>
        <v>11700155.109999999</v>
      </c>
      <c r="CC118" s="522">
        <f t="shared" si="176"/>
        <v>0</v>
      </c>
      <c r="CD118" s="578"/>
      <c r="CE118" s="578"/>
      <c r="CF118" s="578"/>
      <c r="CG118" s="578"/>
      <c r="CH118" s="578"/>
      <c r="CI118" s="578"/>
      <c r="CJ118" s="578"/>
      <c r="CK118" s="542" t="s">
        <v>79</v>
      </c>
      <c r="CL118" s="543" t="s">
        <v>1913</v>
      </c>
      <c r="CM118" s="528" t="s">
        <v>1907</v>
      </c>
      <c r="CN118" s="528"/>
      <c r="CO118" s="528"/>
      <c r="CP118" s="544">
        <f t="shared" ref="CP118:CP132" si="214">U118*$CU$7/100</f>
        <v>153834.50470793041</v>
      </c>
      <c r="CQ118" s="544">
        <f t="shared" ref="CQ118:CQ132" si="215">U118*$CU$8/100</f>
        <v>11299.646242747342</v>
      </c>
      <c r="CR118" s="544">
        <f t="shared" ref="CR118:CR132" si="216">U118*$CU$9/100</f>
        <v>1602.3490493222532</v>
      </c>
      <c r="CS118" s="1709" t="s">
        <v>1826</v>
      </c>
      <c r="CT118" s="1710"/>
      <c r="CU118" s="1710"/>
      <c r="CV118" s="1710"/>
      <c r="CW118" s="1711"/>
      <c r="CX118" s="528"/>
      <c r="CY118" s="528"/>
      <c r="CZ118" s="528"/>
      <c r="DA118" s="528"/>
      <c r="DB118" s="579">
        <f>48847.53</f>
        <v>48847.53</v>
      </c>
      <c r="DC118" s="628" t="e">
        <f>P118-#REF!</f>
        <v>#REF!</v>
      </c>
      <c r="DD118" s="535"/>
      <c r="DE118" s="535"/>
      <c r="DF118" s="525">
        <f t="shared" si="211"/>
        <v>11698.99317</v>
      </c>
      <c r="DG118" s="525">
        <f t="shared" si="211"/>
        <v>0.72726999999999997</v>
      </c>
      <c r="DH118" s="525">
        <f t="shared" si="211"/>
        <v>0.43467</v>
      </c>
      <c r="DI118" s="522">
        <f t="shared" si="209"/>
        <v>11700.15511</v>
      </c>
      <c r="DJ118" s="536"/>
      <c r="DK118" s="536"/>
      <c r="DL118" s="536"/>
      <c r="DM118" s="536"/>
      <c r="DN118" s="536"/>
      <c r="DO118" s="536"/>
      <c r="DP118" s="536"/>
      <c r="DQ118" s="536"/>
      <c r="DR118" s="536"/>
      <c r="DS118" s="536"/>
    </row>
    <row r="119" spans="1:123" s="534" customFormat="1" ht="63" customHeight="1">
      <c r="A119" s="537" t="s">
        <v>427</v>
      </c>
      <c r="B119" s="538" t="s">
        <v>428</v>
      </c>
      <c r="C119" s="576">
        <v>708860.1</v>
      </c>
      <c r="D119" s="576">
        <v>671898.87</v>
      </c>
      <c r="E119" s="525">
        <v>500000</v>
      </c>
      <c r="F119" s="525">
        <v>716410.52</v>
      </c>
      <c r="G119" s="596">
        <v>709464.75791660813</v>
      </c>
      <c r="H119" s="596">
        <v>0</v>
      </c>
      <c r="I119" s="525">
        <f t="shared" si="198"/>
        <v>863608.52</v>
      </c>
      <c r="J119" s="525">
        <v>411143.76</v>
      </c>
      <c r="K119" s="525">
        <v>271464.76</v>
      </c>
      <c r="L119" s="525">
        <v>181000</v>
      </c>
      <c r="M119" s="525">
        <f t="shared" si="199"/>
        <v>682608.52</v>
      </c>
      <c r="N119" s="525">
        <v>913462.07</v>
      </c>
      <c r="O119" s="525">
        <f t="shared" si="200"/>
        <v>608232.62</v>
      </c>
      <c r="P119" s="522">
        <f>70+1521624.69</f>
        <v>1521694.69</v>
      </c>
      <c r="Q119" s="525">
        <f t="shared" si="151"/>
        <v>658086.16999999993</v>
      </c>
      <c r="R119" s="525">
        <f t="shared" si="152"/>
        <v>76.20190801267222</v>
      </c>
      <c r="S119" s="525">
        <v>748485.3196020216</v>
      </c>
      <c r="T119" s="525">
        <v>748485.3196020216</v>
      </c>
      <c r="U119" s="522">
        <f t="shared" si="201"/>
        <v>1094000</v>
      </c>
      <c r="V119" s="522">
        <f t="shared" si="149"/>
        <v>345514.6803979784</v>
      </c>
      <c r="W119" s="522">
        <f t="shared" si="153"/>
        <v>46.161851321505225</v>
      </c>
      <c r="X119" s="522">
        <f t="shared" si="154"/>
        <v>-427694.68999999994</v>
      </c>
      <c r="Y119" s="522">
        <f t="shared" si="155"/>
        <v>-28.106471870516941</v>
      </c>
      <c r="Z119" s="524">
        <f t="shared" si="156"/>
        <v>1282126.72</v>
      </c>
      <c r="AA119" s="522">
        <f t="shared" si="157"/>
        <v>533641.40039797837</v>
      </c>
      <c r="AB119" s="522">
        <f t="shared" si="158"/>
        <v>71.296174610575093</v>
      </c>
      <c r="AC119" s="522">
        <f t="shared" si="159"/>
        <v>188126.71999999997</v>
      </c>
      <c r="AD119" s="522">
        <f t="shared" si="160"/>
        <v>17.196226691042042</v>
      </c>
      <c r="AE119" s="522">
        <f t="shared" si="161"/>
        <v>-239567.96999999997</v>
      </c>
      <c r="AF119" s="522">
        <f t="shared" si="162"/>
        <v>-15.743497797182954</v>
      </c>
      <c r="AG119" s="522">
        <f t="shared" si="177"/>
        <v>1465756.6700000002</v>
      </c>
      <c r="AH119" s="522">
        <f t="shared" si="163"/>
        <v>371756.67000000016</v>
      </c>
      <c r="AI119" s="522">
        <f t="shared" si="164"/>
        <v>33.981414076782471</v>
      </c>
      <c r="AJ119" s="522">
        <f t="shared" si="165"/>
        <v>183629.95000000019</v>
      </c>
      <c r="AK119" s="522">
        <f t="shared" si="212"/>
        <v>14.322293353343426</v>
      </c>
      <c r="AL119" s="522">
        <f t="shared" si="202"/>
        <v>1465756.6700000002</v>
      </c>
      <c r="AM119" s="522">
        <f t="shared" si="192"/>
        <v>692000</v>
      </c>
      <c r="AN119" s="522">
        <f t="shared" si="192"/>
        <v>880126.72</v>
      </c>
      <c r="AO119" s="522">
        <f t="shared" si="166"/>
        <v>188126.71999999997</v>
      </c>
      <c r="AP119" s="522">
        <f t="shared" si="178"/>
        <v>27.185942196531784</v>
      </c>
      <c r="AQ119" s="522">
        <v>74000</v>
      </c>
      <c r="AR119" s="522">
        <v>198631.2</v>
      </c>
      <c r="AS119" s="522">
        <v>618000</v>
      </c>
      <c r="AT119" s="522">
        <v>681495.52</v>
      </c>
      <c r="AU119" s="522">
        <f t="shared" si="208"/>
        <v>402000</v>
      </c>
      <c r="AV119" s="522">
        <f t="shared" si="208"/>
        <v>402000</v>
      </c>
      <c r="AW119" s="522">
        <f t="shared" si="167"/>
        <v>0</v>
      </c>
      <c r="AX119" s="522">
        <f t="shared" si="168"/>
        <v>0</v>
      </c>
      <c r="AY119" s="522">
        <f t="shared" si="210"/>
        <v>585629.95000000019</v>
      </c>
      <c r="AZ119" s="522">
        <f t="shared" si="169"/>
        <v>-183629.95000000019</v>
      </c>
      <c r="BA119" s="522">
        <f t="shared" si="170"/>
        <v>-31.35596975530369</v>
      </c>
      <c r="BB119" s="522">
        <v>301000</v>
      </c>
      <c r="BC119" s="525">
        <f>'[67]Дир_ по реал.услуг'!AT22</f>
        <v>301000</v>
      </c>
      <c r="BD119" s="525">
        <f t="shared" si="203"/>
        <v>226086.18000000017</v>
      </c>
      <c r="BE119" s="525">
        <f t="shared" si="171"/>
        <v>-74913.819999999832</v>
      </c>
      <c r="BF119" s="525">
        <f t="shared" si="172"/>
        <v>-74913.819999999832</v>
      </c>
      <c r="BG119" s="525">
        <f t="shared" si="150"/>
        <v>993000</v>
      </c>
      <c r="BH119" s="522">
        <f t="shared" si="150"/>
        <v>1181126.72</v>
      </c>
      <c r="BI119" s="522">
        <f>1106022.84+190.06</f>
        <v>1106212.9000000001</v>
      </c>
      <c r="BJ119" s="522">
        <f t="shared" si="173"/>
        <v>113212.90000000014</v>
      </c>
      <c r="BK119" s="522">
        <f t="shared" si="174"/>
        <v>-74913.819999999832</v>
      </c>
      <c r="BL119" s="525">
        <v>101000</v>
      </c>
      <c r="BM119" s="522">
        <f>'[67]Дир_ по реал.услуг'!AW22</f>
        <v>101000</v>
      </c>
      <c r="BN119" s="522">
        <f t="shared" si="204"/>
        <v>359543.77</v>
      </c>
      <c r="BO119" s="522">
        <f t="shared" si="181"/>
        <v>258543.77000000002</v>
      </c>
      <c r="BP119" s="522">
        <f t="shared" si="175"/>
        <v>258543.77000000002</v>
      </c>
      <c r="BQ119" s="525">
        <v>101000</v>
      </c>
      <c r="BR119" s="522">
        <f>'[67]Дир_ по реал.услуг'!BB22</f>
        <v>0</v>
      </c>
      <c r="BS119" s="522">
        <f>'[67]Дир_ по реал.услуг'!BC22</f>
        <v>0</v>
      </c>
      <c r="BT119" s="536"/>
      <c r="BU119" s="522">
        <v>1465566.61</v>
      </c>
      <c r="BV119" s="522">
        <v>190.06</v>
      </c>
      <c r="BW119" s="522"/>
      <c r="BX119" s="629"/>
      <c r="BY119" s="525">
        <f>1448968.26+190.06</f>
        <v>1449158.32</v>
      </c>
      <c r="BZ119" s="525">
        <v>15026.26</v>
      </c>
      <c r="CA119" s="525">
        <v>1572.09</v>
      </c>
      <c r="CB119" s="522">
        <f t="shared" si="213"/>
        <v>1465756.6700000002</v>
      </c>
      <c r="CC119" s="522">
        <f t="shared" si="176"/>
        <v>0</v>
      </c>
      <c r="CD119" s="522"/>
      <c r="CE119" s="522"/>
      <c r="CF119" s="522"/>
      <c r="CG119" s="522"/>
      <c r="CH119" s="522"/>
      <c r="CI119" s="522"/>
      <c r="CJ119" s="522"/>
      <c r="CK119" s="543" t="s">
        <v>78</v>
      </c>
      <c r="CL119" s="543" t="s">
        <v>1833</v>
      </c>
      <c r="CM119" s="528" t="s">
        <v>1907</v>
      </c>
      <c r="CN119" s="528"/>
      <c r="CO119" s="528"/>
      <c r="CP119" s="544">
        <f t="shared" si="214"/>
        <v>1009346.7726051337</v>
      </c>
      <c r="CQ119" s="544">
        <f t="shared" si="215"/>
        <v>74139.813355597551</v>
      </c>
      <c r="CR119" s="544">
        <f t="shared" si="216"/>
        <v>10513.414039268817</v>
      </c>
      <c r="CS119" s="1709" t="s">
        <v>1826</v>
      </c>
      <c r="CT119" s="1710"/>
      <c r="CU119" s="1710"/>
      <c r="CV119" s="1710"/>
      <c r="CW119" s="1711"/>
      <c r="CX119" s="528"/>
      <c r="CY119" s="528"/>
      <c r="CZ119" s="528"/>
      <c r="DA119" s="528"/>
      <c r="DB119" s="544">
        <f>198441.14+190.06</f>
        <v>198631.2</v>
      </c>
      <c r="DC119" s="628" t="e">
        <f>P119-#REF!</f>
        <v>#REF!</v>
      </c>
      <c r="DD119" s="535"/>
      <c r="DE119" s="535"/>
      <c r="DF119" s="525">
        <f t="shared" si="211"/>
        <v>1449.15832</v>
      </c>
      <c r="DG119" s="525">
        <f t="shared" si="211"/>
        <v>15.026260000000001</v>
      </c>
      <c r="DH119" s="525">
        <f t="shared" si="211"/>
        <v>1.57209</v>
      </c>
      <c r="DI119" s="522">
        <f t="shared" si="209"/>
        <v>1465.7566700000002</v>
      </c>
      <c r="DJ119" s="536"/>
      <c r="DK119" s="536"/>
      <c r="DL119" s="536"/>
      <c r="DM119" s="536"/>
      <c r="DN119" s="536"/>
      <c r="DO119" s="536"/>
      <c r="DP119" s="536"/>
      <c r="DQ119" s="536"/>
      <c r="DR119" s="536"/>
      <c r="DS119" s="536"/>
    </row>
    <row r="120" spans="1:123" s="534" customFormat="1" ht="87" customHeight="1">
      <c r="A120" s="537" t="s">
        <v>433</v>
      </c>
      <c r="B120" s="538" t="s">
        <v>434</v>
      </c>
      <c r="C120" s="576">
        <v>482570.91</v>
      </c>
      <c r="D120" s="576">
        <v>735246.11</v>
      </c>
      <c r="E120" s="525">
        <v>545000</v>
      </c>
      <c r="F120" s="525">
        <v>1232673.48</v>
      </c>
      <c r="G120" s="596">
        <v>776347.88549480343</v>
      </c>
      <c r="H120" s="596">
        <v>0</v>
      </c>
      <c r="I120" s="525">
        <f t="shared" si="198"/>
        <v>1421288.4100000001</v>
      </c>
      <c r="J120" s="525">
        <v>557288.41</v>
      </c>
      <c r="K120" s="525">
        <v>407500</v>
      </c>
      <c r="L120" s="525">
        <v>456500</v>
      </c>
      <c r="M120" s="525">
        <f t="shared" si="199"/>
        <v>964788.41</v>
      </c>
      <c r="N120" s="525">
        <v>907044.58</v>
      </c>
      <c r="O120" s="525">
        <f t="shared" si="200"/>
        <v>492367.35</v>
      </c>
      <c r="P120" s="522">
        <v>1399411.93</v>
      </c>
      <c r="Q120" s="525">
        <f t="shared" si="151"/>
        <v>-21876.480000000214</v>
      </c>
      <c r="R120" s="525">
        <f t="shared" si="152"/>
        <v>-1.5392006186837364</v>
      </c>
      <c r="S120" s="525">
        <v>819047.01919701754</v>
      </c>
      <c r="T120" s="525">
        <v>819047.01919701754</v>
      </c>
      <c r="U120" s="522">
        <f t="shared" si="201"/>
        <v>1187525.8399999999</v>
      </c>
      <c r="V120" s="522">
        <f t="shared" si="149"/>
        <v>368478.82080298231</v>
      </c>
      <c r="W120" s="522">
        <f t="shared" si="153"/>
        <v>44.988726186224795</v>
      </c>
      <c r="X120" s="522">
        <f t="shared" si="154"/>
        <v>-211886.09000000008</v>
      </c>
      <c r="Y120" s="522">
        <f t="shared" si="155"/>
        <v>-15.141080725244365</v>
      </c>
      <c r="Z120" s="524">
        <f t="shared" si="156"/>
        <v>1182012.94</v>
      </c>
      <c r="AA120" s="522">
        <f t="shared" si="157"/>
        <v>362965.92080298241</v>
      </c>
      <c r="AB120" s="522">
        <f t="shared" si="158"/>
        <v>44.315639065365161</v>
      </c>
      <c r="AC120" s="522">
        <f t="shared" si="159"/>
        <v>-5512.8999999999069</v>
      </c>
      <c r="AD120" s="522">
        <f t="shared" si="160"/>
        <v>-0.46423410879211247</v>
      </c>
      <c r="AE120" s="522">
        <f t="shared" si="161"/>
        <v>-217398.99</v>
      </c>
      <c r="AF120" s="522">
        <f t="shared" si="162"/>
        <v>-15.535024772870131</v>
      </c>
      <c r="AG120" s="522">
        <f t="shared" si="177"/>
        <v>1250866.08</v>
      </c>
      <c r="AH120" s="522">
        <f t="shared" si="163"/>
        <v>63340.240000000224</v>
      </c>
      <c r="AI120" s="522">
        <f t="shared" si="164"/>
        <v>5.3337988839047341</v>
      </c>
      <c r="AJ120" s="522">
        <f t="shared" si="165"/>
        <v>68853.14000000013</v>
      </c>
      <c r="AK120" s="522">
        <f t="shared" si="212"/>
        <v>5.8250749776055812</v>
      </c>
      <c r="AL120" s="522">
        <f t="shared" si="202"/>
        <v>1250866.08</v>
      </c>
      <c r="AM120" s="522">
        <f t="shared" si="192"/>
        <v>564025.84</v>
      </c>
      <c r="AN120" s="522">
        <f t="shared" si="192"/>
        <v>558512.93999999994</v>
      </c>
      <c r="AO120" s="522">
        <f t="shared" si="166"/>
        <v>-5512.9000000000233</v>
      </c>
      <c r="AP120" s="522">
        <f t="shared" si="178"/>
        <v>-0.97741975793167057</v>
      </c>
      <c r="AQ120" s="522">
        <v>82525.84</v>
      </c>
      <c r="AR120" s="522">
        <v>213939.42</v>
      </c>
      <c r="AS120" s="522">
        <v>481500</v>
      </c>
      <c r="AT120" s="522">
        <v>344573.5199999999</v>
      </c>
      <c r="AU120" s="522">
        <f t="shared" si="208"/>
        <v>623500</v>
      </c>
      <c r="AV120" s="522">
        <f t="shared" si="208"/>
        <v>623500</v>
      </c>
      <c r="AW120" s="522">
        <f t="shared" si="167"/>
        <v>0</v>
      </c>
      <c r="AX120" s="522">
        <f t="shared" si="168"/>
        <v>0</v>
      </c>
      <c r="AY120" s="522">
        <f t="shared" si="210"/>
        <v>692353.14000000013</v>
      </c>
      <c r="AZ120" s="522">
        <f t="shared" si="169"/>
        <v>-68853.14000000013</v>
      </c>
      <c r="BA120" s="522">
        <f t="shared" si="170"/>
        <v>-9.9448007125381253</v>
      </c>
      <c r="BB120" s="522">
        <v>425000</v>
      </c>
      <c r="BC120" s="525">
        <f>'[67]Дир_ по реал.услуг'!AT23</f>
        <v>425000</v>
      </c>
      <c r="BD120" s="525">
        <f t="shared" si="203"/>
        <v>217670.66000000003</v>
      </c>
      <c r="BE120" s="525">
        <f t="shared" si="171"/>
        <v>-207329.33999999997</v>
      </c>
      <c r="BF120" s="525">
        <f t="shared" si="172"/>
        <v>-207329.33999999997</v>
      </c>
      <c r="BG120" s="525">
        <f t="shared" si="150"/>
        <v>989025.84</v>
      </c>
      <c r="BH120" s="522">
        <f t="shared" si="150"/>
        <v>983512.94</v>
      </c>
      <c r="BI120" s="522">
        <v>776183.6</v>
      </c>
      <c r="BJ120" s="522">
        <f t="shared" si="173"/>
        <v>-212842.23999999999</v>
      </c>
      <c r="BK120" s="522">
        <f t="shared" si="174"/>
        <v>-207329.33999999997</v>
      </c>
      <c r="BL120" s="525">
        <v>198500</v>
      </c>
      <c r="BM120" s="522">
        <f>'[67]Дир_ по реал.услуг'!AW23</f>
        <v>198500</v>
      </c>
      <c r="BN120" s="522">
        <f t="shared" si="204"/>
        <v>474682.4800000001</v>
      </c>
      <c r="BO120" s="522">
        <f t="shared" si="181"/>
        <v>276182.4800000001</v>
      </c>
      <c r="BP120" s="522">
        <f t="shared" si="175"/>
        <v>276182.4800000001</v>
      </c>
      <c r="BQ120" s="525">
        <v>198500</v>
      </c>
      <c r="BR120" s="522">
        <f>'[67]Дир_ по реал.услуг'!BB23</f>
        <v>0</v>
      </c>
      <c r="BS120" s="522">
        <f>'[67]Дир_ по реал.услуг'!BC23</f>
        <v>0</v>
      </c>
      <c r="BT120" s="536"/>
      <c r="BU120" s="522">
        <v>1250866.08</v>
      </c>
      <c r="BV120" s="522"/>
      <c r="BW120" s="522"/>
      <c r="BX120" s="629"/>
      <c r="BY120" s="525">
        <v>1244223.82</v>
      </c>
      <c r="BZ120" s="525"/>
      <c r="CA120" s="525">
        <v>6642.26</v>
      </c>
      <c r="CB120" s="522">
        <f t="shared" si="213"/>
        <v>1250866.08</v>
      </c>
      <c r="CC120" s="522">
        <f t="shared" si="176"/>
        <v>0</v>
      </c>
      <c r="CD120" s="522"/>
      <c r="CE120" s="522"/>
      <c r="CF120" s="522"/>
      <c r="CG120" s="522"/>
      <c r="CH120" s="522"/>
      <c r="CI120" s="522"/>
      <c r="CJ120" s="522"/>
      <c r="CK120" s="543" t="s">
        <v>78</v>
      </c>
      <c r="CL120" s="543" t="s">
        <v>1833</v>
      </c>
      <c r="CM120" s="528" t="s">
        <v>1907</v>
      </c>
      <c r="CN120" s="528" t="s">
        <v>1849</v>
      </c>
      <c r="CO120" s="528"/>
      <c r="CP120" s="544">
        <f t="shared" si="214"/>
        <v>1095635.6252186473</v>
      </c>
      <c r="CQ120" s="544">
        <f t="shared" si="215"/>
        <v>80478.011090081534</v>
      </c>
      <c r="CR120" s="544">
        <f t="shared" si="216"/>
        <v>11412.203691271017</v>
      </c>
      <c r="CS120" s="1709" t="s">
        <v>1826</v>
      </c>
      <c r="CT120" s="1710"/>
      <c r="CU120" s="1710"/>
      <c r="CV120" s="1710"/>
      <c r="CW120" s="1711"/>
      <c r="CX120" s="528"/>
      <c r="CY120" s="528"/>
      <c r="CZ120" s="528"/>
      <c r="DA120" s="528"/>
      <c r="DB120" s="544">
        <f>213939.42</f>
        <v>213939.42</v>
      </c>
      <c r="DC120" s="628" t="e">
        <f>P120-#REF!</f>
        <v>#REF!</v>
      </c>
      <c r="DD120" s="535">
        <f>776183.6</f>
        <v>776183.6</v>
      </c>
      <c r="DE120" s="535"/>
      <c r="DF120" s="525">
        <f t="shared" si="211"/>
        <v>1244.2238200000002</v>
      </c>
      <c r="DG120" s="525">
        <f t="shared" si="211"/>
        <v>0</v>
      </c>
      <c r="DH120" s="525">
        <f t="shared" si="211"/>
        <v>6.6422600000000003</v>
      </c>
      <c r="DI120" s="522">
        <f t="shared" si="209"/>
        <v>1250.86608</v>
      </c>
      <c r="DJ120" s="536"/>
      <c r="DK120" s="536"/>
      <c r="DL120" s="536"/>
      <c r="DM120" s="536"/>
      <c r="DN120" s="536"/>
      <c r="DO120" s="536"/>
      <c r="DP120" s="536"/>
      <c r="DQ120" s="536"/>
      <c r="DR120" s="536"/>
      <c r="DS120" s="536"/>
    </row>
    <row r="121" spans="1:123" s="534" customFormat="1" ht="72" customHeight="1">
      <c r="A121" s="537" t="s">
        <v>438</v>
      </c>
      <c r="B121" s="538" t="s">
        <v>439</v>
      </c>
      <c r="C121" s="576">
        <v>9189370.2799999993</v>
      </c>
      <c r="D121" s="576">
        <v>0</v>
      </c>
      <c r="E121" s="525">
        <v>10902500</v>
      </c>
      <c r="F121" s="525">
        <v>10683600.17</v>
      </c>
      <c r="G121" s="596">
        <v>0</v>
      </c>
      <c r="H121" s="596">
        <v>0</v>
      </c>
      <c r="I121" s="525">
        <f t="shared" si="198"/>
        <v>12500851.33</v>
      </c>
      <c r="J121" s="525">
        <v>4814750.1300000008</v>
      </c>
      <c r="K121" s="525">
        <v>3843050.6</v>
      </c>
      <c r="L121" s="525">
        <v>3843050.6</v>
      </c>
      <c r="M121" s="525">
        <f t="shared" si="199"/>
        <v>8657800.7300000004</v>
      </c>
      <c r="N121" s="525">
        <v>7471760.8499999996</v>
      </c>
      <c r="O121" s="525">
        <f t="shared" si="200"/>
        <v>8647716.7200000007</v>
      </c>
      <c r="P121" s="522">
        <v>16119477.57</v>
      </c>
      <c r="Q121" s="525">
        <f t="shared" si="151"/>
        <v>3618626.24</v>
      </c>
      <c r="R121" s="525">
        <f t="shared" si="152"/>
        <v>28.947038441421114</v>
      </c>
      <c r="S121" s="525">
        <v>0</v>
      </c>
      <c r="T121" s="525">
        <v>0</v>
      </c>
      <c r="U121" s="522">
        <f t="shared" si="201"/>
        <v>10000000</v>
      </c>
      <c r="V121" s="522">
        <f t="shared" si="149"/>
        <v>10000000</v>
      </c>
      <c r="W121" s="522">
        <v>0</v>
      </c>
      <c r="X121" s="522">
        <f t="shared" si="154"/>
        <v>-6119477.5700000003</v>
      </c>
      <c r="Y121" s="522">
        <f t="shared" si="155"/>
        <v>-37.963250008728423</v>
      </c>
      <c r="Z121" s="524">
        <f t="shared" si="156"/>
        <v>10000000.109999999</v>
      </c>
      <c r="AA121" s="522">
        <f t="shared" si="157"/>
        <v>10000000.109999999</v>
      </c>
      <c r="AB121" s="522">
        <v>0</v>
      </c>
      <c r="AC121" s="522">
        <f t="shared" si="159"/>
        <v>0.10999999940395355</v>
      </c>
      <c r="AD121" s="522">
        <f t="shared" si="160"/>
        <v>1.1000000057492798E-6</v>
      </c>
      <c r="AE121" s="522">
        <f t="shared" si="161"/>
        <v>-6119477.4600000009</v>
      </c>
      <c r="AF121" s="522">
        <f t="shared" si="162"/>
        <v>-37.963249326324167</v>
      </c>
      <c r="AG121" s="522">
        <f t="shared" si="177"/>
        <v>11902544.73</v>
      </c>
      <c r="AH121" s="522">
        <f t="shared" si="163"/>
        <v>1902544.7300000004</v>
      </c>
      <c r="AI121" s="522">
        <f t="shared" si="164"/>
        <v>19.025447299999996</v>
      </c>
      <c r="AJ121" s="522">
        <f t="shared" si="165"/>
        <v>1902544.620000001</v>
      </c>
      <c r="AK121" s="522">
        <f t="shared" si="212"/>
        <v>19.025445990720115</v>
      </c>
      <c r="AL121" s="522">
        <f t="shared" si="202"/>
        <v>11902544.73</v>
      </c>
      <c r="AM121" s="522">
        <f t="shared" si="192"/>
        <v>5000000</v>
      </c>
      <c r="AN121" s="522">
        <f t="shared" si="192"/>
        <v>3945820.1100000003</v>
      </c>
      <c r="AO121" s="522">
        <f t="shared" si="166"/>
        <v>-1054179.8899999997</v>
      </c>
      <c r="AP121" s="522">
        <f t="shared" si="178"/>
        <v>-21.083597799999993</v>
      </c>
      <c r="AQ121" s="522">
        <v>2500000</v>
      </c>
      <c r="AR121" s="522">
        <v>1166381.49</v>
      </c>
      <c r="AS121" s="522">
        <v>2500000</v>
      </c>
      <c r="AT121" s="522">
        <v>2779438.62</v>
      </c>
      <c r="AU121" s="522">
        <f t="shared" si="208"/>
        <v>5000000</v>
      </c>
      <c r="AV121" s="522">
        <f t="shared" si="208"/>
        <v>6054180</v>
      </c>
      <c r="AW121" s="522">
        <f t="shared" si="167"/>
        <v>1054180</v>
      </c>
      <c r="AX121" s="522">
        <f t="shared" si="168"/>
        <v>21.083600000000004</v>
      </c>
      <c r="AY121" s="522">
        <f t="shared" si="210"/>
        <v>7956724.6200000001</v>
      </c>
      <c r="AZ121" s="522">
        <f t="shared" si="169"/>
        <v>-1902544.62</v>
      </c>
      <c r="BA121" s="522">
        <f t="shared" si="170"/>
        <v>-23.911153280556789</v>
      </c>
      <c r="BB121" s="522">
        <v>2500000</v>
      </c>
      <c r="BC121" s="525">
        <f>'[67]Дир_ по реал.услуг'!AT24</f>
        <v>3554180</v>
      </c>
      <c r="BD121" s="525">
        <f t="shared" si="203"/>
        <v>2402525.88</v>
      </c>
      <c r="BE121" s="525">
        <f t="shared" si="171"/>
        <v>-97474.120000000112</v>
      </c>
      <c r="BF121" s="525">
        <f t="shared" si="172"/>
        <v>-1151654.1200000001</v>
      </c>
      <c r="BG121" s="525">
        <f t="shared" si="150"/>
        <v>7500000</v>
      </c>
      <c r="BH121" s="522">
        <f t="shared" si="150"/>
        <v>7500000.1100000003</v>
      </c>
      <c r="BI121" s="522">
        <v>6348345.9900000002</v>
      </c>
      <c r="BJ121" s="522">
        <f t="shared" si="173"/>
        <v>-1151654.0099999998</v>
      </c>
      <c r="BK121" s="522">
        <f t="shared" si="174"/>
        <v>-1151654.1200000001</v>
      </c>
      <c r="BL121" s="525">
        <v>2500000</v>
      </c>
      <c r="BM121" s="522">
        <f>'[67]Дир_ по реал.услуг'!AW24</f>
        <v>2500000</v>
      </c>
      <c r="BN121" s="522">
        <f t="shared" si="204"/>
        <v>5554198.7400000002</v>
      </c>
      <c r="BO121" s="522">
        <f t="shared" si="181"/>
        <v>3054198.74</v>
      </c>
      <c r="BP121" s="522">
        <f t="shared" si="175"/>
        <v>3054198.74</v>
      </c>
      <c r="BQ121" s="525">
        <v>2500000</v>
      </c>
      <c r="BR121" s="522">
        <f>'[67]Дир_ по реал.услуг'!BB24</f>
        <v>0</v>
      </c>
      <c r="BS121" s="522">
        <f>'[67]Дир_ по реал.услуг'!BC24</f>
        <v>0</v>
      </c>
      <c r="BT121" s="536"/>
      <c r="BU121" s="522">
        <v>11902544.73</v>
      </c>
      <c r="BV121" s="522"/>
      <c r="BW121" s="522"/>
      <c r="BX121" s="629"/>
      <c r="BY121" s="525">
        <v>11896866.77</v>
      </c>
      <c r="BZ121" s="525"/>
      <c r="CA121" s="525">
        <v>5677.96</v>
      </c>
      <c r="CB121" s="522">
        <f t="shared" si="213"/>
        <v>11902544.73</v>
      </c>
      <c r="CC121" s="522">
        <f t="shared" si="176"/>
        <v>0</v>
      </c>
      <c r="CD121" s="522"/>
      <c r="CE121" s="522"/>
      <c r="CF121" s="522"/>
      <c r="CG121" s="522"/>
      <c r="CH121" s="522"/>
      <c r="CI121" s="522"/>
      <c r="CJ121" s="522"/>
      <c r="CK121" s="543" t="s">
        <v>78</v>
      </c>
      <c r="CL121" s="542" t="s">
        <v>1833</v>
      </c>
      <c r="CM121" s="528" t="s">
        <v>1907</v>
      </c>
      <c r="CN121" s="528" t="s">
        <v>1849</v>
      </c>
      <c r="CO121" s="528" t="s">
        <v>1849</v>
      </c>
      <c r="CP121" s="544">
        <f t="shared" si="214"/>
        <v>9226204.5027891565</v>
      </c>
      <c r="CQ121" s="544">
        <f t="shared" si="215"/>
        <v>677694.82043507812</v>
      </c>
      <c r="CR121" s="544">
        <f t="shared" si="216"/>
        <v>96100.676775766144</v>
      </c>
      <c r="CS121" s="1709" t="s">
        <v>1826</v>
      </c>
      <c r="CT121" s="1710"/>
      <c r="CU121" s="1710"/>
      <c r="CV121" s="1710"/>
      <c r="CW121" s="1711"/>
      <c r="CX121" s="528"/>
      <c r="CY121" s="528"/>
      <c r="CZ121" s="528"/>
      <c r="DA121" s="528"/>
      <c r="DB121" s="544">
        <f>1166381.49</f>
        <v>1166381.49</v>
      </c>
      <c r="DC121" s="628" t="e">
        <f>P121-#REF!</f>
        <v>#REF!</v>
      </c>
      <c r="DD121" s="535"/>
      <c r="DE121" s="535"/>
      <c r="DF121" s="525">
        <f t="shared" si="211"/>
        <v>11896.866769999999</v>
      </c>
      <c r="DG121" s="525">
        <f t="shared" si="211"/>
        <v>0</v>
      </c>
      <c r="DH121" s="525">
        <f t="shared" si="211"/>
        <v>5.6779599999999997</v>
      </c>
      <c r="DI121" s="522">
        <f t="shared" si="209"/>
        <v>11902.54473</v>
      </c>
      <c r="DJ121" s="536"/>
      <c r="DK121" s="536"/>
      <c r="DL121" s="536"/>
      <c r="DM121" s="536"/>
      <c r="DN121" s="536"/>
      <c r="DO121" s="536"/>
      <c r="DP121" s="536"/>
      <c r="DQ121" s="536"/>
      <c r="DR121" s="536"/>
      <c r="DS121" s="536"/>
    </row>
    <row r="122" spans="1:123" s="534" customFormat="1" ht="75.75" customHeight="1">
      <c r="A122" s="537" t="s">
        <v>443</v>
      </c>
      <c r="B122" s="538" t="s">
        <v>444</v>
      </c>
      <c r="C122" s="576">
        <v>1393178.66</v>
      </c>
      <c r="D122" s="576">
        <v>3436098.75</v>
      </c>
      <c r="E122" s="525">
        <v>1400000</v>
      </c>
      <c r="F122" s="525">
        <v>1530834.39</v>
      </c>
      <c r="G122" s="596">
        <v>1236657.2868874159</v>
      </c>
      <c r="H122" s="596">
        <v>0</v>
      </c>
      <c r="I122" s="525">
        <f t="shared" si="198"/>
        <v>3343388.1999999997</v>
      </c>
      <c r="J122" s="525">
        <v>810568.37999999989</v>
      </c>
      <c r="K122" s="525">
        <v>1266409.9099999999</v>
      </c>
      <c r="L122" s="525">
        <v>1266409.9099999999</v>
      </c>
      <c r="M122" s="525">
        <f t="shared" si="199"/>
        <v>2076978.2899999998</v>
      </c>
      <c r="N122" s="525">
        <v>1704263.48</v>
      </c>
      <c r="O122" s="525">
        <f t="shared" si="200"/>
        <v>1441329.2799999998</v>
      </c>
      <c r="P122" s="522">
        <v>3145592.76</v>
      </c>
      <c r="Q122" s="525">
        <f t="shared" si="151"/>
        <v>-197795.43999999994</v>
      </c>
      <c r="R122" s="525">
        <f t="shared" si="152"/>
        <v>-5.9160177690403941</v>
      </c>
      <c r="S122" s="525">
        <v>1546061.8824999996</v>
      </c>
      <c r="T122" s="525">
        <v>1546061.8824999996</v>
      </c>
      <c r="U122" s="522">
        <f t="shared" si="201"/>
        <v>2971000</v>
      </c>
      <c r="V122" s="522">
        <f t="shared" si="149"/>
        <v>1424938.1175000004</v>
      </c>
      <c r="W122" s="522">
        <f t="shared" si="153"/>
        <v>92.165658673109476</v>
      </c>
      <c r="X122" s="522">
        <f t="shared" si="154"/>
        <v>-174592.75999999978</v>
      </c>
      <c r="Y122" s="522">
        <f t="shared" si="155"/>
        <v>-5.5503929885698255</v>
      </c>
      <c r="Z122" s="524">
        <f t="shared" si="156"/>
        <v>2970988.5700000003</v>
      </c>
      <c r="AA122" s="522">
        <f t="shared" si="157"/>
        <v>1424926.6875000007</v>
      </c>
      <c r="AB122" s="522">
        <f t="shared" si="158"/>
        <v>92.164919375405475</v>
      </c>
      <c r="AC122" s="522">
        <f t="shared" si="159"/>
        <v>-11.429999999701977</v>
      </c>
      <c r="AD122" s="522">
        <f t="shared" si="160"/>
        <v>-3.8471894984581922E-4</v>
      </c>
      <c r="AE122" s="522">
        <f t="shared" si="161"/>
        <v>-174604.18999999948</v>
      </c>
      <c r="AF122" s="522">
        <f t="shared" si="162"/>
        <v>-5.5507563541060279</v>
      </c>
      <c r="AG122" s="522">
        <f t="shared" si="177"/>
        <v>3046460.49</v>
      </c>
      <c r="AH122" s="522">
        <f t="shared" si="163"/>
        <v>75460.490000000224</v>
      </c>
      <c r="AI122" s="522">
        <f t="shared" si="164"/>
        <v>2.5399020531807537</v>
      </c>
      <c r="AJ122" s="522">
        <f t="shared" si="165"/>
        <v>75471.919999999925</v>
      </c>
      <c r="AK122" s="522">
        <f t="shared" si="212"/>
        <v>2.5402965451327901</v>
      </c>
      <c r="AL122" s="522">
        <f t="shared" si="202"/>
        <v>3046460.49</v>
      </c>
      <c r="AM122" s="522">
        <f t="shared" si="192"/>
        <v>1485000</v>
      </c>
      <c r="AN122" s="522">
        <f t="shared" si="192"/>
        <v>1711985.57</v>
      </c>
      <c r="AO122" s="522">
        <f t="shared" si="166"/>
        <v>226985.57000000007</v>
      </c>
      <c r="AP122" s="522">
        <f t="shared" si="178"/>
        <v>15.285223569023572</v>
      </c>
      <c r="AQ122" s="522">
        <v>742000</v>
      </c>
      <c r="AR122" s="522">
        <v>938170.72</v>
      </c>
      <c r="AS122" s="522">
        <v>743000</v>
      </c>
      <c r="AT122" s="522">
        <v>773814.85000000009</v>
      </c>
      <c r="AU122" s="522">
        <f t="shared" si="208"/>
        <v>1486000</v>
      </c>
      <c r="AV122" s="522">
        <f t="shared" si="208"/>
        <v>1259003</v>
      </c>
      <c r="AW122" s="522">
        <f t="shared" si="167"/>
        <v>-226997</v>
      </c>
      <c r="AX122" s="522">
        <f t="shared" si="168"/>
        <v>-15.275706594885591</v>
      </c>
      <c r="AY122" s="522">
        <f t="shared" si="210"/>
        <v>1334474.9200000002</v>
      </c>
      <c r="AZ122" s="522">
        <f t="shared" si="169"/>
        <v>-75471.920000000158</v>
      </c>
      <c r="BA122" s="522">
        <f t="shared" si="170"/>
        <v>-5.655551773127371</v>
      </c>
      <c r="BB122" s="522">
        <v>743000</v>
      </c>
      <c r="BC122" s="525">
        <f>'[67]Дир_ по реал.услуг'!AT25</f>
        <v>516003</v>
      </c>
      <c r="BD122" s="525">
        <f t="shared" si="203"/>
        <v>607394.6100000001</v>
      </c>
      <c r="BE122" s="525">
        <f t="shared" si="171"/>
        <v>-135605.3899999999</v>
      </c>
      <c r="BF122" s="525">
        <f t="shared" si="172"/>
        <v>91391.610000000102</v>
      </c>
      <c r="BG122" s="525">
        <f t="shared" si="150"/>
        <v>2228000</v>
      </c>
      <c r="BH122" s="522">
        <f t="shared" si="150"/>
        <v>2227988.5700000003</v>
      </c>
      <c r="BI122" s="522">
        <v>2319380.1800000002</v>
      </c>
      <c r="BJ122" s="522">
        <f t="shared" si="173"/>
        <v>91380.180000000168</v>
      </c>
      <c r="BK122" s="522">
        <f t="shared" si="174"/>
        <v>91391.60999999987</v>
      </c>
      <c r="BL122" s="525">
        <v>743000</v>
      </c>
      <c r="BM122" s="522">
        <f>'[67]Дир_ по реал.услуг'!AW25</f>
        <v>743000</v>
      </c>
      <c r="BN122" s="522">
        <f t="shared" si="204"/>
        <v>727080.31</v>
      </c>
      <c r="BO122" s="522">
        <f t="shared" si="181"/>
        <v>-15919.689999999944</v>
      </c>
      <c r="BP122" s="522">
        <f t="shared" si="175"/>
        <v>-15919.689999999944</v>
      </c>
      <c r="BQ122" s="525">
        <v>743000</v>
      </c>
      <c r="BR122" s="522">
        <f>'[67]Дир_ по реал.услуг'!BB25</f>
        <v>0</v>
      </c>
      <c r="BS122" s="522">
        <f>'[67]Дир_ по реал.услуг'!BC25</f>
        <v>0</v>
      </c>
      <c r="BT122" s="536"/>
      <c r="BU122" s="522">
        <v>3046460.49</v>
      </c>
      <c r="BV122" s="522"/>
      <c r="BW122" s="522"/>
      <c r="BX122" s="629"/>
      <c r="BY122" s="525">
        <v>3006006.01</v>
      </c>
      <c r="BZ122" s="525">
        <v>6177.75</v>
      </c>
      <c r="CA122" s="525">
        <v>34276.730000000003</v>
      </c>
      <c r="CB122" s="522">
        <f t="shared" si="213"/>
        <v>3046460.4899999998</v>
      </c>
      <c r="CC122" s="522">
        <f t="shared" si="176"/>
        <v>0</v>
      </c>
      <c r="CD122" s="522"/>
      <c r="CE122" s="522"/>
      <c r="CF122" s="522"/>
      <c r="CG122" s="522"/>
      <c r="CH122" s="522"/>
      <c r="CI122" s="522"/>
      <c r="CJ122" s="522"/>
      <c r="CK122" s="543" t="s">
        <v>78</v>
      </c>
      <c r="CL122" s="542" t="s">
        <v>1833</v>
      </c>
      <c r="CM122" s="528" t="s">
        <v>1907</v>
      </c>
      <c r="CN122" s="528" t="s">
        <v>1849</v>
      </c>
      <c r="CO122" s="528"/>
      <c r="CP122" s="544">
        <f t="shared" si="214"/>
        <v>2741105.3577786582</v>
      </c>
      <c r="CQ122" s="544">
        <f t="shared" si="215"/>
        <v>201343.13115126174</v>
      </c>
      <c r="CR122" s="544">
        <f t="shared" si="216"/>
        <v>28551.51107008012</v>
      </c>
      <c r="CS122" s="1709" t="s">
        <v>1826</v>
      </c>
      <c r="CT122" s="1710"/>
      <c r="CU122" s="1710"/>
      <c r="CV122" s="1710"/>
      <c r="CW122" s="1711"/>
      <c r="CX122" s="528"/>
      <c r="CY122" s="528"/>
      <c r="CZ122" s="528"/>
      <c r="DA122" s="528"/>
      <c r="DB122" s="544">
        <f>938170.72</f>
        <v>938170.72</v>
      </c>
      <c r="DC122" s="628" t="e">
        <f>P122-#REF!</f>
        <v>#REF!</v>
      </c>
      <c r="DD122" s="535"/>
      <c r="DE122" s="535"/>
      <c r="DF122" s="525">
        <f t="shared" si="211"/>
        <v>3006.0060099999996</v>
      </c>
      <c r="DG122" s="525">
        <f t="shared" si="211"/>
        <v>6.1777499999999996</v>
      </c>
      <c r="DH122" s="525">
        <f t="shared" si="211"/>
        <v>34.276730000000001</v>
      </c>
      <c r="DI122" s="522">
        <f t="shared" si="209"/>
        <v>3046.4604899999999</v>
      </c>
      <c r="DJ122" s="536"/>
      <c r="DK122" s="536"/>
      <c r="DL122" s="536"/>
      <c r="DM122" s="536"/>
      <c r="DN122" s="536"/>
      <c r="DO122" s="536"/>
      <c r="DP122" s="536"/>
      <c r="DQ122" s="536"/>
      <c r="DR122" s="536"/>
      <c r="DS122" s="536"/>
    </row>
    <row r="123" spans="1:123" s="534" customFormat="1" ht="80.25" customHeight="1">
      <c r="A123" s="537" t="s">
        <v>448</v>
      </c>
      <c r="B123" s="538" t="s">
        <v>449</v>
      </c>
      <c r="C123" s="576">
        <v>2874725.72</v>
      </c>
      <c r="D123" s="576">
        <v>3475508.53</v>
      </c>
      <c r="E123" s="576">
        <v>9670508.5299999993</v>
      </c>
      <c r="F123" s="576">
        <v>6367852.2800000003</v>
      </c>
      <c r="G123" s="577">
        <v>3669807.0547562265</v>
      </c>
      <c r="H123" s="577">
        <v>0</v>
      </c>
      <c r="I123" s="576">
        <f t="shared" si="198"/>
        <v>6172189.1799999997</v>
      </c>
      <c r="J123" s="576">
        <v>2781046.28</v>
      </c>
      <c r="K123" s="576">
        <v>1695571.45</v>
      </c>
      <c r="L123" s="576">
        <v>1695571.45</v>
      </c>
      <c r="M123" s="576">
        <f t="shared" si="199"/>
        <v>4476617.7299999995</v>
      </c>
      <c r="N123" s="576">
        <v>4439806.97</v>
      </c>
      <c r="O123" s="525">
        <f t="shared" si="200"/>
        <v>3409012.91</v>
      </c>
      <c r="P123" s="522">
        <v>7848819.8799999999</v>
      </c>
      <c r="Q123" s="576">
        <f t="shared" si="151"/>
        <v>1676630.7000000002</v>
      </c>
      <c r="R123" s="576">
        <f t="shared" si="152"/>
        <v>27.164279173957539</v>
      </c>
      <c r="S123" s="576">
        <v>3871646.4427678189</v>
      </c>
      <c r="T123" s="576">
        <v>3871646.4427678189</v>
      </c>
      <c r="U123" s="522">
        <f t="shared" si="201"/>
        <v>5000000</v>
      </c>
      <c r="V123" s="522">
        <f t="shared" si="149"/>
        <v>1128353.5572321811</v>
      </c>
      <c r="W123" s="522">
        <f t="shared" si="153"/>
        <v>29.144023709601129</v>
      </c>
      <c r="X123" s="522">
        <f t="shared" si="154"/>
        <v>-2848819.88</v>
      </c>
      <c r="Y123" s="522">
        <f t="shared" si="155"/>
        <v>-36.296155645758041</v>
      </c>
      <c r="Z123" s="524">
        <f t="shared" si="156"/>
        <v>5847479.1799999997</v>
      </c>
      <c r="AA123" s="522">
        <f t="shared" si="157"/>
        <v>1975832.7372321808</v>
      </c>
      <c r="AB123" s="522">
        <f t="shared" si="158"/>
        <v>51.033397972663749</v>
      </c>
      <c r="AC123" s="522">
        <f t="shared" si="159"/>
        <v>847479.1799999997</v>
      </c>
      <c r="AD123" s="522">
        <f t="shared" si="160"/>
        <v>16.949583599999983</v>
      </c>
      <c r="AE123" s="522">
        <f t="shared" si="161"/>
        <v>-2001340.7000000002</v>
      </c>
      <c r="AF123" s="522">
        <f t="shared" si="162"/>
        <v>-25.49861929052193</v>
      </c>
      <c r="AG123" s="522">
        <f t="shared" si="177"/>
        <v>9150545.2799999993</v>
      </c>
      <c r="AH123" s="522">
        <f t="shared" si="163"/>
        <v>4150545.2799999993</v>
      </c>
      <c r="AI123" s="522">
        <f t="shared" si="164"/>
        <v>83.010905600000001</v>
      </c>
      <c r="AJ123" s="522">
        <f t="shared" si="165"/>
        <v>3303066.0999999996</v>
      </c>
      <c r="AK123" s="522">
        <f t="shared" si="212"/>
        <v>56.487009159389601</v>
      </c>
      <c r="AL123" s="522">
        <f t="shared" si="202"/>
        <v>9150545.2799999993</v>
      </c>
      <c r="AM123" s="522">
        <f t="shared" si="192"/>
        <v>2500000</v>
      </c>
      <c r="AN123" s="522">
        <f t="shared" si="192"/>
        <v>1748720.55</v>
      </c>
      <c r="AO123" s="522">
        <f t="shared" si="166"/>
        <v>-751279.45</v>
      </c>
      <c r="AP123" s="522">
        <f t="shared" si="178"/>
        <v>-30.051178000000007</v>
      </c>
      <c r="AQ123" s="578">
        <v>1250000</v>
      </c>
      <c r="AR123" s="578">
        <v>984279.71</v>
      </c>
      <c r="AS123" s="578">
        <v>1250000</v>
      </c>
      <c r="AT123" s="578">
        <v>764440.84000000008</v>
      </c>
      <c r="AU123" s="578">
        <f t="shared" si="208"/>
        <v>2500000</v>
      </c>
      <c r="AV123" s="578">
        <f t="shared" si="208"/>
        <v>4098758.63</v>
      </c>
      <c r="AW123" s="578">
        <f t="shared" si="167"/>
        <v>1598758.63</v>
      </c>
      <c r="AX123" s="578">
        <f t="shared" si="168"/>
        <v>63.950345200000015</v>
      </c>
      <c r="AY123" s="578">
        <f t="shared" si="210"/>
        <v>7401824.7299999995</v>
      </c>
      <c r="AZ123" s="578">
        <f t="shared" si="169"/>
        <v>-3303066.0999999996</v>
      </c>
      <c r="BA123" s="578">
        <f t="shared" si="170"/>
        <v>-44.625024510678998</v>
      </c>
      <c r="BB123" s="578">
        <v>1250000</v>
      </c>
      <c r="BC123" s="525">
        <f>'[67]Дир_ по реал.услуг'!AT26</f>
        <v>2001301</v>
      </c>
      <c r="BD123" s="525">
        <f t="shared" si="203"/>
        <v>1887549.16</v>
      </c>
      <c r="BE123" s="525">
        <f t="shared" si="171"/>
        <v>637549.15999999992</v>
      </c>
      <c r="BF123" s="525">
        <f t="shared" si="172"/>
        <v>-113751.84000000008</v>
      </c>
      <c r="BG123" s="525">
        <f t="shared" si="150"/>
        <v>3750000</v>
      </c>
      <c r="BH123" s="522">
        <f t="shared" si="150"/>
        <v>3750021.55</v>
      </c>
      <c r="BI123" s="522">
        <v>3636269.71</v>
      </c>
      <c r="BJ123" s="522">
        <f t="shared" si="173"/>
        <v>-113730.29000000004</v>
      </c>
      <c r="BK123" s="522">
        <f t="shared" si="174"/>
        <v>-113751.83999999985</v>
      </c>
      <c r="BL123" s="525">
        <v>1250000</v>
      </c>
      <c r="BM123" s="522">
        <f>'[67]Дир_ по реал.услуг'!AW26</f>
        <v>2097457.63</v>
      </c>
      <c r="BN123" s="522">
        <f t="shared" si="204"/>
        <v>5514275.5699999994</v>
      </c>
      <c r="BO123" s="522">
        <f t="shared" si="181"/>
        <v>4264275.5699999994</v>
      </c>
      <c r="BP123" s="522">
        <f t="shared" si="175"/>
        <v>3416817.9399999995</v>
      </c>
      <c r="BQ123" s="525">
        <v>1250000</v>
      </c>
      <c r="BR123" s="522">
        <f>'[67]Дир_ по реал.услуг'!BB26</f>
        <v>0</v>
      </c>
      <c r="BS123" s="522">
        <f>'[67]Дир_ по реал.услуг'!BC26</f>
        <v>0</v>
      </c>
      <c r="BT123" s="536"/>
      <c r="BU123" s="522">
        <v>9150545.2799999993</v>
      </c>
      <c r="BV123" s="522"/>
      <c r="BW123" s="522"/>
      <c r="BX123" s="629"/>
      <c r="BY123" s="525">
        <v>9073121.5500000007</v>
      </c>
      <c r="BZ123" s="525"/>
      <c r="CA123" s="525">
        <v>77423.73</v>
      </c>
      <c r="CB123" s="522">
        <f t="shared" si="213"/>
        <v>9150545.2800000012</v>
      </c>
      <c r="CC123" s="522">
        <f t="shared" si="176"/>
        <v>0</v>
      </c>
      <c r="CD123" s="522"/>
      <c r="CE123" s="522"/>
      <c r="CF123" s="522"/>
      <c r="CG123" s="522"/>
      <c r="CH123" s="522"/>
      <c r="CI123" s="522"/>
      <c r="CJ123" s="522"/>
      <c r="CK123" s="543" t="s">
        <v>78</v>
      </c>
      <c r="CL123" s="542" t="s">
        <v>1833</v>
      </c>
      <c r="CM123" s="528" t="s">
        <v>1907</v>
      </c>
      <c r="CN123" s="528" t="s">
        <v>1849</v>
      </c>
      <c r="CO123" s="528" t="s">
        <v>1849</v>
      </c>
      <c r="CP123" s="544">
        <f t="shared" si="214"/>
        <v>4613102.2513945783</v>
      </c>
      <c r="CQ123" s="544">
        <f t="shared" si="215"/>
        <v>338847.41021753906</v>
      </c>
      <c r="CR123" s="544">
        <f t="shared" si="216"/>
        <v>48050.338387883072</v>
      </c>
      <c r="CS123" s="1709" t="s">
        <v>1826</v>
      </c>
      <c r="CT123" s="1710"/>
      <c r="CU123" s="1710"/>
      <c r="CV123" s="1710"/>
      <c r="CW123" s="1711"/>
      <c r="CX123" s="528"/>
      <c r="CY123" s="528"/>
      <c r="CZ123" s="528"/>
      <c r="DA123" s="528"/>
      <c r="DB123" s="579">
        <f>984279.71</f>
        <v>984279.71</v>
      </c>
      <c r="DC123" s="628" t="e">
        <f>P123-#REF!</f>
        <v>#REF!</v>
      </c>
      <c r="DD123" s="535"/>
      <c r="DE123" s="535"/>
      <c r="DF123" s="525">
        <f t="shared" si="211"/>
        <v>9073.1215499999998</v>
      </c>
      <c r="DG123" s="525">
        <f t="shared" si="211"/>
        <v>0</v>
      </c>
      <c r="DH123" s="525">
        <f t="shared" si="211"/>
        <v>77.423729999999992</v>
      </c>
      <c r="DI123" s="522">
        <f t="shared" si="209"/>
        <v>9150.5452800000021</v>
      </c>
      <c r="DJ123" s="536"/>
      <c r="DK123" s="536"/>
      <c r="DL123" s="536"/>
      <c r="DM123" s="536"/>
      <c r="DN123" s="536"/>
      <c r="DO123" s="536"/>
      <c r="DP123" s="536"/>
      <c r="DQ123" s="536"/>
      <c r="DR123" s="536"/>
      <c r="DS123" s="536"/>
    </row>
    <row r="124" spans="1:123" s="534" customFormat="1" ht="80.25" customHeight="1">
      <c r="A124" s="537" t="s">
        <v>510</v>
      </c>
      <c r="B124" s="538" t="s">
        <v>511</v>
      </c>
      <c r="C124" s="576"/>
      <c r="D124" s="576">
        <v>0</v>
      </c>
      <c r="E124" s="525">
        <v>700000</v>
      </c>
      <c r="F124" s="525">
        <v>0</v>
      </c>
      <c r="G124" s="596">
        <v>0</v>
      </c>
      <c r="H124" s="596">
        <v>0</v>
      </c>
      <c r="I124" s="525">
        <f t="shared" si="198"/>
        <v>0</v>
      </c>
      <c r="J124" s="525">
        <v>0</v>
      </c>
      <c r="K124" s="525">
        <v>0</v>
      </c>
      <c r="L124" s="525">
        <v>0</v>
      </c>
      <c r="M124" s="525">
        <f t="shared" si="199"/>
        <v>0</v>
      </c>
      <c r="N124" s="525"/>
      <c r="O124" s="525">
        <f t="shared" si="200"/>
        <v>7458.31</v>
      </c>
      <c r="P124" s="522">
        <f>5938.31+1520</f>
        <v>7458.31</v>
      </c>
      <c r="Q124" s="525">
        <f t="shared" si="151"/>
        <v>7458.31</v>
      </c>
      <c r="R124" s="525">
        <v>0</v>
      </c>
      <c r="S124" s="525">
        <v>0</v>
      </c>
      <c r="T124" s="525">
        <v>0</v>
      </c>
      <c r="U124" s="522">
        <f t="shared" si="201"/>
        <v>1591812.54</v>
      </c>
      <c r="V124" s="522">
        <f t="shared" si="149"/>
        <v>1591812.54</v>
      </c>
      <c r="W124" s="522">
        <v>0</v>
      </c>
      <c r="X124" s="522">
        <f t="shared" si="154"/>
        <v>1584354.23</v>
      </c>
      <c r="Y124" s="522">
        <f t="shared" si="155"/>
        <v>21242.804737266219</v>
      </c>
      <c r="Z124" s="524">
        <f t="shared" si="156"/>
        <v>1604354.9100000001</v>
      </c>
      <c r="AA124" s="522">
        <f t="shared" si="157"/>
        <v>1604354.9100000001</v>
      </c>
      <c r="AB124" s="522">
        <v>0</v>
      </c>
      <c r="AC124" s="522">
        <f t="shared" si="159"/>
        <v>12542.370000000112</v>
      </c>
      <c r="AD124" s="522">
        <f t="shared" si="160"/>
        <v>0.78793009131589997</v>
      </c>
      <c r="AE124" s="522">
        <f t="shared" si="161"/>
        <v>1596896.6</v>
      </c>
      <c r="AF124" s="522">
        <f t="shared" si="162"/>
        <v>21410.971118121935</v>
      </c>
      <c r="AG124" s="522">
        <f t="shared" si="177"/>
        <v>4101233.2300000004</v>
      </c>
      <c r="AH124" s="522">
        <f t="shared" si="163"/>
        <v>2509420.6900000004</v>
      </c>
      <c r="AI124" s="522">
        <f t="shared" si="164"/>
        <v>157.64549071839832</v>
      </c>
      <c r="AJ124" s="522">
        <f t="shared" si="165"/>
        <v>2496878.3200000003</v>
      </c>
      <c r="AK124" s="522">
        <f t="shared" si="212"/>
        <v>155.63129482366219</v>
      </c>
      <c r="AL124" s="522">
        <f t="shared" si="202"/>
        <v>4101233.23</v>
      </c>
      <c r="AM124" s="522">
        <f t="shared" si="192"/>
        <v>0</v>
      </c>
      <c r="AN124" s="522">
        <f t="shared" si="192"/>
        <v>12542.37</v>
      </c>
      <c r="AO124" s="522">
        <f t="shared" si="166"/>
        <v>12542.37</v>
      </c>
      <c r="AP124" s="522">
        <v>0</v>
      </c>
      <c r="AQ124" s="522"/>
      <c r="AR124" s="522">
        <v>0</v>
      </c>
      <c r="AS124" s="522"/>
      <c r="AT124" s="522">
        <v>12542.37</v>
      </c>
      <c r="AU124" s="522">
        <f t="shared" si="208"/>
        <v>1591812.54</v>
      </c>
      <c r="AV124" s="522">
        <f t="shared" si="208"/>
        <v>1591812.54</v>
      </c>
      <c r="AW124" s="522">
        <f t="shared" si="167"/>
        <v>0</v>
      </c>
      <c r="AX124" s="522">
        <f t="shared" si="168"/>
        <v>0</v>
      </c>
      <c r="AY124" s="522">
        <f t="shared" si="210"/>
        <v>4088690.8600000003</v>
      </c>
      <c r="AZ124" s="522">
        <f t="shared" si="169"/>
        <v>-2496878.3200000003</v>
      </c>
      <c r="BA124" s="522">
        <f t="shared" si="170"/>
        <v>-61.067916491979538</v>
      </c>
      <c r="BB124" s="522"/>
      <c r="BC124" s="525">
        <f>'[67]Дир_ по реал.услуг'!AT27</f>
        <v>0</v>
      </c>
      <c r="BD124" s="525">
        <f t="shared" si="203"/>
        <v>758758.22</v>
      </c>
      <c r="BE124" s="525">
        <f t="shared" si="171"/>
        <v>758758.22</v>
      </c>
      <c r="BF124" s="525">
        <f t="shared" si="172"/>
        <v>758758.22</v>
      </c>
      <c r="BG124" s="525">
        <f t="shared" si="150"/>
        <v>0</v>
      </c>
      <c r="BH124" s="522">
        <f t="shared" si="150"/>
        <v>12542.37</v>
      </c>
      <c r="BI124" s="522">
        <v>771300.59</v>
      </c>
      <c r="BJ124" s="522">
        <f t="shared" si="173"/>
        <v>771300.59</v>
      </c>
      <c r="BK124" s="522">
        <f t="shared" si="174"/>
        <v>758758.22</v>
      </c>
      <c r="BL124" s="525">
        <v>1591812.54</v>
      </c>
      <c r="BM124" s="522">
        <f>'[67]Дир_ по реал.услуг'!AW27</f>
        <v>1591812.54</v>
      </c>
      <c r="BN124" s="522">
        <f t="shared" si="204"/>
        <v>3329932.64</v>
      </c>
      <c r="BO124" s="522">
        <f t="shared" si="181"/>
        <v>1738120.1</v>
      </c>
      <c r="BP124" s="522">
        <f t="shared" si="175"/>
        <v>1738120.1</v>
      </c>
      <c r="BQ124" s="525">
        <v>1591812.54</v>
      </c>
      <c r="BR124" s="522">
        <f>'[67]Дир_ по реал.услуг'!BB27</f>
        <v>0</v>
      </c>
      <c r="BS124" s="522">
        <f>'[67]Дир_ по реал.услуг'!BC27</f>
        <v>0</v>
      </c>
      <c r="BT124" s="536"/>
      <c r="BU124" s="522">
        <v>4101233.23</v>
      </c>
      <c r="BV124" s="522"/>
      <c r="BW124" s="522"/>
      <c r="BX124" s="629"/>
      <c r="BY124" s="525">
        <v>4101233.23</v>
      </c>
      <c r="BZ124" s="525"/>
      <c r="CA124" s="525"/>
      <c r="CB124" s="522">
        <f t="shared" si="213"/>
        <v>4101233.23</v>
      </c>
      <c r="CC124" s="522">
        <f t="shared" si="176"/>
        <v>0</v>
      </c>
      <c r="CD124" s="522"/>
      <c r="CE124" s="522"/>
      <c r="CF124" s="522"/>
      <c r="CG124" s="522"/>
      <c r="CH124" s="522"/>
      <c r="CI124" s="522"/>
      <c r="CJ124" s="522"/>
      <c r="CK124" s="543" t="s">
        <v>78</v>
      </c>
      <c r="CL124" s="543" t="s">
        <v>1833</v>
      </c>
      <c r="CM124" s="528" t="s">
        <v>1907</v>
      </c>
      <c r="CN124" s="528"/>
      <c r="CO124" s="528"/>
      <c r="CP124" s="544">
        <f t="shared" si="214"/>
        <v>1468638.8024144245</v>
      </c>
      <c r="CQ124" s="544">
        <f t="shared" si="215"/>
        <v>107876.31134616057</v>
      </c>
      <c r="CR124" s="544">
        <f t="shared" si="216"/>
        <v>15297.426239415132</v>
      </c>
      <c r="CS124" s="1709" t="s">
        <v>1826</v>
      </c>
      <c r="CT124" s="1710"/>
      <c r="CU124" s="1710"/>
      <c r="CV124" s="1710"/>
      <c r="CW124" s="1711"/>
      <c r="CX124" s="528"/>
      <c r="CY124" s="528"/>
      <c r="CZ124" s="528"/>
      <c r="DA124" s="528"/>
      <c r="DB124" s="544"/>
      <c r="DC124" s="628" t="e">
        <f>P124-#REF!</f>
        <v>#REF!</v>
      </c>
      <c r="DD124" s="535"/>
      <c r="DE124" s="535"/>
      <c r="DF124" s="525">
        <f t="shared" si="211"/>
        <v>4101.2332299999998</v>
      </c>
      <c r="DG124" s="525">
        <f t="shared" si="211"/>
        <v>0</v>
      </c>
      <c r="DH124" s="525">
        <f t="shared" si="211"/>
        <v>0</v>
      </c>
      <c r="DI124" s="522">
        <f t="shared" si="209"/>
        <v>4101.2332299999998</v>
      </c>
      <c r="DJ124" s="536"/>
      <c r="DK124" s="536"/>
      <c r="DL124" s="536"/>
      <c r="DM124" s="536"/>
      <c r="DN124" s="536"/>
      <c r="DO124" s="536"/>
      <c r="DP124" s="536"/>
      <c r="DQ124" s="536"/>
      <c r="DR124" s="536"/>
      <c r="DS124" s="536"/>
    </row>
    <row r="125" spans="1:123" s="534" customFormat="1" ht="68.25" customHeight="1">
      <c r="A125" s="537" t="s">
        <v>454</v>
      </c>
      <c r="B125" s="538" t="s">
        <v>455</v>
      </c>
      <c r="C125" s="576">
        <v>6000</v>
      </c>
      <c r="D125" s="576">
        <v>1756803.64</v>
      </c>
      <c r="E125" s="525">
        <v>5656920</v>
      </c>
      <c r="F125" s="525">
        <v>388240.18</v>
      </c>
      <c r="G125" s="596">
        <v>424864.00021061365</v>
      </c>
      <c r="H125" s="596">
        <v>0</v>
      </c>
      <c r="I125" s="525">
        <f t="shared" si="198"/>
        <v>1081112.77</v>
      </c>
      <c r="J125" s="525">
        <v>212993.79</v>
      </c>
      <c r="K125" s="525">
        <v>547388</v>
      </c>
      <c r="L125" s="525">
        <v>320730.98</v>
      </c>
      <c r="M125" s="525">
        <f t="shared" si="199"/>
        <v>760381.79</v>
      </c>
      <c r="N125" s="525">
        <v>271220.99</v>
      </c>
      <c r="O125" s="525">
        <f t="shared" si="200"/>
        <v>178395.04000000004</v>
      </c>
      <c r="P125" s="522">
        <v>449616.03</v>
      </c>
      <c r="Q125" s="525">
        <f t="shared" si="151"/>
        <v>-631496.74</v>
      </c>
      <c r="R125" s="525">
        <f t="shared" si="152"/>
        <v>-58.411736270583503</v>
      </c>
      <c r="S125" s="525">
        <v>443794.45374999999</v>
      </c>
      <c r="T125" s="525">
        <v>443794.45374999999</v>
      </c>
      <c r="U125" s="522">
        <f t="shared" si="201"/>
        <v>380071.01</v>
      </c>
      <c r="V125" s="522">
        <f t="shared" si="149"/>
        <v>-63723.443749999977</v>
      </c>
      <c r="W125" s="522">
        <f t="shared" si="153"/>
        <v>-14.358774250454459</v>
      </c>
      <c r="X125" s="522">
        <f t="shared" si="154"/>
        <v>-69545.020000000019</v>
      </c>
      <c r="Y125" s="522">
        <f t="shared" si="155"/>
        <v>-15.467646916414438</v>
      </c>
      <c r="Z125" s="524">
        <f t="shared" si="156"/>
        <v>380071.01</v>
      </c>
      <c r="AA125" s="522">
        <f t="shared" si="157"/>
        <v>-63723.443749999977</v>
      </c>
      <c r="AB125" s="522">
        <f t="shared" si="158"/>
        <v>-14.358774250454459</v>
      </c>
      <c r="AC125" s="522">
        <f t="shared" si="159"/>
        <v>0</v>
      </c>
      <c r="AD125" s="522">
        <f t="shared" si="160"/>
        <v>0</v>
      </c>
      <c r="AE125" s="522">
        <f t="shared" si="161"/>
        <v>-69545.020000000019</v>
      </c>
      <c r="AF125" s="522">
        <f t="shared" si="162"/>
        <v>-15.467646916414438</v>
      </c>
      <c r="AG125" s="522">
        <f t="shared" si="177"/>
        <v>546883.31999999995</v>
      </c>
      <c r="AH125" s="522">
        <f t="shared" si="163"/>
        <v>166812.30999999994</v>
      </c>
      <c r="AI125" s="522">
        <f t="shared" si="164"/>
        <v>43.889774702890378</v>
      </c>
      <c r="AJ125" s="522">
        <f t="shared" si="165"/>
        <v>166812.30999999994</v>
      </c>
      <c r="AK125" s="522">
        <f t="shared" si="212"/>
        <v>43.889774702890378</v>
      </c>
      <c r="AL125" s="522">
        <f t="shared" si="202"/>
        <v>546883.31999999995</v>
      </c>
      <c r="AM125" s="522">
        <f t="shared" si="192"/>
        <v>260726.97</v>
      </c>
      <c r="AN125" s="522">
        <f t="shared" si="192"/>
        <v>240601.5</v>
      </c>
      <c r="AO125" s="522">
        <f t="shared" si="166"/>
        <v>-20125.47</v>
      </c>
      <c r="AP125" s="522">
        <f t="shared" si="178"/>
        <v>-7.7189828117896582</v>
      </c>
      <c r="AQ125" s="522">
        <v>0</v>
      </c>
      <c r="AR125" s="522">
        <v>30063.65</v>
      </c>
      <c r="AS125" s="522">
        <v>260726.97</v>
      </c>
      <c r="AT125" s="522">
        <v>210537.85</v>
      </c>
      <c r="AU125" s="522">
        <f t="shared" si="208"/>
        <v>119344.04000000001</v>
      </c>
      <c r="AV125" s="522">
        <f t="shared" si="208"/>
        <v>139469.51</v>
      </c>
      <c r="AW125" s="522">
        <f t="shared" si="167"/>
        <v>20125.47</v>
      </c>
      <c r="AX125" s="522">
        <f t="shared" si="168"/>
        <v>16.863405998322165</v>
      </c>
      <c r="AY125" s="522">
        <f t="shared" si="210"/>
        <v>306281.81999999995</v>
      </c>
      <c r="AZ125" s="522">
        <f t="shared" si="169"/>
        <v>-166812.30999999994</v>
      </c>
      <c r="BA125" s="522">
        <f t="shared" si="170"/>
        <v>-54.463666828151922</v>
      </c>
      <c r="BB125" s="522">
        <v>47917.43</v>
      </c>
      <c r="BC125" s="525">
        <f>'[67]Гл инж_Тех дир'!AT116</f>
        <v>68042.899999999994</v>
      </c>
      <c r="BD125" s="525">
        <f t="shared" si="203"/>
        <v>85804.390000000014</v>
      </c>
      <c r="BE125" s="525">
        <f t="shared" si="171"/>
        <v>37886.960000000014</v>
      </c>
      <c r="BF125" s="525">
        <f t="shared" si="172"/>
        <v>17761.49000000002</v>
      </c>
      <c r="BG125" s="525">
        <f t="shared" si="150"/>
        <v>308644.40000000002</v>
      </c>
      <c r="BH125" s="522">
        <f t="shared" si="150"/>
        <v>308644.40000000002</v>
      </c>
      <c r="BI125" s="522">
        <v>326405.89</v>
      </c>
      <c r="BJ125" s="522">
        <f t="shared" si="173"/>
        <v>17761.489999999991</v>
      </c>
      <c r="BK125" s="522">
        <f t="shared" si="174"/>
        <v>17761.489999999991</v>
      </c>
      <c r="BL125" s="525">
        <v>71426.61</v>
      </c>
      <c r="BM125" s="522">
        <f>'[67]Гл инж_Тех дир'!AW116</f>
        <v>71426.61</v>
      </c>
      <c r="BN125" s="522">
        <f t="shared" si="204"/>
        <v>220477.42999999993</v>
      </c>
      <c r="BO125" s="522">
        <f t="shared" si="181"/>
        <v>149050.81999999995</v>
      </c>
      <c r="BP125" s="522">
        <f t="shared" si="175"/>
        <v>149050.81999999995</v>
      </c>
      <c r="BQ125" s="525">
        <v>71426.61</v>
      </c>
      <c r="BR125" s="522">
        <f>'[67]Гл инж_Тех дир'!BB116</f>
        <v>0</v>
      </c>
      <c r="BS125" s="522">
        <f>'[67]Гл инж_Тех дир'!BC116</f>
        <v>0</v>
      </c>
      <c r="BT125" s="536"/>
      <c r="BU125" s="522">
        <v>546883.31999999995</v>
      </c>
      <c r="BV125" s="522"/>
      <c r="BW125" s="522"/>
      <c r="BX125" s="629"/>
      <c r="BY125" s="525">
        <v>480916.89</v>
      </c>
      <c r="BZ125" s="525">
        <v>60939.62</v>
      </c>
      <c r="CA125" s="525">
        <v>5026.8100000000004</v>
      </c>
      <c r="CB125" s="522">
        <f t="shared" si="213"/>
        <v>546883.32000000007</v>
      </c>
      <c r="CC125" s="522">
        <f t="shared" si="176"/>
        <v>0</v>
      </c>
      <c r="CD125" s="522"/>
      <c r="CE125" s="522"/>
      <c r="CF125" s="522"/>
      <c r="CG125" s="522"/>
      <c r="CH125" s="522"/>
      <c r="CI125" s="522"/>
      <c r="CJ125" s="522"/>
      <c r="CK125" s="542" t="s">
        <v>79</v>
      </c>
      <c r="CL125" s="543" t="s">
        <v>1914</v>
      </c>
      <c r="CM125" s="528" t="s">
        <v>1907</v>
      </c>
      <c r="CN125" s="528"/>
      <c r="CO125" s="528"/>
      <c r="CP125" s="544">
        <f t="shared" si="214"/>
        <v>350661.28638416226</v>
      </c>
      <c r="CQ125" s="544">
        <f t="shared" si="215"/>
        <v>25757.215487452879</v>
      </c>
      <c r="CR125" s="544">
        <f t="shared" si="216"/>
        <v>3652.5081283848981</v>
      </c>
      <c r="CS125" s="1709" t="s">
        <v>1826</v>
      </c>
      <c r="CT125" s="1710"/>
      <c r="CU125" s="1710"/>
      <c r="CV125" s="1710"/>
      <c r="CW125" s="1711"/>
      <c r="CX125" s="528"/>
      <c r="CY125" s="528"/>
      <c r="CZ125" s="528"/>
      <c r="DA125" s="528"/>
      <c r="DB125" s="544">
        <f>30063.65</f>
        <v>30063.65</v>
      </c>
      <c r="DC125" s="628" t="e">
        <f>P125-#REF!</f>
        <v>#REF!</v>
      </c>
      <c r="DD125" s="535"/>
      <c r="DE125" s="535"/>
      <c r="DF125" s="525">
        <f t="shared" si="211"/>
        <v>480.91689000000002</v>
      </c>
      <c r="DG125" s="525">
        <f t="shared" si="211"/>
        <v>60.939620000000005</v>
      </c>
      <c r="DH125" s="525">
        <f t="shared" si="211"/>
        <v>5.0268100000000002</v>
      </c>
      <c r="DI125" s="522">
        <f t="shared" si="209"/>
        <v>546.88332000000003</v>
      </c>
      <c r="DJ125" s="536"/>
      <c r="DK125" s="536"/>
      <c r="DL125" s="536"/>
      <c r="DM125" s="536"/>
      <c r="DN125" s="536"/>
      <c r="DO125" s="536"/>
      <c r="DP125" s="536"/>
      <c r="DQ125" s="536"/>
      <c r="DR125" s="536"/>
      <c r="DS125" s="536"/>
    </row>
    <row r="126" spans="1:123" s="534" customFormat="1" ht="83.25" customHeight="1">
      <c r="A126" s="537" t="s">
        <v>459</v>
      </c>
      <c r="B126" s="538" t="s">
        <v>460</v>
      </c>
      <c r="C126" s="576">
        <v>372650.02</v>
      </c>
      <c r="D126" s="576">
        <v>182921.5</v>
      </c>
      <c r="E126" s="525">
        <v>952440</v>
      </c>
      <c r="F126" s="525">
        <v>799519.66</v>
      </c>
      <c r="G126" s="596">
        <v>618838.19145849091</v>
      </c>
      <c r="H126" s="596">
        <v>0</v>
      </c>
      <c r="I126" s="525">
        <f t="shared" si="198"/>
        <v>445147.43</v>
      </c>
      <c r="J126" s="525">
        <v>195800.84</v>
      </c>
      <c r="K126" s="525">
        <v>172134.03</v>
      </c>
      <c r="L126" s="525">
        <v>77212.56</v>
      </c>
      <c r="M126" s="525">
        <f t="shared" si="199"/>
        <v>367934.87</v>
      </c>
      <c r="N126" s="525">
        <v>348151.92</v>
      </c>
      <c r="O126" s="525">
        <f t="shared" si="200"/>
        <v>143280.37</v>
      </c>
      <c r="P126" s="522">
        <f>22883+468549.29</f>
        <v>491432.29</v>
      </c>
      <c r="Q126" s="525">
        <f t="shared" si="151"/>
        <v>46284.859999999986</v>
      </c>
      <c r="R126" s="525">
        <f t="shared" si="152"/>
        <v>10.397647359213096</v>
      </c>
      <c r="S126" s="525">
        <v>652874.29198870785</v>
      </c>
      <c r="T126" s="525">
        <v>652874.29198870785</v>
      </c>
      <c r="U126" s="522">
        <f t="shared" si="201"/>
        <v>487876.89</v>
      </c>
      <c r="V126" s="522">
        <f t="shared" si="149"/>
        <v>-164997.40198870783</v>
      </c>
      <c r="W126" s="522">
        <f t="shared" si="153"/>
        <v>-25.27246117872285</v>
      </c>
      <c r="X126" s="522">
        <f t="shared" si="154"/>
        <v>-3555.3999999999651</v>
      </c>
      <c r="Y126" s="522">
        <f t="shared" si="155"/>
        <v>-0.72347708368938868</v>
      </c>
      <c r="Z126" s="524">
        <f t="shared" si="156"/>
        <v>492363.99</v>
      </c>
      <c r="AA126" s="522">
        <f t="shared" si="157"/>
        <v>-160510.30198870786</v>
      </c>
      <c r="AB126" s="522">
        <f t="shared" si="158"/>
        <v>-24.585177262805146</v>
      </c>
      <c r="AC126" s="522">
        <f t="shared" si="159"/>
        <v>4487.0999999999767</v>
      </c>
      <c r="AD126" s="522">
        <f t="shared" si="160"/>
        <v>0.91971972683518288</v>
      </c>
      <c r="AE126" s="522">
        <f t="shared" si="161"/>
        <v>931.70000000001164</v>
      </c>
      <c r="AF126" s="522">
        <f t="shared" si="162"/>
        <v>0.18958868168796528</v>
      </c>
      <c r="AG126" s="522">
        <f t="shared" si="177"/>
        <v>720521.56</v>
      </c>
      <c r="AH126" s="522">
        <f t="shared" si="163"/>
        <v>232644.67000000004</v>
      </c>
      <c r="AI126" s="522">
        <f t="shared" si="164"/>
        <v>47.685117858318733</v>
      </c>
      <c r="AJ126" s="522">
        <f t="shared" si="165"/>
        <v>228157.57000000007</v>
      </c>
      <c r="AK126" s="522">
        <f t="shared" si="212"/>
        <v>46.339207300680158</v>
      </c>
      <c r="AL126" s="522">
        <f t="shared" si="202"/>
        <v>720521.56</v>
      </c>
      <c r="AM126" s="522">
        <f t="shared" si="192"/>
        <v>487876.89</v>
      </c>
      <c r="AN126" s="522">
        <f t="shared" si="192"/>
        <v>492363.99</v>
      </c>
      <c r="AO126" s="522">
        <f t="shared" si="166"/>
        <v>4487.0999999999767</v>
      </c>
      <c r="AP126" s="522">
        <f t="shared" si="178"/>
        <v>0.91971972683518288</v>
      </c>
      <c r="AQ126" s="522">
        <v>25752.78</v>
      </c>
      <c r="AR126" s="522">
        <v>70474.240000000005</v>
      </c>
      <c r="AS126" s="522">
        <v>462124.11</v>
      </c>
      <c r="AT126" s="522">
        <v>421889.75</v>
      </c>
      <c r="AU126" s="522">
        <f t="shared" si="208"/>
        <v>0</v>
      </c>
      <c r="AV126" s="522">
        <f t="shared" si="208"/>
        <v>0</v>
      </c>
      <c r="AW126" s="522">
        <f t="shared" si="167"/>
        <v>0</v>
      </c>
      <c r="AX126" s="522">
        <v>0</v>
      </c>
      <c r="AY126" s="522">
        <f t="shared" si="210"/>
        <v>228157.57000000007</v>
      </c>
      <c r="AZ126" s="522">
        <f t="shared" si="169"/>
        <v>-228157.57000000007</v>
      </c>
      <c r="BA126" s="522">
        <v>0</v>
      </c>
      <c r="BB126" s="522">
        <v>0</v>
      </c>
      <c r="BC126" s="525">
        <f>'[67]Гл инж_Тех дир'!AT48</f>
        <v>0</v>
      </c>
      <c r="BD126" s="525">
        <f t="shared" si="203"/>
        <v>118064.62</v>
      </c>
      <c r="BE126" s="525">
        <f t="shared" si="171"/>
        <v>118064.62</v>
      </c>
      <c r="BF126" s="525">
        <f t="shared" si="172"/>
        <v>118064.62</v>
      </c>
      <c r="BG126" s="525">
        <f t="shared" si="150"/>
        <v>487876.89</v>
      </c>
      <c r="BH126" s="522">
        <f t="shared" si="150"/>
        <v>492363.99</v>
      </c>
      <c r="BI126" s="522">
        <f>579950.1+30478.51</f>
        <v>610428.61</v>
      </c>
      <c r="BJ126" s="522">
        <f t="shared" si="173"/>
        <v>122551.71999999997</v>
      </c>
      <c r="BK126" s="522">
        <f t="shared" si="174"/>
        <v>118064.62</v>
      </c>
      <c r="BL126" s="525">
        <v>0</v>
      </c>
      <c r="BM126" s="522">
        <f>'[67]Гл инж_Тех дир'!AW48</f>
        <v>0</v>
      </c>
      <c r="BN126" s="522">
        <f t="shared" si="204"/>
        <v>110092.95000000007</v>
      </c>
      <c r="BO126" s="522">
        <f t="shared" si="181"/>
        <v>110092.95000000007</v>
      </c>
      <c r="BP126" s="522">
        <f t="shared" si="175"/>
        <v>110092.95000000007</v>
      </c>
      <c r="BQ126" s="525">
        <v>0</v>
      </c>
      <c r="BR126" s="522">
        <f>'[67]Гл инж_Тех дир'!BB48</f>
        <v>0</v>
      </c>
      <c r="BS126" s="522">
        <f>'[67]Гл инж_Тех дир'!BC48</f>
        <v>0</v>
      </c>
      <c r="BT126" s="536"/>
      <c r="BU126" s="522">
        <v>690043.05</v>
      </c>
      <c r="BV126" s="522">
        <v>30478.51</v>
      </c>
      <c r="BW126" s="522"/>
      <c r="BX126" s="629"/>
      <c r="BY126" s="525">
        <f>624227.32+30478.51</f>
        <v>654705.82999999996</v>
      </c>
      <c r="BZ126" s="525">
        <v>58595.21</v>
      </c>
      <c r="CA126" s="525">
        <v>7220.52</v>
      </c>
      <c r="CB126" s="522">
        <f t="shared" si="213"/>
        <v>720521.55999999994</v>
      </c>
      <c r="CC126" s="522">
        <f t="shared" si="176"/>
        <v>0</v>
      </c>
      <c r="CD126" s="522"/>
      <c r="CE126" s="522"/>
      <c r="CF126" s="522"/>
      <c r="CG126" s="522"/>
      <c r="CH126" s="522"/>
      <c r="CI126" s="522"/>
      <c r="CJ126" s="522"/>
      <c r="CK126" s="542" t="s">
        <v>79</v>
      </c>
      <c r="CL126" s="543" t="s">
        <v>1903</v>
      </c>
      <c r="CM126" s="528" t="s">
        <v>1907</v>
      </c>
      <c r="CN126" s="528" t="s">
        <v>1849</v>
      </c>
      <c r="CO126" s="528"/>
      <c r="CP126" s="544">
        <f t="shared" si="214"/>
        <v>450125.19593247696</v>
      </c>
      <c r="CQ126" s="544">
        <f t="shared" si="215"/>
        <v>33063.164136297441</v>
      </c>
      <c r="CR126" s="544">
        <f t="shared" si="216"/>
        <v>4688.5299312256011</v>
      </c>
      <c r="CS126" s="1709" t="s">
        <v>1826</v>
      </c>
      <c r="CT126" s="1710"/>
      <c r="CU126" s="1710"/>
      <c r="CV126" s="1710"/>
      <c r="CW126" s="1711"/>
      <c r="CX126" s="528"/>
      <c r="CY126" s="528"/>
      <c r="CZ126" s="528"/>
      <c r="DA126" s="528"/>
      <c r="DB126" s="544">
        <f>69791.74+682.5</f>
        <v>70474.240000000005</v>
      </c>
      <c r="DC126" s="628" t="e">
        <f>P126-#REF!</f>
        <v>#REF!</v>
      </c>
      <c r="DD126" s="535"/>
      <c r="DE126" s="535"/>
      <c r="DF126" s="525">
        <f t="shared" si="211"/>
        <v>654.70582999999999</v>
      </c>
      <c r="DG126" s="525">
        <f t="shared" si="211"/>
        <v>58.595210000000002</v>
      </c>
      <c r="DH126" s="525">
        <f t="shared" si="211"/>
        <v>7.2205200000000005</v>
      </c>
      <c r="DI126" s="522">
        <f t="shared" si="209"/>
        <v>720.52155999999991</v>
      </c>
      <c r="DJ126" s="536"/>
      <c r="DK126" s="536"/>
      <c r="DL126" s="536"/>
      <c r="DM126" s="536"/>
      <c r="DN126" s="536"/>
      <c r="DO126" s="536"/>
      <c r="DP126" s="536"/>
      <c r="DQ126" s="536"/>
      <c r="DR126" s="536"/>
      <c r="DS126" s="536"/>
    </row>
    <row r="127" spans="1:123" s="534" customFormat="1" ht="57" customHeight="1">
      <c r="A127" s="537" t="s">
        <v>464</v>
      </c>
      <c r="B127" s="538" t="s">
        <v>465</v>
      </c>
      <c r="C127" s="576">
        <v>136052.29999999999</v>
      </c>
      <c r="D127" s="576">
        <v>380094.71999999997</v>
      </c>
      <c r="E127" s="576">
        <v>225000</v>
      </c>
      <c r="F127" s="576">
        <v>513121.91</v>
      </c>
      <c r="G127" s="577">
        <v>314962.35797288368</v>
      </c>
      <c r="H127" s="577">
        <v>0</v>
      </c>
      <c r="I127" s="576">
        <f t="shared" si="198"/>
        <v>492319.98000000004</v>
      </c>
      <c r="J127" s="576">
        <v>317140.78000000003</v>
      </c>
      <c r="K127" s="576">
        <v>159495.89000000001</v>
      </c>
      <c r="L127" s="576">
        <v>15683.31</v>
      </c>
      <c r="M127" s="576">
        <f t="shared" si="199"/>
        <v>476636.67000000004</v>
      </c>
      <c r="N127" s="576">
        <v>464987.15</v>
      </c>
      <c r="O127" s="525">
        <f t="shared" si="200"/>
        <v>258380.70999999996</v>
      </c>
      <c r="P127" s="522">
        <f>708967.86+14400</f>
        <v>723367.86</v>
      </c>
      <c r="Q127" s="576">
        <f t="shared" si="151"/>
        <v>231047.87999999995</v>
      </c>
      <c r="R127" s="576">
        <f t="shared" si="152"/>
        <v>46.930429270816887</v>
      </c>
      <c r="S127" s="576">
        <v>332285.28766139224</v>
      </c>
      <c r="T127" s="576">
        <v>332285.28766139224</v>
      </c>
      <c r="U127" s="522">
        <f t="shared" si="201"/>
        <v>332285.3</v>
      </c>
      <c r="V127" s="522">
        <f t="shared" si="149"/>
        <v>1.2338607746642083E-2</v>
      </c>
      <c r="W127" s="522">
        <f t="shared" si="153"/>
        <v>3.7132573282860903E-6</v>
      </c>
      <c r="X127" s="522">
        <f t="shared" si="154"/>
        <v>-391082.56</v>
      </c>
      <c r="Y127" s="522">
        <f t="shared" si="155"/>
        <v>-54.064132736005163</v>
      </c>
      <c r="Z127" s="524">
        <f t="shared" si="156"/>
        <v>501952</v>
      </c>
      <c r="AA127" s="522">
        <f t="shared" si="157"/>
        <v>169666.71233860776</v>
      </c>
      <c r="AB127" s="522">
        <f t="shared" si="158"/>
        <v>51.060555082866841</v>
      </c>
      <c r="AC127" s="522">
        <f t="shared" si="159"/>
        <v>169666.7</v>
      </c>
      <c r="AD127" s="522">
        <f t="shared" si="160"/>
        <v>51.060549473599934</v>
      </c>
      <c r="AE127" s="522">
        <f t="shared" si="161"/>
        <v>-221415.86</v>
      </c>
      <c r="AF127" s="522">
        <f t="shared" si="162"/>
        <v>-30.609026505545884</v>
      </c>
      <c r="AG127" s="522">
        <f t="shared" si="177"/>
        <v>641733.46</v>
      </c>
      <c r="AH127" s="522">
        <f t="shared" si="163"/>
        <v>309448.15999999997</v>
      </c>
      <c r="AI127" s="522">
        <f t="shared" si="164"/>
        <v>93.127249384790701</v>
      </c>
      <c r="AJ127" s="522">
        <f t="shared" si="165"/>
        <v>139781.45999999996</v>
      </c>
      <c r="AK127" s="522">
        <f t="shared" si="212"/>
        <v>27.847575066938674</v>
      </c>
      <c r="AL127" s="522">
        <f t="shared" si="202"/>
        <v>641733.46</v>
      </c>
      <c r="AM127" s="522">
        <f t="shared" si="192"/>
        <v>166142.65</v>
      </c>
      <c r="AN127" s="522">
        <f t="shared" si="192"/>
        <v>335809.35</v>
      </c>
      <c r="AO127" s="522">
        <f t="shared" si="166"/>
        <v>169666.69999999998</v>
      </c>
      <c r="AP127" s="522">
        <f t="shared" si="178"/>
        <v>102.1210989471999</v>
      </c>
      <c r="AQ127" s="578">
        <v>0</v>
      </c>
      <c r="AR127" s="578">
        <v>15431.36</v>
      </c>
      <c r="AS127" s="578">
        <v>166142.65</v>
      </c>
      <c r="AT127" s="578">
        <v>320377.99</v>
      </c>
      <c r="AU127" s="578">
        <f t="shared" si="208"/>
        <v>166142.65</v>
      </c>
      <c r="AV127" s="578">
        <f t="shared" si="208"/>
        <v>166142.65</v>
      </c>
      <c r="AW127" s="578">
        <f t="shared" si="167"/>
        <v>0</v>
      </c>
      <c r="AX127" s="578">
        <f t="shared" si="168"/>
        <v>0</v>
      </c>
      <c r="AY127" s="578">
        <f t="shared" si="210"/>
        <v>305924.11</v>
      </c>
      <c r="AZ127" s="578">
        <f t="shared" si="169"/>
        <v>-139781.46</v>
      </c>
      <c r="BA127" s="578">
        <f t="shared" si="170"/>
        <v>-45.691547488689267</v>
      </c>
      <c r="BB127" s="578">
        <v>166142.65</v>
      </c>
      <c r="BC127" s="525">
        <f>'[67]Гл инж_Тех дир'!AT49</f>
        <v>166142.65</v>
      </c>
      <c r="BD127" s="525">
        <f t="shared" si="203"/>
        <v>272637.77</v>
      </c>
      <c r="BE127" s="525">
        <f t="shared" si="171"/>
        <v>106495.12000000002</v>
      </c>
      <c r="BF127" s="525">
        <f t="shared" si="172"/>
        <v>106495.12000000002</v>
      </c>
      <c r="BG127" s="525">
        <f t="shared" si="150"/>
        <v>332285.3</v>
      </c>
      <c r="BH127" s="522">
        <f t="shared" si="150"/>
        <v>501952</v>
      </c>
      <c r="BI127" s="522">
        <v>608447.12</v>
      </c>
      <c r="BJ127" s="522">
        <f t="shared" si="173"/>
        <v>276161.82</v>
      </c>
      <c r="BK127" s="522">
        <f t="shared" si="174"/>
        <v>106495.12</v>
      </c>
      <c r="BL127" s="525">
        <v>0</v>
      </c>
      <c r="BM127" s="522">
        <f>'[67]Гл инж_Тех дир'!AW49</f>
        <v>0</v>
      </c>
      <c r="BN127" s="522">
        <f t="shared" si="204"/>
        <v>33286.339999999967</v>
      </c>
      <c r="BO127" s="522">
        <f t="shared" si="181"/>
        <v>33286.339999999967</v>
      </c>
      <c r="BP127" s="522">
        <f t="shared" si="175"/>
        <v>33286.339999999967</v>
      </c>
      <c r="BQ127" s="525">
        <v>0</v>
      </c>
      <c r="BR127" s="522">
        <f>'[67]Гл инж_Тех дир'!BB49</f>
        <v>0</v>
      </c>
      <c r="BS127" s="522">
        <f>'[67]Гл инж_Тех дир'!BC49</f>
        <v>0</v>
      </c>
      <c r="BT127" s="536"/>
      <c r="BU127" s="522">
        <f>618893.46+22840</f>
        <v>641733.46</v>
      </c>
      <c r="BV127" s="522"/>
      <c r="BW127" s="522"/>
      <c r="BX127" s="629"/>
      <c r="BY127" s="525">
        <f>563555.95+22013.18</f>
        <v>585569.13</v>
      </c>
      <c r="BZ127" s="525">
        <f>48032.51+630.46</f>
        <v>48662.97</v>
      </c>
      <c r="CA127" s="525">
        <f>7305+196.36</f>
        <v>7501.36</v>
      </c>
      <c r="CB127" s="522">
        <f t="shared" si="213"/>
        <v>641733.46</v>
      </c>
      <c r="CC127" s="522">
        <f t="shared" si="176"/>
        <v>0</v>
      </c>
      <c r="CD127" s="522"/>
      <c r="CE127" s="522"/>
      <c r="CF127" s="522"/>
      <c r="CG127" s="522"/>
      <c r="CH127" s="522"/>
      <c r="CI127" s="522"/>
      <c r="CJ127" s="522"/>
      <c r="CK127" s="542" t="s">
        <v>79</v>
      </c>
      <c r="CL127" s="543" t="s">
        <v>1903</v>
      </c>
      <c r="CM127" s="528" t="s">
        <v>1907</v>
      </c>
      <c r="CN127" s="528" t="s">
        <v>1849</v>
      </c>
      <c r="CO127" s="528"/>
      <c r="CP127" s="544">
        <f t="shared" si="214"/>
        <v>306573.21310706454</v>
      </c>
      <c r="CQ127" s="544">
        <f t="shared" si="215"/>
        <v>22518.802671671609</v>
      </c>
      <c r="CR127" s="544">
        <f t="shared" si="216"/>
        <v>3193.2842212638484</v>
      </c>
      <c r="CS127" s="1709" t="s">
        <v>1826</v>
      </c>
      <c r="CT127" s="1710"/>
      <c r="CU127" s="1710"/>
      <c r="CV127" s="1710"/>
      <c r="CW127" s="1711"/>
      <c r="CX127" s="528"/>
      <c r="CY127" s="528"/>
      <c r="CZ127" s="528"/>
      <c r="DA127" s="528"/>
      <c r="DB127" s="579">
        <f>15431.36</f>
        <v>15431.36</v>
      </c>
      <c r="DC127" s="628" t="e">
        <f>P127-#REF!</f>
        <v>#REF!</v>
      </c>
      <c r="DD127" s="535"/>
      <c r="DE127" s="535"/>
      <c r="DF127" s="525">
        <f t="shared" si="211"/>
        <v>585.56912999999997</v>
      </c>
      <c r="DG127" s="525">
        <f t="shared" si="211"/>
        <v>48.662970000000001</v>
      </c>
      <c r="DH127" s="525">
        <f t="shared" si="211"/>
        <v>7.50136</v>
      </c>
      <c r="DI127" s="522">
        <f t="shared" si="209"/>
        <v>641.73345999999992</v>
      </c>
      <c r="DJ127" s="536"/>
      <c r="DK127" s="536"/>
      <c r="DL127" s="536"/>
      <c r="DM127" s="536"/>
      <c r="DN127" s="536"/>
      <c r="DO127" s="536"/>
      <c r="DP127" s="536"/>
      <c r="DQ127" s="536"/>
      <c r="DR127" s="536"/>
      <c r="DS127" s="536"/>
    </row>
    <row r="128" spans="1:123" s="534" customFormat="1" ht="123.75" customHeight="1">
      <c r="A128" s="537" t="s">
        <v>469</v>
      </c>
      <c r="B128" s="538" t="s">
        <v>1915</v>
      </c>
      <c r="C128" s="576">
        <v>3438874.46</v>
      </c>
      <c r="D128" s="576">
        <v>4218507.75</v>
      </c>
      <c r="E128" s="576">
        <v>3970000</v>
      </c>
      <c r="F128" s="576">
        <v>4589667.53</v>
      </c>
      <c r="G128" s="577">
        <v>3682575.4984586476</v>
      </c>
      <c r="H128" s="577">
        <v>0</v>
      </c>
      <c r="I128" s="576">
        <f t="shared" si="198"/>
        <v>3773627.1600000006</v>
      </c>
      <c r="J128" s="576">
        <v>1947153.3000000003</v>
      </c>
      <c r="K128" s="576">
        <v>913236.93</v>
      </c>
      <c r="L128" s="576">
        <v>913236.93</v>
      </c>
      <c r="M128" s="576">
        <f t="shared" si="199"/>
        <v>2860390.2300000004</v>
      </c>
      <c r="N128" s="576">
        <v>3054669.18</v>
      </c>
      <c r="O128" s="525">
        <f t="shared" si="200"/>
        <v>1171672.19</v>
      </c>
      <c r="P128" s="522">
        <f>81511.98+4130597.84+14231.55</f>
        <v>4226341.37</v>
      </c>
      <c r="Q128" s="576">
        <f t="shared" si="151"/>
        <v>452714.2099999995</v>
      </c>
      <c r="R128" s="576">
        <f t="shared" si="152"/>
        <v>11.996792232118651</v>
      </c>
      <c r="S128" s="576">
        <v>3885117.1508738729</v>
      </c>
      <c r="T128" s="576">
        <v>3885117.1508738729</v>
      </c>
      <c r="U128" s="522">
        <f t="shared" si="201"/>
        <v>3885117.16</v>
      </c>
      <c r="V128" s="522">
        <f t="shared" si="149"/>
        <v>9.1261272318661213E-3</v>
      </c>
      <c r="W128" s="522">
        <f t="shared" si="153"/>
        <v>2.3489967304612946E-7</v>
      </c>
      <c r="X128" s="522">
        <f t="shared" si="154"/>
        <v>-341224.20999999996</v>
      </c>
      <c r="Y128" s="522">
        <f t="shared" si="155"/>
        <v>-8.0737493762838284</v>
      </c>
      <c r="Z128" s="524">
        <f t="shared" si="156"/>
        <v>4340382.3699999992</v>
      </c>
      <c r="AA128" s="522">
        <f t="shared" si="157"/>
        <v>455265.21912612626</v>
      </c>
      <c r="AB128" s="522">
        <f t="shared" si="158"/>
        <v>11.71818510089777</v>
      </c>
      <c r="AC128" s="522">
        <f t="shared" si="159"/>
        <v>455265.20999999903</v>
      </c>
      <c r="AD128" s="522">
        <f t="shared" si="160"/>
        <v>11.718184838472141</v>
      </c>
      <c r="AE128" s="522">
        <f t="shared" si="161"/>
        <v>114040.99999999907</v>
      </c>
      <c r="AF128" s="522">
        <f t="shared" si="162"/>
        <v>2.6983385868803822</v>
      </c>
      <c r="AG128" s="522">
        <f t="shared" si="177"/>
        <v>4708827.79</v>
      </c>
      <c r="AH128" s="522">
        <f t="shared" si="163"/>
        <v>823710.62999999989</v>
      </c>
      <c r="AI128" s="522">
        <f t="shared" si="164"/>
        <v>21.201693438763641</v>
      </c>
      <c r="AJ128" s="522">
        <f t="shared" si="165"/>
        <v>368445.42000000086</v>
      </c>
      <c r="AK128" s="522">
        <f t="shared" si="212"/>
        <v>8.4887779138223891</v>
      </c>
      <c r="AL128" s="522">
        <f t="shared" si="202"/>
        <v>4708827.79</v>
      </c>
      <c r="AM128" s="522">
        <f t="shared" si="192"/>
        <v>1541705.72</v>
      </c>
      <c r="AN128" s="522">
        <f t="shared" si="192"/>
        <v>1996970.9299999997</v>
      </c>
      <c r="AO128" s="522">
        <f t="shared" si="166"/>
        <v>455265.20999999973</v>
      </c>
      <c r="AP128" s="522">
        <f t="shared" si="178"/>
        <v>29.529968274360414</v>
      </c>
      <c r="AQ128" s="578">
        <v>370000</v>
      </c>
      <c r="AR128" s="578">
        <v>753388.79999999993</v>
      </c>
      <c r="AS128" s="578">
        <v>1171705.72</v>
      </c>
      <c r="AT128" s="578">
        <v>1243582.1299999999</v>
      </c>
      <c r="AU128" s="578">
        <f t="shared" si="208"/>
        <v>2343411.44</v>
      </c>
      <c r="AV128" s="578">
        <f t="shared" si="208"/>
        <v>2343411.44</v>
      </c>
      <c r="AW128" s="578">
        <f t="shared" si="167"/>
        <v>0</v>
      </c>
      <c r="AX128" s="578">
        <f t="shared" si="168"/>
        <v>0</v>
      </c>
      <c r="AY128" s="578">
        <f t="shared" si="210"/>
        <v>2711856.8600000003</v>
      </c>
      <c r="AZ128" s="578">
        <f t="shared" si="169"/>
        <v>-368445.42000000039</v>
      </c>
      <c r="BA128" s="578">
        <f t="shared" si="170"/>
        <v>-13.586462671927322</v>
      </c>
      <c r="BB128" s="578">
        <v>1171705.72</v>
      </c>
      <c r="BC128" s="525">
        <f>'[67]Гл инж_Тех дир'!AT50</f>
        <v>1171705.72</v>
      </c>
      <c r="BD128" s="525">
        <f t="shared" si="203"/>
        <v>1358022.7000000007</v>
      </c>
      <c r="BE128" s="525">
        <f t="shared" si="171"/>
        <v>186316.98000000068</v>
      </c>
      <c r="BF128" s="525">
        <f t="shared" si="172"/>
        <v>186316.98000000068</v>
      </c>
      <c r="BG128" s="525">
        <f t="shared" si="150"/>
        <v>2713411.44</v>
      </c>
      <c r="BH128" s="522">
        <f t="shared" si="150"/>
        <v>3168676.6499999994</v>
      </c>
      <c r="BI128" s="522">
        <f>3311862.56+1175.83+41955.24</f>
        <v>3354993.6300000004</v>
      </c>
      <c r="BJ128" s="522">
        <f t="shared" si="173"/>
        <v>641582.19000000041</v>
      </c>
      <c r="BK128" s="522">
        <f t="shared" si="174"/>
        <v>186316.98000000091</v>
      </c>
      <c r="BL128" s="525">
        <v>1171705.72</v>
      </c>
      <c r="BM128" s="522">
        <f>'[67]Гл инж_Тех дир'!AW50</f>
        <v>1171705.72</v>
      </c>
      <c r="BN128" s="522">
        <f t="shared" si="204"/>
        <v>1353834.1599999997</v>
      </c>
      <c r="BO128" s="522">
        <f t="shared" si="181"/>
        <v>182128.43999999971</v>
      </c>
      <c r="BP128" s="522">
        <f t="shared" si="175"/>
        <v>182128.43999999971</v>
      </c>
      <c r="BQ128" s="525">
        <v>1171705.72</v>
      </c>
      <c r="BR128" s="522">
        <f>'[67]Гл инж_Тех дир'!BB50</f>
        <v>0</v>
      </c>
      <c r="BS128" s="522">
        <f>'[67]Гл инж_Тех дир'!BC50</f>
        <v>0</v>
      </c>
      <c r="BT128" s="536"/>
      <c r="BU128" s="522">
        <f>4642345.07+1175.83</f>
        <v>4643520.9000000004</v>
      </c>
      <c r="BV128" s="522">
        <v>65306.89</v>
      </c>
      <c r="BW128" s="522"/>
      <c r="BX128" s="629"/>
      <c r="BY128" s="525">
        <f>4292188.12+1137.99+65306.89</f>
        <v>4358633</v>
      </c>
      <c r="BZ128" s="525">
        <f>301208.38+28.87</f>
        <v>301237.25</v>
      </c>
      <c r="CA128" s="525">
        <f>48948.57+8.97</f>
        <v>48957.54</v>
      </c>
      <c r="CB128" s="522">
        <f t="shared" si="213"/>
        <v>4708827.79</v>
      </c>
      <c r="CC128" s="522">
        <f t="shared" si="176"/>
        <v>0</v>
      </c>
      <c r="CD128" s="522"/>
      <c r="CE128" s="522"/>
      <c r="CF128" s="522"/>
      <c r="CG128" s="522"/>
      <c r="CH128" s="522"/>
      <c r="CI128" s="522"/>
      <c r="CJ128" s="522"/>
      <c r="CK128" s="542" t="s">
        <v>79</v>
      </c>
      <c r="CL128" s="543" t="s">
        <v>1916</v>
      </c>
      <c r="CM128" s="528" t="s">
        <v>1907</v>
      </c>
      <c r="CN128" s="528" t="s">
        <v>1849</v>
      </c>
      <c r="CO128" s="528"/>
      <c r="CP128" s="544">
        <f t="shared" si="214"/>
        <v>3584488.5435455418</v>
      </c>
      <c r="CQ128" s="544">
        <f t="shared" si="215"/>
        <v>263292.3776115441</v>
      </c>
      <c r="CR128" s="544">
        <f t="shared" si="216"/>
        <v>37336.238842914252</v>
      </c>
      <c r="CS128" s="1709" t="s">
        <v>1826</v>
      </c>
      <c r="CT128" s="1710"/>
      <c r="CU128" s="1710"/>
      <c r="CV128" s="1710"/>
      <c r="CW128" s="1711"/>
      <c r="CX128" s="528"/>
      <c r="CY128" s="528"/>
      <c r="CZ128" s="528"/>
      <c r="DA128" s="528"/>
      <c r="DB128" s="579">
        <f>741685.2+1175.83+10527.77</f>
        <v>753388.79999999993</v>
      </c>
      <c r="DC128" s="628" t="e">
        <f>P128-#REF!</f>
        <v>#REF!</v>
      </c>
      <c r="DD128" s="535"/>
      <c r="DE128" s="535"/>
      <c r="DF128" s="525">
        <f t="shared" si="211"/>
        <v>4358.6329999999998</v>
      </c>
      <c r="DG128" s="525">
        <f t="shared" si="211"/>
        <v>301.23725000000002</v>
      </c>
      <c r="DH128" s="525">
        <f t="shared" si="211"/>
        <v>48.957540000000002</v>
      </c>
      <c r="DI128" s="522">
        <f t="shared" si="209"/>
        <v>4708.8277900000003</v>
      </c>
      <c r="DJ128" s="536"/>
      <c r="DK128" s="536"/>
      <c r="DL128" s="536"/>
      <c r="DM128" s="536"/>
      <c r="DN128" s="536"/>
      <c r="DO128" s="536"/>
      <c r="DP128" s="536"/>
      <c r="DQ128" s="536"/>
      <c r="DR128" s="536"/>
      <c r="DS128" s="536"/>
    </row>
    <row r="129" spans="1:123" s="534" customFormat="1" ht="30" customHeight="1">
      <c r="A129" s="537" t="s">
        <v>474</v>
      </c>
      <c r="B129" s="538" t="s">
        <v>475</v>
      </c>
      <c r="C129" s="576">
        <v>4041809.15</v>
      </c>
      <c r="D129" s="576">
        <v>2291892.83</v>
      </c>
      <c r="E129" s="576">
        <v>4010675.11</v>
      </c>
      <c r="F129" s="576">
        <v>5246034.5199999996</v>
      </c>
      <c r="G129" s="577">
        <v>4218986.6027946016</v>
      </c>
      <c r="H129" s="577">
        <v>0</v>
      </c>
      <c r="I129" s="576">
        <f t="shared" si="198"/>
        <v>4556256.42</v>
      </c>
      <c r="J129" s="576">
        <v>2283804.62</v>
      </c>
      <c r="K129" s="576">
        <v>951972.99</v>
      </c>
      <c r="L129" s="576">
        <v>1320478.81</v>
      </c>
      <c r="M129" s="576">
        <f t="shared" si="199"/>
        <v>3235777.6100000003</v>
      </c>
      <c r="N129" s="576">
        <v>2871608.31</v>
      </c>
      <c r="O129" s="525">
        <f t="shared" si="200"/>
        <v>1277367.1299999999</v>
      </c>
      <c r="P129" s="522">
        <v>4148975.44</v>
      </c>
      <c r="Q129" s="576">
        <f t="shared" si="151"/>
        <v>-407280.98</v>
      </c>
      <c r="R129" s="576">
        <f t="shared" si="152"/>
        <v>-8.9389389546253852</v>
      </c>
      <c r="S129" s="576">
        <v>4451030.8659483045</v>
      </c>
      <c r="T129" s="576">
        <v>4451030.8659483045</v>
      </c>
      <c r="U129" s="522">
        <f t="shared" si="201"/>
        <v>3984080.44</v>
      </c>
      <c r="V129" s="522">
        <f t="shared" si="149"/>
        <v>-466950.42594830459</v>
      </c>
      <c r="W129" s="522">
        <f t="shared" si="153"/>
        <v>-10.490837740996412</v>
      </c>
      <c r="X129" s="522">
        <f t="shared" si="154"/>
        <v>-164895</v>
      </c>
      <c r="Y129" s="522">
        <f t="shared" si="155"/>
        <v>-3.9743546903232527</v>
      </c>
      <c r="Z129" s="524">
        <f t="shared" si="156"/>
        <v>3990196.51</v>
      </c>
      <c r="AA129" s="522">
        <f t="shared" si="157"/>
        <v>-460834.35594830476</v>
      </c>
      <c r="AB129" s="522">
        <f t="shared" si="158"/>
        <v>-10.353429796989801</v>
      </c>
      <c r="AC129" s="522">
        <f t="shared" si="159"/>
        <v>6116.0699999998324</v>
      </c>
      <c r="AD129" s="522">
        <f t="shared" si="160"/>
        <v>0.15351271371417852</v>
      </c>
      <c r="AE129" s="522">
        <f t="shared" si="161"/>
        <v>-158778.93000000017</v>
      </c>
      <c r="AF129" s="522">
        <f t="shared" si="162"/>
        <v>-3.8269431163468113</v>
      </c>
      <c r="AG129" s="522">
        <f t="shared" si="177"/>
        <v>4087203.8299999996</v>
      </c>
      <c r="AH129" s="522">
        <f t="shared" si="163"/>
        <v>103123.38999999966</v>
      </c>
      <c r="AI129" s="522">
        <f t="shared" si="164"/>
        <v>2.5883862425227591</v>
      </c>
      <c r="AJ129" s="522">
        <f t="shared" si="165"/>
        <v>97007.319999999832</v>
      </c>
      <c r="AK129" s="522">
        <f t="shared" si="212"/>
        <v>2.4311414176441133</v>
      </c>
      <c r="AL129" s="522">
        <f t="shared" si="202"/>
        <v>4087203.8299999996</v>
      </c>
      <c r="AM129" s="522">
        <f t="shared" si="192"/>
        <v>2012040.22</v>
      </c>
      <c r="AN129" s="522">
        <f t="shared" si="192"/>
        <v>2018156.33</v>
      </c>
      <c r="AO129" s="522">
        <f t="shared" si="166"/>
        <v>6116.1100000001024</v>
      </c>
      <c r="AP129" s="522">
        <f t="shared" si="178"/>
        <v>0.30397553384892717</v>
      </c>
      <c r="AQ129" s="578">
        <v>1006020.11</v>
      </c>
      <c r="AR129" s="578">
        <v>1105241.8600000001</v>
      </c>
      <c r="AS129" s="578">
        <v>1006020.11</v>
      </c>
      <c r="AT129" s="578">
        <v>912914.47</v>
      </c>
      <c r="AU129" s="578">
        <f t="shared" si="208"/>
        <v>1972040.22</v>
      </c>
      <c r="AV129" s="578">
        <f t="shared" si="208"/>
        <v>1972040.18</v>
      </c>
      <c r="AW129" s="578">
        <f t="shared" si="167"/>
        <v>-4.0000000037252903E-2</v>
      </c>
      <c r="AX129" s="578">
        <f t="shared" si="168"/>
        <v>-2.0283561923406523E-6</v>
      </c>
      <c r="AY129" s="578">
        <f t="shared" si="210"/>
        <v>2069047.4999999995</v>
      </c>
      <c r="AZ129" s="578">
        <f t="shared" si="169"/>
        <v>-97007.3199999996</v>
      </c>
      <c r="BA129" s="578">
        <f t="shared" si="170"/>
        <v>-4.6885013514672664</v>
      </c>
      <c r="BB129" s="578">
        <v>1006020.11</v>
      </c>
      <c r="BC129" s="525">
        <f>'[67]Гл инж_Тех дир'!AT51</f>
        <v>1006020.08</v>
      </c>
      <c r="BD129" s="525">
        <f t="shared" si="203"/>
        <v>755376.7799999998</v>
      </c>
      <c r="BE129" s="525">
        <f t="shared" si="171"/>
        <v>-250643.33000000019</v>
      </c>
      <c r="BF129" s="525">
        <f t="shared" si="172"/>
        <v>-250643.30000000016</v>
      </c>
      <c r="BG129" s="525">
        <f t="shared" si="150"/>
        <v>3018060.33</v>
      </c>
      <c r="BH129" s="522">
        <f t="shared" si="150"/>
        <v>3024176.41</v>
      </c>
      <c r="BI129" s="522">
        <f>2771197.61+2335.5</f>
        <v>2773533.11</v>
      </c>
      <c r="BJ129" s="522">
        <f t="shared" si="173"/>
        <v>-244527.2200000002</v>
      </c>
      <c r="BK129" s="522">
        <f t="shared" si="174"/>
        <v>-250643.30000000028</v>
      </c>
      <c r="BL129" s="525">
        <f>1006020.11-40000</f>
        <v>966020.11</v>
      </c>
      <c r="BM129" s="522">
        <f>'[67]Гл инж_Тех дир'!AW51</f>
        <v>966020.1</v>
      </c>
      <c r="BN129" s="522">
        <f t="shared" si="204"/>
        <v>1313670.7199999997</v>
      </c>
      <c r="BO129" s="522">
        <f t="shared" si="181"/>
        <v>347650.60999999975</v>
      </c>
      <c r="BP129" s="522">
        <f t="shared" si="175"/>
        <v>347650.61999999976</v>
      </c>
      <c r="BQ129" s="525">
        <f>1006020.11-40000</f>
        <v>966020.11</v>
      </c>
      <c r="BR129" s="522">
        <f>'[67]Гл инж_Тех дир'!BB51</f>
        <v>0</v>
      </c>
      <c r="BS129" s="522">
        <f>'[67]Гл инж_Тех дир'!BC51</f>
        <v>0</v>
      </c>
      <c r="BT129" s="536"/>
      <c r="BU129" s="522">
        <f>4073081.36+1811.76</f>
        <v>4074893.1199999996</v>
      </c>
      <c r="BV129" s="522">
        <v>12310.71</v>
      </c>
      <c r="BW129" s="522"/>
      <c r="BX129" s="629"/>
      <c r="BY129" s="525">
        <f>3794770.76+1807.99+12310.71</f>
        <v>3808889.46</v>
      </c>
      <c r="BZ129" s="525">
        <f>235270.74+3.04</f>
        <v>235273.78</v>
      </c>
      <c r="CA129" s="525">
        <f>43039.86+0.73</f>
        <v>43040.590000000004</v>
      </c>
      <c r="CB129" s="522">
        <f t="shared" si="213"/>
        <v>4087203.8299999996</v>
      </c>
      <c r="CC129" s="522">
        <f t="shared" si="176"/>
        <v>0</v>
      </c>
      <c r="CD129" s="522"/>
      <c r="CE129" s="522"/>
      <c r="CF129" s="522"/>
      <c r="CG129" s="522"/>
      <c r="CH129" s="522"/>
      <c r="CI129" s="522"/>
      <c r="CJ129" s="522"/>
      <c r="CK129" s="542" t="s">
        <v>79</v>
      </c>
      <c r="CL129" s="543" t="s">
        <v>1903</v>
      </c>
      <c r="CM129" s="528" t="s">
        <v>1907</v>
      </c>
      <c r="CN129" s="528" t="s">
        <v>1849</v>
      </c>
      <c r="CO129" s="528"/>
      <c r="CP129" s="544">
        <f t="shared" si="214"/>
        <v>3675794.0895002205</v>
      </c>
      <c r="CQ129" s="544">
        <f t="shared" si="215"/>
        <v>269999.06783847068</v>
      </c>
      <c r="CR129" s="544">
        <f t="shared" si="216"/>
        <v>38287.282661309218</v>
      </c>
      <c r="CS129" s="1709" t="s">
        <v>1826</v>
      </c>
      <c r="CT129" s="1710"/>
      <c r="CU129" s="1710"/>
      <c r="CV129" s="1710"/>
      <c r="CW129" s="1711"/>
      <c r="CX129" s="528"/>
      <c r="CY129" s="528"/>
      <c r="CZ129" s="528"/>
      <c r="DA129" s="528"/>
      <c r="DB129" s="579">
        <f>1103483.83+979.53+778.5</f>
        <v>1105241.8600000001</v>
      </c>
      <c r="DC129" s="628" t="e">
        <f>P129-#REF!</f>
        <v>#REF!</v>
      </c>
      <c r="DD129" s="535"/>
      <c r="DE129" s="535"/>
      <c r="DF129" s="525">
        <f t="shared" si="211"/>
        <v>3808.8894599999999</v>
      </c>
      <c r="DG129" s="525">
        <f t="shared" si="211"/>
        <v>235.27377999999999</v>
      </c>
      <c r="DH129" s="525">
        <f t="shared" si="211"/>
        <v>43.040590000000002</v>
      </c>
      <c r="DI129" s="522">
        <f t="shared" si="209"/>
        <v>4087.2038299999995</v>
      </c>
      <c r="DJ129" s="536"/>
      <c r="DK129" s="536"/>
      <c r="DL129" s="536"/>
      <c r="DM129" s="536"/>
      <c r="DN129" s="536"/>
      <c r="DO129" s="536"/>
      <c r="DP129" s="536"/>
      <c r="DQ129" s="536"/>
      <c r="DR129" s="536"/>
      <c r="DS129" s="536"/>
    </row>
    <row r="130" spans="1:123" s="534" customFormat="1" ht="39" customHeight="1">
      <c r="A130" s="537" t="s">
        <v>479</v>
      </c>
      <c r="B130" s="538" t="s">
        <v>480</v>
      </c>
      <c r="C130" s="576">
        <v>334540.37</v>
      </c>
      <c r="D130" s="576">
        <v>131836.84</v>
      </c>
      <c r="E130" s="525">
        <v>661400</v>
      </c>
      <c r="F130" s="525">
        <v>405868.68</v>
      </c>
      <c r="G130" s="596">
        <v>429885.63275904622</v>
      </c>
      <c r="H130" s="596">
        <v>0</v>
      </c>
      <c r="I130" s="525">
        <f t="shared" si="198"/>
        <v>230017.08000000002</v>
      </c>
      <c r="J130" s="525">
        <v>42799.25</v>
      </c>
      <c r="K130" s="525">
        <v>94777.45</v>
      </c>
      <c r="L130" s="525">
        <v>92440.38</v>
      </c>
      <c r="M130" s="525">
        <f t="shared" si="199"/>
        <v>137576.70000000001</v>
      </c>
      <c r="N130" s="525">
        <v>69656.61</v>
      </c>
      <c r="O130" s="525">
        <f t="shared" si="200"/>
        <v>25162.89</v>
      </c>
      <c r="P130" s="522">
        <v>94819.5</v>
      </c>
      <c r="Q130" s="525">
        <f t="shared" si="151"/>
        <v>-135197.58000000002</v>
      </c>
      <c r="R130" s="525">
        <f t="shared" si="152"/>
        <v>-58.777191676374649</v>
      </c>
      <c r="S130" s="525">
        <v>62340</v>
      </c>
      <c r="T130" s="525">
        <v>62340</v>
      </c>
      <c r="U130" s="522">
        <f t="shared" si="201"/>
        <v>94450.28</v>
      </c>
      <c r="V130" s="522">
        <f t="shared" si="149"/>
        <v>32110.28</v>
      </c>
      <c r="W130" s="522">
        <f t="shared" si="153"/>
        <v>51.508309271735641</v>
      </c>
      <c r="X130" s="522">
        <f t="shared" si="154"/>
        <v>-369.22000000000116</v>
      </c>
      <c r="Y130" s="522">
        <f t="shared" si="155"/>
        <v>-0.38939247728578152</v>
      </c>
      <c r="Z130" s="524">
        <f t="shared" si="156"/>
        <v>98223.84</v>
      </c>
      <c r="AA130" s="522">
        <f t="shared" si="157"/>
        <v>35883.839999999997</v>
      </c>
      <c r="AB130" s="522">
        <f t="shared" si="158"/>
        <v>57.561501443695846</v>
      </c>
      <c r="AC130" s="522">
        <f t="shared" si="159"/>
        <v>3773.5599999999977</v>
      </c>
      <c r="AD130" s="522">
        <f t="shared" si="160"/>
        <v>3.9952872558980204</v>
      </c>
      <c r="AE130" s="522">
        <f t="shared" si="161"/>
        <v>3404.3399999999965</v>
      </c>
      <c r="AF130" s="522">
        <f t="shared" si="162"/>
        <v>3.5903374305918021</v>
      </c>
      <c r="AG130" s="522">
        <f t="shared" si="177"/>
        <v>106626.89</v>
      </c>
      <c r="AH130" s="522">
        <f t="shared" si="163"/>
        <v>12176.61</v>
      </c>
      <c r="AI130" s="522">
        <f t="shared" si="164"/>
        <v>12.892084597314053</v>
      </c>
      <c r="AJ130" s="522">
        <f t="shared" si="165"/>
        <v>8403.0500000000029</v>
      </c>
      <c r="AK130" s="522">
        <f t="shared" si="212"/>
        <v>8.5550004968244053</v>
      </c>
      <c r="AL130" s="522">
        <f t="shared" si="202"/>
        <v>106626.89</v>
      </c>
      <c r="AM130" s="522">
        <f t="shared" si="192"/>
        <v>47225.14</v>
      </c>
      <c r="AN130" s="522">
        <f t="shared" si="192"/>
        <v>50998.7</v>
      </c>
      <c r="AO130" s="522">
        <f t="shared" si="166"/>
        <v>3773.5599999999977</v>
      </c>
      <c r="AP130" s="522">
        <f t="shared" si="178"/>
        <v>7.9905745117960407</v>
      </c>
      <c r="AQ130" s="522">
        <v>23612.57</v>
      </c>
      <c r="AR130" s="522">
        <v>25439.57</v>
      </c>
      <c r="AS130" s="522">
        <v>23612.57</v>
      </c>
      <c r="AT130" s="522">
        <v>25559.129999999997</v>
      </c>
      <c r="AU130" s="522">
        <f t="shared" si="208"/>
        <v>47225.14</v>
      </c>
      <c r="AV130" s="522">
        <f t="shared" si="208"/>
        <v>47225.14</v>
      </c>
      <c r="AW130" s="522">
        <f t="shared" si="167"/>
        <v>0</v>
      </c>
      <c r="AX130" s="522">
        <f t="shared" si="168"/>
        <v>0</v>
      </c>
      <c r="AY130" s="522">
        <f t="shared" si="210"/>
        <v>55628.19</v>
      </c>
      <c r="AZ130" s="522">
        <f t="shared" si="169"/>
        <v>-8403.0500000000029</v>
      </c>
      <c r="BA130" s="522">
        <f t="shared" si="170"/>
        <v>-15.105740452817187</v>
      </c>
      <c r="BB130" s="522">
        <v>23612.57</v>
      </c>
      <c r="BC130" s="525">
        <f>'[67]Гл инж_Тех дир'!AT52</f>
        <v>23612.57</v>
      </c>
      <c r="BD130" s="525">
        <f t="shared" si="203"/>
        <v>28090.190000000002</v>
      </c>
      <c r="BE130" s="525">
        <f t="shared" si="171"/>
        <v>4477.6200000000026</v>
      </c>
      <c r="BF130" s="525">
        <f t="shared" si="172"/>
        <v>4477.6200000000026</v>
      </c>
      <c r="BG130" s="525">
        <f t="shared" si="150"/>
        <v>70837.709999999992</v>
      </c>
      <c r="BH130" s="522">
        <f t="shared" si="150"/>
        <v>74611.26999999999</v>
      </c>
      <c r="BI130" s="522">
        <f>78666.89+422</f>
        <v>79088.89</v>
      </c>
      <c r="BJ130" s="522">
        <f t="shared" si="173"/>
        <v>8251.1800000000076</v>
      </c>
      <c r="BK130" s="522">
        <f t="shared" si="174"/>
        <v>4477.6200000000099</v>
      </c>
      <c r="BL130" s="525">
        <v>23612.57</v>
      </c>
      <c r="BM130" s="522">
        <f>'[67]Гл инж_Тех дир'!AW52</f>
        <v>23612.57</v>
      </c>
      <c r="BN130" s="522">
        <f t="shared" si="204"/>
        <v>27538</v>
      </c>
      <c r="BO130" s="522">
        <f t="shared" si="181"/>
        <v>3925.4300000000003</v>
      </c>
      <c r="BP130" s="522">
        <f t="shared" si="175"/>
        <v>3925.4300000000003</v>
      </c>
      <c r="BQ130" s="525">
        <v>23612.57</v>
      </c>
      <c r="BR130" s="522">
        <f>'[67]Гл инж_Тех дир'!BB52</f>
        <v>0</v>
      </c>
      <c r="BS130" s="522">
        <f>'[67]Гл инж_Тех дир'!BC52</f>
        <v>0</v>
      </c>
      <c r="BT130" s="536"/>
      <c r="BU130" s="522">
        <v>105826.89</v>
      </c>
      <c r="BV130" s="522">
        <v>800</v>
      </c>
      <c r="BW130" s="522"/>
      <c r="BX130" s="629"/>
      <c r="BY130" s="525">
        <f>98638.8+800</f>
        <v>99438.8</v>
      </c>
      <c r="BZ130" s="525">
        <v>6034.71</v>
      </c>
      <c r="CA130" s="525">
        <v>1153.3800000000001</v>
      </c>
      <c r="CB130" s="522">
        <f t="shared" si="213"/>
        <v>106626.89000000001</v>
      </c>
      <c r="CC130" s="522">
        <f t="shared" si="176"/>
        <v>0</v>
      </c>
      <c r="CD130" s="522"/>
      <c r="CE130" s="522"/>
      <c r="CF130" s="522"/>
      <c r="CG130" s="522"/>
      <c r="CH130" s="522"/>
      <c r="CI130" s="522"/>
      <c r="CJ130" s="522"/>
      <c r="CK130" s="542" t="s">
        <v>79</v>
      </c>
      <c r="CL130" s="543" t="s">
        <v>1903</v>
      </c>
      <c r="CM130" s="528" t="s">
        <v>1907</v>
      </c>
      <c r="CN130" s="528" t="s">
        <v>1849</v>
      </c>
      <c r="CO130" s="528"/>
      <c r="CP130" s="544">
        <f t="shared" si="214"/>
        <v>87141.75986256967</v>
      </c>
      <c r="CQ130" s="544">
        <f t="shared" si="215"/>
        <v>6400.8465544642859</v>
      </c>
      <c r="CR130" s="544">
        <f t="shared" si="216"/>
        <v>907.67358296606096</v>
      </c>
      <c r="CS130" s="1709" t="s">
        <v>1826</v>
      </c>
      <c r="CT130" s="1710"/>
      <c r="CU130" s="1710"/>
      <c r="CV130" s="1710"/>
      <c r="CW130" s="1711"/>
      <c r="CX130" s="528"/>
      <c r="CY130" s="528"/>
      <c r="CZ130" s="528"/>
      <c r="DA130" s="528"/>
      <c r="DB130" s="544">
        <f>25152.57+287</f>
        <v>25439.57</v>
      </c>
      <c r="DC130" s="628" t="e">
        <f>P130-#REF!</f>
        <v>#REF!</v>
      </c>
      <c r="DD130" s="535"/>
      <c r="DE130" s="535"/>
      <c r="DF130" s="525">
        <f t="shared" si="211"/>
        <v>99.438800000000001</v>
      </c>
      <c r="DG130" s="525">
        <f t="shared" si="211"/>
        <v>6.0347100000000005</v>
      </c>
      <c r="DH130" s="525">
        <f t="shared" si="211"/>
        <v>1.1533800000000001</v>
      </c>
      <c r="DI130" s="522">
        <f t="shared" si="209"/>
        <v>106.62689000000002</v>
      </c>
      <c r="DJ130" s="536"/>
      <c r="DK130" s="536"/>
      <c r="DL130" s="536"/>
      <c r="DM130" s="536"/>
      <c r="DN130" s="536"/>
      <c r="DO130" s="536"/>
      <c r="DP130" s="536"/>
      <c r="DQ130" s="536"/>
      <c r="DR130" s="536"/>
      <c r="DS130" s="536"/>
    </row>
    <row r="131" spans="1:123" s="534" customFormat="1" ht="96.75" customHeight="1">
      <c r="A131" s="537" t="s">
        <v>484</v>
      </c>
      <c r="B131" s="538" t="s">
        <v>1917</v>
      </c>
      <c r="C131" s="576">
        <v>2184223.71</v>
      </c>
      <c r="D131" s="576">
        <v>7436875.0999999996</v>
      </c>
      <c r="E131" s="576">
        <v>4050469.58</v>
      </c>
      <c r="F131" s="576">
        <v>1963952.48</v>
      </c>
      <c r="G131" s="577">
        <v>1778674.8491212984</v>
      </c>
      <c r="H131" s="577">
        <v>0</v>
      </c>
      <c r="I131" s="576">
        <f t="shared" si="198"/>
        <v>6710109.9499999993</v>
      </c>
      <c r="J131" s="576">
        <v>2132637.0099999998</v>
      </c>
      <c r="K131" s="576">
        <v>2141208.66</v>
      </c>
      <c r="L131" s="576">
        <v>2436264.2799999998</v>
      </c>
      <c r="M131" s="576">
        <f t="shared" si="199"/>
        <v>4273845.67</v>
      </c>
      <c r="N131" s="576">
        <v>3268991.49</v>
      </c>
      <c r="O131" s="525">
        <f t="shared" si="200"/>
        <v>1710631.3599999994</v>
      </c>
      <c r="P131" s="522">
        <v>4979622.8499999996</v>
      </c>
      <c r="Q131" s="576">
        <f t="shared" si="151"/>
        <v>-1730487.0999999996</v>
      </c>
      <c r="R131" s="576">
        <f t="shared" si="152"/>
        <v>-25.789251039023583</v>
      </c>
      <c r="S131" s="576">
        <v>2223837.6649999996</v>
      </c>
      <c r="T131" s="576">
        <v>2223837.6649999996</v>
      </c>
      <c r="U131" s="522">
        <f t="shared" si="201"/>
        <v>2223837.6800000002</v>
      </c>
      <c r="V131" s="522">
        <f t="shared" si="149"/>
        <v>1.5000000596046448E-2</v>
      </c>
      <c r="W131" s="522">
        <f t="shared" si="153"/>
        <v>6.7450969254423399E-7</v>
      </c>
      <c r="X131" s="522">
        <f t="shared" si="154"/>
        <v>-2755785.1699999995</v>
      </c>
      <c r="Y131" s="522">
        <f t="shared" si="155"/>
        <v>-55.341242760985395</v>
      </c>
      <c r="Z131" s="524">
        <f t="shared" si="156"/>
        <v>8749217.3499999996</v>
      </c>
      <c r="AA131" s="522">
        <f t="shared" si="157"/>
        <v>6525379.6850000005</v>
      </c>
      <c r="AB131" s="522">
        <f t="shared" si="158"/>
        <v>293.42877799490827</v>
      </c>
      <c r="AC131" s="522">
        <f t="shared" si="159"/>
        <v>6525379.6699999999</v>
      </c>
      <c r="AD131" s="522">
        <f t="shared" si="160"/>
        <v>293.42877534119299</v>
      </c>
      <c r="AE131" s="522">
        <f t="shared" si="161"/>
        <v>3769594.5</v>
      </c>
      <c r="AF131" s="522">
        <f t="shared" si="162"/>
        <v>75.700401688051556</v>
      </c>
      <c r="AG131" s="522">
        <f t="shared" si="177"/>
        <v>6487305.54</v>
      </c>
      <c r="AH131" s="522">
        <f t="shared" si="163"/>
        <v>4263467.8599999994</v>
      </c>
      <c r="AI131" s="522">
        <f t="shared" si="164"/>
        <v>191.71668410618889</v>
      </c>
      <c r="AJ131" s="522">
        <f t="shared" si="165"/>
        <v>-2261911.8099999996</v>
      </c>
      <c r="AK131" s="522">
        <f t="shared" si="212"/>
        <v>-25.852733101892824</v>
      </c>
      <c r="AL131" s="522">
        <f t="shared" si="202"/>
        <v>6487305.54</v>
      </c>
      <c r="AM131" s="522">
        <f t="shared" si="192"/>
        <v>1111918.8400000001</v>
      </c>
      <c r="AN131" s="522">
        <f t="shared" si="192"/>
        <v>3195949.57</v>
      </c>
      <c r="AO131" s="522">
        <f t="shared" si="166"/>
        <v>2084030.7299999997</v>
      </c>
      <c r="AP131" s="522">
        <f t="shared" si="178"/>
        <v>187.42651487045578</v>
      </c>
      <c r="AQ131" s="578">
        <v>555959.42000000004</v>
      </c>
      <c r="AR131" s="578">
        <v>1664516.57</v>
      </c>
      <c r="AS131" s="578">
        <v>555959.42000000004</v>
      </c>
      <c r="AT131" s="578">
        <v>1531432.9999999998</v>
      </c>
      <c r="AU131" s="578">
        <f t="shared" si="208"/>
        <v>1111918.8400000001</v>
      </c>
      <c r="AV131" s="578">
        <f t="shared" si="208"/>
        <v>5553267.7800000003</v>
      </c>
      <c r="AW131" s="578">
        <f t="shared" si="167"/>
        <v>4441348.9400000004</v>
      </c>
      <c r="AX131" s="578">
        <f t="shared" si="168"/>
        <v>399.43103581193026</v>
      </c>
      <c r="AY131" s="578">
        <f t="shared" si="210"/>
        <v>3291355.97</v>
      </c>
      <c r="AZ131" s="578">
        <f t="shared" si="169"/>
        <v>2261911.81</v>
      </c>
      <c r="BA131" s="578">
        <f t="shared" si="170"/>
        <v>68.72279481820982</v>
      </c>
      <c r="BB131" s="578">
        <v>555959.42000000004</v>
      </c>
      <c r="BC131" s="525">
        <f>'[67]Гл инж_Тех дир'!AT53</f>
        <v>2776633.89</v>
      </c>
      <c r="BD131" s="525">
        <f t="shared" si="203"/>
        <v>1515592.5900000003</v>
      </c>
      <c r="BE131" s="525">
        <f t="shared" si="171"/>
        <v>959633.17000000027</v>
      </c>
      <c r="BF131" s="525">
        <f t="shared" si="172"/>
        <v>-1261041.2999999998</v>
      </c>
      <c r="BG131" s="525">
        <f t="shared" si="150"/>
        <v>1667878.2600000002</v>
      </c>
      <c r="BH131" s="522">
        <f t="shared" si="150"/>
        <v>5972583.46</v>
      </c>
      <c r="BI131" s="522">
        <v>4711542.16</v>
      </c>
      <c r="BJ131" s="522">
        <f t="shared" si="173"/>
        <v>3043663.9</v>
      </c>
      <c r="BK131" s="522">
        <f t="shared" si="174"/>
        <v>-1261041.2999999998</v>
      </c>
      <c r="BL131" s="525">
        <v>555959.42000000004</v>
      </c>
      <c r="BM131" s="522">
        <f>'[67]Гл инж_Тех дир'!AW53</f>
        <v>2776633.89</v>
      </c>
      <c r="BN131" s="522">
        <f t="shared" si="204"/>
        <v>1775763.38</v>
      </c>
      <c r="BO131" s="522">
        <f t="shared" si="181"/>
        <v>1219803.96</v>
      </c>
      <c r="BP131" s="522">
        <f t="shared" si="175"/>
        <v>-1000870.5100000002</v>
      </c>
      <c r="BQ131" s="525">
        <v>555959.42000000004</v>
      </c>
      <c r="BR131" s="522">
        <f>'[67]Гл инж_Тех дир'!BB53</f>
        <v>0</v>
      </c>
      <c r="BS131" s="522">
        <f>'[67]Гл инж_Тех дир'!BC53</f>
        <v>0</v>
      </c>
      <c r="BT131" s="536"/>
      <c r="BU131" s="522">
        <v>6487305.54</v>
      </c>
      <c r="BV131" s="522"/>
      <c r="BW131" s="522"/>
      <c r="BX131" s="629"/>
      <c r="BY131" s="525">
        <v>6487305.54</v>
      </c>
      <c r="BZ131" s="525"/>
      <c r="CA131" s="525"/>
      <c r="CB131" s="522">
        <f t="shared" si="213"/>
        <v>6487305.54</v>
      </c>
      <c r="CC131" s="522">
        <f t="shared" si="176"/>
        <v>0</v>
      </c>
      <c r="CD131" s="522"/>
      <c r="CE131" s="522"/>
      <c r="CF131" s="522"/>
      <c r="CG131" s="522"/>
      <c r="CH131" s="522"/>
      <c r="CI131" s="522"/>
      <c r="CJ131" s="522"/>
      <c r="CK131" s="542" t="s">
        <v>79</v>
      </c>
      <c r="CL131" s="543" t="s">
        <v>1903</v>
      </c>
      <c r="CM131" s="528" t="s">
        <v>1907</v>
      </c>
      <c r="CN131" s="528" t="s">
        <v>1849</v>
      </c>
      <c r="CO131" s="528"/>
      <c r="CP131" s="544">
        <f t="shared" si="214"/>
        <v>2051758.1216688191</v>
      </c>
      <c r="CQ131" s="544">
        <f t="shared" si="215"/>
        <v>150708.32772243611</v>
      </c>
      <c r="CR131" s="544">
        <f t="shared" si="216"/>
        <v>21371.230608744969</v>
      </c>
      <c r="CS131" s="1709" t="s">
        <v>1826</v>
      </c>
      <c r="CT131" s="1710"/>
      <c r="CU131" s="1710"/>
      <c r="CV131" s="1710"/>
      <c r="CW131" s="1711"/>
      <c r="CX131" s="528"/>
      <c r="CY131" s="528"/>
      <c r="CZ131" s="528"/>
      <c r="DA131" s="528"/>
      <c r="DB131" s="579">
        <f>1664516.57</f>
        <v>1664516.57</v>
      </c>
      <c r="DC131" s="628" t="e">
        <f>P131-#REF!</f>
        <v>#REF!</v>
      </c>
      <c r="DD131" s="535"/>
      <c r="DE131" s="535"/>
      <c r="DF131" s="525">
        <f t="shared" si="211"/>
        <v>6487.3055400000003</v>
      </c>
      <c r="DG131" s="525">
        <f t="shared" si="211"/>
        <v>0</v>
      </c>
      <c r="DH131" s="525">
        <f t="shared" si="211"/>
        <v>0</v>
      </c>
      <c r="DI131" s="522">
        <f t="shared" si="209"/>
        <v>6487.3055400000003</v>
      </c>
      <c r="DJ131" s="536"/>
      <c r="DK131" s="536"/>
      <c r="DL131" s="536"/>
      <c r="DM131" s="536"/>
      <c r="DN131" s="536"/>
      <c r="DO131" s="536"/>
      <c r="DP131" s="536"/>
      <c r="DQ131" s="536"/>
      <c r="DR131" s="536"/>
      <c r="DS131" s="536"/>
    </row>
    <row r="132" spans="1:123" s="534" customFormat="1" ht="37.5" customHeight="1">
      <c r="A132" s="537" t="s">
        <v>489</v>
      </c>
      <c r="B132" s="538" t="s">
        <v>490</v>
      </c>
      <c r="C132" s="576">
        <v>100703.02</v>
      </c>
      <c r="D132" s="576">
        <v>21371.919999999998</v>
      </c>
      <c r="E132" s="576">
        <v>125080</v>
      </c>
      <c r="F132" s="576">
        <v>120404.18</v>
      </c>
      <c r="G132" s="577">
        <v>105696.77572446184</v>
      </c>
      <c r="H132" s="577">
        <v>0</v>
      </c>
      <c r="I132" s="576">
        <f t="shared" si="198"/>
        <v>127801.01999999999</v>
      </c>
      <c r="J132" s="576">
        <v>57787.24</v>
      </c>
      <c r="K132" s="576">
        <v>40708</v>
      </c>
      <c r="L132" s="576">
        <v>29305.78</v>
      </c>
      <c r="M132" s="576">
        <f t="shared" si="199"/>
        <v>98495.239999999991</v>
      </c>
      <c r="N132" s="576">
        <v>138227.16</v>
      </c>
      <c r="O132" s="525">
        <f t="shared" si="200"/>
        <v>87914.15</v>
      </c>
      <c r="P132" s="522">
        <f>2440+223701.31</f>
        <v>226141.31</v>
      </c>
      <c r="Q132" s="576">
        <f t="shared" si="151"/>
        <v>98340.290000000008</v>
      </c>
      <c r="R132" s="576">
        <f t="shared" si="152"/>
        <v>76.947969585845271</v>
      </c>
      <c r="S132" s="576">
        <v>111510.09838930724</v>
      </c>
      <c r="T132" s="576">
        <v>111510.09838930724</v>
      </c>
      <c r="U132" s="522">
        <f t="shared" si="201"/>
        <v>134318.87</v>
      </c>
      <c r="V132" s="522">
        <f t="shared" si="149"/>
        <v>22808.771610692755</v>
      </c>
      <c r="W132" s="522">
        <f t="shared" si="153"/>
        <v>20.454444880016268</v>
      </c>
      <c r="X132" s="522">
        <f t="shared" si="154"/>
        <v>-91822.44</v>
      </c>
      <c r="Y132" s="522">
        <f t="shared" si="155"/>
        <v>-40.604009944047817</v>
      </c>
      <c r="Z132" s="524">
        <f t="shared" si="156"/>
        <v>134318.87</v>
      </c>
      <c r="AA132" s="522">
        <f t="shared" si="157"/>
        <v>22808.771610692755</v>
      </c>
      <c r="AB132" s="522">
        <f t="shared" si="158"/>
        <v>20.454444880016268</v>
      </c>
      <c r="AC132" s="522">
        <f t="shared" si="159"/>
        <v>0</v>
      </c>
      <c r="AD132" s="522">
        <f t="shared" si="160"/>
        <v>0</v>
      </c>
      <c r="AE132" s="522">
        <f t="shared" si="161"/>
        <v>-91822.44</v>
      </c>
      <c r="AF132" s="522">
        <f t="shared" si="162"/>
        <v>-40.604009944047817</v>
      </c>
      <c r="AG132" s="522">
        <f t="shared" si="177"/>
        <v>135989.1</v>
      </c>
      <c r="AH132" s="522">
        <f t="shared" si="163"/>
        <v>1670.2300000000105</v>
      </c>
      <c r="AI132" s="522">
        <f t="shared" si="164"/>
        <v>1.2434812770536325</v>
      </c>
      <c r="AJ132" s="522">
        <f t="shared" si="165"/>
        <v>1670.2300000000105</v>
      </c>
      <c r="AK132" s="522">
        <f t="shared" si="212"/>
        <v>1.2434812770536325</v>
      </c>
      <c r="AL132" s="522">
        <f t="shared" si="202"/>
        <v>135989.1</v>
      </c>
      <c r="AM132" s="522">
        <f t="shared" si="192"/>
        <v>50180</v>
      </c>
      <c r="AN132" s="522">
        <f t="shared" si="192"/>
        <v>44022.52</v>
      </c>
      <c r="AO132" s="522">
        <f t="shared" si="166"/>
        <v>-6157.4800000000032</v>
      </c>
      <c r="AP132" s="522">
        <f t="shared" si="178"/>
        <v>-12.270785173375856</v>
      </c>
      <c r="AQ132" s="578">
        <v>0</v>
      </c>
      <c r="AR132" s="578">
        <v>0</v>
      </c>
      <c r="AS132" s="578">
        <v>50180</v>
      </c>
      <c r="AT132" s="578">
        <v>44022.52</v>
      </c>
      <c r="AU132" s="578">
        <f t="shared" si="208"/>
        <v>84138.87</v>
      </c>
      <c r="AV132" s="578">
        <f t="shared" si="208"/>
        <v>90296.35</v>
      </c>
      <c r="AW132" s="578">
        <f t="shared" si="167"/>
        <v>6157.4800000000105</v>
      </c>
      <c r="AX132" s="578">
        <f t="shared" si="168"/>
        <v>7.3182347231428366</v>
      </c>
      <c r="AY132" s="578">
        <f t="shared" si="210"/>
        <v>91966.580000000016</v>
      </c>
      <c r="AZ132" s="578">
        <f t="shared" si="169"/>
        <v>-1670.2300000000105</v>
      </c>
      <c r="BA132" s="578">
        <f t="shared" si="170"/>
        <v>-1.8161271192209227</v>
      </c>
      <c r="BB132" s="578">
        <v>54755</v>
      </c>
      <c r="BC132" s="576">
        <f>'[67]Гл инж_Тех дир'!AT8</f>
        <v>58612.480000000003</v>
      </c>
      <c r="BD132" s="576">
        <f t="shared" si="203"/>
        <v>31772.80000000001</v>
      </c>
      <c r="BE132" s="576">
        <f t="shared" si="171"/>
        <v>-22982.19999999999</v>
      </c>
      <c r="BF132" s="576">
        <f t="shared" si="172"/>
        <v>-26839.679999999993</v>
      </c>
      <c r="BG132" s="576">
        <f t="shared" si="150"/>
        <v>104935</v>
      </c>
      <c r="BH132" s="578">
        <f t="shared" si="150"/>
        <v>102635</v>
      </c>
      <c r="BI132" s="578">
        <v>75795.320000000007</v>
      </c>
      <c r="BJ132" s="578">
        <f t="shared" si="173"/>
        <v>-29139.679999999993</v>
      </c>
      <c r="BK132" s="578">
        <f t="shared" si="174"/>
        <v>-26839.679999999993</v>
      </c>
      <c r="BL132" s="576">
        <v>29383.87</v>
      </c>
      <c r="BM132" s="578">
        <f>'[67]Гл инж_Тех дир'!AW8</f>
        <v>31683.87</v>
      </c>
      <c r="BN132" s="522">
        <f t="shared" si="204"/>
        <v>60193.78</v>
      </c>
      <c r="BO132" s="578">
        <f t="shared" si="181"/>
        <v>30809.91</v>
      </c>
      <c r="BP132" s="578">
        <f t="shared" si="175"/>
        <v>28509.91</v>
      </c>
      <c r="BQ132" s="576">
        <v>29383.87</v>
      </c>
      <c r="BR132" s="578">
        <f>'[67]Гл инж_Тех дир'!BB8</f>
        <v>0</v>
      </c>
      <c r="BS132" s="578">
        <f>'[67]Гл инж_Тех дир'!BC8</f>
        <v>0</v>
      </c>
      <c r="BT132" s="536"/>
      <c r="BU132" s="578">
        <v>135989.1</v>
      </c>
      <c r="BV132" s="578"/>
      <c r="BW132" s="578"/>
      <c r="BX132" s="629"/>
      <c r="BY132" s="525">
        <v>122401.62</v>
      </c>
      <c r="BZ132" s="525">
        <v>12122.56</v>
      </c>
      <c r="CA132" s="525">
        <v>1464.92</v>
      </c>
      <c r="CB132" s="522">
        <f t="shared" si="213"/>
        <v>135989.1</v>
      </c>
      <c r="CC132" s="522">
        <f t="shared" si="176"/>
        <v>0</v>
      </c>
      <c r="CD132" s="578"/>
      <c r="CE132" s="578"/>
      <c r="CF132" s="578"/>
      <c r="CG132" s="578"/>
      <c r="CH132" s="578"/>
      <c r="CI132" s="578"/>
      <c r="CJ132" s="578"/>
      <c r="CK132" s="542" t="s">
        <v>79</v>
      </c>
      <c r="CL132" s="543" t="s">
        <v>1803</v>
      </c>
      <c r="CM132" s="528" t="s">
        <v>1907</v>
      </c>
      <c r="CN132" s="528" t="s">
        <v>1849</v>
      </c>
      <c r="CO132" s="528"/>
      <c r="CP132" s="544">
        <f t="shared" si="214"/>
        <v>123925.33632035513</v>
      </c>
      <c r="CQ132" s="544">
        <f t="shared" si="215"/>
        <v>9102.7202485692615</v>
      </c>
      <c r="CR132" s="544">
        <f t="shared" si="216"/>
        <v>1290.8134310756152</v>
      </c>
      <c r="CS132" s="1709" t="s">
        <v>1826</v>
      </c>
      <c r="CT132" s="1710"/>
      <c r="CU132" s="1710"/>
      <c r="CV132" s="1710"/>
      <c r="CW132" s="1711"/>
      <c r="CX132" s="528"/>
      <c r="CY132" s="528"/>
      <c r="CZ132" s="528"/>
      <c r="DA132" s="528"/>
      <c r="DB132" s="579"/>
      <c r="DC132" s="628" t="e">
        <f>P132-#REF!</f>
        <v>#REF!</v>
      </c>
      <c r="DD132" s="535"/>
      <c r="DE132" s="535"/>
      <c r="DF132" s="525">
        <f t="shared" si="211"/>
        <v>122.40161999999999</v>
      </c>
      <c r="DG132" s="525">
        <f t="shared" si="211"/>
        <v>12.12256</v>
      </c>
      <c r="DH132" s="525">
        <f t="shared" si="211"/>
        <v>1.46492</v>
      </c>
      <c r="DI132" s="522">
        <f t="shared" si="209"/>
        <v>135.98910000000001</v>
      </c>
      <c r="DJ132" s="536"/>
      <c r="DK132" s="536"/>
      <c r="DL132" s="536"/>
      <c r="DM132" s="536"/>
      <c r="DN132" s="536"/>
      <c r="DO132" s="536"/>
      <c r="DP132" s="536"/>
      <c r="DQ132" s="536"/>
      <c r="DR132" s="536"/>
      <c r="DS132" s="536"/>
    </row>
    <row r="133" spans="1:123" s="534" customFormat="1" ht="84.6">
      <c r="A133" s="537" t="s">
        <v>1918</v>
      </c>
      <c r="B133" s="538" t="s">
        <v>514</v>
      </c>
      <c r="C133" s="576">
        <v>883237.17</v>
      </c>
      <c r="D133" s="576">
        <v>0</v>
      </c>
      <c r="E133" s="576">
        <v>873387.77</v>
      </c>
      <c r="F133" s="576">
        <v>494571.96</v>
      </c>
      <c r="G133" s="631">
        <v>0</v>
      </c>
      <c r="H133" s="577">
        <v>0</v>
      </c>
      <c r="I133" s="576">
        <f t="shared" si="198"/>
        <v>332890.56</v>
      </c>
      <c r="J133" s="576">
        <v>251885.65</v>
      </c>
      <c r="K133" s="576">
        <v>42956.78</v>
      </c>
      <c r="L133" s="576">
        <v>38048.129999999997</v>
      </c>
      <c r="M133" s="576">
        <f t="shared" si="199"/>
        <v>294842.43</v>
      </c>
      <c r="N133" s="576">
        <v>377593.3</v>
      </c>
      <c r="O133" s="525">
        <f t="shared" si="200"/>
        <v>123554.32</v>
      </c>
      <c r="P133" s="522">
        <v>501147.62</v>
      </c>
      <c r="Q133" s="576">
        <f t="shared" si="151"/>
        <v>168257.06</v>
      </c>
      <c r="R133" s="576">
        <f t="shared" si="152"/>
        <v>50.544256947388362</v>
      </c>
      <c r="S133" s="576"/>
      <c r="T133" s="576"/>
      <c r="U133" s="522">
        <f t="shared" si="201"/>
        <v>374000.12999999995</v>
      </c>
      <c r="V133" s="522">
        <f t="shared" ref="V133:V196" si="217">U133-T133</f>
        <v>374000.12999999995</v>
      </c>
      <c r="W133" s="522">
        <v>0</v>
      </c>
      <c r="X133" s="522">
        <f t="shared" si="154"/>
        <v>-127147.49000000005</v>
      </c>
      <c r="Y133" s="522">
        <f t="shared" si="155"/>
        <v>-25.371264858047226</v>
      </c>
      <c r="Z133" s="524">
        <f t="shared" si="156"/>
        <v>374000.13</v>
      </c>
      <c r="AA133" s="522">
        <f t="shared" si="157"/>
        <v>374000.13</v>
      </c>
      <c r="AB133" s="522">
        <v>0</v>
      </c>
      <c r="AC133" s="522">
        <f t="shared" si="159"/>
        <v>0</v>
      </c>
      <c r="AD133" s="522">
        <f t="shared" si="160"/>
        <v>0</v>
      </c>
      <c r="AE133" s="522">
        <f t="shared" si="161"/>
        <v>-127147.48999999999</v>
      </c>
      <c r="AF133" s="522">
        <f t="shared" si="162"/>
        <v>-25.371264858047212</v>
      </c>
      <c r="AG133" s="522">
        <f t="shared" si="177"/>
        <v>368850.59</v>
      </c>
      <c r="AH133" s="522">
        <f t="shared" si="163"/>
        <v>-5149.5399999999208</v>
      </c>
      <c r="AI133" s="522">
        <f t="shared" si="164"/>
        <v>-1.3768818743458411</v>
      </c>
      <c r="AJ133" s="522">
        <f t="shared" si="165"/>
        <v>-5149.539999999979</v>
      </c>
      <c r="AK133" s="522">
        <f t="shared" si="212"/>
        <v>-1.3768818743458695</v>
      </c>
      <c r="AL133" s="522">
        <f t="shared" si="202"/>
        <v>368850.59</v>
      </c>
      <c r="AM133" s="522">
        <f t="shared" si="192"/>
        <v>198161.66999999998</v>
      </c>
      <c r="AN133" s="522">
        <f t="shared" si="192"/>
        <v>162582.91</v>
      </c>
      <c r="AO133" s="522">
        <f t="shared" si="166"/>
        <v>-35578.75999999998</v>
      </c>
      <c r="AP133" s="522">
        <f t="shared" si="178"/>
        <v>-17.954410658731319</v>
      </c>
      <c r="AQ133" s="578">
        <v>87919.23</v>
      </c>
      <c r="AR133" s="578">
        <v>58610.27</v>
      </c>
      <c r="AS133" s="578">
        <v>110242.44</v>
      </c>
      <c r="AT133" s="578">
        <v>103972.64000000001</v>
      </c>
      <c r="AU133" s="578">
        <f t="shared" si="208"/>
        <v>175838.46</v>
      </c>
      <c r="AV133" s="578">
        <f t="shared" si="208"/>
        <v>211417.22</v>
      </c>
      <c r="AW133" s="578">
        <f t="shared" si="167"/>
        <v>35578.760000000009</v>
      </c>
      <c r="AX133" s="578">
        <f t="shared" si="168"/>
        <v>20.233775932751016</v>
      </c>
      <c r="AY133" s="578">
        <f t="shared" si="210"/>
        <v>206267.68000000002</v>
      </c>
      <c r="AZ133" s="578">
        <f t="shared" si="169"/>
        <v>5149.539999999979</v>
      </c>
      <c r="BA133" s="578">
        <f t="shared" si="170"/>
        <v>2.4965326608608791</v>
      </c>
      <c r="BB133" s="578">
        <v>87919.23</v>
      </c>
      <c r="BC133" s="576">
        <f>'[67]Гл инж_Тех дир'!AT98</f>
        <v>123497.99</v>
      </c>
      <c r="BD133" s="576">
        <f t="shared" si="203"/>
        <v>159603.87000000002</v>
      </c>
      <c r="BE133" s="576">
        <f t="shared" si="171"/>
        <v>71684.640000000029</v>
      </c>
      <c r="BF133" s="576">
        <f t="shared" si="172"/>
        <v>36105.880000000019</v>
      </c>
      <c r="BG133" s="576">
        <f t="shared" ref="BG133:BH196" si="218">AM133+BB133</f>
        <v>286080.89999999997</v>
      </c>
      <c r="BH133" s="578">
        <f t="shared" si="218"/>
        <v>286080.90000000002</v>
      </c>
      <c r="BI133" s="578">
        <v>322186.78000000003</v>
      </c>
      <c r="BJ133" s="578">
        <f t="shared" si="173"/>
        <v>36105.880000000063</v>
      </c>
      <c r="BK133" s="578">
        <f t="shared" si="174"/>
        <v>36105.880000000005</v>
      </c>
      <c r="BL133" s="576">
        <v>87919.23</v>
      </c>
      <c r="BM133" s="578">
        <f>'[67]Гл инж_Тех дир'!AW98</f>
        <v>87919.23</v>
      </c>
      <c r="BN133" s="522">
        <f t="shared" si="204"/>
        <v>46663.81</v>
      </c>
      <c r="BO133" s="578">
        <f t="shared" si="181"/>
        <v>-41255.42</v>
      </c>
      <c r="BP133" s="578">
        <f t="shared" si="175"/>
        <v>-41255.42</v>
      </c>
      <c r="BQ133" s="576">
        <v>87919.23</v>
      </c>
      <c r="BR133" s="578">
        <f>'[67]Гл инж_Тех дир'!BB98</f>
        <v>0</v>
      </c>
      <c r="BS133" s="578">
        <f>'[67]Гл инж_Тех дир'!BC98</f>
        <v>0</v>
      </c>
      <c r="BT133" s="536"/>
      <c r="BU133" s="578">
        <v>368850.59</v>
      </c>
      <c r="BV133" s="578"/>
      <c r="BW133" s="578"/>
      <c r="BX133" s="629"/>
      <c r="BY133" s="576">
        <v>40294.54</v>
      </c>
      <c r="BZ133" s="576"/>
      <c r="CA133" s="576">
        <v>328556.05</v>
      </c>
      <c r="CB133" s="522">
        <f t="shared" si="213"/>
        <v>368850.58999999997</v>
      </c>
      <c r="CC133" s="578">
        <f t="shared" si="176"/>
        <v>0</v>
      </c>
      <c r="CD133" s="578"/>
      <c r="CE133" s="578"/>
      <c r="CF133" s="578"/>
      <c r="CG133" s="578"/>
      <c r="CH133" s="578"/>
      <c r="CI133" s="578"/>
      <c r="CJ133" s="578"/>
      <c r="CK133" s="542" t="s">
        <v>79</v>
      </c>
      <c r="CL133" s="543" t="s">
        <v>1913</v>
      </c>
      <c r="CM133" s="528" t="s">
        <v>1907</v>
      </c>
      <c r="CN133" s="528"/>
      <c r="CO133" s="528"/>
      <c r="CP133" s="579"/>
      <c r="CQ133" s="579"/>
      <c r="CR133" s="579">
        <f>U133</f>
        <v>374000.12999999995</v>
      </c>
      <c r="CS133" s="1727"/>
      <c r="CT133" s="1728"/>
      <c r="CU133" s="1728"/>
      <c r="CV133" s="1728"/>
      <c r="CW133" s="1729"/>
      <c r="CX133" s="528"/>
      <c r="CY133" s="528"/>
      <c r="CZ133" s="528"/>
      <c r="DA133" s="528"/>
      <c r="DB133" s="579">
        <f>58610.27</f>
        <v>58610.27</v>
      </c>
      <c r="DC133" s="628" t="e">
        <f>P133-#REF!</f>
        <v>#REF!</v>
      </c>
      <c r="DD133" s="535"/>
      <c r="DE133" s="535"/>
      <c r="DF133" s="576">
        <f t="shared" si="211"/>
        <v>40.294539999999998</v>
      </c>
      <c r="DG133" s="576">
        <f t="shared" si="211"/>
        <v>0</v>
      </c>
      <c r="DH133" s="576">
        <f t="shared" si="211"/>
        <v>328.55604999999997</v>
      </c>
      <c r="DI133" s="522">
        <f t="shared" si="209"/>
        <v>368.85058999999995</v>
      </c>
      <c r="DJ133" s="536"/>
      <c r="DK133" s="536"/>
      <c r="DL133" s="536"/>
      <c r="DM133" s="536"/>
      <c r="DN133" s="536"/>
      <c r="DO133" s="536"/>
      <c r="DP133" s="536"/>
      <c r="DQ133" s="536"/>
      <c r="DR133" s="536"/>
      <c r="DS133" s="536"/>
    </row>
    <row r="134" spans="1:123" s="534" customFormat="1" ht="84.6">
      <c r="A134" s="537" t="s">
        <v>1919</v>
      </c>
      <c r="B134" s="538" t="s">
        <v>516</v>
      </c>
      <c r="C134" s="576">
        <v>999652.94</v>
      </c>
      <c r="D134" s="576">
        <v>0</v>
      </c>
      <c r="E134" s="576">
        <v>505920</v>
      </c>
      <c r="F134" s="576">
        <v>461530.37</v>
      </c>
      <c r="G134" s="577">
        <v>0</v>
      </c>
      <c r="H134" s="577">
        <v>0</v>
      </c>
      <c r="I134" s="576">
        <f t="shared" si="198"/>
        <v>554930.36</v>
      </c>
      <c r="J134" s="576">
        <v>277465.18</v>
      </c>
      <c r="K134" s="576">
        <v>138732.59</v>
      </c>
      <c r="L134" s="576">
        <v>138732.59</v>
      </c>
      <c r="M134" s="576">
        <f t="shared" si="199"/>
        <v>416197.77</v>
      </c>
      <c r="N134" s="576">
        <v>384062.07</v>
      </c>
      <c r="O134" s="525">
        <f t="shared" si="200"/>
        <v>631417.72</v>
      </c>
      <c r="P134" s="522">
        <v>1015479.79</v>
      </c>
      <c r="Q134" s="576">
        <f t="shared" ref="Q134:Q197" si="219">P134-I134</f>
        <v>460549.43000000005</v>
      </c>
      <c r="R134" s="576">
        <f t="shared" ref="R134:R197" si="220">P134/I134*100-100</f>
        <v>82.992292942847826</v>
      </c>
      <c r="S134" s="576"/>
      <c r="T134" s="576"/>
      <c r="U134" s="522">
        <f t="shared" si="201"/>
        <v>3463416.2</v>
      </c>
      <c r="V134" s="522">
        <f t="shared" si="217"/>
        <v>3463416.2</v>
      </c>
      <c r="W134" s="522">
        <v>0</v>
      </c>
      <c r="X134" s="522">
        <f t="shared" ref="X134:X197" si="221">U134-P134</f>
        <v>2447936.41</v>
      </c>
      <c r="Y134" s="522">
        <f t="shared" ref="Y134:Y197" si="222">U134/P134*100-100</f>
        <v>241.06205107242948</v>
      </c>
      <c r="Z134" s="524">
        <f t="shared" ref="Z134:Z197" si="223">AN134+AV134</f>
        <v>3051373.19</v>
      </c>
      <c r="AA134" s="522">
        <f t="shared" ref="AA134:AA197" si="224">Z134-T134</f>
        <v>3051373.19</v>
      </c>
      <c r="AB134" s="522">
        <v>0</v>
      </c>
      <c r="AC134" s="522">
        <f t="shared" ref="AC134:AC197" si="225">Z134-U134</f>
        <v>-412043.01000000024</v>
      </c>
      <c r="AD134" s="522">
        <f t="shared" ref="AD134:AD197" si="226">Z134/U134*100-100</f>
        <v>-11.897011107125962</v>
      </c>
      <c r="AE134" s="522">
        <f t="shared" ref="AE134:AE197" si="227">Z134-P134</f>
        <v>2035893.4</v>
      </c>
      <c r="AF134" s="522">
        <f t="shared" ref="AF134:AF197" si="228">Z134/P134*100-100</f>
        <v>200.48586097415091</v>
      </c>
      <c r="AG134" s="522">
        <f t="shared" si="177"/>
        <v>3109888.67</v>
      </c>
      <c r="AH134" s="522">
        <f t="shared" ref="AH134:AH197" si="229">AG134-U134</f>
        <v>-353527.53000000026</v>
      </c>
      <c r="AI134" s="522">
        <f t="shared" ref="AI134:AI197" si="230">AG134/U134*100-100</f>
        <v>-10.207480406195486</v>
      </c>
      <c r="AJ134" s="522">
        <f t="shared" ref="AJ134:AJ197" si="231">AG134-Z134</f>
        <v>58515.479999999981</v>
      </c>
      <c r="AK134" s="522">
        <f t="shared" si="212"/>
        <v>1.9176769394110096</v>
      </c>
      <c r="AL134" s="522">
        <f t="shared" si="202"/>
        <v>3109888.67</v>
      </c>
      <c r="AM134" s="522">
        <f t="shared" si="192"/>
        <v>1694046.1</v>
      </c>
      <c r="AN134" s="522">
        <f t="shared" si="192"/>
        <v>1123373.19</v>
      </c>
      <c r="AO134" s="522">
        <f t="shared" ref="AO134:AO197" si="232">AN134-AM134</f>
        <v>-570672.91000000015</v>
      </c>
      <c r="AP134" s="522">
        <f t="shared" si="178"/>
        <v>-33.686976405187565</v>
      </c>
      <c r="AQ134" s="578">
        <v>820933.5</v>
      </c>
      <c r="AR134" s="578">
        <v>865942.24</v>
      </c>
      <c r="AS134" s="578">
        <v>873112.6</v>
      </c>
      <c r="AT134" s="578">
        <v>257430.94999999995</v>
      </c>
      <c r="AU134" s="578">
        <f t="shared" si="208"/>
        <v>1769370.1</v>
      </c>
      <c r="AV134" s="578">
        <f t="shared" si="208"/>
        <v>1928000</v>
      </c>
      <c r="AW134" s="578">
        <f t="shared" ref="AW134:AW197" si="233">AV134-AU134</f>
        <v>158629.89999999991</v>
      </c>
      <c r="AX134" s="578">
        <f t="shared" ref="AX134:AX197" si="234">AV134/AU134*100-100</f>
        <v>8.965331786718906</v>
      </c>
      <c r="AY134" s="578">
        <f t="shared" si="210"/>
        <v>1986515.48</v>
      </c>
      <c r="AZ134" s="578">
        <f t="shared" ref="AZ134:AZ197" si="235">AV134-AY134</f>
        <v>-58515.479999999981</v>
      </c>
      <c r="BA134" s="578">
        <f t="shared" ref="BA134:BA197" si="236">AV134/AY134*100-100</f>
        <v>-2.9456342318560758</v>
      </c>
      <c r="BB134" s="578">
        <v>885666.6</v>
      </c>
      <c r="BC134" s="576">
        <f>'[67]Гл инж_Тех дир'!AT9</f>
        <v>950000</v>
      </c>
      <c r="BD134" s="576">
        <f t="shared" si="203"/>
        <v>1645260.65</v>
      </c>
      <c r="BE134" s="576">
        <f t="shared" ref="BE134:BE197" si="237">BD134-BB134</f>
        <v>759594.04999999993</v>
      </c>
      <c r="BF134" s="576">
        <f t="shared" ref="BF134:BF197" si="238">BD134-BC134</f>
        <v>695260.64999999991</v>
      </c>
      <c r="BG134" s="576">
        <f t="shared" si="218"/>
        <v>2579712.7000000002</v>
      </c>
      <c r="BH134" s="578">
        <f t="shared" si="218"/>
        <v>2073373.19</v>
      </c>
      <c r="BI134" s="578">
        <v>2768633.84</v>
      </c>
      <c r="BJ134" s="578">
        <f t="shared" ref="BJ134:BJ197" si="239">BI134-BG134</f>
        <v>188921.13999999966</v>
      </c>
      <c r="BK134" s="578">
        <f t="shared" ref="BK134:BK197" si="240">BI134-BH134</f>
        <v>695260.64999999991</v>
      </c>
      <c r="BL134" s="576">
        <v>883703.5</v>
      </c>
      <c r="BM134" s="578">
        <f>'[67]Гл инж_Тех дир'!AW9</f>
        <v>978000</v>
      </c>
      <c r="BN134" s="522">
        <f t="shared" si="204"/>
        <v>341254.83000000007</v>
      </c>
      <c r="BO134" s="578">
        <f t="shared" si="181"/>
        <v>-542448.66999999993</v>
      </c>
      <c r="BP134" s="578">
        <f t="shared" ref="BP134:BP197" si="241">BN134-BM134</f>
        <v>-636745.16999999993</v>
      </c>
      <c r="BQ134" s="576">
        <v>883703.5</v>
      </c>
      <c r="BR134" s="578">
        <f>'[67]Гл инж_Тех дир'!BB9</f>
        <v>0</v>
      </c>
      <c r="BS134" s="578">
        <f>'[67]Гл инж_Тех дир'!BC9</f>
        <v>0</v>
      </c>
      <c r="BT134" s="536"/>
      <c r="BU134" s="578">
        <v>3109888.67</v>
      </c>
      <c r="BV134" s="578"/>
      <c r="BW134" s="578"/>
      <c r="BX134" s="629"/>
      <c r="BY134" s="576"/>
      <c r="BZ134" s="576"/>
      <c r="CA134" s="576">
        <v>3109888.67</v>
      </c>
      <c r="CB134" s="522">
        <f t="shared" si="213"/>
        <v>3109888.67</v>
      </c>
      <c r="CC134" s="578">
        <f t="shared" ref="CC134:CC197" si="242">AL134-CB134</f>
        <v>0</v>
      </c>
      <c r="CD134" s="578"/>
      <c r="CE134" s="578"/>
      <c r="CF134" s="578"/>
      <c r="CG134" s="578"/>
      <c r="CH134" s="578"/>
      <c r="CI134" s="578"/>
      <c r="CJ134" s="578"/>
      <c r="CK134" s="542" t="s">
        <v>79</v>
      </c>
      <c r="CL134" s="543" t="s">
        <v>1803</v>
      </c>
      <c r="CM134" s="528" t="s">
        <v>1907</v>
      </c>
      <c r="CN134" s="528"/>
      <c r="CO134" s="528"/>
      <c r="CP134" s="579"/>
      <c r="CQ134" s="579"/>
      <c r="CR134" s="579">
        <f>U134</f>
        <v>3463416.2</v>
      </c>
      <c r="CS134" s="1727"/>
      <c r="CT134" s="1728"/>
      <c r="CU134" s="1728"/>
      <c r="CV134" s="1728"/>
      <c r="CW134" s="1729"/>
      <c r="CX134" s="528"/>
      <c r="CY134" s="528"/>
      <c r="CZ134" s="528"/>
      <c r="DA134" s="528"/>
      <c r="DB134" s="579">
        <f>865942.24</f>
        <v>865942.24</v>
      </c>
      <c r="DC134" s="628" t="e">
        <f>P134-#REF!</f>
        <v>#REF!</v>
      </c>
      <c r="DD134" s="535">
        <f>2768633.84</f>
        <v>2768633.84</v>
      </c>
      <c r="DE134" s="535"/>
      <c r="DF134" s="576">
        <f t="shared" si="211"/>
        <v>0</v>
      </c>
      <c r="DG134" s="576">
        <f t="shared" si="211"/>
        <v>0</v>
      </c>
      <c r="DH134" s="576">
        <f t="shared" si="211"/>
        <v>3109.8886699999998</v>
      </c>
      <c r="DI134" s="522">
        <f t="shared" si="209"/>
        <v>3109.8886699999998</v>
      </c>
      <c r="DJ134" s="536"/>
      <c r="DK134" s="536"/>
      <c r="DL134" s="536"/>
      <c r="DM134" s="536"/>
      <c r="DN134" s="536"/>
      <c r="DO134" s="536"/>
      <c r="DP134" s="536"/>
      <c r="DQ134" s="536"/>
      <c r="DR134" s="536"/>
      <c r="DS134" s="536"/>
    </row>
    <row r="135" spans="1:123" s="534" customFormat="1" ht="92.25" customHeight="1">
      <c r="A135" s="537" t="s">
        <v>1920</v>
      </c>
      <c r="B135" s="538" t="s">
        <v>1921</v>
      </c>
      <c r="C135" s="576"/>
      <c r="D135" s="576"/>
      <c r="E135" s="576">
        <v>0</v>
      </c>
      <c r="F135" s="576"/>
      <c r="G135" s="577">
        <v>0</v>
      </c>
      <c r="H135" s="577">
        <v>0</v>
      </c>
      <c r="I135" s="576">
        <f t="shared" si="198"/>
        <v>20012.55</v>
      </c>
      <c r="J135" s="576">
        <v>20012.55</v>
      </c>
      <c r="K135" s="576">
        <v>0</v>
      </c>
      <c r="L135" s="576">
        <v>0</v>
      </c>
      <c r="M135" s="576">
        <f t="shared" si="199"/>
        <v>20012.55</v>
      </c>
      <c r="N135" s="576">
        <v>170963.75</v>
      </c>
      <c r="O135" s="525">
        <f t="shared" si="200"/>
        <v>31472.049999999988</v>
      </c>
      <c r="P135" s="522">
        <v>202435.8</v>
      </c>
      <c r="Q135" s="576">
        <f t="shared" si="219"/>
        <v>182423.25</v>
      </c>
      <c r="R135" s="576">
        <f t="shared" si="220"/>
        <v>911.54425597937291</v>
      </c>
      <c r="S135" s="576"/>
      <c r="T135" s="576"/>
      <c r="U135" s="522">
        <f t="shared" si="201"/>
        <v>0</v>
      </c>
      <c r="V135" s="522">
        <f t="shared" si="217"/>
        <v>0</v>
      </c>
      <c r="W135" s="522">
        <v>0</v>
      </c>
      <c r="X135" s="522">
        <f t="shared" si="221"/>
        <v>-202435.8</v>
      </c>
      <c r="Y135" s="522">
        <f t="shared" si="222"/>
        <v>-100</v>
      </c>
      <c r="Z135" s="524">
        <f t="shared" si="223"/>
        <v>107111.87</v>
      </c>
      <c r="AA135" s="522">
        <f t="shared" si="224"/>
        <v>107111.87</v>
      </c>
      <c r="AB135" s="522">
        <v>0</v>
      </c>
      <c r="AC135" s="522">
        <f t="shared" si="225"/>
        <v>107111.87</v>
      </c>
      <c r="AD135" s="522">
        <v>0</v>
      </c>
      <c r="AE135" s="522">
        <f t="shared" si="227"/>
        <v>-95323.93</v>
      </c>
      <c r="AF135" s="522">
        <f t="shared" si="228"/>
        <v>-47.088474469436726</v>
      </c>
      <c r="AG135" s="522">
        <f t="shared" ref="AG135:AG198" si="243">AN135+AY135</f>
        <v>223701.56</v>
      </c>
      <c r="AH135" s="522">
        <f t="shared" si="229"/>
        <v>223701.56</v>
      </c>
      <c r="AI135" s="522">
        <v>0</v>
      </c>
      <c r="AJ135" s="522">
        <f t="shared" si="231"/>
        <v>116589.69</v>
      </c>
      <c r="AK135" s="522">
        <f t="shared" si="212"/>
        <v>108.84852444458306</v>
      </c>
      <c r="AL135" s="522">
        <f t="shared" si="202"/>
        <v>223701.56</v>
      </c>
      <c r="AM135" s="522">
        <f t="shared" si="192"/>
        <v>0</v>
      </c>
      <c r="AN135" s="522">
        <f t="shared" si="192"/>
        <v>107111.87</v>
      </c>
      <c r="AO135" s="522">
        <f t="shared" si="232"/>
        <v>107111.87</v>
      </c>
      <c r="AP135" s="522">
        <v>0</v>
      </c>
      <c r="AQ135" s="578">
        <v>0</v>
      </c>
      <c r="AR135" s="578">
        <v>17753.02</v>
      </c>
      <c r="AS135" s="578">
        <v>0</v>
      </c>
      <c r="AT135" s="578">
        <v>89358.849999999991</v>
      </c>
      <c r="AU135" s="578">
        <f t="shared" si="208"/>
        <v>0</v>
      </c>
      <c r="AV135" s="578">
        <f t="shared" si="208"/>
        <v>0</v>
      </c>
      <c r="AW135" s="578">
        <f t="shared" si="233"/>
        <v>0</v>
      </c>
      <c r="AX135" s="578">
        <v>0</v>
      </c>
      <c r="AY135" s="578">
        <f t="shared" si="210"/>
        <v>116589.69</v>
      </c>
      <c r="AZ135" s="578">
        <f t="shared" si="235"/>
        <v>-116589.69</v>
      </c>
      <c r="BA135" s="578">
        <v>0</v>
      </c>
      <c r="BB135" s="578">
        <v>0</v>
      </c>
      <c r="BC135" s="576">
        <f>'[67]Дир_ по кап.стр.'!AT8</f>
        <v>0</v>
      </c>
      <c r="BD135" s="576">
        <f t="shared" si="203"/>
        <v>32606.110000000015</v>
      </c>
      <c r="BE135" s="576">
        <f t="shared" si="237"/>
        <v>32606.110000000015</v>
      </c>
      <c r="BF135" s="576">
        <f t="shared" si="238"/>
        <v>32606.110000000015</v>
      </c>
      <c r="BG135" s="576">
        <f t="shared" si="218"/>
        <v>0</v>
      </c>
      <c r="BH135" s="578">
        <f t="shared" si="218"/>
        <v>107111.87</v>
      </c>
      <c r="BI135" s="578">
        <v>139717.98000000001</v>
      </c>
      <c r="BJ135" s="578">
        <f t="shared" si="239"/>
        <v>139717.98000000001</v>
      </c>
      <c r="BK135" s="578">
        <f t="shared" si="240"/>
        <v>32606.110000000015</v>
      </c>
      <c r="BL135" s="576">
        <v>0</v>
      </c>
      <c r="BM135" s="578">
        <f>'[67]Дир_ по кап.стр.'!AW8</f>
        <v>0</v>
      </c>
      <c r="BN135" s="522">
        <f t="shared" si="204"/>
        <v>83983.579999999987</v>
      </c>
      <c r="BO135" s="578">
        <f t="shared" si="181"/>
        <v>83983.579999999987</v>
      </c>
      <c r="BP135" s="578">
        <f t="shared" si="241"/>
        <v>83983.579999999987</v>
      </c>
      <c r="BQ135" s="576">
        <v>0</v>
      </c>
      <c r="BR135" s="578">
        <f>'[67]Дир_ по кап.стр.'!BB8</f>
        <v>0</v>
      </c>
      <c r="BS135" s="578">
        <f>'[67]Дир_ по кап.стр.'!BC8</f>
        <v>0</v>
      </c>
      <c r="BT135" s="536"/>
      <c r="BU135" s="578">
        <v>223701.56</v>
      </c>
      <c r="BV135" s="578"/>
      <c r="BW135" s="578"/>
      <c r="BX135" s="629"/>
      <c r="BY135" s="576">
        <v>44958.05</v>
      </c>
      <c r="BZ135" s="576">
        <v>178743.51</v>
      </c>
      <c r="CA135" s="576"/>
      <c r="CB135" s="522">
        <f t="shared" si="213"/>
        <v>223701.56</v>
      </c>
      <c r="CC135" s="578">
        <f t="shared" si="242"/>
        <v>0</v>
      </c>
      <c r="CD135" s="578"/>
      <c r="CE135" s="578"/>
      <c r="CF135" s="578"/>
      <c r="CG135" s="578"/>
      <c r="CH135" s="578"/>
      <c r="CI135" s="578"/>
      <c r="CJ135" s="578"/>
      <c r="CK135" s="542" t="s">
        <v>1791</v>
      </c>
      <c r="CL135" s="543" t="s">
        <v>1792</v>
      </c>
      <c r="CM135" s="528" t="s">
        <v>1907</v>
      </c>
      <c r="CN135" s="528"/>
      <c r="CO135" s="528"/>
      <c r="CP135" s="579"/>
      <c r="CQ135" s="579">
        <f>U135</f>
        <v>0</v>
      </c>
      <c r="CR135" s="579"/>
      <c r="CS135" s="1727"/>
      <c r="CT135" s="1728"/>
      <c r="CU135" s="1728"/>
      <c r="CV135" s="1728"/>
      <c r="CW135" s="1729"/>
      <c r="CX135" s="528"/>
      <c r="CY135" s="528"/>
      <c r="CZ135" s="528"/>
      <c r="DA135" s="528"/>
      <c r="DB135" s="579">
        <f>17753.02</f>
        <v>17753.02</v>
      </c>
      <c r="DC135" s="628" t="e">
        <f>P135-#REF!</f>
        <v>#REF!</v>
      </c>
      <c r="DD135" s="535">
        <f>139717.98</f>
        <v>139717.98000000001</v>
      </c>
      <c r="DE135" s="535"/>
      <c r="DF135" s="576">
        <f t="shared" si="211"/>
        <v>44.95805</v>
      </c>
      <c r="DG135" s="576">
        <f t="shared" si="211"/>
        <v>178.74351000000001</v>
      </c>
      <c r="DH135" s="576">
        <f t="shared" si="211"/>
        <v>0</v>
      </c>
      <c r="DI135" s="522">
        <f t="shared" si="209"/>
        <v>223.70156</v>
      </c>
      <c r="DJ135" s="536"/>
      <c r="DK135" s="536"/>
      <c r="DL135" s="536"/>
      <c r="DM135" s="536"/>
      <c r="DN135" s="536"/>
      <c r="DO135" s="536"/>
      <c r="DP135" s="536"/>
      <c r="DQ135" s="536"/>
      <c r="DR135" s="536"/>
      <c r="DS135" s="536"/>
    </row>
    <row r="136" spans="1:123" s="534" customFormat="1" ht="63.75" customHeight="1">
      <c r="A136" s="537" t="s">
        <v>521</v>
      </c>
      <c r="B136" s="538" t="s">
        <v>522</v>
      </c>
      <c r="C136" s="576"/>
      <c r="D136" s="576"/>
      <c r="E136" s="576"/>
      <c r="F136" s="576"/>
      <c r="G136" s="577">
        <v>0</v>
      </c>
      <c r="H136" s="577">
        <v>0</v>
      </c>
      <c r="I136" s="576">
        <f t="shared" si="198"/>
        <v>1071817.49</v>
      </c>
      <c r="J136" s="576">
        <v>75169.490000000005</v>
      </c>
      <c r="K136" s="576">
        <v>345768</v>
      </c>
      <c r="L136" s="576">
        <v>650880</v>
      </c>
      <c r="M136" s="576">
        <f t="shared" si="199"/>
        <v>420937.49</v>
      </c>
      <c r="N136" s="576">
        <v>414998.18</v>
      </c>
      <c r="O136" s="525">
        <f t="shared" si="200"/>
        <v>754654.84000000008</v>
      </c>
      <c r="P136" s="522">
        <v>1169653.02</v>
      </c>
      <c r="Q136" s="576">
        <f t="shared" si="219"/>
        <v>97835.530000000028</v>
      </c>
      <c r="R136" s="576">
        <f t="shared" si="220"/>
        <v>9.1280027535284916</v>
      </c>
      <c r="S136" s="576"/>
      <c r="T136" s="576"/>
      <c r="U136" s="522">
        <f t="shared" si="201"/>
        <v>614457.61</v>
      </c>
      <c r="V136" s="522">
        <f t="shared" si="217"/>
        <v>614457.61</v>
      </c>
      <c r="W136" s="522">
        <v>0</v>
      </c>
      <c r="X136" s="522">
        <f t="shared" si="221"/>
        <v>-555195.41</v>
      </c>
      <c r="Y136" s="522">
        <f t="shared" si="222"/>
        <v>-47.466676057485834</v>
      </c>
      <c r="Z136" s="524">
        <f t="shared" si="223"/>
        <v>654140.61</v>
      </c>
      <c r="AA136" s="522">
        <f t="shared" si="224"/>
        <v>654140.61</v>
      </c>
      <c r="AB136" s="522">
        <v>0</v>
      </c>
      <c r="AC136" s="522">
        <f t="shared" si="225"/>
        <v>39683</v>
      </c>
      <c r="AD136" s="522">
        <f t="shared" si="226"/>
        <v>6.4582160517142881</v>
      </c>
      <c r="AE136" s="522">
        <f t="shared" si="227"/>
        <v>-515512.41000000003</v>
      </c>
      <c r="AF136" s="522">
        <f t="shared" si="228"/>
        <v>-44.073960498131314</v>
      </c>
      <c r="AG136" s="522">
        <f t="shared" si="243"/>
        <v>722264.59</v>
      </c>
      <c r="AH136" s="522">
        <f t="shared" si="229"/>
        <v>107806.97999999998</v>
      </c>
      <c r="AI136" s="522">
        <f t="shared" si="230"/>
        <v>17.54506384907495</v>
      </c>
      <c r="AJ136" s="522">
        <f t="shared" si="231"/>
        <v>68123.979999999981</v>
      </c>
      <c r="AK136" s="522">
        <f t="shared" si="212"/>
        <v>10.414271634962404</v>
      </c>
      <c r="AL136" s="522">
        <f t="shared" si="202"/>
        <v>722264.59</v>
      </c>
      <c r="AM136" s="522">
        <f t="shared" si="192"/>
        <v>32906.83</v>
      </c>
      <c r="AN136" s="522">
        <f t="shared" si="192"/>
        <v>72589.83</v>
      </c>
      <c r="AO136" s="522">
        <f t="shared" si="232"/>
        <v>39683</v>
      </c>
      <c r="AP136" s="522">
        <f t="shared" ref="AP136:AP199" si="244">AN136/AM136*100-100</f>
        <v>120.59198652680917</v>
      </c>
      <c r="AQ136" s="578">
        <f>0+32906.83</f>
        <v>32906.83</v>
      </c>
      <c r="AR136" s="578">
        <v>32906.83</v>
      </c>
      <c r="AS136" s="578">
        <v>0</v>
      </c>
      <c r="AT136" s="578">
        <v>39683</v>
      </c>
      <c r="AU136" s="578">
        <f t="shared" si="208"/>
        <v>581550.78</v>
      </c>
      <c r="AV136" s="578">
        <f t="shared" si="208"/>
        <v>581550.78</v>
      </c>
      <c r="AW136" s="578">
        <f t="shared" si="233"/>
        <v>0</v>
      </c>
      <c r="AX136" s="578">
        <f t="shared" si="234"/>
        <v>0</v>
      </c>
      <c r="AY136" s="578">
        <f t="shared" si="210"/>
        <v>649674.76</v>
      </c>
      <c r="AZ136" s="578">
        <f t="shared" si="235"/>
        <v>-68123.979999999981</v>
      </c>
      <c r="BA136" s="578">
        <f t="shared" si="236"/>
        <v>-10.485859108948603</v>
      </c>
      <c r="BB136" s="578">
        <v>581550.78</v>
      </c>
      <c r="BC136" s="576">
        <f>'[67]Дир_ имущ'!AT65</f>
        <v>581550.78</v>
      </c>
      <c r="BD136" s="576">
        <f t="shared" si="203"/>
        <v>539227.63</v>
      </c>
      <c r="BE136" s="576">
        <f t="shared" si="237"/>
        <v>-42323.150000000023</v>
      </c>
      <c r="BF136" s="576">
        <f t="shared" si="238"/>
        <v>-42323.150000000023</v>
      </c>
      <c r="BG136" s="576">
        <f t="shared" si="218"/>
        <v>614457.61</v>
      </c>
      <c r="BH136" s="578">
        <f t="shared" si="218"/>
        <v>654140.61</v>
      </c>
      <c r="BI136" s="578">
        <f>542622.46+69195</f>
        <v>611817.46</v>
      </c>
      <c r="BJ136" s="578">
        <f t="shared" si="239"/>
        <v>-2640.1500000000233</v>
      </c>
      <c r="BK136" s="578">
        <f t="shared" si="240"/>
        <v>-42323.150000000023</v>
      </c>
      <c r="BL136" s="576">
        <v>0</v>
      </c>
      <c r="BM136" s="578">
        <f>'[67]Дир_ имущ'!AW65</f>
        <v>0</v>
      </c>
      <c r="BN136" s="522">
        <f t="shared" si="204"/>
        <v>110447.13</v>
      </c>
      <c r="BO136" s="578">
        <f t="shared" ref="BO136:BO199" si="245">BN136-BL136</f>
        <v>110447.13</v>
      </c>
      <c r="BP136" s="578">
        <f t="shared" si="241"/>
        <v>110447.13</v>
      </c>
      <c r="BQ136" s="576">
        <v>0</v>
      </c>
      <c r="BR136" s="578">
        <f>'[67]Дир_ имущ'!BB65</f>
        <v>0</v>
      </c>
      <c r="BS136" s="578">
        <f>'[67]Дир_ имущ'!BC65</f>
        <v>0</v>
      </c>
      <c r="BT136" s="536"/>
      <c r="BU136" s="578">
        <v>653069.59</v>
      </c>
      <c r="BV136" s="578">
        <v>69195</v>
      </c>
      <c r="BW136" s="578"/>
      <c r="BX136" s="629"/>
      <c r="BY136" s="525">
        <f>633876.46+69195</f>
        <v>703071.46</v>
      </c>
      <c r="BZ136" s="525">
        <v>12823.55</v>
      </c>
      <c r="CA136" s="525">
        <v>6369.58</v>
      </c>
      <c r="CB136" s="522">
        <f t="shared" si="213"/>
        <v>722264.59</v>
      </c>
      <c r="CC136" s="522">
        <f t="shared" si="242"/>
        <v>0</v>
      </c>
      <c r="CD136" s="578"/>
      <c r="CE136" s="578"/>
      <c r="CF136" s="578"/>
      <c r="CG136" s="578"/>
      <c r="CH136" s="578"/>
      <c r="CI136" s="578"/>
      <c r="CJ136" s="578"/>
      <c r="CK136" s="543" t="s">
        <v>1815</v>
      </c>
      <c r="CL136" s="543" t="s">
        <v>1922</v>
      </c>
      <c r="CM136" s="528" t="s">
        <v>1907</v>
      </c>
      <c r="CN136" s="528"/>
      <c r="CO136" s="528"/>
      <c r="CP136" s="544">
        <f>U136*$CU$7/100</f>
        <v>566911.15681550629</v>
      </c>
      <c r="CQ136" s="544">
        <f>U136*$CU$8/100</f>
        <v>41641.473967391728</v>
      </c>
      <c r="CR136" s="544">
        <f>U136*$CU$9/100</f>
        <v>5904.9792171019772</v>
      </c>
      <c r="CS136" s="1709" t="s">
        <v>1826</v>
      </c>
      <c r="CT136" s="1710"/>
      <c r="CU136" s="1710"/>
      <c r="CV136" s="1710"/>
      <c r="CW136" s="1711"/>
      <c r="CX136" s="528"/>
      <c r="CY136" s="528"/>
      <c r="CZ136" s="528"/>
      <c r="DA136" s="528"/>
      <c r="DB136" s="579">
        <f>32906.83</f>
        <v>32906.83</v>
      </c>
      <c r="DC136" s="628" t="e">
        <f>P136-#REF!</f>
        <v>#REF!</v>
      </c>
      <c r="DD136" s="535"/>
      <c r="DE136" s="535"/>
      <c r="DF136" s="525">
        <f t="shared" si="211"/>
        <v>703.07146</v>
      </c>
      <c r="DG136" s="525">
        <f t="shared" si="211"/>
        <v>12.823549999999999</v>
      </c>
      <c r="DH136" s="525">
        <f t="shared" si="211"/>
        <v>6.36958</v>
      </c>
      <c r="DI136" s="522">
        <f t="shared" si="209"/>
        <v>722.26459</v>
      </c>
      <c r="DJ136" s="536"/>
      <c r="DK136" s="536"/>
      <c r="DL136" s="536"/>
      <c r="DM136" s="536"/>
      <c r="DN136" s="536"/>
      <c r="DO136" s="536"/>
      <c r="DP136" s="536"/>
      <c r="DQ136" s="536"/>
      <c r="DR136" s="536"/>
      <c r="DS136" s="536"/>
    </row>
    <row r="137" spans="1:123" s="534" customFormat="1" ht="65.25" customHeight="1">
      <c r="A137" s="537" t="s">
        <v>524</v>
      </c>
      <c r="B137" s="538" t="s">
        <v>525</v>
      </c>
      <c r="C137" s="576"/>
      <c r="D137" s="576"/>
      <c r="E137" s="576"/>
      <c r="F137" s="576"/>
      <c r="G137" s="577">
        <v>0</v>
      </c>
      <c r="H137" s="577">
        <v>0</v>
      </c>
      <c r="I137" s="576">
        <f t="shared" si="198"/>
        <v>173730</v>
      </c>
      <c r="J137" s="576">
        <v>770</v>
      </c>
      <c r="K137" s="576">
        <v>172960</v>
      </c>
      <c r="L137" s="576">
        <v>0</v>
      </c>
      <c r="M137" s="576">
        <f t="shared" si="199"/>
        <v>173730</v>
      </c>
      <c r="N137" s="576">
        <v>38157.29</v>
      </c>
      <c r="O137" s="525">
        <f t="shared" si="200"/>
        <v>76001.170000000013</v>
      </c>
      <c r="P137" s="522">
        <v>114158.46</v>
      </c>
      <c r="Q137" s="576">
        <f t="shared" si="219"/>
        <v>-59571.539999999994</v>
      </c>
      <c r="R137" s="576">
        <f t="shared" si="220"/>
        <v>-34.289725436021413</v>
      </c>
      <c r="S137" s="576"/>
      <c r="T137" s="576"/>
      <c r="U137" s="522">
        <f t="shared" si="201"/>
        <v>53471.08</v>
      </c>
      <c r="V137" s="522">
        <f t="shared" si="217"/>
        <v>53471.08</v>
      </c>
      <c r="W137" s="522">
        <v>0</v>
      </c>
      <c r="X137" s="522">
        <f t="shared" si="221"/>
        <v>-60687.380000000005</v>
      </c>
      <c r="Y137" s="522">
        <f t="shared" si="222"/>
        <v>-53.160650555377146</v>
      </c>
      <c r="Z137" s="524">
        <f t="shared" si="223"/>
        <v>115847.1</v>
      </c>
      <c r="AA137" s="522">
        <f t="shared" si="224"/>
        <v>115847.1</v>
      </c>
      <c r="AB137" s="522">
        <v>0</v>
      </c>
      <c r="AC137" s="522">
        <f t="shared" si="225"/>
        <v>62376.020000000004</v>
      </c>
      <c r="AD137" s="522">
        <f t="shared" si="226"/>
        <v>116.65375002711747</v>
      </c>
      <c r="AE137" s="522">
        <f t="shared" si="227"/>
        <v>1688.6399999999994</v>
      </c>
      <c r="AF137" s="522">
        <f t="shared" si="228"/>
        <v>1.4792070600812224</v>
      </c>
      <c r="AG137" s="522">
        <f t="shared" si="243"/>
        <v>117331.44</v>
      </c>
      <c r="AH137" s="522">
        <f t="shared" si="229"/>
        <v>63860.36</v>
      </c>
      <c r="AI137" s="522">
        <f t="shared" si="230"/>
        <v>119.42971789610382</v>
      </c>
      <c r="AJ137" s="522">
        <f t="shared" si="231"/>
        <v>1484.3399999999965</v>
      </c>
      <c r="AK137" s="522">
        <f t="shared" si="212"/>
        <v>1.2812923241065164</v>
      </c>
      <c r="AL137" s="522">
        <f t="shared" si="202"/>
        <v>117331.44</v>
      </c>
      <c r="AM137" s="522">
        <f t="shared" si="192"/>
        <v>0</v>
      </c>
      <c r="AN137" s="522">
        <f t="shared" si="192"/>
        <v>62376.02</v>
      </c>
      <c r="AO137" s="522">
        <f t="shared" si="232"/>
        <v>62376.02</v>
      </c>
      <c r="AP137" s="522">
        <v>0</v>
      </c>
      <c r="AQ137" s="578">
        <v>0</v>
      </c>
      <c r="AR137" s="578">
        <v>35600</v>
      </c>
      <c r="AS137" s="578">
        <v>0</v>
      </c>
      <c r="AT137" s="578">
        <v>26776.019999999997</v>
      </c>
      <c r="AU137" s="578">
        <f t="shared" si="208"/>
        <v>53471.08</v>
      </c>
      <c r="AV137" s="578">
        <f t="shared" si="208"/>
        <v>53471.08</v>
      </c>
      <c r="AW137" s="578">
        <f t="shared" si="233"/>
        <v>0</v>
      </c>
      <c r="AX137" s="578">
        <f t="shared" si="234"/>
        <v>0</v>
      </c>
      <c r="AY137" s="578">
        <f t="shared" si="210"/>
        <v>54955.420000000006</v>
      </c>
      <c r="AZ137" s="578">
        <f t="shared" si="235"/>
        <v>-1484.3400000000038</v>
      </c>
      <c r="BA137" s="578">
        <f t="shared" si="236"/>
        <v>-2.7009892745792854</v>
      </c>
      <c r="BB137" s="578">
        <v>53471.08</v>
      </c>
      <c r="BC137" s="576">
        <f>'[67]Дир_ имущ'!AT66</f>
        <v>53471.08</v>
      </c>
      <c r="BD137" s="576">
        <f t="shared" si="203"/>
        <v>54955.420000000006</v>
      </c>
      <c r="BE137" s="576">
        <f t="shared" si="237"/>
        <v>1484.3400000000038</v>
      </c>
      <c r="BF137" s="576">
        <f t="shared" si="238"/>
        <v>1484.3400000000038</v>
      </c>
      <c r="BG137" s="576">
        <f t="shared" si="218"/>
        <v>53471.08</v>
      </c>
      <c r="BH137" s="578">
        <f t="shared" si="218"/>
        <v>115847.1</v>
      </c>
      <c r="BI137" s="578">
        <v>117331.44</v>
      </c>
      <c r="BJ137" s="578">
        <f t="shared" si="239"/>
        <v>63860.36</v>
      </c>
      <c r="BK137" s="578">
        <f t="shared" si="240"/>
        <v>1484.3399999999965</v>
      </c>
      <c r="BL137" s="576">
        <v>0</v>
      </c>
      <c r="BM137" s="578">
        <f>'[67]Дир_ имущ'!AW66</f>
        <v>0</v>
      </c>
      <c r="BN137" s="522">
        <f t="shared" si="204"/>
        <v>0</v>
      </c>
      <c r="BO137" s="578">
        <f t="shared" si="245"/>
        <v>0</v>
      </c>
      <c r="BP137" s="578">
        <f t="shared" si="241"/>
        <v>0</v>
      </c>
      <c r="BQ137" s="576">
        <v>0</v>
      </c>
      <c r="BR137" s="578">
        <f>'[67]Дир_ имущ'!BB66</f>
        <v>0</v>
      </c>
      <c r="BS137" s="578">
        <f>'[67]Дир_ имущ'!BC66</f>
        <v>0</v>
      </c>
      <c r="BT137" s="536"/>
      <c r="BU137" s="576">
        <v>117331.44</v>
      </c>
      <c r="BV137" s="578"/>
      <c r="BW137" s="578"/>
      <c r="BX137" s="629"/>
      <c r="BY137" s="525">
        <v>110750.93</v>
      </c>
      <c r="BZ137" s="525">
        <v>5352.59</v>
      </c>
      <c r="CA137" s="525">
        <v>1227.92</v>
      </c>
      <c r="CB137" s="522">
        <f t="shared" si="213"/>
        <v>117331.43999999999</v>
      </c>
      <c r="CC137" s="522">
        <f t="shared" si="242"/>
        <v>0</v>
      </c>
      <c r="CD137" s="578"/>
      <c r="CE137" s="578"/>
      <c r="CF137" s="578"/>
      <c r="CG137" s="578"/>
      <c r="CH137" s="578"/>
      <c r="CI137" s="578"/>
      <c r="CJ137" s="578"/>
      <c r="CK137" s="543" t="s">
        <v>1815</v>
      </c>
      <c r="CL137" s="543" t="s">
        <v>1922</v>
      </c>
      <c r="CM137" s="528" t="s">
        <v>1907</v>
      </c>
      <c r="CN137" s="528"/>
      <c r="CO137" s="528"/>
      <c r="CP137" s="544">
        <f>U137*$CU$7/100</f>
        <v>49333.511906499916</v>
      </c>
      <c r="CQ137" s="544">
        <f>U137*$CU$8/100</f>
        <v>3623.7073959069699</v>
      </c>
      <c r="CR137" s="544">
        <f>U137*$CU$9/100</f>
        <v>513.8606975931134</v>
      </c>
      <c r="CS137" s="1709" t="s">
        <v>1826</v>
      </c>
      <c r="CT137" s="1710"/>
      <c r="CU137" s="1710"/>
      <c r="CV137" s="1710"/>
      <c r="CW137" s="1711"/>
      <c r="CX137" s="528"/>
      <c r="CY137" s="528"/>
      <c r="CZ137" s="528"/>
      <c r="DA137" s="528"/>
      <c r="DB137" s="579">
        <f>35600</f>
        <v>35600</v>
      </c>
      <c r="DC137" s="628" t="e">
        <f>P137-#REF!</f>
        <v>#REF!</v>
      </c>
      <c r="DD137" s="535">
        <f>117331.44</f>
        <v>117331.44</v>
      </c>
      <c r="DE137" s="535"/>
      <c r="DF137" s="525">
        <f t="shared" si="211"/>
        <v>110.75093</v>
      </c>
      <c r="DG137" s="525">
        <f t="shared" si="211"/>
        <v>5.3525900000000002</v>
      </c>
      <c r="DH137" s="525">
        <f t="shared" si="211"/>
        <v>1.2279200000000001</v>
      </c>
      <c r="DI137" s="522">
        <f t="shared" si="209"/>
        <v>117.33143999999999</v>
      </c>
      <c r="DJ137" s="536"/>
      <c r="DK137" s="536"/>
      <c r="DL137" s="536"/>
      <c r="DM137" s="536"/>
      <c r="DN137" s="536"/>
      <c r="DO137" s="536"/>
      <c r="DP137" s="536"/>
      <c r="DQ137" s="536"/>
      <c r="DR137" s="536"/>
      <c r="DS137" s="536"/>
    </row>
    <row r="138" spans="1:123" s="647" customFormat="1" ht="35.25" hidden="1" customHeight="1">
      <c r="A138" s="633"/>
      <c r="B138" s="634" t="s">
        <v>1923</v>
      </c>
      <c r="C138" s="635"/>
      <c r="D138" s="635">
        <v>85555.5</v>
      </c>
      <c r="E138" s="635"/>
      <c r="F138" s="635"/>
      <c r="G138" s="636">
        <v>0</v>
      </c>
      <c r="H138" s="636">
        <v>0</v>
      </c>
      <c r="I138" s="635">
        <f t="shared" si="198"/>
        <v>0</v>
      </c>
      <c r="J138" s="635"/>
      <c r="K138" s="635"/>
      <c r="L138" s="635"/>
      <c r="M138" s="635">
        <f t="shared" si="199"/>
        <v>0</v>
      </c>
      <c r="N138" s="635"/>
      <c r="O138" s="525">
        <f t="shared" si="200"/>
        <v>0</v>
      </c>
      <c r="P138" s="609"/>
      <c r="Q138" s="635">
        <f t="shared" si="219"/>
        <v>0</v>
      </c>
      <c r="R138" s="635"/>
      <c r="S138" s="635"/>
      <c r="T138" s="635"/>
      <c r="U138" s="637">
        <v>0</v>
      </c>
      <c r="V138" s="637">
        <f t="shared" si="217"/>
        <v>0</v>
      </c>
      <c r="W138" s="637" t="e">
        <f t="shared" ref="W138:W198" si="246">U138/T138*100-100</f>
        <v>#DIV/0!</v>
      </c>
      <c r="X138" s="637">
        <f t="shared" si="221"/>
        <v>0</v>
      </c>
      <c r="Y138" s="637" t="e">
        <f t="shared" si="222"/>
        <v>#DIV/0!</v>
      </c>
      <c r="Z138" s="638">
        <f t="shared" si="223"/>
        <v>0</v>
      </c>
      <c r="AA138" s="639">
        <f t="shared" si="224"/>
        <v>0</v>
      </c>
      <c r="AB138" s="639" t="e">
        <f t="shared" ref="AB138:AB198" si="247">Z138/T138*100-100</f>
        <v>#DIV/0!</v>
      </c>
      <c r="AC138" s="639">
        <f t="shared" si="225"/>
        <v>0</v>
      </c>
      <c r="AD138" s="639" t="e">
        <f t="shared" si="226"/>
        <v>#DIV/0!</v>
      </c>
      <c r="AE138" s="639">
        <f t="shared" si="227"/>
        <v>0</v>
      </c>
      <c r="AF138" s="639" t="e">
        <f t="shared" si="228"/>
        <v>#DIV/0!</v>
      </c>
      <c r="AG138" s="639">
        <f t="shared" si="243"/>
        <v>0</v>
      </c>
      <c r="AH138" s="639">
        <f t="shared" si="229"/>
        <v>0</v>
      </c>
      <c r="AI138" s="639" t="e">
        <f t="shared" si="230"/>
        <v>#DIV/0!</v>
      </c>
      <c r="AJ138" s="639">
        <f t="shared" si="231"/>
        <v>0</v>
      </c>
      <c r="AK138" s="639" t="e">
        <f t="shared" si="212"/>
        <v>#DIV/0!</v>
      </c>
      <c r="AL138" s="639"/>
      <c r="AM138" s="639">
        <f t="shared" si="192"/>
        <v>0</v>
      </c>
      <c r="AN138" s="639">
        <f t="shared" si="192"/>
        <v>0</v>
      </c>
      <c r="AO138" s="639">
        <f t="shared" si="232"/>
        <v>0</v>
      </c>
      <c r="AP138" s="639" t="e">
        <f t="shared" si="244"/>
        <v>#DIV/0!</v>
      </c>
      <c r="AQ138" s="639">
        <v>0</v>
      </c>
      <c r="AR138" s="639">
        <v>0</v>
      </c>
      <c r="AS138" s="639">
        <v>0</v>
      </c>
      <c r="AT138" s="639"/>
      <c r="AU138" s="639">
        <f t="shared" si="208"/>
        <v>0</v>
      </c>
      <c r="AV138" s="639">
        <f t="shared" si="208"/>
        <v>0</v>
      </c>
      <c r="AW138" s="639">
        <f t="shared" si="233"/>
        <v>0</v>
      </c>
      <c r="AX138" s="639" t="e">
        <f t="shared" si="234"/>
        <v>#DIV/0!</v>
      </c>
      <c r="AY138" s="639">
        <f t="shared" si="210"/>
        <v>0</v>
      </c>
      <c r="AZ138" s="639">
        <f t="shared" si="235"/>
        <v>0</v>
      </c>
      <c r="BA138" s="639" t="e">
        <f t="shared" si="236"/>
        <v>#DIV/0!</v>
      </c>
      <c r="BB138" s="639">
        <v>0</v>
      </c>
      <c r="BC138" s="635"/>
      <c r="BD138" s="635"/>
      <c r="BE138" s="635">
        <f t="shared" si="237"/>
        <v>0</v>
      </c>
      <c r="BF138" s="635">
        <f t="shared" si="238"/>
        <v>0</v>
      </c>
      <c r="BG138" s="635">
        <f t="shared" si="218"/>
        <v>0</v>
      </c>
      <c r="BH138" s="640"/>
      <c r="BI138" s="640"/>
      <c r="BJ138" s="640">
        <f t="shared" si="239"/>
        <v>0</v>
      </c>
      <c r="BK138" s="640">
        <f t="shared" si="240"/>
        <v>0</v>
      </c>
      <c r="BL138" s="635">
        <v>0</v>
      </c>
      <c r="BM138" s="640"/>
      <c r="BN138" s="640"/>
      <c r="BO138" s="640">
        <f t="shared" si="245"/>
        <v>0</v>
      </c>
      <c r="BP138" s="640">
        <f t="shared" si="241"/>
        <v>0</v>
      </c>
      <c r="BQ138" s="635">
        <v>0</v>
      </c>
      <c r="BR138" s="640"/>
      <c r="BS138" s="640"/>
      <c r="BT138" s="641"/>
      <c r="BU138" s="578">
        <v>117331.44</v>
      </c>
      <c r="BV138" s="578"/>
      <c r="BW138" s="578"/>
      <c r="BX138" s="629">
        <f t="shared" ref="BX138" si="248">AL138-BU138-BV138</f>
        <v>-117331.44</v>
      </c>
      <c r="BY138" s="635"/>
      <c r="BZ138" s="635"/>
      <c r="CA138" s="635"/>
      <c r="CB138" s="522">
        <f t="shared" si="213"/>
        <v>0</v>
      </c>
      <c r="CC138" s="639">
        <f t="shared" si="242"/>
        <v>0</v>
      </c>
      <c r="CD138" s="640"/>
      <c r="CE138" s="640"/>
      <c r="CF138" s="640"/>
      <c r="CG138" s="640"/>
      <c r="CH138" s="640"/>
      <c r="CI138" s="640"/>
      <c r="CJ138" s="640"/>
      <c r="CK138" s="642" t="s">
        <v>77</v>
      </c>
      <c r="CL138" s="642" t="s">
        <v>1800</v>
      </c>
      <c r="CM138" s="528" t="s">
        <v>1907</v>
      </c>
      <c r="CN138" s="643"/>
      <c r="CO138" s="643"/>
      <c r="CP138" s="644"/>
      <c r="CQ138" s="644"/>
      <c r="CR138" s="644"/>
      <c r="CS138" s="635"/>
      <c r="CT138" s="635"/>
      <c r="CU138" s="635"/>
      <c r="CV138" s="635"/>
      <c r="CW138" s="635"/>
      <c r="CX138" s="643"/>
      <c r="CY138" s="643"/>
      <c r="CZ138" s="643"/>
      <c r="DA138" s="643"/>
      <c r="DB138" s="645">
        <v>0</v>
      </c>
      <c r="DC138" s="628" t="e">
        <f>P138-#REF!</f>
        <v>#REF!</v>
      </c>
      <c r="DD138" s="646"/>
      <c r="DE138" s="646"/>
      <c r="DF138" s="635">
        <f t="shared" si="211"/>
        <v>0</v>
      </c>
      <c r="DG138" s="635">
        <f t="shared" si="211"/>
        <v>0</v>
      </c>
      <c r="DH138" s="635">
        <f t="shared" si="211"/>
        <v>0</v>
      </c>
      <c r="DI138" s="522">
        <f t="shared" si="209"/>
        <v>0</v>
      </c>
      <c r="DJ138" s="641"/>
      <c r="DK138" s="641"/>
      <c r="DL138" s="641"/>
      <c r="DM138" s="641"/>
      <c r="DN138" s="641"/>
      <c r="DO138" s="641"/>
      <c r="DP138" s="641"/>
      <c r="DQ138" s="641"/>
      <c r="DR138" s="641"/>
      <c r="DS138" s="641"/>
    </row>
    <row r="139" spans="1:123" ht="63.75" customHeight="1">
      <c r="A139" s="505" t="s">
        <v>1924</v>
      </c>
      <c r="B139" s="506" t="s">
        <v>1925</v>
      </c>
      <c r="C139" s="580">
        <f>C140+C146+C160+C170</f>
        <v>560788420.98599982</v>
      </c>
      <c r="D139" s="580">
        <f>D140+D146+D160+D170</f>
        <v>415150739.6521793</v>
      </c>
      <c r="E139" s="580">
        <f>E140+E146+E160+E170</f>
        <v>617992930.56647921</v>
      </c>
      <c r="F139" s="580">
        <f>F140+F146+F160+F170</f>
        <v>536792599.64999992</v>
      </c>
      <c r="G139" s="580">
        <f t="shared" ref="G139:S139" si="249">G140+G146+G160+G170</f>
        <v>352989745.97908336</v>
      </c>
      <c r="H139" s="580">
        <f t="shared" si="249"/>
        <v>0</v>
      </c>
      <c r="I139" s="580">
        <f t="shared" si="249"/>
        <v>580580851.89999998</v>
      </c>
      <c r="J139" s="580">
        <f>J140+J146+J160+J170</f>
        <v>213571279.61000001</v>
      </c>
      <c r="K139" s="580">
        <f t="shared" si="249"/>
        <v>190207425.54000002</v>
      </c>
      <c r="L139" s="580">
        <f t="shared" si="249"/>
        <v>176802146.75</v>
      </c>
      <c r="M139" s="580">
        <f t="shared" si="249"/>
        <v>403778705.14999998</v>
      </c>
      <c r="N139" s="580">
        <f t="shared" si="249"/>
        <v>348215988.04000002</v>
      </c>
      <c r="O139" s="580">
        <f>O140+O146+O160+O170</f>
        <v>166921632.58000001</v>
      </c>
      <c r="P139" s="580">
        <f>P140+P146+P160+P170</f>
        <v>515137620.61999995</v>
      </c>
      <c r="Q139" s="580">
        <f t="shared" si="219"/>
        <v>-65443231.280000031</v>
      </c>
      <c r="R139" s="580">
        <f t="shared" si="220"/>
        <v>-11.27202715450079</v>
      </c>
      <c r="S139" s="580">
        <f t="shared" si="249"/>
        <v>360239204.86755955</v>
      </c>
      <c r="T139" s="580">
        <f>T140+T146+T160+T170</f>
        <v>394375431.93641585</v>
      </c>
      <c r="U139" s="580">
        <f>U140+U146+U160+U170</f>
        <v>510056978.68999994</v>
      </c>
      <c r="V139" s="580">
        <f t="shared" si="217"/>
        <v>115681546.75358409</v>
      </c>
      <c r="W139" s="580">
        <f t="shared" si="246"/>
        <v>29.332848191272518</v>
      </c>
      <c r="X139" s="580">
        <f t="shared" si="221"/>
        <v>-5080641.9300000072</v>
      </c>
      <c r="Y139" s="580">
        <f t="shared" si="222"/>
        <v>-0.98626885838490352</v>
      </c>
      <c r="Z139" s="580">
        <f t="shared" si="223"/>
        <v>507473663.23000002</v>
      </c>
      <c r="AA139" s="580">
        <f t="shared" si="224"/>
        <v>113098231.29358417</v>
      </c>
      <c r="AB139" s="580">
        <f t="shared" si="247"/>
        <v>28.67780853849402</v>
      </c>
      <c r="AC139" s="580">
        <f t="shared" si="225"/>
        <v>-2583315.4599999189</v>
      </c>
      <c r="AD139" s="580">
        <f t="shared" si="226"/>
        <v>-0.50647585817465313</v>
      </c>
      <c r="AE139" s="580">
        <f t="shared" si="227"/>
        <v>-7663957.3899999261</v>
      </c>
      <c r="AF139" s="580">
        <f t="shared" si="228"/>
        <v>-1.4877495028951415</v>
      </c>
      <c r="AG139" s="580">
        <f t="shared" si="243"/>
        <v>507600322.19999999</v>
      </c>
      <c r="AH139" s="580">
        <f t="shared" si="229"/>
        <v>-2456656.4899999499</v>
      </c>
      <c r="AI139" s="580">
        <f t="shared" si="230"/>
        <v>-0.48164354035689882</v>
      </c>
      <c r="AJ139" s="580">
        <f t="shared" si="231"/>
        <v>126658.96999996901</v>
      </c>
      <c r="AK139" s="580">
        <f t="shared" si="212"/>
        <v>2.495872774829877E-2</v>
      </c>
      <c r="AL139" s="580">
        <f>AL140+AL146+AL160+AL170</f>
        <v>507600322.20000005</v>
      </c>
      <c r="AM139" s="580">
        <f t="shared" si="192"/>
        <v>265868236.31999999</v>
      </c>
      <c r="AN139" s="580">
        <f t="shared" si="192"/>
        <v>252666019.19</v>
      </c>
      <c r="AO139" s="580">
        <f t="shared" si="232"/>
        <v>-13202217.129999995</v>
      </c>
      <c r="AP139" s="580">
        <f t="shared" si="244"/>
        <v>-4.9656992925283987</v>
      </c>
      <c r="AQ139" s="580">
        <f>AQ140+AQ146+AQ160+AQ170</f>
        <v>122753208.86</v>
      </c>
      <c r="AR139" s="580">
        <f>AR140+AR146+AR160+AR170</f>
        <v>122551512.47</v>
      </c>
      <c r="AS139" s="580">
        <f>AS140+AS146+AS160+AS170</f>
        <v>143115027.45999998</v>
      </c>
      <c r="AT139" s="580">
        <f>AT140+AT146+AT160+AT170</f>
        <v>130114506.72000001</v>
      </c>
      <c r="AU139" s="580">
        <f t="shared" si="208"/>
        <v>244188742.36999997</v>
      </c>
      <c r="AV139" s="580">
        <f t="shared" si="208"/>
        <v>254807644.04000002</v>
      </c>
      <c r="AW139" s="580">
        <f t="shared" si="233"/>
        <v>10618901.670000046</v>
      </c>
      <c r="AX139" s="580">
        <f t="shared" si="234"/>
        <v>4.3486450550247184</v>
      </c>
      <c r="AY139" s="580">
        <f t="shared" si="210"/>
        <v>254934303.00999999</v>
      </c>
      <c r="AZ139" s="580">
        <f t="shared" si="235"/>
        <v>-126658.96999996901</v>
      </c>
      <c r="BA139" s="580">
        <f t="shared" si="236"/>
        <v>-4.9682984402068087E-2</v>
      </c>
      <c r="BB139" s="580">
        <f t="shared" ref="BB139:BN139" si="250">BB140+BB146+BB160+BB170</f>
        <v>133707772.06999996</v>
      </c>
      <c r="BC139" s="580">
        <f t="shared" si="250"/>
        <v>138160884.69</v>
      </c>
      <c r="BD139" s="580">
        <f t="shared" si="250"/>
        <v>126180795.34</v>
      </c>
      <c r="BE139" s="580">
        <f t="shared" si="237"/>
        <v>-7526976.7299999595</v>
      </c>
      <c r="BF139" s="580">
        <f t="shared" si="238"/>
        <v>-11980089.349999994</v>
      </c>
      <c r="BG139" s="580">
        <f t="shared" si="218"/>
        <v>399576008.38999999</v>
      </c>
      <c r="BH139" s="580">
        <f t="shared" ref="BH139:BI139" si="251">BH140+BH146+BH160+BH170</f>
        <v>390826903.88</v>
      </c>
      <c r="BI139" s="580">
        <f t="shared" si="251"/>
        <v>378846814.52999997</v>
      </c>
      <c r="BJ139" s="580">
        <f t="shared" si="239"/>
        <v>-20729193.860000014</v>
      </c>
      <c r="BK139" s="580">
        <f t="shared" si="240"/>
        <v>-11980089.350000024</v>
      </c>
      <c r="BL139" s="580">
        <f t="shared" si="250"/>
        <v>110480970.30000001</v>
      </c>
      <c r="BM139" s="580">
        <f t="shared" si="250"/>
        <v>116646759.35000001</v>
      </c>
      <c r="BN139" s="580">
        <f t="shared" si="250"/>
        <v>128753507.66999999</v>
      </c>
      <c r="BO139" s="580">
        <f t="shared" si="245"/>
        <v>18272537.369999975</v>
      </c>
      <c r="BP139" s="580">
        <f t="shared" si="241"/>
        <v>12106748.319999978</v>
      </c>
      <c r="BQ139" s="580">
        <f t="shared" ref="BQ139:BS139" si="252">BQ140+BQ146+BQ160+BQ170</f>
        <v>110480970.30000001</v>
      </c>
      <c r="BR139" s="580">
        <f t="shared" si="252"/>
        <v>0</v>
      </c>
      <c r="BS139" s="580">
        <f t="shared" si="252"/>
        <v>0</v>
      </c>
      <c r="BU139" s="580">
        <f t="shared" ref="BU139:BW139" si="253">BU140+BU146+BU160+BU170</f>
        <v>486642254.66999996</v>
      </c>
      <c r="BV139" s="580">
        <f t="shared" si="253"/>
        <v>20958067.530000001</v>
      </c>
      <c r="BW139" s="580">
        <f t="shared" si="253"/>
        <v>0</v>
      </c>
      <c r="BX139" s="581"/>
      <c r="BY139" s="580">
        <f>BY140+BY146+BY160+BY170</f>
        <v>491522971.26000005</v>
      </c>
      <c r="BZ139" s="580">
        <f>BZ140+BZ146+BZ160+BZ170</f>
        <v>14674153.469999999</v>
      </c>
      <c r="CA139" s="580">
        <f>CA140+CA146+CA160+CA170</f>
        <v>1403197.47</v>
      </c>
      <c r="CB139" s="580">
        <f>CB140+CB146+CB160+CB170</f>
        <v>507600322.20000005</v>
      </c>
      <c r="CC139" s="580">
        <f t="shared" si="242"/>
        <v>0</v>
      </c>
      <c r="CD139" s="580"/>
      <c r="CE139" s="580"/>
      <c r="CF139" s="580"/>
      <c r="CG139" s="580"/>
      <c r="CH139" s="580"/>
      <c r="CI139" s="580"/>
      <c r="CJ139" s="580"/>
      <c r="CK139" s="508"/>
      <c r="CL139" s="508"/>
      <c r="CM139" s="509" t="s">
        <v>1925</v>
      </c>
      <c r="CN139" s="510"/>
      <c r="CO139" s="510"/>
      <c r="CP139" s="582">
        <f>CP140+CP146+CP160+CP170</f>
        <v>477813422.31795776</v>
      </c>
      <c r="CQ139" s="582">
        <f>CQ140+CQ146+CQ160+CQ170</f>
        <v>28239103.515725732</v>
      </c>
      <c r="CR139" s="582">
        <f>CR140+CR146+CR160+CR170</f>
        <v>4004452.8563165199</v>
      </c>
      <c r="CS139" s="1715"/>
      <c r="CT139" s="1716"/>
      <c r="CU139" s="1716"/>
      <c r="CV139" s="1716"/>
      <c r="CW139" s="1717"/>
      <c r="CX139" s="510"/>
      <c r="CY139" s="510"/>
      <c r="CZ139" s="510"/>
      <c r="DA139" s="510"/>
      <c r="DB139" s="582">
        <f>DB140+DB146+DB160+DB170</f>
        <v>122551512.47</v>
      </c>
      <c r="DC139" s="628" t="e">
        <f>P139-#REF!</f>
        <v>#REF!</v>
      </c>
      <c r="DD139" s="517"/>
      <c r="DE139" s="517"/>
      <c r="DF139" s="580">
        <f t="shared" si="211"/>
        <v>491522.97126000008</v>
      </c>
      <c r="DG139" s="580">
        <f t="shared" si="211"/>
        <v>14674.153469999999</v>
      </c>
      <c r="DH139" s="580">
        <f t="shared" si="211"/>
        <v>1403.1974700000001</v>
      </c>
      <c r="DI139" s="580">
        <f t="shared" si="209"/>
        <v>507600.32220000005</v>
      </c>
    </row>
    <row r="140" spans="1:123" ht="82.8">
      <c r="A140" s="505" t="s">
        <v>1926</v>
      </c>
      <c r="B140" s="506" t="s">
        <v>1927</v>
      </c>
      <c r="C140" s="580">
        <f>SUM(C141:C145)</f>
        <v>29168220.989999998</v>
      </c>
      <c r="D140" s="580">
        <f>SUM(D141:D145)</f>
        <v>27661191.460000001</v>
      </c>
      <c r="E140" s="580">
        <f>SUM(E141:E145)</f>
        <v>38492766</v>
      </c>
      <c r="F140" s="580">
        <f>SUM(F141:F145)</f>
        <v>33265398.199999999</v>
      </c>
      <c r="G140" s="580">
        <f t="shared" ref="G140:S140" si="254">SUM(G141:G145)</f>
        <v>26005206.268159695</v>
      </c>
      <c r="H140" s="580">
        <f t="shared" si="254"/>
        <v>0</v>
      </c>
      <c r="I140" s="580">
        <f t="shared" si="254"/>
        <v>37963615.149999999</v>
      </c>
      <c r="J140" s="580">
        <f>SUM(J141:J145)</f>
        <v>19799399.579999994</v>
      </c>
      <c r="K140" s="580">
        <f t="shared" si="254"/>
        <v>6229765.8499999996</v>
      </c>
      <c r="L140" s="580">
        <f t="shared" si="254"/>
        <v>11934449.720000001</v>
      </c>
      <c r="M140" s="580">
        <f t="shared" si="254"/>
        <v>26029165.43</v>
      </c>
      <c r="N140" s="580">
        <f t="shared" si="254"/>
        <v>25327640.340000004</v>
      </c>
      <c r="O140" s="580">
        <f>SUM(O141:O145)</f>
        <v>11406793.26</v>
      </c>
      <c r="P140" s="580">
        <f>SUM(P141:P145)</f>
        <v>36734433.600000001</v>
      </c>
      <c r="Q140" s="580">
        <f t="shared" si="219"/>
        <v>-1229181.549999997</v>
      </c>
      <c r="R140" s="580">
        <f t="shared" si="220"/>
        <v>-3.2377884591425641</v>
      </c>
      <c r="S140" s="580">
        <f t="shared" si="254"/>
        <v>30093977.431771751</v>
      </c>
      <c r="T140" s="580">
        <f>SUM(T141:T145)</f>
        <v>30093977.431771751</v>
      </c>
      <c r="U140" s="580">
        <f>SUM(U141:U145)</f>
        <v>42807390.390000001</v>
      </c>
      <c r="V140" s="580">
        <f t="shared" si="217"/>
        <v>12713412.958228249</v>
      </c>
      <c r="W140" s="580">
        <f t="shared" si="246"/>
        <v>42.245705098476122</v>
      </c>
      <c r="X140" s="580">
        <f t="shared" si="221"/>
        <v>6072956.7899999991</v>
      </c>
      <c r="Y140" s="580">
        <f t="shared" si="222"/>
        <v>16.532055063454138</v>
      </c>
      <c r="Z140" s="580">
        <f t="shared" si="223"/>
        <v>41162651.729999997</v>
      </c>
      <c r="AA140" s="580">
        <f t="shared" si="224"/>
        <v>11068674.298228245</v>
      </c>
      <c r="AB140" s="580">
        <f t="shared" si="247"/>
        <v>36.780363523973676</v>
      </c>
      <c r="AC140" s="580">
        <f t="shared" si="225"/>
        <v>-1644738.6600000039</v>
      </c>
      <c r="AD140" s="580">
        <f t="shared" si="226"/>
        <v>-3.842183896321373</v>
      </c>
      <c r="AE140" s="580">
        <f t="shared" si="227"/>
        <v>4428218.1299999952</v>
      </c>
      <c r="AF140" s="580">
        <f t="shared" si="228"/>
        <v>12.054679209753743</v>
      </c>
      <c r="AG140" s="580">
        <f t="shared" si="243"/>
        <v>40774779.480000004</v>
      </c>
      <c r="AH140" s="580">
        <f t="shared" si="229"/>
        <v>-2032610.9099999964</v>
      </c>
      <c r="AI140" s="580">
        <f t="shared" si="230"/>
        <v>-4.7482710146115892</v>
      </c>
      <c r="AJ140" s="580">
        <f t="shared" si="231"/>
        <v>-387872.24999999255</v>
      </c>
      <c r="AK140" s="580">
        <f t="shared" si="212"/>
        <v>-0.9422916981738183</v>
      </c>
      <c r="AL140" s="580">
        <f>SUM(AL141:AL145)</f>
        <v>40774779.480000004</v>
      </c>
      <c r="AM140" s="580">
        <f t="shared" si="192"/>
        <v>22366171.080000002</v>
      </c>
      <c r="AN140" s="580">
        <f t="shared" si="192"/>
        <v>20550981.43</v>
      </c>
      <c r="AO140" s="580">
        <f t="shared" si="232"/>
        <v>-1815189.6500000022</v>
      </c>
      <c r="AP140" s="580">
        <f t="shared" si="244"/>
        <v>-8.1157818363607106</v>
      </c>
      <c r="AQ140" s="580">
        <f>SUM(AQ141:AQ145)</f>
        <v>15770234.540000001</v>
      </c>
      <c r="AR140" s="580">
        <f>SUM(AR141:AR145)</f>
        <v>14378381.309999999</v>
      </c>
      <c r="AS140" s="580">
        <f>SUM(AS141:AS145)</f>
        <v>6595936.540000001</v>
      </c>
      <c r="AT140" s="580">
        <f>SUM(AT141:AT145)</f>
        <v>6172600.120000001</v>
      </c>
      <c r="AU140" s="580">
        <f t="shared" si="208"/>
        <v>20441219.309999999</v>
      </c>
      <c r="AV140" s="580">
        <f t="shared" si="208"/>
        <v>20611670.299999997</v>
      </c>
      <c r="AW140" s="580">
        <f t="shared" si="233"/>
        <v>170450.98999999836</v>
      </c>
      <c r="AX140" s="580">
        <f t="shared" si="234"/>
        <v>0.83385921072043345</v>
      </c>
      <c r="AY140" s="580">
        <f t="shared" si="210"/>
        <v>20223798.050000001</v>
      </c>
      <c r="AZ140" s="580">
        <f t="shared" si="235"/>
        <v>387872.24999999627</v>
      </c>
      <c r="BA140" s="580">
        <f t="shared" si="236"/>
        <v>1.9179001344902957</v>
      </c>
      <c r="BB140" s="580">
        <f t="shared" ref="BB140:BN140" si="255">SUM(BB141:BB145)</f>
        <v>6583510.8499999996</v>
      </c>
      <c r="BC140" s="580">
        <f t="shared" si="255"/>
        <v>6591600.0499999998</v>
      </c>
      <c r="BD140" s="580">
        <f t="shared" si="255"/>
        <v>6787544.2999999998</v>
      </c>
      <c r="BE140" s="580">
        <f t="shared" si="237"/>
        <v>204033.45000000019</v>
      </c>
      <c r="BF140" s="580">
        <f t="shared" si="238"/>
        <v>195944.25</v>
      </c>
      <c r="BG140" s="580">
        <f t="shared" si="218"/>
        <v>28949681.93</v>
      </c>
      <c r="BH140" s="580">
        <f t="shared" ref="BH140:BI140" si="256">SUM(BH141:BH145)</f>
        <v>27142581.479999997</v>
      </c>
      <c r="BI140" s="580">
        <f t="shared" si="256"/>
        <v>27338525.729999997</v>
      </c>
      <c r="BJ140" s="580">
        <f t="shared" si="239"/>
        <v>-1611156.200000003</v>
      </c>
      <c r="BK140" s="580">
        <f t="shared" si="240"/>
        <v>195944.25</v>
      </c>
      <c r="BL140" s="580">
        <f t="shared" si="255"/>
        <v>13857708.459999999</v>
      </c>
      <c r="BM140" s="580">
        <f t="shared" si="255"/>
        <v>14020070.249999998</v>
      </c>
      <c r="BN140" s="580">
        <f t="shared" si="255"/>
        <v>13436253.75</v>
      </c>
      <c r="BO140" s="580">
        <f t="shared" si="245"/>
        <v>-421454.70999999903</v>
      </c>
      <c r="BP140" s="580">
        <f t="shared" si="241"/>
        <v>-583816.49999999814</v>
      </c>
      <c r="BQ140" s="580">
        <f t="shared" ref="BQ140:BS140" si="257">SUM(BQ141:BQ145)</f>
        <v>13857708.459999999</v>
      </c>
      <c r="BR140" s="580">
        <f t="shared" si="257"/>
        <v>0</v>
      </c>
      <c r="BS140" s="580">
        <f t="shared" si="257"/>
        <v>0</v>
      </c>
      <c r="BU140" s="580">
        <f t="shared" ref="BU140:BW140" si="258">SUM(BU141:BU145)</f>
        <v>40686041.350000001</v>
      </c>
      <c r="BV140" s="580">
        <f t="shared" si="258"/>
        <v>88738.13</v>
      </c>
      <c r="BW140" s="580">
        <f t="shared" si="258"/>
        <v>0</v>
      </c>
      <c r="BX140" s="581"/>
      <c r="BY140" s="580">
        <f>SUM(BY141:BY145)</f>
        <v>40074858.959999993</v>
      </c>
      <c r="BZ140" s="580">
        <f>SUM(BZ141:BZ145)</f>
        <v>598810.19000000006</v>
      </c>
      <c r="CA140" s="580">
        <f>SUM(CA141:CA145)</f>
        <v>101110.33</v>
      </c>
      <c r="CB140" s="580">
        <f>SUM(CB141:CB145)</f>
        <v>40774779.480000004</v>
      </c>
      <c r="CC140" s="580">
        <f t="shared" si="242"/>
        <v>0</v>
      </c>
      <c r="CD140" s="580"/>
      <c r="CE140" s="580"/>
      <c r="CF140" s="580"/>
      <c r="CG140" s="580"/>
      <c r="CH140" s="580"/>
      <c r="CI140" s="580"/>
      <c r="CJ140" s="580"/>
      <c r="CK140" s="508"/>
      <c r="CL140" s="508"/>
      <c r="CM140" s="509" t="s">
        <v>1925</v>
      </c>
      <c r="CN140" s="510"/>
      <c r="CO140" s="510"/>
      <c r="CP140" s="582">
        <f>SUM(CP141:CP145)</f>
        <v>39494973.79688713</v>
      </c>
      <c r="CQ140" s="582">
        <f>SUM(CQ141:CQ145)</f>
        <v>2901034.6743645342</v>
      </c>
      <c r="CR140" s="582">
        <f>SUM(CR141:CR145)</f>
        <v>411381.91874834284</v>
      </c>
      <c r="CS140" s="1715"/>
      <c r="CT140" s="1716"/>
      <c r="CU140" s="1716"/>
      <c r="CV140" s="1716"/>
      <c r="CW140" s="1717"/>
      <c r="CX140" s="510"/>
      <c r="CY140" s="510"/>
      <c r="CZ140" s="510"/>
      <c r="DA140" s="510"/>
      <c r="DB140" s="582">
        <f>SUM(DB141:DB145)</f>
        <v>14378381.309999999</v>
      </c>
      <c r="DC140" s="628" t="e">
        <f>P140-#REF!</f>
        <v>#REF!</v>
      </c>
      <c r="DD140" s="517"/>
      <c r="DE140" s="517"/>
      <c r="DF140" s="580">
        <f t="shared" si="211"/>
        <v>40074.85895999999</v>
      </c>
      <c r="DG140" s="580">
        <f t="shared" si="211"/>
        <v>598.81019000000003</v>
      </c>
      <c r="DH140" s="580">
        <f t="shared" si="211"/>
        <v>101.11033</v>
      </c>
      <c r="DI140" s="580">
        <f t="shared" si="209"/>
        <v>40774.779480000005</v>
      </c>
    </row>
    <row r="141" spans="1:123" s="534" customFormat="1" ht="88.5" customHeight="1">
      <c r="A141" s="537" t="s">
        <v>1139</v>
      </c>
      <c r="B141" s="538" t="s">
        <v>1140</v>
      </c>
      <c r="C141" s="576">
        <v>21604495.859999999</v>
      </c>
      <c r="D141" s="576">
        <v>18393500</v>
      </c>
      <c r="E141" s="576">
        <v>28862500</v>
      </c>
      <c r="F141" s="576">
        <v>25953700.879999999</v>
      </c>
      <c r="G141" s="577">
        <v>21298679.77</v>
      </c>
      <c r="H141" s="577">
        <v>0</v>
      </c>
      <c r="I141" s="576">
        <f>J141+K141+L141</f>
        <v>29367419.02</v>
      </c>
      <c r="J141" s="576">
        <v>15020325.33</v>
      </c>
      <c r="K141" s="576">
        <v>5381732.8300000001</v>
      </c>
      <c r="L141" s="576">
        <v>8965360.8599999994</v>
      </c>
      <c r="M141" s="576">
        <f>J141+K141</f>
        <v>20402058.16</v>
      </c>
      <c r="N141" s="576">
        <v>19858930.690000001</v>
      </c>
      <c r="O141" s="525">
        <f>P141-N141</f>
        <v>8734335.8399999999</v>
      </c>
      <c r="P141" s="522">
        <f>28593266.53</f>
        <v>28593266.530000001</v>
      </c>
      <c r="Q141" s="576">
        <f t="shared" si="219"/>
        <v>-774152.48999999836</v>
      </c>
      <c r="R141" s="576">
        <f t="shared" si="220"/>
        <v>-2.6360930440389723</v>
      </c>
      <c r="S141" s="576">
        <v>22470107.157349996</v>
      </c>
      <c r="T141" s="576">
        <v>22470107.157349996</v>
      </c>
      <c r="U141" s="522">
        <f>AQ141+AS141+BB141+BL141</f>
        <v>34115584.289999999</v>
      </c>
      <c r="V141" s="522">
        <f t="shared" si="217"/>
        <v>11645477.132650003</v>
      </c>
      <c r="W141" s="522">
        <f t="shared" si="246"/>
        <v>51.826531360535824</v>
      </c>
      <c r="X141" s="522">
        <f t="shared" si="221"/>
        <v>5522317.7599999979</v>
      </c>
      <c r="Y141" s="522">
        <f t="shared" si="222"/>
        <v>19.313350414881739</v>
      </c>
      <c r="Z141" s="524">
        <f t="shared" si="223"/>
        <v>32211609.079999998</v>
      </c>
      <c r="AA141" s="522">
        <f t="shared" si="224"/>
        <v>9741501.9226500019</v>
      </c>
      <c r="AB141" s="522">
        <f t="shared" si="247"/>
        <v>43.353161844907106</v>
      </c>
      <c r="AC141" s="522">
        <f t="shared" si="225"/>
        <v>-1903975.2100000009</v>
      </c>
      <c r="AD141" s="522">
        <f t="shared" si="226"/>
        <v>-5.5809544219299738</v>
      </c>
      <c r="AE141" s="522">
        <f t="shared" si="227"/>
        <v>3618342.549999997</v>
      </c>
      <c r="AF141" s="522">
        <f t="shared" si="228"/>
        <v>12.654526708949604</v>
      </c>
      <c r="AG141" s="522">
        <f t="shared" si="243"/>
        <v>32344038.91</v>
      </c>
      <c r="AH141" s="522">
        <f t="shared" si="229"/>
        <v>-1771545.379999999</v>
      </c>
      <c r="AI141" s="522">
        <f t="shared" si="230"/>
        <v>-5.1927745541185857</v>
      </c>
      <c r="AJ141" s="522">
        <f t="shared" si="231"/>
        <v>132429.83000000194</v>
      </c>
      <c r="AK141" s="522">
        <f t="shared" si="212"/>
        <v>0.41112454106561813</v>
      </c>
      <c r="AL141" s="522">
        <f t="shared" ref="AL141:AL145" si="259">SUM(BU141:BV141)</f>
        <v>32344038.91</v>
      </c>
      <c r="AM141" s="522">
        <f t="shared" si="192"/>
        <v>17605433.780000001</v>
      </c>
      <c r="AN141" s="522">
        <f t="shared" si="192"/>
        <v>15701458.57</v>
      </c>
      <c r="AO141" s="522">
        <f t="shared" si="232"/>
        <v>-1903975.2100000009</v>
      </c>
      <c r="AP141" s="522">
        <f t="shared" si="244"/>
        <v>-10.814702061831284</v>
      </c>
      <c r="AQ141" s="578">
        <v>11990280</v>
      </c>
      <c r="AR141" s="578">
        <v>10587788.449999999</v>
      </c>
      <c r="AS141" s="578">
        <v>5615153.7800000003</v>
      </c>
      <c r="AT141" s="578">
        <v>5113670.120000001</v>
      </c>
      <c r="AU141" s="578">
        <f t="shared" si="208"/>
        <v>16510150.51</v>
      </c>
      <c r="AV141" s="578">
        <f t="shared" si="208"/>
        <v>16510150.51</v>
      </c>
      <c r="AW141" s="578">
        <f t="shared" si="233"/>
        <v>0</v>
      </c>
      <c r="AX141" s="578">
        <f t="shared" si="234"/>
        <v>0</v>
      </c>
      <c r="AY141" s="578">
        <f t="shared" si="210"/>
        <v>16642580.34</v>
      </c>
      <c r="AZ141" s="578">
        <f t="shared" si="235"/>
        <v>-132429.83000000007</v>
      </c>
      <c r="BA141" s="578">
        <f t="shared" si="236"/>
        <v>-0.795728951247483</v>
      </c>
      <c r="BB141" s="578">
        <v>5907093.3300000001</v>
      </c>
      <c r="BC141" s="576">
        <f>'[67]Дир_ по реал.услуг'!AT9</f>
        <v>5907093.3300000001</v>
      </c>
      <c r="BD141" s="576">
        <f>BI141-AN141</f>
        <v>6087579.5700000003</v>
      </c>
      <c r="BE141" s="576">
        <f t="shared" si="237"/>
        <v>180486.24000000022</v>
      </c>
      <c r="BF141" s="576">
        <f t="shared" si="238"/>
        <v>180486.24000000022</v>
      </c>
      <c r="BG141" s="576">
        <f t="shared" si="218"/>
        <v>23512527.109999999</v>
      </c>
      <c r="BH141" s="578">
        <f>AN141+BC141</f>
        <v>21608551.899999999</v>
      </c>
      <c r="BI141" s="578">
        <v>21789038.140000001</v>
      </c>
      <c r="BJ141" s="578">
        <f t="shared" si="239"/>
        <v>-1723488.9699999988</v>
      </c>
      <c r="BK141" s="578">
        <f t="shared" si="240"/>
        <v>180486.24000000209</v>
      </c>
      <c r="BL141" s="576">
        <v>10603057.18</v>
      </c>
      <c r="BM141" s="578">
        <f>'[67]Дир_ по реал.услуг'!AW9</f>
        <v>10603057.18</v>
      </c>
      <c r="BN141" s="522">
        <f t="shared" ref="BN141:BN145" si="260">AL141-BI141</f>
        <v>10555000.77</v>
      </c>
      <c r="BO141" s="578">
        <f t="shared" si="245"/>
        <v>-48056.410000000149</v>
      </c>
      <c r="BP141" s="578">
        <f t="shared" si="241"/>
        <v>-48056.410000000149</v>
      </c>
      <c r="BQ141" s="576">
        <v>10603057.18</v>
      </c>
      <c r="BR141" s="578">
        <f>'[67]Дир_ по реал.услуг'!BB9</f>
        <v>0</v>
      </c>
      <c r="BS141" s="578">
        <f>'[67]Дир_ по реал.услуг'!BC9</f>
        <v>0</v>
      </c>
      <c r="BT141" s="536"/>
      <c r="BU141" s="578">
        <v>32344038.91</v>
      </c>
      <c r="BV141" s="578"/>
      <c r="BW141" s="578"/>
      <c r="BX141" s="574"/>
      <c r="BY141" s="525">
        <v>32239048.649999999</v>
      </c>
      <c r="BZ141" s="525">
        <v>90940.1</v>
      </c>
      <c r="CA141" s="525">
        <v>14050.16</v>
      </c>
      <c r="CB141" s="522">
        <f t="shared" si="213"/>
        <v>32344038.91</v>
      </c>
      <c r="CC141" s="522">
        <f t="shared" si="242"/>
        <v>0</v>
      </c>
      <c r="CD141" s="578"/>
      <c r="CE141" s="578"/>
      <c r="CF141" s="578"/>
      <c r="CG141" s="578"/>
      <c r="CH141" s="578"/>
      <c r="CI141" s="578"/>
      <c r="CJ141" s="578"/>
      <c r="CK141" s="542" t="s">
        <v>78</v>
      </c>
      <c r="CL141" s="542" t="s">
        <v>1787</v>
      </c>
      <c r="CM141" s="509" t="s">
        <v>1925</v>
      </c>
      <c r="CN141" s="528" t="s">
        <v>1849</v>
      </c>
      <c r="CO141" s="528"/>
      <c r="CP141" s="544">
        <f>U141*$CU$7/100</f>
        <v>31475735.7391681</v>
      </c>
      <c r="CQ141" s="544">
        <f>U141*$CU$8/100</f>
        <v>2311995.4769449322</v>
      </c>
      <c r="CR141" s="544">
        <f>U141*$CU$9/100</f>
        <v>327853.07388696953</v>
      </c>
      <c r="CS141" s="1709" t="s">
        <v>1826</v>
      </c>
      <c r="CT141" s="1710"/>
      <c r="CU141" s="1710"/>
      <c r="CV141" s="1710"/>
      <c r="CW141" s="1711"/>
      <c r="CX141" s="528"/>
      <c r="CY141" s="528"/>
      <c r="CZ141" s="528"/>
      <c r="DA141" s="528"/>
      <c r="DB141" s="579">
        <f>10587788.45</f>
        <v>10587788.449999999</v>
      </c>
      <c r="DC141" s="628" t="e">
        <f>P141-#REF!</f>
        <v>#REF!</v>
      </c>
      <c r="DD141" s="535"/>
      <c r="DE141" s="535"/>
      <c r="DF141" s="525">
        <f t="shared" si="211"/>
        <v>32239.048649999997</v>
      </c>
      <c r="DG141" s="525">
        <f t="shared" si="211"/>
        <v>90.940100000000001</v>
      </c>
      <c r="DH141" s="525">
        <f t="shared" si="211"/>
        <v>14.05016</v>
      </c>
      <c r="DI141" s="522">
        <f t="shared" si="209"/>
        <v>32344.038909999999</v>
      </c>
      <c r="DJ141" s="536"/>
      <c r="DK141" s="536"/>
      <c r="DL141" s="536"/>
      <c r="DM141" s="536"/>
      <c r="DN141" s="536"/>
      <c r="DO141" s="536"/>
      <c r="DP141" s="536"/>
      <c r="DQ141" s="536"/>
      <c r="DR141" s="536"/>
      <c r="DS141" s="536"/>
    </row>
    <row r="142" spans="1:123" s="534" customFormat="1" ht="70.5" customHeight="1">
      <c r="A142" s="537" t="s">
        <v>1278</v>
      </c>
      <c r="B142" s="538" t="s">
        <v>1279</v>
      </c>
      <c r="C142" s="576">
        <v>4780660.82</v>
      </c>
      <c r="D142" s="576">
        <v>6601100</v>
      </c>
      <c r="E142" s="576">
        <v>6220450</v>
      </c>
      <c r="F142" s="576">
        <v>4282375.09</v>
      </c>
      <c r="G142" s="577">
        <v>2462230.0300000003</v>
      </c>
      <c r="H142" s="577">
        <v>0</v>
      </c>
      <c r="I142" s="576">
        <f>J142+K142+L142</f>
        <v>5146587.6399999997</v>
      </c>
      <c r="J142" s="576">
        <v>3024459.96</v>
      </c>
      <c r="K142" s="576">
        <v>165288</v>
      </c>
      <c r="L142" s="576">
        <v>1956839.68</v>
      </c>
      <c r="M142" s="576">
        <f>J142+K142</f>
        <v>3189747.96</v>
      </c>
      <c r="N142" s="576">
        <v>3111522.89</v>
      </c>
      <c r="O142" s="525">
        <f>P142-N142</f>
        <v>1927660.2100000004</v>
      </c>
      <c r="P142" s="522">
        <f>45673.49+4993509.61</f>
        <v>5039183.1000000006</v>
      </c>
      <c r="Q142" s="576">
        <f t="shared" si="219"/>
        <v>-107404.53999999911</v>
      </c>
      <c r="R142" s="576">
        <f t="shared" si="220"/>
        <v>-2.0869078215094703</v>
      </c>
      <c r="S142" s="576">
        <v>4671959.8899999987</v>
      </c>
      <c r="T142" s="576">
        <v>4671959.8899999987</v>
      </c>
      <c r="U142" s="522">
        <f>AQ142+AS142+BB142+BL142</f>
        <v>5388601.7400000002</v>
      </c>
      <c r="V142" s="522">
        <f t="shared" si="217"/>
        <v>716641.85000000149</v>
      </c>
      <c r="W142" s="522">
        <f t="shared" si="246"/>
        <v>15.339212383520746</v>
      </c>
      <c r="X142" s="522">
        <f t="shared" si="221"/>
        <v>349418.63999999966</v>
      </c>
      <c r="Y142" s="522">
        <f t="shared" si="222"/>
        <v>6.9340334150588774</v>
      </c>
      <c r="Z142" s="524">
        <f t="shared" si="223"/>
        <v>5833984.4700000007</v>
      </c>
      <c r="AA142" s="522">
        <f t="shared" si="224"/>
        <v>1162024.5800000019</v>
      </c>
      <c r="AB142" s="522">
        <f t="shared" si="247"/>
        <v>24.872314988988535</v>
      </c>
      <c r="AC142" s="522">
        <f t="shared" si="225"/>
        <v>445382.73000000045</v>
      </c>
      <c r="AD142" s="522">
        <f t="shared" si="226"/>
        <v>8.2652745830869492</v>
      </c>
      <c r="AE142" s="522">
        <f t="shared" si="227"/>
        <v>794801.37000000011</v>
      </c>
      <c r="AF142" s="522">
        <f t="shared" si="228"/>
        <v>15.772424899583442</v>
      </c>
      <c r="AG142" s="522">
        <f t="shared" si="243"/>
        <v>5459004.4299999997</v>
      </c>
      <c r="AH142" s="522">
        <f t="shared" si="229"/>
        <v>70402.689999999478</v>
      </c>
      <c r="AI142" s="522">
        <f t="shared" si="230"/>
        <v>1.3065112880284744</v>
      </c>
      <c r="AJ142" s="522">
        <f t="shared" si="231"/>
        <v>-374980.04000000097</v>
      </c>
      <c r="AK142" s="522">
        <f t="shared" si="212"/>
        <v>-6.4275117962389885</v>
      </c>
      <c r="AL142" s="522">
        <f t="shared" si="259"/>
        <v>5459004.4299999997</v>
      </c>
      <c r="AM142" s="522">
        <f t="shared" si="192"/>
        <v>3082265.83</v>
      </c>
      <c r="AN142" s="522">
        <f t="shared" si="192"/>
        <v>3357197.57</v>
      </c>
      <c r="AO142" s="522">
        <f t="shared" si="232"/>
        <v>274931.73999999976</v>
      </c>
      <c r="AP142" s="522">
        <f t="shared" si="244"/>
        <v>8.9197932677987097</v>
      </c>
      <c r="AQ142" s="578">
        <v>2776455.83</v>
      </c>
      <c r="AR142" s="578">
        <v>2895563.5500000003</v>
      </c>
      <c r="AS142" s="578">
        <v>305810</v>
      </c>
      <c r="AT142" s="578">
        <v>461634.01999999955</v>
      </c>
      <c r="AU142" s="578">
        <f t="shared" si="208"/>
        <v>2306335.91</v>
      </c>
      <c r="AV142" s="578">
        <f t="shared" si="208"/>
        <v>2476786.9000000004</v>
      </c>
      <c r="AW142" s="578">
        <f t="shared" si="233"/>
        <v>170450.99000000022</v>
      </c>
      <c r="AX142" s="578">
        <f t="shared" si="234"/>
        <v>7.3905535295593694</v>
      </c>
      <c r="AY142" s="578">
        <f t="shared" si="210"/>
        <v>2101806.86</v>
      </c>
      <c r="AZ142" s="578">
        <f t="shared" si="235"/>
        <v>374980.0400000005</v>
      </c>
      <c r="BA142" s="578">
        <f t="shared" si="236"/>
        <v>17.840841950625304</v>
      </c>
      <c r="BB142" s="578">
        <v>36600</v>
      </c>
      <c r="BC142" s="576">
        <f>'[67]Дир_ имущ'!AT51</f>
        <v>44689.2</v>
      </c>
      <c r="BD142" s="576">
        <f>BI142-AN142</f>
        <v>38010.520000000019</v>
      </c>
      <c r="BE142" s="576">
        <f t="shared" si="237"/>
        <v>1410.5200000000186</v>
      </c>
      <c r="BF142" s="576">
        <f t="shared" si="238"/>
        <v>-6678.6799999999785</v>
      </c>
      <c r="BG142" s="576">
        <f t="shared" si="218"/>
        <v>3118865.83</v>
      </c>
      <c r="BH142" s="578">
        <f>AN142+BC142</f>
        <v>3401886.77</v>
      </c>
      <c r="BI142" s="578">
        <f>3332543.75+62664.34</f>
        <v>3395208.09</v>
      </c>
      <c r="BJ142" s="578">
        <f t="shared" si="239"/>
        <v>276342.25999999978</v>
      </c>
      <c r="BK142" s="578">
        <f t="shared" si="240"/>
        <v>-6678.6800000001676</v>
      </c>
      <c r="BL142" s="576">
        <v>2269735.91</v>
      </c>
      <c r="BM142" s="578">
        <f>'[67]Дир_ имущ'!AW51</f>
        <v>2432097.7000000002</v>
      </c>
      <c r="BN142" s="522">
        <f t="shared" si="260"/>
        <v>2063796.3399999999</v>
      </c>
      <c r="BO142" s="578">
        <f t="shared" si="245"/>
        <v>-205939.5700000003</v>
      </c>
      <c r="BP142" s="578">
        <f t="shared" si="241"/>
        <v>-368301.36000000034</v>
      </c>
      <c r="BQ142" s="576">
        <v>2269735.91</v>
      </c>
      <c r="BR142" s="578">
        <f>'[67]Дир_ имущ'!BB51</f>
        <v>0</v>
      </c>
      <c r="BS142" s="578">
        <f>'[67]Дир_ имущ'!BC51</f>
        <v>0</v>
      </c>
      <c r="BT142" s="536"/>
      <c r="BU142" s="578">
        <v>5370266.2999999998</v>
      </c>
      <c r="BV142" s="578">
        <v>88738.13</v>
      </c>
      <c r="BW142" s="578"/>
      <c r="BX142" s="574"/>
      <c r="BY142" s="525">
        <f>4984546.37+88738.13</f>
        <v>5073284.5</v>
      </c>
      <c r="BZ142" s="525">
        <v>330234.53999999998</v>
      </c>
      <c r="CA142" s="525">
        <v>55485.39</v>
      </c>
      <c r="CB142" s="522">
        <f t="shared" si="213"/>
        <v>5459004.4299999997</v>
      </c>
      <c r="CC142" s="522">
        <f t="shared" si="242"/>
        <v>0</v>
      </c>
      <c r="CD142" s="578"/>
      <c r="CE142" s="578"/>
      <c r="CF142" s="578"/>
      <c r="CG142" s="578"/>
      <c r="CH142" s="578"/>
      <c r="CI142" s="578"/>
      <c r="CJ142" s="578"/>
      <c r="CK142" s="543" t="s">
        <v>1815</v>
      </c>
      <c r="CL142" s="543" t="s">
        <v>1897</v>
      </c>
      <c r="CM142" s="509" t="s">
        <v>1925</v>
      </c>
      <c r="CN142" s="528" t="s">
        <v>1849</v>
      </c>
      <c r="CO142" s="528"/>
      <c r="CP142" s="544">
        <f>U142*$CU$7/100</f>
        <v>4971634.1637325482</v>
      </c>
      <c r="CQ142" s="544">
        <f>U142*$CU$8/100</f>
        <v>365182.74885854498</v>
      </c>
      <c r="CR142" s="544">
        <f>U142*$CU$9/100</f>
        <v>51784.827408907106</v>
      </c>
      <c r="CS142" s="1709" t="s">
        <v>1826</v>
      </c>
      <c r="CT142" s="1710"/>
      <c r="CU142" s="1710"/>
      <c r="CV142" s="1710"/>
      <c r="CW142" s="1711"/>
      <c r="CX142" s="528"/>
      <c r="CY142" s="528"/>
      <c r="CZ142" s="528"/>
      <c r="DA142" s="528"/>
      <c r="DB142" s="579">
        <f>2837405.31+58158.24</f>
        <v>2895563.5500000003</v>
      </c>
      <c r="DC142" s="628" t="e">
        <f>P142-#REF!</f>
        <v>#REF!</v>
      </c>
      <c r="DD142" s="535"/>
      <c r="DE142" s="535"/>
      <c r="DF142" s="525">
        <f t="shared" si="211"/>
        <v>5073.2844999999998</v>
      </c>
      <c r="DG142" s="525">
        <f t="shared" si="211"/>
        <v>330.23453999999998</v>
      </c>
      <c r="DH142" s="525">
        <f t="shared" si="211"/>
        <v>55.485390000000002</v>
      </c>
      <c r="DI142" s="522">
        <f t="shared" si="209"/>
        <v>5459.00443</v>
      </c>
      <c r="DJ142" s="536"/>
      <c r="DK142" s="536"/>
      <c r="DL142" s="536"/>
      <c r="DM142" s="536"/>
      <c r="DN142" s="536"/>
      <c r="DO142" s="536"/>
      <c r="DP142" s="536"/>
      <c r="DQ142" s="536"/>
      <c r="DR142" s="536"/>
      <c r="DS142" s="536"/>
    </row>
    <row r="143" spans="1:123" s="534" customFormat="1" ht="64.5" customHeight="1">
      <c r="A143" s="537" t="s">
        <v>1098</v>
      </c>
      <c r="B143" s="538" t="s">
        <v>1099</v>
      </c>
      <c r="C143" s="576">
        <v>1007703.5</v>
      </c>
      <c r="D143" s="576">
        <v>1316728</v>
      </c>
      <c r="E143" s="576">
        <v>1221291</v>
      </c>
      <c r="F143" s="576">
        <v>1066574.4099999999</v>
      </c>
      <c r="G143" s="577">
        <v>786262.08967510622</v>
      </c>
      <c r="H143" s="577">
        <v>0</v>
      </c>
      <c r="I143" s="576">
        <f>J143+K143+L143</f>
        <v>1210961.57</v>
      </c>
      <c r="J143" s="576">
        <v>563219.72</v>
      </c>
      <c r="K143" s="576">
        <v>320240.14</v>
      </c>
      <c r="L143" s="576">
        <v>327501.71000000002</v>
      </c>
      <c r="M143" s="576">
        <f>J143+K143</f>
        <v>883459.86</v>
      </c>
      <c r="N143" s="576">
        <v>816493.02</v>
      </c>
      <c r="O143" s="525">
        <f>P143-N143</f>
        <v>229020.99</v>
      </c>
      <c r="P143" s="522">
        <v>1045514.01</v>
      </c>
      <c r="Q143" s="576">
        <f t="shared" si="219"/>
        <v>-165447.56000000006</v>
      </c>
      <c r="R143" s="576">
        <f t="shared" si="220"/>
        <v>-13.662494673551038</v>
      </c>
      <c r="S143" s="576">
        <v>1175622.6337499998</v>
      </c>
      <c r="T143" s="576">
        <v>1175622.6337499998</v>
      </c>
      <c r="U143" s="522">
        <f>AQ143+AS143+BB143+BL143</f>
        <v>1144178.8800000001</v>
      </c>
      <c r="V143" s="522">
        <f t="shared" si="217"/>
        <v>-31443.753749999683</v>
      </c>
      <c r="W143" s="522">
        <f t="shared" si="246"/>
        <v>-2.6746468507245709</v>
      </c>
      <c r="X143" s="522">
        <f t="shared" si="221"/>
        <v>98664.870000000112</v>
      </c>
      <c r="Y143" s="522">
        <f t="shared" si="222"/>
        <v>9.4369725375559597</v>
      </c>
      <c r="Z143" s="524">
        <f t="shared" si="223"/>
        <v>1076627.58</v>
      </c>
      <c r="AA143" s="522">
        <f t="shared" si="224"/>
        <v>-98995.05374999973</v>
      </c>
      <c r="AB143" s="522">
        <f t="shared" si="247"/>
        <v>-8.420648846664804</v>
      </c>
      <c r="AC143" s="522">
        <f t="shared" si="225"/>
        <v>-67551.300000000047</v>
      </c>
      <c r="AD143" s="522">
        <f t="shared" si="226"/>
        <v>-5.9039107591288627</v>
      </c>
      <c r="AE143" s="522">
        <f t="shared" si="227"/>
        <v>31113.570000000065</v>
      </c>
      <c r="AF143" s="522">
        <f t="shared" si="228"/>
        <v>2.9759113414463059</v>
      </c>
      <c r="AG143" s="522">
        <f t="shared" si="243"/>
        <v>1094227.55</v>
      </c>
      <c r="AH143" s="522">
        <f t="shared" si="229"/>
        <v>-49951.330000000075</v>
      </c>
      <c r="AI143" s="522">
        <f t="shared" si="230"/>
        <v>-4.3656923644666534</v>
      </c>
      <c r="AJ143" s="522">
        <f t="shared" si="231"/>
        <v>17599.969999999972</v>
      </c>
      <c r="AK143" s="522">
        <f t="shared" si="212"/>
        <v>1.634731482542918</v>
      </c>
      <c r="AL143" s="522">
        <f t="shared" si="259"/>
        <v>1094227.55</v>
      </c>
      <c r="AM143" s="522">
        <f t="shared" si="192"/>
        <v>556964.85000000009</v>
      </c>
      <c r="AN143" s="522">
        <f t="shared" si="192"/>
        <v>489413.55000000005</v>
      </c>
      <c r="AO143" s="522">
        <f t="shared" si="232"/>
        <v>-67551.300000000047</v>
      </c>
      <c r="AP143" s="522">
        <f t="shared" si="244"/>
        <v>-12.128467353011601</v>
      </c>
      <c r="AQ143" s="578">
        <v>266400.39</v>
      </c>
      <c r="AR143" s="578">
        <v>226052.9</v>
      </c>
      <c r="AS143" s="578">
        <v>290564.46000000002</v>
      </c>
      <c r="AT143" s="578">
        <v>263360.65000000002</v>
      </c>
      <c r="AU143" s="578">
        <f t="shared" si="208"/>
        <v>587214.03</v>
      </c>
      <c r="AV143" s="578">
        <f t="shared" si="208"/>
        <v>587214.03</v>
      </c>
      <c r="AW143" s="578">
        <f t="shared" si="233"/>
        <v>0</v>
      </c>
      <c r="AX143" s="578">
        <f t="shared" si="234"/>
        <v>0</v>
      </c>
      <c r="AY143" s="578">
        <f t="shared" si="210"/>
        <v>604814</v>
      </c>
      <c r="AZ143" s="578">
        <f t="shared" si="235"/>
        <v>-17599.969999999972</v>
      </c>
      <c r="BA143" s="578">
        <f t="shared" si="236"/>
        <v>-2.9099805890736548</v>
      </c>
      <c r="BB143" s="578">
        <v>290329.51</v>
      </c>
      <c r="BC143" s="576">
        <f>'[67]Дир_ имущ'!AT52</f>
        <v>290329.51</v>
      </c>
      <c r="BD143" s="576">
        <f>BI143-AN143</f>
        <v>332608.66999999993</v>
      </c>
      <c r="BE143" s="576">
        <f t="shared" si="237"/>
        <v>42279.159999999916</v>
      </c>
      <c r="BF143" s="576">
        <f t="shared" si="238"/>
        <v>42279.159999999916</v>
      </c>
      <c r="BG143" s="576">
        <f t="shared" si="218"/>
        <v>847294.3600000001</v>
      </c>
      <c r="BH143" s="578">
        <f>AN143+BC143</f>
        <v>779743.06</v>
      </c>
      <c r="BI143" s="578">
        <v>822022.22</v>
      </c>
      <c r="BJ143" s="578">
        <f t="shared" si="239"/>
        <v>-25272.14000000013</v>
      </c>
      <c r="BK143" s="578">
        <f t="shared" si="240"/>
        <v>42279.159999999916</v>
      </c>
      <c r="BL143" s="576">
        <v>296884.52</v>
      </c>
      <c r="BM143" s="578">
        <f>'[67]Дир_ имущ'!AW52</f>
        <v>296884.52</v>
      </c>
      <c r="BN143" s="522">
        <f t="shared" si="260"/>
        <v>272205.33000000007</v>
      </c>
      <c r="BO143" s="578">
        <f t="shared" si="245"/>
        <v>-24679.189999999944</v>
      </c>
      <c r="BP143" s="578">
        <f t="shared" si="241"/>
        <v>-24679.189999999944</v>
      </c>
      <c r="BQ143" s="576">
        <v>296884.52</v>
      </c>
      <c r="BR143" s="578">
        <f>'[67]Дир_ имущ'!BB52</f>
        <v>0</v>
      </c>
      <c r="BS143" s="578">
        <f>'[67]Дир_ имущ'!BC52</f>
        <v>0</v>
      </c>
      <c r="BT143" s="536"/>
      <c r="BU143" s="578">
        <v>1094227.55</v>
      </c>
      <c r="BV143" s="578"/>
      <c r="BW143" s="578"/>
      <c r="BX143" s="574"/>
      <c r="BY143" s="525">
        <v>1018012.41</v>
      </c>
      <c r="BZ143" s="525">
        <v>64284.4</v>
      </c>
      <c r="CA143" s="525">
        <v>11930.74</v>
      </c>
      <c r="CB143" s="522">
        <f t="shared" si="213"/>
        <v>1094227.55</v>
      </c>
      <c r="CC143" s="522">
        <f t="shared" si="242"/>
        <v>0</v>
      </c>
      <c r="CD143" s="578"/>
      <c r="CE143" s="578"/>
      <c r="CF143" s="578"/>
      <c r="CG143" s="578"/>
      <c r="CH143" s="578"/>
      <c r="CI143" s="578"/>
      <c r="CJ143" s="578"/>
      <c r="CK143" s="543" t="s">
        <v>1815</v>
      </c>
      <c r="CL143" s="543" t="s">
        <v>1897</v>
      </c>
      <c r="CM143" s="509" t="s">
        <v>1925</v>
      </c>
      <c r="CN143" s="528" t="s">
        <v>1849</v>
      </c>
      <c r="CO143" s="528"/>
      <c r="CP143" s="544">
        <f>U143*$CU$7/100</f>
        <v>1055642.8334652253</v>
      </c>
      <c r="CQ143" s="544">
        <f>U143*$CU$8/100</f>
        <v>77540.410062720897</v>
      </c>
      <c r="CR143" s="544">
        <f>U143*$CU$9/100</f>
        <v>10995.636472053815</v>
      </c>
      <c r="CS143" s="1709" t="s">
        <v>1826</v>
      </c>
      <c r="CT143" s="1710"/>
      <c r="CU143" s="1710"/>
      <c r="CV143" s="1710"/>
      <c r="CW143" s="1711"/>
      <c r="CX143" s="528"/>
      <c r="CY143" s="528"/>
      <c r="CZ143" s="528"/>
      <c r="DA143" s="528"/>
      <c r="DB143" s="579">
        <f>226052.9</f>
        <v>226052.9</v>
      </c>
      <c r="DC143" s="628" t="e">
        <f>P143-#REF!</f>
        <v>#REF!</v>
      </c>
      <c r="DD143" s="535"/>
      <c r="DE143" s="535"/>
      <c r="DF143" s="525">
        <f t="shared" si="211"/>
        <v>1018.01241</v>
      </c>
      <c r="DG143" s="525">
        <f t="shared" si="211"/>
        <v>64.284400000000005</v>
      </c>
      <c r="DH143" s="525">
        <f t="shared" si="211"/>
        <v>11.93074</v>
      </c>
      <c r="DI143" s="522">
        <f t="shared" si="209"/>
        <v>1094.2275500000001</v>
      </c>
      <c r="DJ143" s="536"/>
      <c r="DK143" s="536"/>
      <c r="DL143" s="536"/>
      <c r="DM143" s="536"/>
      <c r="DN143" s="536"/>
      <c r="DO143" s="536"/>
      <c r="DP143" s="536"/>
      <c r="DQ143" s="536"/>
      <c r="DR143" s="536"/>
      <c r="DS143" s="536"/>
    </row>
    <row r="144" spans="1:123" s="534" customFormat="1" ht="51" customHeight="1">
      <c r="A144" s="537" t="s">
        <v>1103</v>
      </c>
      <c r="B144" s="538" t="s">
        <v>1104</v>
      </c>
      <c r="C144" s="576">
        <v>1042781.93</v>
      </c>
      <c r="D144" s="576">
        <v>466272.87</v>
      </c>
      <c r="E144" s="576">
        <v>1160402</v>
      </c>
      <c r="F144" s="576">
        <v>1131591.83</v>
      </c>
      <c r="G144" s="577">
        <v>819815.07172678271</v>
      </c>
      <c r="H144" s="577">
        <v>0</v>
      </c>
      <c r="I144" s="576">
        <f>J144+K144+L144</f>
        <v>1208157.71</v>
      </c>
      <c r="J144" s="576">
        <v>593590.82999999996</v>
      </c>
      <c r="K144" s="576">
        <v>311286.83</v>
      </c>
      <c r="L144" s="576">
        <v>303280.05</v>
      </c>
      <c r="M144" s="576">
        <f>J144+K144</f>
        <v>904877.65999999992</v>
      </c>
      <c r="N144" s="576">
        <v>900594.78</v>
      </c>
      <c r="O144" s="525">
        <f>P144-N144</f>
        <v>246760.11999999988</v>
      </c>
      <c r="P144" s="522">
        <v>1147354.8999999999</v>
      </c>
      <c r="Q144" s="576">
        <f t="shared" si="219"/>
        <v>-60802.810000000056</v>
      </c>
      <c r="R144" s="576">
        <f t="shared" si="220"/>
        <v>-5.0326881579061364</v>
      </c>
      <c r="S144" s="576">
        <v>864904.90067175566</v>
      </c>
      <c r="T144" s="576">
        <v>864904.90067175566</v>
      </c>
      <c r="U144" s="522">
        <f>AQ144+AS144+BB144+BL144</f>
        <v>1262033.48</v>
      </c>
      <c r="V144" s="522">
        <f t="shared" si="217"/>
        <v>397128.57932824432</v>
      </c>
      <c r="W144" s="522">
        <f t="shared" si="246"/>
        <v>45.915866475008045</v>
      </c>
      <c r="X144" s="522">
        <f t="shared" si="221"/>
        <v>114678.58000000007</v>
      </c>
      <c r="Y144" s="522">
        <f t="shared" si="222"/>
        <v>9.9950398956765838</v>
      </c>
      <c r="Z144" s="524">
        <f t="shared" si="223"/>
        <v>1185822.98</v>
      </c>
      <c r="AA144" s="522">
        <f t="shared" si="224"/>
        <v>320918.07932824432</v>
      </c>
      <c r="AB144" s="522">
        <f t="shared" si="247"/>
        <v>37.104435306007986</v>
      </c>
      <c r="AC144" s="522">
        <f t="shared" si="225"/>
        <v>-76210.5</v>
      </c>
      <c r="AD144" s="522">
        <f t="shared" si="226"/>
        <v>-6.0387066751984975</v>
      </c>
      <c r="AE144" s="522">
        <f t="shared" si="227"/>
        <v>38468.080000000075</v>
      </c>
      <c r="AF144" s="522">
        <f t="shared" si="228"/>
        <v>3.352762079109084</v>
      </c>
      <c r="AG144" s="522">
        <f t="shared" si="243"/>
        <v>1160713.95</v>
      </c>
      <c r="AH144" s="522">
        <f t="shared" si="229"/>
        <v>-101319.53000000003</v>
      </c>
      <c r="AI144" s="522">
        <f t="shared" si="230"/>
        <v>-8.0282759218083442</v>
      </c>
      <c r="AJ144" s="522">
        <f t="shared" si="231"/>
        <v>-25109.030000000028</v>
      </c>
      <c r="AK144" s="522">
        <f t="shared" si="212"/>
        <v>-2.1174349311395559</v>
      </c>
      <c r="AL144" s="522">
        <f t="shared" si="259"/>
        <v>1160713.95</v>
      </c>
      <c r="AM144" s="522">
        <f t="shared" si="192"/>
        <v>621706.14</v>
      </c>
      <c r="AN144" s="522">
        <f t="shared" si="192"/>
        <v>545495.64</v>
      </c>
      <c r="AO144" s="522">
        <f t="shared" si="232"/>
        <v>-76210.5</v>
      </c>
      <c r="AP144" s="522">
        <f t="shared" si="244"/>
        <v>-12.258283310504211</v>
      </c>
      <c r="AQ144" s="578">
        <v>303886.99</v>
      </c>
      <c r="AR144" s="578">
        <v>271550.03999999998</v>
      </c>
      <c r="AS144" s="578">
        <v>317819.15000000002</v>
      </c>
      <c r="AT144" s="578">
        <v>273945.60000000003</v>
      </c>
      <c r="AU144" s="578">
        <f t="shared" si="208"/>
        <v>640327.34000000008</v>
      </c>
      <c r="AV144" s="578">
        <f t="shared" si="208"/>
        <v>640327.34000000008</v>
      </c>
      <c r="AW144" s="578">
        <f t="shared" si="233"/>
        <v>0</v>
      </c>
      <c r="AX144" s="578">
        <f t="shared" si="234"/>
        <v>0</v>
      </c>
      <c r="AY144" s="578">
        <f t="shared" si="210"/>
        <v>615218.30999999994</v>
      </c>
      <c r="AZ144" s="578">
        <f t="shared" si="235"/>
        <v>25109.030000000144</v>
      </c>
      <c r="BA144" s="578">
        <f t="shared" si="236"/>
        <v>4.0813203365160291</v>
      </c>
      <c r="BB144" s="578">
        <v>326388.01</v>
      </c>
      <c r="BC144" s="576">
        <f>'[67]Дир_ имущ'!AT53</f>
        <v>326388.01</v>
      </c>
      <c r="BD144" s="576">
        <f>BI144-AN144</f>
        <v>321216.30999999994</v>
      </c>
      <c r="BE144" s="576">
        <f t="shared" si="237"/>
        <v>-5171.7000000000698</v>
      </c>
      <c r="BF144" s="576">
        <f t="shared" si="238"/>
        <v>-5171.7000000000698</v>
      </c>
      <c r="BG144" s="576">
        <f t="shared" si="218"/>
        <v>948094.15</v>
      </c>
      <c r="BH144" s="578">
        <f>AN144+BC144</f>
        <v>871883.65</v>
      </c>
      <c r="BI144" s="578">
        <v>866711.95</v>
      </c>
      <c r="BJ144" s="578">
        <f t="shared" si="239"/>
        <v>-81382.20000000007</v>
      </c>
      <c r="BK144" s="578">
        <f t="shared" si="240"/>
        <v>-5171.7000000000698</v>
      </c>
      <c r="BL144" s="576">
        <v>313939.33</v>
      </c>
      <c r="BM144" s="578">
        <f>'[67]Дир_ имущ'!AW53</f>
        <v>313939.33</v>
      </c>
      <c r="BN144" s="522">
        <f t="shared" si="260"/>
        <v>294002</v>
      </c>
      <c r="BO144" s="578">
        <f t="shared" si="245"/>
        <v>-19937.330000000016</v>
      </c>
      <c r="BP144" s="578">
        <f t="shared" si="241"/>
        <v>-19937.330000000016</v>
      </c>
      <c r="BQ144" s="576">
        <v>313939.33</v>
      </c>
      <c r="BR144" s="578">
        <f>'[67]Дир_ имущ'!BB53</f>
        <v>0</v>
      </c>
      <c r="BS144" s="578">
        <f>'[67]Дир_ имущ'!BC53</f>
        <v>0</v>
      </c>
      <c r="BT144" s="536"/>
      <c r="BU144" s="578">
        <v>1160713.95</v>
      </c>
      <c r="BV144" s="578"/>
      <c r="BW144" s="578"/>
      <c r="BX144" s="574"/>
      <c r="BY144" s="525">
        <v>1077099.6100000001</v>
      </c>
      <c r="BZ144" s="525">
        <v>70860.56</v>
      </c>
      <c r="CA144" s="525">
        <v>12753.78</v>
      </c>
      <c r="CB144" s="522">
        <f t="shared" si="213"/>
        <v>1160713.9500000002</v>
      </c>
      <c r="CC144" s="522">
        <f t="shared" si="242"/>
        <v>0</v>
      </c>
      <c r="CD144" s="578"/>
      <c r="CE144" s="578"/>
      <c r="CF144" s="578"/>
      <c r="CG144" s="578"/>
      <c r="CH144" s="578"/>
      <c r="CI144" s="578"/>
      <c r="CJ144" s="578"/>
      <c r="CK144" s="543" t="s">
        <v>1815</v>
      </c>
      <c r="CL144" s="543" t="s">
        <v>1897</v>
      </c>
      <c r="CM144" s="509" t="s">
        <v>1925</v>
      </c>
      <c r="CN144" s="528" t="s">
        <v>1849</v>
      </c>
      <c r="CO144" s="528"/>
      <c r="CP144" s="544">
        <f>U144*$CU$7/100</f>
        <v>1164377.8975846667</v>
      </c>
      <c r="CQ144" s="544">
        <f>U144*$CU$8/100</f>
        <v>85527.355261165692</v>
      </c>
      <c r="CR144" s="544">
        <f>U144*$CU$9/100</f>
        <v>12128.227154167533</v>
      </c>
      <c r="CS144" s="1709" t="s">
        <v>1826</v>
      </c>
      <c r="CT144" s="1710"/>
      <c r="CU144" s="1710"/>
      <c r="CV144" s="1710"/>
      <c r="CW144" s="1711"/>
      <c r="CX144" s="528"/>
      <c r="CY144" s="528"/>
      <c r="CZ144" s="528"/>
      <c r="DA144" s="528"/>
      <c r="DB144" s="579">
        <f>271550.04</f>
        <v>271550.03999999998</v>
      </c>
      <c r="DC144" s="628" t="e">
        <f>P144-#REF!</f>
        <v>#REF!</v>
      </c>
      <c r="DD144" s="535"/>
      <c r="DE144" s="535"/>
      <c r="DF144" s="525">
        <f t="shared" si="211"/>
        <v>1077.0996100000002</v>
      </c>
      <c r="DG144" s="525">
        <f t="shared" si="211"/>
        <v>70.860559999999992</v>
      </c>
      <c r="DH144" s="525">
        <f t="shared" si="211"/>
        <v>12.753780000000001</v>
      </c>
      <c r="DI144" s="522">
        <f t="shared" si="209"/>
        <v>1160.7139500000003</v>
      </c>
      <c r="DJ144" s="536"/>
      <c r="DK144" s="536"/>
      <c r="DL144" s="536"/>
      <c r="DM144" s="536"/>
      <c r="DN144" s="536"/>
      <c r="DO144" s="536"/>
      <c r="DP144" s="536"/>
      <c r="DQ144" s="536"/>
      <c r="DR144" s="536"/>
      <c r="DS144" s="536"/>
    </row>
    <row r="145" spans="1:123" s="534" customFormat="1" ht="72" customHeight="1">
      <c r="A145" s="537" t="s">
        <v>1108</v>
      </c>
      <c r="B145" s="538" t="s">
        <v>1109</v>
      </c>
      <c r="C145" s="576">
        <v>732578.88</v>
      </c>
      <c r="D145" s="576">
        <v>883590.59</v>
      </c>
      <c r="E145" s="576">
        <v>1028123</v>
      </c>
      <c r="F145" s="576">
        <v>831155.99</v>
      </c>
      <c r="G145" s="577">
        <v>638219.30675780319</v>
      </c>
      <c r="H145" s="577">
        <v>0</v>
      </c>
      <c r="I145" s="576">
        <f>J145+K145+L145</f>
        <v>1030489.21</v>
      </c>
      <c r="J145" s="576">
        <v>597803.74</v>
      </c>
      <c r="K145" s="576">
        <v>51218.05</v>
      </c>
      <c r="L145" s="576">
        <v>381467.42</v>
      </c>
      <c r="M145" s="576">
        <f>J145+K145</f>
        <v>649021.79</v>
      </c>
      <c r="N145" s="576">
        <v>640098.96</v>
      </c>
      <c r="O145" s="525">
        <f>P145-N145</f>
        <v>269016.10000000009</v>
      </c>
      <c r="P145" s="522">
        <v>909115.06</v>
      </c>
      <c r="Q145" s="576">
        <f t="shared" si="219"/>
        <v>-121374.14999999991</v>
      </c>
      <c r="R145" s="576">
        <f t="shared" si="220"/>
        <v>-11.778303821347137</v>
      </c>
      <c r="S145" s="576">
        <v>911382.85</v>
      </c>
      <c r="T145" s="576">
        <v>911382.85</v>
      </c>
      <c r="U145" s="522">
        <f>AQ145+AS145+BB145+BL145</f>
        <v>896992</v>
      </c>
      <c r="V145" s="522">
        <f t="shared" si="217"/>
        <v>-14390.849999999977</v>
      </c>
      <c r="W145" s="522">
        <f t="shared" si="246"/>
        <v>-1.5790125960785844</v>
      </c>
      <c r="X145" s="522">
        <f t="shared" si="221"/>
        <v>-12123.060000000056</v>
      </c>
      <c r="Y145" s="522">
        <f t="shared" si="222"/>
        <v>-1.3335011742078109</v>
      </c>
      <c r="Z145" s="524">
        <f t="shared" si="223"/>
        <v>854607.62</v>
      </c>
      <c r="AA145" s="522">
        <f t="shared" si="224"/>
        <v>-56775.229999999981</v>
      </c>
      <c r="AB145" s="522">
        <f t="shared" si="247"/>
        <v>-6.2295697137597017</v>
      </c>
      <c r="AC145" s="522">
        <f t="shared" si="225"/>
        <v>-42384.380000000005</v>
      </c>
      <c r="AD145" s="522">
        <f t="shared" si="226"/>
        <v>-4.7251681174413989</v>
      </c>
      <c r="AE145" s="522">
        <f t="shared" si="227"/>
        <v>-54507.440000000061</v>
      </c>
      <c r="AF145" s="522">
        <f t="shared" si="228"/>
        <v>-5.9956591193198392</v>
      </c>
      <c r="AG145" s="522">
        <f t="shared" si="243"/>
        <v>716794.64</v>
      </c>
      <c r="AH145" s="522">
        <f t="shared" si="229"/>
        <v>-180197.36</v>
      </c>
      <c r="AI145" s="522">
        <f t="shared" si="230"/>
        <v>-20.089071028504151</v>
      </c>
      <c r="AJ145" s="522">
        <f t="shared" si="231"/>
        <v>-137812.97999999998</v>
      </c>
      <c r="AK145" s="522">
        <f t="shared" si="212"/>
        <v>-16.125877744923457</v>
      </c>
      <c r="AL145" s="522">
        <f t="shared" si="259"/>
        <v>716794.64</v>
      </c>
      <c r="AM145" s="522">
        <f t="shared" si="192"/>
        <v>499800.48</v>
      </c>
      <c r="AN145" s="522">
        <f t="shared" si="192"/>
        <v>457416.1</v>
      </c>
      <c r="AO145" s="522">
        <f t="shared" si="232"/>
        <v>-42384.380000000005</v>
      </c>
      <c r="AP145" s="522">
        <f t="shared" si="244"/>
        <v>-8.4802599629356052</v>
      </c>
      <c r="AQ145" s="578">
        <v>433211.33</v>
      </c>
      <c r="AR145" s="578">
        <v>397426.37</v>
      </c>
      <c r="AS145" s="578">
        <v>66589.149999999994</v>
      </c>
      <c r="AT145" s="578">
        <v>59989.729999999981</v>
      </c>
      <c r="AU145" s="578">
        <f t="shared" si="208"/>
        <v>397191.52</v>
      </c>
      <c r="AV145" s="578">
        <f t="shared" si="208"/>
        <v>397191.52</v>
      </c>
      <c r="AW145" s="578">
        <f t="shared" si="233"/>
        <v>0</v>
      </c>
      <c r="AX145" s="578">
        <f t="shared" si="234"/>
        <v>0</v>
      </c>
      <c r="AY145" s="578">
        <f t="shared" si="210"/>
        <v>259378.54000000004</v>
      </c>
      <c r="AZ145" s="578">
        <f t="shared" si="235"/>
        <v>137812.97999999998</v>
      </c>
      <c r="BA145" s="578">
        <f t="shared" si="236"/>
        <v>53.131990025080711</v>
      </c>
      <c r="BB145" s="578">
        <v>23100</v>
      </c>
      <c r="BC145" s="576">
        <f>'[67]Дир_ имущ'!AT54</f>
        <v>23100</v>
      </c>
      <c r="BD145" s="576">
        <f>BI145-AN145</f>
        <v>8129.2300000000396</v>
      </c>
      <c r="BE145" s="576">
        <f t="shared" si="237"/>
        <v>-14970.76999999996</v>
      </c>
      <c r="BF145" s="576">
        <f t="shared" si="238"/>
        <v>-14970.76999999996</v>
      </c>
      <c r="BG145" s="576">
        <f t="shared" si="218"/>
        <v>522900.47999999998</v>
      </c>
      <c r="BH145" s="578">
        <f>AN145+BC145</f>
        <v>480516.1</v>
      </c>
      <c r="BI145" s="578">
        <v>465545.33</v>
      </c>
      <c r="BJ145" s="578">
        <f t="shared" si="239"/>
        <v>-57355.149999999965</v>
      </c>
      <c r="BK145" s="578">
        <f t="shared" si="240"/>
        <v>-14970.76999999996</v>
      </c>
      <c r="BL145" s="576">
        <v>374091.52000000002</v>
      </c>
      <c r="BM145" s="578">
        <f>'[67]Дир_ имущ'!AW54</f>
        <v>374091.52000000002</v>
      </c>
      <c r="BN145" s="522">
        <f t="shared" si="260"/>
        <v>251249.31</v>
      </c>
      <c r="BO145" s="578">
        <f t="shared" si="245"/>
        <v>-122842.21000000002</v>
      </c>
      <c r="BP145" s="578">
        <f t="shared" si="241"/>
        <v>-122842.21000000002</v>
      </c>
      <c r="BQ145" s="576">
        <v>374091.52000000002</v>
      </c>
      <c r="BR145" s="578">
        <f>'[67]Дир_ имущ'!BB54</f>
        <v>0</v>
      </c>
      <c r="BS145" s="578">
        <f>'[67]Дир_ имущ'!BC54</f>
        <v>0</v>
      </c>
      <c r="BT145" s="536"/>
      <c r="BU145" s="578">
        <v>716794.64</v>
      </c>
      <c r="BV145" s="578"/>
      <c r="BW145" s="578"/>
      <c r="BX145" s="574"/>
      <c r="BY145" s="525">
        <v>667413.79</v>
      </c>
      <c r="BZ145" s="525">
        <v>42490.59</v>
      </c>
      <c r="CA145" s="525">
        <v>6890.26</v>
      </c>
      <c r="CB145" s="522">
        <f t="shared" si="213"/>
        <v>716794.64</v>
      </c>
      <c r="CC145" s="522">
        <f t="shared" si="242"/>
        <v>0</v>
      </c>
      <c r="CD145" s="578"/>
      <c r="CE145" s="578"/>
      <c r="CF145" s="578"/>
      <c r="CG145" s="578"/>
      <c r="CH145" s="578"/>
      <c r="CI145" s="578"/>
      <c r="CJ145" s="578"/>
      <c r="CK145" s="543" t="s">
        <v>1815</v>
      </c>
      <c r="CL145" s="543" t="s">
        <v>1897</v>
      </c>
      <c r="CM145" s="509" t="s">
        <v>1925</v>
      </c>
      <c r="CN145" s="528" t="s">
        <v>1849</v>
      </c>
      <c r="CO145" s="528"/>
      <c r="CP145" s="544">
        <f>U145*$CU$7/100</f>
        <v>827583.16293658514</v>
      </c>
      <c r="CQ145" s="544">
        <f>U145*$CU$8/100</f>
        <v>60788.683237170168</v>
      </c>
      <c r="CR145" s="544">
        <f>U145*$CU$9/100</f>
        <v>8620.153826244803</v>
      </c>
      <c r="CS145" s="1709" t="s">
        <v>1826</v>
      </c>
      <c r="CT145" s="1710"/>
      <c r="CU145" s="1710"/>
      <c r="CV145" s="1710"/>
      <c r="CW145" s="1711"/>
      <c r="CX145" s="528"/>
      <c r="CY145" s="528"/>
      <c r="CZ145" s="528"/>
      <c r="DA145" s="528"/>
      <c r="DB145" s="579">
        <f>397426.37</f>
        <v>397426.37</v>
      </c>
      <c r="DC145" s="628" t="e">
        <f>P145-#REF!</f>
        <v>#REF!</v>
      </c>
      <c r="DD145" s="535"/>
      <c r="DE145" s="535"/>
      <c r="DF145" s="525">
        <f t="shared" si="211"/>
        <v>667.41379000000006</v>
      </c>
      <c r="DG145" s="525">
        <f t="shared" si="211"/>
        <v>42.490589999999997</v>
      </c>
      <c r="DH145" s="525">
        <f t="shared" si="211"/>
        <v>6.8902600000000005</v>
      </c>
      <c r="DI145" s="522">
        <f t="shared" si="209"/>
        <v>716.79463999999996</v>
      </c>
      <c r="DJ145" s="536"/>
      <c r="DK145" s="536"/>
      <c r="DL145" s="536"/>
      <c r="DM145" s="536"/>
      <c r="DN145" s="536"/>
      <c r="DO145" s="536"/>
      <c r="DP145" s="536"/>
      <c r="DQ145" s="536"/>
      <c r="DR145" s="536"/>
      <c r="DS145" s="536"/>
    </row>
    <row r="146" spans="1:123" s="534" customFormat="1" ht="64.5" customHeight="1">
      <c r="A146" s="505" t="s">
        <v>1928</v>
      </c>
      <c r="B146" s="506" t="s">
        <v>1929</v>
      </c>
      <c r="C146" s="580">
        <f t="shared" ref="C146:T146" si="261">SUBTOTAL(9,C147:C159)</f>
        <v>87421968.729999989</v>
      </c>
      <c r="D146" s="580">
        <f t="shared" si="261"/>
        <v>99475676.699999988</v>
      </c>
      <c r="E146" s="580">
        <f t="shared" si="261"/>
        <v>102447471.33</v>
      </c>
      <c r="F146" s="580">
        <f t="shared" si="261"/>
        <v>106005041.30000001</v>
      </c>
      <c r="G146" s="580">
        <f t="shared" si="261"/>
        <v>86280324.160632223</v>
      </c>
      <c r="H146" s="580">
        <f t="shared" si="261"/>
        <v>0</v>
      </c>
      <c r="I146" s="580">
        <f t="shared" si="261"/>
        <v>125301747.74999999</v>
      </c>
      <c r="J146" s="580">
        <f t="shared" si="261"/>
        <v>20552783.060000002</v>
      </c>
      <c r="K146" s="580">
        <f t="shared" si="261"/>
        <v>67407622.120000005</v>
      </c>
      <c r="L146" s="580">
        <f t="shared" si="261"/>
        <v>37341342.57</v>
      </c>
      <c r="M146" s="580">
        <f t="shared" si="261"/>
        <v>87960405.180000007</v>
      </c>
      <c r="N146" s="580">
        <f t="shared" si="261"/>
        <v>56034220.120000005</v>
      </c>
      <c r="O146" s="580">
        <f>SUBTOTAL(9,O147:O159)</f>
        <v>75301463.230000004</v>
      </c>
      <c r="P146" s="580">
        <f>SUBTOTAL(9,P147:P159)</f>
        <v>131335683.35000001</v>
      </c>
      <c r="Q146" s="580">
        <f t="shared" si="219"/>
        <v>6033935.6000000238</v>
      </c>
      <c r="R146" s="580">
        <f t="shared" si="220"/>
        <v>4.8155238920041512</v>
      </c>
      <c r="S146" s="580">
        <f t="shared" si="261"/>
        <v>74028423.791742846</v>
      </c>
      <c r="T146" s="580">
        <f t="shared" si="261"/>
        <v>74028423.791742846</v>
      </c>
      <c r="U146" s="580">
        <f>SUBTOTAL(9,U147:U159)</f>
        <v>93369781.329999998</v>
      </c>
      <c r="V146" s="580">
        <f t="shared" si="217"/>
        <v>19341357.538257152</v>
      </c>
      <c r="W146" s="580">
        <f t="shared" si="246"/>
        <v>26.126934152574094</v>
      </c>
      <c r="X146" s="580">
        <f t="shared" si="221"/>
        <v>-37965902.020000011</v>
      </c>
      <c r="Y146" s="580">
        <f t="shared" si="222"/>
        <v>-28.907529965655755</v>
      </c>
      <c r="Z146" s="580">
        <f t="shared" si="223"/>
        <v>141867251.00999999</v>
      </c>
      <c r="AA146" s="580">
        <f t="shared" si="224"/>
        <v>67838827.218257144</v>
      </c>
      <c r="AB146" s="580">
        <f t="shared" si="247"/>
        <v>91.638891852002274</v>
      </c>
      <c r="AC146" s="580">
        <f t="shared" si="225"/>
        <v>48497469.679999992</v>
      </c>
      <c r="AD146" s="580">
        <f t="shared" si="226"/>
        <v>51.941290842905318</v>
      </c>
      <c r="AE146" s="580">
        <f t="shared" si="227"/>
        <v>10531567.659999982</v>
      </c>
      <c r="AF146" s="580">
        <f t="shared" si="228"/>
        <v>8.0188166622882733</v>
      </c>
      <c r="AG146" s="580">
        <f t="shared" si="243"/>
        <v>154252291.21999997</v>
      </c>
      <c r="AH146" s="580">
        <f t="shared" si="229"/>
        <v>60882509.889999971</v>
      </c>
      <c r="AI146" s="580">
        <f t="shared" si="230"/>
        <v>65.205796803594126</v>
      </c>
      <c r="AJ146" s="580">
        <f t="shared" si="231"/>
        <v>12385040.209999979</v>
      </c>
      <c r="AK146" s="580">
        <f t="shared" si="212"/>
        <v>8.7300205803853714</v>
      </c>
      <c r="AL146" s="580">
        <f>SUBTOTAL(9,AL147:AL159)</f>
        <v>154252291.22000003</v>
      </c>
      <c r="AM146" s="580">
        <f t="shared" si="192"/>
        <v>34089910.259999998</v>
      </c>
      <c r="AN146" s="580">
        <f t="shared" si="192"/>
        <v>51684616.260000005</v>
      </c>
      <c r="AO146" s="580">
        <f t="shared" si="232"/>
        <v>17594706.000000007</v>
      </c>
      <c r="AP146" s="580">
        <f t="shared" si="244"/>
        <v>51.612649801091067</v>
      </c>
      <c r="AQ146" s="580">
        <f>SUBTOTAL(9,AQ147:AQ159)</f>
        <v>7714908.7599999998</v>
      </c>
      <c r="AR146" s="580">
        <f>SUBTOTAL(9,AR147:AR159)</f>
        <v>16873514.699999999</v>
      </c>
      <c r="AS146" s="580">
        <f>SUBTOTAL(9,AS147:AS159)</f>
        <v>26375001.5</v>
      </c>
      <c r="AT146" s="580">
        <f>SUBTOTAL(9,AT147:AT159)</f>
        <v>34811101.560000002</v>
      </c>
      <c r="AU146" s="580">
        <f t="shared" si="208"/>
        <v>59279871.069999993</v>
      </c>
      <c r="AV146" s="580">
        <f t="shared" si="208"/>
        <v>90182634.749999985</v>
      </c>
      <c r="AW146" s="580">
        <f t="shared" si="233"/>
        <v>30902763.679999992</v>
      </c>
      <c r="AX146" s="580">
        <f t="shared" si="234"/>
        <v>52.130281530991851</v>
      </c>
      <c r="AY146" s="580">
        <f t="shared" si="210"/>
        <v>102567674.95999998</v>
      </c>
      <c r="AZ146" s="580">
        <f t="shared" si="235"/>
        <v>-12385040.209999993</v>
      </c>
      <c r="BA146" s="580">
        <f t="shared" si="236"/>
        <v>-12.074993622337644</v>
      </c>
      <c r="BB146" s="580">
        <f t="shared" ref="BB146:BN146" si="262">SUBTOTAL(9,BB147:BB159)</f>
        <v>39555424.969999991</v>
      </c>
      <c r="BC146" s="580">
        <f t="shared" si="262"/>
        <v>56968420.379999988</v>
      </c>
      <c r="BD146" s="580">
        <f t="shared" si="262"/>
        <v>52282701.349999994</v>
      </c>
      <c r="BE146" s="580">
        <f t="shared" si="237"/>
        <v>12727276.380000003</v>
      </c>
      <c r="BF146" s="580">
        <f t="shared" si="238"/>
        <v>-4685719.0299999937</v>
      </c>
      <c r="BG146" s="580">
        <f t="shared" si="218"/>
        <v>73645335.229999989</v>
      </c>
      <c r="BH146" s="580">
        <f t="shared" si="262"/>
        <v>108653036.64000002</v>
      </c>
      <c r="BI146" s="580">
        <f t="shared" si="262"/>
        <v>103967317.61000001</v>
      </c>
      <c r="BJ146" s="580">
        <f t="shared" si="239"/>
        <v>30321982.380000025</v>
      </c>
      <c r="BK146" s="580">
        <f t="shared" si="240"/>
        <v>-4685719.0300000012</v>
      </c>
      <c r="BL146" s="580">
        <f t="shared" si="262"/>
        <v>19724446.100000005</v>
      </c>
      <c r="BM146" s="580">
        <f t="shared" si="262"/>
        <v>33214214.370000001</v>
      </c>
      <c r="BN146" s="580">
        <f t="shared" si="262"/>
        <v>50284973.609999992</v>
      </c>
      <c r="BO146" s="580">
        <f t="shared" si="245"/>
        <v>30560527.509999987</v>
      </c>
      <c r="BP146" s="580">
        <f t="shared" si="241"/>
        <v>17070759.239999991</v>
      </c>
      <c r="BQ146" s="580">
        <f t="shared" ref="BQ146:BS146" si="263">SUBTOTAL(9,BQ147:BQ159)</f>
        <v>19724446.100000005</v>
      </c>
      <c r="BR146" s="580">
        <f t="shared" si="263"/>
        <v>0</v>
      </c>
      <c r="BS146" s="580">
        <f t="shared" si="263"/>
        <v>0</v>
      </c>
      <c r="BT146" s="536"/>
      <c r="BU146" s="580">
        <f t="shared" ref="BU146:BW146" si="264">SUBTOTAL(9,BU147:BU159)</f>
        <v>139997158.93000001</v>
      </c>
      <c r="BV146" s="580">
        <f t="shared" si="264"/>
        <v>14255132.290000001</v>
      </c>
      <c r="BW146" s="580">
        <f t="shared" si="264"/>
        <v>0</v>
      </c>
      <c r="BX146" s="581"/>
      <c r="BY146" s="580">
        <f>SUBTOTAL(9,BY147:BY159)</f>
        <v>153414069.34999999</v>
      </c>
      <c r="BZ146" s="580">
        <f>SUBTOTAL(9,BZ147:BZ159)</f>
        <v>672480.62</v>
      </c>
      <c r="CA146" s="580">
        <f>SUBTOTAL(9,CA147:CA159)</f>
        <v>165741.25</v>
      </c>
      <c r="CB146" s="580">
        <f>SUBTOTAL(9,CB147:CB159)</f>
        <v>154252291.22000003</v>
      </c>
      <c r="CC146" s="580">
        <f t="shared" si="242"/>
        <v>0</v>
      </c>
      <c r="CD146" s="580"/>
      <c r="CE146" s="580"/>
      <c r="CF146" s="580"/>
      <c r="CG146" s="580"/>
      <c r="CH146" s="580"/>
      <c r="CI146" s="580"/>
      <c r="CJ146" s="580"/>
      <c r="CK146" s="648"/>
      <c r="CL146" s="648"/>
      <c r="CM146" s="509" t="s">
        <v>1925</v>
      </c>
      <c r="CN146" s="528"/>
      <c r="CO146" s="528"/>
      <c r="CP146" s="582">
        <f>SUBTOTAL(9,CP147:CP159)</f>
        <v>92101681.561142862</v>
      </c>
      <c r="CQ146" s="582">
        <f>SUBTOTAL(9,CQ147:CQ159)</f>
        <v>1110609.5192425854</v>
      </c>
      <c r="CR146" s="582">
        <f>SUBTOTAL(9,CR147:CR159)</f>
        <v>157490.24961456866</v>
      </c>
      <c r="CS146" s="1715"/>
      <c r="CT146" s="1716"/>
      <c r="CU146" s="1716"/>
      <c r="CV146" s="1716"/>
      <c r="CW146" s="1717"/>
      <c r="CX146" s="528"/>
      <c r="CY146" s="528"/>
      <c r="CZ146" s="528"/>
      <c r="DA146" s="528"/>
      <c r="DB146" s="582">
        <f>SUBTOTAL(9,DB147:DB159)</f>
        <v>16873514.699999999</v>
      </c>
      <c r="DC146" s="628" t="e">
        <f>P146-#REF!</f>
        <v>#REF!</v>
      </c>
      <c r="DD146" s="535"/>
      <c r="DE146" s="535"/>
      <c r="DF146" s="580">
        <f t="shared" si="211"/>
        <v>153414.06935000001</v>
      </c>
      <c r="DG146" s="580">
        <f t="shared" si="211"/>
        <v>672.48062000000004</v>
      </c>
      <c r="DH146" s="580">
        <f t="shared" si="211"/>
        <v>165.74125000000001</v>
      </c>
      <c r="DI146" s="580">
        <f t="shared" si="209"/>
        <v>154252.29122000004</v>
      </c>
      <c r="DJ146" s="536"/>
      <c r="DK146" s="536"/>
      <c r="DL146" s="536"/>
      <c r="DM146" s="536"/>
      <c r="DN146" s="536"/>
      <c r="DO146" s="536"/>
      <c r="DP146" s="536"/>
      <c r="DQ146" s="536"/>
      <c r="DR146" s="536"/>
      <c r="DS146" s="536"/>
    </row>
    <row r="147" spans="1:123" s="534" customFormat="1" ht="90.75" customHeight="1">
      <c r="A147" s="537" t="s">
        <v>603</v>
      </c>
      <c r="B147" s="538" t="s">
        <v>1930</v>
      </c>
      <c r="C147" s="576">
        <f>5410456.77+3914342.25+905513.6+47452.88+1232840.3+186325.42</f>
        <v>11696931.220000001</v>
      </c>
      <c r="D147" s="576">
        <f>15181936.86+7560755.89+1374923.46+1207403.94+9745338.78+6512155.88</f>
        <v>41582514.810000002</v>
      </c>
      <c r="E147" s="576">
        <v>18980722.66</v>
      </c>
      <c r="F147" s="576">
        <v>28616392</v>
      </c>
      <c r="G147" s="626">
        <v>23075301.870820425</v>
      </c>
      <c r="H147" s="626">
        <v>0</v>
      </c>
      <c r="I147" s="576">
        <f t="shared" ref="I147:I159" si="265">J147+K147+L147</f>
        <v>56871799.929999992</v>
      </c>
      <c r="J147" s="576">
        <v>8870026.3699999992</v>
      </c>
      <c r="K147" s="576">
        <v>38442749.189999998</v>
      </c>
      <c r="L147" s="576">
        <v>9559024.3699999992</v>
      </c>
      <c r="M147" s="576">
        <f t="shared" ref="M147:M159" si="266">J147+K147</f>
        <v>47312775.559999995</v>
      </c>
      <c r="N147" s="576">
        <v>25387142.399999999</v>
      </c>
      <c r="O147" s="525">
        <f t="shared" ref="O147:O159" si="267">P147-N147</f>
        <v>37308185.149999999</v>
      </c>
      <c r="P147" s="522">
        <v>62695327.549999997</v>
      </c>
      <c r="Q147" s="576">
        <f t="shared" si="219"/>
        <v>5823527.6200000048</v>
      </c>
      <c r="R147" s="576">
        <f t="shared" si="220"/>
        <v>10.239745580705772</v>
      </c>
      <c r="S147" s="576">
        <v>32447679.169999994</v>
      </c>
      <c r="T147" s="576">
        <v>32447679.169999994</v>
      </c>
      <c r="U147" s="522">
        <f t="shared" ref="U147:U159" si="268">AQ147+AS147+BB147+BL147</f>
        <v>49772261.730000004</v>
      </c>
      <c r="V147" s="522">
        <f t="shared" si="217"/>
        <v>17324582.56000001</v>
      </c>
      <c r="W147" s="522">
        <f t="shared" si="246"/>
        <v>53.39236273026799</v>
      </c>
      <c r="X147" s="522">
        <f t="shared" si="221"/>
        <v>-12923065.819999993</v>
      </c>
      <c r="Y147" s="522">
        <f t="shared" si="222"/>
        <v>-20.612486328735983</v>
      </c>
      <c r="Z147" s="524">
        <f t="shared" si="223"/>
        <v>81319614.569999993</v>
      </c>
      <c r="AA147" s="522">
        <f t="shared" si="224"/>
        <v>48871935.399999999</v>
      </c>
      <c r="AB147" s="522">
        <f t="shared" si="247"/>
        <v>150.61766095488673</v>
      </c>
      <c r="AC147" s="522">
        <f t="shared" si="225"/>
        <v>31547352.839999989</v>
      </c>
      <c r="AD147" s="522">
        <f t="shared" si="226"/>
        <v>63.38340220730808</v>
      </c>
      <c r="AE147" s="522">
        <f t="shared" si="227"/>
        <v>18624287.019999996</v>
      </c>
      <c r="AF147" s="522">
        <f t="shared" si="228"/>
        <v>29.706020763903012</v>
      </c>
      <c r="AG147" s="522">
        <f t="shared" si="243"/>
        <v>112398570.41</v>
      </c>
      <c r="AH147" s="522">
        <f t="shared" si="229"/>
        <v>62626308.679999992</v>
      </c>
      <c r="AI147" s="522">
        <f t="shared" si="230"/>
        <v>125.82572401416968</v>
      </c>
      <c r="AJ147" s="522">
        <f t="shared" si="231"/>
        <v>31078955.840000004</v>
      </c>
      <c r="AK147" s="522">
        <f t="shared" si="212"/>
        <v>38.218277354533228</v>
      </c>
      <c r="AL147" s="522">
        <f t="shared" ref="AL147:AL159" si="269">SUM(BU147:BV147)</f>
        <v>112398570.41</v>
      </c>
      <c r="AM147" s="522">
        <f t="shared" ref="AM147:AN210" si="270">AQ147+AS147</f>
        <v>18190661.830000002</v>
      </c>
      <c r="AN147" s="522">
        <f t="shared" si="270"/>
        <v>37927620.32</v>
      </c>
      <c r="AO147" s="522">
        <f t="shared" si="232"/>
        <v>19736958.489999998</v>
      </c>
      <c r="AP147" s="522">
        <f t="shared" si="244"/>
        <v>108.50049698274225</v>
      </c>
      <c r="AQ147" s="578">
        <v>2766446.68</v>
      </c>
      <c r="AR147" s="578">
        <v>11694071.93</v>
      </c>
      <c r="AS147" s="578">
        <v>15424215.15</v>
      </c>
      <c r="AT147" s="578">
        <v>26233548.390000001</v>
      </c>
      <c r="AU147" s="578">
        <f t="shared" si="208"/>
        <v>31581599.900000002</v>
      </c>
      <c r="AV147" s="578">
        <f t="shared" si="208"/>
        <v>43391994.25</v>
      </c>
      <c r="AW147" s="578">
        <f t="shared" si="233"/>
        <v>11810394.349999998</v>
      </c>
      <c r="AX147" s="578">
        <f t="shared" si="234"/>
        <v>37.396440925717627</v>
      </c>
      <c r="AY147" s="578">
        <f t="shared" si="210"/>
        <v>74470950.090000004</v>
      </c>
      <c r="AZ147" s="578">
        <f t="shared" si="235"/>
        <v>-31078955.840000004</v>
      </c>
      <c r="BA147" s="578">
        <f t="shared" si="236"/>
        <v>-41.732992264017454</v>
      </c>
      <c r="BB147" s="578">
        <v>18890754.510000002</v>
      </c>
      <c r="BC147" s="576">
        <f>'[67]Гл инж_Тех дир'!AT99</f>
        <v>32791148.859999999</v>
      </c>
      <c r="BD147" s="576">
        <f t="shared" ref="BD147:BD159" si="271">BI147-AN147</f>
        <v>36960405.619999997</v>
      </c>
      <c r="BE147" s="576">
        <f t="shared" si="237"/>
        <v>18069651.109999996</v>
      </c>
      <c r="BF147" s="576">
        <f t="shared" si="238"/>
        <v>4169256.7599999979</v>
      </c>
      <c r="BG147" s="576">
        <f t="shared" si="218"/>
        <v>37081416.340000004</v>
      </c>
      <c r="BH147" s="578">
        <f t="shared" si="218"/>
        <v>70718769.180000007</v>
      </c>
      <c r="BI147" s="578">
        <v>74888025.939999998</v>
      </c>
      <c r="BJ147" s="578">
        <f t="shared" si="239"/>
        <v>37806609.599999994</v>
      </c>
      <c r="BK147" s="578">
        <f t="shared" si="240"/>
        <v>4169256.7599999905</v>
      </c>
      <c r="BL147" s="576">
        <v>12690845.390000001</v>
      </c>
      <c r="BM147" s="578">
        <f>'[67]Гл инж_Тех дир'!AW99</f>
        <v>10600845.390000001</v>
      </c>
      <c r="BN147" s="522">
        <f t="shared" ref="BN147:BN159" si="272">AL147-BI147</f>
        <v>37510544.469999999</v>
      </c>
      <c r="BO147" s="578">
        <f t="shared" si="245"/>
        <v>24819699.079999998</v>
      </c>
      <c r="BP147" s="578">
        <f t="shared" si="241"/>
        <v>26909699.079999998</v>
      </c>
      <c r="BQ147" s="576">
        <v>12690845.390000001</v>
      </c>
      <c r="BR147" s="578">
        <f>'[67]Гл инж_Тех дир'!BB99</f>
        <v>0</v>
      </c>
      <c r="BS147" s="578">
        <f>'[67]Гл инж_Тех дир'!BC99</f>
        <v>0</v>
      </c>
      <c r="BT147" s="536"/>
      <c r="BU147" s="578">
        <f>111931948.46+466621.95</f>
        <v>112398570.41</v>
      </c>
      <c r="BV147" s="578"/>
      <c r="BW147" s="578"/>
      <c r="BX147" s="574"/>
      <c r="BY147" s="578">
        <f>111895076.27+466621.95</f>
        <v>112361698.22</v>
      </c>
      <c r="BZ147" s="578"/>
      <c r="CA147" s="578">
        <v>36872.19</v>
      </c>
      <c r="CB147" s="522">
        <f t="shared" si="213"/>
        <v>112398570.41</v>
      </c>
      <c r="CC147" s="578">
        <f t="shared" si="242"/>
        <v>0</v>
      </c>
      <c r="CD147" s="578"/>
      <c r="CE147" s="578"/>
      <c r="CF147" s="578"/>
      <c r="CG147" s="578"/>
      <c r="CH147" s="578"/>
      <c r="CI147" s="578"/>
      <c r="CJ147" s="578"/>
      <c r="CK147" s="542" t="s">
        <v>79</v>
      </c>
      <c r="CL147" s="543" t="s">
        <v>1913</v>
      </c>
      <c r="CM147" s="509" t="s">
        <v>1925</v>
      </c>
      <c r="CN147" s="528" t="s">
        <v>1849</v>
      </c>
      <c r="CO147" s="528" t="s">
        <v>1849</v>
      </c>
      <c r="CP147" s="579">
        <f>U147</f>
        <v>49772261.730000004</v>
      </c>
      <c r="CQ147" s="579"/>
      <c r="CR147" s="579"/>
      <c r="CS147" s="1727"/>
      <c r="CT147" s="1728"/>
      <c r="CU147" s="1728"/>
      <c r="CV147" s="1728"/>
      <c r="CW147" s="1729"/>
      <c r="CX147" s="528"/>
      <c r="CY147" s="528"/>
      <c r="CZ147" s="528"/>
      <c r="DA147" s="528"/>
      <c r="DB147" s="579">
        <f>11504711.93+189360</f>
        <v>11694071.93</v>
      </c>
      <c r="DC147" s="628" t="e">
        <f>P147-#REF!</f>
        <v>#REF!</v>
      </c>
      <c r="DD147" s="535"/>
      <c r="DE147" s="535"/>
      <c r="DF147" s="578">
        <f t="shared" si="211"/>
        <v>112361.69822000001</v>
      </c>
      <c r="DG147" s="578">
        <f t="shared" si="211"/>
        <v>0</v>
      </c>
      <c r="DH147" s="578">
        <f t="shared" si="211"/>
        <v>36.872190000000003</v>
      </c>
      <c r="DI147" s="522">
        <f t="shared" si="209"/>
        <v>112398.57041</v>
      </c>
      <c r="DJ147" s="536"/>
      <c r="DK147" s="536"/>
      <c r="DL147" s="536"/>
      <c r="DM147" s="536"/>
      <c r="DN147" s="536"/>
      <c r="DO147" s="536"/>
      <c r="DP147" s="536"/>
      <c r="DQ147" s="536"/>
      <c r="DR147" s="536"/>
      <c r="DS147" s="536"/>
    </row>
    <row r="148" spans="1:123" s="534" customFormat="1" ht="84.6">
      <c r="A148" s="537" t="s">
        <v>629</v>
      </c>
      <c r="B148" s="538" t="s">
        <v>630</v>
      </c>
      <c r="C148" s="576"/>
      <c r="D148" s="576"/>
      <c r="E148" s="576"/>
      <c r="F148" s="576"/>
      <c r="G148" s="627"/>
      <c r="H148" s="626">
        <v>0</v>
      </c>
      <c r="I148" s="576">
        <f t="shared" si="265"/>
        <v>249908</v>
      </c>
      <c r="J148" s="576">
        <v>249908</v>
      </c>
      <c r="K148" s="576">
        <v>0</v>
      </c>
      <c r="L148" s="576">
        <v>0</v>
      </c>
      <c r="M148" s="576">
        <f t="shared" si="266"/>
        <v>249908</v>
      </c>
      <c r="N148" s="576">
        <v>422639.12</v>
      </c>
      <c r="O148" s="525">
        <f t="shared" si="267"/>
        <v>769825.80999999994</v>
      </c>
      <c r="P148" s="522">
        <v>1192464.93</v>
      </c>
      <c r="Q148" s="576">
        <f t="shared" si="219"/>
        <v>942556.92999999993</v>
      </c>
      <c r="R148" s="576">
        <f t="shared" si="220"/>
        <v>377.16156745682412</v>
      </c>
      <c r="S148" s="576">
        <v>0</v>
      </c>
      <c r="T148" s="576">
        <v>0</v>
      </c>
      <c r="U148" s="522">
        <f t="shared" si="268"/>
        <v>262653.31</v>
      </c>
      <c r="V148" s="522">
        <f t="shared" si="217"/>
        <v>262653.31</v>
      </c>
      <c r="W148" s="522">
        <v>0</v>
      </c>
      <c r="X148" s="522">
        <f t="shared" si="221"/>
        <v>-929811.61999999988</v>
      </c>
      <c r="Y148" s="522">
        <f t="shared" si="222"/>
        <v>-77.973917438393755</v>
      </c>
      <c r="Z148" s="524">
        <f t="shared" si="223"/>
        <v>4262653.3099999996</v>
      </c>
      <c r="AA148" s="522">
        <f t="shared" si="224"/>
        <v>4262653.3099999996</v>
      </c>
      <c r="AB148" s="522">
        <v>0</v>
      </c>
      <c r="AC148" s="522">
        <f t="shared" si="225"/>
        <v>3999999.9999999995</v>
      </c>
      <c r="AD148" s="522">
        <f t="shared" si="226"/>
        <v>1522.9200804665284</v>
      </c>
      <c r="AE148" s="522">
        <f t="shared" si="227"/>
        <v>3070188.38</v>
      </c>
      <c r="AF148" s="522">
        <f t="shared" si="228"/>
        <v>257.46571683244383</v>
      </c>
      <c r="AG148" s="522">
        <f t="shared" si="243"/>
        <v>769312.28999999992</v>
      </c>
      <c r="AH148" s="522">
        <f t="shared" si="229"/>
        <v>506658.97999999992</v>
      </c>
      <c r="AI148" s="522">
        <f t="shared" si="230"/>
        <v>192.90028364767227</v>
      </c>
      <c r="AJ148" s="522">
        <f t="shared" si="231"/>
        <v>-3493341.0199999996</v>
      </c>
      <c r="AK148" s="522">
        <f t="shared" si="212"/>
        <v>-81.952266955531513</v>
      </c>
      <c r="AL148" s="522">
        <f t="shared" si="269"/>
        <v>769312.29</v>
      </c>
      <c r="AM148" s="522">
        <f t="shared" si="270"/>
        <v>100604.5</v>
      </c>
      <c r="AN148" s="522">
        <f t="shared" si="270"/>
        <v>81518.47</v>
      </c>
      <c r="AO148" s="522">
        <f t="shared" si="232"/>
        <v>-19086.03</v>
      </c>
      <c r="AP148" s="522">
        <f t="shared" si="244"/>
        <v>-18.971348200130208</v>
      </c>
      <c r="AQ148" s="578">
        <v>50000</v>
      </c>
      <c r="AR148" s="578">
        <v>10190</v>
      </c>
      <c r="AS148" s="578">
        <v>50604.5</v>
      </c>
      <c r="AT148" s="578">
        <v>71328.47</v>
      </c>
      <c r="AU148" s="578">
        <f t="shared" si="208"/>
        <v>162048.81</v>
      </c>
      <c r="AV148" s="578">
        <f t="shared" si="208"/>
        <v>4181134.84</v>
      </c>
      <c r="AW148" s="578">
        <f t="shared" si="233"/>
        <v>4019086.03</v>
      </c>
      <c r="AX148" s="578">
        <f t="shared" si="234"/>
        <v>2480.1700364229764</v>
      </c>
      <c r="AY148" s="578">
        <f t="shared" si="210"/>
        <v>687793.82</v>
      </c>
      <c r="AZ148" s="578">
        <f t="shared" si="235"/>
        <v>3493341.02</v>
      </c>
      <c r="BA148" s="578">
        <f t="shared" si="236"/>
        <v>507.90526440031113</v>
      </c>
      <c r="BB148" s="578">
        <v>112048.81</v>
      </c>
      <c r="BC148" s="576">
        <f>'[67]Гл инж_Тех дир'!AT100</f>
        <v>131134.84</v>
      </c>
      <c r="BD148" s="576">
        <f t="shared" si="271"/>
        <v>22936.100000000006</v>
      </c>
      <c r="BE148" s="576">
        <f t="shared" si="237"/>
        <v>-89112.709999999992</v>
      </c>
      <c r="BF148" s="576">
        <f t="shared" si="238"/>
        <v>-108198.73999999999</v>
      </c>
      <c r="BG148" s="576">
        <f t="shared" si="218"/>
        <v>212653.31</v>
      </c>
      <c r="BH148" s="578">
        <f t="shared" si="218"/>
        <v>212653.31</v>
      </c>
      <c r="BI148" s="578">
        <v>104454.57</v>
      </c>
      <c r="BJ148" s="578">
        <f t="shared" si="239"/>
        <v>-108198.73999999999</v>
      </c>
      <c r="BK148" s="578">
        <f t="shared" si="240"/>
        <v>-108198.73999999999</v>
      </c>
      <c r="BL148" s="576">
        <v>50000</v>
      </c>
      <c r="BM148" s="578">
        <f>'[67]Гл инж_Тех дир'!AW100</f>
        <v>4050000</v>
      </c>
      <c r="BN148" s="522">
        <f t="shared" si="272"/>
        <v>664857.72</v>
      </c>
      <c r="BO148" s="578">
        <f t="shared" si="245"/>
        <v>614857.72</v>
      </c>
      <c r="BP148" s="578">
        <f t="shared" si="241"/>
        <v>-3385142.2800000003</v>
      </c>
      <c r="BQ148" s="576">
        <v>50000</v>
      </c>
      <c r="BR148" s="578">
        <f>'[67]Гл инж_Тех дир'!BB100</f>
        <v>0</v>
      </c>
      <c r="BS148" s="578">
        <f>'[67]Гл инж_Тех дир'!BC100</f>
        <v>0</v>
      </c>
      <c r="BT148" s="536"/>
      <c r="BU148" s="578">
        <v>769312.29</v>
      </c>
      <c r="BV148" s="578"/>
      <c r="BW148" s="578"/>
      <c r="BX148" s="574"/>
      <c r="BY148" s="576">
        <v>769018.68</v>
      </c>
      <c r="BZ148" s="576">
        <v>208.61</v>
      </c>
      <c r="CA148" s="576">
        <v>85</v>
      </c>
      <c r="CB148" s="522">
        <f t="shared" si="213"/>
        <v>769312.29</v>
      </c>
      <c r="CC148" s="578">
        <f t="shared" si="242"/>
        <v>0</v>
      </c>
      <c r="CD148" s="578"/>
      <c r="CE148" s="578"/>
      <c r="CF148" s="578"/>
      <c r="CG148" s="578"/>
      <c r="CH148" s="578"/>
      <c r="CI148" s="578"/>
      <c r="CJ148" s="578"/>
      <c r="CK148" s="542" t="s">
        <v>79</v>
      </c>
      <c r="CL148" s="543" t="s">
        <v>1913</v>
      </c>
      <c r="CM148" s="509" t="s">
        <v>1925</v>
      </c>
      <c r="CN148" s="528" t="s">
        <v>1849</v>
      </c>
      <c r="CO148" s="528" t="s">
        <v>1849</v>
      </c>
      <c r="CP148" s="579">
        <f>U148</f>
        <v>262653.31</v>
      </c>
      <c r="CQ148" s="579"/>
      <c r="CR148" s="579"/>
      <c r="CS148" s="1727"/>
      <c r="CT148" s="1728"/>
      <c r="CU148" s="1728"/>
      <c r="CV148" s="1728"/>
      <c r="CW148" s="1729"/>
      <c r="CX148" s="528"/>
      <c r="CY148" s="528"/>
      <c r="CZ148" s="528"/>
      <c r="DA148" s="528"/>
      <c r="DB148" s="579">
        <f>10190</f>
        <v>10190</v>
      </c>
      <c r="DC148" s="628" t="e">
        <f>P148-#REF!</f>
        <v>#REF!</v>
      </c>
      <c r="DD148" s="535"/>
      <c r="DE148" s="535"/>
      <c r="DF148" s="576">
        <f t="shared" si="211"/>
        <v>769.01868000000002</v>
      </c>
      <c r="DG148" s="576">
        <f t="shared" si="211"/>
        <v>0.20861000000000002</v>
      </c>
      <c r="DH148" s="576">
        <f t="shared" si="211"/>
        <v>8.5000000000000006E-2</v>
      </c>
      <c r="DI148" s="522">
        <f t="shared" si="209"/>
        <v>769.31229000000008</v>
      </c>
      <c r="DJ148" s="536"/>
      <c r="DK148" s="536"/>
      <c r="DL148" s="536"/>
      <c r="DM148" s="536"/>
      <c r="DN148" s="536"/>
      <c r="DO148" s="536"/>
      <c r="DP148" s="536"/>
      <c r="DQ148" s="536"/>
      <c r="DR148" s="536"/>
      <c r="DS148" s="536"/>
    </row>
    <row r="149" spans="1:123" s="534" customFormat="1" ht="84" customHeight="1">
      <c r="A149" s="537" t="s">
        <v>608</v>
      </c>
      <c r="B149" s="538" t="s">
        <v>609</v>
      </c>
      <c r="C149" s="576">
        <f>13694979.97+37458930.59+348337.87</f>
        <v>51502248.43</v>
      </c>
      <c r="D149" s="576">
        <f>19256964.78+8157482.46+214003.96</f>
        <v>27628451.200000003</v>
      </c>
      <c r="E149" s="576">
        <v>56175660</v>
      </c>
      <c r="F149" s="576">
        <v>52943618.399999999</v>
      </c>
      <c r="G149" s="626">
        <v>20333511.428126067</v>
      </c>
      <c r="H149" s="626">
        <v>0</v>
      </c>
      <c r="I149" s="576">
        <f t="shared" si="265"/>
        <v>31281367.090000004</v>
      </c>
      <c r="J149" s="576">
        <v>1309090.1499999999</v>
      </c>
      <c r="K149" s="576">
        <v>10000000</v>
      </c>
      <c r="L149" s="576">
        <v>19972276.940000001</v>
      </c>
      <c r="M149" s="576">
        <f t="shared" si="266"/>
        <v>11309090.15</v>
      </c>
      <c r="N149" s="576">
        <v>6055018.3799999999</v>
      </c>
      <c r="O149" s="525">
        <f t="shared" si="267"/>
        <v>21493514.030000001</v>
      </c>
      <c r="P149" s="522">
        <v>27548532.41</v>
      </c>
      <c r="Q149" s="576">
        <f t="shared" si="219"/>
        <v>-3732834.6800000034</v>
      </c>
      <c r="R149" s="576">
        <f t="shared" si="220"/>
        <v>-11.933093170960902</v>
      </c>
      <c r="S149" s="576">
        <v>15673240</v>
      </c>
      <c r="T149" s="576">
        <v>15673240</v>
      </c>
      <c r="U149" s="522">
        <f t="shared" si="268"/>
        <v>15673240</v>
      </c>
      <c r="V149" s="522">
        <f t="shared" si="217"/>
        <v>0</v>
      </c>
      <c r="W149" s="522">
        <f t="shared" si="246"/>
        <v>0</v>
      </c>
      <c r="X149" s="522">
        <f t="shared" si="221"/>
        <v>-11875292.41</v>
      </c>
      <c r="Y149" s="522">
        <f t="shared" si="222"/>
        <v>-43.106805957072758</v>
      </c>
      <c r="Z149" s="524">
        <f t="shared" si="223"/>
        <v>19873240</v>
      </c>
      <c r="AA149" s="522">
        <f t="shared" si="224"/>
        <v>4200000</v>
      </c>
      <c r="AB149" s="522">
        <f t="shared" si="247"/>
        <v>26.797267189170839</v>
      </c>
      <c r="AC149" s="522">
        <f t="shared" si="225"/>
        <v>4200000</v>
      </c>
      <c r="AD149" s="522">
        <f t="shared" si="226"/>
        <v>26.797267189170839</v>
      </c>
      <c r="AE149" s="522">
        <f t="shared" si="227"/>
        <v>-7675292.4100000001</v>
      </c>
      <c r="AF149" s="522">
        <f t="shared" si="228"/>
        <v>-27.860984736936118</v>
      </c>
      <c r="AG149" s="522">
        <f t="shared" si="243"/>
        <v>3340411.0300000003</v>
      </c>
      <c r="AH149" s="522">
        <f t="shared" si="229"/>
        <v>-12332828.969999999</v>
      </c>
      <c r="AI149" s="522">
        <f t="shared" si="230"/>
        <v>-78.687169787484905</v>
      </c>
      <c r="AJ149" s="522">
        <f t="shared" si="231"/>
        <v>-16532828.969999999</v>
      </c>
      <c r="AK149" s="522">
        <f t="shared" si="212"/>
        <v>-83.191412019378816</v>
      </c>
      <c r="AL149" s="522">
        <f t="shared" si="269"/>
        <v>3340411.03</v>
      </c>
      <c r="AM149" s="522">
        <f t="shared" si="270"/>
        <v>3851068.37</v>
      </c>
      <c r="AN149" s="522">
        <f t="shared" si="270"/>
        <v>1451493.59</v>
      </c>
      <c r="AO149" s="522">
        <f t="shared" si="232"/>
        <v>-2399574.7800000003</v>
      </c>
      <c r="AP149" s="522">
        <f t="shared" si="244"/>
        <v>-62.309326905042717</v>
      </c>
      <c r="AQ149" s="578">
        <v>605335.4</v>
      </c>
      <c r="AR149" s="578">
        <v>406603</v>
      </c>
      <c r="AS149" s="578">
        <v>3245732.97</v>
      </c>
      <c r="AT149" s="578">
        <v>1044890.5900000001</v>
      </c>
      <c r="AU149" s="578">
        <f t="shared" si="208"/>
        <v>11822171.630000001</v>
      </c>
      <c r="AV149" s="578">
        <f t="shared" si="208"/>
        <v>18421746.41</v>
      </c>
      <c r="AW149" s="578">
        <f t="shared" si="233"/>
        <v>6599574.7799999993</v>
      </c>
      <c r="AX149" s="578">
        <f t="shared" si="234"/>
        <v>55.82370977640764</v>
      </c>
      <c r="AY149" s="578">
        <f t="shared" si="210"/>
        <v>1888917.44</v>
      </c>
      <c r="AZ149" s="578">
        <f t="shared" si="235"/>
        <v>16532828.970000001</v>
      </c>
      <c r="BA149" s="578">
        <f t="shared" si="236"/>
        <v>875.25418633436948</v>
      </c>
      <c r="BB149" s="578">
        <v>9420072.1500000004</v>
      </c>
      <c r="BC149" s="576">
        <f>'[67]Гл инж_Тех дир'!AT101</f>
        <v>10019646.93</v>
      </c>
      <c r="BD149" s="576">
        <f t="shared" si="271"/>
        <v>3215898.1799999997</v>
      </c>
      <c r="BE149" s="576">
        <f t="shared" si="237"/>
        <v>-6204173.9700000007</v>
      </c>
      <c r="BF149" s="576">
        <f t="shared" si="238"/>
        <v>-6803748.75</v>
      </c>
      <c r="BG149" s="576">
        <f t="shared" si="218"/>
        <v>13271140.52</v>
      </c>
      <c r="BH149" s="578">
        <f t="shared" si="218"/>
        <v>11471140.52</v>
      </c>
      <c r="BI149" s="578">
        <v>4667391.7699999996</v>
      </c>
      <c r="BJ149" s="578">
        <f t="shared" si="239"/>
        <v>-8603748.75</v>
      </c>
      <c r="BK149" s="578">
        <f t="shared" si="240"/>
        <v>-6803748.75</v>
      </c>
      <c r="BL149" s="576">
        <v>2402099.48</v>
      </c>
      <c r="BM149" s="578">
        <f>'[67]Гл инж_Тех дир'!AW101</f>
        <v>8402099.4800000004</v>
      </c>
      <c r="BN149" s="522">
        <f t="shared" si="272"/>
        <v>-1326980.7399999998</v>
      </c>
      <c r="BO149" s="578">
        <f t="shared" si="245"/>
        <v>-3729080.2199999997</v>
      </c>
      <c r="BP149" s="578">
        <f t="shared" si="241"/>
        <v>-9729080.2200000007</v>
      </c>
      <c r="BQ149" s="576">
        <v>2402099.48</v>
      </c>
      <c r="BR149" s="578">
        <f>'[67]Гл инж_Тех дир'!BB101</f>
        <v>0</v>
      </c>
      <c r="BS149" s="578">
        <f>'[67]Гл инж_Тех дир'!BC101</f>
        <v>0</v>
      </c>
      <c r="BT149" s="536"/>
      <c r="BU149" s="578">
        <v>3340411.03</v>
      </c>
      <c r="BV149" s="578"/>
      <c r="BW149" s="578"/>
      <c r="BX149" s="574"/>
      <c r="BY149" s="576">
        <v>3088601.1</v>
      </c>
      <c r="BZ149" s="576">
        <v>216320.22</v>
      </c>
      <c r="CA149" s="576">
        <v>35489.71</v>
      </c>
      <c r="CB149" s="522">
        <f t="shared" si="213"/>
        <v>3340411.0300000003</v>
      </c>
      <c r="CC149" s="578">
        <f t="shared" si="242"/>
        <v>0</v>
      </c>
      <c r="CD149" s="578"/>
      <c r="CE149" s="578"/>
      <c r="CF149" s="578"/>
      <c r="CG149" s="578"/>
      <c r="CH149" s="578"/>
      <c r="CI149" s="578"/>
      <c r="CJ149" s="578"/>
      <c r="CK149" s="542" t="s">
        <v>79</v>
      </c>
      <c r="CL149" s="543" t="s">
        <v>1913</v>
      </c>
      <c r="CM149" s="509" t="s">
        <v>1925</v>
      </c>
      <c r="CN149" s="528" t="s">
        <v>1849</v>
      </c>
      <c r="CO149" s="528" t="s">
        <v>1849</v>
      </c>
      <c r="CP149" s="579">
        <f>U149</f>
        <v>15673240</v>
      </c>
      <c r="CQ149" s="579"/>
      <c r="CR149" s="579"/>
      <c r="CS149" s="1727"/>
      <c r="CT149" s="1728"/>
      <c r="CU149" s="1728"/>
      <c r="CV149" s="1728"/>
      <c r="CW149" s="1729"/>
      <c r="CX149" s="528"/>
      <c r="CY149" s="528"/>
      <c r="CZ149" s="528"/>
      <c r="DA149" s="528"/>
      <c r="DB149" s="579">
        <f>406603</f>
        <v>406603</v>
      </c>
      <c r="DC149" s="628" t="e">
        <f>P149-#REF!</f>
        <v>#REF!</v>
      </c>
      <c r="DD149" s="535"/>
      <c r="DE149" s="535"/>
      <c r="DF149" s="576">
        <f t="shared" si="211"/>
        <v>3088.6011000000003</v>
      </c>
      <c r="DG149" s="576">
        <f t="shared" si="211"/>
        <v>216.32022000000001</v>
      </c>
      <c r="DH149" s="576">
        <f t="shared" si="211"/>
        <v>35.489710000000002</v>
      </c>
      <c r="DI149" s="522">
        <f t="shared" si="209"/>
        <v>3340.4110300000002</v>
      </c>
      <c r="DJ149" s="536"/>
      <c r="DK149" s="536"/>
      <c r="DL149" s="536"/>
      <c r="DM149" s="536"/>
      <c r="DN149" s="536"/>
      <c r="DO149" s="536"/>
      <c r="DP149" s="536"/>
      <c r="DQ149" s="536"/>
      <c r="DR149" s="536"/>
      <c r="DS149" s="536"/>
    </row>
    <row r="150" spans="1:123" s="534" customFormat="1" ht="93.75" customHeight="1">
      <c r="A150" s="537" t="s">
        <v>613</v>
      </c>
      <c r="B150" s="538" t="s">
        <v>614</v>
      </c>
      <c r="C150" s="576"/>
      <c r="D150" s="576"/>
      <c r="E150" s="576"/>
      <c r="F150" s="576"/>
      <c r="G150" s="627"/>
      <c r="H150" s="626">
        <v>0</v>
      </c>
      <c r="I150" s="576">
        <f t="shared" si="265"/>
        <v>2770458.13</v>
      </c>
      <c r="J150" s="576">
        <v>757914.06</v>
      </c>
      <c r="K150" s="576">
        <v>1000000</v>
      </c>
      <c r="L150" s="576">
        <v>1012544.07</v>
      </c>
      <c r="M150" s="576">
        <f t="shared" si="266"/>
        <v>1757914.06</v>
      </c>
      <c r="N150" s="576">
        <v>1542704.3</v>
      </c>
      <c r="O150" s="525">
        <f t="shared" si="267"/>
        <v>895309.12999999966</v>
      </c>
      <c r="P150" s="522">
        <f>2435835.01+2178.42</f>
        <v>2438013.4299999997</v>
      </c>
      <c r="Q150" s="576">
        <f t="shared" si="219"/>
        <v>-332444.70000000019</v>
      </c>
      <c r="R150" s="576">
        <f t="shared" si="220"/>
        <v>-11.999629101054126</v>
      </c>
      <c r="S150" s="576">
        <v>816060</v>
      </c>
      <c r="T150" s="576">
        <v>816060</v>
      </c>
      <c r="U150" s="522">
        <f t="shared" si="268"/>
        <v>1313578.3700000001</v>
      </c>
      <c r="V150" s="522">
        <f t="shared" si="217"/>
        <v>497518.37000000011</v>
      </c>
      <c r="W150" s="522">
        <f t="shared" si="246"/>
        <v>60.965905693208867</v>
      </c>
      <c r="X150" s="522">
        <f t="shared" si="221"/>
        <v>-1124435.0599999996</v>
      </c>
      <c r="Y150" s="522">
        <f t="shared" si="222"/>
        <v>-46.120954304997397</v>
      </c>
      <c r="Z150" s="524">
        <f t="shared" si="223"/>
        <v>1313578.3700000001</v>
      </c>
      <c r="AA150" s="522">
        <f t="shared" si="224"/>
        <v>497518.37000000011</v>
      </c>
      <c r="AB150" s="522">
        <f t="shared" si="247"/>
        <v>60.965905693208867</v>
      </c>
      <c r="AC150" s="522">
        <f t="shared" si="225"/>
        <v>0</v>
      </c>
      <c r="AD150" s="522">
        <f t="shared" si="226"/>
        <v>0</v>
      </c>
      <c r="AE150" s="522">
        <f t="shared" si="227"/>
        <v>-1124435.0599999996</v>
      </c>
      <c r="AF150" s="522">
        <f t="shared" si="228"/>
        <v>-46.120954304997397</v>
      </c>
      <c r="AG150" s="522">
        <f t="shared" si="243"/>
        <v>797718.82000000007</v>
      </c>
      <c r="AH150" s="522">
        <f t="shared" si="229"/>
        <v>-515859.55000000005</v>
      </c>
      <c r="AI150" s="522">
        <f t="shared" si="230"/>
        <v>-39.271318847919211</v>
      </c>
      <c r="AJ150" s="522">
        <f t="shared" si="231"/>
        <v>-515859.55000000005</v>
      </c>
      <c r="AK150" s="522">
        <f t="shared" si="212"/>
        <v>-39.271318847919211</v>
      </c>
      <c r="AL150" s="522">
        <f t="shared" si="269"/>
        <v>797718.82000000007</v>
      </c>
      <c r="AM150" s="522">
        <f t="shared" si="270"/>
        <v>392530.44</v>
      </c>
      <c r="AN150" s="522">
        <f t="shared" si="270"/>
        <v>400266.13</v>
      </c>
      <c r="AO150" s="522">
        <f t="shared" si="232"/>
        <v>7735.6900000000023</v>
      </c>
      <c r="AP150" s="522">
        <f t="shared" si="244"/>
        <v>1.9707235953471525</v>
      </c>
      <c r="AQ150" s="578">
        <v>11455.7</v>
      </c>
      <c r="AR150" s="578">
        <v>191219.51</v>
      </c>
      <c r="AS150" s="578">
        <v>381074.74</v>
      </c>
      <c r="AT150" s="578">
        <v>209046.62</v>
      </c>
      <c r="AU150" s="578">
        <f t="shared" si="208"/>
        <v>921047.92999999993</v>
      </c>
      <c r="AV150" s="578">
        <f t="shared" si="208"/>
        <v>913312.24</v>
      </c>
      <c r="AW150" s="578">
        <f t="shared" si="233"/>
        <v>-7735.6899999999441</v>
      </c>
      <c r="AX150" s="578">
        <f t="shared" si="234"/>
        <v>-0.8398792015090919</v>
      </c>
      <c r="AY150" s="578">
        <f t="shared" si="210"/>
        <v>397452.69000000006</v>
      </c>
      <c r="AZ150" s="578">
        <f t="shared" si="235"/>
        <v>515859.54999999993</v>
      </c>
      <c r="BA150" s="578">
        <f t="shared" si="236"/>
        <v>129.79143505104972</v>
      </c>
      <c r="BB150" s="578">
        <v>909121.35</v>
      </c>
      <c r="BC150" s="576">
        <f>'[67]Гл инж_Тех дир'!AT102</f>
        <v>901385.66</v>
      </c>
      <c r="BD150" s="576">
        <f t="shared" si="271"/>
        <v>211794.81999999995</v>
      </c>
      <c r="BE150" s="576">
        <f t="shared" si="237"/>
        <v>-697326.53</v>
      </c>
      <c r="BF150" s="576">
        <f t="shared" si="238"/>
        <v>-689590.84000000008</v>
      </c>
      <c r="BG150" s="576">
        <f t="shared" si="218"/>
        <v>1301651.79</v>
      </c>
      <c r="BH150" s="578">
        <f t="shared" si="218"/>
        <v>1301651.79</v>
      </c>
      <c r="BI150" s="578">
        <f>608086.36+3974.59</f>
        <v>612060.94999999995</v>
      </c>
      <c r="BJ150" s="578">
        <f t="shared" si="239"/>
        <v>-689590.84000000008</v>
      </c>
      <c r="BK150" s="578">
        <f t="shared" si="240"/>
        <v>-689590.84000000008</v>
      </c>
      <c r="BL150" s="576">
        <v>11926.58</v>
      </c>
      <c r="BM150" s="578">
        <f>'[67]Гл инж_Тех дир'!AW102</f>
        <v>11926.58</v>
      </c>
      <c r="BN150" s="522">
        <f t="shared" si="272"/>
        <v>185657.87000000011</v>
      </c>
      <c r="BO150" s="578">
        <f t="shared" si="245"/>
        <v>173731.29000000012</v>
      </c>
      <c r="BP150" s="578">
        <f t="shared" si="241"/>
        <v>173731.29000000012</v>
      </c>
      <c r="BQ150" s="576">
        <v>11926.58</v>
      </c>
      <c r="BR150" s="578">
        <f>'[67]Гл инж_Тех дир'!BB102</f>
        <v>0</v>
      </c>
      <c r="BS150" s="578">
        <f>'[67]Гл инж_Тех дир'!BC102</f>
        <v>0</v>
      </c>
      <c r="BT150" s="536"/>
      <c r="BU150" s="578">
        <f>784249.3+9494.93</f>
        <v>793744.2300000001</v>
      </c>
      <c r="BV150" s="578">
        <v>3974.59</v>
      </c>
      <c r="BW150" s="578"/>
      <c r="BX150" s="574"/>
      <c r="BY150" s="576">
        <f>697952.6+9480.64+3974.59</f>
        <v>711407.83</v>
      </c>
      <c r="BZ150" s="576">
        <f>79709.7+9.13</f>
        <v>79718.83</v>
      </c>
      <c r="CA150" s="576">
        <f>6587+5.16</f>
        <v>6592.16</v>
      </c>
      <c r="CB150" s="522">
        <f t="shared" si="213"/>
        <v>797718.82</v>
      </c>
      <c r="CC150" s="578">
        <f t="shared" si="242"/>
        <v>0</v>
      </c>
      <c r="CD150" s="578"/>
      <c r="CE150" s="578"/>
      <c r="CF150" s="578"/>
      <c r="CG150" s="578"/>
      <c r="CH150" s="578"/>
      <c r="CI150" s="578"/>
      <c r="CJ150" s="578"/>
      <c r="CK150" s="542" t="s">
        <v>79</v>
      </c>
      <c r="CL150" s="543" t="s">
        <v>1913</v>
      </c>
      <c r="CM150" s="509" t="s">
        <v>1925</v>
      </c>
      <c r="CN150" s="528" t="s">
        <v>1849</v>
      </c>
      <c r="CO150" s="528" t="s">
        <v>1849</v>
      </c>
      <c r="CP150" s="579">
        <f>U150</f>
        <v>1313578.3700000001</v>
      </c>
      <c r="CQ150" s="579"/>
      <c r="CR150" s="579"/>
      <c r="CS150" s="1727"/>
      <c r="CT150" s="1728"/>
      <c r="CU150" s="1728"/>
      <c r="CV150" s="1728"/>
      <c r="CW150" s="1729"/>
      <c r="CX150" s="528"/>
      <c r="CY150" s="528"/>
      <c r="CZ150" s="528"/>
      <c r="DA150" s="528"/>
      <c r="DB150" s="579">
        <f>191219.51</f>
        <v>191219.51</v>
      </c>
      <c r="DC150" s="628" t="e">
        <f>P150-#REF!</f>
        <v>#REF!</v>
      </c>
      <c r="DD150" s="535"/>
      <c r="DE150" s="535"/>
      <c r="DF150" s="576">
        <f t="shared" si="211"/>
        <v>711.40782999999999</v>
      </c>
      <c r="DG150" s="576">
        <f t="shared" si="211"/>
        <v>79.718829999999997</v>
      </c>
      <c r="DH150" s="576">
        <f t="shared" si="211"/>
        <v>6.5921599999999998</v>
      </c>
      <c r="DI150" s="522">
        <f t="shared" si="209"/>
        <v>797.71881999999994</v>
      </c>
      <c r="DJ150" s="536"/>
      <c r="DK150" s="536"/>
      <c r="DL150" s="536"/>
      <c r="DM150" s="536"/>
      <c r="DN150" s="536"/>
      <c r="DO150" s="536"/>
      <c r="DP150" s="536"/>
      <c r="DQ150" s="536"/>
      <c r="DR150" s="536"/>
      <c r="DS150" s="536"/>
    </row>
    <row r="151" spans="1:123" s="534" customFormat="1" ht="56.4">
      <c r="A151" s="537" t="s">
        <v>617</v>
      </c>
      <c r="B151" s="538" t="s">
        <v>618</v>
      </c>
      <c r="C151" s="576">
        <v>6431253.5899999999</v>
      </c>
      <c r="D151" s="576">
        <v>15304482.08</v>
      </c>
      <c r="E151" s="576">
        <v>10000000</v>
      </c>
      <c r="F151" s="576">
        <v>6683343.0300000003</v>
      </c>
      <c r="G151" s="626">
        <v>25499334.54270342</v>
      </c>
      <c r="H151" s="1736">
        <v>0</v>
      </c>
      <c r="I151" s="576">
        <f t="shared" si="265"/>
        <v>9774090.7799999993</v>
      </c>
      <c r="J151" s="576">
        <v>2900</v>
      </c>
      <c r="K151" s="576">
        <v>5834730</v>
      </c>
      <c r="L151" s="576">
        <v>3936460.78</v>
      </c>
      <c r="M151" s="576">
        <f t="shared" si="266"/>
        <v>5837630</v>
      </c>
      <c r="N151" s="576">
        <v>8340050.9000000004</v>
      </c>
      <c r="O151" s="525">
        <f t="shared" si="267"/>
        <v>1448244.959999999</v>
      </c>
      <c r="P151" s="522">
        <v>9788295.8599999994</v>
      </c>
      <c r="Q151" s="576">
        <f t="shared" si="219"/>
        <v>14205.080000000075</v>
      </c>
      <c r="R151" s="576">
        <f t="shared" si="220"/>
        <v>0.145334029729554</v>
      </c>
      <c r="S151" s="576">
        <v>7579742.9775</v>
      </c>
      <c r="T151" s="576">
        <v>7579742.9775</v>
      </c>
      <c r="U151" s="522">
        <f t="shared" si="268"/>
        <v>9960000</v>
      </c>
      <c r="V151" s="522">
        <f t="shared" si="217"/>
        <v>2380257.0225</v>
      </c>
      <c r="W151" s="522">
        <f t="shared" si="246"/>
        <v>31.402872492717052</v>
      </c>
      <c r="X151" s="522">
        <f t="shared" si="221"/>
        <v>171704.1400000006</v>
      </c>
      <c r="Y151" s="522">
        <f t="shared" si="222"/>
        <v>1.7541780761007857</v>
      </c>
      <c r="Z151" s="524">
        <f t="shared" si="223"/>
        <v>9960000</v>
      </c>
      <c r="AA151" s="522">
        <f t="shared" si="224"/>
        <v>2380257.0225</v>
      </c>
      <c r="AB151" s="522">
        <f t="shared" si="247"/>
        <v>31.402872492717052</v>
      </c>
      <c r="AC151" s="522">
        <f t="shared" si="225"/>
        <v>0</v>
      </c>
      <c r="AD151" s="522">
        <f t="shared" si="226"/>
        <v>0</v>
      </c>
      <c r="AE151" s="522">
        <f t="shared" si="227"/>
        <v>171704.1400000006</v>
      </c>
      <c r="AF151" s="522">
        <f t="shared" si="228"/>
        <v>1.7541780761007857</v>
      </c>
      <c r="AG151" s="522">
        <f t="shared" si="243"/>
        <v>9926767.2699999996</v>
      </c>
      <c r="AH151" s="522">
        <f t="shared" si="229"/>
        <v>-33232.730000000447</v>
      </c>
      <c r="AI151" s="522">
        <f t="shared" si="230"/>
        <v>-0.33366194779117109</v>
      </c>
      <c r="AJ151" s="522">
        <f t="shared" si="231"/>
        <v>-33232.730000000447</v>
      </c>
      <c r="AK151" s="522">
        <f t="shared" si="212"/>
        <v>-0.33366194779117109</v>
      </c>
      <c r="AL151" s="522">
        <f t="shared" si="269"/>
        <v>9926767.2699999996</v>
      </c>
      <c r="AM151" s="522">
        <f t="shared" si="270"/>
        <v>1920000</v>
      </c>
      <c r="AN151" s="522">
        <f t="shared" si="270"/>
        <v>1751835.97</v>
      </c>
      <c r="AO151" s="522">
        <f t="shared" si="232"/>
        <v>-168164.03000000003</v>
      </c>
      <c r="AP151" s="522">
        <f t="shared" si="244"/>
        <v>-8.7585432291666763</v>
      </c>
      <c r="AQ151" s="578">
        <v>0</v>
      </c>
      <c r="AR151" s="578">
        <v>0</v>
      </c>
      <c r="AS151" s="578">
        <v>1920000</v>
      </c>
      <c r="AT151" s="578">
        <v>1751835.97</v>
      </c>
      <c r="AU151" s="578">
        <f t="shared" si="208"/>
        <v>8040000</v>
      </c>
      <c r="AV151" s="578">
        <f t="shared" si="208"/>
        <v>8208164.0300000003</v>
      </c>
      <c r="AW151" s="578">
        <f t="shared" si="233"/>
        <v>168164.03000000026</v>
      </c>
      <c r="AX151" s="578">
        <f t="shared" si="234"/>
        <v>2.0915924129353272</v>
      </c>
      <c r="AY151" s="578">
        <f t="shared" si="210"/>
        <v>8174931.2999999998</v>
      </c>
      <c r="AZ151" s="578">
        <f t="shared" si="235"/>
        <v>33232.730000000447</v>
      </c>
      <c r="BA151" s="578">
        <f t="shared" si="236"/>
        <v>0.40651999118328774</v>
      </c>
      <c r="BB151" s="578">
        <v>5040000</v>
      </c>
      <c r="BC151" s="576">
        <f>'[67]Гл инж_Тех дир'!AT107</f>
        <v>5259826.33</v>
      </c>
      <c r="BD151" s="576">
        <f t="shared" si="271"/>
        <v>5249810.66</v>
      </c>
      <c r="BE151" s="576">
        <f t="shared" si="237"/>
        <v>209810.66000000015</v>
      </c>
      <c r="BF151" s="576">
        <f t="shared" si="238"/>
        <v>-10015.669999999925</v>
      </c>
      <c r="BG151" s="576">
        <f t="shared" si="218"/>
        <v>6960000</v>
      </c>
      <c r="BH151" s="578">
        <f t="shared" si="218"/>
        <v>7011662.2999999998</v>
      </c>
      <c r="BI151" s="578">
        <v>7001646.6299999999</v>
      </c>
      <c r="BJ151" s="578">
        <f t="shared" si="239"/>
        <v>41646.629999999888</v>
      </c>
      <c r="BK151" s="578">
        <f t="shared" si="240"/>
        <v>-10015.669999999925</v>
      </c>
      <c r="BL151" s="576">
        <v>3000000</v>
      </c>
      <c r="BM151" s="578">
        <f>'[67]Гл инж_Тех дир'!AW107</f>
        <v>2948337.7</v>
      </c>
      <c r="BN151" s="522">
        <f t="shared" si="272"/>
        <v>2925120.6399999997</v>
      </c>
      <c r="BO151" s="578">
        <f t="shared" si="245"/>
        <v>-74879.360000000335</v>
      </c>
      <c r="BP151" s="578">
        <f t="shared" si="241"/>
        <v>-23217.060000000522</v>
      </c>
      <c r="BQ151" s="576">
        <v>3000000</v>
      </c>
      <c r="BR151" s="578">
        <f>'[67]Гл инж_Тех дир'!BB107</f>
        <v>0</v>
      </c>
      <c r="BS151" s="578">
        <f>'[67]Гл инж_Тех дир'!BC107</f>
        <v>0</v>
      </c>
      <c r="BT151" s="536"/>
      <c r="BU151" s="578">
        <v>9926767.2699999996</v>
      </c>
      <c r="BV151" s="578"/>
      <c r="BW151" s="578"/>
      <c r="BX151" s="574"/>
      <c r="BY151" s="576">
        <v>9926767.2699999996</v>
      </c>
      <c r="BZ151" s="576"/>
      <c r="CA151" s="576"/>
      <c r="CB151" s="522">
        <f t="shared" si="213"/>
        <v>9926767.2699999996</v>
      </c>
      <c r="CC151" s="578">
        <f t="shared" si="242"/>
        <v>0</v>
      </c>
      <c r="CD151" s="578"/>
      <c r="CE151" s="578"/>
      <c r="CF151" s="578"/>
      <c r="CG151" s="578"/>
      <c r="CH151" s="578"/>
      <c r="CI151" s="578"/>
      <c r="CJ151" s="578"/>
      <c r="CK151" s="542" t="s">
        <v>79</v>
      </c>
      <c r="CL151" s="543" t="s">
        <v>1931</v>
      </c>
      <c r="CM151" s="509" t="s">
        <v>1925</v>
      </c>
      <c r="CN151" s="528" t="s">
        <v>1849</v>
      </c>
      <c r="CO151" s="528" t="s">
        <v>1849</v>
      </c>
      <c r="CP151" s="579">
        <f>U151</f>
        <v>9960000</v>
      </c>
      <c r="CQ151" s="579"/>
      <c r="CR151" s="579"/>
      <c r="CS151" s="1727"/>
      <c r="CT151" s="1728"/>
      <c r="CU151" s="1728"/>
      <c r="CV151" s="1728"/>
      <c r="CW151" s="1729"/>
      <c r="CX151" s="528"/>
      <c r="CY151" s="528"/>
      <c r="CZ151" s="528"/>
      <c r="DA151" s="528"/>
      <c r="DB151" s="579"/>
      <c r="DC151" s="628" t="e">
        <f>P151-#REF!</f>
        <v>#REF!</v>
      </c>
      <c r="DD151" s="535"/>
      <c r="DE151" s="535"/>
      <c r="DF151" s="576">
        <f t="shared" si="211"/>
        <v>9926.7672700000003</v>
      </c>
      <c r="DG151" s="576">
        <f t="shared" si="211"/>
        <v>0</v>
      </c>
      <c r="DH151" s="576">
        <f t="shared" si="211"/>
        <v>0</v>
      </c>
      <c r="DI151" s="522">
        <f t="shared" si="209"/>
        <v>9926.7672700000003</v>
      </c>
      <c r="DJ151" s="536"/>
      <c r="DK151" s="536"/>
      <c r="DL151" s="536"/>
      <c r="DM151" s="536"/>
      <c r="DN151" s="536"/>
      <c r="DO151" s="536"/>
      <c r="DP151" s="536"/>
      <c r="DQ151" s="536"/>
      <c r="DR151" s="536"/>
      <c r="DS151" s="536"/>
    </row>
    <row r="152" spans="1:123" s="534" customFormat="1" ht="56.4">
      <c r="A152" s="537" t="s">
        <v>622</v>
      </c>
      <c r="B152" s="538" t="s">
        <v>623</v>
      </c>
      <c r="C152" s="576"/>
      <c r="D152" s="576"/>
      <c r="E152" s="576">
        <v>0</v>
      </c>
      <c r="F152" s="576">
        <v>1122643.54</v>
      </c>
      <c r="G152" s="627"/>
      <c r="H152" s="1737"/>
      <c r="I152" s="576">
        <f t="shared" si="265"/>
        <v>50000</v>
      </c>
      <c r="J152" s="576">
        <v>0</v>
      </c>
      <c r="K152" s="576">
        <v>50000</v>
      </c>
      <c r="L152" s="576">
        <v>0</v>
      </c>
      <c r="M152" s="576">
        <f t="shared" si="266"/>
        <v>50000</v>
      </c>
      <c r="N152" s="576">
        <v>50000</v>
      </c>
      <c r="O152" s="525">
        <f t="shared" si="267"/>
        <v>0</v>
      </c>
      <c r="P152" s="522">
        <v>50000</v>
      </c>
      <c r="Q152" s="576">
        <f t="shared" si="219"/>
        <v>0</v>
      </c>
      <c r="R152" s="576">
        <f t="shared" si="220"/>
        <v>0</v>
      </c>
      <c r="S152" s="576">
        <v>52500</v>
      </c>
      <c r="T152" s="576">
        <v>52500</v>
      </c>
      <c r="U152" s="522">
        <f t="shared" si="268"/>
        <v>52550</v>
      </c>
      <c r="V152" s="522">
        <f t="shared" si="217"/>
        <v>50</v>
      </c>
      <c r="W152" s="522">
        <f t="shared" si="246"/>
        <v>9.5238095238102005E-2</v>
      </c>
      <c r="X152" s="522">
        <f t="shared" si="221"/>
        <v>2550</v>
      </c>
      <c r="Y152" s="522">
        <f t="shared" si="222"/>
        <v>5.0999999999999943</v>
      </c>
      <c r="Z152" s="524">
        <f t="shared" si="223"/>
        <v>52550</v>
      </c>
      <c r="AA152" s="522">
        <f t="shared" si="224"/>
        <v>50</v>
      </c>
      <c r="AB152" s="522">
        <f t="shared" si="247"/>
        <v>9.5238095238102005E-2</v>
      </c>
      <c r="AC152" s="522">
        <f t="shared" si="225"/>
        <v>0</v>
      </c>
      <c r="AD152" s="522">
        <f t="shared" si="226"/>
        <v>0</v>
      </c>
      <c r="AE152" s="522">
        <f t="shared" si="227"/>
        <v>2550</v>
      </c>
      <c r="AF152" s="522">
        <f t="shared" si="228"/>
        <v>5.0999999999999943</v>
      </c>
      <c r="AG152" s="522">
        <f t="shared" si="243"/>
        <v>79617.37000000001</v>
      </c>
      <c r="AH152" s="522">
        <f t="shared" si="229"/>
        <v>27067.37000000001</v>
      </c>
      <c r="AI152" s="522">
        <f t="shared" si="230"/>
        <v>51.507840152235985</v>
      </c>
      <c r="AJ152" s="522">
        <f t="shared" si="231"/>
        <v>27067.37000000001</v>
      </c>
      <c r="AK152" s="522">
        <f t="shared" si="212"/>
        <v>51.507840152235985</v>
      </c>
      <c r="AL152" s="522">
        <f t="shared" si="269"/>
        <v>79617.37000000001</v>
      </c>
      <c r="AM152" s="522">
        <f t="shared" si="270"/>
        <v>22550</v>
      </c>
      <c r="AN152" s="522">
        <f t="shared" si="270"/>
        <v>17067.36</v>
      </c>
      <c r="AO152" s="522">
        <f t="shared" si="232"/>
        <v>-5482.6399999999994</v>
      </c>
      <c r="AP152" s="522">
        <f t="shared" si="244"/>
        <v>-24.313259423503325</v>
      </c>
      <c r="AQ152" s="578">
        <v>0</v>
      </c>
      <c r="AR152" s="578">
        <v>0</v>
      </c>
      <c r="AS152" s="578">
        <v>22550</v>
      </c>
      <c r="AT152" s="578">
        <v>17067.36</v>
      </c>
      <c r="AU152" s="578">
        <f t="shared" si="208"/>
        <v>30000</v>
      </c>
      <c r="AV152" s="578">
        <f t="shared" si="208"/>
        <v>35482.639999999999</v>
      </c>
      <c r="AW152" s="578">
        <f t="shared" si="233"/>
        <v>5482.6399999999994</v>
      </c>
      <c r="AX152" s="578">
        <f t="shared" si="234"/>
        <v>18.275466666666659</v>
      </c>
      <c r="AY152" s="578">
        <f t="shared" si="210"/>
        <v>62550.010000000009</v>
      </c>
      <c r="AZ152" s="578">
        <f t="shared" si="235"/>
        <v>-27067.37000000001</v>
      </c>
      <c r="BA152" s="578">
        <f t="shared" si="236"/>
        <v>-43.273166543058913</v>
      </c>
      <c r="BB152" s="578">
        <v>30000</v>
      </c>
      <c r="BC152" s="576">
        <f>'[67]Гл инж_Тех дир'!AT108</f>
        <v>30000</v>
      </c>
      <c r="BD152" s="576">
        <f t="shared" si="271"/>
        <v>56702.55</v>
      </c>
      <c r="BE152" s="576">
        <f t="shared" si="237"/>
        <v>26702.550000000003</v>
      </c>
      <c r="BF152" s="576">
        <f t="shared" si="238"/>
        <v>26702.550000000003</v>
      </c>
      <c r="BG152" s="576">
        <f t="shared" si="218"/>
        <v>52550</v>
      </c>
      <c r="BH152" s="578">
        <f t="shared" si="218"/>
        <v>47067.360000000001</v>
      </c>
      <c r="BI152" s="578">
        <v>73769.91</v>
      </c>
      <c r="BJ152" s="578">
        <f t="shared" si="239"/>
        <v>21219.910000000003</v>
      </c>
      <c r="BK152" s="578">
        <f t="shared" si="240"/>
        <v>26702.550000000003</v>
      </c>
      <c r="BL152" s="576">
        <v>0</v>
      </c>
      <c r="BM152" s="578">
        <f>'[67]Гл инж_Тех дир'!AW108</f>
        <v>5482.64</v>
      </c>
      <c r="BN152" s="522">
        <f t="shared" si="272"/>
        <v>5847.4600000000064</v>
      </c>
      <c r="BO152" s="578">
        <f t="shared" si="245"/>
        <v>5847.4600000000064</v>
      </c>
      <c r="BP152" s="578">
        <f t="shared" si="241"/>
        <v>364.82000000000608</v>
      </c>
      <c r="BQ152" s="576">
        <v>0</v>
      </c>
      <c r="BR152" s="578">
        <f>'[67]Гл инж_Тех дир'!BB108</f>
        <v>0</v>
      </c>
      <c r="BS152" s="578">
        <f>'[67]Гл инж_Тех дир'!BC108</f>
        <v>0</v>
      </c>
      <c r="BT152" s="536"/>
      <c r="BU152" s="578">
        <v>73769.91</v>
      </c>
      <c r="BV152" s="578">
        <v>5847.46</v>
      </c>
      <c r="BW152" s="578"/>
      <c r="BX152" s="574"/>
      <c r="BY152" s="525">
        <f>73768.38+5847.46</f>
        <v>79615.840000000011</v>
      </c>
      <c r="BZ152" s="525">
        <v>1.1499999999999999</v>
      </c>
      <c r="CA152" s="525">
        <v>0.38</v>
      </c>
      <c r="CB152" s="522">
        <f t="shared" si="213"/>
        <v>79617.37000000001</v>
      </c>
      <c r="CC152" s="522">
        <f t="shared" si="242"/>
        <v>0</v>
      </c>
      <c r="CD152" s="578"/>
      <c r="CE152" s="578"/>
      <c r="CF152" s="578"/>
      <c r="CG152" s="578"/>
      <c r="CH152" s="578"/>
      <c r="CI152" s="578"/>
      <c r="CJ152" s="578"/>
      <c r="CK152" s="542" t="s">
        <v>79</v>
      </c>
      <c r="CL152" s="543" t="s">
        <v>1931</v>
      </c>
      <c r="CM152" s="509" t="s">
        <v>1925</v>
      </c>
      <c r="CN152" s="528" t="s">
        <v>1849</v>
      </c>
      <c r="CO152" s="528"/>
      <c r="CP152" s="544">
        <f t="shared" ref="CP152:CP159" si="273">U152*$CU$7/100</f>
        <v>48483.704662157019</v>
      </c>
      <c r="CQ152" s="544">
        <f t="shared" ref="CQ152:CQ159" si="274">U152*$CU$8/100</f>
        <v>3561.2862813863358</v>
      </c>
      <c r="CR152" s="544">
        <f t="shared" ref="CR152:CR159" si="275">U152*$CU$9/100</f>
        <v>505.00905645665108</v>
      </c>
      <c r="CS152" s="1709" t="s">
        <v>1826</v>
      </c>
      <c r="CT152" s="1710"/>
      <c r="CU152" s="1710"/>
      <c r="CV152" s="1710"/>
      <c r="CW152" s="1711"/>
      <c r="CX152" s="528"/>
      <c r="CY152" s="528"/>
      <c r="CZ152" s="528"/>
      <c r="DA152" s="528"/>
      <c r="DB152" s="579"/>
      <c r="DC152" s="628" t="e">
        <f>P152-#REF!</f>
        <v>#REF!</v>
      </c>
      <c r="DD152" s="535"/>
      <c r="DE152" s="535"/>
      <c r="DF152" s="525">
        <f t="shared" si="211"/>
        <v>79.615840000000006</v>
      </c>
      <c r="DG152" s="525">
        <f t="shared" si="211"/>
        <v>1.15E-3</v>
      </c>
      <c r="DH152" s="525">
        <f t="shared" si="211"/>
        <v>3.8000000000000002E-4</v>
      </c>
      <c r="DI152" s="522">
        <f t="shared" si="209"/>
        <v>79.617370000000008</v>
      </c>
      <c r="DJ152" s="536"/>
      <c r="DK152" s="536"/>
      <c r="DL152" s="536"/>
      <c r="DM152" s="536"/>
      <c r="DN152" s="536"/>
      <c r="DO152" s="536"/>
      <c r="DP152" s="536"/>
      <c r="DQ152" s="536"/>
      <c r="DR152" s="536"/>
      <c r="DS152" s="536"/>
    </row>
    <row r="153" spans="1:123" s="534" customFormat="1" ht="56.4">
      <c r="A153" s="537" t="s">
        <v>634</v>
      </c>
      <c r="B153" s="538" t="s">
        <v>635</v>
      </c>
      <c r="C153" s="576">
        <v>8887333.5099999998</v>
      </c>
      <c r="D153" s="576">
        <v>9253209.8200000003</v>
      </c>
      <c r="E153" s="576">
        <v>8670495</v>
      </c>
      <c r="F153" s="576">
        <v>8691186.7400000002</v>
      </c>
      <c r="G153" s="577">
        <v>7030465.939274854</v>
      </c>
      <c r="H153" s="577">
        <v>0</v>
      </c>
      <c r="I153" s="576">
        <f t="shared" si="265"/>
        <v>8479669.8699999992</v>
      </c>
      <c r="J153" s="576">
        <v>4792692.59</v>
      </c>
      <c r="K153" s="649">
        <v>1843488.64</v>
      </c>
      <c r="L153" s="649">
        <v>1843488.64</v>
      </c>
      <c r="M153" s="576">
        <f t="shared" si="266"/>
        <v>6636181.2299999995</v>
      </c>
      <c r="N153" s="576">
        <v>7241691.8799999999</v>
      </c>
      <c r="O153" s="525">
        <f t="shared" si="267"/>
        <v>3289724.3199999994</v>
      </c>
      <c r="P153" s="522">
        <f>5983378.07+4548038.13</f>
        <v>10531416.199999999</v>
      </c>
      <c r="Q153" s="576">
        <f t="shared" si="219"/>
        <v>2051746.33</v>
      </c>
      <c r="R153" s="576">
        <f t="shared" si="220"/>
        <v>24.196063779072574</v>
      </c>
      <c r="S153" s="576">
        <v>9759247.696250001</v>
      </c>
      <c r="T153" s="576">
        <v>9759247.696250001</v>
      </c>
      <c r="U153" s="522">
        <f t="shared" si="268"/>
        <v>7611018.1699999999</v>
      </c>
      <c r="V153" s="522">
        <f t="shared" si="217"/>
        <v>-2148229.526250001</v>
      </c>
      <c r="W153" s="522">
        <f t="shared" si="246"/>
        <v>-22.012245135200942</v>
      </c>
      <c r="X153" s="522">
        <f t="shared" si="221"/>
        <v>-2920398.0299999993</v>
      </c>
      <c r="Y153" s="522">
        <f t="shared" si="222"/>
        <v>-27.73034485143603</v>
      </c>
      <c r="Z153" s="524">
        <f t="shared" si="223"/>
        <v>12042786.390000001</v>
      </c>
      <c r="AA153" s="522">
        <f t="shared" si="224"/>
        <v>2283538.6937499996</v>
      </c>
      <c r="AB153" s="522">
        <f t="shared" si="247"/>
        <v>23.398716425933657</v>
      </c>
      <c r="AC153" s="522">
        <f t="shared" si="225"/>
        <v>4431768.2200000007</v>
      </c>
      <c r="AD153" s="522">
        <f t="shared" si="226"/>
        <v>58.228322689709216</v>
      </c>
      <c r="AE153" s="522">
        <f t="shared" si="227"/>
        <v>1511370.1900000013</v>
      </c>
      <c r="AF153" s="522">
        <f t="shared" si="228"/>
        <v>14.351063155209843</v>
      </c>
      <c r="AG153" s="522">
        <f t="shared" si="243"/>
        <v>12436224.300000001</v>
      </c>
      <c r="AH153" s="522">
        <f t="shared" si="229"/>
        <v>4825206.1300000008</v>
      </c>
      <c r="AI153" s="522">
        <f t="shared" si="230"/>
        <v>63.39764302520382</v>
      </c>
      <c r="AJ153" s="522">
        <f t="shared" si="231"/>
        <v>393437.91000000015</v>
      </c>
      <c r="AK153" s="522">
        <f t="shared" si="212"/>
        <v>3.267000652994227</v>
      </c>
      <c r="AL153" s="522">
        <f t="shared" si="269"/>
        <v>12436224.300000001</v>
      </c>
      <c r="AM153" s="522">
        <f t="shared" si="270"/>
        <v>4600000</v>
      </c>
      <c r="AN153" s="522">
        <f t="shared" si="270"/>
        <v>5062854.1900000004</v>
      </c>
      <c r="AO153" s="522">
        <f t="shared" si="232"/>
        <v>462854.19000000041</v>
      </c>
      <c r="AP153" s="522">
        <f t="shared" si="244"/>
        <v>10.062047608695664</v>
      </c>
      <c r="AQ153" s="578">
        <v>2000000</v>
      </c>
      <c r="AR153" s="578">
        <v>2742199.7800000003</v>
      </c>
      <c r="AS153" s="578">
        <v>2600000</v>
      </c>
      <c r="AT153" s="578">
        <v>2320654.41</v>
      </c>
      <c r="AU153" s="578">
        <f t="shared" si="208"/>
        <v>3011018.17</v>
      </c>
      <c r="AV153" s="578">
        <f t="shared" si="208"/>
        <v>6979932.2000000002</v>
      </c>
      <c r="AW153" s="578">
        <f t="shared" si="233"/>
        <v>3968914.0300000003</v>
      </c>
      <c r="AX153" s="578">
        <f t="shared" si="234"/>
        <v>131.81302157336367</v>
      </c>
      <c r="AY153" s="578">
        <f t="shared" si="210"/>
        <v>7373370.1100000003</v>
      </c>
      <c r="AZ153" s="578">
        <f t="shared" si="235"/>
        <v>-393437.91000000015</v>
      </c>
      <c r="BA153" s="578">
        <f t="shared" si="236"/>
        <v>-5.3359305735433935</v>
      </c>
      <c r="BB153" s="578">
        <v>2600000</v>
      </c>
      <c r="BC153" s="576">
        <f>'[67]Гл инж_Тех дир'!AT32</f>
        <v>3489966.1</v>
      </c>
      <c r="BD153" s="576">
        <f t="shared" si="271"/>
        <v>3131046.29</v>
      </c>
      <c r="BE153" s="576">
        <f t="shared" si="237"/>
        <v>531046.29</v>
      </c>
      <c r="BF153" s="576">
        <f t="shared" si="238"/>
        <v>-358919.81000000006</v>
      </c>
      <c r="BG153" s="576">
        <f t="shared" si="218"/>
        <v>7200000</v>
      </c>
      <c r="BH153" s="578">
        <f t="shared" si="218"/>
        <v>8552820.290000001</v>
      </c>
      <c r="BI153" s="578">
        <f>3016000.37+5177900.11</f>
        <v>8193900.4800000004</v>
      </c>
      <c r="BJ153" s="578">
        <f t="shared" si="239"/>
        <v>993900.48000000045</v>
      </c>
      <c r="BK153" s="578">
        <f t="shared" si="240"/>
        <v>-358919.81000000052</v>
      </c>
      <c r="BL153" s="576">
        <v>411018.17</v>
      </c>
      <c r="BM153" s="578">
        <f>'[67]Гл инж_Тех дир'!AW32</f>
        <v>3489966.1</v>
      </c>
      <c r="BN153" s="522">
        <f t="shared" si="272"/>
        <v>4242323.82</v>
      </c>
      <c r="BO153" s="578">
        <f t="shared" si="245"/>
        <v>3831305.6500000004</v>
      </c>
      <c r="BP153" s="578">
        <f t="shared" si="241"/>
        <v>752357.7200000002</v>
      </c>
      <c r="BQ153" s="576">
        <v>411018.17</v>
      </c>
      <c r="BR153" s="578">
        <f>'[67]Гл инж_Тех дир'!BB32</f>
        <v>0</v>
      </c>
      <c r="BS153" s="578">
        <f>'[67]Гл инж_Тех дир'!BC32</f>
        <v>0</v>
      </c>
      <c r="BT153" s="536"/>
      <c r="BU153" s="578">
        <v>3884874.29</v>
      </c>
      <c r="BV153" s="578">
        <v>8551350.0099999998</v>
      </c>
      <c r="BW153" s="578"/>
      <c r="BX153" s="574"/>
      <c r="BY153" s="525">
        <f>3840989.34+8551350.01</f>
        <v>12392339.35</v>
      </c>
      <c r="BZ153" s="525">
        <v>37572.11</v>
      </c>
      <c r="CA153" s="525">
        <v>6312.84</v>
      </c>
      <c r="CB153" s="522">
        <f t="shared" si="213"/>
        <v>12436224.299999999</v>
      </c>
      <c r="CC153" s="522">
        <f t="shared" si="242"/>
        <v>0</v>
      </c>
      <c r="CD153" s="578"/>
      <c r="CE153" s="578"/>
      <c r="CF153" s="578"/>
      <c r="CG153" s="578"/>
      <c r="CH153" s="578"/>
      <c r="CI153" s="578"/>
      <c r="CJ153" s="578"/>
      <c r="CK153" s="542" t="s">
        <v>79</v>
      </c>
      <c r="CL153" s="543" t="s">
        <v>1806</v>
      </c>
      <c r="CM153" s="509" t="s">
        <v>1925</v>
      </c>
      <c r="CN153" s="528" t="s">
        <v>1849</v>
      </c>
      <c r="CO153" s="528" t="s">
        <v>1849</v>
      </c>
      <c r="CP153" s="544">
        <f t="shared" si="273"/>
        <v>7022081.011086408</v>
      </c>
      <c r="CQ153" s="544">
        <f t="shared" si="274"/>
        <v>515794.75920462667</v>
      </c>
      <c r="CR153" s="544">
        <f t="shared" si="275"/>
        <v>73142.399708965313</v>
      </c>
      <c r="CS153" s="1709" t="s">
        <v>1826</v>
      </c>
      <c r="CT153" s="1710"/>
      <c r="CU153" s="1710"/>
      <c r="CV153" s="1710"/>
      <c r="CW153" s="1711"/>
      <c r="CX153" s="528"/>
      <c r="CY153" s="528"/>
      <c r="CZ153" s="528"/>
      <c r="DA153" s="528"/>
      <c r="DB153" s="579">
        <f>1321920.55+1420279.23</f>
        <v>2742199.7800000003</v>
      </c>
      <c r="DC153" s="628" t="e">
        <f>P153-#REF!</f>
        <v>#REF!</v>
      </c>
      <c r="DD153" s="535"/>
      <c r="DE153" s="535"/>
      <c r="DF153" s="525">
        <f t="shared" si="211"/>
        <v>12392.33935</v>
      </c>
      <c r="DG153" s="525">
        <f t="shared" si="211"/>
        <v>37.572110000000002</v>
      </c>
      <c r="DH153" s="525">
        <f t="shared" si="211"/>
        <v>6.3128400000000005</v>
      </c>
      <c r="DI153" s="522">
        <f t="shared" si="209"/>
        <v>12436.224299999998</v>
      </c>
      <c r="DJ153" s="536"/>
      <c r="DK153" s="536"/>
      <c r="DL153" s="536"/>
      <c r="DM153" s="536"/>
      <c r="DN153" s="536"/>
      <c r="DO153" s="536"/>
      <c r="DP153" s="536"/>
      <c r="DQ153" s="536"/>
      <c r="DR153" s="536"/>
      <c r="DS153" s="536"/>
    </row>
    <row r="154" spans="1:123" s="534" customFormat="1" ht="57" customHeight="1">
      <c r="A154" s="537" t="s">
        <v>639</v>
      </c>
      <c r="B154" s="538" t="s">
        <v>640</v>
      </c>
      <c r="C154" s="576">
        <v>1424251.1</v>
      </c>
      <c r="D154" s="576">
        <v>585309.78</v>
      </c>
      <c r="E154" s="525">
        <v>1000000</v>
      </c>
      <c r="F154" s="525">
        <v>801754.53</v>
      </c>
      <c r="G154" s="596">
        <v>1017487.1237402791</v>
      </c>
      <c r="H154" s="596">
        <v>0</v>
      </c>
      <c r="I154" s="525">
        <f t="shared" si="265"/>
        <v>1169721.05</v>
      </c>
      <c r="J154" s="525">
        <v>646233.93000000005</v>
      </c>
      <c r="K154" s="525">
        <v>69400</v>
      </c>
      <c r="L154" s="525">
        <v>454087.12</v>
      </c>
      <c r="M154" s="525">
        <f t="shared" si="266"/>
        <v>715633.93</v>
      </c>
      <c r="N154" s="525">
        <v>726888.73</v>
      </c>
      <c r="O154" s="525">
        <f t="shared" si="267"/>
        <v>7976224.6099999994</v>
      </c>
      <c r="P154" s="522">
        <v>8703113.3399999999</v>
      </c>
      <c r="Q154" s="525">
        <f t="shared" si="219"/>
        <v>7533392.29</v>
      </c>
      <c r="R154" s="525">
        <f t="shared" si="220"/>
        <v>644.03323253864664</v>
      </c>
      <c r="S154" s="525">
        <v>1068000</v>
      </c>
      <c r="T154" s="525">
        <v>1068000</v>
      </c>
      <c r="U154" s="522">
        <f t="shared" si="268"/>
        <v>1018613.41</v>
      </c>
      <c r="V154" s="522">
        <f t="shared" si="217"/>
        <v>-49386.589999999967</v>
      </c>
      <c r="W154" s="522">
        <f t="shared" si="246"/>
        <v>-4.6242125468164801</v>
      </c>
      <c r="X154" s="522">
        <f t="shared" si="221"/>
        <v>-7684499.9299999997</v>
      </c>
      <c r="Y154" s="522">
        <f t="shared" si="222"/>
        <v>-88.295988226208721</v>
      </c>
      <c r="Z154" s="524">
        <f t="shared" si="223"/>
        <v>2453675.5499999998</v>
      </c>
      <c r="AA154" s="522">
        <f t="shared" si="224"/>
        <v>1385675.5499999998</v>
      </c>
      <c r="AB154" s="522">
        <f t="shared" si="247"/>
        <v>129.74490168539324</v>
      </c>
      <c r="AC154" s="522">
        <f t="shared" si="225"/>
        <v>1435062.1399999997</v>
      </c>
      <c r="AD154" s="522">
        <f t="shared" si="226"/>
        <v>140.88388449549271</v>
      </c>
      <c r="AE154" s="522">
        <f t="shared" si="227"/>
        <v>-6249437.79</v>
      </c>
      <c r="AF154" s="522">
        <f t="shared" si="228"/>
        <v>-71.806921797481721</v>
      </c>
      <c r="AG154" s="522">
        <f t="shared" si="243"/>
        <v>3604489.3899999997</v>
      </c>
      <c r="AH154" s="522">
        <f t="shared" si="229"/>
        <v>2585875.9799999995</v>
      </c>
      <c r="AI154" s="522">
        <f t="shared" si="230"/>
        <v>253.86235392286852</v>
      </c>
      <c r="AJ154" s="522">
        <f t="shared" si="231"/>
        <v>1150813.8399999999</v>
      </c>
      <c r="AK154" s="522">
        <f t="shared" si="212"/>
        <v>46.901630494708229</v>
      </c>
      <c r="AL154" s="522">
        <f t="shared" si="269"/>
        <v>3604489.39</v>
      </c>
      <c r="AM154" s="522">
        <f t="shared" si="270"/>
        <v>480000</v>
      </c>
      <c r="AN154" s="522">
        <f t="shared" si="270"/>
        <v>570741.80000000005</v>
      </c>
      <c r="AO154" s="522">
        <f t="shared" si="232"/>
        <v>90741.800000000047</v>
      </c>
      <c r="AP154" s="522">
        <f t="shared" si="244"/>
        <v>18.904541666666688</v>
      </c>
      <c r="AQ154" s="522">
        <v>20000</v>
      </c>
      <c r="AR154" s="522">
        <v>55206.98</v>
      </c>
      <c r="AS154" s="522">
        <v>460000</v>
      </c>
      <c r="AT154" s="522">
        <v>515534.82000000007</v>
      </c>
      <c r="AU154" s="522">
        <f t="shared" si="208"/>
        <v>538613.41</v>
      </c>
      <c r="AV154" s="522">
        <f t="shared" si="208"/>
        <v>1882933.75</v>
      </c>
      <c r="AW154" s="522">
        <f t="shared" si="233"/>
        <v>1344320.3399999999</v>
      </c>
      <c r="AX154" s="522">
        <f t="shared" si="234"/>
        <v>249.58909582292057</v>
      </c>
      <c r="AY154" s="522">
        <f t="shared" si="210"/>
        <v>3033747.59</v>
      </c>
      <c r="AZ154" s="522">
        <f t="shared" si="235"/>
        <v>-1150813.8399999999</v>
      </c>
      <c r="BA154" s="522">
        <f t="shared" si="236"/>
        <v>-37.933737262565067</v>
      </c>
      <c r="BB154" s="522">
        <v>98613.41</v>
      </c>
      <c r="BC154" s="525">
        <f>'[67]Гл инж_Тех дир'!AT77</f>
        <v>1442933.75</v>
      </c>
      <c r="BD154" s="525">
        <f t="shared" si="271"/>
        <v>1029402.5999999999</v>
      </c>
      <c r="BE154" s="525">
        <f t="shared" si="237"/>
        <v>930789.18999999983</v>
      </c>
      <c r="BF154" s="525">
        <f t="shared" si="238"/>
        <v>-413531.15000000014</v>
      </c>
      <c r="BG154" s="525">
        <f t="shared" si="218"/>
        <v>578613.41</v>
      </c>
      <c r="BH154" s="522">
        <f t="shared" si="218"/>
        <v>2013675.55</v>
      </c>
      <c r="BI154" s="522">
        <v>1600144.4</v>
      </c>
      <c r="BJ154" s="522">
        <f t="shared" si="239"/>
        <v>1021530.9899999999</v>
      </c>
      <c r="BK154" s="522">
        <f t="shared" si="240"/>
        <v>-413531.15000000014</v>
      </c>
      <c r="BL154" s="525">
        <v>440000</v>
      </c>
      <c r="BM154" s="522">
        <f>'[67]Гл инж_Тех дир'!AW77</f>
        <v>440000</v>
      </c>
      <c r="BN154" s="522">
        <f t="shared" si="272"/>
        <v>2004344.9900000002</v>
      </c>
      <c r="BO154" s="522">
        <f t="shared" si="245"/>
        <v>1564344.9900000002</v>
      </c>
      <c r="BP154" s="522">
        <f t="shared" si="241"/>
        <v>1564344.9900000002</v>
      </c>
      <c r="BQ154" s="525">
        <v>440000</v>
      </c>
      <c r="BR154" s="522">
        <f>'[67]Гл инж_Тех дир'!BB77</f>
        <v>0</v>
      </c>
      <c r="BS154" s="522">
        <f>'[67]Гл инж_Тех дир'!BC77</f>
        <v>0</v>
      </c>
      <c r="BT154" s="536"/>
      <c r="BU154" s="522">
        <f>3559159.79+45329.6</f>
        <v>3604489.39</v>
      </c>
      <c r="BV154" s="522"/>
      <c r="BW154" s="522"/>
      <c r="BX154" s="574"/>
      <c r="BY154" s="525">
        <f>3498445.03+45329.6</f>
        <v>3543774.63</v>
      </c>
      <c r="BZ154" s="525">
        <v>55623.45</v>
      </c>
      <c r="CA154" s="525">
        <v>5091.3100000000004</v>
      </c>
      <c r="CB154" s="522">
        <f t="shared" si="213"/>
        <v>3604489.39</v>
      </c>
      <c r="CC154" s="522">
        <f t="shared" si="242"/>
        <v>0</v>
      </c>
      <c r="CD154" s="522"/>
      <c r="CE154" s="522"/>
      <c r="CF154" s="522"/>
      <c r="CG154" s="522"/>
      <c r="CH154" s="522"/>
      <c r="CI154" s="522"/>
      <c r="CJ154" s="522"/>
      <c r="CK154" s="542" t="s">
        <v>79</v>
      </c>
      <c r="CL154" s="543" t="s">
        <v>1912</v>
      </c>
      <c r="CM154" s="509" t="s">
        <v>1925</v>
      </c>
      <c r="CN154" s="528"/>
      <c r="CO154" s="528"/>
      <c r="CP154" s="544">
        <f t="shared" si="273"/>
        <v>939793.56299434172</v>
      </c>
      <c r="CQ154" s="544">
        <f t="shared" si="274"/>
        <v>69030.903198271262</v>
      </c>
      <c r="CR154" s="544">
        <f t="shared" si="275"/>
        <v>9788.9438073870951</v>
      </c>
      <c r="CS154" s="1709" t="s">
        <v>1826</v>
      </c>
      <c r="CT154" s="1710"/>
      <c r="CU154" s="1710"/>
      <c r="CV154" s="1710"/>
      <c r="CW154" s="1711"/>
      <c r="CX154" s="528"/>
      <c r="CY154" s="528"/>
      <c r="CZ154" s="528"/>
      <c r="DA154" s="528"/>
      <c r="DB154" s="544">
        <f>55206.98</f>
        <v>55206.98</v>
      </c>
      <c r="DC154" s="628" t="e">
        <f>P154-#REF!</f>
        <v>#REF!</v>
      </c>
      <c r="DD154" s="535"/>
      <c r="DE154" s="535"/>
      <c r="DF154" s="525">
        <f t="shared" si="211"/>
        <v>3543.7746299999999</v>
      </c>
      <c r="DG154" s="525">
        <f t="shared" si="211"/>
        <v>55.623449999999998</v>
      </c>
      <c r="DH154" s="525">
        <f t="shared" si="211"/>
        <v>5.09131</v>
      </c>
      <c r="DI154" s="522">
        <f t="shared" si="209"/>
        <v>3604.4893900000002</v>
      </c>
      <c r="DJ154" s="536"/>
      <c r="DK154" s="536"/>
      <c r="DL154" s="536"/>
      <c r="DM154" s="536"/>
      <c r="DN154" s="536"/>
      <c r="DO154" s="536"/>
      <c r="DP154" s="536"/>
      <c r="DQ154" s="536"/>
      <c r="DR154" s="536"/>
      <c r="DS154" s="536"/>
    </row>
    <row r="155" spans="1:123" s="534" customFormat="1" ht="45" customHeight="1">
      <c r="A155" s="537" t="s">
        <v>644</v>
      </c>
      <c r="B155" s="538" t="s">
        <v>645</v>
      </c>
      <c r="C155" s="576">
        <v>4906886.88</v>
      </c>
      <c r="D155" s="576">
        <v>3326611.66</v>
      </c>
      <c r="E155" s="576">
        <v>5000000</v>
      </c>
      <c r="F155" s="576">
        <v>5443323.0700000003</v>
      </c>
      <c r="G155" s="577">
        <v>3879693.6408482469</v>
      </c>
      <c r="H155" s="577">
        <v>0</v>
      </c>
      <c r="I155" s="576">
        <f t="shared" si="265"/>
        <v>4030513.5700000003</v>
      </c>
      <c r="J155" s="576">
        <v>2560099.9300000002</v>
      </c>
      <c r="K155" s="576">
        <v>1470413.64</v>
      </c>
      <c r="L155" s="576">
        <v>0</v>
      </c>
      <c r="M155" s="576">
        <f t="shared" si="266"/>
        <v>4030513.5700000003</v>
      </c>
      <c r="N155" s="576">
        <v>3831347.93</v>
      </c>
      <c r="O155" s="525">
        <f t="shared" si="267"/>
        <v>1402008.9999999995</v>
      </c>
      <c r="P155" s="522">
        <f>4409563.93+823793</f>
        <v>5233356.93</v>
      </c>
      <c r="Q155" s="576">
        <f t="shared" si="219"/>
        <v>1202843.3599999994</v>
      </c>
      <c r="R155" s="576">
        <f t="shared" si="220"/>
        <v>29.843426628135603</v>
      </c>
      <c r="S155" s="576">
        <v>4093076.7910949001</v>
      </c>
      <c r="T155" s="576">
        <v>4093076.7910949001</v>
      </c>
      <c r="U155" s="522">
        <f t="shared" si="268"/>
        <v>4093076.79</v>
      </c>
      <c r="V155" s="522">
        <f t="shared" si="217"/>
        <v>-1.0949000716209412E-3</v>
      </c>
      <c r="W155" s="522">
        <f t="shared" si="246"/>
        <v>-2.675004395769065E-8</v>
      </c>
      <c r="X155" s="522">
        <f t="shared" si="221"/>
        <v>-1140280.1399999997</v>
      </c>
      <c r="Y155" s="522">
        <f t="shared" si="222"/>
        <v>-21.788694240658259</v>
      </c>
      <c r="Z155" s="524">
        <f t="shared" si="223"/>
        <v>6197346.79</v>
      </c>
      <c r="AA155" s="522">
        <f t="shared" si="224"/>
        <v>2104269.9989050999</v>
      </c>
      <c r="AB155" s="522">
        <f t="shared" si="247"/>
        <v>51.410469588140984</v>
      </c>
      <c r="AC155" s="522">
        <f t="shared" si="225"/>
        <v>2104270</v>
      </c>
      <c r="AD155" s="522">
        <f t="shared" si="226"/>
        <v>51.410469628643341</v>
      </c>
      <c r="AE155" s="522">
        <f t="shared" si="227"/>
        <v>963989.86000000034</v>
      </c>
      <c r="AF155" s="522">
        <f t="shared" si="228"/>
        <v>18.420105352913524</v>
      </c>
      <c r="AG155" s="522">
        <f t="shared" si="243"/>
        <v>5996527.2699999996</v>
      </c>
      <c r="AH155" s="522">
        <f t="shared" si="229"/>
        <v>1903450.4799999995</v>
      </c>
      <c r="AI155" s="522">
        <f t="shared" si="230"/>
        <v>46.504147800266395</v>
      </c>
      <c r="AJ155" s="522">
        <f t="shared" si="231"/>
        <v>-200819.52000000048</v>
      </c>
      <c r="AK155" s="522">
        <f t="shared" si="212"/>
        <v>-3.2404112082938639</v>
      </c>
      <c r="AL155" s="522">
        <f t="shared" si="269"/>
        <v>5996527.2699999996</v>
      </c>
      <c r="AM155" s="522">
        <f t="shared" si="270"/>
        <v>2600000</v>
      </c>
      <c r="AN155" s="522">
        <f t="shared" si="270"/>
        <v>2401572</v>
      </c>
      <c r="AO155" s="522">
        <f t="shared" si="232"/>
        <v>-198428</v>
      </c>
      <c r="AP155" s="522">
        <f t="shared" si="244"/>
        <v>-7.6318461538461548</v>
      </c>
      <c r="AQ155" s="578">
        <v>1664000</v>
      </c>
      <c r="AR155" s="578">
        <v>1214108</v>
      </c>
      <c r="AS155" s="578">
        <v>936000</v>
      </c>
      <c r="AT155" s="578">
        <v>1187464</v>
      </c>
      <c r="AU155" s="578">
        <f t="shared" ref="AU155:AV218" si="276">BB155+BL155</f>
        <v>1493076.79</v>
      </c>
      <c r="AV155" s="578">
        <f t="shared" si="276"/>
        <v>3795774.79</v>
      </c>
      <c r="AW155" s="578">
        <f t="shared" si="233"/>
        <v>2302698</v>
      </c>
      <c r="AX155" s="578">
        <f t="shared" si="234"/>
        <v>154.22502147394573</v>
      </c>
      <c r="AY155" s="578">
        <f t="shared" si="210"/>
        <v>3594955.2699999996</v>
      </c>
      <c r="AZ155" s="578">
        <f t="shared" si="235"/>
        <v>200819.52000000048</v>
      </c>
      <c r="BA155" s="578">
        <f t="shared" si="236"/>
        <v>5.5861479467031074</v>
      </c>
      <c r="BB155" s="578">
        <v>1493076.79</v>
      </c>
      <c r="BC155" s="576">
        <f>'[67]Гл инж_Тех дир'!AT33</f>
        <v>1598774.79</v>
      </c>
      <c r="BD155" s="576">
        <f t="shared" si="271"/>
        <v>1060620.1400000001</v>
      </c>
      <c r="BE155" s="576">
        <f t="shared" si="237"/>
        <v>-432456.64999999991</v>
      </c>
      <c r="BF155" s="576">
        <f t="shared" si="238"/>
        <v>-538154.64999999991</v>
      </c>
      <c r="BG155" s="576">
        <f t="shared" si="218"/>
        <v>4093076.79</v>
      </c>
      <c r="BH155" s="578">
        <f t="shared" si="218"/>
        <v>4000346.79</v>
      </c>
      <c r="BI155" s="578">
        <f>185270+3276922.14</f>
        <v>3462192.14</v>
      </c>
      <c r="BJ155" s="578">
        <f t="shared" si="239"/>
        <v>-630884.64999999991</v>
      </c>
      <c r="BK155" s="578">
        <f t="shared" si="240"/>
        <v>-538154.64999999991</v>
      </c>
      <c r="BL155" s="576">
        <v>0</v>
      </c>
      <c r="BM155" s="578">
        <f>'[67]Гл инж_Тех дир'!AW33</f>
        <v>2197000</v>
      </c>
      <c r="BN155" s="522">
        <f t="shared" si="272"/>
        <v>2534335.1299999994</v>
      </c>
      <c r="BO155" s="578">
        <f t="shared" si="245"/>
        <v>2534335.1299999994</v>
      </c>
      <c r="BP155" s="578">
        <f t="shared" si="241"/>
        <v>337335.12999999942</v>
      </c>
      <c r="BQ155" s="576">
        <v>0</v>
      </c>
      <c r="BR155" s="578">
        <f>'[67]Гл инж_Тех дир'!BB33</f>
        <v>0</v>
      </c>
      <c r="BS155" s="578">
        <f>'[67]Гл инж_Тех дир'!BC33</f>
        <v>0</v>
      </c>
      <c r="BT155" s="536"/>
      <c r="BU155" s="578">
        <v>313345</v>
      </c>
      <c r="BV155" s="578">
        <v>5683182.2699999996</v>
      </c>
      <c r="BW155" s="578"/>
      <c r="BX155" s="574"/>
      <c r="BY155" s="525">
        <f>313345+5683182.27</f>
        <v>5996527.2699999996</v>
      </c>
      <c r="BZ155" s="525"/>
      <c r="CA155" s="525"/>
      <c r="CB155" s="522">
        <f t="shared" si="213"/>
        <v>5996527.2699999996</v>
      </c>
      <c r="CC155" s="522">
        <f t="shared" si="242"/>
        <v>0</v>
      </c>
      <c r="CD155" s="578"/>
      <c r="CE155" s="578"/>
      <c r="CF155" s="578"/>
      <c r="CG155" s="578"/>
      <c r="CH155" s="578"/>
      <c r="CI155" s="578"/>
      <c r="CJ155" s="578"/>
      <c r="CK155" s="542" t="s">
        <v>79</v>
      </c>
      <c r="CL155" s="543" t="s">
        <v>1806</v>
      </c>
      <c r="CM155" s="509" t="s">
        <v>1925</v>
      </c>
      <c r="CN155" s="528" t="s">
        <v>1849</v>
      </c>
      <c r="CO155" s="528" t="s">
        <v>1849</v>
      </c>
      <c r="CP155" s="544">
        <f t="shared" si="273"/>
        <v>3776356.3510159785</v>
      </c>
      <c r="CQ155" s="544">
        <f t="shared" si="274"/>
        <v>277385.69402260362</v>
      </c>
      <c r="CR155" s="544">
        <f t="shared" si="275"/>
        <v>39334.744961418044</v>
      </c>
      <c r="CS155" s="1709" t="s">
        <v>1826</v>
      </c>
      <c r="CT155" s="1710"/>
      <c r="CU155" s="1710"/>
      <c r="CV155" s="1710"/>
      <c r="CW155" s="1711"/>
      <c r="CX155" s="528"/>
      <c r="CY155" s="528"/>
      <c r="CZ155" s="528"/>
      <c r="DA155" s="528"/>
      <c r="DB155" s="579">
        <f>40720+1173388</f>
        <v>1214108</v>
      </c>
      <c r="DC155" s="628" t="e">
        <f>P155-#REF!</f>
        <v>#REF!</v>
      </c>
      <c r="DD155" s="535"/>
      <c r="DE155" s="535"/>
      <c r="DF155" s="525">
        <f t="shared" si="211"/>
        <v>5996.5272699999996</v>
      </c>
      <c r="DG155" s="525">
        <f t="shared" si="211"/>
        <v>0</v>
      </c>
      <c r="DH155" s="525">
        <f t="shared" si="211"/>
        <v>0</v>
      </c>
      <c r="DI155" s="522">
        <f t="shared" si="211"/>
        <v>5996.5272699999996</v>
      </c>
      <c r="DJ155" s="536"/>
      <c r="DK155" s="536"/>
      <c r="DL155" s="536"/>
      <c r="DM155" s="536"/>
      <c r="DN155" s="536"/>
      <c r="DO155" s="536"/>
      <c r="DP155" s="536"/>
      <c r="DQ155" s="536"/>
      <c r="DR155" s="536"/>
      <c r="DS155" s="536"/>
    </row>
    <row r="156" spans="1:123" s="534" customFormat="1" ht="111" customHeight="1">
      <c r="A156" s="537" t="s">
        <v>649</v>
      </c>
      <c r="B156" s="538" t="s">
        <v>650</v>
      </c>
      <c r="C156" s="576">
        <v>86609.23</v>
      </c>
      <c r="D156" s="576">
        <v>343892.45</v>
      </c>
      <c r="E156" s="525">
        <v>250000</v>
      </c>
      <c r="F156" s="525">
        <v>130781.4</v>
      </c>
      <c r="G156" s="596">
        <v>282058.96067073615</v>
      </c>
      <c r="H156" s="596">
        <v>0</v>
      </c>
      <c r="I156" s="525">
        <f t="shared" si="265"/>
        <v>8098854</v>
      </c>
      <c r="J156" s="525">
        <v>95474</v>
      </c>
      <c r="K156" s="525">
        <v>7853380</v>
      </c>
      <c r="L156" s="525">
        <v>150000</v>
      </c>
      <c r="M156" s="525">
        <f t="shared" si="266"/>
        <v>7948854</v>
      </c>
      <c r="N156" s="525">
        <v>367146.21</v>
      </c>
      <c r="O156" s="525">
        <f t="shared" si="267"/>
        <v>260849.32</v>
      </c>
      <c r="P156" s="522">
        <v>627995.53</v>
      </c>
      <c r="Q156" s="525">
        <f t="shared" si="219"/>
        <v>-7470858.4699999997</v>
      </c>
      <c r="R156" s="525">
        <f t="shared" si="220"/>
        <v>-92.245871699872595</v>
      </c>
      <c r="S156" s="525">
        <v>148320.86749999996</v>
      </c>
      <c r="T156" s="525">
        <v>148320.86749999996</v>
      </c>
      <c r="U156" s="522">
        <f t="shared" si="268"/>
        <v>1050000</v>
      </c>
      <c r="V156" s="522">
        <f t="shared" si="217"/>
        <v>901679.13250000007</v>
      </c>
      <c r="W156" s="522">
        <f t="shared" si="246"/>
        <v>607.92466205067217</v>
      </c>
      <c r="X156" s="522">
        <f t="shared" si="221"/>
        <v>422004.47</v>
      </c>
      <c r="Y156" s="522">
        <f t="shared" si="222"/>
        <v>67.19864232154643</v>
      </c>
      <c r="Z156" s="524">
        <f t="shared" si="223"/>
        <v>987527.14</v>
      </c>
      <c r="AA156" s="522">
        <f t="shared" si="224"/>
        <v>839206.27250000008</v>
      </c>
      <c r="AB156" s="522">
        <f t="shared" si="247"/>
        <v>565.80458747653984</v>
      </c>
      <c r="AC156" s="522">
        <f t="shared" si="225"/>
        <v>-62472.859999999986</v>
      </c>
      <c r="AD156" s="522">
        <f t="shared" si="226"/>
        <v>-5.9497961904761922</v>
      </c>
      <c r="AE156" s="522">
        <f t="shared" si="227"/>
        <v>359531.61</v>
      </c>
      <c r="AF156" s="522">
        <f t="shared" si="228"/>
        <v>57.250663870171167</v>
      </c>
      <c r="AG156" s="522">
        <f t="shared" si="243"/>
        <v>1576891.1</v>
      </c>
      <c r="AH156" s="522">
        <f t="shared" si="229"/>
        <v>526891.10000000009</v>
      </c>
      <c r="AI156" s="522">
        <f t="shared" si="230"/>
        <v>50.180104761904772</v>
      </c>
      <c r="AJ156" s="522">
        <f t="shared" si="231"/>
        <v>589363.96000000008</v>
      </c>
      <c r="AK156" s="522">
        <f t="shared" si="212"/>
        <v>59.680786089585354</v>
      </c>
      <c r="AL156" s="522">
        <f t="shared" si="269"/>
        <v>1576891.1</v>
      </c>
      <c r="AM156" s="522">
        <f t="shared" si="270"/>
        <v>550000</v>
      </c>
      <c r="AN156" s="522">
        <f t="shared" si="270"/>
        <v>487527.14</v>
      </c>
      <c r="AO156" s="522">
        <f t="shared" si="232"/>
        <v>-62472.859999999986</v>
      </c>
      <c r="AP156" s="522">
        <f t="shared" si="244"/>
        <v>-11.358701818181814</v>
      </c>
      <c r="AQ156" s="522">
        <v>150000</v>
      </c>
      <c r="AR156" s="522">
        <v>105000</v>
      </c>
      <c r="AS156" s="522">
        <v>400000</v>
      </c>
      <c r="AT156" s="522">
        <v>382527.14</v>
      </c>
      <c r="AU156" s="522">
        <f t="shared" si="276"/>
        <v>500000</v>
      </c>
      <c r="AV156" s="522">
        <f t="shared" si="276"/>
        <v>500000</v>
      </c>
      <c r="AW156" s="522">
        <f t="shared" si="233"/>
        <v>0</v>
      </c>
      <c r="AX156" s="522">
        <f t="shared" si="234"/>
        <v>0</v>
      </c>
      <c r="AY156" s="522">
        <f t="shared" ref="AY156:AY219" si="277">BD156+BN156</f>
        <v>1089363.96</v>
      </c>
      <c r="AZ156" s="522">
        <f t="shared" si="235"/>
        <v>-589363.96</v>
      </c>
      <c r="BA156" s="522">
        <f t="shared" si="236"/>
        <v>-54.101657631486169</v>
      </c>
      <c r="BB156" s="522">
        <v>250000</v>
      </c>
      <c r="BC156" s="525">
        <f>'[67]Дир_ по реал.услуг'!AT28</f>
        <v>250000</v>
      </c>
      <c r="BD156" s="525">
        <f t="shared" si="271"/>
        <v>649274.80999999994</v>
      </c>
      <c r="BE156" s="525">
        <f t="shared" si="237"/>
        <v>399274.80999999994</v>
      </c>
      <c r="BF156" s="525">
        <f t="shared" si="238"/>
        <v>399274.80999999994</v>
      </c>
      <c r="BG156" s="525">
        <f t="shared" si="218"/>
        <v>800000</v>
      </c>
      <c r="BH156" s="522">
        <f t="shared" si="218"/>
        <v>737527.14</v>
      </c>
      <c r="BI156" s="522">
        <v>1136801.95</v>
      </c>
      <c r="BJ156" s="522">
        <f t="shared" si="239"/>
        <v>336801.94999999995</v>
      </c>
      <c r="BK156" s="522">
        <f t="shared" si="240"/>
        <v>399274.80999999994</v>
      </c>
      <c r="BL156" s="525">
        <v>250000</v>
      </c>
      <c r="BM156" s="522">
        <f>'[67]Дир_ по реал.услуг'!AW28</f>
        <v>250000</v>
      </c>
      <c r="BN156" s="522">
        <f t="shared" si="272"/>
        <v>440089.15000000014</v>
      </c>
      <c r="BO156" s="522">
        <f t="shared" si="245"/>
        <v>190089.15000000014</v>
      </c>
      <c r="BP156" s="522">
        <f t="shared" si="241"/>
        <v>190089.15000000014</v>
      </c>
      <c r="BQ156" s="525">
        <v>250000</v>
      </c>
      <c r="BR156" s="522">
        <f>'[67]Дир_ по реал.услуг'!BB28</f>
        <v>0</v>
      </c>
      <c r="BS156" s="522">
        <f>'[67]Дир_ по реал.услуг'!BC28</f>
        <v>0</v>
      </c>
      <c r="BT156" s="536"/>
      <c r="BU156" s="522">
        <v>1576891.1</v>
      </c>
      <c r="BV156" s="522"/>
      <c r="BW156" s="522"/>
      <c r="BX156" s="574"/>
      <c r="BY156" s="525">
        <v>1522731.78</v>
      </c>
      <c r="BZ156" s="525"/>
      <c r="CA156" s="525">
        <v>54159.32</v>
      </c>
      <c r="CB156" s="522">
        <f t="shared" si="213"/>
        <v>1576891.1</v>
      </c>
      <c r="CC156" s="522">
        <f t="shared" si="242"/>
        <v>0</v>
      </c>
      <c r="CD156" s="522"/>
      <c r="CE156" s="522"/>
      <c r="CF156" s="522"/>
      <c r="CG156" s="522"/>
      <c r="CH156" s="522"/>
      <c r="CI156" s="522"/>
      <c r="CJ156" s="522"/>
      <c r="CK156" s="543" t="s">
        <v>78</v>
      </c>
      <c r="CL156" s="543" t="s">
        <v>1833</v>
      </c>
      <c r="CM156" s="509" t="s">
        <v>1925</v>
      </c>
      <c r="CN156" s="528" t="s">
        <v>1849</v>
      </c>
      <c r="CO156" s="528"/>
      <c r="CP156" s="544">
        <f t="shared" si="273"/>
        <v>968751.47279286128</v>
      </c>
      <c r="CQ156" s="544">
        <f t="shared" si="274"/>
        <v>71157.956145683216</v>
      </c>
      <c r="CR156" s="544">
        <f t="shared" si="275"/>
        <v>10090.571061455446</v>
      </c>
      <c r="CS156" s="1709" t="s">
        <v>1826</v>
      </c>
      <c r="CT156" s="1710"/>
      <c r="CU156" s="1710"/>
      <c r="CV156" s="1710"/>
      <c r="CW156" s="1711"/>
      <c r="CX156" s="528"/>
      <c r="CY156" s="528"/>
      <c r="CZ156" s="528"/>
      <c r="DA156" s="528"/>
      <c r="DB156" s="544">
        <f>105000</f>
        <v>105000</v>
      </c>
      <c r="DC156" s="628" t="e">
        <f>P156-#REF!</f>
        <v>#REF!</v>
      </c>
      <c r="DD156" s="535"/>
      <c r="DE156" s="535"/>
      <c r="DF156" s="525">
        <f t="shared" ref="DF156:DI219" si="278">BY156/1000</f>
        <v>1522.7317800000001</v>
      </c>
      <c r="DG156" s="525">
        <f t="shared" si="278"/>
        <v>0</v>
      </c>
      <c r="DH156" s="525">
        <f t="shared" si="278"/>
        <v>54.159320000000001</v>
      </c>
      <c r="DI156" s="522">
        <f t="shared" si="278"/>
        <v>1576.8911000000001</v>
      </c>
      <c r="DJ156" s="536"/>
      <c r="DK156" s="536"/>
      <c r="DL156" s="536"/>
      <c r="DM156" s="536"/>
      <c r="DN156" s="536"/>
      <c r="DO156" s="536"/>
      <c r="DP156" s="536"/>
      <c r="DQ156" s="536"/>
      <c r="DR156" s="536"/>
      <c r="DS156" s="536"/>
    </row>
    <row r="157" spans="1:123" s="534" customFormat="1" ht="56.4">
      <c r="A157" s="537" t="s">
        <v>654</v>
      </c>
      <c r="B157" s="538" t="s">
        <v>655</v>
      </c>
      <c r="C157" s="576">
        <v>2143524.08</v>
      </c>
      <c r="D157" s="576">
        <v>974565.88</v>
      </c>
      <c r="E157" s="576">
        <v>1910580</v>
      </c>
      <c r="F157" s="576">
        <v>1316592.8600000001</v>
      </c>
      <c r="G157" s="577">
        <v>1469842.5801307391</v>
      </c>
      <c r="H157" s="577">
        <v>0</v>
      </c>
      <c r="I157" s="576">
        <f t="shared" si="265"/>
        <v>1463998.35</v>
      </c>
      <c r="J157" s="576">
        <v>729077.05</v>
      </c>
      <c r="K157" s="576">
        <v>367460.65</v>
      </c>
      <c r="L157" s="576">
        <v>367460.65</v>
      </c>
      <c r="M157" s="576">
        <f t="shared" si="266"/>
        <v>1096537.7000000002</v>
      </c>
      <c r="N157" s="576">
        <v>1115647.43</v>
      </c>
      <c r="O157" s="525">
        <f t="shared" si="267"/>
        <v>436136.41000000015</v>
      </c>
      <c r="P157" s="522">
        <f>3322.02+1548461.82</f>
        <v>1551783.84</v>
      </c>
      <c r="Q157" s="576">
        <f t="shared" si="219"/>
        <v>87785.489999999991</v>
      </c>
      <c r="R157" s="576">
        <f t="shared" si="220"/>
        <v>5.9962833974505543</v>
      </c>
      <c r="S157" s="576">
        <v>1550683.9220379298</v>
      </c>
      <c r="T157" s="576">
        <v>1550683.9220379298</v>
      </c>
      <c r="U157" s="522">
        <f t="shared" si="268"/>
        <v>1550683.92</v>
      </c>
      <c r="V157" s="522">
        <f t="shared" si="217"/>
        <v>-2.0379298366606236E-3</v>
      </c>
      <c r="W157" s="522">
        <f t="shared" si="246"/>
        <v>-1.3142134491772595E-7</v>
      </c>
      <c r="X157" s="522">
        <f t="shared" si="221"/>
        <v>-1099.9200000001583</v>
      </c>
      <c r="Y157" s="522">
        <f t="shared" si="222"/>
        <v>-7.0881006210257169E-2</v>
      </c>
      <c r="Z157" s="524">
        <f t="shared" si="223"/>
        <v>2397444.11</v>
      </c>
      <c r="AA157" s="522">
        <f t="shared" si="224"/>
        <v>846760.18796207011</v>
      </c>
      <c r="AB157" s="522">
        <f t="shared" si="247"/>
        <v>54.605595371701952</v>
      </c>
      <c r="AC157" s="522">
        <f t="shared" si="225"/>
        <v>846760.19</v>
      </c>
      <c r="AD157" s="522">
        <f t="shared" si="226"/>
        <v>54.605595574886735</v>
      </c>
      <c r="AE157" s="522">
        <f t="shared" si="227"/>
        <v>845660.26999999979</v>
      </c>
      <c r="AF157" s="522">
        <f t="shared" si="228"/>
        <v>54.4960095730859</v>
      </c>
      <c r="AG157" s="522">
        <f t="shared" si="243"/>
        <v>2547752.0499999998</v>
      </c>
      <c r="AH157" s="522">
        <f t="shared" si="229"/>
        <v>997068.12999999989</v>
      </c>
      <c r="AI157" s="522">
        <f t="shared" si="230"/>
        <v>64.298605095485868</v>
      </c>
      <c r="AJ157" s="522">
        <f t="shared" si="231"/>
        <v>150307.93999999994</v>
      </c>
      <c r="AK157" s="522">
        <f t="shared" si="212"/>
        <v>6.2695075715445796</v>
      </c>
      <c r="AL157" s="522">
        <f t="shared" si="269"/>
        <v>2547752.0499999998</v>
      </c>
      <c r="AM157" s="522">
        <f t="shared" si="270"/>
        <v>775341.96</v>
      </c>
      <c r="AN157" s="522">
        <f t="shared" si="270"/>
        <v>922102.15</v>
      </c>
      <c r="AO157" s="522">
        <f t="shared" si="232"/>
        <v>146760.19000000006</v>
      </c>
      <c r="AP157" s="522">
        <f t="shared" si="244"/>
        <v>18.928446746258913</v>
      </c>
      <c r="AQ157" s="578">
        <v>387670.98</v>
      </c>
      <c r="AR157" s="578">
        <v>428377.87</v>
      </c>
      <c r="AS157" s="578">
        <v>387670.98</v>
      </c>
      <c r="AT157" s="578">
        <v>493724.28</v>
      </c>
      <c r="AU157" s="578">
        <f t="shared" si="276"/>
        <v>775341.96</v>
      </c>
      <c r="AV157" s="578">
        <f t="shared" si="276"/>
        <v>1475341.96</v>
      </c>
      <c r="AW157" s="578">
        <f t="shared" si="233"/>
        <v>700000</v>
      </c>
      <c r="AX157" s="578">
        <f t="shared" si="234"/>
        <v>90.282744403514556</v>
      </c>
      <c r="AY157" s="578">
        <f t="shared" si="277"/>
        <v>1625649.9</v>
      </c>
      <c r="AZ157" s="578">
        <f t="shared" si="235"/>
        <v>-150307.93999999994</v>
      </c>
      <c r="BA157" s="578">
        <f t="shared" si="236"/>
        <v>-9.2460215449833356</v>
      </c>
      <c r="BB157" s="578">
        <v>387670.98</v>
      </c>
      <c r="BC157" s="576">
        <f>'[67]Гл инж_Тех дир'!AT68</f>
        <v>737670.98</v>
      </c>
      <c r="BD157" s="576">
        <f t="shared" si="271"/>
        <v>559040.52999999991</v>
      </c>
      <c r="BE157" s="576">
        <f t="shared" si="237"/>
        <v>171369.54999999993</v>
      </c>
      <c r="BF157" s="576">
        <f t="shared" si="238"/>
        <v>-178630.45000000007</v>
      </c>
      <c r="BG157" s="576">
        <f t="shared" si="218"/>
        <v>1163012.94</v>
      </c>
      <c r="BH157" s="578">
        <f t="shared" si="218"/>
        <v>1659773.13</v>
      </c>
      <c r="BI157" s="578">
        <f>1479049.46+2093.22</f>
        <v>1481142.68</v>
      </c>
      <c r="BJ157" s="578">
        <f t="shared" si="239"/>
        <v>318129.74</v>
      </c>
      <c r="BK157" s="578">
        <f t="shared" si="240"/>
        <v>-178630.44999999995</v>
      </c>
      <c r="BL157" s="576">
        <v>387670.98</v>
      </c>
      <c r="BM157" s="578">
        <f>'[67]Гл инж_Тех дир'!AW68</f>
        <v>737670.98</v>
      </c>
      <c r="BN157" s="522">
        <f t="shared" si="272"/>
        <v>1066609.3699999999</v>
      </c>
      <c r="BO157" s="578">
        <f t="shared" si="245"/>
        <v>678938.3899999999</v>
      </c>
      <c r="BP157" s="578">
        <f t="shared" si="241"/>
        <v>328938.3899999999</v>
      </c>
      <c r="BQ157" s="576">
        <v>387670.98</v>
      </c>
      <c r="BR157" s="578">
        <f>'[67]Гл инж_Тех дир'!BB68</f>
        <v>0</v>
      </c>
      <c r="BS157" s="578">
        <f>'[67]Гл инж_Тех дир'!BC68</f>
        <v>0</v>
      </c>
      <c r="BT157" s="536"/>
      <c r="BU157" s="578">
        <v>2536974.09</v>
      </c>
      <c r="BV157" s="578">
        <v>10777.96</v>
      </c>
      <c r="BW157" s="578"/>
      <c r="BX157" s="574"/>
      <c r="BY157" s="525">
        <f>2236808.11+10777.96</f>
        <v>2247586.0699999998</v>
      </c>
      <c r="BZ157" s="525">
        <v>279848.11</v>
      </c>
      <c r="CA157" s="525">
        <v>20317.87</v>
      </c>
      <c r="CB157" s="522">
        <f t="shared" si="213"/>
        <v>2547752.0499999998</v>
      </c>
      <c r="CC157" s="522">
        <f t="shared" si="242"/>
        <v>0</v>
      </c>
      <c r="CD157" s="578"/>
      <c r="CE157" s="578"/>
      <c r="CF157" s="578"/>
      <c r="CG157" s="578"/>
      <c r="CH157" s="578"/>
      <c r="CI157" s="578"/>
      <c r="CJ157" s="578"/>
      <c r="CK157" s="542" t="s">
        <v>79</v>
      </c>
      <c r="CL157" s="543" t="s">
        <v>1911</v>
      </c>
      <c r="CM157" s="509" t="s">
        <v>1925</v>
      </c>
      <c r="CN157" s="528" t="s">
        <v>1849</v>
      </c>
      <c r="CO157" s="528"/>
      <c r="CP157" s="544">
        <f t="shared" si="273"/>
        <v>1430692.6965106737</v>
      </c>
      <c r="CQ157" s="544">
        <f t="shared" si="274"/>
        <v>105089.04607159631</v>
      </c>
      <c r="CR157" s="544">
        <f t="shared" si="275"/>
        <v>14902.177417729799</v>
      </c>
      <c r="CS157" s="1709" t="s">
        <v>1826</v>
      </c>
      <c r="CT157" s="1710"/>
      <c r="CU157" s="1710"/>
      <c r="CV157" s="1710"/>
      <c r="CW157" s="1711"/>
      <c r="CX157" s="528"/>
      <c r="CY157" s="528"/>
      <c r="CZ157" s="528"/>
      <c r="DA157" s="528"/>
      <c r="DB157" s="579">
        <f>427784.65+593.22</f>
        <v>428377.87</v>
      </c>
      <c r="DC157" s="628" t="e">
        <f>P157-#REF!</f>
        <v>#REF!</v>
      </c>
      <c r="DD157" s="535"/>
      <c r="DE157" s="535"/>
      <c r="DF157" s="525">
        <f t="shared" si="278"/>
        <v>2247.5860699999998</v>
      </c>
      <c r="DG157" s="525">
        <f t="shared" si="278"/>
        <v>279.84810999999996</v>
      </c>
      <c r="DH157" s="525">
        <f t="shared" si="278"/>
        <v>20.317869999999999</v>
      </c>
      <c r="DI157" s="522">
        <f t="shared" si="278"/>
        <v>2547.7520499999996</v>
      </c>
      <c r="DJ157" s="536"/>
      <c r="DK157" s="536"/>
      <c r="DL157" s="536"/>
      <c r="DM157" s="536"/>
      <c r="DN157" s="536"/>
      <c r="DO157" s="536"/>
      <c r="DP157" s="536"/>
      <c r="DQ157" s="536"/>
      <c r="DR157" s="536"/>
      <c r="DS157" s="536"/>
    </row>
    <row r="158" spans="1:123" s="534" customFormat="1" ht="58.5" customHeight="1">
      <c r="A158" s="537" t="s">
        <v>659</v>
      </c>
      <c r="B158" s="538" t="s">
        <v>1932</v>
      </c>
      <c r="C158" s="576">
        <v>342930.69</v>
      </c>
      <c r="D158" s="525">
        <v>476639.02</v>
      </c>
      <c r="E158" s="525">
        <v>460013.67</v>
      </c>
      <c r="F158" s="525">
        <v>255405.73</v>
      </c>
      <c r="G158" s="618">
        <v>230328.07431743765</v>
      </c>
      <c r="H158" s="618">
        <v>0</v>
      </c>
      <c r="I158" s="525">
        <f t="shared" si="265"/>
        <v>210166.97999999998</v>
      </c>
      <c r="J158" s="525">
        <v>88166.979999999981</v>
      </c>
      <c r="K158" s="525">
        <v>76000</v>
      </c>
      <c r="L158" s="525">
        <v>46000</v>
      </c>
      <c r="M158" s="525">
        <f t="shared" si="266"/>
        <v>164166.97999999998</v>
      </c>
      <c r="N158" s="525">
        <v>210391.89</v>
      </c>
      <c r="O158" s="525">
        <f t="shared" si="267"/>
        <v>41832.449999999983</v>
      </c>
      <c r="P158" s="522">
        <f>241249.76+10974.58</f>
        <v>252224.34</v>
      </c>
      <c r="Q158" s="525">
        <f t="shared" si="219"/>
        <v>42057.360000000015</v>
      </c>
      <c r="R158" s="525">
        <f t="shared" si="220"/>
        <v>20.011402362064686</v>
      </c>
      <c r="S158" s="525">
        <v>280930.20235999994</v>
      </c>
      <c r="T158" s="525">
        <v>280930.20235999994</v>
      </c>
      <c r="U158" s="522">
        <f t="shared" si="268"/>
        <v>220885.5</v>
      </c>
      <c r="V158" s="522">
        <f t="shared" si="217"/>
        <v>-60044.702359999937</v>
      </c>
      <c r="W158" s="522">
        <f t="shared" si="246"/>
        <v>-21.373530455459971</v>
      </c>
      <c r="X158" s="522">
        <f t="shared" si="221"/>
        <v>-31338.839999999997</v>
      </c>
      <c r="Y158" s="522">
        <f t="shared" si="222"/>
        <v>-12.424986422801226</v>
      </c>
      <c r="Z158" s="524">
        <f t="shared" si="223"/>
        <v>215614.65000000002</v>
      </c>
      <c r="AA158" s="522">
        <f t="shared" si="224"/>
        <v>-65315.552359999914</v>
      </c>
      <c r="AB158" s="522">
        <f t="shared" si="247"/>
        <v>-23.249743819392137</v>
      </c>
      <c r="AC158" s="522">
        <f t="shared" si="225"/>
        <v>-5270.8499999999767</v>
      </c>
      <c r="AD158" s="522">
        <f t="shared" si="226"/>
        <v>-2.3862363079513926</v>
      </c>
      <c r="AE158" s="522">
        <f t="shared" si="227"/>
        <v>-36609.689999999973</v>
      </c>
      <c r="AF158" s="522">
        <f t="shared" si="228"/>
        <v>-14.514733193473702</v>
      </c>
      <c r="AG158" s="522">
        <f t="shared" si="243"/>
        <v>188280.52000000002</v>
      </c>
      <c r="AH158" s="522">
        <f t="shared" si="229"/>
        <v>-32604.979999999981</v>
      </c>
      <c r="AI158" s="522">
        <f t="shared" si="230"/>
        <v>-14.761032299539806</v>
      </c>
      <c r="AJ158" s="522">
        <f t="shared" si="231"/>
        <v>-27334.130000000005</v>
      </c>
      <c r="AK158" s="522">
        <f t="shared" si="212"/>
        <v>-12.677306481725608</v>
      </c>
      <c r="AL158" s="522">
        <f t="shared" si="269"/>
        <v>188280.52000000002</v>
      </c>
      <c r="AM158" s="522">
        <f t="shared" si="270"/>
        <v>100000</v>
      </c>
      <c r="AN158" s="522">
        <f t="shared" si="270"/>
        <v>94729.150000000023</v>
      </c>
      <c r="AO158" s="522">
        <f t="shared" si="232"/>
        <v>-5270.8499999999767</v>
      </c>
      <c r="AP158" s="522">
        <f t="shared" si="244"/>
        <v>-5.2708499999999674</v>
      </c>
      <c r="AQ158" s="522">
        <v>60000</v>
      </c>
      <c r="AR158" s="522">
        <v>26537.629999999997</v>
      </c>
      <c r="AS158" s="522">
        <v>40000</v>
      </c>
      <c r="AT158" s="522">
        <v>68191.520000000019</v>
      </c>
      <c r="AU158" s="522">
        <f t="shared" si="276"/>
        <v>120885.5</v>
      </c>
      <c r="AV158" s="522">
        <f t="shared" si="276"/>
        <v>120885.5</v>
      </c>
      <c r="AW158" s="522">
        <f t="shared" si="233"/>
        <v>0</v>
      </c>
      <c r="AX158" s="522">
        <f t="shared" si="234"/>
        <v>0</v>
      </c>
      <c r="AY158" s="522">
        <f t="shared" si="277"/>
        <v>93551.37</v>
      </c>
      <c r="AZ158" s="522">
        <f t="shared" si="235"/>
        <v>27334.130000000005</v>
      </c>
      <c r="BA158" s="522">
        <f t="shared" si="236"/>
        <v>29.218310752691281</v>
      </c>
      <c r="BB158" s="522">
        <v>40000</v>
      </c>
      <c r="BC158" s="525">
        <f>'[67]Дир_ имущ'!AT55</f>
        <v>40000</v>
      </c>
      <c r="BD158" s="525">
        <f t="shared" si="271"/>
        <v>61327.639999999956</v>
      </c>
      <c r="BE158" s="525">
        <f t="shared" si="237"/>
        <v>21327.639999999956</v>
      </c>
      <c r="BF158" s="525">
        <f t="shared" si="238"/>
        <v>21327.639999999956</v>
      </c>
      <c r="BG158" s="525">
        <f t="shared" si="218"/>
        <v>140000</v>
      </c>
      <c r="BH158" s="522">
        <f t="shared" si="218"/>
        <v>134729.15000000002</v>
      </c>
      <c r="BI158" s="522">
        <v>156056.78999999998</v>
      </c>
      <c r="BJ158" s="522">
        <f t="shared" si="239"/>
        <v>16056.789999999979</v>
      </c>
      <c r="BK158" s="522">
        <f t="shared" si="240"/>
        <v>21327.639999999956</v>
      </c>
      <c r="BL158" s="525">
        <v>80885.5</v>
      </c>
      <c r="BM158" s="522">
        <f>'[67]Дир_ имущ'!AW55</f>
        <v>80885.5</v>
      </c>
      <c r="BN158" s="522">
        <f t="shared" si="272"/>
        <v>32223.73000000004</v>
      </c>
      <c r="BO158" s="522">
        <f t="shared" si="245"/>
        <v>-48661.76999999996</v>
      </c>
      <c r="BP158" s="522">
        <f t="shared" si="241"/>
        <v>-48661.76999999996</v>
      </c>
      <c r="BQ158" s="525">
        <v>80885.5</v>
      </c>
      <c r="BR158" s="522">
        <f>'[67]Дир_ имущ'!BB55</f>
        <v>0</v>
      </c>
      <c r="BS158" s="522">
        <f>'[67]Дир_ имущ'!BC55</f>
        <v>0</v>
      </c>
      <c r="BT158" s="536"/>
      <c r="BU158" s="522">
        <f>168775.44+19505.08</f>
        <v>188280.52000000002</v>
      </c>
      <c r="BV158" s="522"/>
      <c r="BW158" s="522"/>
      <c r="BX158" s="574"/>
      <c r="BY158" s="525">
        <f>165080.3+19191.61</f>
        <v>184271.90999999997</v>
      </c>
      <c r="BZ158" s="525">
        <f>2965.35+222.79</f>
        <v>3188.14</v>
      </c>
      <c r="CA158" s="525">
        <f>729.79+90.68</f>
        <v>820.47</v>
      </c>
      <c r="CB158" s="522">
        <f t="shared" si="213"/>
        <v>188280.52</v>
      </c>
      <c r="CC158" s="522">
        <f t="shared" si="242"/>
        <v>0</v>
      </c>
      <c r="CD158" s="522"/>
      <c r="CE158" s="522"/>
      <c r="CF158" s="522"/>
      <c r="CG158" s="522"/>
      <c r="CH158" s="522"/>
      <c r="CI158" s="522"/>
      <c r="CJ158" s="522"/>
      <c r="CK158" s="543" t="s">
        <v>1815</v>
      </c>
      <c r="CL158" s="543" t="s">
        <v>1897</v>
      </c>
      <c r="CM158" s="509" t="s">
        <v>1925</v>
      </c>
      <c r="CN158" s="528"/>
      <c r="CO158" s="528"/>
      <c r="CP158" s="544">
        <f t="shared" si="273"/>
        <v>203793.4794700834</v>
      </c>
      <c r="CQ158" s="544">
        <f t="shared" si="274"/>
        <v>14969.295925921246</v>
      </c>
      <c r="CR158" s="544">
        <f t="shared" si="275"/>
        <v>2122.7246039953493</v>
      </c>
      <c r="CS158" s="1709" t="s">
        <v>1826</v>
      </c>
      <c r="CT158" s="1710"/>
      <c r="CU158" s="1710"/>
      <c r="CV158" s="1710"/>
      <c r="CW158" s="1711"/>
      <c r="CX158" s="528"/>
      <c r="CY158" s="528"/>
      <c r="CZ158" s="528"/>
      <c r="DA158" s="528"/>
      <c r="DB158" s="544">
        <f>23952.89+2584.74</f>
        <v>26537.629999999997</v>
      </c>
      <c r="DC158" s="628" t="e">
        <f>P158-#REF!</f>
        <v>#REF!</v>
      </c>
      <c r="DD158" s="535"/>
      <c r="DE158" s="535"/>
      <c r="DF158" s="525">
        <f t="shared" si="278"/>
        <v>184.27190999999996</v>
      </c>
      <c r="DG158" s="525">
        <f t="shared" si="278"/>
        <v>3.1881399999999998</v>
      </c>
      <c r="DH158" s="525">
        <f t="shared" si="278"/>
        <v>0.82047000000000003</v>
      </c>
      <c r="DI158" s="522">
        <f t="shared" si="278"/>
        <v>188.28052</v>
      </c>
      <c r="DJ158" s="536"/>
      <c r="DK158" s="536"/>
      <c r="DL158" s="536"/>
      <c r="DM158" s="536"/>
      <c r="DN158" s="536"/>
      <c r="DO158" s="536"/>
      <c r="DP158" s="536"/>
      <c r="DQ158" s="536"/>
      <c r="DR158" s="536"/>
      <c r="DS158" s="536"/>
    </row>
    <row r="159" spans="1:123" s="534" customFormat="1">
      <c r="A159" s="537" t="s">
        <v>663</v>
      </c>
      <c r="B159" s="538" t="s">
        <v>664</v>
      </c>
      <c r="C159" s="576"/>
      <c r="D159" s="525"/>
      <c r="E159" s="525"/>
      <c r="F159" s="525"/>
      <c r="G159" s="540">
        <v>3462300</v>
      </c>
      <c r="H159" s="540">
        <v>0</v>
      </c>
      <c r="I159" s="525">
        <f t="shared" si="265"/>
        <v>851200</v>
      </c>
      <c r="J159" s="525">
        <v>451200</v>
      </c>
      <c r="K159" s="525">
        <v>400000</v>
      </c>
      <c r="L159" s="525">
        <v>0</v>
      </c>
      <c r="M159" s="525">
        <f t="shared" si="266"/>
        <v>851200</v>
      </c>
      <c r="N159" s="525">
        <v>743550.95</v>
      </c>
      <c r="O159" s="525">
        <f t="shared" si="267"/>
        <v>-20391.959999999963</v>
      </c>
      <c r="P159" s="522">
        <v>723158.99</v>
      </c>
      <c r="Q159" s="525">
        <f t="shared" si="219"/>
        <v>-128041.01000000001</v>
      </c>
      <c r="R159" s="525">
        <f t="shared" si="220"/>
        <v>-15.04241188909775</v>
      </c>
      <c r="S159" s="525">
        <v>558942.16499999992</v>
      </c>
      <c r="T159" s="525">
        <v>558942.16499999992</v>
      </c>
      <c r="U159" s="522">
        <f t="shared" si="268"/>
        <v>791220.12999999989</v>
      </c>
      <c r="V159" s="522">
        <f t="shared" si="217"/>
        <v>232277.96499999997</v>
      </c>
      <c r="W159" s="522">
        <f t="shared" si="246"/>
        <v>41.556708286625678</v>
      </c>
      <c r="X159" s="522">
        <f t="shared" si="221"/>
        <v>68061.139999999898</v>
      </c>
      <c r="Y159" s="522">
        <f t="shared" si="222"/>
        <v>9.4116426596591083</v>
      </c>
      <c r="Z159" s="524">
        <f t="shared" si="223"/>
        <v>791220.13</v>
      </c>
      <c r="AA159" s="522">
        <f t="shared" si="224"/>
        <v>232277.96500000008</v>
      </c>
      <c r="AB159" s="522">
        <f t="shared" si="247"/>
        <v>41.556708286625707</v>
      </c>
      <c r="AC159" s="522">
        <f t="shared" si="225"/>
        <v>0</v>
      </c>
      <c r="AD159" s="522">
        <f t="shared" si="226"/>
        <v>0</v>
      </c>
      <c r="AE159" s="522">
        <f t="shared" si="227"/>
        <v>68061.140000000014</v>
      </c>
      <c r="AF159" s="522">
        <f t="shared" si="228"/>
        <v>9.4116426596591225</v>
      </c>
      <c r="AG159" s="522">
        <f t="shared" si="243"/>
        <v>589729.4</v>
      </c>
      <c r="AH159" s="522">
        <f t="shared" si="229"/>
        <v>-201490.72999999986</v>
      </c>
      <c r="AI159" s="522">
        <f t="shared" si="230"/>
        <v>-25.465824536087055</v>
      </c>
      <c r="AJ159" s="522">
        <f t="shared" si="231"/>
        <v>-201490.72999999998</v>
      </c>
      <c r="AK159" s="522">
        <f t="shared" si="212"/>
        <v>-25.465824536087069</v>
      </c>
      <c r="AL159" s="522">
        <f t="shared" si="269"/>
        <v>589729.4</v>
      </c>
      <c r="AM159" s="522">
        <f t="shared" si="270"/>
        <v>507153.16</v>
      </c>
      <c r="AN159" s="522">
        <f t="shared" si="270"/>
        <v>515287.99</v>
      </c>
      <c r="AO159" s="522">
        <f t="shared" si="232"/>
        <v>8134.8300000000163</v>
      </c>
      <c r="AP159" s="522">
        <f t="shared" si="244"/>
        <v>1.6040183994909967</v>
      </c>
      <c r="AQ159" s="522">
        <v>0</v>
      </c>
      <c r="AR159" s="522">
        <v>0</v>
      </c>
      <c r="AS159" s="522">
        <v>507153.16</v>
      </c>
      <c r="AT159" s="522">
        <v>515287.99</v>
      </c>
      <c r="AU159" s="522">
        <f t="shared" si="276"/>
        <v>284066.96999999997</v>
      </c>
      <c r="AV159" s="522">
        <f t="shared" si="276"/>
        <v>275932.14</v>
      </c>
      <c r="AW159" s="522">
        <f t="shared" si="233"/>
        <v>-8134.8299999999581</v>
      </c>
      <c r="AX159" s="522">
        <f t="shared" si="234"/>
        <v>-2.8637014715227025</v>
      </c>
      <c r="AY159" s="522">
        <f t="shared" si="277"/>
        <v>74441.410000000033</v>
      </c>
      <c r="AZ159" s="522">
        <f t="shared" si="235"/>
        <v>201490.72999999998</v>
      </c>
      <c r="BA159" s="522">
        <f t="shared" si="236"/>
        <v>270.67022239369174</v>
      </c>
      <c r="BB159" s="522">
        <v>284066.96999999997</v>
      </c>
      <c r="BC159" s="525">
        <f>'[67]Гл инж_Тех дир'!AT109</f>
        <v>275932.14</v>
      </c>
      <c r="BD159" s="525">
        <f t="shared" si="271"/>
        <v>74441.410000000033</v>
      </c>
      <c r="BE159" s="525">
        <f t="shared" si="237"/>
        <v>-209625.55999999994</v>
      </c>
      <c r="BF159" s="525">
        <f t="shared" si="238"/>
        <v>-201490.72999999998</v>
      </c>
      <c r="BG159" s="525">
        <f t="shared" si="218"/>
        <v>791220.12999999989</v>
      </c>
      <c r="BH159" s="522">
        <f t="shared" si="218"/>
        <v>791220.13</v>
      </c>
      <c r="BI159" s="522">
        <v>589729.4</v>
      </c>
      <c r="BJ159" s="522">
        <f t="shared" si="239"/>
        <v>-201490.72999999986</v>
      </c>
      <c r="BK159" s="522">
        <f t="shared" si="240"/>
        <v>-201490.72999999998</v>
      </c>
      <c r="BL159" s="525">
        <v>0</v>
      </c>
      <c r="BM159" s="522">
        <f>'[67]Гл инж_Тех дир'!AW109</f>
        <v>0</v>
      </c>
      <c r="BN159" s="522">
        <f t="shared" si="272"/>
        <v>0</v>
      </c>
      <c r="BO159" s="522">
        <f t="shared" si="245"/>
        <v>0</v>
      </c>
      <c r="BP159" s="522">
        <f t="shared" si="241"/>
        <v>0</v>
      </c>
      <c r="BQ159" s="525">
        <v>0</v>
      </c>
      <c r="BR159" s="522">
        <f>'[67]Гл инж_Тех дир'!BB109</f>
        <v>0</v>
      </c>
      <c r="BS159" s="522">
        <f>'[67]Гл инж_Тех дир'!BC109</f>
        <v>0</v>
      </c>
      <c r="BT159" s="536"/>
      <c r="BU159" s="522">
        <v>589729.4</v>
      </c>
      <c r="BV159" s="522"/>
      <c r="BW159" s="522"/>
      <c r="BX159" s="574"/>
      <c r="BY159" s="525">
        <v>589729.4</v>
      </c>
      <c r="BZ159" s="525"/>
      <c r="CA159" s="525"/>
      <c r="CB159" s="522">
        <f t="shared" si="213"/>
        <v>589729.4</v>
      </c>
      <c r="CC159" s="522">
        <f t="shared" si="242"/>
        <v>0</v>
      </c>
      <c r="CD159" s="522"/>
      <c r="CE159" s="522"/>
      <c r="CF159" s="522"/>
      <c r="CG159" s="522"/>
      <c r="CH159" s="522"/>
      <c r="CI159" s="522"/>
      <c r="CJ159" s="522"/>
      <c r="CK159" s="542" t="s">
        <v>79</v>
      </c>
      <c r="CL159" s="543" t="s">
        <v>1931</v>
      </c>
      <c r="CM159" s="509" t="s">
        <v>1925</v>
      </c>
      <c r="CN159" s="528" t="s">
        <v>1849</v>
      </c>
      <c r="CO159" s="528"/>
      <c r="CP159" s="544">
        <f t="shared" si="273"/>
        <v>729995.87261034211</v>
      </c>
      <c r="CQ159" s="544">
        <f t="shared" si="274"/>
        <v>53620.578392496907</v>
      </c>
      <c r="CR159" s="544">
        <f t="shared" si="275"/>
        <v>7603.678997160966</v>
      </c>
      <c r="CS159" s="1709" t="s">
        <v>1826</v>
      </c>
      <c r="CT159" s="1710"/>
      <c r="CU159" s="1710"/>
      <c r="CV159" s="1710"/>
      <c r="CW159" s="1711"/>
      <c r="CX159" s="528"/>
      <c r="CY159" s="528"/>
      <c r="CZ159" s="528"/>
      <c r="DA159" s="528"/>
      <c r="DB159" s="544"/>
      <c r="DC159" s="628" t="e">
        <f>P159-#REF!</f>
        <v>#REF!</v>
      </c>
      <c r="DD159" s="535"/>
      <c r="DE159" s="535"/>
      <c r="DF159" s="525">
        <f t="shared" si="278"/>
        <v>589.72940000000006</v>
      </c>
      <c r="DG159" s="525">
        <f t="shared" si="278"/>
        <v>0</v>
      </c>
      <c r="DH159" s="525">
        <f t="shared" si="278"/>
        <v>0</v>
      </c>
      <c r="DI159" s="522">
        <f t="shared" si="278"/>
        <v>589.72940000000006</v>
      </c>
      <c r="DJ159" s="536"/>
      <c r="DK159" s="536"/>
      <c r="DL159" s="536"/>
      <c r="DM159" s="536"/>
      <c r="DN159" s="536"/>
      <c r="DO159" s="536"/>
      <c r="DP159" s="536"/>
      <c r="DQ159" s="536"/>
      <c r="DR159" s="536"/>
      <c r="DS159" s="536"/>
    </row>
    <row r="160" spans="1:123" s="534" customFormat="1">
      <c r="A160" s="505" t="s">
        <v>1933</v>
      </c>
      <c r="B160" s="506" t="s">
        <v>671</v>
      </c>
      <c r="C160" s="580">
        <f t="shared" ref="C160:T160" si="279">SUBTOTAL(9,C161:C169)</f>
        <v>16850762.690000001</v>
      </c>
      <c r="D160" s="580">
        <f t="shared" si="279"/>
        <v>12006882.912179334</v>
      </c>
      <c r="E160" s="580">
        <f t="shared" si="279"/>
        <v>19956985.016479194</v>
      </c>
      <c r="F160" s="580">
        <f t="shared" si="279"/>
        <v>17461826.060000002</v>
      </c>
      <c r="G160" s="580">
        <f t="shared" si="279"/>
        <v>13113627.910666427</v>
      </c>
      <c r="H160" s="580">
        <f t="shared" si="279"/>
        <v>0</v>
      </c>
      <c r="I160" s="580">
        <f t="shared" si="279"/>
        <v>16929291.02</v>
      </c>
      <c r="J160" s="580">
        <f t="shared" si="279"/>
        <v>7772733.4099999992</v>
      </c>
      <c r="K160" s="580">
        <f t="shared" si="279"/>
        <v>4495391.0199999996</v>
      </c>
      <c r="L160" s="580">
        <f t="shared" si="279"/>
        <v>4661166.59</v>
      </c>
      <c r="M160" s="580">
        <f t="shared" si="279"/>
        <v>12268124.43</v>
      </c>
      <c r="N160" s="580">
        <f t="shared" si="279"/>
        <v>11867949.310000001</v>
      </c>
      <c r="O160" s="580">
        <f>SUBTOTAL(9,O161:O169)</f>
        <v>4135862.5399999996</v>
      </c>
      <c r="P160" s="580">
        <f>SUBTOTAL(9,P161:P169)</f>
        <v>16003811.85</v>
      </c>
      <c r="Q160" s="580">
        <f t="shared" si="219"/>
        <v>-925479.16999999993</v>
      </c>
      <c r="R160" s="580">
        <f t="shared" si="220"/>
        <v>-5.4667331839629441</v>
      </c>
      <c r="S160" s="580">
        <f t="shared" si="279"/>
        <v>14478903.483332293</v>
      </c>
      <c r="T160" s="580">
        <f t="shared" si="279"/>
        <v>14478903.483332293</v>
      </c>
      <c r="U160" s="580">
        <f>SUBTOTAL(9,U161:U169)</f>
        <v>15783586.419999998</v>
      </c>
      <c r="V160" s="580">
        <f t="shared" si="217"/>
        <v>1304682.936667705</v>
      </c>
      <c r="W160" s="580">
        <f t="shared" si="246"/>
        <v>9.0109236391389516</v>
      </c>
      <c r="X160" s="580">
        <f t="shared" si="221"/>
        <v>-220225.43000000156</v>
      </c>
      <c r="Y160" s="580">
        <f t="shared" si="222"/>
        <v>-1.3760810990789167</v>
      </c>
      <c r="Z160" s="580">
        <f t="shared" si="223"/>
        <v>16559026.969999999</v>
      </c>
      <c r="AA160" s="580">
        <f t="shared" si="224"/>
        <v>2080123.4866677057</v>
      </c>
      <c r="AB160" s="580">
        <f t="shared" si="247"/>
        <v>14.366581620371207</v>
      </c>
      <c r="AC160" s="580">
        <f t="shared" si="225"/>
        <v>775440.55000000075</v>
      </c>
      <c r="AD160" s="580">
        <f t="shared" si="226"/>
        <v>4.9129553281845375</v>
      </c>
      <c r="AE160" s="580">
        <f t="shared" si="227"/>
        <v>555215.11999999918</v>
      </c>
      <c r="AF160" s="580">
        <f t="shared" si="228"/>
        <v>3.469267979428281</v>
      </c>
      <c r="AG160" s="580">
        <f t="shared" si="243"/>
        <v>14525167.970000001</v>
      </c>
      <c r="AH160" s="580">
        <f t="shared" si="229"/>
        <v>-1258418.4499999974</v>
      </c>
      <c r="AI160" s="580">
        <f t="shared" si="230"/>
        <v>-7.9729563136893091</v>
      </c>
      <c r="AJ160" s="580">
        <f t="shared" si="231"/>
        <v>-2033858.9999999981</v>
      </c>
      <c r="AK160" s="580">
        <f t="shared" si="212"/>
        <v>-12.282478938434863</v>
      </c>
      <c r="AL160" s="580">
        <f>SUBTOTAL(9,AL161:AL169)</f>
        <v>14525167.970000003</v>
      </c>
      <c r="AM160" s="580">
        <f t="shared" si="270"/>
        <v>8279644.3599999994</v>
      </c>
      <c r="AN160" s="580">
        <f t="shared" si="270"/>
        <v>7588523.3399999999</v>
      </c>
      <c r="AO160" s="580">
        <f t="shared" si="232"/>
        <v>-691121.01999999955</v>
      </c>
      <c r="AP160" s="580">
        <f t="shared" si="244"/>
        <v>-8.3472307498966103</v>
      </c>
      <c r="AQ160" s="580">
        <f>SUBTOTAL(9,AQ161:AQ169)</f>
        <v>4271446.46</v>
      </c>
      <c r="AR160" s="580">
        <f>SUBTOTAL(9,AR161:AR169)</f>
        <v>3877149.8099999996</v>
      </c>
      <c r="AS160" s="580">
        <f>SUBTOTAL(9,AS161:AS169)</f>
        <v>4008197.8999999994</v>
      </c>
      <c r="AT160" s="580">
        <f>SUBTOTAL(9,AT161:AT169)</f>
        <v>3711373.53</v>
      </c>
      <c r="AU160" s="580">
        <f t="shared" si="276"/>
        <v>7503942.0600000005</v>
      </c>
      <c r="AV160" s="580">
        <f t="shared" si="276"/>
        <v>8970503.629999999</v>
      </c>
      <c r="AW160" s="580">
        <f t="shared" si="233"/>
        <v>1466561.5699999984</v>
      </c>
      <c r="AX160" s="580">
        <f t="shared" si="234"/>
        <v>19.543881846017314</v>
      </c>
      <c r="AY160" s="580">
        <f t="shared" si="277"/>
        <v>6936644.6300000008</v>
      </c>
      <c r="AZ160" s="580">
        <f t="shared" si="235"/>
        <v>2033858.9999999981</v>
      </c>
      <c r="BA160" s="580">
        <f t="shared" si="236"/>
        <v>29.320501603957752</v>
      </c>
      <c r="BB160" s="580">
        <f t="shared" ref="BB160:BN160" si="280">SUBTOTAL(9,BB161:BB169)</f>
        <v>3722055.07</v>
      </c>
      <c r="BC160" s="580">
        <f t="shared" si="280"/>
        <v>4821636.9499999993</v>
      </c>
      <c r="BD160" s="580">
        <f t="shared" si="280"/>
        <v>3404021.6999999997</v>
      </c>
      <c r="BE160" s="580">
        <f t="shared" si="237"/>
        <v>-318033.37000000011</v>
      </c>
      <c r="BF160" s="580">
        <f t="shared" si="238"/>
        <v>-1417615.2499999995</v>
      </c>
      <c r="BG160" s="580">
        <f t="shared" si="218"/>
        <v>12001699.43</v>
      </c>
      <c r="BH160" s="580">
        <f t="shared" si="280"/>
        <v>12410160.289999999</v>
      </c>
      <c r="BI160" s="580">
        <f t="shared" si="280"/>
        <v>10992545.040000001</v>
      </c>
      <c r="BJ160" s="580">
        <f t="shared" si="239"/>
        <v>-1009154.3899999987</v>
      </c>
      <c r="BK160" s="580">
        <f t="shared" si="240"/>
        <v>-1417615.2499999981</v>
      </c>
      <c r="BL160" s="580">
        <f t="shared" si="280"/>
        <v>3781886.99</v>
      </c>
      <c r="BM160" s="580">
        <f t="shared" si="280"/>
        <v>4148866.68</v>
      </c>
      <c r="BN160" s="580">
        <f t="shared" si="280"/>
        <v>3532622.9300000006</v>
      </c>
      <c r="BO160" s="580">
        <f t="shared" si="245"/>
        <v>-249264.05999999959</v>
      </c>
      <c r="BP160" s="580">
        <f t="shared" si="241"/>
        <v>-616243.74999999953</v>
      </c>
      <c r="BQ160" s="580">
        <f t="shared" ref="BQ160:BS160" si="281">SUBTOTAL(9,BQ161:BQ169)</f>
        <v>3781886.99</v>
      </c>
      <c r="BR160" s="580">
        <f t="shared" si="281"/>
        <v>0</v>
      </c>
      <c r="BS160" s="580">
        <f t="shared" si="281"/>
        <v>0</v>
      </c>
      <c r="BT160" s="536"/>
      <c r="BU160" s="580">
        <f t="shared" ref="BU160:BW160" si="282">SUBTOTAL(9,BU161:BU169)</f>
        <v>14458919.120000001</v>
      </c>
      <c r="BV160" s="580">
        <f t="shared" si="282"/>
        <v>66248.850000000006</v>
      </c>
      <c r="BW160" s="580">
        <f t="shared" si="282"/>
        <v>0</v>
      </c>
      <c r="BX160" s="581"/>
      <c r="BY160" s="580">
        <f>SUBTOTAL(9,BY161:BY169)</f>
        <v>13897249.630000001</v>
      </c>
      <c r="BZ160" s="580">
        <f>SUBTOTAL(9,BZ161:BZ169)</f>
        <v>541131.73</v>
      </c>
      <c r="CA160" s="580">
        <f>SUBTOTAL(9,CA161:CA169)</f>
        <v>86786.61</v>
      </c>
      <c r="CB160" s="580">
        <f>SUBTOTAL(9,CB161:CB169)</f>
        <v>14525167.969999999</v>
      </c>
      <c r="CC160" s="580">
        <f t="shared" si="242"/>
        <v>0</v>
      </c>
      <c r="CD160" s="580"/>
      <c r="CE160" s="580"/>
      <c r="CF160" s="580"/>
      <c r="CG160" s="580"/>
      <c r="CH160" s="580"/>
      <c r="CI160" s="580"/>
      <c r="CJ160" s="580"/>
      <c r="CK160" s="648"/>
      <c r="CL160" s="648"/>
      <c r="CM160" s="509" t="s">
        <v>1925</v>
      </c>
      <c r="CN160" s="528"/>
      <c r="CO160" s="528"/>
      <c r="CP160" s="582">
        <f>SUBTOTAL(9,CP161:CP169)</f>
        <v>14562259.60983658</v>
      </c>
      <c r="CQ160" s="582">
        <f>SUBTOTAL(9,CQ161:CQ169)</f>
        <v>1069645.476472344</v>
      </c>
      <c r="CR160" s="582">
        <f>SUBTOTAL(9,CR161:CR169)</f>
        <v>151681.3336910792</v>
      </c>
      <c r="CS160" s="1715"/>
      <c r="CT160" s="1716"/>
      <c r="CU160" s="1716"/>
      <c r="CV160" s="1716"/>
      <c r="CW160" s="1717"/>
      <c r="CX160" s="528"/>
      <c r="CY160" s="528"/>
      <c r="CZ160" s="528"/>
      <c r="DA160" s="528"/>
      <c r="DB160" s="582">
        <f>SUBTOTAL(9,DB161:DB169)</f>
        <v>3877149.8099999996</v>
      </c>
      <c r="DC160" s="628" t="e">
        <f>P160-#REF!</f>
        <v>#REF!</v>
      </c>
      <c r="DD160" s="535"/>
      <c r="DE160" s="535"/>
      <c r="DF160" s="580">
        <f t="shared" si="278"/>
        <v>13897.24963</v>
      </c>
      <c r="DG160" s="580">
        <f t="shared" si="278"/>
        <v>541.13172999999995</v>
      </c>
      <c r="DH160" s="580">
        <f t="shared" si="278"/>
        <v>86.786609999999996</v>
      </c>
      <c r="DI160" s="580">
        <f t="shared" si="278"/>
        <v>14525.167969999999</v>
      </c>
      <c r="DJ160" s="536"/>
      <c r="DK160" s="536"/>
      <c r="DL160" s="536"/>
      <c r="DM160" s="536"/>
      <c r="DN160" s="536"/>
      <c r="DO160" s="536"/>
      <c r="DP160" s="536"/>
      <c r="DQ160" s="536"/>
      <c r="DR160" s="536"/>
      <c r="DS160" s="536"/>
    </row>
    <row r="161" spans="1:123" s="534" customFormat="1" ht="40.5" customHeight="1">
      <c r="A161" s="537" t="s">
        <v>674</v>
      </c>
      <c r="B161" s="538" t="s">
        <v>675</v>
      </c>
      <c r="C161" s="576">
        <v>3553477.8</v>
      </c>
      <c r="D161" s="576">
        <v>3613164.9131998066</v>
      </c>
      <c r="E161" s="525">
        <v>5645000</v>
      </c>
      <c r="F161" s="525">
        <v>5879145.8200000003</v>
      </c>
      <c r="G161" s="596">
        <v>3815153.7072256505</v>
      </c>
      <c r="H161" s="596">
        <v>0</v>
      </c>
      <c r="I161" s="525">
        <f t="shared" ref="I161:I169" si="283">J161+K161+L161</f>
        <v>5476705.6500000004</v>
      </c>
      <c r="J161" s="525">
        <v>2602046.66</v>
      </c>
      <c r="K161" s="525">
        <v>1406016</v>
      </c>
      <c r="L161" s="525">
        <v>1468642.99</v>
      </c>
      <c r="M161" s="525">
        <f t="shared" ref="M161:M169" si="284">J161+K161</f>
        <v>4008062.66</v>
      </c>
      <c r="N161" s="525">
        <v>3950586.73</v>
      </c>
      <c r="O161" s="525">
        <f t="shared" ref="O161:O169" si="285">P161-N161</f>
        <v>1274625.5499999993</v>
      </c>
      <c r="P161" s="522">
        <f>19944.42+5082110.31+123157.55</f>
        <v>5225212.2799999993</v>
      </c>
      <c r="Q161" s="525">
        <f t="shared" si="219"/>
        <v>-251493.37000000104</v>
      </c>
      <c r="R161" s="525">
        <f t="shared" si="220"/>
        <v>-4.5920556274555508</v>
      </c>
      <c r="S161" s="525">
        <v>4024987.1611230611</v>
      </c>
      <c r="T161" s="525">
        <v>4024987.1611230611</v>
      </c>
      <c r="U161" s="522">
        <f t="shared" ref="U161:U169" si="286">AQ161+AS161+BB161+BL161</f>
        <v>5541829.4300000006</v>
      </c>
      <c r="V161" s="522">
        <f t="shared" si="217"/>
        <v>1516842.2688769395</v>
      </c>
      <c r="W161" s="522">
        <f t="shared" si="246"/>
        <v>37.685642417147648</v>
      </c>
      <c r="X161" s="522">
        <f t="shared" si="221"/>
        <v>316617.1500000013</v>
      </c>
      <c r="Y161" s="522">
        <f t="shared" si="222"/>
        <v>6.0594121929147917</v>
      </c>
      <c r="Z161" s="524">
        <f t="shared" si="223"/>
        <v>5022360.78</v>
      </c>
      <c r="AA161" s="522">
        <f t="shared" si="224"/>
        <v>997373.61887693917</v>
      </c>
      <c r="AB161" s="522">
        <f t="shared" si="247"/>
        <v>24.779547833356318</v>
      </c>
      <c r="AC161" s="522">
        <f t="shared" si="225"/>
        <v>-519468.65000000037</v>
      </c>
      <c r="AD161" s="522">
        <f t="shared" si="226"/>
        <v>-9.3735950657001865</v>
      </c>
      <c r="AE161" s="522">
        <f t="shared" si="227"/>
        <v>-202851.49999999907</v>
      </c>
      <c r="AF161" s="522">
        <f t="shared" si="228"/>
        <v>-3.8821676351108749</v>
      </c>
      <c r="AG161" s="522">
        <f t="shared" si="243"/>
        <v>4341037.3800000008</v>
      </c>
      <c r="AH161" s="522">
        <f t="shared" si="229"/>
        <v>-1200792.0499999998</v>
      </c>
      <c r="AI161" s="522">
        <f t="shared" si="230"/>
        <v>-21.667791568965697</v>
      </c>
      <c r="AJ161" s="522">
        <f t="shared" si="231"/>
        <v>-681323.39999999944</v>
      </c>
      <c r="AK161" s="522">
        <f t="shared" si="212"/>
        <v>-13.56579962779972</v>
      </c>
      <c r="AL161" s="522">
        <f t="shared" ref="AL161:AL169" si="287">SUM(BU161:BV161)</f>
        <v>4341037.3800000008</v>
      </c>
      <c r="AM161" s="522">
        <f t="shared" si="270"/>
        <v>2759349.6</v>
      </c>
      <c r="AN161" s="522">
        <f t="shared" si="270"/>
        <v>2239880.9500000002</v>
      </c>
      <c r="AO161" s="522">
        <f t="shared" si="232"/>
        <v>-519468.64999999991</v>
      </c>
      <c r="AP161" s="522">
        <f t="shared" si="244"/>
        <v>-18.825764230817285</v>
      </c>
      <c r="AQ161" s="522">
        <v>1368109.8</v>
      </c>
      <c r="AR161" s="522">
        <v>1137632.98</v>
      </c>
      <c r="AS161" s="522">
        <v>1391239.8</v>
      </c>
      <c r="AT161" s="522">
        <v>1102247.9700000002</v>
      </c>
      <c r="AU161" s="522">
        <f t="shared" si="276"/>
        <v>2782479.83</v>
      </c>
      <c r="AV161" s="522">
        <f t="shared" si="276"/>
        <v>2782479.83</v>
      </c>
      <c r="AW161" s="522">
        <f t="shared" si="233"/>
        <v>0</v>
      </c>
      <c r="AX161" s="522">
        <f t="shared" si="234"/>
        <v>0</v>
      </c>
      <c r="AY161" s="522">
        <f t="shared" si="277"/>
        <v>2101156.4300000006</v>
      </c>
      <c r="AZ161" s="522">
        <f t="shared" si="235"/>
        <v>681323.39999999944</v>
      </c>
      <c r="BA161" s="522">
        <f t="shared" si="236"/>
        <v>32.426114984689605</v>
      </c>
      <c r="BB161" s="522">
        <v>1391239.8</v>
      </c>
      <c r="BC161" s="525">
        <f>'[67]Гл инж_Тех дир'!AT78</f>
        <v>1391239.8</v>
      </c>
      <c r="BD161" s="525">
        <f t="shared" ref="BD161:BD169" si="288">BI161-AN161</f>
        <v>1018217.73</v>
      </c>
      <c r="BE161" s="525">
        <f t="shared" si="237"/>
        <v>-373022.07000000007</v>
      </c>
      <c r="BF161" s="525">
        <f t="shared" si="238"/>
        <v>-373022.07000000007</v>
      </c>
      <c r="BG161" s="525">
        <f t="shared" si="218"/>
        <v>4150589.4000000004</v>
      </c>
      <c r="BH161" s="522">
        <f t="shared" si="218"/>
        <v>3631120.75</v>
      </c>
      <c r="BI161" s="522">
        <f>3235252.33+22846.35</f>
        <v>3258098.68</v>
      </c>
      <c r="BJ161" s="522">
        <f t="shared" si="239"/>
        <v>-892490.7200000002</v>
      </c>
      <c r="BK161" s="522">
        <f t="shared" si="240"/>
        <v>-373022.06999999983</v>
      </c>
      <c r="BL161" s="525">
        <v>1391240.03</v>
      </c>
      <c r="BM161" s="522">
        <f>'[67]Гл инж_Тех дир'!AW78</f>
        <v>1391240.03</v>
      </c>
      <c r="BN161" s="522">
        <f t="shared" ref="BN161:BN169" si="289">AL161-BI161</f>
        <v>1082938.7000000007</v>
      </c>
      <c r="BO161" s="522">
        <f t="shared" si="245"/>
        <v>-308301.32999999938</v>
      </c>
      <c r="BP161" s="522">
        <f t="shared" si="241"/>
        <v>-308301.32999999938</v>
      </c>
      <c r="BQ161" s="525">
        <v>1391240.03</v>
      </c>
      <c r="BR161" s="522">
        <f>'[67]Гл инж_Тех дир'!BB78</f>
        <v>0</v>
      </c>
      <c r="BS161" s="522">
        <f>'[67]Гл инж_Тех дир'!BC78</f>
        <v>0</v>
      </c>
      <c r="BT161" s="536"/>
      <c r="BU161" s="522">
        <v>4309531.9400000004</v>
      </c>
      <c r="BV161" s="522">
        <v>31505.439999999999</v>
      </c>
      <c r="BW161" s="522"/>
      <c r="BX161" s="574"/>
      <c r="BY161" s="525">
        <f>4183195.24+31164.61</f>
        <v>4214359.8500000006</v>
      </c>
      <c r="BZ161" s="525">
        <f>108826.22+340.83</f>
        <v>109167.05</v>
      </c>
      <c r="CA161" s="525">
        <v>17510.48</v>
      </c>
      <c r="CB161" s="522">
        <f t="shared" si="213"/>
        <v>4341037.3800000008</v>
      </c>
      <c r="CC161" s="522">
        <f t="shared" si="242"/>
        <v>0</v>
      </c>
      <c r="CD161" s="522"/>
      <c r="CE161" s="522"/>
      <c r="CF161" s="522"/>
      <c r="CG161" s="522"/>
      <c r="CH161" s="522"/>
      <c r="CI161" s="522"/>
      <c r="CJ161" s="522"/>
      <c r="CK161" s="542" t="s">
        <v>79</v>
      </c>
      <c r="CL161" s="542" t="s">
        <v>1912</v>
      </c>
      <c r="CM161" s="509" t="s">
        <v>1925</v>
      </c>
      <c r="CN161" s="528" t="s">
        <v>1849</v>
      </c>
      <c r="CO161" s="528"/>
      <c r="CP161" s="544">
        <f t="shared" ref="CP161:CP169" si="290">U161*$CU$7/100</f>
        <v>5113005.1640755469</v>
      </c>
      <c r="CQ161" s="544">
        <f t="shared" ref="CQ161:CQ169" si="291">U161*$CU$8/100</f>
        <v>375566.91004456818</v>
      </c>
      <c r="CR161" s="544">
        <f t="shared" ref="CR161:CR169" si="292">U161*$CU$9/100</f>
        <v>53257.355879885843</v>
      </c>
      <c r="CS161" s="1709" t="s">
        <v>1826</v>
      </c>
      <c r="CT161" s="1710"/>
      <c r="CU161" s="1710"/>
      <c r="CV161" s="1710"/>
      <c r="CW161" s="1711"/>
      <c r="CX161" s="528"/>
      <c r="CY161" s="528"/>
      <c r="CZ161" s="528"/>
      <c r="DA161" s="528"/>
      <c r="DB161" s="544">
        <f>1131123.93+6509.05</f>
        <v>1137632.98</v>
      </c>
      <c r="DC161" s="628" t="e">
        <f>P161-#REF!</f>
        <v>#REF!</v>
      </c>
      <c r="DD161" s="535"/>
      <c r="DE161" s="535"/>
      <c r="DF161" s="525">
        <f t="shared" si="278"/>
        <v>4214.3598500000007</v>
      </c>
      <c r="DG161" s="525">
        <f t="shared" si="278"/>
        <v>109.16705</v>
      </c>
      <c r="DH161" s="525">
        <f t="shared" si="278"/>
        <v>17.510480000000001</v>
      </c>
      <c r="DI161" s="522">
        <f t="shared" si="278"/>
        <v>4341.0373800000007</v>
      </c>
      <c r="DJ161" s="536"/>
      <c r="DK161" s="536"/>
      <c r="DL161" s="536"/>
      <c r="DM161" s="536"/>
      <c r="DN161" s="536"/>
      <c r="DO161" s="536"/>
      <c r="DP161" s="536"/>
      <c r="DQ161" s="536"/>
      <c r="DR161" s="536"/>
      <c r="DS161" s="536"/>
    </row>
    <row r="162" spans="1:123" s="534" customFormat="1" ht="40.5" customHeight="1">
      <c r="A162" s="537" t="s">
        <v>679</v>
      </c>
      <c r="B162" s="538" t="s">
        <v>680</v>
      </c>
      <c r="C162" s="576">
        <v>2742439.37</v>
      </c>
      <c r="D162" s="576">
        <v>2591840.5823172536</v>
      </c>
      <c r="E162" s="576">
        <v>3313420</v>
      </c>
      <c r="F162" s="576">
        <v>2832664.8</v>
      </c>
      <c r="G162" s="596">
        <v>2317008.3922010586</v>
      </c>
      <c r="H162" s="596">
        <v>0</v>
      </c>
      <c r="I162" s="576">
        <f t="shared" si="283"/>
        <v>3101947.0999999996</v>
      </c>
      <c r="J162" s="576">
        <v>1418140.38</v>
      </c>
      <c r="K162" s="576">
        <v>848480</v>
      </c>
      <c r="L162" s="576">
        <v>835326.72</v>
      </c>
      <c r="M162" s="576">
        <f t="shared" si="284"/>
        <v>2266620.38</v>
      </c>
      <c r="N162" s="576">
        <v>2132364.75</v>
      </c>
      <c r="O162" s="525">
        <f t="shared" si="285"/>
        <v>692957.55000000028</v>
      </c>
      <c r="P162" s="522">
        <f>8652.06+2819072.2-2422.85+20.89</f>
        <v>2825322.3000000003</v>
      </c>
      <c r="Q162" s="576">
        <f t="shared" si="219"/>
        <v>-276624.79999999935</v>
      </c>
      <c r="R162" s="576">
        <f t="shared" si="220"/>
        <v>-8.9177794166766802</v>
      </c>
      <c r="S162" s="525">
        <v>2444443.8537721168</v>
      </c>
      <c r="T162" s="525">
        <v>2444443.8537721168</v>
      </c>
      <c r="U162" s="522">
        <f t="shared" si="286"/>
        <v>3260146.4</v>
      </c>
      <c r="V162" s="522">
        <f t="shared" si="217"/>
        <v>815702.54622788308</v>
      </c>
      <c r="W162" s="522">
        <f t="shared" si="246"/>
        <v>33.369657681813408</v>
      </c>
      <c r="X162" s="522">
        <f t="shared" si="221"/>
        <v>434824.09999999963</v>
      </c>
      <c r="Y162" s="522">
        <f t="shared" si="222"/>
        <v>15.390247689617567</v>
      </c>
      <c r="Z162" s="524">
        <f t="shared" si="223"/>
        <v>3095154.95</v>
      </c>
      <c r="AA162" s="522">
        <f t="shared" si="224"/>
        <v>650711.09622788336</v>
      </c>
      <c r="AB162" s="522">
        <f t="shared" si="247"/>
        <v>26.620005823563744</v>
      </c>
      <c r="AC162" s="522">
        <f t="shared" si="225"/>
        <v>-164991.44999999972</v>
      </c>
      <c r="AD162" s="522">
        <f t="shared" si="226"/>
        <v>-5.0608601503294324</v>
      </c>
      <c r="AE162" s="522">
        <f t="shared" si="227"/>
        <v>269832.64999999991</v>
      </c>
      <c r="AF162" s="522">
        <f t="shared" si="228"/>
        <v>9.5505086269272539</v>
      </c>
      <c r="AG162" s="522">
        <f t="shared" si="243"/>
        <v>2906726.18</v>
      </c>
      <c r="AH162" s="522">
        <f t="shared" si="229"/>
        <v>-353420.21999999974</v>
      </c>
      <c r="AI162" s="522">
        <f t="shared" si="230"/>
        <v>-10.840624212458678</v>
      </c>
      <c r="AJ162" s="522">
        <f t="shared" si="231"/>
        <v>-188428.77000000002</v>
      </c>
      <c r="AK162" s="522">
        <f t="shared" si="212"/>
        <v>-6.0878622571060532</v>
      </c>
      <c r="AL162" s="522">
        <f t="shared" si="287"/>
        <v>2906726.18</v>
      </c>
      <c r="AM162" s="522">
        <f t="shared" si="270"/>
        <v>1603400</v>
      </c>
      <c r="AN162" s="522">
        <f t="shared" si="270"/>
        <v>1438408.55</v>
      </c>
      <c r="AO162" s="522">
        <f t="shared" si="232"/>
        <v>-164991.44999999995</v>
      </c>
      <c r="AP162" s="522">
        <f t="shared" si="244"/>
        <v>-10.290099164275915</v>
      </c>
      <c r="AQ162" s="522">
        <v>797200</v>
      </c>
      <c r="AR162" s="522">
        <v>708301.55999999994</v>
      </c>
      <c r="AS162" s="522">
        <v>806200</v>
      </c>
      <c r="AT162" s="522">
        <v>730106.99000000011</v>
      </c>
      <c r="AU162" s="522">
        <f t="shared" si="276"/>
        <v>1656746.4</v>
      </c>
      <c r="AV162" s="522">
        <f t="shared" si="276"/>
        <v>1656746.4</v>
      </c>
      <c r="AW162" s="522">
        <f t="shared" si="233"/>
        <v>0</v>
      </c>
      <c r="AX162" s="522">
        <f t="shared" si="234"/>
        <v>0</v>
      </c>
      <c r="AY162" s="522">
        <f t="shared" si="277"/>
        <v>1468317.6300000001</v>
      </c>
      <c r="AZ162" s="522">
        <f t="shared" si="235"/>
        <v>188428.76999999979</v>
      </c>
      <c r="BA162" s="522">
        <f t="shared" si="236"/>
        <v>12.832970615492755</v>
      </c>
      <c r="BB162" s="522">
        <v>817006.4</v>
      </c>
      <c r="BC162" s="525">
        <f>'[67]Гл инж_Тех дир'!AT79</f>
        <v>817006.4</v>
      </c>
      <c r="BD162" s="525">
        <f t="shared" si="288"/>
        <v>755947.07999999984</v>
      </c>
      <c r="BE162" s="525">
        <f t="shared" si="237"/>
        <v>-61059.320000000182</v>
      </c>
      <c r="BF162" s="525">
        <f t="shared" si="238"/>
        <v>-61059.320000000182</v>
      </c>
      <c r="BG162" s="525">
        <f t="shared" si="218"/>
        <v>2420406.4</v>
      </c>
      <c r="BH162" s="522">
        <f t="shared" si="218"/>
        <v>2255414.9500000002</v>
      </c>
      <c r="BI162" s="522">
        <f>2175749.03+18606.6</f>
        <v>2194355.63</v>
      </c>
      <c r="BJ162" s="522">
        <f t="shared" si="239"/>
        <v>-226050.77000000002</v>
      </c>
      <c r="BK162" s="522">
        <f t="shared" si="240"/>
        <v>-61059.320000000298</v>
      </c>
      <c r="BL162" s="525">
        <v>839740</v>
      </c>
      <c r="BM162" s="522">
        <f>'[67]Гл инж_Тех дир'!AW79</f>
        <v>839740</v>
      </c>
      <c r="BN162" s="522">
        <f t="shared" si="289"/>
        <v>712370.55000000028</v>
      </c>
      <c r="BO162" s="522">
        <f t="shared" si="245"/>
        <v>-127369.44999999972</v>
      </c>
      <c r="BP162" s="522">
        <f t="shared" si="241"/>
        <v>-127369.44999999972</v>
      </c>
      <c r="BQ162" s="525">
        <v>839740</v>
      </c>
      <c r="BR162" s="522">
        <f>'[67]Гл инж_Тех дир'!BB79</f>
        <v>0</v>
      </c>
      <c r="BS162" s="522">
        <f>'[67]Гл инж_Тех дир'!BC79</f>
        <v>0</v>
      </c>
      <c r="BT162" s="536"/>
      <c r="BU162" s="522">
        <v>2875439.89</v>
      </c>
      <c r="BV162" s="522">
        <v>31286.29</v>
      </c>
      <c r="BW162" s="522"/>
      <c r="BX162" s="574"/>
      <c r="BY162" s="525">
        <f>2637752.93+31286.29</f>
        <v>2669039.2200000002</v>
      </c>
      <c r="BZ162" s="525">
        <v>208786</v>
      </c>
      <c r="CA162" s="525">
        <v>28900.959999999999</v>
      </c>
      <c r="CB162" s="522">
        <f t="shared" si="213"/>
        <v>2906726.18</v>
      </c>
      <c r="CC162" s="522">
        <f t="shared" si="242"/>
        <v>0</v>
      </c>
      <c r="CD162" s="522"/>
      <c r="CE162" s="522"/>
      <c r="CF162" s="522"/>
      <c r="CG162" s="522"/>
      <c r="CH162" s="522"/>
      <c r="CI162" s="522"/>
      <c r="CJ162" s="522"/>
      <c r="CK162" s="542" t="s">
        <v>79</v>
      </c>
      <c r="CL162" s="542" t="s">
        <v>1912</v>
      </c>
      <c r="CM162" s="509" t="s">
        <v>1925</v>
      </c>
      <c r="CN162" s="528" t="s">
        <v>1849</v>
      </c>
      <c r="CO162" s="528"/>
      <c r="CP162" s="544">
        <f t="shared" si="290"/>
        <v>3007877.739543186</v>
      </c>
      <c r="CQ162" s="544">
        <f t="shared" si="291"/>
        <v>220938.43291400664</v>
      </c>
      <c r="CR162" s="544">
        <f t="shared" si="292"/>
        <v>31330.227542807763</v>
      </c>
      <c r="CS162" s="1709" t="s">
        <v>1826</v>
      </c>
      <c r="CT162" s="1710"/>
      <c r="CU162" s="1710"/>
      <c r="CV162" s="1710"/>
      <c r="CW162" s="1711"/>
      <c r="CX162" s="528"/>
      <c r="CY162" s="528"/>
      <c r="CZ162" s="528"/>
      <c r="DA162" s="528"/>
      <c r="DB162" s="544">
        <f>705907.97+2393.59</f>
        <v>708301.55999999994</v>
      </c>
      <c r="DC162" s="628" t="e">
        <f>P162-#REF!</f>
        <v>#REF!</v>
      </c>
      <c r="DD162" s="535"/>
      <c r="DE162" s="535"/>
      <c r="DF162" s="525">
        <f t="shared" si="278"/>
        <v>2669.0392200000001</v>
      </c>
      <c r="DG162" s="525">
        <f t="shared" si="278"/>
        <v>208.786</v>
      </c>
      <c r="DH162" s="525">
        <f t="shared" si="278"/>
        <v>28.900959999999998</v>
      </c>
      <c r="DI162" s="522">
        <f t="shared" si="278"/>
        <v>2906.7261800000001</v>
      </c>
      <c r="DJ162" s="536"/>
      <c r="DK162" s="536"/>
      <c r="DL162" s="536"/>
      <c r="DM162" s="536"/>
      <c r="DN162" s="536"/>
      <c r="DO162" s="536"/>
      <c r="DP162" s="536"/>
      <c r="DQ162" s="536"/>
      <c r="DR162" s="536"/>
      <c r="DS162" s="536"/>
    </row>
    <row r="163" spans="1:123" s="534" customFormat="1" ht="40.5" customHeight="1">
      <c r="A163" s="537" t="s">
        <v>684</v>
      </c>
      <c r="B163" s="538" t="s">
        <v>685</v>
      </c>
      <c r="C163" s="576">
        <v>1519485.46</v>
      </c>
      <c r="D163" s="576">
        <v>1781595.0164791967</v>
      </c>
      <c r="E163" s="576">
        <v>1781595.0164791967</v>
      </c>
      <c r="F163" s="576">
        <v>1349853.21</v>
      </c>
      <c r="G163" s="596">
        <v>864959.07547146501</v>
      </c>
      <c r="H163" s="596">
        <v>0</v>
      </c>
      <c r="I163" s="576">
        <f t="shared" si="283"/>
        <v>1340662.8500000001</v>
      </c>
      <c r="J163" s="576">
        <v>595902.85</v>
      </c>
      <c r="K163" s="576">
        <v>383280</v>
      </c>
      <c r="L163" s="576">
        <v>361480</v>
      </c>
      <c r="M163" s="576">
        <f t="shared" si="284"/>
        <v>979182.85</v>
      </c>
      <c r="N163" s="576">
        <v>898515.67</v>
      </c>
      <c r="O163" s="525">
        <f t="shared" si="285"/>
        <v>302232.86</v>
      </c>
      <c r="P163" s="522">
        <f>20.6+1200727.93</f>
        <v>1200748.53</v>
      </c>
      <c r="Q163" s="576">
        <f t="shared" si="219"/>
        <v>-139914.32000000007</v>
      </c>
      <c r="R163" s="576">
        <f t="shared" si="220"/>
        <v>-10.436204747524712</v>
      </c>
      <c r="S163" s="525">
        <v>1467966.0349999997</v>
      </c>
      <c r="T163" s="525">
        <v>1467966.0349999997</v>
      </c>
      <c r="U163" s="522">
        <f t="shared" si="286"/>
        <v>1409036.66</v>
      </c>
      <c r="V163" s="522">
        <f t="shared" si="217"/>
        <v>-58929.374999999767</v>
      </c>
      <c r="W163" s="522">
        <f t="shared" si="246"/>
        <v>-4.0143554820053993</v>
      </c>
      <c r="X163" s="522">
        <f t="shared" si="221"/>
        <v>208288.12999999989</v>
      </c>
      <c r="Y163" s="522">
        <f t="shared" si="222"/>
        <v>17.34652383875914</v>
      </c>
      <c r="Z163" s="524">
        <f t="shared" si="223"/>
        <v>1262791.76</v>
      </c>
      <c r="AA163" s="522">
        <f t="shared" si="224"/>
        <v>-205174.27499999967</v>
      </c>
      <c r="AB163" s="522">
        <f t="shared" si="247"/>
        <v>-13.976772630165087</v>
      </c>
      <c r="AC163" s="522">
        <f t="shared" si="225"/>
        <v>-146244.89999999991</v>
      </c>
      <c r="AD163" s="522">
        <f t="shared" si="226"/>
        <v>-10.379069910075998</v>
      </c>
      <c r="AE163" s="522">
        <f t="shared" si="227"/>
        <v>62043.229999999981</v>
      </c>
      <c r="AF163" s="522">
        <f t="shared" si="228"/>
        <v>5.1670460924903239</v>
      </c>
      <c r="AG163" s="522">
        <f t="shared" si="243"/>
        <v>1070291.5900000001</v>
      </c>
      <c r="AH163" s="522">
        <f t="shared" si="229"/>
        <v>-338745.06999999983</v>
      </c>
      <c r="AI163" s="522">
        <f t="shared" si="230"/>
        <v>-24.040898268750496</v>
      </c>
      <c r="AJ163" s="522">
        <f t="shared" si="231"/>
        <v>-192500.16999999993</v>
      </c>
      <c r="AK163" s="522">
        <f t="shared" ref="AK163:AK172" si="293">AG163/Z163*100-100</f>
        <v>-15.244015371148762</v>
      </c>
      <c r="AL163" s="522">
        <f t="shared" si="287"/>
        <v>1070291.5900000001</v>
      </c>
      <c r="AM163" s="522">
        <f t="shared" si="270"/>
        <v>657436.65999999992</v>
      </c>
      <c r="AN163" s="522">
        <f t="shared" si="270"/>
        <v>511191.76</v>
      </c>
      <c r="AO163" s="522">
        <f t="shared" si="232"/>
        <v>-146244.89999999991</v>
      </c>
      <c r="AP163" s="522">
        <f t="shared" si="244"/>
        <v>-22.244713277777961</v>
      </c>
      <c r="AQ163" s="522">
        <v>281636.65999999997</v>
      </c>
      <c r="AR163" s="522">
        <v>257394.09</v>
      </c>
      <c r="AS163" s="522">
        <v>375800</v>
      </c>
      <c r="AT163" s="522">
        <v>253797.67</v>
      </c>
      <c r="AU163" s="522">
        <f t="shared" si="276"/>
        <v>751600</v>
      </c>
      <c r="AV163" s="522">
        <f t="shared" si="276"/>
        <v>751600</v>
      </c>
      <c r="AW163" s="522">
        <f t="shared" si="233"/>
        <v>0</v>
      </c>
      <c r="AX163" s="522">
        <f t="shared" si="234"/>
        <v>0</v>
      </c>
      <c r="AY163" s="522">
        <f t="shared" si="277"/>
        <v>559099.83000000007</v>
      </c>
      <c r="AZ163" s="522">
        <f t="shared" si="235"/>
        <v>192500.16999999993</v>
      </c>
      <c r="BA163" s="522">
        <f t="shared" si="236"/>
        <v>34.430375341019129</v>
      </c>
      <c r="BB163" s="522">
        <v>375800</v>
      </c>
      <c r="BC163" s="525">
        <f>'[67]Гл инж_Тех дир'!AT80</f>
        <v>375800</v>
      </c>
      <c r="BD163" s="525">
        <f t="shared" si="288"/>
        <v>290427.45000000007</v>
      </c>
      <c r="BE163" s="525">
        <f t="shared" si="237"/>
        <v>-85372.54999999993</v>
      </c>
      <c r="BF163" s="525">
        <f t="shared" si="238"/>
        <v>-85372.54999999993</v>
      </c>
      <c r="BG163" s="525">
        <f t="shared" si="218"/>
        <v>1033236.6599999999</v>
      </c>
      <c r="BH163" s="522">
        <f t="shared" si="218"/>
        <v>886991.76</v>
      </c>
      <c r="BI163" s="522">
        <f>799868.81+1750.4</f>
        <v>801619.21000000008</v>
      </c>
      <c r="BJ163" s="522">
        <f t="shared" si="239"/>
        <v>-231617.44999999984</v>
      </c>
      <c r="BK163" s="522">
        <f t="shared" si="240"/>
        <v>-85372.54999999993</v>
      </c>
      <c r="BL163" s="525">
        <v>375800</v>
      </c>
      <c r="BM163" s="522">
        <f>'[67]Гл инж_Тех дир'!AW80</f>
        <v>375800</v>
      </c>
      <c r="BN163" s="522">
        <f t="shared" si="289"/>
        <v>268672.38</v>
      </c>
      <c r="BO163" s="522">
        <f t="shared" si="245"/>
        <v>-107127.62</v>
      </c>
      <c r="BP163" s="522">
        <f t="shared" si="241"/>
        <v>-107127.62</v>
      </c>
      <c r="BQ163" s="525">
        <v>375800</v>
      </c>
      <c r="BR163" s="522">
        <f>'[67]Гл инж_Тех дир'!BB80</f>
        <v>0</v>
      </c>
      <c r="BS163" s="522">
        <f>'[67]Гл инж_Тех дир'!BC80</f>
        <v>0</v>
      </c>
      <c r="BT163" s="536"/>
      <c r="BU163" s="522">
        <v>1066842.79</v>
      </c>
      <c r="BV163" s="522">
        <v>3448.8</v>
      </c>
      <c r="BW163" s="522"/>
      <c r="BX163" s="574"/>
      <c r="BY163" s="525">
        <f>984899.07+3448.8</f>
        <v>988347.87</v>
      </c>
      <c r="BZ163" s="525">
        <v>70502.67</v>
      </c>
      <c r="CA163" s="525">
        <v>11441.05</v>
      </c>
      <c r="CB163" s="522">
        <f t="shared" si="213"/>
        <v>1070291.5900000001</v>
      </c>
      <c r="CC163" s="522">
        <f t="shared" si="242"/>
        <v>0</v>
      </c>
      <c r="CD163" s="522"/>
      <c r="CE163" s="522"/>
      <c r="CF163" s="522"/>
      <c r="CG163" s="522"/>
      <c r="CH163" s="522"/>
      <c r="CI163" s="522"/>
      <c r="CJ163" s="522"/>
      <c r="CK163" s="542" t="s">
        <v>79</v>
      </c>
      <c r="CL163" s="542" t="s">
        <v>1912</v>
      </c>
      <c r="CM163" s="509" t="s">
        <v>1925</v>
      </c>
      <c r="CN163" s="528" t="s">
        <v>1849</v>
      </c>
      <c r="CO163" s="528"/>
      <c r="CP163" s="544">
        <f t="shared" si="290"/>
        <v>1300006.0377086992</v>
      </c>
      <c r="CQ163" s="544">
        <f t="shared" si="291"/>
        <v>95489.684628514224</v>
      </c>
      <c r="CR163" s="544">
        <f t="shared" si="292"/>
        <v>13540.937662786508</v>
      </c>
      <c r="CS163" s="1709" t="s">
        <v>1826</v>
      </c>
      <c r="CT163" s="1710"/>
      <c r="CU163" s="1710"/>
      <c r="CV163" s="1710"/>
      <c r="CW163" s="1711"/>
      <c r="CX163" s="528"/>
      <c r="CY163" s="528"/>
      <c r="CZ163" s="528"/>
      <c r="DA163" s="528"/>
      <c r="DB163" s="544">
        <f>257394.09</f>
        <v>257394.09</v>
      </c>
      <c r="DC163" s="628" t="e">
        <f>P163-#REF!</f>
        <v>#REF!</v>
      </c>
      <c r="DD163" s="535"/>
      <c r="DE163" s="535"/>
      <c r="DF163" s="525">
        <f t="shared" si="278"/>
        <v>988.34786999999994</v>
      </c>
      <c r="DG163" s="525">
        <f t="shared" si="278"/>
        <v>70.502669999999995</v>
      </c>
      <c r="DH163" s="525">
        <f t="shared" si="278"/>
        <v>11.441049999999999</v>
      </c>
      <c r="DI163" s="522">
        <f t="shared" si="278"/>
        <v>1070.29159</v>
      </c>
      <c r="DJ163" s="536"/>
      <c r="DK163" s="536"/>
      <c r="DL163" s="536"/>
      <c r="DM163" s="536"/>
      <c r="DN163" s="536"/>
      <c r="DO163" s="536"/>
      <c r="DP163" s="536"/>
      <c r="DQ163" s="536"/>
      <c r="DR163" s="536"/>
      <c r="DS163" s="536"/>
    </row>
    <row r="164" spans="1:123" s="534" customFormat="1" ht="69" customHeight="1">
      <c r="A164" s="537" t="s">
        <v>689</v>
      </c>
      <c r="B164" s="538" t="s">
        <v>690</v>
      </c>
      <c r="C164" s="576">
        <v>180601.12</v>
      </c>
      <c r="D164" s="576">
        <v>603641.00105614925</v>
      </c>
      <c r="E164" s="576">
        <v>238190</v>
      </c>
      <c r="F164" s="576">
        <v>181942.13</v>
      </c>
      <c r="G164" s="596">
        <v>117623.9566318725</v>
      </c>
      <c r="H164" s="596">
        <v>0</v>
      </c>
      <c r="I164" s="576">
        <f t="shared" si="283"/>
        <v>183889.45</v>
      </c>
      <c r="J164" s="576">
        <v>81171.25</v>
      </c>
      <c r="K164" s="576">
        <v>50110</v>
      </c>
      <c r="L164" s="576">
        <v>52608.2</v>
      </c>
      <c r="M164" s="576">
        <f t="shared" si="284"/>
        <v>131281.25</v>
      </c>
      <c r="N164" s="576">
        <v>124976.77</v>
      </c>
      <c r="O164" s="525">
        <f t="shared" si="285"/>
        <v>38536.680000000008</v>
      </c>
      <c r="P164" s="522">
        <v>163513.45000000001</v>
      </c>
      <c r="Q164" s="576">
        <f t="shared" si="219"/>
        <v>-20376</v>
      </c>
      <c r="R164" s="576">
        <f t="shared" si="220"/>
        <v>-11.080570418803248</v>
      </c>
      <c r="S164" s="525">
        <v>200140</v>
      </c>
      <c r="T164" s="525">
        <v>200140</v>
      </c>
      <c r="U164" s="522">
        <f t="shared" si="286"/>
        <v>175134.11</v>
      </c>
      <c r="V164" s="522">
        <f t="shared" si="217"/>
        <v>-25005.890000000014</v>
      </c>
      <c r="W164" s="522">
        <f t="shared" si="246"/>
        <v>-12.49419906065755</v>
      </c>
      <c r="X164" s="522">
        <f t="shared" si="221"/>
        <v>11620.659999999974</v>
      </c>
      <c r="Y164" s="522">
        <f t="shared" si="222"/>
        <v>7.1068526778683747</v>
      </c>
      <c r="Z164" s="524">
        <f t="shared" si="223"/>
        <v>164662.02000000002</v>
      </c>
      <c r="AA164" s="522">
        <f t="shared" si="224"/>
        <v>-35477.979999999981</v>
      </c>
      <c r="AB164" s="522">
        <f t="shared" si="247"/>
        <v>-17.726581393024873</v>
      </c>
      <c r="AC164" s="522">
        <f t="shared" si="225"/>
        <v>-10472.089999999967</v>
      </c>
      <c r="AD164" s="522">
        <f t="shared" si="226"/>
        <v>-5.9794691051331768</v>
      </c>
      <c r="AE164" s="522">
        <f t="shared" si="227"/>
        <v>1148.570000000007</v>
      </c>
      <c r="AF164" s="522">
        <f t="shared" si="228"/>
        <v>0.70243151251472113</v>
      </c>
      <c r="AG164" s="522">
        <f t="shared" si="243"/>
        <v>140229.96000000002</v>
      </c>
      <c r="AH164" s="522">
        <f t="shared" si="229"/>
        <v>-34904.149999999965</v>
      </c>
      <c r="AI164" s="522">
        <f t="shared" si="230"/>
        <v>-19.929955392470362</v>
      </c>
      <c r="AJ164" s="522">
        <f t="shared" si="231"/>
        <v>-24432.059999999998</v>
      </c>
      <c r="AK164" s="522">
        <f t="shared" si="293"/>
        <v>-14.837702100338618</v>
      </c>
      <c r="AL164" s="522">
        <f t="shared" si="287"/>
        <v>140229.96000000002</v>
      </c>
      <c r="AM164" s="522">
        <f t="shared" si="270"/>
        <v>82400</v>
      </c>
      <c r="AN164" s="522">
        <f t="shared" si="270"/>
        <v>71927.91</v>
      </c>
      <c r="AO164" s="522">
        <f t="shared" si="232"/>
        <v>-10472.089999999997</v>
      </c>
      <c r="AP164" s="522">
        <f t="shared" si="244"/>
        <v>-12.708847087378643</v>
      </c>
      <c r="AQ164" s="522">
        <v>36300</v>
      </c>
      <c r="AR164" s="522">
        <v>34961.11</v>
      </c>
      <c r="AS164" s="522">
        <v>46100</v>
      </c>
      <c r="AT164" s="522">
        <v>36966.800000000003</v>
      </c>
      <c r="AU164" s="522">
        <f t="shared" si="276"/>
        <v>92734.11</v>
      </c>
      <c r="AV164" s="522">
        <f t="shared" si="276"/>
        <v>92734.11</v>
      </c>
      <c r="AW164" s="522">
        <f t="shared" si="233"/>
        <v>0</v>
      </c>
      <c r="AX164" s="522">
        <f t="shared" si="234"/>
        <v>0</v>
      </c>
      <c r="AY164" s="522">
        <f t="shared" si="277"/>
        <v>68302.050000000017</v>
      </c>
      <c r="AZ164" s="522">
        <f t="shared" si="235"/>
        <v>24432.059999999983</v>
      </c>
      <c r="BA164" s="522">
        <f t="shared" si="236"/>
        <v>35.770610106138804</v>
      </c>
      <c r="BB164" s="522">
        <v>46134.11</v>
      </c>
      <c r="BC164" s="525">
        <f>'[67]Гл инж_Тех дир'!AT81</f>
        <v>46134.11</v>
      </c>
      <c r="BD164" s="525">
        <f t="shared" si="288"/>
        <v>34572.92</v>
      </c>
      <c r="BE164" s="525">
        <f t="shared" si="237"/>
        <v>-11561.190000000002</v>
      </c>
      <c r="BF164" s="525">
        <f t="shared" si="238"/>
        <v>-11561.190000000002</v>
      </c>
      <c r="BG164" s="525">
        <f t="shared" si="218"/>
        <v>128534.11</v>
      </c>
      <c r="BH164" s="522">
        <f t="shared" si="218"/>
        <v>118062.02</v>
      </c>
      <c r="BI164" s="522">
        <f>106492.51+8.32</f>
        <v>106500.83</v>
      </c>
      <c r="BJ164" s="522">
        <f t="shared" si="239"/>
        <v>-22033.279999999999</v>
      </c>
      <c r="BK164" s="522">
        <f t="shared" si="240"/>
        <v>-11561.190000000002</v>
      </c>
      <c r="BL164" s="525">
        <v>46600</v>
      </c>
      <c r="BM164" s="522">
        <f>'[67]Гл инж_Тех дир'!AW81</f>
        <v>46600</v>
      </c>
      <c r="BN164" s="522">
        <f t="shared" si="289"/>
        <v>33729.130000000019</v>
      </c>
      <c r="BO164" s="522">
        <f t="shared" si="245"/>
        <v>-12870.869999999981</v>
      </c>
      <c r="BP164" s="522">
        <f t="shared" si="241"/>
        <v>-12870.869999999981</v>
      </c>
      <c r="BQ164" s="525">
        <v>46600</v>
      </c>
      <c r="BR164" s="522">
        <f>'[67]Гл инж_Тех дир'!BB81</f>
        <v>0</v>
      </c>
      <c r="BS164" s="522">
        <f>'[67]Гл инж_Тех дир'!BC81</f>
        <v>0</v>
      </c>
      <c r="BT164" s="536"/>
      <c r="BU164" s="522">
        <v>140221.64000000001</v>
      </c>
      <c r="BV164" s="522">
        <v>8.32</v>
      </c>
      <c r="BW164" s="522"/>
      <c r="BX164" s="574"/>
      <c r="BY164" s="525">
        <f>131439.87+8.32</f>
        <v>131448.19</v>
      </c>
      <c r="BZ164" s="525">
        <v>7399.01</v>
      </c>
      <c r="CA164" s="525">
        <v>1382.76</v>
      </c>
      <c r="CB164" s="522">
        <f t="shared" si="213"/>
        <v>140229.96000000002</v>
      </c>
      <c r="CC164" s="522">
        <f t="shared" si="242"/>
        <v>0</v>
      </c>
      <c r="CD164" s="522"/>
      <c r="CE164" s="522"/>
      <c r="CF164" s="522"/>
      <c r="CG164" s="522"/>
      <c r="CH164" s="522"/>
      <c r="CI164" s="522"/>
      <c r="CJ164" s="522"/>
      <c r="CK164" s="542" t="s">
        <v>79</v>
      </c>
      <c r="CL164" s="542" t="s">
        <v>1912</v>
      </c>
      <c r="CM164" s="509" t="s">
        <v>1925</v>
      </c>
      <c r="CN164" s="528" t="s">
        <v>1849</v>
      </c>
      <c r="CO164" s="528"/>
      <c r="CP164" s="544">
        <f t="shared" si="290"/>
        <v>161582.3114273971</v>
      </c>
      <c r="CQ164" s="544">
        <f t="shared" si="291"/>
        <v>11868.747922850722</v>
      </c>
      <c r="CR164" s="544">
        <f t="shared" si="292"/>
        <v>1683.0506497521471</v>
      </c>
      <c r="CS164" s="1709" t="s">
        <v>1826</v>
      </c>
      <c r="CT164" s="1710"/>
      <c r="CU164" s="1710"/>
      <c r="CV164" s="1710"/>
      <c r="CW164" s="1711"/>
      <c r="CX164" s="528"/>
      <c r="CY164" s="528"/>
      <c r="CZ164" s="528"/>
      <c r="DA164" s="528"/>
      <c r="DB164" s="544">
        <f>34961.11</f>
        <v>34961.11</v>
      </c>
      <c r="DC164" s="628" t="e">
        <f>P164-#REF!</f>
        <v>#REF!</v>
      </c>
      <c r="DD164" s="535"/>
      <c r="DE164" s="535"/>
      <c r="DF164" s="525">
        <f t="shared" si="278"/>
        <v>131.44819000000001</v>
      </c>
      <c r="DG164" s="525">
        <f t="shared" si="278"/>
        <v>7.3990100000000005</v>
      </c>
      <c r="DH164" s="525">
        <f t="shared" si="278"/>
        <v>1.38276</v>
      </c>
      <c r="DI164" s="522">
        <f t="shared" si="278"/>
        <v>140.22996000000003</v>
      </c>
      <c r="DJ164" s="536"/>
      <c r="DK164" s="536"/>
      <c r="DL164" s="536"/>
      <c r="DM164" s="536"/>
      <c r="DN164" s="536"/>
      <c r="DO164" s="536"/>
      <c r="DP164" s="536"/>
      <c r="DQ164" s="536"/>
      <c r="DR164" s="536"/>
      <c r="DS164" s="536"/>
    </row>
    <row r="165" spans="1:123" s="534" customFormat="1" ht="60" customHeight="1">
      <c r="A165" s="537" t="s">
        <v>694</v>
      </c>
      <c r="B165" s="538" t="s">
        <v>695</v>
      </c>
      <c r="C165" s="576">
        <v>130571.36</v>
      </c>
      <c r="D165" s="576">
        <v>236157.9640715743</v>
      </c>
      <c r="E165" s="576">
        <v>2517730</v>
      </c>
      <c r="F165" s="576">
        <v>123800.82</v>
      </c>
      <c r="G165" s="596">
        <v>117886.69072222157</v>
      </c>
      <c r="H165" s="596">
        <v>0</v>
      </c>
      <c r="I165" s="576">
        <f t="shared" si="283"/>
        <v>2590787.3200000003</v>
      </c>
      <c r="J165" s="576">
        <v>722502.3</v>
      </c>
      <c r="K165" s="576">
        <v>866485.02</v>
      </c>
      <c r="L165" s="576">
        <v>1001800</v>
      </c>
      <c r="M165" s="576">
        <f t="shared" si="284"/>
        <v>1588987.32</v>
      </c>
      <c r="N165" s="576">
        <v>1516295.36</v>
      </c>
      <c r="O165" s="525">
        <f t="shared" si="285"/>
        <v>1032600.6899999997</v>
      </c>
      <c r="P165" s="522">
        <v>2548896.0499999998</v>
      </c>
      <c r="Q165" s="576">
        <f t="shared" si="219"/>
        <v>-41891.270000000484</v>
      </c>
      <c r="R165" s="576">
        <f t="shared" si="220"/>
        <v>-1.6169320297584449</v>
      </c>
      <c r="S165" s="525">
        <v>139066.40749999997</v>
      </c>
      <c r="T165" s="525">
        <v>139066.40749999997</v>
      </c>
      <c r="U165" s="522">
        <f t="shared" si="286"/>
        <v>2009085.8199999998</v>
      </c>
      <c r="V165" s="522">
        <f t="shared" si="217"/>
        <v>1870019.4124999999</v>
      </c>
      <c r="W165" s="522">
        <f t="shared" si="246"/>
        <v>1344.6952762477886</v>
      </c>
      <c r="X165" s="522">
        <f t="shared" si="221"/>
        <v>-539810.23</v>
      </c>
      <c r="Y165" s="522">
        <f t="shared" si="222"/>
        <v>-21.178197125771376</v>
      </c>
      <c r="Z165" s="524">
        <f t="shared" si="223"/>
        <v>3493957.7399999998</v>
      </c>
      <c r="AA165" s="522">
        <f t="shared" si="224"/>
        <v>3354891.3324999996</v>
      </c>
      <c r="AB165" s="522">
        <f t="shared" si="247"/>
        <v>2412.4383399348262</v>
      </c>
      <c r="AC165" s="522">
        <f t="shared" si="225"/>
        <v>1484871.92</v>
      </c>
      <c r="AD165" s="522">
        <f t="shared" si="226"/>
        <v>73.907839337594851</v>
      </c>
      <c r="AE165" s="522">
        <f t="shared" si="227"/>
        <v>945061.69</v>
      </c>
      <c r="AF165" s="522">
        <f t="shared" si="228"/>
        <v>37.077294305509241</v>
      </c>
      <c r="AG165" s="522">
        <f t="shared" si="243"/>
        <v>2718567.2</v>
      </c>
      <c r="AH165" s="522">
        <f t="shared" si="229"/>
        <v>709481.38000000035</v>
      </c>
      <c r="AI165" s="522">
        <f t="shared" si="230"/>
        <v>35.313642301253253</v>
      </c>
      <c r="AJ165" s="522">
        <f t="shared" si="231"/>
        <v>-775390.53999999957</v>
      </c>
      <c r="AK165" s="522">
        <f t="shared" si="293"/>
        <v>-22.19232737485828</v>
      </c>
      <c r="AL165" s="522">
        <f t="shared" si="287"/>
        <v>2718567.2</v>
      </c>
      <c r="AM165" s="522">
        <f t="shared" si="270"/>
        <v>1505745.8199999998</v>
      </c>
      <c r="AN165" s="522">
        <f t="shared" si="270"/>
        <v>1641553.98</v>
      </c>
      <c r="AO165" s="522">
        <f t="shared" si="232"/>
        <v>135808.16000000015</v>
      </c>
      <c r="AP165" s="522">
        <f t="shared" si="244"/>
        <v>9.0193283750905664</v>
      </c>
      <c r="AQ165" s="522">
        <v>953670</v>
      </c>
      <c r="AR165" s="522">
        <v>903602.7</v>
      </c>
      <c r="AS165" s="522">
        <v>552075.81999999995</v>
      </c>
      <c r="AT165" s="522">
        <v>737951.28</v>
      </c>
      <c r="AU165" s="522">
        <f t="shared" si="276"/>
        <v>503340</v>
      </c>
      <c r="AV165" s="522">
        <f t="shared" si="276"/>
        <v>1852403.7599999998</v>
      </c>
      <c r="AW165" s="522">
        <f t="shared" si="233"/>
        <v>1349063.7599999998</v>
      </c>
      <c r="AX165" s="522">
        <f t="shared" si="234"/>
        <v>268.02236261771361</v>
      </c>
      <c r="AY165" s="522">
        <f t="shared" si="277"/>
        <v>1077013.2200000002</v>
      </c>
      <c r="AZ165" s="522">
        <f t="shared" si="235"/>
        <v>775390.53999999957</v>
      </c>
      <c r="BA165" s="522">
        <f t="shared" si="236"/>
        <v>71.994523892659316</v>
      </c>
      <c r="BB165" s="522">
        <v>251670</v>
      </c>
      <c r="BC165" s="525">
        <f>'[67]Гл инж_Тех дир'!AT82</f>
        <v>1282056.8799999999</v>
      </c>
      <c r="BD165" s="525">
        <f t="shared" si="288"/>
        <v>478316.14000000013</v>
      </c>
      <c r="BE165" s="525">
        <f t="shared" si="237"/>
        <v>226646.14000000013</v>
      </c>
      <c r="BF165" s="525">
        <f t="shared" si="238"/>
        <v>-803740.73999999976</v>
      </c>
      <c r="BG165" s="525">
        <f t="shared" si="218"/>
        <v>1757415.8199999998</v>
      </c>
      <c r="BH165" s="522">
        <f t="shared" si="218"/>
        <v>2923610.86</v>
      </c>
      <c r="BI165" s="522">
        <v>2119870.12</v>
      </c>
      <c r="BJ165" s="522">
        <f t="shared" si="239"/>
        <v>362454.30000000028</v>
      </c>
      <c r="BK165" s="522">
        <f t="shared" si="240"/>
        <v>-803740.73999999976</v>
      </c>
      <c r="BL165" s="525">
        <v>251670</v>
      </c>
      <c r="BM165" s="522">
        <f>'[67]Гл инж_Тех дир'!AW82</f>
        <v>570346.88</v>
      </c>
      <c r="BN165" s="522">
        <f t="shared" si="289"/>
        <v>598697.08000000007</v>
      </c>
      <c r="BO165" s="522">
        <f t="shared" si="245"/>
        <v>347027.08000000007</v>
      </c>
      <c r="BP165" s="522">
        <f t="shared" si="241"/>
        <v>28350.20000000007</v>
      </c>
      <c r="BQ165" s="525">
        <v>251670</v>
      </c>
      <c r="BR165" s="522">
        <f>'[67]Гл инж_Тех дир'!BB82</f>
        <v>0</v>
      </c>
      <c r="BS165" s="522">
        <f>'[67]Гл инж_Тех дир'!BC82</f>
        <v>0</v>
      </c>
      <c r="BT165" s="536"/>
      <c r="BU165" s="522">
        <v>2718567.2</v>
      </c>
      <c r="BV165" s="522"/>
      <c r="BW165" s="522"/>
      <c r="BX165" s="574"/>
      <c r="BY165" s="525">
        <v>2694727.37</v>
      </c>
      <c r="BZ165" s="525">
        <v>20133.07</v>
      </c>
      <c r="CA165" s="525">
        <v>3706.76</v>
      </c>
      <c r="CB165" s="522">
        <f t="shared" si="213"/>
        <v>2718567.1999999997</v>
      </c>
      <c r="CC165" s="522">
        <f t="shared" si="242"/>
        <v>0</v>
      </c>
      <c r="CD165" s="522"/>
      <c r="CE165" s="522"/>
      <c r="CF165" s="522"/>
      <c r="CG165" s="522"/>
      <c r="CH165" s="522"/>
      <c r="CI165" s="522"/>
      <c r="CJ165" s="522"/>
      <c r="CK165" s="542" t="s">
        <v>79</v>
      </c>
      <c r="CL165" s="542" t="s">
        <v>1912</v>
      </c>
      <c r="CM165" s="509" t="s">
        <v>1925</v>
      </c>
      <c r="CN165" s="528" t="s">
        <v>1849</v>
      </c>
      <c r="CO165" s="528"/>
      <c r="CP165" s="544">
        <f t="shared" si="290"/>
        <v>1853623.6638973842</v>
      </c>
      <c r="CQ165" s="544">
        <f t="shared" si="291"/>
        <v>136154.70540235616</v>
      </c>
      <c r="CR165" s="544">
        <f t="shared" si="292"/>
        <v>19307.450700259506</v>
      </c>
      <c r="CS165" s="1709" t="s">
        <v>1826</v>
      </c>
      <c r="CT165" s="1710"/>
      <c r="CU165" s="1710"/>
      <c r="CV165" s="1710"/>
      <c r="CW165" s="1711"/>
      <c r="CX165" s="528"/>
      <c r="CY165" s="528"/>
      <c r="CZ165" s="528"/>
      <c r="DA165" s="528"/>
      <c r="DB165" s="544">
        <f>903602.7</f>
        <v>903602.7</v>
      </c>
      <c r="DC165" s="628" t="e">
        <f>P165-#REF!</f>
        <v>#REF!</v>
      </c>
      <c r="DD165" s="535"/>
      <c r="DE165" s="535"/>
      <c r="DF165" s="525">
        <f t="shared" si="278"/>
        <v>2694.7273700000001</v>
      </c>
      <c r="DG165" s="525">
        <f t="shared" si="278"/>
        <v>20.13307</v>
      </c>
      <c r="DH165" s="525">
        <f t="shared" si="278"/>
        <v>3.7067600000000001</v>
      </c>
      <c r="DI165" s="522">
        <f t="shared" si="278"/>
        <v>2718.5671999999995</v>
      </c>
      <c r="DJ165" s="536"/>
      <c r="DK165" s="536"/>
      <c r="DL165" s="536"/>
      <c r="DM165" s="536"/>
      <c r="DN165" s="536"/>
      <c r="DO165" s="536"/>
      <c r="DP165" s="536"/>
      <c r="DQ165" s="536"/>
      <c r="DR165" s="536"/>
      <c r="DS165" s="536"/>
    </row>
    <row r="166" spans="1:123" s="534" customFormat="1" ht="40.5" customHeight="1">
      <c r="A166" s="537" t="s">
        <v>699</v>
      </c>
      <c r="B166" s="538" t="s">
        <v>700</v>
      </c>
      <c r="C166" s="576">
        <v>7455155.1200000001</v>
      </c>
      <c r="D166" s="576">
        <v>2873988.3549585361</v>
      </c>
      <c r="E166" s="576">
        <v>5856050</v>
      </c>
      <c r="F166" s="576">
        <v>6526383.79</v>
      </c>
      <c r="G166" s="596">
        <v>5054267.4139690464</v>
      </c>
      <c r="H166" s="596">
        <v>0</v>
      </c>
      <c r="I166" s="576">
        <f t="shared" si="283"/>
        <v>3492809.95</v>
      </c>
      <c r="J166" s="576">
        <v>2079499.9500000002</v>
      </c>
      <c r="K166" s="576">
        <v>706390</v>
      </c>
      <c r="L166" s="576">
        <v>706920</v>
      </c>
      <c r="M166" s="576">
        <f t="shared" si="284"/>
        <v>2785889.95</v>
      </c>
      <c r="N166" s="576">
        <v>2839096.06</v>
      </c>
      <c r="O166" s="525">
        <f t="shared" si="285"/>
        <v>627947.68000000017</v>
      </c>
      <c r="P166" s="522">
        <v>3467043.74</v>
      </c>
      <c r="Q166" s="576">
        <f t="shared" si="219"/>
        <v>-25766.209999999963</v>
      </c>
      <c r="R166" s="576">
        <f t="shared" si="220"/>
        <v>-0.73769287103640124</v>
      </c>
      <c r="S166" s="525">
        <v>5332252.1217373433</v>
      </c>
      <c r="T166" s="525">
        <v>5332252.1217373433</v>
      </c>
      <c r="U166" s="522">
        <f t="shared" si="286"/>
        <v>2953312.19</v>
      </c>
      <c r="V166" s="522">
        <f t="shared" si="217"/>
        <v>-2378939.9317373433</v>
      </c>
      <c r="W166" s="522">
        <f t="shared" si="246"/>
        <v>-44.61416822433074</v>
      </c>
      <c r="X166" s="522">
        <f t="shared" si="221"/>
        <v>-513731.55000000028</v>
      </c>
      <c r="Y166" s="522">
        <f t="shared" si="222"/>
        <v>-14.817567602997713</v>
      </c>
      <c r="Z166" s="524">
        <f t="shared" si="223"/>
        <v>2900977.25</v>
      </c>
      <c r="AA166" s="522">
        <f t="shared" si="224"/>
        <v>-2431274.8717373433</v>
      </c>
      <c r="AB166" s="522">
        <f t="shared" si="247"/>
        <v>-45.595647321814745</v>
      </c>
      <c r="AC166" s="522">
        <f t="shared" si="225"/>
        <v>-52334.939999999944</v>
      </c>
      <c r="AD166" s="522">
        <f t="shared" si="226"/>
        <v>-1.772076117696173</v>
      </c>
      <c r="AE166" s="522">
        <f t="shared" si="227"/>
        <v>-566066.49000000022</v>
      </c>
      <c r="AF166" s="522">
        <f t="shared" si="228"/>
        <v>-16.327065143977677</v>
      </c>
      <c r="AG166" s="522">
        <f t="shared" si="243"/>
        <v>2731057.69</v>
      </c>
      <c r="AH166" s="522">
        <f t="shared" si="229"/>
        <v>-222254.5</v>
      </c>
      <c r="AI166" s="522">
        <f t="shared" si="230"/>
        <v>-7.5256012809130084</v>
      </c>
      <c r="AJ166" s="522">
        <f t="shared" si="231"/>
        <v>-169919.56000000006</v>
      </c>
      <c r="AK166" s="522">
        <f t="shared" si="293"/>
        <v>-5.8573213561050892</v>
      </c>
      <c r="AL166" s="522">
        <f t="shared" si="287"/>
        <v>2731057.69</v>
      </c>
      <c r="AM166" s="522">
        <f t="shared" si="270"/>
        <v>1457660</v>
      </c>
      <c r="AN166" s="522">
        <f t="shared" si="270"/>
        <v>1317827.25</v>
      </c>
      <c r="AO166" s="522">
        <f t="shared" si="232"/>
        <v>-139832.75</v>
      </c>
      <c r="AP166" s="522">
        <f t="shared" si="244"/>
        <v>-9.5929606355391428</v>
      </c>
      <c r="AQ166" s="522">
        <v>727730</v>
      </c>
      <c r="AR166" s="522">
        <v>682587.09</v>
      </c>
      <c r="AS166" s="522">
        <v>729930</v>
      </c>
      <c r="AT166" s="522">
        <v>635240.16</v>
      </c>
      <c r="AU166" s="522">
        <f t="shared" si="276"/>
        <v>1495652.19</v>
      </c>
      <c r="AV166" s="522">
        <f t="shared" si="276"/>
        <v>1583150</v>
      </c>
      <c r="AW166" s="522">
        <f t="shared" si="233"/>
        <v>87497.810000000056</v>
      </c>
      <c r="AX166" s="522">
        <f t="shared" si="234"/>
        <v>5.8501442103327577</v>
      </c>
      <c r="AY166" s="522">
        <f t="shared" si="277"/>
        <v>1413230.44</v>
      </c>
      <c r="AZ166" s="522">
        <f t="shared" si="235"/>
        <v>169919.56000000006</v>
      </c>
      <c r="BA166" s="522">
        <f t="shared" si="236"/>
        <v>12.023485709803978</v>
      </c>
      <c r="BB166" s="522">
        <v>729930</v>
      </c>
      <c r="BC166" s="525">
        <f>'[67]Гл инж_Тех дир'!AT83</f>
        <v>794125</v>
      </c>
      <c r="BD166" s="525">
        <f t="shared" si="288"/>
        <v>705837.56</v>
      </c>
      <c r="BE166" s="525">
        <f t="shared" si="237"/>
        <v>-24092.439999999944</v>
      </c>
      <c r="BF166" s="525">
        <f t="shared" si="238"/>
        <v>-88287.439999999944</v>
      </c>
      <c r="BG166" s="525">
        <f t="shared" si="218"/>
        <v>2187590</v>
      </c>
      <c r="BH166" s="522">
        <f t="shared" si="218"/>
        <v>2111952.25</v>
      </c>
      <c r="BI166" s="522">
        <v>2023664.81</v>
      </c>
      <c r="BJ166" s="522">
        <f t="shared" si="239"/>
        <v>-163925.18999999994</v>
      </c>
      <c r="BK166" s="522">
        <f t="shared" si="240"/>
        <v>-88287.439999999944</v>
      </c>
      <c r="BL166" s="525">
        <v>765722.19</v>
      </c>
      <c r="BM166" s="522">
        <f>'[67]Гл инж_Тех дир'!AW83</f>
        <v>789025</v>
      </c>
      <c r="BN166" s="522">
        <f t="shared" si="289"/>
        <v>707392.87999999989</v>
      </c>
      <c r="BO166" s="522">
        <f t="shared" si="245"/>
        <v>-58329.310000000056</v>
      </c>
      <c r="BP166" s="522">
        <f t="shared" si="241"/>
        <v>-81632.120000000112</v>
      </c>
      <c r="BQ166" s="525">
        <v>765722.19</v>
      </c>
      <c r="BR166" s="522">
        <f>'[67]Гл инж_Тех дир'!BB83</f>
        <v>0</v>
      </c>
      <c r="BS166" s="522">
        <f>'[67]Гл инж_Тех дир'!BC83</f>
        <v>0</v>
      </c>
      <c r="BT166" s="536"/>
      <c r="BU166" s="522">
        <v>2731057.69</v>
      </c>
      <c r="BV166" s="522"/>
      <c r="BW166" s="522"/>
      <c r="BX166" s="574"/>
      <c r="BY166" s="525">
        <v>2586137.4700000002</v>
      </c>
      <c r="BZ166" s="525">
        <v>121703.7</v>
      </c>
      <c r="CA166" s="525">
        <v>23216.52</v>
      </c>
      <c r="CB166" s="522">
        <f t="shared" si="213"/>
        <v>2731057.6900000004</v>
      </c>
      <c r="CC166" s="522">
        <f t="shared" si="242"/>
        <v>0</v>
      </c>
      <c r="CD166" s="522"/>
      <c r="CE166" s="522"/>
      <c r="CF166" s="522"/>
      <c r="CG166" s="522"/>
      <c r="CH166" s="522"/>
      <c r="CI166" s="522"/>
      <c r="CJ166" s="522"/>
      <c r="CK166" s="542" t="s">
        <v>79</v>
      </c>
      <c r="CL166" s="542" t="s">
        <v>1912</v>
      </c>
      <c r="CM166" s="509" t="s">
        <v>1925</v>
      </c>
      <c r="CN166" s="528" t="s">
        <v>1849</v>
      </c>
      <c r="CO166" s="528"/>
      <c r="CP166" s="544">
        <f t="shared" si="290"/>
        <v>2724786.2225520103</v>
      </c>
      <c r="CQ166" s="544">
        <f t="shared" si="291"/>
        <v>200144.43742907775</v>
      </c>
      <c r="CR166" s="544">
        <f t="shared" si="292"/>
        <v>28381.530018912003</v>
      </c>
      <c r="CS166" s="1709" t="s">
        <v>1826</v>
      </c>
      <c r="CT166" s="1710"/>
      <c r="CU166" s="1710"/>
      <c r="CV166" s="1710"/>
      <c r="CW166" s="1711"/>
      <c r="CX166" s="528"/>
      <c r="CY166" s="528"/>
      <c r="CZ166" s="528"/>
      <c r="DA166" s="528"/>
      <c r="DB166" s="544">
        <v>682587.09</v>
      </c>
      <c r="DC166" s="628" t="e">
        <f>P166-#REF!</f>
        <v>#REF!</v>
      </c>
      <c r="DD166" s="535"/>
      <c r="DE166" s="535"/>
      <c r="DF166" s="525">
        <f t="shared" si="278"/>
        <v>2586.1374700000001</v>
      </c>
      <c r="DG166" s="525">
        <f t="shared" si="278"/>
        <v>121.7037</v>
      </c>
      <c r="DH166" s="525">
        <f t="shared" si="278"/>
        <v>23.216519999999999</v>
      </c>
      <c r="DI166" s="522">
        <f t="shared" si="278"/>
        <v>2731.0576900000005</v>
      </c>
      <c r="DJ166" s="536"/>
      <c r="DK166" s="536"/>
      <c r="DL166" s="536"/>
      <c r="DM166" s="536"/>
      <c r="DN166" s="536"/>
      <c r="DO166" s="536"/>
      <c r="DP166" s="536"/>
      <c r="DQ166" s="536"/>
      <c r="DR166" s="536"/>
      <c r="DS166" s="536"/>
    </row>
    <row r="167" spans="1:123" s="534" customFormat="1" ht="40.5" customHeight="1">
      <c r="A167" s="537" t="s">
        <v>704</v>
      </c>
      <c r="B167" s="538" t="s">
        <v>705</v>
      </c>
      <c r="C167" s="576">
        <v>1163579.01</v>
      </c>
      <c r="D167" s="576">
        <v>225399.87490442613</v>
      </c>
      <c r="E167" s="576">
        <v>500000</v>
      </c>
      <c r="F167" s="576">
        <v>460230.89</v>
      </c>
      <c r="G167" s="596">
        <v>760332.55672021152</v>
      </c>
      <c r="H167" s="596">
        <v>0</v>
      </c>
      <c r="I167" s="576">
        <f t="shared" si="283"/>
        <v>671010.57000000007</v>
      </c>
      <c r="J167" s="576">
        <v>230678.01</v>
      </c>
      <c r="K167" s="576">
        <v>220330</v>
      </c>
      <c r="L167" s="576">
        <v>220002.56</v>
      </c>
      <c r="M167" s="576">
        <f t="shared" si="284"/>
        <v>451008.01</v>
      </c>
      <c r="N167" s="576">
        <v>348667.49</v>
      </c>
      <c r="O167" s="525">
        <f t="shared" si="285"/>
        <v>152699.37</v>
      </c>
      <c r="P167" s="522">
        <v>501366.86</v>
      </c>
      <c r="Q167" s="576">
        <f t="shared" si="219"/>
        <v>-169643.71000000008</v>
      </c>
      <c r="R167" s="576">
        <f t="shared" si="220"/>
        <v>-25.281823801970816</v>
      </c>
      <c r="S167" s="525">
        <v>800000</v>
      </c>
      <c r="T167" s="525">
        <v>800000</v>
      </c>
      <c r="U167" s="522">
        <f t="shared" si="286"/>
        <v>366449.53</v>
      </c>
      <c r="V167" s="522">
        <f t="shared" si="217"/>
        <v>-433550.47</v>
      </c>
      <c r="W167" s="522">
        <f t="shared" si="246"/>
        <v>-54.193808749999995</v>
      </c>
      <c r="X167" s="522">
        <f t="shared" si="221"/>
        <v>-134917.32999999996</v>
      </c>
      <c r="Y167" s="522">
        <f t="shared" si="222"/>
        <v>-26.909901863078858</v>
      </c>
      <c r="Z167" s="524">
        <f t="shared" si="223"/>
        <v>550278.22</v>
      </c>
      <c r="AA167" s="522">
        <f t="shared" si="224"/>
        <v>-249721.78000000003</v>
      </c>
      <c r="AB167" s="522">
        <f t="shared" si="247"/>
        <v>-31.21522250000001</v>
      </c>
      <c r="AC167" s="522">
        <f t="shared" si="225"/>
        <v>183828.68999999994</v>
      </c>
      <c r="AD167" s="522">
        <f t="shared" si="226"/>
        <v>50.164804413857468</v>
      </c>
      <c r="AE167" s="522">
        <f t="shared" si="227"/>
        <v>48911.359999999986</v>
      </c>
      <c r="AF167" s="522">
        <f t="shared" si="228"/>
        <v>9.7556029132041147</v>
      </c>
      <c r="AG167" s="522">
        <f t="shared" si="243"/>
        <v>547831.29</v>
      </c>
      <c r="AH167" s="522">
        <f t="shared" si="229"/>
        <v>181381.76000000001</v>
      </c>
      <c r="AI167" s="522">
        <f t="shared" si="230"/>
        <v>49.497064438860093</v>
      </c>
      <c r="AJ167" s="522">
        <f t="shared" si="231"/>
        <v>-2446.9299999999348</v>
      </c>
      <c r="AK167" s="522">
        <f t="shared" si="293"/>
        <v>-0.44467142457499165</v>
      </c>
      <c r="AL167" s="522">
        <f t="shared" si="287"/>
        <v>547831.29</v>
      </c>
      <c r="AM167" s="522">
        <f t="shared" si="270"/>
        <v>180000</v>
      </c>
      <c r="AN167" s="522">
        <f t="shared" si="270"/>
        <v>333828.69</v>
      </c>
      <c r="AO167" s="522">
        <f t="shared" si="232"/>
        <v>153828.69</v>
      </c>
      <c r="AP167" s="522">
        <f t="shared" si="244"/>
        <v>85.46038333333334</v>
      </c>
      <c r="AQ167" s="522">
        <v>90000</v>
      </c>
      <c r="AR167" s="522">
        <v>136838.12</v>
      </c>
      <c r="AS167" s="522">
        <v>90000</v>
      </c>
      <c r="AT167" s="522">
        <v>196990.57</v>
      </c>
      <c r="AU167" s="522">
        <f t="shared" si="276"/>
        <v>186449.53</v>
      </c>
      <c r="AV167" s="522">
        <f t="shared" si="276"/>
        <v>216449.53</v>
      </c>
      <c r="AW167" s="522">
        <f t="shared" si="233"/>
        <v>30000</v>
      </c>
      <c r="AX167" s="522">
        <f t="shared" si="234"/>
        <v>16.090145145445007</v>
      </c>
      <c r="AY167" s="522">
        <f t="shared" si="277"/>
        <v>214002.60000000003</v>
      </c>
      <c r="AZ167" s="522">
        <f t="shared" si="235"/>
        <v>2446.9299999999639</v>
      </c>
      <c r="BA167" s="522">
        <f t="shared" si="236"/>
        <v>1.1434113417313512</v>
      </c>
      <c r="BB167" s="522">
        <v>93224.76</v>
      </c>
      <c r="BC167" s="525">
        <f>'[67]Гл инж_Тех дир'!AT84</f>
        <v>98224.76</v>
      </c>
      <c r="BD167" s="525">
        <f t="shared" si="288"/>
        <v>103290.63</v>
      </c>
      <c r="BE167" s="525">
        <f t="shared" si="237"/>
        <v>10065.87000000001</v>
      </c>
      <c r="BF167" s="525">
        <f t="shared" si="238"/>
        <v>5065.8700000000099</v>
      </c>
      <c r="BG167" s="525">
        <f t="shared" si="218"/>
        <v>273224.76</v>
      </c>
      <c r="BH167" s="522">
        <f t="shared" si="218"/>
        <v>432053.45</v>
      </c>
      <c r="BI167" s="522">
        <v>437119.32</v>
      </c>
      <c r="BJ167" s="522">
        <f t="shared" si="239"/>
        <v>163894.56</v>
      </c>
      <c r="BK167" s="522">
        <f t="shared" si="240"/>
        <v>5065.8699999999953</v>
      </c>
      <c r="BL167" s="525">
        <v>93224.77</v>
      </c>
      <c r="BM167" s="522">
        <f>'[67]Гл инж_Тех дир'!AW84</f>
        <v>118224.77</v>
      </c>
      <c r="BN167" s="522">
        <f t="shared" si="289"/>
        <v>110711.97000000003</v>
      </c>
      <c r="BO167" s="522">
        <f t="shared" si="245"/>
        <v>17487.200000000026</v>
      </c>
      <c r="BP167" s="522">
        <f t="shared" si="241"/>
        <v>-7512.7999999999738</v>
      </c>
      <c r="BQ167" s="525">
        <v>93224.77</v>
      </c>
      <c r="BR167" s="522">
        <f>'[67]Гл инж_Тех дир'!BB84</f>
        <v>0</v>
      </c>
      <c r="BS167" s="522">
        <f>'[67]Гл инж_Тех дир'!BC84</f>
        <v>0</v>
      </c>
      <c r="BT167" s="536"/>
      <c r="BU167" s="522">
        <v>547831.29</v>
      </c>
      <c r="BV167" s="522"/>
      <c r="BW167" s="522"/>
      <c r="BX167" s="574"/>
      <c r="BY167" s="525">
        <v>547738.94999999995</v>
      </c>
      <c r="BZ167" s="525">
        <v>77.97</v>
      </c>
      <c r="CA167" s="525">
        <v>14.37</v>
      </c>
      <c r="CB167" s="522">
        <f t="shared" si="213"/>
        <v>547831.28999999992</v>
      </c>
      <c r="CC167" s="522">
        <f t="shared" si="242"/>
        <v>0</v>
      </c>
      <c r="CD167" s="522"/>
      <c r="CE167" s="522"/>
      <c r="CF167" s="522"/>
      <c r="CG167" s="522"/>
      <c r="CH167" s="522"/>
      <c r="CI167" s="522"/>
      <c r="CJ167" s="522"/>
      <c r="CK167" s="542" t="s">
        <v>79</v>
      </c>
      <c r="CL167" s="542" t="s">
        <v>1912</v>
      </c>
      <c r="CM167" s="509" t="s">
        <v>1925</v>
      </c>
      <c r="CN167" s="528" t="s">
        <v>1849</v>
      </c>
      <c r="CO167" s="528"/>
      <c r="CP167" s="544">
        <f t="shared" si="290"/>
        <v>338093.83037309698</v>
      </c>
      <c r="CQ167" s="544">
        <f t="shared" si="291"/>
        <v>24834.094843186882</v>
      </c>
      <c r="CR167" s="544">
        <f t="shared" si="292"/>
        <v>3521.6047837161423</v>
      </c>
      <c r="CS167" s="1709" t="s">
        <v>1826</v>
      </c>
      <c r="CT167" s="1710"/>
      <c r="CU167" s="1710"/>
      <c r="CV167" s="1710"/>
      <c r="CW167" s="1711"/>
      <c r="CX167" s="528"/>
      <c r="CY167" s="528"/>
      <c r="CZ167" s="528"/>
      <c r="DA167" s="528"/>
      <c r="DB167" s="544">
        <f>136838.12</f>
        <v>136838.12</v>
      </c>
      <c r="DC167" s="628" t="e">
        <f>P167-#REF!</f>
        <v>#REF!</v>
      </c>
      <c r="DD167" s="535"/>
      <c r="DE167" s="535"/>
      <c r="DF167" s="525">
        <f t="shared" si="278"/>
        <v>547.73894999999993</v>
      </c>
      <c r="DG167" s="525">
        <f t="shared" si="278"/>
        <v>7.7969999999999998E-2</v>
      </c>
      <c r="DH167" s="525">
        <f t="shared" si="278"/>
        <v>1.4369999999999999E-2</v>
      </c>
      <c r="DI167" s="522">
        <f t="shared" si="278"/>
        <v>547.83128999999997</v>
      </c>
      <c r="DJ167" s="536"/>
      <c r="DK167" s="536"/>
      <c r="DL167" s="536"/>
      <c r="DM167" s="536"/>
      <c r="DN167" s="536"/>
      <c r="DO167" s="536"/>
      <c r="DP167" s="536"/>
      <c r="DQ167" s="536"/>
      <c r="DR167" s="536"/>
      <c r="DS167" s="536"/>
    </row>
    <row r="168" spans="1:123" s="534" customFormat="1">
      <c r="A168" s="537" t="s">
        <v>709</v>
      </c>
      <c r="B168" s="538" t="s">
        <v>710</v>
      </c>
      <c r="C168" s="576">
        <v>102794.85</v>
      </c>
      <c r="D168" s="576">
        <v>81095.205192391775</v>
      </c>
      <c r="E168" s="576">
        <v>105000</v>
      </c>
      <c r="F168" s="576">
        <v>103680.4</v>
      </c>
      <c r="G168" s="596">
        <v>66396.117724901138</v>
      </c>
      <c r="H168" s="596">
        <v>0</v>
      </c>
      <c r="I168" s="576">
        <f t="shared" si="283"/>
        <v>70878.13</v>
      </c>
      <c r="J168" s="576">
        <v>42192.01</v>
      </c>
      <c r="K168" s="576">
        <v>14300</v>
      </c>
      <c r="L168" s="576">
        <v>14386.12</v>
      </c>
      <c r="M168" s="576">
        <f t="shared" si="284"/>
        <v>56492.01</v>
      </c>
      <c r="N168" s="576">
        <v>56846.48</v>
      </c>
      <c r="O168" s="525">
        <f t="shared" si="285"/>
        <v>14262.159999999996</v>
      </c>
      <c r="P168" s="522">
        <v>71108.639999999999</v>
      </c>
      <c r="Q168" s="576">
        <f t="shared" si="219"/>
        <v>230.50999999999476</v>
      </c>
      <c r="R168" s="576">
        <f t="shared" si="220"/>
        <v>0.32522020544276131</v>
      </c>
      <c r="S168" s="525">
        <v>70047.904199770681</v>
      </c>
      <c r="T168" s="525">
        <v>70047.904199770681</v>
      </c>
      <c r="U168" s="522">
        <f t="shared" si="286"/>
        <v>67752.28</v>
      </c>
      <c r="V168" s="522">
        <f t="shared" si="217"/>
        <v>-2295.624199770682</v>
      </c>
      <c r="W168" s="522">
        <f t="shared" si="246"/>
        <v>-3.2772203908110669</v>
      </c>
      <c r="X168" s="522">
        <f t="shared" si="221"/>
        <v>-3356.3600000000006</v>
      </c>
      <c r="Y168" s="522">
        <f t="shared" si="222"/>
        <v>-4.7200452715731984</v>
      </c>
      <c r="Z168" s="524">
        <f t="shared" si="223"/>
        <v>66504.25</v>
      </c>
      <c r="AA168" s="522">
        <f t="shared" si="224"/>
        <v>-3543.6541997706809</v>
      </c>
      <c r="AB168" s="522">
        <f t="shared" si="247"/>
        <v>-5.0589011052557424</v>
      </c>
      <c r="AC168" s="522">
        <f t="shared" si="225"/>
        <v>-1248.0299999999988</v>
      </c>
      <c r="AD168" s="522">
        <f t="shared" si="226"/>
        <v>-1.8420487103902587</v>
      </c>
      <c r="AE168" s="522">
        <f t="shared" si="227"/>
        <v>-4604.3899999999994</v>
      </c>
      <c r="AF168" s="522">
        <f t="shared" si="228"/>
        <v>-6.4751484489085982</v>
      </c>
      <c r="AG168" s="522">
        <f t="shared" si="243"/>
        <v>67926.679999999993</v>
      </c>
      <c r="AH168" s="522">
        <f t="shared" si="229"/>
        <v>174.39999999999418</v>
      </c>
      <c r="AI168" s="522">
        <f t="shared" si="230"/>
        <v>0.25740831157267507</v>
      </c>
      <c r="AJ168" s="522">
        <f t="shared" si="231"/>
        <v>1422.429999999993</v>
      </c>
      <c r="AK168" s="522">
        <f t="shared" si="293"/>
        <v>2.1388557874120693</v>
      </c>
      <c r="AL168" s="522">
        <f t="shared" si="287"/>
        <v>67926.679999999993</v>
      </c>
      <c r="AM168" s="522">
        <f t="shared" si="270"/>
        <v>33652.28</v>
      </c>
      <c r="AN168" s="522">
        <f t="shared" si="270"/>
        <v>32404.25</v>
      </c>
      <c r="AO168" s="522">
        <f t="shared" si="232"/>
        <v>-1248.0299999999988</v>
      </c>
      <c r="AP168" s="522">
        <f t="shared" si="244"/>
        <v>-3.7086045878615153</v>
      </c>
      <c r="AQ168" s="522">
        <v>16800</v>
      </c>
      <c r="AR168" s="522">
        <v>15232.16</v>
      </c>
      <c r="AS168" s="522">
        <v>16852.28</v>
      </c>
      <c r="AT168" s="522">
        <v>17172.09</v>
      </c>
      <c r="AU168" s="522">
        <f t="shared" si="276"/>
        <v>34100</v>
      </c>
      <c r="AV168" s="522">
        <f t="shared" si="276"/>
        <v>34100</v>
      </c>
      <c r="AW168" s="522">
        <f t="shared" si="233"/>
        <v>0</v>
      </c>
      <c r="AX168" s="522">
        <f t="shared" si="234"/>
        <v>0</v>
      </c>
      <c r="AY168" s="522">
        <f t="shared" si="277"/>
        <v>35522.429999999993</v>
      </c>
      <c r="AZ168" s="522">
        <f t="shared" si="235"/>
        <v>-1422.429999999993</v>
      </c>
      <c r="BA168" s="522">
        <f t="shared" si="236"/>
        <v>-4.0043150201154418</v>
      </c>
      <c r="BB168" s="522">
        <v>17050</v>
      </c>
      <c r="BC168" s="525">
        <f>'[67]Гл инж_Тех дир'!AT85</f>
        <v>17050</v>
      </c>
      <c r="BD168" s="525">
        <f t="shared" si="288"/>
        <v>17412.190000000002</v>
      </c>
      <c r="BE168" s="525">
        <f t="shared" si="237"/>
        <v>362.19000000000233</v>
      </c>
      <c r="BF168" s="525">
        <f t="shared" si="238"/>
        <v>362.19000000000233</v>
      </c>
      <c r="BG168" s="525">
        <f t="shared" si="218"/>
        <v>50702.28</v>
      </c>
      <c r="BH168" s="522">
        <f t="shared" si="218"/>
        <v>49454.25</v>
      </c>
      <c r="BI168" s="522">
        <v>49816.44</v>
      </c>
      <c r="BJ168" s="522">
        <f t="shared" si="239"/>
        <v>-885.83999999999651</v>
      </c>
      <c r="BK168" s="522">
        <f t="shared" si="240"/>
        <v>362.19000000000233</v>
      </c>
      <c r="BL168" s="525">
        <v>17050</v>
      </c>
      <c r="BM168" s="522">
        <f>'[67]Гл инж_Тех дир'!AW85</f>
        <v>17050</v>
      </c>
      <c r="BN168" s="522">
        <f t="shared" si="289"/>
        <v>18110.239999999991</v>
      </c>
      <c r="BO168" s="522">
        <f t="shared" si="245"/>
        <v>1060.2399999999907</v>
      </c>
      <c r="BP168" s="522">
        <f t="shared" si="241"/>
        <v>1060.2399999999907</v>
      </c>
      <c r="BQ168" s="525">
        <v>17050</v>
      </c>
      <c r="BR168" s="522">
        <f>'[67]Гл инж_Тех дир'!BB85</f>
        <v>0</v>
      </c>
      <c r="BS168" s="522">
        <f>'[67]Гл инж_Тех дир'!BC85</f>
        <v>0</v>
      </c>
      <c r="BT168" s="536"/>
      <c r="BU168" s="522">
        <v>67926.679999999993</v>
      </c>
      <c r="BV168" s="522"/>
      <c r="BW168" s="522"/>
      <c r="BX168" s="574"/>
      <c r="BY168" s="525">
        <v>64044.41</v>
      </c>
      <c r="BZ168" s="525">
        <v>3284.48</v>
      </c>
      <c r="CA168" s="525">
        <v>597.79</v>
      </c>
      <c r="CB168" s="522">
        <f t="shared" si="213"/>
        <v>67926.679999999993</v>
      </c>
      <c r="CC168" s="522">
        <f t="shared" si="242"/>
        <v>0</v>
      </c>
      <c r="CD168" s="522"/>
      <c r="CE168" s="522"/>
      <c r="CF168" s="522"/>
      <c r="CG168" s="522"/>
      <c r="CH168" s="522"/>
      <c r="CI168" s="522"/>
      <c r="CJ168" s="522"/>
      <c r="CK168" s="542" t="s">
        <v>79</v>
      </c>
      <c r="CL168" s="542" t="s">
        <v>1912</v>
      </c>
      <c r="CM168" s="509" t="s">
        <v>1925</v>
      </c>
      <c r="CN168" s="528" t="s">
        <v>1849</v>
      </c>
      <c r="CO168" s="528"/>
      <c r="CP168" s="544">
        <f t="shared" si="290"/>
        <v>62509.639081023168</v>
      </c>
      <c r="CQ168" s="544">
        <f t="shared" si="291"/>
        <v>4591.5369228667141</v>
      </c>
      <c r="CR168" s="544">
        <f t="shared" si="292"/>
        <v>651.10399611012053</v>
      </c>
      <c r="CS168" s="1709" t="s">
        <v>1826</v>
      </c>
      <c r="CT168" s="1710"/>
      <c r="CU168" s="1710"/>
      <c r="CV168" s="1710"/>
      <c r="CW168" s="1711"/>
      <c r="CX168" s="528"/>
      <c r="CY168" s="528"/>
      <c r="CZ168" s="528"/>
      <c r="DA168" s="528"/>
      <c r="DB168" s="544">
        <f>15232.16</f>
        <v>15232.16</v>
      </c>
      <c r="DC168" s="628" t="e">
        <f>P168-#REF!</f>
        <v>#REF!</v>
      </c>
      <c r="DD168" s="535"/>
      <c r="DE168" s="535"/>
      <c r="DF168" s="525">
        <f t="shared" si="278"/>
        <v>64.044409999999999</v>
      </c>
      <c r="DG168" s="525">
        <f t="shared" si="278"/>
        <v>3.2844799999999998</v>
      </c>
      <c r="DH168" s="525">
        <f t="shared" si="278"/>
        <v>0.59778999999999993</v>
      </c>
      <c r="DI168" s="522">
        <f t="shared" si="278"/>
        <v>67.92667999999999</v>
      </c>
      <c r="DJ168" s="536"/>
      <c r="DK168" s="536"/>
      <c r="DL168" s="536"/>
      <c r="DM168" s="536"/>
      <c r="DN168" s="536"/>
      <c r="DO168" s="536"/>
      <c r="DP168" s="536"/>
      <c r="DQ168" s="536"/>
      <c r="DR168" s="536"/>
      <c r="DS168" s="536"/>
    </row>
    <row r="169" spans="1:123" s="534" customFormat="1">
      <c r="A169" s="537" t="s">
        <v>714</v>
      </c>
      <c r="B169" s="538" t="s">
        <v>715</v>
      </c>
      <c r="C169" s="576">
        <v>2658.6</v>
      </c>
      <c r="D169" s="576"/>
      <c r="E169" s="576">
        <v>0</v>
      </c>
      <c r="F169" s="576">
        <v>4124.2</v>
      </c>
      <c r="G169" s="596">
        <v>0</v>
      </c>
      <c r="H169" s="596">
        <v>0</v>
      </c>
      <c r="I169" s="576">
        <f t="shared" si="283"/>
        <v>600</v>
      </c>
      <c r="J169" s="576">
        <v>600</v>
      </c>
      <c r="K169" s="576">
        <v>0</v>
      </c>
      <c r="L169" s="576">
        <v>0</v>
      </c>
      <c r="M169" s="576">
        <f t="shared" si="284"/>
        <v>600</v>
      </c>
      <c r="N169" s="576">
        <v>600</v>
      </c>
      <c r="O169" s="525">
        <f t="shared" si="285"/>
        <v>0</v>
      </c>
      <c r="P169" s="522">
        <v>600</v>
      </c>
      <c r="Q169" s="576">
        <f t="shared" si="219"/>
        <v>0</v>
      </c>
      <c r="R169" s="576">
        <f t="shared" si="220"/>
        <v>0</v>
      </c>
      <c r="S169" s="525">
        <v>0</v>
      </c>
      <c r="T169" s="525">
        <v>0</v>
      </c>
      <c r="U169" s="522">
        <f t="shared" si="286"/>
        <v>840</v>
      </c>
      <c r="V169" s="522">
        <f t="shared" si="217"/>
        <v>840</v>
      </c>
      <c r="W169" s="522">
        <v>0</v>
      </c>
      <c r="X169" s="522">
        <f t="shared" si="221"/>
        <v>240</v>
      </c>
      <c r="Y169" s="522">
        <f t="shared" si="222"/>
        <v>40</v>
      </c>
      <c r="Z169" s="524">
        <f t="shared" si="223"/>
        <v>2340</v>
      </c>
      <c r="AA169" s="522">
        <f t="shared" si="224"/>
        <v>2340</v>
      </c>
      <c r="AB169" s="522">
        <v>0</v>
      </c>
      <c r="AC169" s="522">
        <f t="shared" si="225"/>
        <v>1500</v>
      </c>
      <c r="AD169" s="522">
        <f t="shared" si="226"/>
        <v>178.57142857142856</v>
      </c>
      <c r="AE169" s="522">
        <f t="shared" si="227"/>
        <v>1740</v>
      </c>
      <c r="AF169" s="522">
        <f t="shared" si="228"/>
        <v>290</v>
      </c>
      <c r="AG169" s="522">
        <f t="shared" si="243"/>
        <v>1500</v>
      </c>
      <c r="AH169" s="522">
        <f t="shared" si="229"/>
        <v>660</v>
      </c>
      <c r="AI169" s="522">
        <f t="shared" si="230"/>
        <v>78.571428571428584</v>
      </c>
      <c r="AJ169" s="522">
        <f t="shared" si="231"/>
        <v>-840</v>
      </c>
      <c r="AK169" s="522">
        <f t="shared" si="293"/>
        <v>-35.897435897435898</v>
      </c>
      <c r="AL169" s="522">
        <f t="shared" si="287"/>
        <v>1500</v>
      </c>
      <c r="AM169" s="522">
        <f t="shared" si="270"/>
        <v>0</v>
      </c>
      <c r="AN169" s="522">
        <f t="shared" si="270"/>
        <v>1500</v>
      </c>
      <c r="AO169" s="522">
        <f t="shared" si="232"/>
        <v>1500</v>
      </c>
      <c r="AP169" s="522">
        <v>0</v>
      </c>
      <c r="AQ169" s="522">
        <v>0</v>
      </c>
      <c r="AR169" s="522">
        <v>600</v>
      </c>
      <c r="AS169" s="522">
        <v>0</v>
      </c>
      <c r="AT169" s="522">
        <v>900</v>
      </c>
      <c r="AU169" s="522">
        <f t="shared" si="276"/>
        <v>840</v>
      </c>
      <c r="AV169" s="522">
        <f t="shared" si="276"/>
        <v>840</v>
      </c>
      <c r="AW169" s="522">
        <f t="shared" si="233"/>
        <v>0</v>
      </c>
      <c r="AX169" s="522">
        <f t="shared" si="234"/>
        <v>0</v>
      </c>
      <c r="AY169" s="522">
        <f t="shared" si="277"/>
        <v>0</v>
      </c>
      <c r="AZ169" s="522">
        <f t="shared" si="235"/>
        <v>840</v>
      </c>
      <c r="BA169" s="522" t="e">
        <f t="shared" si="236"/>
        <v>#DIV/0!</v>
      </c>
      <c r="BB169" s="522">
        <v>0</v>
      </c>
      <c r="BC169" s="525">
        <f>'[67]Гл инж_Тех дир'!AT86</f>
        <v>0</v>
      </c>
      <c r="BD169" s="525">
        <f t="shared" si="288"/>
        <v>0</v>
      </c>
      <c r="BE169" s="525">
        <f t="shared" si="237"/>
        <v>0</v>
      </c>
      <c r="BF169" s="525">
        <f t="shared" si="238"/>
        <v>0</v>
      </c>
      <c r="BG169" s="525">
        <f t="shared" si="218"/>
        <v>0</v>
      </c>
      <c r="BH169" s="522">
        <f t="shared" si="218"/>
        <v>1500</v>
      </c>
      <c r="BI169" s="522">
        <v>1500</v>
      </c>
      <c r="BJ169" s="522">
        <f t="shared" si="239"/>
        <v>1500</v>
      </c>
      <c r="BK169" s="522">
        <f t="shared" si="240"/>
        <v>0</v>
      </c>
      <c r="BL169" s="525">
        <v>840</v>
      </c>
      <c r="BM169" s="522">
        <f>'[67]Гл инж_Тех дир'!AW86</f>
        <v>840</v>
      </c>
      <c r="BN169" s="522">
        <f t="shared" si="289"/>
        <v>0</v>
      </c>
      <c r="BO169" s="522">
        <f t="shared" si="245"/>
        <v>-840</v>
      </c>
      <c r="BP169" s="522">
        <f t="shared" si="241"/>
        <v>-840</v>
      </c>
      <c r="BQ169" s="525">
        <v>840</v>
      </c>
      <c r="BR169" s="522">
        <f>'[67]Гл инж_Тех дир'!BB86</f>
        <v>0</v>
      </c>
      <c r="BS169" s="522">
        <f>'[67]Гл инж_Тех дир'!BC86</f>
        <v>0</v>
      </c>
      <c r="BT169" s="536"/>
      <c r="BU169" s="522">
        <v>1500</v>
      </c>
      <c r="BV169" s="522"/>
      <c r="BW169" s="522"/>
      <c r="BX169" s="574"/>
      <c r="BY169" s="525">
        <v>1406.3</v>
      </c>
      <c r="BZ169" s="525">
        <v>77.78</v>
      </c>
      <c r="CA169" s="525">
        <v>15.92</v>
      </c>
      <c r="CB169" s="522">
        <f t="shared" si="213"/>
        <v>1500</v>
      </c>
      <c r="CC169" s="522">
        <f t="shared" si="242"/>
        <v>0</v>
      </c>
      <c r="CD169" s="522"/>
      <c r="CE169" s="522"/>
      <c r="CF169" s="522"/>
      <c r="CG169" s="522"/>
      <c r="CH169" s="522"/>
      <c r="CI169" s="522"/>
      <c r="CJ169" s="522"/>
      <c r="CK169" s="542" t="s">
        <v>79</v>
      </c>
      <c r="CL169" s="542" t="s">
        <v>1912</v>
      </c>
      <c r="CM169" s="509" t="s">
        <v>1925</v>
      </c>
      <c r="CN169" s="528" t="s">
        <v>1849</v>
      </c>
      <c r="CO169" s="528"/>
      <c r="CP169" s="544">
        <f t="shared" si="290"/>
        <v>775.00117823428911</v>
      </c>
      <c r="CQ169" s="544">
        <f t="shared" si="291"/>
        <v>56.926364916546561</v>
      </c>
      <c r="CR169" s="544">
        <f t="shared" si="292"/>
        <v>8.0724568491643556</v>
      </c>
      <c r="CS169" s="1709" t="s">
        <v>1826</v>
      </c>
      <c r="CT169" s="1710"/>
      <c r="CU169" s="1710"/>
      <c r="CV169" s="1710"/>
      <c r="CW169" s="1711"/>
      <c r="CX169" s="528"/>
      <c r="CY169" s="528"/>
      <c r="CZ169" s="528"/>
      <c r="DA169" s="528"/>
      <c r="DB169" s="544">
        <v>600</v>
      </c>
      <c r="DC169" s="628" t="e">
        <f>P169-#REF!</f>
        <v>#REF!</v>
      </c>
      <c r="DD169" s="535"/>
      <c r="DE169" s="535"/>
      <c r="DF169" s="525">
        <f t="shared" si="278"/>
        <v>1.4062999999999999</v>
      </c>
      <c r="DG169" s="525">
        <f t="shared" si="278"/>
        <v>7.7780000000000002E-2</v>
      </c>
      <c r="DH169" s="525">
        <f t="shared" si="278"/>
        <v>1.592E-2</v>
      </c>
      <c r="DI169" s="522">
        <f t="shared" si="278"/>
        <v>1.5</v>
      </c>
      <c r="DJ169" s="536"/>
      <c r="DK169" s="536"/>
      <c r="DL169" s="536"/>
      <c r="DM169" s="536"/>
      <c r="DN169" s="536"/>
      <c r="DO169" s="536"/>
      <c r="DP169" s="536"/>
      <c r="DQ169" s="536"/>
      <c r="DR169" s="536"/>
      <c r="DS169" s="536"/>
    </row>
    <row r="170" spans="1:123" s="534" customFormat="1" ht="55.2">
      <c r="A170" s="505" t="s">
        <v>1934</v>
      </c>
      <c r="B170" s="506" t="s">
        <v>757</v>
      </c>
      <c r="C170" s="580">
        <f t="shared" ref="C170:T170" si="294">SUM(C171:C229)</f>
        <v>427347468.57599986</v>
      </c>
      <c r="D170" s="580">
        <f t="shared" si="294"/>
        <v>276006988.57999998</v>
      </c>
      <c r="E170" s="580">
        <f t="shared" si="294"/>
        <v>457095708.21999997</v>
      </c>
      <c r="F170" s="580">
        <f t="shared" si="294"/>
        <v>380060334.08999991</v>
      </c>
      <c r="G170" s="580">
        <f t="shared" si="294"/>
        <v>227590587.63962504</v>
      </c>
      <c r="H170" s="580">
        <f t="shared" si="294"/>
        <v>0</v>
      </c>
      <c r="I170" s="580">
        <f t="shared" si="294"/>
        <v>400386197.98000002</v>
      </c>
      <c r="J170" s="580">
        <f t="shared" si="294"/>
        <v>165446363.56000003</v>
      </c>
      <c r="K170" s="580">
        <f t="shared" si="294"/>
        <v>112074646.55000001</v>
      </c>
      <c r="L170" s="580">
        <f t="shared" si="294"/>
        <v>122865187.87</v>
      </c>
      <c r="M170" s="580">
        <f t="shared" si="294"/>
        <v>277521010.10999995</v>
      </c>
      <c r="N170" s="580">
        <f t="shared" si="294"/>
        <v>254986178.27000001</v>
      </c>
      <c r="O170" s="580">
        <f>SUM(O171:O229)</f>
        <v>76077513.549999997</v>
      </c>
      <c r="P170" s="580">
        <f>SUM(P171:P229)</f>
        <v>331063691.81999993</v>
      </c>
      <c r="Q170" s="580">
        <f t="shared" si="219"/>
        <v>-69322506.160000086</v>
      </c>
      <c r="R170" s="580">
        <f t="shared" si="220"/>
        <v>-17.313910047284608</v>
      </c>
      <c r="S170" s="580">
        <f t="shared" si="294"/>
        <v>241637900.16071266</v>
      </c>
      <c r="T170" s="580">
        <f t="shared" si="294"/>
        <v>275774127.22956896</v>
      </c>
      <c r="U170" s="580">
        <f>SUM(U171:U229)</f>
        <v>358096220.54999995</v>
      </c>
      <c r="V170" s="580">
        <f t="shared" si="217"/>
        <v>82322093.320430994</v>
      </c>
      <c r="W170" s="580">
        <f t="shared" si="246"/>
        <v>29.851275080603102</v>
      </c>
      <c r="X170" s="580">
        <f t="shared" si="221"/>
        <v>27032528.730000019</v>
      </c>
      <c r="Y170" s="580">
        <f t="shared" si="222"/>
        <v>8.1653559112419032</v>
      </c>
      <c r="Z170" s="580">
        <f t="shared" si="223"/>
        <v>307884733.52000004</v>
      </c>
      <c r="AA170" s="580">
        <f t="shared" si="224"/>
        <v>32110606.290431082</v>
      </c>
      <c r="AB170" s="580">
        <f t="shared" si="247"/>
        <v>11.64380669536142</v>
      </c>
      <c r="AC170" s="580">
        <f t="shared" si="225"/>
        <v>-50211487.029999912</v>
      </c>
      <c r="AD170" s="580">
        <f t="shared" si="226"/>
        <v>-14.021786365932627</v>
      </c>
      <c r="AE170" s="580">
        <f t="shared" si="227"/>
        <v>-23178958.299999893</v>
      </c>
      <c r="AF170" s="580">
        <f t="shared" si="228"/>
        <v>-7.0013592165831113</v>
      </c>
      <c r="AG170" s="580">
        <f t="shared" si="243"/>
        <v>298048083.53000003</v>
      </c>
      <c r="AH170" s="580">
        <f t="shared" si="229"/>
        <v>-60048137.019999921</v>
      </c>
      <c r="AI170" s="580">
        <f t="shared" si="230"/>
        <v>-16.768715661888862</v>
      </c>
      <c r="AJ170" s="580">
        <f t="shared" si="231"/>
        <v>-9836649.9900000095</v>
      </c>
      <c r="AK170" s="580">
        <f t="shared" si="293"/>
        <v>-3.1949131993454358</v>
      </c>
      <c r="AL170" s="580">
        <f>SUM(AL171:AL229)</f>
        <v>298048083.52999997</v>
      </c>
      <c r="AM170" s="580">
        <f t="shared" si="270"/>
        <v>201132510.62</v>
      </c>
      <c r="AN170" s="580">
        <f t="shared" si="270"/>
        <v>172841898.16000003</v>
      </c>
      <c r="AO170" s="580">
        <f t="shared" si="232"/>
        <v>-28290612.459999979</v>
      </c>
      <c r="AP170" s="580">
        <f t="shared" si="244"/>
        <v>-14.065658690776985</v>
      </c>
      <c r="AQ170" s="580">
        <f>SUM(AQ171:AQ229)</f>
        <v>94996619.099999994</v>
      </c>
      <c r="AR170" s="580">
        <f>SUM(AR171:AR229)</f>
        <v>87422466.650000006</v>
      </c>
      <c r="AS170" s="580">
        <f>SUM(AS171:AS229)</f>
        <v>106135891.52</v>
      </c>
      <c r="AT170" s="580">
        <f>SUM(AT171:AT229)</f>
        <v>85419431.510000005</v>
      </c>
      <c r="AU170" s="580">
        <f t="shared" si="276"/>
        <v>156963709.93000001</v>
      </c>
      <c r="AV170" s="580">
        <f t="shared" si="276"/>
        <v>135042835.36000001</v>
      </c>
      <c r="AW170" s="580">
        <f t="shared" si="233"/>
        <v>-21920874.569999993</v>
      </c>
      <c r="AX170" s="580">
        <f t="shared" si="234"/>
        <v>-13.965568588927908</v>
      </c>
      <c r="AY170" s="580">
        <f t="shared" si="277"/>
        <v>125206185.37</v>
      </c>
      <c r="AZ170" s="580">
        <f t="shared" si="235"/>
        <v>9836649.9900000095</v>
      </c>
      <c r="BA170" s="580">
        <f t="shared" si="236"/>
        <v>7.8563610583067174</v>
      </c>
      <c r="BB170" s="580">
        <f t="shared" ref="BB170:BN170" si="295">SUM(BB171:BB229)</f>
        <v>83846781.179999977</v>
      </c>
      <c r="BC170" s="580">
        <f t="shared" si="295"/>
        <v>69779227.310000002</v>
      </c>
      <c r="BD170" s="580">
        <f t="shared" si="295"/>
        <v>63706527.990000002</v>
      </c>
      <c r="BE170" s="580">
        <f t="shared" si="237"/>
        <v>-20140253.189999975</v>
      </c>
      <c r="BF170" s="580">
        <f t="shared" si="238"/>
        <v>-6072699.3200000003</v>
      </c>
      <c r="BG170" s="580">
        <f t="shared" si="218"/>
        <v>284979291.79999995</v>
      </c>
      <c r="BH170" s="580">
        <f t="shared" si="295"/>
        <v>242621125.47</v>
      </c>
      <c r="BI170" s="580">
        <f t="shared" si="295"/>
        <v>236548426.14999995</v>
      </c>
      <c r="BJ170" s="580">
        <f t="shared" si="239"/>
        <v>-48430865.650000006</v>
      </c>
      <c r="BK170" s="580">
        <f t="shared" si="240"/>
        <v>-6072699.3200000525</v>
      </c>
      <c r="BL170" s="580">
        <f t="shared" si="295"/>
        <v>73116928.750000015</v>
      </c>
      <c r="BM170" s="580">
        <f t="shared" si="295"/>
        <v>65263608.050000012</v>
      </c>
      <c r="BN170" s="580">
        <f t="shared" si="295"/>
        <v>61499657.379999995</v>
      </c>
      <c r="BO170" s="580">
        <f t="shared" si="245"/>
        <v>-11617271.37000002</v>
      </c>
      <c r="BP170" s="580">
        <f t="shared" si="241"/>
        <v>-3763950.6700000167</v>
      </c>
      <c r="BQ170" s="580">
        <f t="shared" ref="BQ170:BS170" si="296">SUM(BQ171:BQ229)</f>
        <v>73116928.750000015</v>
      </c>
      <c r="BR170" s="580">
        <f t="shared" si="296"/>
        <v>0</v>
      </c>
      <c r="BS170" s="580">
        <f t="shared" si="296"/>
        <v>0</v>
      </c>
      <c r="BT170" s="536"/>
      <c r="BU170" s="580">
        <f t="shared" ref="BU170:BW170" si="297">SUM(BU171:BU229)</f>
        <v>291500135.26999998</v>
      </c>
      <c r="BV170" s="580">
        <f t="shared" si="297"/>
        <v>6547948.2599999998</v>
      </c>
      <c r="BW170" s="580">
        <f t="shared" si="297"/>
        <v>0</v>
      </c>
      <c r="BX170" s="581"/>
      <c r="BY170" s="580">
        <f>SUM(BY171:BY229)</f>
        <v>284136793.32000005</v>
      </c>
      <c r="BZ170" s="580">
        <f>SUM(BZ171:BZ229)</f>
        <v>12861730.929999998</v>
      </c>
      <c r="CA170" s="580">
        <f>SUM(CA171:CA229)</f>
        <v>1049559.28</v>
      </c>
      <c r="CB170" s="580">
        <f>SUM(CB171:CB229)</f>
        <v>298048083.52999997</v>
      </c>
      <c r="CC170" s="580">
        <f t="shared" si="242"/>
        <v>0</v>
      </c>
      <c r="CD170" s="580"/>
      <c r="CE170" s="580"/>
      <c r="CF170" s="580"/>
      <c r="CG170" s="580"/>
      <c r="CH170" s="580"/>
      <c r="CI170" s="580"/>
      <c r="CJ170" s="580"/>
      <c r="CK170" s="648"/>
      <c r="CL170" s="648"/>
      <c r="CM170" s="509" t="s">
        <v>1925</v>
      </c>
      <c r="CN170" s="528"/>
      <c r="CO170" s="528"/>
      <c r="CP170" s="582">
        <f>SUM(CP171:CP229)</f>
        <v>331654507.35009116</v>
      </c>
      <c r="CQ170" s="582">
        <f>SUM(CQ171:CQ229)</f>
        <v>23157813.84564627</v>
      </c>
      <c r="CR170" s="582">
        <f>SUM(CR171:CR229)</f>
        <v>3283899.3542625294</v>
      </c>
      <c r="CS170" s="1715"/>
      <c r="CT170" s="1716"/>
      <c r="CU170" s="1716"/>
      <c r="CV170" s="1716"/>
      <c r="CW170" s="1717"/>
      <c r="CX170" s="528"/>
      <c r="CY170" s="528"/>
      <c r="CZ170" s="528"/>
      <c r="DA170" s="528"/>
      <c r="DB170" s="582">
        <f>SUM(DB171:DB229)</f>
        <v>87422466.650000006</v>
      </c>
      <c r="DC170" s="628" t="e">
        <f>P170-#REF!</f>
        <v>#REF!</v>
      </c>
      <c r="DD170" s="535"/>
      <c r="DE170" s="535"/>
      <c r="DF170" s="580">
        <f t="shared" si="278"/>
        <v>284136.79332000006</v>
      </c>
      <c r="DG170" s="580">
        <f t="shared" si="278"/>
        <v>12861.730929999998</v>
      </c>
      <c r="DH170" s="580">
        <f t="shared" si="278"/>
        <v>1049.5592799999999</v>
      </c>
      <c r="DI170" s="580">
        <f t="shared" si="278"/>
        <v>298048.08352999995</v>
      </c>
      <c r="DJ170" s="536"/>
      <c r="DK170" s="536"/>
      <c r="DL170" s="536"/>
      <c r="DM170" s="536"/>
      <c r="DN170" s="536"/>
      <c r="DO170" s="536"/>
      <c r="DP170" s="536"/>
      <c r="DQ170" s="536"/>
      <c r="DR170" s="536"/>
      <c r="DS170" s="536"/>
    </row>
    <row r="171" spans="1:123" s="534" customFormat="1" ht="117" customHeight="1">
      <c r="A171" s="537" t="s">
        <v>1042</v>
      </c>
      <c r="B171" s="538" t="s">
        <v>1043</v>
      </c>
      <c r="C171" s="576">
        <v>455719.62</v>
      </c>
      <c r="D171" s="576">
        <v>82613.710000000006</v>
      </c>
      <c r="E171" s="576">
        <v>0</v>
      </c>
      <c r="F171" s="576">
        <v>494417.25</v>
      </c>
      <c r="G171" s="577">
        <v>7338.651344810396</v>
      </c>
      <c r="H171" s="577">
        <v>0</v>
      </c>
      <c r="I171" s="576">
        <f t="shared" ref="I171:I229" si="298">J171+K171+L171</f>
        <v>347123.29</v>
      </c>
      <c r="J171" s="576">
        <v>347123.29</v>
      </c>
      <c r="K171" s="576">
        <v>0</v>
      </c>
      <c r="L171" s="576">
        <v>0</v>
      </c>
      <c r="M171" s="576">
        <f t="shared" ref="M171:M229" si="299">J171+K171</f>
        <v>347123.29</v>
      </c>
      <c r="N171" s="576">
        <v>520857.54</v>
      </c>
      <c r="O171" s="525">
        <f t="shared" ref="O171:O229" si="300">P171-N171</f>
        <v>171145.2</v>
      </c>
      <c r="P171" s="522">
        <v>692002.74</v>
      </c>
      <c r="Q171" s="576">
        <f t="shared" si="219"/>
        <v>344879.45</v>
      </c>
      <c r="R171" s="576">
        <f t="shared" si="220"/>
        <v>99.35358990173205</v>
      </c>
      <c r="S171" s="576">
        <v>0</v>
      </c>
      <c r="T171" s="576">
        <v>0</v>
      </c>
      <c r="U171" s="522">
        <f t="shared" ref="U171:U229" si="301">AQ171+AS171+BB171+BL171</f>
        <v>0</v>
      </c>
      <c r="V171" s="522">
        <f t="shared" si="217"/>
        <v>0</v>
      </c>
      <c r="W171" s="522">
        <v>0</v>
      </c>
      <c r="X171" s="522">
        <f t="shared" si="221"/>
        <v>-692002.74</v>
      </c>
      <c r="Y171" s="522">
        <f t="shared" si="222"/>
        <v>-100</v>
      </c>
      <c r="Z171" s="524">
        <f t="shared" si="223"/>
        <v>336709.59</v>
      </c>
      <c r="AA171" s="522">
        <f t="shared" si="224"/>
        <v>336709.59</v>
      </c>
      <c r="AB171" s="522">
        <v>0</v>
      </c>
      <c r="AC171" s="522">
        <f t="shared" si="225"/>
        <v>336709.59</v>
      </c>
      <c r="AD171" s="522">
        <v>0</v>
      </c>
      <c r="AE171" s="522">
        <f t="shared" si="227"/>
        <v>-355293.14999999997</v>
      </c>
      <c r="AF171" s="522">
        <f t="shared" si="228"/>
        <v>-51.342737457947059</v>
      </c>
      <c r="AG171" s="522">
        <f t="shared" si="243"/>
        <v>420421.92</v>
      </c>
      <c r="AH171" s="522">
        <f t="shared" si="229"/>
        <v>420421.92</v>
      </c>
      <c r="AI171" s="522">
        <v>0</v>
      </c>
      <c r="AJ171" s="522">
        <f t="shared" si="231"/>
        <v>83712.329999999958</v>
      </c>
      <c r="AK171" s="522">
        <f t="shared" si="293"/>
        <v>24.861878748389657</v>
      </c>
      <c r="AL171" s="522">
        <f t="shared" ref="AL171:AL228" si="302">SUM(BU171:BV171)</f>
        <v>420421.92</v>
      </c>
      <c r="AM171" s="522">
        <f t="shared" si="270"/>
        <v>0</v>
      </c>
      <c r="AN171" s="522">
        <f t="shared" si="270"/>
        <v>336709.59</v>
      </c>
      <c r="AO171" s="522">
        <f t="shared" si="232"/>
        <v>336709.59</v>
      </c>
      <c r="AP171" s="522">
        <v>0</v>
      </c>
      <c r="AQ171" s="578">
        <v>0</v>
      </c>
      <c r="AR171" s="578">
        <v>167424.65</v>
      </c>
      <c r="AS171" s="578">
        <v>0</v>
      </c>
      <c r="AT171" s="578">
        <v>169284.94000000003</v>
      </c>
      <c r="AU171" s="578">
        <f t="shared" si="276"/>
        <v>0</v>
      </c>
      <c r="AV171" s="578">
        <f t="shared" si="276"/>
        <v>0</v>
      </c>
      <c r="AW171" s="578">
        <f t="shared" si="233"/>
        <v>0</v>
      </c>
      <c r="AX171" s="578">
        <v>0</v>
      </c>
      <c r="AY171" s="578">
        <f t="shared" si="277"/>
        <v>83712.329999999958</v>
      </c>
      <c r="AZ171" s="578">
        <f t="shared" si="235"/>
        <v>-83712.329999999958</v>
      </c>
      <c r="BA171" s="578">
        <v>0</v>
      </c>
      <c r="BB171" s="578">
        <v>0</v>
      </c>
      <c r="BC171" s="576">
        <f>'[67]Дир_ имущ'!AT23</f>
        <v>0</v>
      </c>
      <c r="BD171" s="576">
        <f t="shared" ref="BD171:BD229" si="303">BI171-AN171</f>
        <v>83712.329999999958</v>
      </c>
      <c r="BE171" s="576">
        <f t="shared" si="237"/>
        <v>83712.329999999958</v>
      </c>
      <c r="BF171" s="576">
        <f t="shared" si="238"/>
        <v>83712.329999999958</v>
      </c>
      <c r="BG171" s="576">
        <f t="shared" si="218"/>
        <v>0</v>
      </c>
      <c r="BH171" s="578">
        <f t="shared" si="218"/>
        <v>336709.59</v>
      </c>
      <c r="BI171" s="578">
        <v>420421.92</v>
      </c>
      <c r="BJ171" s="578">
        <f t="shared" si="239"/>
        <v>420421.92</v>
      </c>
      <c r="BK171" s="578">
        <f t="shared" si="240"/>
        <v>83712.329999999958</v>
      </c>
      <c r="BL171" s="576">
        <v>0</v>
      </c>
      <c r="BM171" s="578">
        <f>'[67]Дир_ имущ'!AW23</f>
        <v>0</v>
      </c>
      <c r="BN171" s="522">
        <f t="shared" ref="BN171:BN229" si="304">AL171-BI171</f>
        <v>0</v>
      </c>
      <c r="BO171" s="578">
        <f t="shared" si="245"/>
        <v>0</v>
      </c>
      <c r="BP171" s="578">
        <f t="shared" si="241"/>
        <v>0</v>
      </c>
      <c r="BQ171" s="576">
        <v>0</v>
      </c>
      <c r="BR171" s="578">
        <f>'[67]Дир_ имущ'!BB23</f>
        <v>0</v>
      </c>
      <c r="BS171" s="578">
        <f>'[67]Дир_ имущ'!BC23</f>
        <v>0</v>
      </c>
      <c r="BT171" s="536"/>
      <c r="BU171" s="578">
        <v>420421.92</v>
      </c>
      <c r="BV171" s="578"/>
      <c r="BW171" s="578"/>
      <c r="BX171" s="574"/>
      <c r="BY171" s="525">
        <v>420421.92</v>
      </c>
      <c r="BZ171" s="525"/>
      <c r="CA171" s="525"/>
      <c r="CB171" s="522">
        <f t="shared" si="213"/>
        <v>420421.92</v>
      </c>
      <c r="CC171" s="522">
        <f t="shared" si="242"/>
        <v>0</v>
      </c>
      <c r="CD171" s="578"/>
      <c r="CE171" s="578"/>
      <c r="CF171" s="578"/>
      <c r="CG171" s="578"/>
      <c r="CH171" s="578"/>
      <c r="CI171" s="578"/>
      <c r="CJ171" s="578"/>
      <c r="CK171" s="543" t="s">
        <v>1815</v>
      </c>
      <c r="CL171" s="543" t="s">
        <v>1816</v>
      </c>
      <c r="CM171" s="509" t="s">
        <v>1925</v>
      </c>
      <c r="CN171" s="528" t="s">
        <v>1849</v>
      </c>
      <c r="CO171" s="528"/>
      <c r="CP171" s="544">
        <f t="shared" ref="CP171:CP209" si="305">U171*$CU$7/100</f>
        <v>0</v>
      </c>
      <c r="CQ171" s="544">
        <f t="shared" ref="CQ171:CQ209" si="306">U171*$CU$8/100</f>
        <v>0</v>
      </c>
      <c r="CR171" s="544">
        <f t="shared" ref="CR171:CR209" si="307">U171*$CU$9/100</f>
        <v>0</v>
      </c>
      <c r="CS171" s="1709" t="s">
        <v>1826</v>
      </c>
      <c r="CT171" s="1710"/>
      <c r="CU171" s="1710"/>
      <c r="CV171" s="1710"/>
      <c r="CW171" s="1711"/>
      <c r="CX171" s="528"/>
      <c r="CY171" s="528"/>
      <c r="CZ171" s="528"/>
      <c r="DA171" s="528"/>
      <c r="DB171" s="579">
        <f>167424.65</f>
        <v>167424.65</v>
      </c>
      <c r="DC171" s="628" t="e">
        <f>P171-#REF!</f>
        <v>#REF!</v>
      </c>
      <c r="DD171" s="535"/>
      <c r="DE171" s="535"/>
      <c r="DF171" s="525">
        <f t="shared" si="278"/>
        <v>420.42192</v>
      </c>
      <c r="DG171" s="525">
        <f t="shared" si="278"/>
        <v>0</v>
      </c>
      <c r="DH171" s="525">
        <f t="shared" si="278"/>
        <v>0</v>
      </c>
      <c r="DI171" s="522">
        <f t="shared" si="278"/>
        <v>420.42192</v>
      </c>
      <c r="DJ171" s="536"/>
      <c r="DK171" s="536"/>
      <c r="DL171" s="536"/>
      <c r="DM171" s="536"/>
      <c r="DN171" s="536"/>
      <c r="DO171" s="536"/>
      <c r="DP171" s="536"/>
      <c r="DQ171" s="536"/>
      <c r="DR171" s="536"/>
      <c r="DS171" s="536"/>
    </row>
    <row r="172" spans="1:123" s="534" customFormat="1" ht="56.4">
      <c r="A172" s="537" t="s">
        <v>1047</v>
      </c>
      <c r="B172" s="538" t="s">
        <v>1048</v>
      </c>
      <c r="C172" s="576">
        <v>2519132.2599999998</v>
      </c>
      <c r="D172" s="525">
        <v>1601244.79</v>
      </c>
      <c r="E172" s="576">
        <v>2520574</v>
      </c>
      <c r="F172" s="576">
        <v>2496791.9900000002</v>
      </c>
      <c r="G172" s="577">
        <v>735303.90563933982</v>
      </c>
      <c r="H172" s="577">
        <v>0</v>
      </c>
      <c r="I172" s="576">
        <f t="shared" si="298"/>
        <v>3112286.14</v>
      </c>
      <c r="J172" s="576">
        <v>1381806.98</v>
      </c>
      <c r="K172" s="576">
        <v>684019</v>
      </c>
      <c r="L172" s="576">
        <v>1046460.16</v>
      </c>
      <c r="M172" s="576">
        <f t="shared" si="299"/>
        <v>2065825.98</v>
      </c>
      <c r="N172" s="576">
        <v>2061180.84</v>
      </c>
      <c r="O172" s="525">
        <f t="shared" si="300"/>
        <v>689557.2</v>
      </c>
      <c r="P172" s="522">
        <f>2398732.38+387.95+351617.71</f>
        <v>2750738.04</v>
      </c>
      <c r="Q172" s="576">
        <f t="shared" si="219"/>
        <v>-361548.10000000009</v>
      </c>
      <c r="R172" s="576">
        <f t="shared" si="220"/>
        <v>-11.6168014037424</v>
      </c>
      <c r="S172" s="576">
        <v>775745.62044950342</v>
      </c>
      <c r="T172" s="576">
        <v>775745.62044950342</v>
      </c>
      <c r="U172" s="522">
        <f t="shared" si="301"/>
        <v>2888401.42</v>
      </c>
      <c r="V172" s="522">
        <f t="shared" si="217"/>
        <v>2112655.7995504965</v>
      </c>
      <c r="W172" s="522">
        <f t="shared" si="246"/>
        <v>272.33873371097144</v>
      </c>
      <c r="X172" s="522">
        <f t="shared" si="221"/>
        <v>137663.37999999989</v>
      </c>
      <c r="Y172" s="522">
        <f t="shared" si="222"/>
        <v>5.0045979660062301</v>
      </c>
      <c r="Z172" s="524">
        <f t="shared" si="223"/>
        <v>4017006.06</v>
      </c>
      <c r="AA172" s="522">
        <f t="shared" si="224"/>
        <v>3241260.4395504966</v>
      </c>
      <c r="AB172" s="522">
        <f t="shared" si="247"/>
        <v>417.82516769767369</v>
      </c>
      <c r="AC172" s="522">
        <f t="shared" si="225"/>
        <v>1128604.6400000001</v>
      </c>
      <c r="AD172" s="522">
        <f t="shared" si="226"/>
        <v>39.073676954500314</v>
      </c>
      <c r="AE172" s="522">
        <f t="shared" si="227"/>
        <v>1266268.02</v>
      </c>
      <c r="AF172" s="522">
        <f t="shared" si="228"/>
        <v>46.033755362615324</v>
      </c>
      <c r="AG172" s="522">
        <f t="shared" si="243"/>
        <v>3062633.77</v>
      </c>
      <c r="AH172" s="522">
        <f t="shared" si="229"/>
        <v>174232.35000000009</v>
      </c>
      <c r="AI172" s="522">
        <f t="shared" si="230"/>
        <v>6.0321376659619546</v>
      </c>
      <c r="AJ172" s="522">
        <f t="shared" si="231"/>
        <v>-954372.29</v>
      </c>
      <c r="AK172" s="522">
        <f t="shared" si="293"/>
        <v>-23.758298487605472</v>
      </c>
      <c r="AL172" s="522">
        <f t="shared" si="302"/>
        <v>3062633.77</v>
      </c>
      <c r="AM172" s="522">
        <f t="shared" si="270"/>
        <v>1213501.21</v>
      </c>
      <c r="AN172" s="522">
        <f t="shared" si="270"/>
        <v>1442105.85</v>
      </c>
      <c r="AO172" s="522">
        <f t="shared" si="232"/>
        <v>228604.64000000013</v>
      </c>
      <c r="AP172" s="522">
        <f t="shared" si="244"/>
        <v>18.83843527440736</v>
      </c>
      <c r="AQ172" s="578">
        <v>620389.80000000005</v>
      </c>
      <c r="AR172" s="578">
        <v>701526.6100000001</v>
      </c>
      <c r="AS172" s="578">
        <v>593111.41</v>
      </c>
      <c r="AT172" s="578">
        <v>740579.24</v>
      </c>
      <c r="AU172" s="578">
        <f t="shared" si="276"/>
        <v>1674900.21</v>
      </c>
      <c r="AV172" s="578">
        <f t="shared" si="276"/>
        <v>2574900.21</v>
      </c>
      <c r="AW172" s="578">
        <f t="shared" si="233"/>
        <v>900000</v>
      </c>
      <c r="AX172" s="578">
        <f t="shared" si="234"/>
        <v>53.734544579226025</v>
      </c>
      <c r="AY172" s="578">
        <f t="shared" si="277"/>
        <v>1620527.92</v>
      </c>
      <c r="AZ172" s="578">
        <f t="shared" si="235"/>
        <v>954372.29</v>
      </c>
      <c r="BA172" s="578">
        <f t="shared" si="236"/>
        <v>58.892678010755901</v>
      </c>
      <c r="BB172" s="578">
        <v>816521.91</v>
      </c>
      <c r="BC172" s="576">
        <f>'[67]Гл инж_Тех дир'!AT34</f>
        <v>816521.91</v>
      </c>
      <c r="BD172" s="576">
        <f t="shared" si="303"/>
        <v>764425.89999999991</v>
      </c>
      <c r="BE172" s="576">
        <f t="shared" si="237"/>
        <v>-52096.010000000126</v>
      </c>
      <c r="BF172" s="576">
        <f t="shared" si="238"/>
        <v>-52096.010000000126</v>
      </c>
      <c r="BG172" s="576">
        <f t="shared" si="218"/>
        <v>2030023.12</v>
      </c>
      <c r="BH172" s="578">
        <f t="shared" si="218"/>
        <v>2258627.7600000002</v>
      </c>
      <c r="BI172" s="578">
        <f>266207.79+1940323.96</f>
        <v>2206531.75</v>
      </c>
      <c r="BJ172" s="578">
        <f t="shared" si="239"/>
        <v>176508.62999999989</v>
      </c>
      <c r="BK172" s="578">
        <f t="shared" si="240"/>
        <v>-52096.010000000242</v>
      </c>
      <c r="BL172" s="576">
        <v>858378.3</v>
      </c>
      <c r="BM172" s="578">
        <f>'[67]Гл инж_Тех дир'!AW34</f>
        <v>1758378.3</v>
      </c>
      <c r="BN172" s="522">
        <f t="shared" si="304"/>
        <v>856102.02</v>
      </c>
      <c r="BO172" s="578">
        <f t="shared" si="245"/>
        <v>-2276.2800000000279</v>
      </c>
      <c r="BP172" s="578">
        <f t="shared" si="241"/>
        <v>-902276.28</v>
      </c>
      <c r="BQ172" s="576">
        <v>858378.3</v>
      </c>
      <c r="BR172" s="578">
        <f>'[67]Гл инж_Тех дир'!BB34</f>
        <v>0</v>
      </c>
      <c r="BS172" s="578">
        <f>'[67]Гл инж_Тех дир'!BC34</f>
        <v>0</v>
      </c>
      <c r="BT172" s="536"/>
      <c r="BU172" s="578">
        <v>350900.23</v>
      </c>
      <c r="BV172" s="578">
        <v>2711733.54</v>
      </c>
      <c r="BW172" s="578"/>
      <c r="BX172" s="574"/>
      <c r="BY172" s="525">
        <f>345713.01+2711733.54</f>
        <v>3057446.55</v>
      </c>
      <c r="BZ172" s="525">
        <v>4934.26</v>
      </c>
      <c r="CA172" s="525">
        <v>252.96</v>
      </c>
      <c r="CB172" s="522">
        <f t="shared" si="213"/>
        <v>3062633.7699999996</v>
      </c>
      <c r="CC172" s="522">
        <f t="shared" si="242"/>
        <v>0</v>
      </c>
      <c r="CD172" s="578"/>
      <c r="CE172" s="578"/>
      <c r="CF172" s="578"/>
      <c r="CG172" s="578"/>
      <c r="CH172" s="578"/>
      <c r="CI172" s="578"/>
      <c r="CJ172" s="578"/>
      <c r="CK172" s="542" t="s">
        <v>79</v>
      </c>
      <c r="CL172" s="543" t="s">
        <v>1806</v>
      </c>
      <c r="CM172" s="509" t="s">
        <v>1925</v>
      </c>
      <c r="CN172" s="528" t="s">
        <v>1849</v>
      </c>
      <c r="CO172" s="528"/>
      <c r="CP172" s="544">
        <f t="shared" si="305"/>
        <v>2664898.218706659</v>
      </c>
      <c r="CQ172" s="544">
        <f t="shared" si="306"/>
        <v>195745.46816713247</v>
      </c>
      <c r="CR172" s="544">
        <f t="shared" si="307"/>
        <v>27757.733126208397</v>
      </c>
      <c r="CS172" s="1709" t="s">
        <v>1826</v>
      </c>
      <c r="CT172" s="1710"/>
      <c r="CU172" s="1710"/>
      <c r="CV172" s="1710"/>
      <c r="CW172" s="1711"/>
      <c r="CX172" s="528"/>
      <c r="CY172" s="528"/>
      <c r="CZ172" s="528"/>
      <c r="DA172" s="528"/>
      <c r="DB172" s="579">
        <f>88759.93+612766.68</f>
        <v>701526.6100000001</v>
      </c>
      <c r="DC172" s="628" t="e">
        <f>P172-#REF!</f>
        <v>#REF!</v>
      </c>
      <c r="DD172" s="535"/>
      <c r="DE172" s="535"/>
      <c r="DF172" s="525">
        <f t="shared" si="278"/>
        <v>3057.4465499999997</v>
      </c>
      <c r="DG172" s="525">
        <f t="shared" si="278"/>
        <v>4.9342600000000001</v>
      </c>
      <c r="DH172" s="525">
        <f t="shared" si="278"/>
        <v>0.25296000000000002</v>
      </c>
      <c r="DI172" s="522">
        <f t="shared" si="278"/>
        <v>3062.6337699999995</v>
      </c>
      <c r="DJ172" s="536"/>
      <c r="DK172" s="536"/>
      <c r="DL172" s="536"/>
      <c r="DM172" s="536"/>
      <c r="DN172" s="536"/>
      <c r="DO172" s="536"/>
      <c r="DP172" s="536"/>
      <c r="DQ172" s="536"/>
      <c r="DR172" s="536"/>
      <c r="DS172" s="536"/>
    </row>
    <row r="173" spans="1:123" s="534" customFormat="1" ht="94.5" customHeight="1">
      <c r="A173" s="537" t="s">
        <v>1052</v>
      </c>
      <c r="B173" s="538" t="s">
        <v>1053</v>
      </c>
      <c r="C173" s="576">
        <v>65006.02</v>
      </c>
      <c r="D173" s="576">
        <v>0</v>
      </c>
      <c r="E173" s="576">
        <v>1000000</v>
      </c>
      <c r="F173" s="576">
        <v>0</v>
      </c>
      <c r="G173" s="577">
        <v>0</v>
      </c>
      <c r="H173" s="577">
        <v>0</v>
      </c>
      <c r="I173" s="576">
        <f t="shared" si="298"/>
        <v>0</v>
      </c>
      <c r="J173" s="576">
        <v>0</v>
      </c>
      <c r="K173" s="576">
        <v>0</v>
      </c>
      <c r="L173" s="576">
        <v>0</v>
      </c>
      <c r="M173" s="576">
        <f t="shared" si="299"/>
        <v>0</v>
      </c>
      <c r="N173" s="576"/>
      <c r="O173" s="525">
        <f t="shared" si="300"/>
        <v>0</v>
      </c>
      <c r="P173" s="522"/>
      <c r="Q173" s="576">
        <f t="shared" si="219"/>
        <v>0</v>
      </c>
      <c r="R173" s="576">
        <v>0</v>
      </c>
      <c r="S173" s="576">
        <v>0</v>
      </c>
      <c r="T173" s="576">
        <v>0</v>
      </c>
      <c r="U173" s="522">
        <f t="shared" si="301"/>
        <v>0</v>
      </c>
      <c r="V173" s="522">
        <f t="shared" si="217"/>
        <v>0</v>
      </c>
      <c r="W173" s="522">
        <v>0</v>
      </c>
      <c r="X173" s="522">
        <f t="shared" si="221"/>
        <v>0</v>
      </c>
      <c r="Y173" s="522">
        <v>0</v>
      </c>
      <c r="Z173" s="524">
        <f t="shared" si="223"/>
        <v>0</v>
      </c>
      <c r="AA173" s="522">
        <f t="shared" si="224"/>
        <v>0</v>
      </c>
      <c r="AB173" s="522">
        <v>0</v>
      </c>
      <c r="AC173" s="522">
        <f t="shared" si="225"/>
        <v>0</v>
      </c>
      <c r="AD173" s="522">
        <v>0</v>
      </c>
      <c r="AE173" s="522">
        <f t="shared" si="227"/>
        <v>0</v>
      </c>
      <c r="AF173" s="522">
        <v>0</v>
      </c>
      <c r="AG173" s="522">
        <f t="shared" si="243"/>
        <v>0</v>
      </c>
      <c r="AH173" s="522">
        <f t="shared" si="229"/>
        <v>0</v>
      </c>
      <c r="AI173" s="522">
        <v>0</v>
      </c>
      <c r="AJ173" s="522">
        <f t="shared" si="231"/>
        <v>0</v>
      </c>
      <c r="AK173" s="522">
        <v>0</v>
      </c>
      <c r="AL173" s="522">
        <f t="shared" si="302"/>
        <v>0</v>
      </c>
      <c r="AM173" s="522">
        <f t="shared" si="270"/>
        <v>0</v>
      </c>
      <c r="AN173" s="522">
        <f t="shared" si="270"/>
        <v>0</v>
      </c>
      <c r="AO173" s="522">
        <f t="shared" si="232"/>
        <v>0</v>
      </c>
      <c r="AP173" s="522">
        <v>0</v>
      </c>
      <c r="AQ173" s="578">
        <v>0</v>
      </c>
      <c r="AR173" s="578">
        <v>0</v>
      </c>
      <c r="AS173" s="578">
        <v>0</v>
      </c>
      <c r="AT173" s="578">
        <v>0</v>
      </c>
      <c r="AU173" s="578">
        <f t="shared" si="276"/>
        <v>0</v>
      </c>
      <c r="AV173" s="578">
        <f t="shared" si="276"/>
        <v>0</v>
      </c>
      <c r="AW173" s="578">
        <f t="shared" si="233"/>
        <v>0</v>
      </c>
      <c r="AX173" s="578">
        <v>0</v>
      </c>
      <c r="AY173" s="578">
        <f t="shared" si="277"/>
        <v>0</v>
      </c>
      <c r="AZ173" s="578">
        <f t="shared" si="235"/>
        <v>0</v>
      </c>
      <c r="BA173" s="578">
        <v>0</v>
      </c>
      <c r="BB173" s="578">
        <v>0</v>
      </c>
      <c r="BC173" s="576">
        <f>'[67]Гл инж_Тех дир'!AT35</f>
        <v>0</v>
      </c>
      <c r="BD173" s="576">
        <f t="shared" si="303"/>
        <v>0</v>
      </c>
      <c r="BE173" s="576">
        <f t="shared" si="237"/>
        <v>0</v>
      </c>
      <c r="BF173" s="576">
        <f t="shared" si="238"/>
        <v>0</v>
      </c>
      <c r="BG173" s="576">
        <f t="shared" si="218"/>
        <v>0</v>
      </c>
      <c r="BH173" s="578">
        <f t="shared" si="218"/>
        <v>0</v>
      </c>
      <c r="BI173" s="578"/>
      <c r="BJ173" s="578">
        <f t="shared" si="239"/>
        <v>0</v>
      </c>
      <c r="BK173" s="578">
        <f t="shared" si="240"/>
        <v>0</v>
      </c>
      <c r="BL173" s="576">
        <v>0</v>
      </c>
      <c r="BM173" s="578">
        <f>'[67]Гл инж_Тех дир'!AW35</f>
        <v>0</v>
      </c>
      <c r="BN173" s="522">
        <f t="shared" si="304"/>
        <v>0</v>
      </c>
      <c r="BO173" s="578">
        <f t="shared" si="245"/>
        <v>0</v>
      </c>
      <c r="BP173" s="578">
        <f t="shared" si="241"/>
        <v>0</v>
      </c>
      <c r="BQ173" s="576">
        <v>0</v>
      </c>
      <c r="BR173" s="578">
        <f>'[67]Гл инж_Тех дир'!BB35</f>
        <v>0</v>
      </c>
      <c r="BS173" s="578">
        <f>'[67]Гл инж_Тех дир'!BC35</f>
        <v>0</v>
      </c>
      <c r="BT173" s="536"/>
      <c r="BU173" s="578"/>
      <c r="BV173" s="578"/>
      <c r="BW173" s="578"/>
      <c r="BX173" s="574"/>
      <c r="BY173" s="525"/>
      <c r="BZ173" s="525"/>
      <c r="CA173" s="525"/>
      <c r="CB173" s="522">
        <f t="shared" si="213"/>
        <v>0</v>
      </c>
      <c r="CC173" s="522">
        <f t="shared" si="242"/>
        <v>0</v>
      </c>
      <c r="CD173" s="578"/>
      <c r="CE173" s="578"/>
      <c r="CF173" s="578"/>
      <c r="CG173" s="578"/>
      <c r="CH173" s="578"/>
      <c r="CI173" s="578"/>
      <c r="CJ173" s="578"/>
      <c r="CK173" s="542" t="s">
        <v>79</v>
      </c>
      <c r="CL173" s="543" t="s">
        <v>1806</v>
      </c>
      <c r="CM173" s="509" t="s">
        <v>1925</v>
      </c>
      <c r="CN173" s="528"/>
      <c r="CO173" s="528"/>
      <c r="CP173" s="544">
        <f t="shared" si="305"/>
        <v>0</v>
      </c>
      <c r="CQ173" s="544">
        <f t="shared" si="306"/>
        <v>0</v>
      </c>
      <c r="CR173" s="544">
        <f t="shared" si="307"/>
        <v>0</v>
      </c>
      <c r="CS173" s="1709" t="s">
        <v>1826</v>
      </c>
      <c r="CT173" s="1710"/>
      <c r="CU173" s="1710"/>
      <c r="CV173" s="1710"/>
      <c r="CW173" s="1711"/>
      <c r="CX173" s="528"/>
      <c r="CY173" s="528"/>
      <c r="CZ173" s="528"/>
      <c r="DA173" s="528"/>
      <c r="DB173" s="579"/>
      <c r="DC173" s="628" t="e">
        <f>P173-#REF!</f>
        <v>#REF!</v>
      </c>
      <c r="DD173" s="535"/>
      <c r="DE173" s="535"/>
      <c r="DF173" s="525">
        <f t="shared" si="278"/>
        <v>0</v>
      </c>
      <c r="DG173" s="525">
        <f t="shared" si="278"/>
        <v>0</v>
      </c>
      <c r="DH173" s="525">
        <f t="shared" si="278"/>
        <v>0</v>
      </c>
      <c r="DI173" s="522">
        <f t="shared" si="278"/>
        <v>0</v>
      </c>
      <c r="DJ173" s="536"/>
      <c r="DK173" s="536"/>
      <c r="DL173" s="536"/>
      <c r="DM173" s="536"/>
      <c r="DN173" s="536"/>
      <c r="DO173" s="536"/>
      <c r="DP173" s="536"/>
      <c r="DQ173" s="536"/>
      <c r="DR173" s="536"/>
      <c r="DS173" s="536"/>
    </row>
    <row r="174" spans="1:123" s="534" customFormat="1" ht="85.5" customHeight="1">
      <c r="A174" s="537" t="s">
        <v>1057</v>
      </c>
      <c r="B174" s="538" t="s">
        <v>1058</v>
      </c>
      <c r="C174" s="576">
        <v>335721.05</v>
      </c>
      <c r="D174" s="525">
        <v>172481.61</v>
      </c>
      <c r="E174" s="576">
        <v>530145</v>
      </c>
      <c r="F174" s="576">
        <v>790274.83</v>
      </c>
      <c r="G174" s="577">
        <v>728220.09750244359</v>
      </c>
      <c r="H174" s="577">
        <v>0</v>
      </c>
      <c r="I174" s="576">
        <f t="shared" si="298"/>
        <v>742760.28</v>
      </c>
      <c r="J174" s="576">
        <v>378650.22</v>
      </c>
      <c r="K174" s="576">
        <v>182055.03</v>
      </c>
      <c r="L174" s="576">
        <v>182055.03</v>
      </c>
      <c r="M174" s="576">
        <f t="shared" si="299"/>
        <v>560705.25</v>
      </c>
      <c r="N174" s="576">
        <v>539026.14</v>
      </c>
      <c r="O174" s="525">
        <f t="shared" si="300"/>
        <v>174563.94000000006</v>
      </c>
      <c r="P174" s="522">
        <f>681707.9+31882.18</f>
        <v>713590.08000000007</v>
      </c>
      <c r="Q174" s="576">
        <f t="shared" si="219"/>
        <v>-29170.199999999953</v>
      </c>
      <c r="R174" s="576">
        <f t="shared" si="220"/>
        <v>-3.9272697780769761</v>
      </c>
      <c r="S174" s="576">
        <v>768272.20286507788</v>
      </c>
      <c r="T174" s="576">
        <v>768272.20286507788</v>
      </c>
      <c r="U174" s="522">
        <f t="shared" si="301"/>
        <v>736828</v>
      </c>
      <c r="V174" s="522">
        <f t="shared" si="217"/>
        <v>-31444.202865077881</v>
      </c>
      <c r="W174" s="522">
        <f t="shared" si="246"/>
        <v>-4.0928466170993261</v>
      </c>
      <c r="X174" s="522">
        <f t="shared" si="221"/>
        <v>23237.919999999925</v>
      </c>
      <c r="Y174" s="522">
        <f t="shared" si="222"/>
        <v>3.2564802470348155</v>
      </c>
      <c r="Z174" s="524">
        <f t="shared" si="223"/>
        <v>704545.46</v>
      </c>
      <c r="AA174" s="522">
        <f t="shared" si="224"/>
        <v>-63726.742865077918</v>
      </c>
      <c r="AB174" s="522">
        <f t="shared" si="247"/>
        <v>-8.2948130398867903</v>
      </c>
      <c r="AC174" s="522">
        <f t="shared" si="225"/>
        <v>-32282.540000000037</v>
      </c>
      <c r="AD174" s="522">
        <f t="shared" si="226"/>
        <v>-4.3812857274696455</v>
      </c>
      <c r="AE174" s="522">
        <f t="shared" si="227"/>
        <v>-9044.6200000001118</v>
      </c>
      <c r="AF174" s="522">
        <f t="shared" si="228"/>
        <v>-1.2674811847160328</v>
      </c>
      <c r="AG174" s="522">
        <f t="shared" si="243"/>
        <v>675136.98</v>
      </c>
      <c r="AH174" s="522">
        <f t="shared" si="229"/>
        <v>-61691.020000000019</v>
      </c>
      <c r="AI174" s="522">
        <f t="shared" si="230"/>
        <v>-8.3725129881057683</v>
      </c>
      <c r="AJ174" s="522">
        <f t="shared" si="231"/>
        <v>-29408.479999999981</v>
      </c>
      <c r="AK174" s="522">
        <f>AG174/Z174*100-100</f>
        <v>-4.1741068063940077</v>
      </c>
      <c r="AL174" s="522">
        <f t="shared" si="302"/>
        <v>675136.98</v>
      </c>
      <c r="AM174" s="522">
        <f t="shared" si="270"/>
        <v>364114</v>
      </c>
      <c r="AN174" s="522">
        <f t="shared" si="270"/>
        <v>331831.28000000003</v>
      </c>
      <c r="AO174" s="522">
        <f t="shared" si="232"/>
        <v>-32282.719999999972</v>
      </c>
      <c r="AP174" s="522">
        <f t="shared" si="244"/>
        <v>-8.866102374531053</v>
      </c>
      <c r="AQ174" s="578">
        <v>182057</v>
      </c>
      <c r="AR174" s="578">
        <v>165428.65999999997</v>
      </c>
      <c r="AS174" s="578">
        <v>182057</v>
      </c>
      <c r="AT174" s="578">
        <v>166402.62000000005</v>
      </c>
      <c r="AU174" s="578">
        <f t="shared" si="276"/>
        <v>372714</v>
      </c>
      <c r="AV174" s="578">
        <f t="shared" si="276"/>
        <v>372714.18</v>
      </c>
      <c r="AW174" s="578">
        <f t="shared" si="233"/>
        <v>0.17999999999301508</v>
      </c>
      <c r="AX174" s="578">
        <f t="shared" si="234"/>
        <v>4.8294402674287085E-5</v>
      </c>
      <c r="AY174" s="578">
        <f t="shared" si="277"/>
        <v>343305.69999999995</v>
      </c>
      <c r="AZ174" s="578">
        <f t="shared" si="235"/>
        <v>29408.48000000004</v>
      </c>
      <c r="BA174" s="578">
        <f t="shared" si="236"/>
        <v>8.5662661587034563</v>
      </c>
      <c r="BB174" s="578">
        <v>186357</v>
      </c>
      <c r="BC174" s="576">
        <f>'[67]Гл инж_Тех дир'!AT54</f>
        <v>186357.09</v>
      </c>
      <c r="BD174" s="576">
        <f t="shared" si="303"/>
        <v>167796.55999999994</v>
      </c>
      <c r="BE174" s="576">
        <f t="shared" si="237"/>
        <v>-18560.440000000061</v>
      </c>
      <c r="BF174" s="576">
        <f t="shared" si="238"/>
        <v>-18560.530000000057</v>
      </c>
      <c r="BG174" s="576">
        <f t="shared" si="218"/>
        <v>550471</v>
      </c>
      <c r="BH174" s="578">
        <f t="shared" si="218"/>
        <v>518188.37</v>
      </c>
      <c r="BI174" s="578">
        <f>198816.02+300811.82</f>
        <v>499627.83999999997</v>
      </c>
      <c r="BJ174" s="578">
        <f t="shared" si="239"/>
        <v>-50843.160000000033</v>
      </c>
      <c r="BK174" s="578">
        <f t="shared" si="240"/>
        <v>-18560.530000000028</v>
      </c>
      <c r="BL174" s="576">
        <v>186357</v>
      </c>
      <c r="BM174" s="578">
        <f>'[67]Гл инж_Тех дир'!AW54</f>
        <v>186357.09</v>
      </c>
      <c r="BN174" s="522">
        <f t="shared" si="304"/>
        <v>175509.14</v>
      </c>
      <c r="BO174" s="578">
        <f t="shared" si="245"/>
        <v>-10847.859999999986</v>
      </c>
      <c r="BP174" s="578">
        <f t="shared" si="241"/>
        <v>-10847.949999999983</v>
      </c>
      <c r="BQ174" s="576">
        <v>186357</v>
      </c>
      <c r="BR174" s="578">
        <f>'[67]Гл инж_Тех дир'!BB54</f>
        <v>0</v>
      </c>
      <c r="BS174" s="578">
        <f>'[67]Гл инж_Тех дир'!BC54</f>
        <v>0</v>
      </c>
      <c r="BT174" s="536"/>
      <c r="BU174" s="578">
        <v>373022.32</v>
      </c>
      <c r="BV174" s="578">
        <v>302114.65999999997</v>
      </c>
      <c r="BW174" s="578"/>
      <c r="BX174" s="574"/>
      <c r="BY174" s="525">
        <f>373022.32+302114.66</f>
        <v>675136.98</v>
      </c>
      <c r="BZ174" s="525"/>
      <c r="CA174" s="525"/>
      <c r="CB174" s="522">
        <f t="shared" si="213"/>
        <v>675136.98</v>
      </c>
      <c r="CC174" s="522">
        <f t="shared" si="242"/>
        <v>0</v>
      </c>
      <c r="CD174" s="578"/>
      <c r="CE174" s="578"/>
      <c r="CF174" s="578"/>
      <c r="CG174" s="578"/>
      <c r="CH174" s="578"/>
      <c r="CI174" s="578"/>
      <c r="CJ174" s="578"/>
      <c r="CK174" s="542" t="s">
        <v>79</v>
      </c>
      <c r="CL174" s="543" t="s">
        <v>1903</v>
      </c>
      <c r="CM174" s="509" t="s">
        <v>1925</v>
      </c>
      <c r="CN174" s="528" t="s">
        <v>1849</v>
      </c>
      <c r="CO174" s="528"/>
      <c r="CP174" s="544">
        <f t="shared" si="305"/>
        <v>679812.58113811282</v>
      </c>
      <c r="CQ174" s="544">
        <f t="shared" si="306"/>
        <v>49934.451915153775</v>
      </c>
      <c r="CR174" s="544">
        <f t="shared" si="307"/>
        <v>7080.9669467334215</v>
      </c>
      <c r="CS174" s="1709" t="s">
        <v>1826</v>
      </c>
      <c r="CT174" s="1710"/>
      <c r="CU174" s="1710"/>
      <c r="CV174" s="1710"/>
      <c r="CW174" s="1711"/>
      <c r="CX174" s="528"/>
      <c r="CY174" s="528"/>
      <c r="CZ174" s="528"/>
      <c r="DA174" s="528"/>
      <c r="DB174" s="579">
        <f>6904.11+158524.55</f>
        <v>165428.65999999997</v>
      </c>
      <c r="DC174" s="628" t="e">
        <f>P174-#REF!</f>
        <v>#REF!</v>
      </c>
      <c r="DD174" s="535"/>
      <c r="DE174" s="535"/>
      <c r="DF174" s="525">
        <f t="shared" si="278"/>
        <v>675.13697999999999</v>
      </c>
      <c r="DG174" s="525">
        <f t="shared" si="278"/>
        <v>0</v>
      </c>
      <c r="DH174" s="525">
        <f t="shared" si="278"/>
        <v>0</v>
      </c>
      <c r="DI174" s="522">
        <f t="shared" si="278"/>
        <v>675.13697999999999</v>
      </c>
      <c r="DJ174" s="536"/>
      <c r="DK174" s="536"/>
      <c r="DL174" s="536"/>
      <c r="DM174" s="536"/>
      <c r="DN174" s="536"/>
      <c r="DO174" s="536"/>
      <c r="DP174" s="536"/>
      <c r="DQ174" s="536"/>
      <c r="DR174" s="536"/>
      <c r="DS174" s="536"/>
    </row>
    <row r="175" spans="1:123" s="534" customFormat="1" ht="63" customHeight="1">
      <c r="A175" s="537" t="s">
        <v>1062</v>
      </c>
      <c r="B175" s="538" t="s">
        <v>1063</v>
      </c>
      <c r="C175" s="576"/>
      <c r="D175" s="576">
        <v>0</v>
      </c>
      <c r="E175" s="576">
        <v>675000</v>
      </c>
      <c r="F175" s="576">
        <v>0</v>
      </c>
      <c r="G175" s="577">
        <v>0</v>
      </c>
      <c r="H175" s="577">
        <v>0</v>
      </c>
      <c r="I175" s="576">
        <f t="shared" si="298"/>
        <v>0</v>
      </c>
      <c r="J175" s="576">
        <v>0</v>
      </c>
      <c r="K175" s="576">
        <v>0</v>
      </c>
      <c r="L175" s="576">
        <v>0</v>
      </c>
      <c r="M175" s="576">
        <f t="shared" si="299"/>
        <v>0</v>
      </c>
      <c r="N175" s="576"/>
      <c r="O175" s="525">
        <f t="shared" si="300"/>
        <v>0</v>
      </c>
      <c r="P175" s="522"/>
      <c r="Q175" s="576">
        <f t="shared" si="219"/>
        <v>0</v>
      </c>
      <c r="R175" s="576">
        <v>0</v>
      </c>
      <c r="S175" s="576">
        <v>0</v>
      </c>
      <c r="T175" s="576">
        <v>0</v>
      </c>
      <c r="U175" s="522">
        <f t="shared" si="301"/>
        <v>0</v>
      </c>
      <c r="V175" s="522">
        <f t="shared" si="217"/>
        <v>0</v>
      </c>
      <c r="W175" s="522">
        <v>0</v>
      </c>
      <c r="X175" s="522">
        <f t="shared" si="221"/>
        <v>0</v>
      </c>
      <c r="Y175" s="522">
        <v>0</v>
      </c>
      <c r="Z175" s="524">
        <f t="shared" si="223"/>
        <v>0</v>
      </c>
      <c r="AA175" s="522">
        <f t="shared" si="224"/>
        <v>0</v>
      </c>
      <c r="AB175" s="522">
        <v>0</v>
      </c>
      <c r="AC175" s="522">
        <f t="shared" si="225"/>
        <v>0</v>
      </c>
      <c r="AD175" s="522">
        <v>0</v>
      </c>
      <c r="AE175" s="522">
        <f t="shared" si="227"/>
        <v>0</v>
      </c>
      <c r="AF175" s="522">
        <v>0</v>
      </c>
      <c r="AG175" s="522">
        <f t="shared" si="243"/>
        <v>0</v>
      </c>
      <c r="AH175" s="522">
        <f t="shared" si="229"/>
        <v>0</v>
      </c>
      <c r="AI175" s="522">
        <v>0</v>
      </c>
      <c r="AJ175" s="522">
        <f t="shared" si="231"/>
        <v>0</v>
      </c>
      <c r="AK175" s="522">
        <v>0</v>
      </c>
      <c r="AL175" s="522">
        <f t="shared" si="302"/>
        <v>0</v>
      </c>
      <c r="AM175" s="522">
        <f t="shared" si="270"/>
        <v>0</v>
      </c>
      <c r="AN175" s="522">
        <f t="shared" si="270"/>
        <v>0</v>
      </c>
      <c r="AO175" s="522">
        <f t="shared" si="232"/>
        <v>0</v>
      </c>
      <c r="AP175" s="522">
        <v>0</v>
      </c>
      <c r="AQ175" s="578">
        <v>0</v>
      </c>
      <c r="AR175" s="578">
        <v>0</v>
      </c>
      <c r="AS175" s="578">
        <v>0</v>
      </c>
      <c r="AT175" s="578">
        <v>0</v>
      </c>
      <c r="AU175" s="578">
        <f t="shared" si="276"/>
        <v>0</v>
      </c>
      <c r="AV175" s="578">
        <f t="shared" si="276"/>
        <v>0</v>
      </c>
      <c r="AW175" s="578">
        <f t="shared" si="233"/>
        <v>0</v>
      </c>
      <c r="AX175" s="578">
        <v>0</v>
      </c>
      <c r="AY175" s="578">
        <f t="shared" si="277"/>
        <v>0</v>
      </c>
      <c r="AZ175" s="578">
        <f t="shared" si="235"/>
        <v>0</v>
      </c>
      <c r="BA175" s="578">
        <v>0</v>
      </c>
      <c r="BB175" s="578">
        <v>0</v>
      </c>
      <c r="BC175" s="576">
        <f>'[67]Дир_ имущ'!AT24</f>
        <v>0</v>
      </c>
      <c r="BD175" s="576">
        <f t="shared" si="303"/>
        <v>0</v>
      </c>
      <c r="BE175" s="576">
        <f t="shared" si="237"/>
        <v>0</v>
      </c>
      <c r="BF175" s="576">
        <f t="shared" si="238"/>
        <v>0</v>
      </c>
      <c r="BG175" s="576">
        <f t="shared" si="218"/>
        <v>0</v>
      </c>
      <c r="BH175" s="578">
        <f t="shared" si="218"/>
        <v>0</v>
      </c>
      <c r="BI175" s="578"/>
      <c r="BJ175" s="578">
        <f t="shared" si="239"/>
        <v>0</v>
      </c>
      <c r="BK175" s="578">
        <f t="shared" si="240"/>
        <v>0</v>
      </c>
      <c r="BL175" s="576">
        <v>0</v>
      </c>
      <c r="BM175" s="578">
        <f>'[67]Дир_ имущ'!AW24</f>
        <v>0</v>
      </c>
      <c r="BN175" s="522">
        <f t="shared" si="304"/>
        <v>0</v>
      </c>
      <c r="BO175" s="578">
        <f t="shared" si="245"/>
        <v>0</v>
      </c>
      <c r="BP175" s="578">
        <f t="shared" si="241"/>
        <v>0</v>
      </c>
      <c r="BQ175" s="576">
        <v>0</v>
      </c>
      <c r="BR175" s="578">
        <f>'[67]Дир_ имущ'!BB24</f>
        <v>0</v>
      </c>
      <c r="BS175" s="578">
        <f>'[67]Дир_ имущ'!BC24</f>
        <v>0</v>
      </c>
      <c r="BT175" s="536"/>
      <c r="BU175" s="578"/>
      <c r="BV175" s="578"/>
      <c r="BW175" s="578"/>
      <c r="BX175" s="574"/>
      <c r="BY175" s="525"/>
      <c r="BZ175" s="525"/>
      <c r="CA175" s="525"/>
      <c r="CB175" s="522">
        <f t="shared" si="213"/>
        <v>0</v>
      </c>
      <c r="CC175" s="522">
        <f t="shared" si="242"/>
        <v>0</v>
      </c>
      <c r="CD175" s="578"/>
      <c r="CE175" s="578"/>
      <c r="CF175" s="578"/>
      <c r="CG175" s="578"/>
      <c r="CH175" s="578"/>
      <c r="CI175" s="578"/>
      <c r="CJ175" s="578"/>
      <c r="CK175" s="543" t="s">
        <v>1815</v>
      </c>
      <c r="CL175" s="543" t="s">
        <v>1816</v>
      </c>
      <c r="CM175" s="509" t="s">
        <v>1925</v>
      </c>
      <c r="CN175" s="528"/>
      <c r="CO175" s="528"/>
      <c r="CP175" s="544">
        <f t="shared" si="305"/>
        <v>0</v>
      </c>
      <c r="CQ175" s="544">
        <f t="shared" si="306"/>
        <v>0</v>
      </c>
      <c r="CR175" s="544">
        <f t="shared" si="307"/>
        <v>0</v>
      </c>
      <c r="CS175" s="1709" t="s">
        <v>1826</v>
      </c>
      <c r="CT175" s="1710"/>
      <c r="CU175" s="1710"/>
      <c r="CV175" s="1710"/>
      <c r="CW175" s="1711"/>
      <c r="CX175" s="528"/>
      <c r="CY175" s="528"/>
      <c r="CZ175" s="528"/>
      <c r="DA175" s="528"/>
      <c r="DB175" s="579"/>
      <c r="DC175" s="628" t="e">
        <f>P175-#REF!</f>
        <v>#REF!</v>
      </c>
      <c r="DD175" s="535"/>
      <c r="DE175" s="535"/>
      <c r="DF175" s="525">
        <f t="shared" si="278"/>
        <v>0</v>
      </c>
      <c r="DG175" s="525">
        <f t="shared" si="278"/>
        <v>0</v>
      </c>
      <c r="DH175" s="525">
        <f t="shared" si="278"/>
        <v>0</v>
      </c>
      <c r="DI175" s="522">
        <f t="shared" si="278"/>
        <v>0</v>
      </c>
      <c r="DJ175" s="536"/>
      <c r="DK175" s="536"/>
      <c r="DL175" s="536"/>
      <c r="DM175" s="536"/>
      <c r="DN175" s="536"/>
      <c r="DO175" s="536"/>
      <c r="DP175" s="536"/>
      <c r="DQ175" s="536"/>
      <c r="DR175" s="536"/>
      <c r="DS175" s="536"/>
    </row>
    <row r="176" spans="1:123" s="534" customFormat="1" ht="118.5" customHeight="1">
      <c r="A176" s="537" t="s">
        <v>1067</v>
      </c>
      <c r="B176" s="538" t="s">
        <v>1068</v>
      </c>
      <c r="C176" s="576"/>
      <c r="D176" s="576">
        <v>0</v>
      </c>
      <c r="E176" s="576">
        <v>0</v>
      </c>
      <c r="F176" s="576">
        <v>0</v>
      </c>
      <c r="G176" s="577">
        <v>0</v>
      </c>
      <c r="H176" s="577">
        <v>0</v>
      </c>
      <c r="I176" s="576">
        <f t="shared" si="298"/>
        <v>0</v>
      </c>
      <c r="J176" s="576">
        <v>0</v>
      </c>
      <c r="K176" s="576">
        <v>0</v>
      </c>
      <c r="L176" s="576">
        <v>0</v>
      </c>
      <c r="M176" s="576">
        <f t="shared" si="299"/>
        <v>0</v>
      </c>
      <c r="N176" s="576"/>
      <c r="O176" s="525">
        <f t="shared" si="300"/>
        <v>0</v>
      </c>
      <c r="P176" s="522"/>
      <c r="Q176" s="576">
        <f t="shared" si="219"/>
        <v>0</v>
      </c>
      <c r="R176" s="576">
        <v>0</v>
      </c>
      <c r="S176" s="576">
        <v>0</v>
      </c>
      <c r="T176" s="576">
        <v>0</v>
      </c>
      <c r="U176" s="522">
        <f t="shared" si="301"/>
        <v>0</v>
      </c>
      <c r="V176" s="522">
        <f t="shared" si="217"/>
        <v>0</v>
      </c>
      <c r="W176" s="522">
        <v>0</v>
      </c>
      <c r="X176" s="522">
        <f t="shared" si="221"/>
        <v>0</v>
      </c>
      <c r="Y176" s="522">
        <v>0</v>
      </c>
      <c r="Z176" s="524">
        <f t="shared" si="223"/>
        <v>0</v>
      </c>
      <c r="AA176" s="522">
        <f t="shared" si="224"/>
        <v>0</v>
      </c>
      <c r="AB176" s="522">
        <v>0</v>
      </c>
      <c r="AC176" s="522">
        <f t="shared" si="225"/>
        <v>0</v>
      </c>
      <c r="AD176" s="522">
        <v>0</v>
      </c>
      <c r="AE176" s="522">
        <f t="shared" si="227"/>
        <v>0</v>
      </c>
      <c r="AF176" s="522">
        <v>0</v>
      </c>
      <c r="AG176" s="522">
        <f t="shared" si="243"/>
        <v>0</v>
      </c>
      <c r="AH176" s="522">
        <f t="shared" si="229"/>
        <v>0</v>
      </c>
      <c r="AI176" s="522">
        <v>0</v>
      </c>
      <c r="AJ176" s="522">
        <f t="shared" si="231"/>
        <v>0</v>
      </c>
      <c r="AK176" s="522">
        <v>0</v>
      </c>
      <c r="AL176" s="522">
        <f t="shared" si="302"/>
        <v>0</v>
      </c>
      <c r="AM176" s="522">
        <f t="shared" si="270"/>
        <v>0</v>
      </c>
      <c r="AN176" s="522">
        <f t="shared" si="270"/>
        <v>0</v>
      </c>
      <c r="AO176" s="522">
        <f t="shared" si="232"/>
        <v>0</v>
      </c>
      <c r="AP176" s="522">
        <v>0</v>
      </c>
      <c r="AQ176" s="578">
        <v>0</v>
      </c>
      <c r="AR176" s="578">
        <v>0</v>
      </c>
      <c r="AS176" s="578">
        <v>0</v>
      </c>
      <c r="AT176" s="578">
        <v>0</v>
      </c>
      <c r="AU176" s="578">
        <f t="shared" si="276"/>
        <v>0</v>
      </c>
      <c r="AV176" s="578">
        <f t="shared" si="276"/>
        <v>0</v>
      </c>
      <c r="AW176" s="578">
        <f t="shared" si="233"/>
        <v>0</v>
      </c>
      <c r="AX176" s="578">
        <v>0</v>
      </c>
      <c r="AY176" s="578">
        <f t="shared" si="277"/>
        <v>0</v>
      </c>
      <c r="AZ176" s="578">
        <f t="shared" si="235"/>
        <v>0</v>
      </c>
      <c r="BA176" s="578">
        <v>0</v>
      </c>
      <c r="BB176" s="578">
        <v>0</v>
      </c>
      <c r="BC176" s="576">
        <f>'[67]Дир_ имущ'!AT25</f>
        <v>0</v>
      </c>
      <c r="BD176" s="576">
        <f t="shared" si="303"/>
        <v>0</v>
      </c>
      <c r="BE176" s="576">
        <f t="shared" si="237"/>
        <v>0</v>
      </c>
      <c r="BF176" s="576">
        <f t="shared" si="238"/>
        <v>0</v>
      </c>
      <c r="BG176" s="576">
        <f t="shared" si="218"/>
        <v>0</v>
      </c>
      <c r="BH176" s="578">
        <f t="shared" si="218"/>
        <v>0</v>
      </c>
      <c r="BI176" s="578"/>
      <c r="BJ176" s="578">
        <f t="shared" si="239"/>
        <v>0</v>
      </c>
      <c r="BK176" s="578">
        <f t="shared" si="240"/>
        <v>0</v>
      </c>
      <c r="BL176" s="576">
        <v>0</v>
      </c>
      <c r="BM176" s="578">
        <f>'[67]Дир_ имущ'!AW25</f>
        <v>0</v>
      </c>
      <c r="BN176" s="522">
        <f t="shared" si="304"/>
        <v>0</v>
      </c>
      <c r="BO176" s="578">
        <f t="shared" si="245"/>
        <v>0</v>
      </c>
      <c r="BP176" s="578">
        <f t="shared" si="241"/>
        <v>0</v>
      </c>
      <c r="BQ176" s="576">
        <v>0</v>
      </c>
      <c r="BR176" s="578">
        <f>'[67]Дир_ имущ'!BB25</f>
        <v>0</v>
      </c>
      <c r="BS176" s="578">
        <f>'[67]Дир_ имущ'!BC25</f>
        <v>0</v>
      </c>
      <c r="BT176" s="536"/>
      <c r="BU176" s="578"/>
      <c r="BV176" s="578"/>
      <c r="BW176" s="578"/>
      <c r="BX176" s="574"/>
      <c r="BY176" s="525"/>
      <c r="BZ176" s="525"/>
      <c r="CA176" s="525"/>
      <c r="CB176" s="522">
        <f t="shared" si="213"/>
        <v>0</v>
      </c>
      <c r="CC176" s="522">
        <f t="shared" si="242"/>
        <v>0</v>
      </c>
      <c r="CD176" s="578"/>
      <c r="CE176" s="578"/>
      <c r="CF176" s="578"/>
      <c r="CG176" s="578"/>
      <c r="CH176" s="578"/>
      <c r="CI176" s="578"/>
      <c r="CJ176" s="578"/>
      <c r="CK176" s="543" t="s">
        <v>1815</v>
      </c>
      <c r="CL176" s="543" t="s">
        <v>1816</v>
      </c>
      <c r="CM176" s="509" t="s">
        <v>1925</v>
      </c>
      <c r="CN176" s="528"/>
      <c r="CO176" s="528"/>
      <c r="CP176" s="544">
        <f t="shared" si="305"/>
        <v>0</v>
      </c>
      <c r="CQ176" s="544">
        <f t="shared" si="306"/>
        <v>0</v>
      </c>
      <c r="CR176" s="544">
        <f t="shared" si="307"/>
        <v>0</v>
      </c>
      <c r="CS176" s="1709" t="s">
        <v>1826</v>
      </c>
      <c r="CT176" s="1710"/>
      <c r="CU176" s="1710"/>
      <c r="CV176" s="1710"/>
      <c r="CW176" s="1711"/>
      <c r="CX176" s="528"/>
      <c r="CY176" s="528"/>
      <c r="CZ176" s="528"/>
      <c r="DA176" s="528"/>
      <c r="DB176" s="579"/>
      <c r="DC176" s="628" t="e">
        <f>P176-#REF!</f>
        <v>#REF!</v>
      </c>
      <c r="DD176" s="535"/>
      <c r="DE176" s="535"/>
      <c r="DF176" s="525">
        <f t="shared" si="278"/>
        <v>0</v>
      </c>
      <c r="DG176" s="525">
        <f t="shared" si="278"/>
        <v>0</v>
      </c>
      <c r="DH176" s="525">
        <f t="shared" si="278"/>
        <v>0</v>
      </c>
      <c r="DI176" s="522">
        <f t="shared" si="278"/>
        <v>0</v>
      </c>
      <c r="DJ176" s="536"/>
      <c r="DK176" s="536"/>
      <c r="DL176" s="536"/>
      <c r="DM176" s="536"/>
      <c r="DN176" s="536"/>
      <c r="DO176" s="536"/>
      <c r="DP176" s="536"/>
      <c r="DQ176" s="536"/>
      <c r="DR176" s="536"/>
      <c r="DS176" s="536"/>
    </row>
    <row r="177" spans="1:123" s="534" customFormat="1" ht="58.5" customHeight="1">
      <c r="A177" s="537" t="s">
        <v>722</v>
      </c>
      <c r="B177" s="538" t="s">
        <v>723</v>
      </c>
      <c r="C177" s="576">
        <v>20461641.66</v>
      </c>
      <c r="D177" s="576">
        <v>17314724.030000001</v>
      </c>
      <c r="E177" s="576">
        <v>22657000</v>
      </c>
      <c r="F177" s="576">
        <v>21084032.25</v>
      </c>
      <c r="G177" s="577">
        <v>17114927.888876371</v>
      </c>
      <c r="H177" s="577">
        <v>0</v>
      </c>
      <c r="I177" s="576">
        <f t="shared" si="298"/>
        <v>22952991.350000001</v>
      </c>
      <c r="J177" s="576">
        <v>10676816.93</v>
      </c>
      <c r="K177" s="576">
        <v>6141760.5300000003</v>
      </c>
      <c r="L177" s="576">
        <v>6134413.8899999997</v>
      </c>
      <c r="M177" s="576">
        <f t="shared" si="299"/>
        <v>16818577.460000001</v>
      </c>
      <c r="N177" s="576">
        <v>17193010.670000002</v>
      </c>
      <c r="O177" s="525">
        <f t="shared" si="300"/>
        <v>4003388.75</v>
      </c>
      <c r="P177" s="522">
        <f>20652399.42+544000</f>
        <v>21196399.420000002</v>
      </c>
      <c r="Q177" s="576">
        <f t="shared" si="219"/>
        <v>-1756591.9299999997</v>
      </c>
      <c r="R177" s="576">
        <f t="shared" si="220"/>
        <v>-7.6529978302806256</v>
      </c>
      <c r="S177" s="576">
        <v>18056248.922764566</v>
      </c>
      <c r="T177" s="576">
        <v>18308048.922764599</v>
      </c>
      <c r="U177" s="522">
        <f t="shared" si="301"/>
        <v>20474749.52</v>
      </c>
      <c r="V177" s="522">
        <f t="shared" si="217"/>
        <v>2166700.5972354002</v>
      </c>
      <c r="W177" s="522">
        <f t="shared" si="246"/>
        <v>11.834688700996864</v>
      </c>
      <c r="X177" s="522">
        <f t="shared" si="221"/>
        <v>-721649.90000000224</v>
      </c>
      <c r="Y177" s="522">
        <f t="shared" si="222"/>
        <v>-3.4045871928563685</v>
      </c>
      <c r="Z177" s="524">
        <f t="shared" si="223"/>
        <v>21612657.18</v>
      </c>
      <c r="AA177" s="522">
        <f t="shared" si="224"/>
        <v>3304608.2572354004</v>
      </c>
      <c r="AB177" s="522">
        <f t="shared" si="247"/>
        <v>18.050029640932323</v>
      </c>
      <c r="AC177" s="522">
        <f t="shared" si="225"/>
        <v>1137907.6600000001</v>
      </c>
      <c r="AD177" s="522">
        <f t="shared" si="226"/>
        <v>5.5576145578165779</v>
      </c>
      <c r="AE177" s="522">
        <f t="shared" si="227"/>
        <v>416257.75999999791</v>
      </c>
      <c r="AF177" s="522">
        <f t="shared" si="228"/>
        <v>1.9638135314964558</v>
      </c>
      <c r="AG177" s="522">
        <f t="shared" si="243"/>
        <v>22244571.030000001</v>
      </c>
      <c r="AH177" s="522">
        <f t="shared" si="229"/>
        <v>1769821.5100000016</v>
      </c>
      <c r="AI177" s="522">
        <f t="shared" si="230"/>
        <v>8.6439226436993266</v>
      </c>
      <c r="AJ177" s="522">
        <f t="shared" si="231"/>
        <v>631913.85000000149</v>
      </c>
      <c r="AK177" s="522">
        <f>AG177/Z177*100-100</f>
        <v>2.9238137853070896</v>
      </c>
      <c r="AL177" s="522">
        <f t="shared" si="302"/>
        <v>22244571.030000001</v>
      </c>
      <c r="AM177" s="522">
        <f t="shared" si="270"/>
        <v>10234995.76</v>
      </c>
      <c r="AN177" s="522">
        <f t="shared" si="270"/>
        <v>8521236.7899999991</v>
      </c>
      <c r="AO177" s="522">
        <f t="shared" si="232"/>
        <v>-1713758.9700000007</v>
      </c>
      <c r="AP177" s="522">
        <f t="shared" si="244"/>
        <v>-16.744110209577656</v>
      </c>
      <c r="AQ177" s="578">
        <f>5105118.88+10000</f>
        <v>5115118.88</v>
      </c>
      <c r="AR177" s="578">
        <v>4303994.3899999997</v>
      </c>
      <c r="AS177" s="578">
        <f>5104876.88+15000</f>
        <v>5119876.88</v>
      </c>
      <c r="AT177" s="578">
        <v>4217242.3999999994</v>
      </c>
      <c r="AU177" s="578">
        <f t="shared" si="276"/>
        <v>10239753.76</v>
      </c>
      <c r="AV177" s="578">
        <f t="shared" si="276"/>
        <v>13091420.389999999</v>
      </c>
      <c r="AW177" s="578">
        <f t="shared" si="233"/>
        <v>2851666.629999999</v>
      </c>
      <c r="AX177" s="578">
        <f t="shared" si="234"/>
        <v>27.848976614453264</v>
      </c>
      <c r="AY177" s="578">
        <f t="shared" si="277"/>
        <v>13723334.240000002</v>
      </c>
      <c r="AZ177" s="578">
        <f t="shared" si="235"/>
        <v>-631913.85000000335</v>
      </c>
      <c r="BA177" s="578">
        <f t="shared" si="236"/>
        <v>-4.6046670506511305</v>
      </c>
      <c r="BB177" s="578">
        <f>5104876.88+15000</f>
        <v>5119876.88</v>
      </c>
      <c r="BC177" s="576">
        <f>'[67]Дир_ имущ'!AT67</f>
        <v>4579392.0999999996</v>
      </c>
      <c r="BD177" s="576">
        <f t="shared" si="303"/>
        <v>4926716.8900000006</v>
      </c>
      <c r="BE177" s="576">
        <f t="shared" si="237"/>
        <v>-193159.98999999929</v>
      </c>
      <c r="BF177" s="576">
        <f t="shared" si="238"/>
        <v>347324.79000000097</v>
      </c>
      <c r="BG177" s="576">
        <f t="shared" si="218"/>
        <v>15354872.640000001</v>
      </c>
      <c r="BH177" s="578">
        <f t="shared" si="218"/>
        <v>13100628.889999999</v>
      </c>
      <c r="BI177" s="578">
        <v>13447953.68</v>
      </c>
      <c r="BJ177" s="578">
        <f t="shared" si="239"/>
        <v>-1906918.9600000009</v>
      </c>
      <c r="BK177" s="578">
        <f t="shared" si="240"/>
        <v>347324.79000000097</v>
      </c>
      <c r="BL177" s="576">
        <f>5104876.88+15000</f>
        <v>5119876.88</v>
      </c>
      <c r="BM177" s="578">
        <f>'[67]Дир_ имущ'!AW67</f>
        <v>8512028.2899999991</v>
      </c>
      <c r="BN177" s="522">
        <f t="shared" si="304"/>
        <v>8796617.3500000015</v>
      </c>
      <c r="BO177" s="578">
        <f t="shared" si="245"/>
        <v>3676740.4700000016</v>
      </c>
      <c r="BP177" s="578">
        <f t="shared" si="241"/>
        <v>284589.06000000238</v>
      </c>
      <c r="BQ177" s="576">
        <f>5104876.88+15000</f>
        <v>5119876.88</v>
      </c>
      <c r="BR177" s="578">
        <f>'[67]Дир_ имущ'!BB67</f>
        <v>0</v>
      </c>
      <c r="BS177" s="578">
        <f>'[67]Дир_ имущ'!BC67</f>
        <v>0</v>
      </c>
      <c r="BT177" s="536"/>
      <c r="BU177" s="578">
        <v>22244571.030000001</v>
      </c>
      <c r="BV177" s="578"/>
      <c r="BW177" s="578"/>
      <c r="BX177" s="574"/>
      <c r="BY177" s="525">
        <v>20533074.16</v>
      </c>
      <c r="BZ177" s="525">
        <v>1472324.26</v>
      </c>
      <c r="CA177" s="525">
        <v>239172.61</v>
      </c>
      <c r="CB177" s="522">
        <f t="shared" si="213"/>
        <v>22244571.030000001</v>
      </c>
      <c r="CC177" s="522">
        <f t="shared" si="242"/>
        <v>0</v>
      </c>
      <c r="CD177" s="578"/>
      <c r="CE177" s="578"/>
      <c r="CF177" s="578"/>
      <c r="CG177" s="578"/>
      <c r="CH177" s="578"/>
      <c r="CI177" s="578"/>
      <c r="CJ177" s="578"/>
      <c r="CK177" s="543" t="s">
        <v>1815</v>
      </c>
      <c r="CL177" s="543" t="s">
        <v>1922</v>
      </c>
      <c r="CM177" s="509" t="s">
        <v>1925</v>
      </c>
      <c r="CN177" s="528" t="s">
        <v>1849</v>
      </c>
      <c r="CO177" s="528"/>
      <c r="CP177" s="544">
        <f t="shared" si="305"/>
        <v>18890422.621490411</v>
      </c>
      <c r="CQ177" s="544">
        <f t="shared" si="306"/>
        <v>1387563.1699409601</v>
      </c>
      <c r="CR177" s="544">
        <f t="shared" si="307"/>
        <v>196763.72856862927</v>
      </c>
      <c r="CS177" s="1709" t="s">
        <v>1826</v>
      </c>
      <c r="CT177" s="1710"/>
      <c r="CU177" s="1710"/>
      <c r="CV177" s="1710"/>
      <c r="CW177" s="1711"/>
      <c r="CX177" s="528"/>
      <c r="CY177" s="528"/>
      <c r="CZ177" s="528"/>
      <c r="DA177" s="528"/>
      <c r="DB177" s="579">
        <f>4303994.39</f>
        <v>4303994.3899999997</v>
      </c>
      <c r="DC177" s="628" t="e">
        <f>P177-#REF!</f>
        <v>#REF!</v>
      </c>
      <c r="DD177" s="535"/>
      <c r="DE177" s="535"/>
      <c r="DF177" s="525">
        <f t="shared" si="278"/>
        <v>20533.07416</v>
      </c>
      <c r="DG177" s="525">
        <f t="shared" si="278"/>
        <v>1472.3242600000001</v>
      </c>
      <c r="DH177" s="525">
        <f t="shared" si="278"/>
        <v>239.17260999999999</v>
      </c>
      <c r="DI177" s="522">
        <f t="shared" si="278"/>
        <v>22244.571030000003</v>
      </c>
      <c r="DJ177" s="536"/>
      <c r="DK177" s="536"/>
      <c r="DL177" s="536"/>
      <c r="DM177" s="536"/>
      <c r="DN177" s="536"/>
      <c r="DO177" s="536"/>
      <c r="DP177" s="536"/>
      <c r="DQ177" s="536"/>
      <c r="DR177" s="536"/>
      <c r="DS177" s="536"/>
    </row>
    <row r="178" spans="1:123" s="534" customFormat="1" ht="123" customHeight="1">
      <c r="A178" s="537" t="s">
        <v>797</v>
      </c>
      <c r="B178" s="538" t="s">
        <v>798</v>
      </c>
      <c r="C178" s="576">
        <v>958173.1</v>
      </c>
      <c r="D178" s="576">
        <v>1938967.89</v>
      </c>
      <c r="E178" s="576">
        <v>1633260</v>
      </c>
      <c r="F178" s="576">
        <v>1691901.38</v>
      </c>
      <c r="G178" s="577">
        <v>1379453.34527683</v>
      </c>
      <c r="H178" s="577">
        <v>0</v>
      </c>
      <c r="I178" s="576">
        <f t="shared" si="298"/>
        <v>1314404.1600000001</v>
      </c>
      <c r="J178" s="576">
        <v>692627.11</v>
      </c>
      <c r="K178" s="576">
        <v>307790.42</v>
      </c>
      <c r="L178" s="576">
        <v>313986.63</v>
      </c>
      <c r="M178" s="576">
        <f t="shared" si="299"/>
        <v>1000417.53</v>
      </c>
      <c r="N178" s="576">
        <v>1020385.74</v>
      </c>
      <c r="O178" s="525">
        <f t="shared" si="300"/>
        <v>291835.30000000005</v>
      </c>
      <c r="P178" s="522">
        <f>253426+3000+1309221.04-253426</f>
        <v>1312221.04</v>
      </c>
      <c r="Q178" s="576">
        <f t="shared" si="219"/>
        <v>-2183.1200000001118</v>
      </c>
      <c r="R178" s="576">
        <f t="shared" si="220"/>
        <v>-0.16609198802292724</v>
      </c>
      <c r="S178" s="576">
        <v>1862437.3924999998</v>
      </c>
      <c r="T178" s="576">
        <v>1635157.3925000001</v>
      </c>
      <c r="U178" s="522">
        <f t="shared" si="301"/>
        <v>1381438.76</v>
      </c>
      <c r="V178" s="522">
        <f t="shared" si="217"/>
        <v>-253718.63250000007</v>
      </c>
      <c r="W178" s="522">
        <f t="shared" si="246"/>
        <v>-15.516465489116513</v>
      </c>
      <c r="X178" s="522">
        <f t="shared" si="221"/>
        <v>69217.719999999972</v>
      </c>
      <c r="Y178" s="522">
        <f t="shared" si="222"/>
        <v>5.2748521697228767</v>
      </c>
      <c r="Z178" s="524">
        <f t="shared" si="223"/>
        <v>1398444.27</v>
      </c>
      <c r="AA178" s="522">
        <f t="shared" si="224"/>
        <v>-236713.12250000006</v>
      </c>
      <c r="AB178" s="522">
        <f t="shared" si="247"/>
        <v>-14.476473248736511</v>
      </c>
      <c r="AC178" s="522">
        <f t="shared" si="225"/>
        <v>17005.510000000009</v>
      </c>
      <c r="AD178" s="522">
        <f t="shared" si="226"/>
        <v>1.2309999177958559</v>
      </c>
      <c r="AE178" s="522">
        <f t="shared" si="227"/>
        <v>86223.229999999981</v>
      </c>
      <c r="AF178" s="522">
        <f t="shared" si="228"/>
        <v>6.5707855133918542</v>
      </c>
      <c r="AG178" s="522">
        <f t="shared" si="243"/>
        <v>1459718.34</v>
      </c>
      <c r="AH178" s="522">
        <f t="shared" si="229"/>
        <v>78279.580000000075</v>
      </c>
      <c r="AI178" s="522">
        <f t="shared" si="230"/>
        <v>5.666525528790018</v>
      </c>
      <c r="AJ178" s="522">
        <f t="shared" si="231"/>
        <v>61274.070000000065</v>
      </c>
      <c r="AK178" s="522">
        <f>AG178/Z178*100-100</f>
        <v>4.3815882630775036</v>
      </c>
      <c r="AL178" s="522">
        <f t="shared" si="302"/>
        <v>1459718.34</v>
      </c>
      <c r="AM178" s="522">
        <f t="shared" si="270"/>
        <v>690719.38</v>
      </c>
      <c r="AN178" s="522">
        <f t="shared" si="270"/>
        <v>707724.81</v>
      </c>
      <c r="AO178" s="522">
        <f t="shared" si="232"/>
        <v>17005.430000000051</v>
      </c>
      <c r="AP178" s="522">
        <f t="shared" si="244"/>
        <v>2.4619882534641135</v>
      </c>
      <c r="AQ178" s="578">
        <v>345359.69</v>
      </c>
      <c r="AR178" s="578">
        <v>352457.72</v>
      </c>
      <c r="AS178" s="578">
        <v>345359.69</v>
      </c>
      <c r="AT178" s="578">
        <v>355267.09000000008</v>
      </c>
      <c r="AU178" s="578">
        <f t="shared" si="276"/>
        <v>690719.38</v>
      </c>
      <c r="AV178" s="578">
        <f t="shared" si="276"/>
        <v>690719.46</v>
      </c>
      <c r="AW178" s="578">
        <f t="shared" si="233"/>
        <v>7.9999999958090484E-2</v>
      </c>
      <c r="AX178" s="578">
        <f t="shared" si="234"/>
        <v>1.1582127584119917E-5</v>
      </c>
      <c r="AY178" s="578">
        <f t="shared" si="277"/>
        <v>751993.53</v>
      </c>
      <c r="AZ178" s="578">
        <f t="shared" si="235"/>
        <v>-61274.070000000065</v>
      </c>
      <c r="BA178" s="578">
        <f t="shared" si="236"/>
        <v>-8.148217711394409</v>
      </c>
      <c r="BB178" s="578">
        <v>345359.69</v>
      </c>
      <c r="BC178" s="576">
        <f>'[67]Гл инж_Тех дир'!AT55</f>
        <v>345359.73</v>
      </c>
      <c r="BD178" s="576">
        <f t="shared" si="303"/>
        <v>376896.66999999993</v>
      </c>
      <c r="BE178" s="576">
        <f t="shared" si="237"/>
        <v>31536.979999999923</v>
      </c>
      <c r="BF178" s="576">
        <f t="shared" si="238"/>
        <v>31536.939999999944</v>
      </c>
      <c r="BG178" s="576">
        <f t="shared" si="218"/>
        <v>1036079.0700000001</v>
      </c>
      <c r="BH178" s="578">
        <f t="shared" si="218"/>
        <v>1053084.54</v>
      </c>
      <c r="BI178" s="578">
        <v>1084621.48</v>
      </c>
      <c r="BJ178" s="578">
        <f t="shared" si="239"/>
        <v>48542.409999999916</v>
      </c>
      <c r="BK178" s="578">
        <f t="shared" si="240"/>
        <v>31536.939999999944</v>
      </c>
      <c r="BL178" s="576">
        <v>345359.69</v>
      </c>
      <c r="BM178" s="578">
        <f>'[67]Гл инж_Тех дир'!AW55</f>
        <v>345359.73</v>
      </c>
      <c r="BN178" s="522">
        <f t="shared" si="304"/>
        <v>375096.8600000001</v>
      </c>
      <c r="BO178" s="578">
        <f t="shared" si="245"/>
        <v>29737.1700000001</v>
      </c>
      <c r="BP178" s="578">
        <f t="shared" si="241"/>
        <v>29737.130000000121</v>
      </c>
      <c r="BQ178" s="576">
        <v>345359.69</v>
      </c>
      <c r="BR178" s="578">
        <f>'[67]Гл инж_Тех дир'!BB55</f>
        <v>0</v>
      </c>
      <c r="BS178" s="578">
        <f>'[67]Гл инж_Тех дир'!BC55</f>
        <v>0</v>
      </c>
      <c r="BT178" s="536"/>
      <c r="BU178" s="578">
        <v>1459718.34</v>
      </c>
      <c r="BV178" s="578"/>
      <c r="BW178" s="578"/>
      <c r="BX178" s="574"/>
      <c r="BY178" s="525">
        <v>1363523.92</v>
      </c>
      <c r="BZ178" s="525">
        <v>80932.37</v>
      </c>
      <c r="CA178" s="525">
        <v>15262.05</v>
      </c>
      <c r="CB178" s="522">
        <f t="shared" si="213"/>
        <v>1459718.34</v>
      </c>
      <c r="CC178" s="522">
        <f t="shared" si="242"/>
        <v>0</v>
      </c>
      <c r="CD178" s="578"/>
      <c r="CE178" s="578"/>
      <c r="CF178" s="578"/>
      <c r="CG178" s="578"/>
      <c r="CH178" s="578"/>
      <c r="CI178" s="578"/>
      <c r="CJ178" s="578"/>
      <c r="CK178" s="542" t="s">
        <v>79</v>
      </c>
      <c r="CL178" s="543" t="s">
        <v>1903</v>
      </c>
      <c r="CM178" s="509" t="s">
        <v>1925</v>
      </c>
      <c r="CN178" s="528" t="s">
        <v>1849</v>
      </c>
      <c r="CO178" s="528"/>
      <c r="CP178" s="544">
        <f t="shared" si="305"/>
        <v>1274543.6507839467</v>
      </c>
      <c r="CQ178" s="544">
        <f t="shared" si="306"/>
        <v>93619.389240025717</v>
      </c>
      <c r="CR178" s="544">
        <f t="shared" si="307"/>
        <v>13275.71997602752</v>
      </c>
      <c r="CS178" s="1709" t="s">
        <v>1826</v>
      </c>
      <c r="CT178" s="1710"/>
      <c r="CU178" s="1710"/>
      <c r="CV178" s="1710"/>
      <c r="CW178" s="1711"/>
      <c r="CX178" s="528"/>
      <c r="CY178" s="528"/>
      <c r="CZ178" s="528"/>
      <c r="DA178" s="528"/>
      <c r="DB178" s="579">
        <f>352457.72</f>
        <v>352457.72</v>
      </c>
      <c r="DC178" s="628" t="e">
        <f>P178-#REF!</f>
        <v>#REF!</v>
      </c>
      <c r="DD178" s="535"/>
      <c r="DE178" s="535"/>
      <c r="DF178" s="525">
        <f t="shared" si="278"/>
        <v>1363.5239199999999</v>
      </c>
      <c r="DG178" s="525">
        <f t="shared" si="278"/>
        <v>80.932369999999992</v>
      </c>
      <c r="DH178" s="525">
        <f t="shared" si="278"/>
        <v>15.262049999999999</v>
      </c>
      <c r="DI178" s="522">
        <f t="shared" si="278"/>
        <v>1459.7183400000001</v>
      </c>
      <c r="DJ178" s="536"/>
      <c r="DK178" s="536"/>
      <c r="DL178" s="536"/>
      <c r="DM178" s="536"/>
      <c r="DN178" s="536"/>
      <c r="DO178" s="536"/>
      <c r="DP178" s="536"/>
      <c r="DQ178" s="536"/>
      <c r="DR178" s="536"/>
      <c r="DS178" s="536"/>
    </row>
    <row r="179" spans="1:123" s="534" customFormat="1" ht="89.25" customHeight="1">
      <c r="A179" s="537" t="s">
        <v>1113</v>
      </c>
      <c r="B179" s="538" t="s">
        <v>1114</v>
      </c>
      <c r="C179" s="576"/>
      <c r="D179" s="576"/>
      <c r="E179" s="576"/>
      <c r="F179" s="576"/>
      <c r="G179" s="631">
        <v>289964.97376898688</v>
      </c>
      <c r="H179" s="577">
        <v>0</v>
      </c>
      <c r="I179" s="576">
        <f t="shared" si="298"/>
        <v>2034059.46</v>
      </c>
      <c r="J179" s="576">
        <v>606919.86</v>
      </c>
      <c r="K179" s="576">
        <v>774254.64</v>
      </c>
      <c r="L179" s="576">
        <v>652884.96</v>
      </c>
      <c r="M179" s="576">
        <f t="shared" si="299"/>
        <v>1381174.5</v>
      </c>
      <c r="N179" s="576">
        <v>1222582.3999999999</v>
      </c>
      <c r="O179" s="525">
        <f t="shared" si="300"/>
        <v>551615.03</v>
      </c>
      <c r="P179" s="522">
        <v>1774197.43</v>
      </c>
      <c r="Q179" s="576">
        <f t="shared" si="219"/>
        <v>-259862.03000000003</v>
      </c>
      <c r="R179" s="576">
        <f t="shared" si="220"/>
        <v>-12.775537545003729</v>
      </c>
      <c r="S179" s="576"/>
      <c r="T179" s="576"/>
      <c r="U179" s="522">
        <f t="shared" si="301"/>
        <v>1713245.4700000002</v>
      </c>
      <c r="V179" s="522">
        <f t="shared" si="217"/>
        <v>1713245.4700000002</v>
      </c>
      <c r="W179" s="522">
        <v>0</v>
      </c>
      <c r="X179" s="522">
        <f t="shared" si="221"/>
        <v>-60951.95999999973</v>
      </c>
      <c r="Y179" s="522">
        <f t="shared" si="222"/>
        <v>-3.4354665929146222</v>
      </c>
      <c r="Z179" s="524">
        <f t="shared" si="223"/>
        <v>1143301.49</v>
      </c>
      <c r="AA179" s="522">
        <f t="shared" si="224"/>
        <v>1143301.49</v>
      </c>
      <c r="AB179" s="522">
        <v>0</v>
      </c>
      <c r="AC179" s="522">
        <f t="shared" si="225"/>
        <v>-569943.98000000021</v>
      </c>
      <c r="AD179" s="522">
        <f t="shared" si="226"/>
        <v>-33.266918837964312</v>
      </c>
      <c r="AE179" s="522">
        <f t="shared" si="227"/>
        <v>-630895.93999999994</v>
      </c>
      <c r="AF179" s="522">
        <f t="shared" si="228"/>
        <v>-35.559511547708638</v>
      </c>
      <c r="AG179" s="522">
        <f t="shared" si="243"/>
        <v>1113301.3500000001</v>
      </c>
      <c r="AH179" s="522">
        <f t="shared" si="229"/>
        <v>-599944.12000000011</v>
      </c>
      <c r="AI179" s="522">
        <f t="shared" si="230"/>
        <v>-35.017989570402904</v>
      </c>
      <c r="AJ179" s="522">
        <f t="shared" si="231"/>
        <v>-30000.139999999898</v>
      </c>
      <c r="AK179" s="522">
        <f>AG179/Z179*100-100</f>
        <v>-2.6239920320579557</v>
      </c>
      <c r="AL179" s="522">
        <f t="shared" si="302"/>
        <v>1113301.3500000001</v>
      </c>
      <c r="AM179" s="522">
        <f t="shared" si="270"/>
        <v>1329952.1000000001</v>
      </c>
      <c r="AN179" s="522">
        <f t="shared" si="270"/>
        <v>688523.49</v>
      </c>
      <c r="AO179" s="522">
        <f t="shared" si="232"/>
        <v>-641428.6100000001</v>
      </c>
      <c r="AP179" s="522">
        <f t="shared" si="244"/>
        <v>-48.229452023121745</v>
      </c>
      <c r="AQ179" s="578">
        <v>190809</v>
      </c>
      <c r="AR179" s="578">
        <v>247218.93</v>
      </c>
      <c r="AS179" s="578">
        <v>1139143.1000000001</v>
      </c>
      <c r="AT179" s="578">
        <v>441304.56</v>
      </c>
      <c r="AU179" s="578">
        <f t="shared" si="276"/>
        <v>383293.37</v>
      </c>
      <c r="AV179" s="578">
        <f t="shared" si="276"/>
        <v>454778</v>
      </c>
      <c r="AW179" s="578">
        <f t="shared" si="233"/>
        <v>71484.63</v>
      </c>
      <c r="AX179" s="578">
        <f t="shared" si="234"/>
        <v>18.650108662197823</v>
      </c>
      <c r="AY179" s="578">
        <f t="shared" si="277"/>
        <v>424777.8600000001</v>
      </c>
      <c r="AZ179" s="578">
        <f t="shared" si="235"/>
        <v>30000.139999999898</v>
      </c>
      <c r="BA179" s="578">
        <f t="shared" si="236"/>
        <v>7.0625479397631352</v>
      </c>
      <c r="BB179" s="578">
        <v>190809</v>
      </c>
      <c r="BC179" s="576">
        <f>'[67]Гл инж_Тех дир'!AT10</f>
        <v>212389</v>
      </c>
      <c r="BD179" s="576">
        <f t="shared" si="303"/>
        <v>212388.93000000005</v>
      </c>
      <c r="BE179" s="576">
        <f t="shared" si="237"/>
        <v>21579.930000000051</v>
      </c>
      <c r="BF179" s="576">
        <f t="shared" si="238"/>
        <v>-6.9999999948777258E-2</v>
      </c>
      <c r="BG179" s="576">
        <f t="shared" si="218"/>
        <v>1520761.1</v>
      </c>
      <c r="BH179" s="578">
        <f t="shared" si="218"/>
        <v>900912.49</v>
      </c>
      <c r="BI179" s="578">
        <v>900912.42</v>
      </c>
      <c r="BJ179" s="578">
        <f t="shared" si="239"/>
        <v>-619848.68000000005</v>
      </c>
      <c r="BK179" s="578">
        <f t="shared" si="240"/>
        <v>-6.9999999948777258E-2</v>
      </c>
      <c r="BL179" s="576">
        <v>192484.37</v>
      </c>
      <c r="BM179" s="578">
        <f>'[67]Гл инж_Тех дир'!AW10</f>
        <v>242389</v>
      </c>
      <c r="BN179" s="522">
        <f t="shared" si="304"/>
        <v>212388.93000000005</v>
      </c>
      <c r="BO179" s="578">
        <f t="shared" si="245"/>
        <v>19904.560000000056</v>
      </c>
      <c r="BP179" s="578">
        <f t="shared" si="241"/>
        <v>-30000.069999999949</v>
      </c>
      <c r="BQ179" s="576">
        <v>192484.37</v>
      </c>
      <c r="BR179" s="578">
        <f>'[67]Гл инж_Тех дир'!BB10</f>
        <v>0</v>
      </c>
      <c r="BS179" s="578">
        <f>'[67]Гл инж_Тех дир'!BC10</f>
        <v>0</v>
      </c>
      <c r="BT179" s="536"/>
      <c r="BU179" s="578">
        <v>1113301.3500000001</v>
      </c>
      <c r="BV179" s="578"/>
      <c r="BW179" s="578"/>
      <c r="BX179" s="574"/>
      <c r="BY179" s="525">
        <v>1113301.3500000001</v>
      </c>
      <c r="BZ179" s="525"/>
      <c r="CA179" s="525"/>
      <c r="CB179" s="522">
        <f t="shared" si="213"/>
        <v>1113301.3500000001</v>
      </c>
      <c r="CC179" s="522">
        <f t="shared" si="242"/>
        <v>0</v>
      </c>
      <c r="CD179" s="578"/>
      <c r="CE179" s="578"/>
      <c r="CF179" s="578"/>
      <c r="CG179" s="578"/>
      <c r="CH179" s="578"/>
      <c r="CI179" s="578"/>
      <c r="CJ179" s="578"/>
      <c r="CK179" s="542" t="s">
        <v>79</v>
      </c>
      <c r="CL179" s="543" t="s">
        <v>1913</v>
      </c>
      <c r="CM179" s="509" t="s">
        <v>1925</v>
      </c>
      <c r="CN179" s="528"/>
      <c r="CO179" s="528"/>
      <c r="CP179" s="544">
        <f t="shared" si="305"/>
        <v>1580675.3069697127</v>
      </c>
      <c r="CQ179" s="544">
        <f t="shared" si="306"/>
        <v>116105.75811528612</v>
      </c>
      <c r="CR179" s="544">
        <f t="shared" si="307"/>
        <v>16464.404915001556</v>
      </c>
      <c r="CS179" s="1709" t="s">
        <v>1826</v>
      </c>
      <c r="CT179" s="1710"/>
      <c r="CU179" s="1710"/>
      <c r="CV179" s="1710"/>
      <c r="CW179" s="1711"/>
      <c r="CX179" s="528"/>
      <c r="CY179" s="528"/>
      <c r="CZ179" s="528"/>
      <c r="DA179" s="528"/>
      <c r="DB179" s="579">
        <f>212388.93+34830</f>
        <v>247218.93</v>
      </c>
      <c r="DC179" s="628" t="e">
        <f>P179-#REF!</f>
        <v>#REF!</v>
      </c>
      <c r="DD179" s="535"/>
      <c r="DE179" s="535"/>
      <c r="DF179" s="525">
        <f t="shared" si="278"/>
        <v>1113.3013500000002</v>
      </c>
      <c r="DG179" s="525">
        <f t="shared" si="278"/>
        <v>0</v>
      </c>
      <c r="DH179" s="525">
        <f t="shared" si="278"/>
        <v>0</v>
      </c>
      <c r="DI179" s="522">
        <f t="shared" si="278"/>
        <v>1113.3013500000002</v>
      </c>
      <c r="DJ179" s="536"/>
      <c r="DK179" s="536"/>
      <c r="DL179" s="536"/>
      <c r="DM179" s="536"/>
      <c r="DN179" s="536"/>
      <c r="DO179" s="536"/>
      <c r="DP179" s="536"/>
      <c r="DQ179" s="536"/>
      <c r="DR179" s="536"/>
      <c r="DS179" s="536"/>
    </row>
    <row r="180" spans="1:123" s="534" customFormat="1" ht="66" customHeight="1">
      <c r="A180" s="520" t="s">
        <v>753</v>
      </c>
      <c r="B180" s="521" t="s">
        <v>754</v>
      </c>
      <c r="C180" s="578">
        <v>3281300</v>
      </c>
      <c r="D180" s="578">
        <v>1097273.3</v>
      </c>
      <c r="E180" s="578">
        <v>3396146</v>
      </c>
      <c r="F180" s="578">
        <v>1968780</v>
      </c>
      <c r="G180" s="593">
        <v>1026670.0000000001</v>
      </c>
      <c r="H180" s="593">
        <v>0</v>
      </c>
      <c r="I180" s="578">
        <f t="shared" si="298"/>
        <v>2546910</v>
      </c>
      <c r="J180" s="578">
        <v>2296910</v>
      </c>
      <c r="K180" s="578">
        <v>0</v>
      </c>
      <c r="L180" s="578">
        <v>250000</v>
      </c>
      <c r="M180" s="578">
        <f t="shared" si="299"/>
        <v>2296910</v>
      </c>
      <c r="N180" s="578">
        <v>2296910</v>
      </c>
      <c r="O180" s="522">
        <f t="shared" si="300"/>
        <v>250000</v>
      </c>
      <c r="P180" s="522">
        <v>2546910</v>
      </c>
      <c r="Q180" s="578">
        <f t="shared" si="219"/>
        <v>0</v>
      </c>
      <c r="R180" s="578">
        <f t="shared" si="220"/>
        <v>0</v>
      </c>
      <c r="S180" s="578">
        <v>1083136.8500000001</v>
      </c>
      <c r="T180" s="578">
        <v>1083136.8500000001</v>
      </c>
      <c r="U180" s="522">
        <f t="shared" si="301"/>
        <v>500000</v>
      </c>
      <c r="V180" s="522">
        <f t="shared" si="217"/>
        <v>-583136.85000000009</v>
      </c>
      <c r="W180" s="522">
        <f t="shared" si="246"/>
        <v>-53.837781440083035</v>
      </c>
      <c r="X180" s="522">
        <f t="shared" si="221"/>
        <v>-2046910</v>
      </c>
      <c r="Y180" s="522">
        <f t="shared" si="222"/>
        <v>-80.368367943900651</v>
      </c>
      <c r="Z180" s="524">
        <f t="shared" si="223"/>
        <v>500000</v>
      </c>
      <c r="AA180" s="522">
        <f t="shared" si="224"/>
        <v>-583136.85000000009</v>
      </c>
      <c r="AB180" s="522">
        <f t="shared" si="247"/>
        <v>-53.837781440083035</v>
      </c>
      <c r="AC180" s="522">
        <f t="shared" si="225"/>
        <v>0</v>
      </c>
      <c r="AD180" s="522">
        <f t="shared" si="226"/>
        <v>0</v>
      </c>
      <c r="AE180" s="522">
        <f t="shared" si="227"/>
        <v>-2046910</v>
      </c>
      <c r="AF180" s="522">
        <f t="shared" si="228"/>
        <v>-80.368367943900651</v>
      </c>
      <c r="AG180" s="522">
        <f t="shared" si="243"/>
        <v>500000</v>
      </c>
      <c r="AH180" s="522">
        <f t="shared" si="229"/>
        <v>0</v>
      </c>
      <c r="AI180" s="522">
        <f t="shared" si="230"/>
        <v>0</v>
      </c>
      <c r="AJ180" s="522">
        <f t="shared" si="231"/>
        <v>0</v>
      </c>
      <c r="AK180" s="522">
        <f>AG180/Z180*100-100</f>
        <v>0</v>
      </c>
      <c r="AL180" s="522">
        <f t="shared" si="302"/>
        <v>500000</v>
      </c>
      <c r="AM180" s="522">
        <f t="shared" si="270"/>
        <v>250000</v>
      </c>
      <c r="AN180" s="522">
        <f t="shared" si="270"/>
        <v>250000</v>
      </c>
      <c r="AO180" s="522">
        <f t="shared" si="232"/>
        <v>0</v>
      </c>
      <c r="AP180" s="522">
        <f t="shared" si="244"/>
        <v>0</v>
      </c>
      <c r="AQ180" s="578">
        <v>250000</v>
      </c>
      <c r="AR180" s="578">
        <v>250000</v>
      </c>
      <c r="AS180" s="578"/>
      <c r="AT180" s="578">
        <v>0</v>
      </c>
      <c r="AU180" s="578">
        <f t="shared" si="276"/>
        <v>250000</v>
      </c>
      <c r="AV180" s="578">
        <f t="shared" si="276"/>
        <v>250000</v>
      </c>
      <c r="AW180" s="578">
        <f t="shared" si="233"/>
        <v>0</v>
      </c>
      <c r="AX180" s="578">
        <f t="shared" si="234"/>
        <v>0</v>
      </c>
      <c r="AY180" s="578">
        <f t="shared" si="277"/>
        <v>250000</v>
      </c>
      <c r="AZ180" s="578">
        <f t="shared" si="235"/>
        <v>0</v>
      </c>
      <c r="BA180" s="578">
        <v>0</v>
      </c>
      <c r="BB180" s="578"/>
      <c r="BC180" s="576">
        <f>'[67]Гл бух'!AT9</f>
        <v>0</v>
      </c>
      <c r="BD180" s="576">
        <f t="shared" si="303"/>
        <v>0</v>
      </c>
      <c r="BE180" s="576">
        <f t="shared" si="237"/>
        <v>0</v>
      </c>
      <c r="BF180" s="576">
        <f t="shared" si="238"/>
        <v>0</v>
      </c>
      <c r="BG180" s="576">
        <f t="shared" si="218"/>
        <v>250000</v>
      </c>
      <c r="BH180" s="578">
        <f t="shared" si="218"/>
        <v>250000</v>
      </c>
      <c r="BI180" s="578">
        <v>250000</v>
      </c>
      <c r="BJ180" s="578">
        <f t="shared" si="239"/>
        <v>0</v>
      </c>
      <c r="BK180" s="578">
        <f t="shared" si="240"/>
        <v>0</v>
      </c>
      <c r="BL180" s="576">
        <v>250000</v>
      </c>
      <c r="BM180" s="578">
        <f>'[67]Гл бух'!AW9</f>
        <v>250000</v>
      </c>
      <c r="BN180" s="522">
        <f t="shared" si="304"/>
        <v>250000</v>
      </c>
      <c r="BO180" s="578">
        <f t="shared" si="245"/>
        <v>0</v>
      </c>
      <c r="BP180" s="578">
        <f t="shared" si="241"/>
        <v>0</v>
      </c>
      <c r="BQ180" s="576">
        <v>250000</v>
      </c>
      <c r="BR180" s="578">
        <f>'[67]Гл бух'!BB9</f>
        <v>0</v>
      </c>
      <c r="BS180" s="578">
        <f>'[67]Гл бух'!BC9</f>
        <v>0</v>
      </c>
      <c r="BT180" s="536"/>
      <c r="BU180" s="578">
        <v>500000</v>
      </c>
      <c r="BV180" s="578"/>
      <c r="BW180" s="578"/>
      <c r="BX180" s="574"/>
      <c r="BY180" s="522">
        <v>499265.98</v>
      </c>
      <c r="BZ180" s="522">
        <v>466.3</v>
      </c>
      <c r="CA180" s="522">
        <v>267.72000000000003</v>
      </c>
      <c r="CB180" s="522">
        <f t="shared" ref="CB180:CB235" si="308">SUM(BY180:CA180)</f>
        <v>499999.99999999994</v>
      </c>
      <c r="CC180" s="522">
        <f t="shared" si="242"/>
        <v>0</v>
      </c>
      <c r="CD180" s="578"/>
      <c r="CE180" s="578"/>
      <c r="CF180" s="578"/>
      <c r="CG180" s="578"/>
      <c r="CH180" s="578"/>
      <c r="CI180" s="578"/>
      <c r="CJ180" s="578"/>
      <c r="CK180" s="526" t="s">
        <v>1645</v>
      </c>
      <c r="CL180" s="526" t="s">
        <v>1935</v>
      </c>
      <c r="CM180" s="527" t="s">
        <v>1925</v>
      </c>
      <c r="CN180" s="528" t="s">
        <v>1849</v>
      </c>
      <c r="CO180" s="528"/>
      <c r="CP180" s="529">
        <f t="shared" si="305"/>
        <v>461310.22513945779</v>
      </c>
      <c r="CQ180" s="529">
        <f t="shared" si="306"/>
        <v>33884.741021753907</v>
      </c>
      <c r="CR180" s="529">
        <f t="shared" si="307"/>
        <v>4805.0338387883075</v>
      </c>
      <c r="CS180" s="1730" t="s">
        <v>1826</v>
      </c>
      <c r="CT180" s="1731"/>
      <c r="CU180" s="1731"/>
      <c r="CV180" s="1731"/>
      <c r="CW180" s="1732"/>
      <c r="CX180" s="528"/>
      <c r="CY180" s="528"/>
      <c r="CZ180" s="528"/>
      <c r="DA180" s="528"/>
      <c r="DB180" s="630">
        <f>250000</f>
        <v>250000</v>
      </c>
      <c r="DC180" s="571" t="e">
        <f>P180-#REF!</f>
        <v>#REF!</v>
      </c>
      <c r="DD180" s="535"/>
      <c r="DE180" s="535"/>
      <c r="DF180" s="522">
        <f t="shared" si="278"/>
        <v>499.26597999999996</v>
      </c>
      <c r="DG180" s="522">
        <f t="shared" si="278"/>
        <v>0.46629999999999999</v>
      </c>
      <c r="DH180" s="522">
        <f t="shared" si="278"/>
        <v>0.26772000000000001</v>
      </c>
      <c r="DI180" s="522">
        <f t="shared" si="278"/>
        <v>499.99999999999994</v>
      </c>
      <c r="DJ180" s="536"/>
      <c r="DK180" s="536"/>
      <c r="DL180" s="536"/>
      <c r="DM180" s="536"/>
      <c r="DN180" s="536"/>
      <c r="DO180" s="536"/>
      <c r="DP180" s="536"/>
      <c r="DQ180" s="536"/>
      <c r="DR180" s="536"/>
      <c r="DS180" s="536"/>
    </row>
    <row r="181" spans="1:123" s="534" customFormat="1" ht="56.4">
      <c r="A181" s="537" t="s">
        <v>737</v>
      </c>
      <c r="B181" s="538" t="s">
        <v>738</v>
      </c>
      <c r="C181" s="576">
        <v>891856.88</v>
      </c>
      <c r="D181" s="576">
        <v>1357905.05</v>
      </c>
      <c r="E181" s="576">
        <v>1357905.05</v>
      </c>
      <c r="F181" s="576">
        <v>250</v>
      </c>
      <c r="G181" s="576">
        <v>1299627.8841284658</v>
      </c>
      <c r="H181" s="576">
        <v>0</v>
      </c>
      <c r="I181" s="576">
        <f t="shared" si="298"/>
        <v>323467.2</v>
      </c>
      <c r="J181" s="576">
        <v>323467.2</v>
      </c>
      <c r="K181" s="576">
        <v>0</v>
      </c>
      <c r="L181" s="576">
        <v>0</v>
      </c>
      <c r="M181" s="576">
        <f t="shared" si="299"/>
        <v>323467.2</v>
      </c>
      <c r="N181" s="576">
        <v>323467.2</v>
      </c>
      <c r="O181" s="525">
        <f t="shared" si="300"/>
        <v>0</v>
      </c>
      <c r="P181" s="522">
        <v>323467.2</v>
      </c>
      <c r="Q181" s="576">
        <f t="shared" si="219"/>
        <v>0</v>
      </c>
      <c r="R181" s="576">
        <f t="shared" si="220"/>
        <v>0</v>
      </c>
      <c r="S181" s="576"/>
      <c r="T181" s="576"/>
      <c r="U181" s="522">
        <f t="shared" si="301"/>
        <v>0</v>
      </c>
      <c r="V181" s="522">
        <f t="shared" si="217"/>
        <v>0</v>
      </c>
      <c r="W181" s="522">
        <v>0</v>
      </c>
      <c r="X181" s="522">
        <f t="shared" si="221"/>
        <v>-323467.2</v>
      </c>
      <c r="Y181" s="522">
        <f t="shared" si="222"/>
        <v>-100</v>
      </c>
      <c r="Z181" s="524">
        <f t="shared" si="223"/>
        <v>0</v>
      </c>
      <c r="AA181" s="522">
        <f t="shared" si="224"/>
        <v>0</v>
      </c>
      <c r="AB181" s="522">
        <v>0</v>
      </c>
      <c r="AC181" s="522">
        <f t="shared" si="225"/>
        <v>0</v>
      </c>
      <c r="AD181" s="522">
        <v>0</v>
      </c>
      <c r="AE181" s="522">
        <f t="shared" si="227"/>
        <v>-323467.2</v>
      </c>
      <c r="AF181" s="522">
        <f t="shared" si="228"/>
        <v>-100</v>
      </c>
      <c r="AG181" s="522">
        <f t="shared" si="243"/>
        <v>0</v>
      </c>
      <c r="AH181" s="522">
        <f t="shared" si="229"/>
        <v>0</v>
      </c>
      <c r="AI181" s="522">
        <v>0</v>
      </c>
      <c r="AJ181" s="522">
        <f t="shared" si="231"/>
        <v>0</v>
      </c>
      <c r="AK181" s="522">
        <v>0</v>
      </c>
      <c r="AL181" s="522">
        <f t="shared" si="302"/>
        <v>0</v>
      </c>
      <c r="AM181" s="522">
        <f t="shared" si="270"/>
        <v>0</v>
      </c>
      <c r="AN181" s="522">
        <f t="shared" si="270"/>
        <v>0</v>
      </c>
      <c r="AO181" s="522">
        <f t="shared" si="232"/>
        <v>0</v>
      </c>
      <c r="AP181" s="522">
        <v>0</v>
      </c>
      <c r="AQ181" s="578">
        <v>0</v>
      </c>
      <c r="AR181" s="578">
        <v>0</v>
      </c>
      <c r="AS181" s="578">
        <v>0</v>
      </c>
      <c r="AT181" s="578">
        <v>0</v>
      </c>
      <c r="AU181" s="578">
        <f t="shared" si="276"/>
        <v>0</v>
      </c>
      <c r="AV181" s="578">
        <f t="shared" si="276"/>
        <v>0</v>
      </c>
      <c r="AW181" s="578">
        <f t="shared" si="233"/>
        <v>0</v>
      </c>
      <c r="AX181" s="578">
        <v>0</v>
      </c>
      <c r="AY181" s="578">
        <f t="shared" si="277"/>
        <v>0</v>
      </c>
      <c r="AZ181" s="578">
        <f t="shared" si="235"/>
        <v>0</v>
      </c>
      <c r="BA181" s="578">
        <v>0</v>
      </c>
      <c r="BB181" s="578">
        <v>0</v>
      </c>
      <c r="BC181" s="576">
        <f>'[67]Дир_по корп'!AT30</f>
        <v>0</v>
      </c>
      <c r="BD181" s="576">
        <f t="shared" si="303"/>
        <v>0</v>
      </c>
      <c r="BE181" s="576">
        <f t="shared" si="237"/>
        <v>0</v>
      </c>
      <c r="BF181" s="576">
        <f t="shared" si="238"/>
        <v>0</v>
      </c>
      <c r="BG181" s="576">
        <f t="shared" si="218"/>
        <v>0</v>
      </c>
      <c r="BH181" s="578">
        <f t="shared" si="218"/>
        <v>0</v>
      </c>
      <c r="BI181" s="578"/>
      <c r="BJ181" s="578">
        <f t="shared" si="239"/>
        <v>0</v>
      </c>
      <c r="BK181" s="578">
        <f t="shared" si="240"/>
        <v>0</v>
      </c>
      <c r="BL181" s="576">
        <v>0</v>
      </c>
      <c r="BM181" s="578">
        <f>'[67]Дир_по корп'!AW30</f>
        <v>0</v>
      </c>
      <c r="BN181" s="522">
        <f t="shared" si="304"/>
        <v>0</v>
      </c>
      <c r="BO181" s="578">
        <f t="shared" si="245"/>
        <v>0</v>
      </c>
      <c r="BP181" s="578">
        <f t="shared" si="241"/>
        <v>0</v>
      </c>
      <c r="BQ181" s="576">
        <v>0</v>
      </c>
      <c r="BR181" s="578">
        <f>'[67]Дир_по корп'!BB30</f>
        <v>0</v>
      </c>
      <c r="BS181" s="578">
        <f>'[67]Дир_по корп'!BC30</f>
        <v>0</v>
      </c>
      <c r="BT181" s="536"/>
      <c r="BU181" s="578"/>
      <c r="BV181" s="578"/>
      <c r="BW181" s="578"/>
      <c r="BX181" s="574"/>
      <c r="BY181" s="525"/>
      <c r="BZ181" s="525"/>
      <c r="CA181" s="525"/>
      <c r="CB181" s="522">
        <f t="shared" si="308"/>
        <v>0</v>
      </c>
      <c r="CC181" s="522">
        <f t="shared" si="242"/>
        <v>0</v>
      </c>
      <c r="CD181" s="578"/>
      <c r="CE181" s="578"/>
      <c r="CF181" s="578"/>
      <c r="CG181" s="578"/>
      <c r="CH181" s="578"/>
      <c r="CI181" s="578"/>
      <c r="CJ181" s="578"/>
      <c r="CK181" s="543" t="s">
        <v>80</v>
      </c>
      <c r="CL181" s="543" t="s">
        <v>1936</v>
      </c>
      <c r="CM181" s="509" t="s">
        <v>1925</v>
      </c>
      <c r="CN181" s="528"/>
      <c r="CO181" s="528"/>
      <c r="CP181" s="544">
        <f t="shared" si="305"/>
        <v>0</v>
      </c>
      <c r="CQ181" s="544">
        <f t="shared" si="306"/>
        <v>0</v>
      </c>
      <c r="CR181" s="544">
        <f t="shared" si="307"/>
        <v>0</v>
      </c>
      <c r="CS181" s="1709" t="s">
        <v>1826</v>
      </c>
      <c r="CT181" s="1710"/>
      <c r="CU181" s="1710"/>
      <c r="CV181" s="1710"/>
      <c r="CW181" s="1711"/>
      <c r="CX181" s="528"/>
      <c r="CY181" s="528"/>
      <c r="CZ181" s="528"/>
      <c r="DA181" s="528"/>
      <c r="DB181" s="579"/>
      <c r="DC181" s="628" t="e">
        <f>P181-#REF!</f>
        <v>#REF!</v>
      </c>
      <c r="DD181" s="535"/>
      <c r="DE181" s="535"/>
      <c r="DF181" s="525">
        <f t="shared" si="278"/>
        <v>0</v>
      </c>
      <c r="DG181" s="525">
        <f t="shared" si="278"/>
        <v>0</v>
      </c>
      <c r="DH181" s="525">
        <f t="shared" si="278"/>
        <v>0</v>
      </c>
      <c r="DI181" s="522">
        <f t="shared" si="278"/>
        <v>0</v>
      </c>
      <c r="DJ181" s="536"/>
      <c r="DK181" s="536"/>
      <c r="DL181" s="536"/>
      <c r="DM181" s="536"/>
      <c r="DN181" s="536"/>
      <c r="DO181" s="536"/>
      <c r="DP181" s="536"/>
      <c r="DQ181" s="536"/>
      <c r="DR181" s="536"/>
      <c r="DS181" s="536"/>
    </row>
    <row r="182" spans="1:123" s="534" customFormat="1" ht="56.4">
      <c r="A182" s="537" t="s">
        <v>742</v>
      </c>
      <c r="B182" s="650" t="s">
        <v>743</v>
      </c>
      <c r="C182" s="576"/>
      <c r="D182" s="576"/>
      <c r="E182" s="576">
        <v>411000</v>
      </c>
      <c r="F182" s="576">
        <v>677000</v>
      </c>
      <c r="G182" s="576">
        <v>0</v>
      </c>
      <c r="H182" s="576">
        <v>0</v>
      </c>
      <c r="I182" s="576">
        <f t="shared" si="298"/>
        <v>189150</v>
      </c>
      <c r="J182" s="576">
        <v>17150</v>
      </c>
      <c r="K182" s="576">
        <v>86000</v>
      </c>
      <c r="L182" s="576">
        <v>86000</v>
      </c>
      <c r="M182" s="576">
        <f t="shared" si="299"/>
        <v>103150</v>
      </c>
      <c r="N182" s="576">
        <v>38400</v>
      </c>
      <c r="O182" s="525">
        <f t="shared" si="300"/>
        <v>4150</v>
      </c>
      <c r="P182" s="522">
        <v>42550</v>
      </c>
      <c r="Q182" s="576">
        <f t="shared" si="219"/>
        <v>-146600</v>
      </c>
      <c r="R182" s="576">
        <f t="shared" si="220"/>
        <v>-77.5046259582342</v>
      </c>
      <c r="S182" s="576"/>
      <c r="T182" s="576"/>
      <c r="U182" s="522">
        <f t="shared" si="301"/>
        <v>106347.6</v>
      </c>
      <c r="V182" s="522">
        <f t="shared" si="217"/>
        <v>106347.6</v>
      </c>
      <c r="W182" s="522">
        <v>0</v>
      </c>
      <c r="X182" s="522">
        <f t="shared" si="221"/>
        <v>63797.600000000006</v>
      </c>
      <c r="Y182" s="522">
        <f t="shared" si="222"/>
        <v>149.93560517038779</v>
      </c>
      <c r="Z182" s="524">
        <f t="shared" si="223"/>
        <v>139310</v>
      </c>
      <c r="AA182" s="522">
        <f t="shared" si="224"/>
        <v>139310</v>
      </c>
      <c r="AB182" s="522">
        <v>0</v>
      </c>
      <c r="AC182" s="522">
        <f t="shared" si="225"/>
        <v>32962.399999999994</v>
      </c>
      <c r="AD182" s="522">
        <f t="shared" si="226"/>
        <v>30.994963685123111</v>
      </c>
      <c r="AE182" s="522">
        <f t="shared" si="227"/>
        <v>96760</v>
      </c>
      <c r="AF182" s="522">
        <f t="shared" si="228"/>
        <v>227.40305522914218</v>
      </c>
      <c r="AG182" s="522">
        <f t="shared" si="243"/>
        <v>61820</v>
      </c>
      <c r="AH182" s="522">
        <f t="shared" si="229"/>
        <v>-44527.600000000006</v>
      </c>
      <c r="AI182" s="522">
        <f t="shared" si="230"/>
        <v>-41.869868243383024</v>
      </c>
      <c r="AJ182" s="522">
        <f t="shared" si="231"/>
        <v>-77490</v>
      </c>
      <c r="AK182" s="522">
        <f t="shared" ref="AK182:AK191" si="309">AG182/Z182*100-100</f>
        <v>-55.624147584523726</v>
      </c>
      <c r="AL182" s="522">
        <f t="shared" si="302"/>
        <v>61820</v>
      </c>
      <c r="AM182" s="522">
        <f t="shared" si="270"/>
        <v>50000</v>
      </c>
      <c r="AN182" s="522">
        <f t="shared" si="270"/>
        <v>19310</v>
      </c>
      <c r="AO182" s="522">
        <f t="shared" si="232"/>
        <v>-30690</v>
      </c>
      <c r="AP182" s="522">
        <f t="shared" si="244"/>
        <v>-61.38</v>
      </c>
      <c r="AQ182" s="578">
        <v>20000</v>
      </c>
      <c r="AR182" s="578">
        <v>8500</v>
      </c>
      <c r="AS182" s="578">
        <v>30000</v>
      </c>
      <c r="AT182" s="578">
        <v>10810</v>
      </c>
      <c r="AU182" s="578">
        <f t="shared" si="276"/>
        <v>56347.6</v>
      </c>
      <c r="AV182" s="578">
        <f t="shared" si="276"/>
        <v>120000</v>
      </c>
      <c r="AW182" s="578">
        <f t="shared" si="233"/>
        <v>63652.4</v>
      </c>
      <c r="AX182" s="578">
        <f t="shared" si="234"/>
        <v>112.96381744741569</v>
      </c>
      <c r="AY182" s="578">
        <f t="shared" si="277"/>
        <v>42510</v>
      </c>
      <c r="AZ182" s="578">
        <f t="shared" si="235"/>
        <v>77490</v>
      </c>
      <c r="BA182" s="578">
        <f t="shared" si="236"/>
        <v>182.28652081863095</v>
      </c>
      <c r="BB182" s="578">
        <v>36347.599999999999</v>
      </c>
      <c r="BC182" s="576">
        <f>'[67]Дир_по корп'!AT45</f>
        <v>100000</v>
      </c>
      <c r="BD182" s="576">
        <f t="shared" si="303"/>
        <v>37400</v>
      </c>
      <c r="BE182" s="576">
        <f t="shared" si="237"/>
        <v>1052.4000000000015</v>
      </c>
      <c r="BF182" s="576">
        <f t="shared" si="238"/>
        <v>-62600</v>
      </c>
      <c r="BG182" s="576">
        <f t="shared" si="218"/>
        <v>86347.6</v>
      </c>
      <c r="BH182" s="578">
        <f t="shared" si="218"/>
        <v>119310</v>
      </c>
      <c r="BI182" s="578">
        <v>56710</v>
      </c>
      <c r="BJ182" s="578">
        <f t="shared" si="239"/>
        <v>-29637.600000000006</v>
      </c>
      <c r="BK182" s="578">
        <f t="shared" si="240"/>
        <v>-62600</v>
      </c>
      <c r="BL182" s="576">
        <v>20000</v>
      </c>
      <c r="BM182" s="578">
        <f>'[67]Дир_по корп'!AW45</f>
        <v>20000</v>
      </c>
      <c r="BN182" s="522">
        <f t="shared" si="304"/>
        <v>5110</v>
      </c>
      <c r="BO182" s="578">
        <f t="shared" si="245"/>
        <v>-14890</v>
      </c>
      <c r="BP182" s="578">
        <f t="shared" si="241"/>
        <v>-14890</v>
      </c>
      <c r="BQ182" s="576">
        <v>20000</v>
      </c>
      <c r="BR182" s="578">
        <f>'[67]Дир_по корп'!BB45</f>
        <v>0</v>
      </c>
      <c r="BS182" s="578">
        <f>'[67]Дир_по корп'!BC45</f>
        <v>0</v>
      </c>
      <c r="BT182" s="536"/>
      <c r="BU182" s="578">
        <v>61820</v>
      </c>
      <c r="BV182" s="578"/>
      <c r="BW182" s="578"/>
      <c r="BX182" s="574"/>
      <c r="BY182" s="525">
        <v>61638.34</v>
      </c>
      <c r="BZ182" s="525">
        <v>144.44999999999999</v>
      </c>
      <c r="CA182" s="525">
        <v>37.21</v>
      </c>
      <c r="CB182" s="522">
        <f t="shared" si="308"/>
        <v>61819.999999999993</v>
      </c>
      <c r="CC182" s="522">
        <f t="shared" si="242"/>
        <v>0</v>
      </c>
      <c r="CD182" s="578"/>
      <c r="CE182" s="578"/>
      <c r="CF182" s="578"/>
      <c r="CG182" s="578"/>
      <c r="CH182" s="578"/>
      <c r="CI182" s="578"/>
      <c r="CJ182" s="578"/>
      <c r="CK182" s="543" t="s">
        <v>80</v>
      </c>
      <c r="CL182" s="543" t="s">
        <v>1821</v>
      </c>
      <c r="CM182" s="509" t="s">
        <v>1925</v>
      </c>
      <c r="CN182" s="528"/>
      <c r="CO182" s="528"/>
      <c r="CP182" s="544">
        <f t="shared" si="305"/>
        <v>98118.470598082</v>
      </c>
      <c r="CQ182" s="544">
        <f t="shared" si="306"/>
        <v>7207.1217685701522</v>
      </c>
      <c r="CR182" s="544">
        <f t="shared" si="307"/>
        <v>1022.0076333478469</v>
      </c>
      <c r="CS182" s="1709" t="s">
        <v>1826</v>
      </c>
      <c r="CT182" s="1710"/>
      <c r="CU182" s="1710"/>
      <c r="CV182" s="1710"/>
      <c r="CW182" s="1711"/>
      <c r="CX182" s="528"/>
      <c r="CY182" s="528"/>
      <c r="CZ182" s="528"/>
      <c r="DA182" s="528"/>
      <c r="DB182" s="579">
        <f>8500</f>
        <v>8500</v>
      </c>
      <c r="DC182" s="628" t="e">
        <f>P182-#REF!</f>
        <v>#REF!</v>
      </c>
      <c r="DD182" s="535"/>
      <c r="DE182" s="535"/>
      <c r="DF182" s="525">
        <f t="shared" si="278"/>
        <v>61.638339999999999</v>
      </c>
      <c r="DG182" s="525">
        <f t="shared" si="278"/>
        <v>0.14445</v>
      </c>
      <c r="DH182" s="525">
        <f t="shared" si="278"/>
        <v>3.721E-2</v>
      </c>
      <c r="DI182" s="522">
        <f t="shared" si="278"/>
        <v>61.819999999999993</v>
      </c>
      <c r="DJ182" s="536"/>
      <c r="DK182" s="536"/>
      <c r="DL182" s="536"/>
      <c r="DM182" s="536"/>
      <c r="DN182" s="536"/>
      <c r="DO182" s="536"/>
      <c r="DP182" s="536"/>
      <c r="DQ182" s="536"/>
      <c r="DR182" s="536"/>
      <c r="DS182" s="536"/>
    </row>
    <row r="183" spans="1:123" s="534" customFormat="1" ht="62.25" customHeight="1">
      <c r="A183" s="537" t="s">
        <v>748</v>
      </c>
      <c r="B183" s="538" t="s">
        <v>749</v>
      </c>
      <c r="C183" s="576">
        <v>18374030.710000001</v>
      </c>
      <c r="D183" s="576">
        <v>1097273.3</v>
      </c>
      <c r="E183" s="576">
        <v>10880355.92</v>
      </c>
      <c r="F183" s="576">
        <v>11007692.52</v>
      </c>
      <c r="G183" s="577">
        <v>1026670.0000000001</v>
      </c>
      <c r="H183" s="577">
        <v>0</v>
      </c>
      <c r="I183" s="576">
        <f t="shared" si="298"/>
        <v>12284907.550000001</v>
      </c>
      <c r="J183" s="576">
        <v>6814756.9100000001</v>
      </c>
      <c r="K183" s="576">
        <v>2720338.98</v>
      </c>
      <c r="L183" s="576">
        <v>2749811.66</v>
      </c>
      <c r="M183" s="576">
        <f t="shared" si="299"/>
        <v>9535095.8900000006</v>
      </c>
      <c r="N183" s="576">
        <v>10049054.51</v>
      </c>
      <c r="O183" s="525">
        <f t="shared" si="300"/>
        <v>4941785.25</v>
      </c>
      <c r="P183" s="522">
        <f>286908.4+14703931.36</f>
        <v>14990839.76</v>
      </c>
      <c r="Q183" s="576">
        <f t="shared" si="219"/>
        <v>2705932.209999999</v>
      </c>
      <c r="R183" s="576">
        <f t="shared" si="220"/>
        <v>22.026475974579057</v>
      </c>
      <c r="S183" s="576">
        <v>1083136.8500000001</v>
      </c>
      <c r="T183" s="576">
        <v>1083136.8500000001</v>
      </c>
      <c r="U183" s="522">
        <f t="shared" si="301"/>
        <v>3457032.8200000003</v>
      </c>
      <c r="V183" s="522">
        <f t="shared" si="217"/>
        <v>2373895.9700000002</v>
      </c>
      <c r="W183" s="522">
        <f t="shared" si="246"/>
        <v>219.16860921129222</v>
      </c>
      <c r="X183" s="522">
        <f t="shared" si="221"/>
        <v>-11533806.939999999</v>
      </c>
      <c r="Y183" s="522">
        <f t="shared" si="222"/>
        <v>-76.939031599654697</v>
      </c>
      <c r="Z183" s="524">
        <f t="shared" si="223"/>
        <v>4691528.3499999996</v>
      </c>
      <c r="AA183" s="522">
        <f t="shared" si="224"/>
        <v>3608391.4999999995</v>
      </c>
      <c r="AB183" s="522">
        <f t="shared" si="247"/>
        <v>333.14271414549319</v>
      </c>
      <c r="AC183" s="522">
        <f t="shared" si="225"/>
        <v>1234495.5299999993</v>
      </c>
      <c r="AD183" s="522">
        <f t="shared" si="226"/>
        <v>35.709684989337148</v>
      </c>
      <c r="AE183" s="522">
        <f t="shared" si="227"/>
        <v>-10299311.41</v>
      </c>
      <c r="AF183" s="522">
        <f t="shared" si="228"/>
        <v>-68.704032428400794</v>
      </c>
      <c r="AG183" s="522">
        <f t="shared" si="243"/>
        <v>5975120.4400000004</v>
      </c>
      <c r="AH183" s="522">
        <f t="shared" si="229"/>
        <v>2518087.62</v>
      </c>
      <c r="AI183" s="522">
        <f t="shared" si="230"/>
        <v>72.839563611663948</v>
      </c>
      <c r="AJ183" s="522">
        <f t="shared" si="231"/>
        <v>1283592.0900000008</v>
      </c>
      <c r="AK183" s="522">
        <f t="shared" si="309"/>
        <v>27.359785431116507</v>
      </c>
      <c r="AL183" s="522">
        <f t="shared" si="302"/>
        <v>5975120.4400000004</v>
      </c>
      <c r="AM183" s="522">
        <f t="shared" si="270"/>
        <v>3426549.14</v>
      </c>
      <c r="AN183" s="522">
        <f t="shared" si="270"/>
        <v>4650788.21</v>
      </c>
      <c r="AO183" s="522">
        <f t="shared" si="232"/>
        <v>1224239.0699999998</v>
      </c>
      <c r="AP183" s="522">
        <f t="shared" si="244"/>
        <v>35.728046497532489</v>
      </c>
      <c r="AQ183" s="578">
        <v>3381355.93</v>
      </c>
      <c r="AR183" s="578">
        <v>3986155.44</v>
      </c>
      <c r="AS183" s="578">
        <f>3426549.14-3381355.93</f>
        <v>45193.209999999963</v>
      </c>
      <c r="AT183" s="578">
        <v>664632.77</v>
      </c>
      <c r="AU183" s="578">
        <f t="shared" si="276"/>
        <v>30483.680000000168</v>
      </c>
      <c r="AV183" s="578">
        <f t="shared" si="276"/>
        <v>40740.14</v>
      </c>
      <c r="AW183" s="578">
        <f t="shared" si="233"/>
        <v>10256.459999999832</v>
      </c>
      <c r="AX183" s="578">
        <f t="shared" si="234"/>
        <v>33.645740934164706</v>
      </c>
      <c r="AY183" s="578">
        <f t="shared" si="277"/>
        <v>1324332.2300000004</v>
      </c>
      <c r="AZ183" s="578">
        <f t="shared" si="235"/>
        <v>-1283592.0900000005</v>
      </c>
      <c r="BA183" s="578">
        <f t="shared" si="236"/>
        <v>-96.923722078409284</v>
      </c>
      <c r="BB183" s="578">
        <f>3381355.93-3381355.93</f>
        <v>0</v>
      </c>
      <c r="BC183" s="576">
        <f>'[67]Дир_по экон'!AT24</f>
        <v>0</v>
      </c>
      <c r="BD183" s="576">
        <f t="shared" si="303"/>
        <v>665961.04999999981</v>
      </c>
      <c r="BE183" s="576">
        <f t="shared" si="237"/>
        <v>665961.04999999981</v>
      </c>
      <c r="BF183" s="576">
        <f t="shared" si="238"/>
        <v>665961.04999999981</v>
      </c>
      <c r="BG183" s="576">
        <f t="shared" si="218"/>
        <v>3426549.14</v>
      </c>
      <c r="BH183" s="578">
        <f t="shared" si="218"/>
        <v>4650788.21</v>
      </c>
      <c r="BI183" s="578">
        <v>5316749.26</v>
      </c>
      <c r="BJ183" s="578">
        <f t="shared" si="239"/>
        <v>1890200.1199999996</v>
      </c>
      <c r="BK183" s="578">
        <f t="shared" si="240"/>
        <v>665961.04999999981</v>
      </c>
      <c r="BL183" s="576">
        <f>3411839.62-3381355.94</f>
        <v>30483.680000000168</v>
      </c>
      <c r="BM183" s="578">
        <f>'[67]Дир_по экон'!AW24</f>
        <v>40740.14</v>
      </c>
      <c r="BN183" s="522">
        <f t="shared" si="304"/>
        <v>658371.18000000063</v>
      </c>
      <c r="BO183" s="578">
        <f t="shared" si="245"/>
        <v>627887.50000000047</v>
      </c>
      <c r="BP183" s="578">
        <f t="shared" si="241"/>
        <v>617631.04000000062</v>
      </c>
      <c r="BQ183" s="576">
        <f>3411839.62-3381355.94</f>
        <v>30483.680000000168</v>
      </c>
      <c r="BR183" s="578">
        <f>'[67]Дир_по экон'!BB24</f>
        <v>0</v>
      </c>
      <c r="BS183" s="578">
        <f>'[67]Дир_по экон'!BC24</f>
        <v>0</v>
      </c>
      <c r="BT183" s="536"/>
      <c r="BU183" s="578">
        <f>195078.86+5780041.58</f>
        <v>5975120.4400000004</v>
      </c>
      <c r="BV183" s="578"/>
      <c r="BW183" s="578"/>
      <c r="BX183" s="574"/>
      <c r="BY183" s="525">
        <f>176035.2+5609241.67</f>
        <v>5785276.8700000001</v>
      </c>
      <c r="BZ183" s="525">
        <f>17760.24+143613.36</f>
        <v>161373.59999999998</v>
      </c>
      <c r="CA183" s="525">
        <f>1283.42+27186.55</f>
        <v>28469.97</v>
      </c>
      <c r="CB183" s="522">
        <f t="shared" si="308"/>
        <v>5975120.4399999995</v>
      </c>
      <c r="CC183" s="522">
        <f t="shared" si="242"/>
        <v>0</v>
      </c>
      <c r="CD183" s="578"/>
      <c r="CE183" s="578"/>
      <c r="CF183" s="578"/>
      <c r="CG183" s="578"/>
      <c r="CH183" s="578"/>
      <c r="CI183" s="578"/>
      <c r="CJ183" s="578"/>
      <c r="CK183" s="543" t="s">
        <v>77</v>
      </c>
      <c r="CL183" s="542" t="s">
        <v>1800</v>
      </c>
      <c r="CM183" s="509" t="s">
        <v>1925</v>
      </c>
      <c r="CN183" s="528"/>
      <c r="CO183" s="528"/>
      <c r="CP183" s="544">
        <f t="shared" si="305"/>
        <v>3189529.1770173893</v>
      </c>
      <c r="CQ183" s="544">
        <f t="shared" si="306"/>
        <v>234281.32361880719</v>
      </c>
      <c r="CR183" s="544">
        <f t="shared" si="307"/>
        <v>33222.319363803537</v>
      </c>
      <c r="CS183" s="1709" t="s">
        <v>1826</v>
      </c>
      <c r="CT183" s="1710"/>
      <c r="CU183" s="1710"/>
      <c r="CV183" s="1710"/>
      <c r="CW183" s="1711"/>
      <c r="CX183" s="528"/>
      <c r="CY183" s="528"/>
      <c r="CZ183" s="528"/>
      <c r="DA183" s="528"/>
      <c r="DB183" s="579">
        <f>13342.79+3972812.65</f>
        <v>3986155.44</v>
      </c>
      <c r="DC183" s="628" t="e">
        <f>P183-#REF!</f>
        <v>#REF!</v>
      </c>
      <c r="DD183" s="535"/>
      <c r="DE183" s="535"/>
      <c r="DF183" s="525">
        <f t="shared" si="278"/>
        <v>5785.2768699999997</v>
      </c>
      <c r="DG183" s="525">
        <f t="shared" si="278"/>
        <v>161.37359999999998</v>
      </c>
      <c r="DH183" s="525">
        <f t="shared" si="278"/>
        <v>28.46997</v>
      </c>
      <c r="DI183" s="522">
        <f t="shared" si="278"/>
        <v>5975.1204399999997</v>
      </c>
      <c r="DJ183" s="536"/>
      <c r="DK183" s="536"/>
      <c r="DL183" s="536"/>
      <c r="DM183" s="536"/>
      <c r="DN183" s="536"/>
      <c r="DO183" s="536"/>
      <c r="DP183" s="536"/>
      <c r="DQ183" s="536"/>
      <c r="DR183" s="536"/>
      <c r="DS183" s="536"/>
    </row>
    <row r="184" spans="1:123" s="534" customFormat="1" ht="55.5" customHeight="1">
      <c r="A184" s="537" t="s">
        <v>760</v>
      </c>
      <c r="B184" s="538" t="s">
        <v>761</v>
      </c>
      <c r="C184" s="576">
        <f>26589.83+168046.54</f>
        <v>194636.37</v>
      </c>
      <c r="D184" s="576">
        <v>121228.18</v>
      </c>
      <c r="E184" s="576">
        <f>30716+169007.68</f>
        <v>199723.68</v>
      </c>
      <c r="F184" s="576">
        <f>23246.61+180974.98</f>
        <v>204221.59000000003</v>
      </c>
      <c r="G184" s="577">
        <v>22259.997114405309</v>
      </c>
      <c r="H184" s="577">
        <v>0</v>
      </c>
      <c r="I184" s="576">
        <f t="shared" si="298"/>
        <v>200162.48</v>
      </c>
      <c r="J184" s="576">
        <v>79478.22</v>
      </c>
      <c r="K184" s="576">
        <v>74776.63</v>
      </c>
      <c r="L184" s="576">
        <v>45907.63</v>
      </c>
      <c r="M184" s="576">
        <f t="shared" si="299"/>
        <v>154254.85</v>
      </c>
      <c r="N184" s="576">
        <v>151349.01999999999</v>
      </c>
      <c r="O184" s="525">
        <f t="shared" si="300"/>
        <v>61492.350000000006</v>
      </c>
      <c r="P184" s="522">
        <v>212841.37</v>
      </c>
      <c r="Q184" s="576">
        <f t="shared" si="219"/>
        <v>12678.889999999985</v>
      </c>
      <c r="R184" s="576">
        <f t="shared" si="220"/>
        <v>6.3342990154798144</v>
      </c>
      <c r="S184" s="576">
        <v>25903.414999999994</v>
      </c>
      <c r="T184" s="576">
        <v>25903.414999999994</v>
      </c>
      <c r="U184" s="522">
        <f t="shared" si="301"/>
        <v>219618.77</v>
      </c>
      <c r="V184" s="522">
        <f t="shared" si="217"/>
        <v>193715.35499999998</v>
      </c>
      <c r="W184" s="522">
        <f t="shared" si="246"/>
        <v>747.83712881100826</v>
      </c>
      <c r="X184" s="522">
        <f t="shared" si="221"/>
        <v>6777.3999999999942</v>
      </c>
      <c r="Y184" s="522">
        <f t="shared" si="222"/>
        <v>3.1842493778347745</v>
      </c>
      <c r="Z184" s="524">
        <f t="shared" si="223"/>
        <v>229190.08999999997</v>
      </c>
      <c r="AA184" s="522">
        <f t="shared" si="224"/>
        <v>203286.67499999999</v>
      </c>
      <c r="AB184" s="522">
        <f t="shared" si="247"/>
        <v>784.78716030299495</v>
      </c>
      <c r="AC184" s="522">
        <f t="shared" si="225"/>
        <v>9571.3199999999779</v>
      </c>
      <c r="AD184" s="522">
        <f t="shared" si="226"/>
        <v>4.3581520832668161</v>
      </c>
      <c r="AE184" s="522">
        <f t="shared" si="227"/>
        <v>16348.719999999972</v>
      </c>
      <c r="AF184" s="522">
        <f t="shared" si="228"/>
        <v>7.6811758916981034</v>
      </c>
      <c r="AG184" s="522">
        <f t="shared" si="243"/>
        <v>227553.24</v>
      </c>
      <c r="AH184" s="522">
        <f t="shared" si="229"/>
        <v>7934.4700000000012</v>
      </c>
      <c r="AI184" s="522">
        <f t="shared" si="230"/>
        <v>3.6128378280235296</v>
      </c>
      <c r="AJ184" s="522">
        <f t="shared" si="231"/>
        <v>-1636.8499999999767</v>
      </c>
      <c r="AK184" s="522">
        <f t="shared" si="309"/>
        <v>-0.71418882029323072</v>
      </c>
      <c r="AL184" s="522">
        <f t="shared" si="302"/>
        <v>227553.24</v>
      </c>
      <c r="AM184" s="522">
        <f t="shared" si="270"/>
        <v>72020.240000000005</v>
      </c>
      <c r="AN184" s="522">
        <f t="shared" si="270"/>
        <v>77765.919999999998</v>
      </c>
      <c r="AO184" s="522">
        <f t="shared" si="232"/>
        <v>5745.679999999993</v>
      </c>
      <c r="AP184" s="522">
        <f t="shared" si="244"/>
        <v>7.9778684436486031</v>
      </c>
      <c r="AQ184" s="578">
        <v>27643.02</v>
      </c>
      <c r="AR184" s="578">
        <v>29202.52</v>
      </c>
      <c r="AS184" s="578">
        <v>44377.22</v>
      </c>
      <c r="AT184" s="578">
        <v>48563.399999999994</v>
      </c>
      <c r="AU184" s="578">
        <f t="shared" si="276"/>
        <v>147598.53</v>
      </c>
      <c r="AV184" s="578">
        <f t="shared" si="276"/>
        <v>151424.16999999998</v>
      </c>
      <c r="AW184" s="578">
        <f t="shared" si="233"/>
        <v>3825.6399999999849</v>
      </c>
      <c r="AX184" s="578">
        <f t="shared" si="234"/>
        <v>2.5919228328357775</v>
      </c>
      <c r="AY184" s="578">
        <f t="shared" si="277"/>
        <v>149787.32</v>
      </c>
      <c r="AZ184" s="578">
        <f t="shared" si="235"/>
        <v>1636.8499999999767</v>
      </c>
      <c r="BA184" s="578">
        <f t="shared" si="236"/>
        <v>1.0927827535735162</v>
      </c>
      <c r="BB184" s="578">
        <v>97577.76</v>
      </c>
      <c r="BC184" s="576">
        <f>'[67]Дир_по экон'!AT25</f>
        <v>91634.14</v>
      </c>
      <c r="BD184" s="576">
        <f t="shared" si="303"/>
        <v>82600.289999999994</v>
      </c>
      <c r="BE184" s="576">
        <f t="shared" si="237"/>
        <v>-14977.470000000001</v>
      </c>
      <c r="BF184" s="576">
        <f t="shared" si="238"/>
        <v>-9033.8500000000058</v>
      </c>
      <c r="BG184" s="576">
        <f t="shared" si="218"/>
        <v>169598</v>
      </c>
      <c r="BH184" s="578">
        <f t="shared" si="218"/>
        <v>169400.06</v>
      </c>
      <c r="BI184" s="578">
        <v>160366.21</v>
      </c>
      <c r="BJ184" s="578">
        <f t="shared" si="239"/>
        <v>-9231.7900000000081</v>
      </c>
      <c r="BK184" s="578">
        <f t="shared" si="240"/>
        <v>-9033.8500000000058</v>
      </c>
      <c r="BL184" s="576">
        <v>50020.77</v>
      </c>
      <c r="BM184" s="578">
        <f>'[67]Дир_по экон'!AW25</f>
        <v>59790.029999999992</v>
      </c>
      <c r="BN184" s="522">
        <f t="shared" si="304"/>
        <v>67187.03</v>
      </c>
      <c r="BO184" s="578">
        <f t="shared" si="245"/>
        <v>17166.260000000002</v>
      </c>
      <c r="BP184" s="578">
        <f t="shared" si="241"/>
        <v>7397.0000000000073</v>
      </c>
      <c r="BQ184" s="576">
        <v>50020.77</v>
      </c>
      <c r="BR184" s="578">
        <f>'[67]Дир_по экон'!BB25</f>
        <v>0</v>
      </c>
      <c r="BS184" s="578">
        <f>'[67]Дир_по экон'!BC25</f>
        <v>0</v>
      </c>
      <c r="BT184" s="536"/>
      <c r="BU184" s="578">
        <v>227553.24</v>
      </c>
      <c r="BV184" s="578"/>
      <c r="BW184" s="578"/>
      <c r="BX184" s="574"/>
      <c r="BY184" s="525">
        <v>25051.14</v>
      </c>
      <c r="BZ184" s="525">
        <v>96970.92</v>
      </c>
      <c r="CA184" s="525">
        <v>105531.18</v>
      </c>
      <c r="CB184" s="522">
        <f t="shared" si="308"/>
        <v>227553.24</v>
      </c>
      <c r="CC184" s="522">
        <f t="shared" si="242"/>
        <v>0</v>
      </c>
      <c r="CD184" s="578"/>
      <c r="CE184" s="578"/>
      <c r="CF184" s="578"/>
      <c r="CG184" s="578"/>
      <c r="CH184" s="578"/>
      <c r="CI184" s="578"/>
      <c r="CJ184" s="578"/>
      <c r="CK184" s="543" t="s">
        <v>77</v>
      </c>
      <c r="CL184" s="542" t="s">
        <v>1800</v>
      </c>
      <c r="CM184" s="509" t="s">
        <v>1925</v>
      </c>
      <c r="CN184" s="528"/>
      <c r="CO184" s="528"/>
      <c r="CP184" s="544">
        <f t="shared" si="305"/>
        <v>202624.76846710162</v>
      </c>
      <c r="CQ184" s="544">
        <f t="shared" si="306"/>
        <v>14883.450289932272</v>
      </c>
      <c r="CR184" s="544">
        <f t="shared" si="307"/>
        <v>2110.5512429661326</v>
      </c>
      <c r="CS184" s="1709" t="s">
        <v>1826</v>
      </c>
      <c r="CT184" s="1710"/>
      <c r="CU184" s="1710"/>
      <c r="CV184" s="1710"/>
      <c r="CW184" s="1711"/>
      <c r="CX184" s="528"/>
      <c r="CY184" s="528"/>
      <c r="CZ184" s="528"/>
      <c r="DA184" s="528"/>
      <c r="DB184" s="579">
        <f>29202.52</f>
        <v>29202.52</v>
      </c>
      <c r="DC184" s="628" t="e">
        <f>P184-#REF!</f>
        <v>#REF!</v>
      </c>
      <c r="DD184" s="535"/>
      <c r="DE184" s="535"/>
      <c r="DF184" s="525">
        <f t="shared" si="278"/>
        <v>25.05114</v>
      </c>
      <c r="DG184" s="525">
        <f t="shared" si="278"/>
        <v>96.970919999999992</v>
      </c>
      <c r="DH184" s="525">
        <f t="shared" si="278"/>
        <v>105.53117999999999</v>
      </c>
      <c r="DI184" s="522">
        <f t="shared" si="278"/>
        <v>227.55323999999999</v>
      </c>
      <c r="DJ184" s="536"/>
      <c r="DK184" s="536"/>
      <c r="DL184" s="536"/>
      <c r="DM184" s="536"/>
      <c r="DN184" s="536"/>
      <c r="DO184" s="536"/>
      <c r="DP184" s="536"/>
      <c r="DQ184" s="536"/>
      <c r="DR184" s="536"/>
      <c r="DS184" s="536"/>
    </row>
    <row r="185" spans="1:123" s="534" customFormat="1" ht="87.75" customHeight="1">
      <c r="A185" s="537" t="s">
        <v>771</v>
      </c>
      <c r="B185" s="538" t="s">
        <v>1937</v>
      </c>
      <c r="C185" s="576">
        <v>1432892.75</v>
      </c>
      <c r="D185" s="576">
        <v>2807132.1</v>
      </c>
      <c r="E185" s="576">
        <v>1562400</v>
      </c>
      <c r="F185" s="576">
        <v>1654810.55</v>
      </c>
      <c r="G185" s="577">
        <v>1163788.1929595366</v>
      </c>
      <c r="H185" s="577">
        <v>0</v>
      </c>
      <c r="I185" s="576">
        <f t="shared" si="298"/>
        <v>1066148.3799999999</v>
      </c>
      <c r="J185" s="576">
        <v>431248.38</v>
      </c>
      <c r="K185" s="576">
        <v>319400</v>
      </c>
      <c r="L185" s="576">
        <v>315500</v>
      </c>
      <c r="M185" s="576">
        <f t="shared" si="299"/>
        <v>750648.38</v>
      </c>
      <c r="N185" s="576">
        <v>752423.17</v>
      </c>
      <c r="O185" s="525">
        <f t="shared" si="300"/>
        <v>441913.15</v>
      </c>
      <c r="P185" s="522">
        <v>1194336.32</v>
      </c>
      <c r="Q185" s="576">
        <f t="shared" si="219"/>
        <v>128187.94000000018</v>
      </c>
      <c r="R185" s="576">
        <f t="shared" si="220"/>
        <v>12.023461499796142</v>
      </c>
      <c r="S185" s="576">
        <v>1876738.70875</v>
      </c>
      <c r="T185" s="576">
        <v>1876738.70875</v>
      </c>
      <c r="U185" s="522">
        <f t="shared" si="301"/>
        <v>1068000</v>
      </c>
      <c r="V185" s="522">
        <f t="shared" si="217"/>
        <v>-808738.70874999999</v>
      </c>
      <c r="W185" s="522">
        <f t="shared" si="246"/>
        <v>-43.092770718661185</v>
      </c>
      <c r="X185" s="522">
        <f t="shared" si="221"/>
        <v>-126336.32000000007</v>
      </c>
      <c r="Y185" s="522">
        <f t="shared" si="222"/>
        <v>-10.577951778272976</v>
      </c>
      <c r="Z185" s="524">
        <f t="shared" si="223"/>
        <v>1092416.6600000001</v>
      </c>
      <c r="AA185" s="522">
        <f t="shared" si="224"/>
        <v>-784322.04874999984</v>
      </c>
      <c r="AB185" s="522">
        <f t="shared" si="247"/>
        <v>-41.791755298338614</v>
      </c>
      <c r="AC185" s="522">
        <f t="shared" si="225"/>
        <v>24416.660000000149</v>
      </c>
      <c r="AD185" s="522">
        <f t="shared" si="226"/>
        <v>2.2862041198502112</v>
      </c>
      <c r="AE185" s="522">
        <f t="shared" si="227"/>
        <v>-101919.65999999992</v>
      </c>
      <c r="AF185" s="522">
        <f t="shared" si="228"/>
        <v>-8.5335812277734249</v>
      </c>
      <c r="AG185" s="522">
        <f t="shared" si="243"/>
        <v>933639.21</v>
      </c>
      <c r="AH185" s="522">
        <f t="shared" si="229"/>
        <v>-134360.79000000004</v>
      </c>
      <c r="AI185" s="522">
        <f t="shared" si="230"/>
        <v>-12.580598314606746</v>
      </c>
      <c r="AJ185" s="522">
        <f t="shared" si="231"/>
        <v>-158777.45000000019</v>
      </c>
      <c r="AK185" s="522">
        <f t="shared" si="309"/>
        <v>-14.53451378158222</v>
      </c>
      <c r="AL185" s="522">
        <f t="shared" si="302"/>
        <v>933639.21</v>
      </c>
      <c r="AM185" s="522">
        <f t="shared" si="270"/>
        <v>524500</v>
      </c>
      <c r="AN185" s="522">
        <f t="shared" si="270"/>
        <v>548916.66</v>
      </c>
      <c r="AO185" s="522">
        <f t="shared" si="232"/>
        <v>24416.660000000033</v>
      </c>
      <c r="AP185" s="522">
        <f t="shared" si="244"/>
        <v>4.655225929456634</v>
      </c>
      <c r="AQ185" s="578">
        <v>167400</v>
      </c>
      <c r="AR185" s="578">
        <v>154956.5</v>
      </c>
      <c r="AS185" s="578">
        <v>357100</v>
      </c>
      <c r="AT185" s="578">
        <v>393960.16000000003</v>
      </c>
      <c r="AU185" s="578">
        <f t="shared" si="276"/>
        <v>543500</v>
      </c>
      <c r="AV185" s="578">
        <f t="shared" si="276"/>
        <v>543500</v>
      </c>
      <c r="AW185" s="578">
        <f t="shared" si="233"/>
        <v>0</v>
      </c>
      <c r="AX185" s="578">
        <f t="shared" si="234"/>
        <v>0</v>
      </c>
      <c r="AY185" s="578">
        <f t="shared" si="277"/>
        <v>384722.54999999993</v>
      </c>
      <c r="AZ185" s="578">
        <f t="shared" si="235"/>
        <v>158777.45000000007</v>
      </c>
      <c r="BA185" s="578">
        <f t="shared" si="236"/>
        <v>41.270637762200352</v>
      </c>
      <c r="BB185" s="578">
        <v>291700</v>
      </c>
      <c r="BC185" s="576">
        <f>'[67]Дир_ по реал.услуг'!AT29</f>
        <v>291700</v>
      </c>
      <c r="BD185" s="576">
        <f t="shared" si="303"/>
        <v>181552.56999999995</v>
      </c>
      <c r="BE185" s="576">
        <f t="shared" si="237"/>
        <v>-110147.43000000005</v>
      </c>
      <c r="BF185" s="576">
        <f t="shared" si="238"/>
        <v>-110147.43000000005</v>
      </c>
      <c r="BG185" s="576">
        <f t="shared" si="218"/>
        <v>816200</v>
      </c>
      <c r="BH185" s="578">
        <f t="shared" si="218"/>
        <v>840616.66</v>
      </c>
      <c r="BI185" s="578">
        <v>730469.23</v>
      </c>
      <c r="BJ185" s="578">
        <f t="shared" si="239"/>
        <v>-85730.770000000019</v>
      </c>
      <c r="BK185" s="578">
        <f t="shared" si="240"/>
        <v>-110147.43000000005</v>
      </c>
      <c r="BL185" s="576">
        <v>251800</v>
      </c>
      <c r="BM185" s="578">
        <f>'[67]Дир_ по реал.услуг'!AW29</f>
        <v>251800</v>
      </c>
      <c r="BN185" s="522">
        <f t="shared" si="304"/>
        <v>203169.97999999998</v>
      </c>
      <c r="BO185" s="578">
        <f t="shared" si="245"/>
        <v>-48630.020000000019</v>
      </c>
      <c r="BP185" s="578">
        <f t="shared" si="241"/>
        <v>-48630.020000000019</v>
      </c>
      <c r="BQ185" s="576">
        <v>251800</v>
      </c>
      <c r="BR185" s="578">
        <f>'[67]Дир_ по реал.услуг'!BB29</f>
        <v>0</v>
      </c>
      <c r="BS185" s="578">
        <f>'[67]Дир_ по реал.услуг'!BC29</f>
        <v>0</v>
      </c>
      <c r="BT185" s="536"/>
      <c r="BU185" s="578">
        <v>933639.21</v>
      </c>
      <c r="BV185" s="578"/>
      <c r="BW185" s="578"/>
      <c r="BX185" s="574"/>
      <c r="BY185" s="525">
        <v>933639.21</v>
      </c>
      <c r="BZ185" s="525"/>
      <c r="CA185" s="525"/>
      <c r="CB185" s="522">
        <f t="shared" si="308"/>
        <v>933639.21</v>
      </c>
      <c r="CC185" s="522">
        <f t="shared" si="242"/>
        <v>0</v>
      </c>
      <c r="CD185" s="578"/>
      <c r="CE185" s="578"/>
      <c r="CF185" s="578"/>
      <c r="CG185" s="578"/>
      <c r="CH185" s="578"/>
      <c r="CI185" s="578"/>
      <c r="CJ185" s="578"/>
      <c r="CK185" s="543" t="s">
        <v>78</v>
      </c>
      <c r="CL185" s="543" t="s">
        <v>1833</v>
      </c>
      <c r="CM185" s="509" t="s">
        <v>1925</v>
      </c>
      <c r="CN185" s="528" t="s">
        <v>1849</v>
      </c>
      <c r="CO185" s="528"/>
      <c r="CP185" s="544">
        <f t="shared" si="305"/>
        <v>985358.64089788182</v>
      </c>
      <c r="CQ185" s="544">
        <f t="shared" si="306"/>
        <v>72377.806822466344</v>
      </c>
      <c r="CR185" s="544">
        <f t="shared" si="307"/>
        <v>10263.552279651825</v>
      </c>
      <c r="CS185" s="1709" t="s">
        <v>1826</v>
      </c>
      <c r="CT185" s="1710"/>
      <c r="CU185" s="1710"/>
      <c r="CV185" s="1710"/>
      <c r="CW185" s="1711"/>
      <c r="CX185" s="528"/>
      <c r="CY185" s="528"/>
      <c r="CZ185" s="528"/>
      <c r="DA185" s="528"/>
      <c r="DB185" s="579">
        <f>154956.5</f>
        <v>154956.5</v>
      </c>
      <c r="DC185" s="628" t="e">
        <f>P185-#REF!</f>
        <v>#REF!</v>
      </c>
      <c r="DD185" s="535"/>
      <c r="DE185" s="535"/>
      <c r="DF185" s="525">
        <f t="shared" si="278"/>
        <v>933.63920999999993</v>
      </c>
      <c r="DG185" s="525">
        <f t="shared" si="278"/>
        <v>0</v>
      </c>
      <c r="DH185" s="525">
        <f t="shared" si="278"/>
        <v>0</v>
      </c>
      <c r="DI185" s="522">
        <f t="shared" si="278"/>
        <v>933.63920999999993</v>
      </c>
      <c r="DJ185" s="536"/>
      <c r="DK185" s="536"/>
      <c r="DL185" s="536"/>
      <c r="DM185" s="536"/>
      <c r="DN185" s="536"/>
      <c r="DO185" s="536"/>
      <c r="DP185" s="536"/>
      <c r="DQ185" s="536"/>
      <c r="DR185" s="536"/>
      <c r="DS185" s="536"/>
    </row>
    <row r="186" spans="1:123" s="534" customFormat="1" ht="56.4">
      <c r="A186" s="537" t="s">
        <v>776</v>
      </c>
      <c r="B186" s="538" t="s">
        <v>777</v>
      </c>
      <c r="C186" s="576">
        <v>679359.84</v>
      </c>
      <c r="D186" s="525">
        <v>2428267.9300000002</v>
      </c>
      <c r="E186" s="525">
        <v>2000000</v>
      </c>
      <c r="F186" s="525">
        <v>636665.92000000004</v>
      </c>
      <c r="G186" s="540">
        <v>386407.22699634108</v>
      </c>
      <c r="H186" s="540">
        <v>0</v>
      </c>
      <c r="I186" s="525">
        <f t="shared" si="298"/>
        <v>2038991.2</v>
      </c>
      <c r="J186" s="525">
        <v>90168</v>
      </c>
      <c r="K186" s="525">
        <v>952608.21</v>
      </c>
      <c r="L186" s="525">
        <v>996214.99</v>
      </c>
      <c r="M186" s="525">
        <f t="shared" si="299"/>
        <v>1042776.21</v>
      </c>
      <c r="N186" s="525">
        <v>948863.53</v>
      </c>
      <c r="O186" s="525">
        <f t="shared" si="300"/>
        <v>1092579.98</v>
      </c>
      <c r="P186" s="522">
        <v>2041443.51</v>
      </c>
      <c r="Q186" s="525">
        <f t="shared" si="219"/>
        <v>2452.3100000000559</v>
      </c>
      <c r="R186" s="525">
        <f t="shared" si="220"/>
        <v>0.12027074957458694</v>
      </c>
      <c r="S186" s="525">
        <v>722063.3637499999</v>
      </c>
      <c r="T186" s="525">
        <v>722063.3637499999</v>
      </c>
      <c r="U186" s="522">
        <f t="shared" si="301"/>
        <v>1329674.0899999999</v>
      </c>
      <c r="V186" s="522">
        <f t="shared" si="217"/>
        <v>607610.72624999995</v>
      </c>
      <c r="W186" s="522">
        <f t="shared" si="246"/>
        <v>84.149225227880834</v>
      </c>
      <c r="X186" s="522">
        <f t="shared" si="221"/>
        <v>-711769.42000000016</v>
      </c>
      <c r="Y186" s="522">
        <f t="shared" si="222"/>
        <v>-34.865986568494378</v>
      </c>
      <c r="Z186" s="524">
        <f t="shared" si="223"/>
        <v>1329674.0899999999</v>
      </c>
      <c r="AA186" s="522">
        <f t="shared" si="224"/>
        <v>607610.72624999995</v>
      </c>
      <c r="AB186" s="522">
        <f t="shared" si="247"/>
        <v>84.149225227880834</v>
      </c>
      <c r="AC186" s="522">
        <f t="shared" si="225"/>
        <v>0</v>
      </c>
      <c r="AD186" s="522">
        <f t="shared" si="226"/>
        <v>0</v>
      </c>
      <c r="AE186" s="522">
        <f t="shared" si="227"/>
        <v>-711769.42000000016</v>
      </c>
      <c r="AF186" s="522">
        <f t="shared" si="228"/>
        <v>-34.865986568494378</v>
      </c>
      <c r="AG186" s="522">
        <f t="shared" si="243"/>
        <v>1303506</v>
      </c>
      <c r="AH186" s="522">
        <f t="shared" si="229"/>
        <v>-26168.089999999851</v>
      </c>
      <c r="AI186" s="522">
        <f t="shared" si="230"/>
        <v>-1.9680078146066506</v>
      </c>
      <c r="AJ186" s="522">
        <f t="shared" si="231"/>
        <v>-26168.089999999851</v>
      </c>
      <c r="AK186" s="522">
        <f t="shared" si="309"/>
        <v>-1.9680078146066506</v>
      </c>
      <c r="AL186" s="522">
        <f t="shared" si="302"/>
        <v>1303506</v>
      </c>
      <c r="AM186" s="522">
        <f t="shared" si="270"/>
        <v>569072.14</v>
      </c>
      <c r="AN186" s="522">
        <f t="shared" si="270"/>
        <v>1073487.8499999999</v>
      </c>
      <c r="AO186" s="522">
        <f t="shared" si="232"/>
        <v>504415.70999999985</v>
      </c>
      <c r="AP186" s="522">
        <f t="shared" si="244"/>
        <v>88.638271766387959</v>
      </c>
      <c r="AQ186" s="522">
        <v>0</v>
      </c>
      <c r="AR186" s="522">
        <v>0</v>
      </c>
      <c r="AS186" s="522">
        <v>569072.14</v>
      </c>
      <c r="AT186" s="522">
        <v>1073487.8499999999</v>
      </c>
      <c r="AU186" s="522">
        <f t="shared" si="276"/>
        <v>760601.95</v>
      </c>
      <c r="AV186" s="522">
        <f t="shared" si="276"/>
        <v>256186.23999999999</v>
      </c>
      <c r="AW186" s="522">
        <f t="shared" si="233"/>
        <v>-504415.70999999996</v>
      </c>
      <c r="AX186" s="522">
        <f t="shared" si="234"/>
        <v>-66.317961714402657</v>
      </c>
      <c r="AY186" s="522">
        <f t="shared" si="277"/>
        <v>230018.15000000014</v>
      </c>
      <c r="AZ186" s="522">
        <f t="shared" si="235"/>
        <v>26168.089999999851</v>
      </c>
      <c r="BA186" s="522">
        <f t="shared" si="236"/>
        <v>11.376532677964676</v>
      </c>
      <c r="BB186" s="522">
        <v>760601.95</v>
      </c>
      <c r="BC186" s="525">
        <f>'[67]Гл инж_Тех дир'!AT110</f>
        <v>256186.23999999999</v>
      </c>
      <c r="BD186" s="525">
        <f t="shared" si="303"/>
        <v>230018.15000000014</v>
      </c>
      <c r="BE186" s="525">
        <f t="shared" si="237"/>
        <v>-530583.79999999981</v>
      </c>
      <c r="BF186" s="525">
        <f t="shared" si="238"/>
        <v>-26168.089999999851</v>
      </c>
      <c r="BG186" s="525">
        <f t="shared" si="218"/>
        <v>1329674.0899999999</v>
      </c>
      <c r="BH186" s="522">
        <f t="shared" si="218"/>
        <v>1329674.0899999999</v>
      </c>
      <c r="BI186" s="522">
        <f>1302743.29+762.71</f>
        <v>1303506</v>
      </c>
      <c r="BJ186" s="522">
        <f t="shared" si="239"/>
        <v>-26168.089999999851</v>
      </c>
      <c r="BK186" s="522">
        <f t="shared" si="240"/>
        <v>-26168.089999999851</v>
      </c>
      <c r="BL186" s="525">
        <v>0</v>
      </c>
      <c r="BM186" s="522">
        <f>'[67]Гл инж_Тех дир'!AW110</f>
        <v>0</v>
      </c>
      <c r="BN186" s="522">
        <f t="shared" si="304"/>
        <v>0</v>
      </c>
      <c r="BO186" s="522">
        <f t="shared" si="245"/>
        <v>0</v>
      </c>
      <c r="BP186" s="522">
        <f t="shared" si="241"/>
        <v>0</v>
      </c>
      <c r="BQ186" s="525">
        <v>0</v>
      </c>
      <c r="BR186" s="522">
        <f>'[67]Гл инж_Тех дир'!BB110</f>
        <v>0</v>
      </c>
      <c r="BS186" s="522">
        <f>'[67]Гл инж_Тех дир'!BC110</f>
        <v>0</v>
      </c>
      <c r="BT186" s="536"/>
      <c r="BU186" s="522">
        <v>1302743.29</v>
      </c>
      <c r="BV186" s="522">
        <v>762.71</v>
      </c>
      <c r="BW186" s="522"/>
      <c r="BX186" s="574"/>
      <c r="BY186" s="525">
        <f>1302743.29+762.71</f>
        <v>1303506</v>
      </c>
      <c r="BZ186" s="525"/>
      <c r="CA186" s="525"/>
      <c r="CB186" s="522">
        <f t="shared" si="308"/>
        <v>1303506</v>
      </c>
      <c r="CC186" s="522">
        <f t="shared" si="242"/>
        <v>0</v>
      </c>
      <c r="CD186" s="522"/>
      <c r="CE186" s="522"/>
      <c r="CF186" s="522"/>
      <c r="CG186" s="522"/>
      <c r="CH186" s="522"/>
      <c r="CI186" s="522"/>
      <c r="CJ186" s="522"/>
      <c r="CK186" s="542" t="s">
        <v>79</v>
      </c>
      <c r="CL186" s="543" t="s">
        <v>1931</v>
      </c>
      <c r="CM186" s="509" t="s">
        <v>1925</v>
      </c>
      <c r="CN186" s="528" t="s">
        <v>1849</v>
      </c>
      <c r="CO186" s="528"/>
      <c r="CP186" s="544">
        <f t="shared" si="305"/>
        <v>1226784.5076400072</v>
      </c>
      <c r="CQ186" s="544">
        <f t="shared" si="306"/>
        <v>90111.324365972585</v>
      </c>
      <c r="CR186" s="544">
        <f t="shared" si="307"/>
        <v>12778.257994020098</v>
      </c>
      <c r="CS186" s="1709" t="s">
        <v>1826</v>
      </c>
      <c r="CT186" s="1710"/>
      <c r="CU186" s="1710"/>
      <c r="CV186" s="1710"/>
      <c r="CW186" s="1711"/>
      <c r="CX186" s="528"/>
      <c r="CY186" s="528"/>
      <c r="CZ186" s="528"/>
      <c r="DA186" s="528"/>
      <c r="DB186" s="544"/>
      <c r="DC186" s="628" t="e">
        <f>P186-#REF!</f>
        <v>#REF!</v>
      </c>
      <c r="DD186" s="535"/>
      <c r="DE186" s="535"/>
      <c r="DF186" s="525">
        <f t="shared" si="278"/>
        <v>1303.5060000000001</v>
      </c>
      <c r="DG186" s="525">
        <f t="shared" si="278"/>
        <v>0</v>
      </c>
      <c r="DH186" s="525">
        <f t="shared" si="278"/>
        <v>0</v>
      </c>
      <c r="DI186" s="522">
        <f t="shared" si="278"/>
        <v>1303.5060000000001</v>
      </c>
      <c r="DJ186" s="536"/>
      <c r="DK186" s="536"/>
      <c r="DL186" s="536"/>
      <c r="DM186" s="536"/>
      <c r="DN186" s="536"/>
      <c r="DO186" s="536"/>
      <c r="DP186" s="536"/>
      <c r="DQ186" s="536"/>
      <c r="DR186" s="536"/>
      <c r="DS186" s="536"/>
    </row>
    <row r="187" spans="1:123" s="534" customFormat="1" ht="153.75" customHeight="1">
      <c r="A187" s="537" t="s">
        <v>781</v>
      </c>
      <c r="B187" s="538" t="s">
        <v>782</v>
      </c>
      <c r="C187" s="576">
        <v>157254.45000000001</v>
      </c>
      <c r="D187" s="576">
        <v>197504.22</v>
      </c>
      <c r="E187" s="576">
        <v>900405.17</v>
      </c>
      <c r="F187" s="576">
        <v>249627.75</v>
      </c>
      <c r="G187" s="577">
        <v>130041.19330612385</v>
      </c>
      <c r="H187" s="577">
        <v>0</v>
      </c>
      <c r="I187" s="576">
        <f t="shared" si="298"/>
        <v>1523141.4300000002</v>
      </c>
      <c r="J187" s="576">
        <v>476163.32</v>
      </c>
      <c r="K187" s="576">
        <v>328203.33</v>
      </c>
      <c r="L187" s="576">
        <v>718774.78</v>
      </c>
      <c r="M187" s="576">
        <f t="shared" si="299"/>
        <v>804366.65</v>
      </c>
      <c r="N187" s="576">
        <v>678129.35</v>
      </c>
      <c r="O187" s="525">
        <f t="shared" si="300"/>
        <v>853475.71999999986</v>
      </c>
      <c r="P187" s="522">
        <f>5167.9+1526437.17</f>
        <v>1531605.0699999998</v>
      </c>
      <c r="Q187" s="576">
        <f t="shared" si="219"/>
        <v>8463.6399999996647</v>
      </c>
      <c r="R187" s="576">
        <f t="shared" si="220"/>
        <v>0.55567000104512942</v>
      </c>
      <c r="S187" s="525">
        <v>137193.45893796065</v>
      </c>
      <c r="T187" s="525">
        <v>137193.45893796065</v>
      </c>
      <c r="U187" s="522">
        <f t="shared" si="301"/>
        <v>950285.26</v>
      </c>
      <c r="V187" s="522">
        <f t="shared" si="217"/>
        <v>813091.80106203933</v>
      </c>
      <c r="W187" s="522">
        <f t="shared" si="246"/>
        <v>592.66076338939911</v>
      </c>
      <c r="X187" s="522">
        <f t="shared" si="221"/>
        <v>-581319.80999999982</v>
      </c>
      <c r="Y187" s="522">
        <f t="shared" si="222"/>
        <v>-37.954941609066353</v>
      </c>
      <c r="Z187" s="524">
        <f t="shared" si="223"/>
        <v>950285.26</v>
      </c>
      <c r="AA187" s="522">
        <f t="shared" si="224"/>
        <v>813091.80106203933</v>
      </c>
      <c r="AB187" s="522">
        <f t="shared" si="247"/>
        <v>592.66076338939911</v>
      </c>
      <c r="AC187" s="522">
        <f t="shared" si="225"/>
        <v>0</v>
      </c>
      <c r="AD187" s="522">
        <f t="shared" si="226"/>
        <v>0</v>
      </c>
      <c r="AE187" s="522">
        <f t="shared" si="227"/>
        <v>-581319.80999999982</v>
      </c>
      <c r="AF187" s="522">
        <f t="shared" si="228"/>
        <v>-37.954941609066353</v>
      </c>
      <c r="AG187" s="522">
        <f t="shared" si="243"/>
        <v>925536.18</v>
      </c>
      <c r="AH187" s="522">
        <f t="shared" si="229"/>
        <v>-24749.079999999958</v>
      </c>
      <c r="AI187" s="522">
        <f t="shared" si="230"/>
        <v>-2.6043842877242867</v>
      </c>
      <c r="AJ187" s="522">
        <f t="shared" si="231"/>
        <v>-24749.079999999958</v>
      </c>
      <c r="AK187" s="522">
        <f t="shared" si="309"/>
        <v>-2.6043842877242867</v>
      </c>
      <c r="AL187" s="522">
        <f t="shared" si="302"/>
        <v>925536.18</v>
      </c>
      <c r="AM187" s="522">
        <f t="shared" si="270"/>
        <v>469935.48</v>
      </c>
      <c r="AN187" s="522">
        <f t="shared" si="270"/>
        <v>443476.64</v>
      </c>
      <c r="AO187" s="522">
        <f t="shared" si="232"/>
        <v>-26458.839999999967</v>
      </c>
      <c r="AP187" s="522">
        <f t="shared" si="244"/>
        <v>-5.6303133357796185</v>
      </c>
      <c r="AQ187" s="522">
        <v>164238.72</v>
      </c>
      <c r="AR187" s="522">
        <v>141061.74</v>
      </c>
      <c r="AS187" s="522">
        <v>305696.76</v>
      </c>
      <c r="AT187" s="522">
        <v>302414.90000000002</v>
      </c>
      <c r="AU187" s="522">
        <f t="shared" si="276"/>
        <v>480349.78</v>
      </c>
      <c r="AV187" s="522">
        <f t="shared" si="276"/>
        <v>506808.62</v>
      </c>
      <c r="AW187" s="522">
        <f t="shared" si="233"/>
        <v>26458.839999999967</v>
      </c>
      <c r="AX187" s="522">
        <f t="shared" si="234"/>
        <v>5.5082444297153614</v>
      </c>
      <c r="AY187" s="522">
        <f t="shared" si="277"/>
        <v>482059.54000000004</v>
      </c>
      <c r="AZ187" s="522">
        <f t="shared" si="235"/>
        <v>24749.079999999958</v>
      </c>
      <c r="BA187" s="522">
        <f t="shared" si="236"/>
        <v>5.1340297092761489</v>
      </c>
      <c r="BB187" s="522">
        <v>306337.40000000002</v>
      </c>
      <c r="BC187" s="525">
        <f>'[67]Гл инж_Тех дир'!AT111</f>
        <v>332796.24</v>
      </c>
      <c r="BD187" s="525">
        <f t="shared" si="303"/>
        <v>208273.91000000003</v>
      </c>
      <c r="BE187" s="525">
        <f t="shared" si="237"/>
        <v>-98063.489999999991</v>
      </c>
      <c r="BF187" s="525">
        <f t="shared" si="238"/>
        <v>-124522.32999999996</v>
      </c>
      <c r="BG187" s="525">
        <f t="shared" si="218"/>
        <v>776272.88</v>
      </c>
      <c r="BH187" s="522">
        <f t="shared" si="218"/>
        <v>776272.88</v>
      </c>
      <c r="BI187" s="522">
        <v>651750.55000000005</v>
      </c>
      <c r="BJ187" s="522">
        <f t="shared" si="239"/>
        <v>-124522.32999999996</v>
      </c>
      <c r="BK187" s="522">
        <f t="shared" si="240"/>
        <v>-124522.32999999996</v>
      </c>
      <c r="BL187" s="525">
        <v>174012.38</v>
      </c>
      <c r="BM187" s="522">
        <f>'[67]Гл инж_Тех дир'!AW111</f>
        <v>174012.38</v>
      </c>
      <c r="BN187" s="522">
        <f t="shared" si="304"/>
        <v>273785.63</v>
      </c>
      <c r="BO187" s="522">
        <f t="shared" si="245"/>
        <v>99773.25</v>
      </c>
      <c r="BP187" s="522">
        <f t="shared" si="241"/>
        <v>99773.25</v>
      </c>
      <c r="BQ187" s="525">
        <v>174012.38</v>
      </c>
      <c r="BR187" s="522">
        <f>'[67]Гл инж_Тех дир'!BB111</f>
        <v>0</v>
      </c>
      <c r="BS187" s="522">
        <f>'[67]Гл инж_Тех дир'!BC111</f>
        <v>0</v>
      </c>
      <c r="BT187" s="536"/>
      <c r="BU187" s="522">
        <v>925536.18</v>
      </c>
      <c r="BV187" s="522"/>
      <c r="BW187" s="522"/>
      <c r="BX187" s="574"/>
      <c r="BY187" s="525">
        <v>925536.18</v>
      </c>
      <c r="BZ187" s="525"/>
      <c r="CA187" s="525"/>
      <c r="CB187" s="522">
        <f t="shared" si="308"/>
        <v>925536.18</v>
      </c>
      <c r="CC187" s="522">
        <f t="shared" si="242"/>
        <v>0</v>
      </c>
      <c r="CD187" s="522"/>
      <c r="CE187" s="522"/>
      <c r="CF187" s="522"/>
      <c r="CG187" s="522"/>
      <c r="CH187" s="522"/>
      <c r="CI187" s="522"/>
      <c r="CJ187" s="522"/>
      <c r="CK187" s="542" t="s">
        <v>79</v>
      </c>
      <c r="CL187" s="543" t="s">
        <v>1938</v>
      </c>
      <c r="CM187" s="509" t="s">
        <v>1925</v>
      </c>
      <c r="CN187" s="528" t="s">
        <v>1849</v>
      </c>
      <c r="CO187" s="528"/>
      <c r="CP187" s="544">
        <f t="shared" si="305"/>
        <v>876752.61447461636</v>
      </c>
      <c r="CQ187" s="544">
        <f t="shared" si="306"/>
        <v>64400.339863780158</v>
      </c>
      <c r="CR187" s="544">
        <f t="shared" si="307"/>
        <v>9132.3056616034901</v>
      </c>
      <c r="CS187" s="1709" t="s">
        <v>1826</v>
      </c>
      <c r="CT187" s="1710"/>
      <c r="CU187" s="1710"/>
      <c r="CV187" s="1710"/>
      <c r="CW187" s="1711"/>
      <c r="CX187" s="528"/>
      <c r="CY187" s="528"/>
      <c r="CZ187" s="528"/>
      <c r="DA187" s="528"/>
      <c r="DB187" s="544">
        <f>141061.74</f>
        <v>141061.74</v>
      </c>
      <c r="DC187" s="628" t="e">
        <f>P187-#REF!</f>
        <v>#REF!</v>
      </c>
      <c r="DD187" s="535"/>
      <c r="DE187" s="535"/>
      <c r="DF187" s="525">
        <f t="shared" si="278"/>
        <v>925.53618000000006</v>
      </c>
      <c r="DG187" s="525">
        <f t="shared" si="278"/>
        <v>0</v>
      </c>
      <c r="DH187" s="525">
        <f t="shared" si="278"/>
        <v>0</v>
      </c>
      <c r="DI187" s="522">
        <f t="shared" si="278"/>
        <v>925.53618000000006</v>
      </c>
      <c r="DJ187" s="536"/>
      <c r="DK187" s="536"/>
      <c r="DL187" s="536"/>
      <c r="DM187" s="536"/>
      <c r="DN187" s="536"/>
      <c r="DO187" s="536"/>
      <c r="DP187" s="536"/>
      <c r="DQ187" s="536"/>
      <c r="DR187" s="536"/>
      <c r="DS187" s="536"/>
    </row>
    <row r="188" spans="1:123" s="534" customFormat="1" ht="146.25" customHeight="1">
      <c r="A188" s="537" t="s">
        <v>802</v>
      </c>
      <c r="B188" s="538" t="s">
        <v>803</v>
      </c>
      <c r="C188" s="576">
        <v>537178.37</v>
      </c>
      <c r="D188" s="576">
        <v>3365755.85</v>
      </c>
      <c r="E188" s="576">
        <v>780000</v>
      </c>
      <c r="F188" s="576">
        <v>468498</v>
      </c>
      <c r="G188" s="577">
        <v>471116.5837425135</v>
      </c>
      <c r="H188" s="577">
        <v>0</v>
      </c>
      <c r="I188" s="576">
        <f t="shared" si="298"/>
        <v>395644.33999999997</v>
      </c>
      <c r="J188" s="576">
        <v>220197.75999999998</v>
      </c>
      <c r="K188" s="576">
        <v>175446.58</v>
      </c>
      <c r="L188" s="576">
        <v>0</v>
      </c>
      <c r="M188" s="576">
        <f t="shared" si="299"/>
        <v>395644.33999999997</v>
      </c>
      <c r="N188" s="576">
        <v>266641.76</v>
      </c>
      <c r="O188" s="525">
        <f t="shared" si="300"/>
        <v>103270</v>
      </c>
      <c r="P188" s="522">
        <f>116485.76+253426</f>
        <v>369911.76</v>
      </c>
      <c r="Q188" s="576">
        <f t="shared" si="219"/>
        <v>-25732.579999999958</v>
      </c>
      <c r="R188" s="576">
        <f t="shared" si="220"/>
        <v>-6.5039676796589561</v>
      </c>
      <c r="S188" s="576">
        <v>531144.76124999998</v>
      </c>
      <c r="T188" s="576">
        <v>531144.76124999998</v>
      </c>
      <c r="U188" s="522">
        <f t="shared" si="301"/>
        <v>415822.2</v>
      </c>
      <c r="V188" s="522">
        <f t="shared" si="217"/>
        <v>-115322.56124999997</v>
      </c>
      <c r="W188" s="522">
        <f t="shared" si="246"/>
        <v>-21.712077321180573</v>
      </c>
      <c r="X188" s="522">
        <f t="shared" si="221"/>
        <v>45910.44</v>
      </c>
      <c r="Y188" s="522">
        <f t="shared" si="222"/>
        <v>12.411186927390474</v>
      </c>
      <c r="Z188" s="524">
        <f t="shared" si="223"/>
        <v>641644.19999999995</v>
      </c>
      <c r="AA188" s="522">
        <f t="shared" si="224"/>
        <v>110499.43874999997</v>
      </c>
      <c r="AB188" s="522">
        <f t="shared" si="247"/>
        <v>20.804015554996667</v>
      </c>
      <c r="AC188" s="522">
        <f t="shared" si="225"/>
        <v>225821.99999999994</v>
      </c>
      <c r="AD188" s="522">
        <f t="shared" si="226"/>
        <v>54.307345783847012</v>
      </c>
      <c r="AE188" s="522">
        <f t="shared" si="227"/>
        <v>271732.43999999994</v>
      </c>
      <c r="AF188" s="522">
        <f t="shared" si="228"/>
        <v>73.458718911775037</v>
      </c>
      <c r="AG188" s="522">
        <f t="shared" si="243"/>
        <v>493428</v>
      </c>
      <c r="AH188" s="522">
        <f t="shared" si="229"/>
        <v>77605.799999999988</v>
      </c>
      <c r="AI188" s="522">
        <f t="shared" si="230"/>
        <v>18.663217115392101</v>
      </c>
      <c r="AJ188" s="522">
        <f t="shared" si="231"/>
        <v>-148216.19999999995</v>
      </c>
      <c r="AK188" s="522">
        <f t="shared" si="309"/>
        <v>-23.099437351728568</v>
      </c>
      <c r="AL188" s="522">
        <f t="shared" si="302"/>
        <v>493428</v>
      </c>
      <c r="AM188" s="522">
        <f t="shared" si="270"/>
        <v>272500</v>
      </c>
      <c r="AN188" s="522">
        <f t="shared" si="270"/>
        <v>262322</v>
      </c>
      <c r="AO188" s="522">
        <f t="shared" si="232"/>
        <v>-10178</v>
      </c>
      <c r="AP188" s="522">
        <f t="shared" si="244"/>
        <v>-3.7350458715596346</v>
      </c>
      <c r="AQ188" s="578">
        <v>117500</v>
      </c>
      <c r="AR188" s="578">
        <v>31828</v>
      </c>
      <c r="AS188" s="578">
        <v>155000</v>
      </c>
      <c r="AT188" s="578">
        <v>230494</v>
      </c>
      <c r="AU188" s="578">
        <f t="shared" si="276"/>
        <v>143322.20000000001</v>
      </c>
      <c r="AV188" s="578">
        <f t="shared" si="276"/>
        <v>379322.2</v>
      </c>
      <c r="AW188" s="578">
        <f t="shared" si="233"/>
        <v>236000</v>
      </c>
      <c r="AX188" s="578">
        <f t="shared" si="234"/>
        <v>164.6639529675096</v>
      </c>
      <c r="AY188" s="578">
        <f t="shared" si="277"/>
        <v>231106</v>
      </c>
      <c r="AZ188" s="578">
        <f t="shared" si="235"/>
        <v>148216.20000000001</v>
      </c>
      <c r="BA188" s="578">
        <f t="shared" si="236"/>
        <v>64.133427950810443</v>
      </c>
      <c r="BB188" s="578">
        <v>143322.20000000001</v>
      </c>
      <c r="BC188" s="576">
        <f>'[67]Гл инж_Тех дир'!AT36</f>
        <v>194922.2</v>
      </c>
      <c r="BD188" s="576">
        <f t="shared" si="303"/>
        <v>87594</v>
      </c>
      <c r="BE188" s="576">
        <f t="shared" si="237"/>
        <v>-55728.200000000012</v>
      </c>
      <c r="BF188" s="576">
        <f t="shared" si="238"/>
        <v>-107328.20000000001</v>
      </c>
      <c r="BG188" s="576">
        <f t="shared" si="218"/>
        <v>415822.2</v>
      </c>
      <c r="BH188" s="578">
        <f t="shared" si="218"/>
        <v>457244.2</v>
      </c>
      <c r="BI188" s="578">
        <f>72848+277068</f>
        <v>349916</v>
      </c>
      <c r="BJ188" s="578">
        <f t="shared" si="239"/>
        <v>-65906.200000000012</v>
      </c>
      <c r="BK188" s="578">
        <f t="shared" si="240"/>
        <v>-107328.20000000001</v>
      </c>
      <c r="BL188" s="576">
        <v>0</v>
      </c>
      <c r="BM188" s="578">
        <f>'[67]Гл инж_Тех дир'!AW36</f>
        <v>184400</v>
      </c>
      <c r="BN188" s="522">
        <f t="shared" si="304"/>
        <v>143512</v>
      </c>
      <c r="BO188" s="578">
        <f t="shared" si="245"/>
        <v>143512</v>
      </c>
      <c r="BP188" s="578">
        <f t="shared" si="241"/>
        <v>-40888</v>
      </c>
      <c r="BQ188" s="576">
        <v>0</v>
      </c>
      <c r="BR188" s="578">
        <f>'[67]Гл инж_Тех дир'!BB36</f>
        <v>0</v>
      </c>
      <c r="BS188" s="578">
        <f>'[67]Гл инж_Тех дир'!BC36</f>
        <v>0</v>
      </c>
      <c r="BT188" s="536"/>
      <c r="BU188" s="578">
        <v>88532</v>
      </c>
      <c r="BV188" s="578">
        <v>404896</v>
      </c>
      <c r="BW188" s="522"/>
      <c r="BX188" s="574"/>
      <c r="BY188" s="525">
        <f>88532+404896</f>
        <v>493428</v>
      </c>
      <c r="BZ188" s="525"/>
      <c r="CA188" s="525"/>
      <c r="CB188" s="522">
        <f t="shared" si="308"/>
        <v>493428</v>
      </c>
      <c r="CC188" s="522">
        <f t="shared" si="242"/>
        <v>0</v>
      </c>
      <c r="CD188" s="578"/>
      <c r="CE188" s="578"/>
      <c r="CF188" s="578"/>
      <c r="CG188" s="578"/>
      <c r="CH188" s="578"/>
      <c r="CI188" s="578"/>
      <c r="CJ188" s="578"/>
      <c r="CK188" s="542" t="s">
        <v>79</v>
      </c>
      <c r="CL188" s="543" t="s">
        <v>1806</v>
      </c>
      <c r="CM188" s="509" t="s">
        <v>1925</v>
      </c>
      <c r="CN188" s="528"/>
      <c r="CO188" s="528"/>
      <c r="CP188" s="544">
        <f t="shared" si="305"/>
        <v>383646.06539996929</v>
      </c>
      <c r="CQ188" s="544">
        <f t="shared" si="306"/>
        <v>28180.055116191917</v>
      </c>
      <c r="CR188" s="544">
        <f t="shared" si="307"/>
        <v>3996.0794838387983</v>
      </c>
      <c r="CS188" s="1709" t="s">
        <v>1826</v>
      </c>
      <c r="CT188" s="1710"/>
      <c r="CU188" s="1710"/>
      <c r="CV188" s="1710"/>
      <c r="CW188" s="1711"/>
      <c r="CX188" s="528"/>
      <c r="CY188" s="528"/>
      <c r="CZ188" s="528"/>
      <c r="DA188" s="528"/>
      <c r="DB188" s="579">
        <v>31828</v>
      </c>
      <c r="DC188" s="628" t="e">
        <f>P188-#REF!</f>
        <v>#REF!</v>
      </c>
      <c r="DD188" s="535"/>
      <c r="DE188" s="535"/>
      <c r="DF188" s="525">
        <f t="shared" si="278"/>
        <v>493.428</v>
      </c>
      <c r="DG188" s="525">
        <f t="shared" si="278"/>
        <v>0</v>
      </c>
      <c r="DH188" s="525">
        <f t="shared" si="278"/>
        <v>0</v>
      </c>
      <c r="DI188" s="522">
        <f t="shared" si="278"/>
        <v>493.428</v>
      </c>
      <c r="DJ188" s="536"/>
      <c r="DK188" s="536"/>
      <c r="DL188" s="536"/>
      <c r="DM188" s="536"/>
      <c r="DN188" s="536"/>
      <c r="DO188" s="536"/>
      <c r="DP188" s="536"/>
      <c r="DQ188" s="536"/>
      <c r="DR188" s="536"/>
      <c r="DS188" s="536"/>
    </row>
    <row r="189" spans="1:123" s="534" customFormat="1" ht="56.4">
      <c r="A189" s="537" t="s">
        <v>786</v>
      </c>
      <c r="B189" s="538" t="s">
        <v>787</v>
      </c>
      <c r="C189" s="576">
        <v>832202.71</v>
      </c>
      <c r="D189" s="576">
        <v>4207771.63</v>
      </c>
      <c r="E189" s="576">
        <v>1014300</v>
      </c>
      <c r="F189" s="576">
        <v>888253.18</v>
      </c>
      <c r="G189" s="577">
        <v>596316.05069544015</v>
      </c>
      <c r="H189" s="577">
        <v>0</v>
      </c>
      <c r="I189" s="576">
        <f t="shared" si="298"/>
        <v>537350.07000000007</v>
      </c>
      <c r="J189" s="576">
        <v>284434.02</v>
      </c>
      <c r="K189" s="576">
        <v>230900</v>
      </c>
      <c r="L189" s="576">
        <v>22016.05</v>
      </c>
      <c r="M189" s="576">
        <f t="shared" si="299"/>
        <v>515334.02</v>
      </c>
      <c r="N189" s="576">
        <v>571574.15</v>
      </c>
      <c r="O189" s="525">
        <f t="shared" si="300"/>
        <v>171950.13</v>
      </c>
      <c r="P189" s="522">
        <f>706624.28+36900</f>
        <v>743524.28</v>
      </c>
      <c r="Q189" s="576">
        <f t="shared" si="219"/>
        <v>206174.20999999996</v>
      </c>
      <c r="R189" s="576">
        <f t="shared" si="220"/>
        <v>38.368695104105967</v>
      </c>
      <c r="S189" s="576">
        <v>1007386.53125</v>
      </c>
      <c r="T189" s="576">
        <v>1007386.53125</v>
      </c>
      <c r="U189" s="522">
        <f t="shared" si="301"/>
        <v>564754.92000000004</v>
      </c>
      <c r="V189" s="522">
        <f t="shared" si="217"/>
        <v>-442631.61124999996</v>
      </c>
      <c r="W189" s="522">
        <f t="shared" si="246"/>
        <v>-43.938607229616956</v>
      </c>
      <c r="X189" s="522">
        <f t="shared" si="221"/>
        <v>-178769.36</v>
      </c>
      <c r="Y189" s="522">
        <f t="shared" si="222"/>
        <v>-24.043513414249233</v>
      </c>
      <c r="Z189" s="524">
        <f t="shared" si="223"/>
        <v>695971.03</v>
      </c>
      <c r="AA189" s="522">
        <f t="shared" si="224"/>
        <v>-311415.50124999997</v>
      </c>
      <c r="AB189" s="522">
        <f t="shared" si="247"/>
        <v>-30.913208742585113</v>
      </c>
      <c r="AC189" s="522">
        <f t="shared" si="225"/>
        <v>131216.10999999999</v>
      </c>
      <c r="AD189" s="522">
        <f t="shared" si="226"/>
        <v>23.234168548721982</v>
      </c>
      <c r="AE189" s="522">
        <f t="shared" si="227"/>
        <v>-47553.25</v>
      </c>
      <c r="AF189" s="522">
        <f t="shared" si="228"/>
        <v>-6.3956552972284868</v>
      </c>
      <c r="AG189" s="522">
        <f t="shared" si="243"/>
        <v>982078.51</v>
      </c>
      <c r="AH189" s="522">
        <f t="shared" si="229"/>
        <v>417323.58999999997</v>
      </c>
      <c r="AI189" s="522">
        <f t="shared" si="230"/>
        <v>73.894635570416966</v>
      </c>
      <c r="AJ189" s="522">
        <f t="shared" si="231"/>
        <v>286107.48</v>
      </c>
      <c r="AK189" s="522">
        <f t="shared" si="309"/>
        <v>41.109107659265618</v>
      </c>
      <c r="AL189" s="522">
        <f t="shared" si="302"/>
        <v>982078.51</v>
      </c>
      <c r="AM189" s="522">
        <f t="shared" si="270"/>
        <v>465400</v>
      </c>
      <c r="AN189" s="522">
        <f t="shared" si="270"/>
        <v>431616.11</v>
      </c>
      <c r="AO189" s="522">
        <f t="shared" si="232"/>
        <v>-33783.890000000014</v>
      </c>
      <c r="AP189" s="522">
        <f t="shared" si="244"/>
        <v>-7.2591082939406988</v>
      </c>
      <c r="AQ189" s="578">
        <v>312000</v>
      </c>
      <c r="AR189" s="578">
        <v>291140.92000000004</v>
      </c>
      <c r="AS189" s="578">
        <v>153400</v>
      </c>
      <c r="AT189" s="578">
        <v>140475.18999999994</v>
      </c>
      <c r="AU189" s="578">
        <f t="shared" si="276"/>
        <v>99354.92</v>
      </c>
      <c r="AV189" s="578">
        <f t="shared" si="276"/>
        <v>264354.92</v>
      </c>
      <c r="AW189" s="578">
        <f t="shared" si="233"/>
        <v>165000</v>
      </c>
      <c r="AX189" s="578">
        <f t="shared" si="234"/>
        <v>166.07129269491634</v>
      </c>
      <c r="AY189" s="578">
        <f t="shared" si="277"/>
        <v>550462.4</v>
      </c>
      <c r="AZ189" s="578">
        <f t="shared" si="235"/>
        <v>-286107.48000000004</v>
      </c>
      <c r="BA189" s="578">
        <f t="shared" si="236"/>
        <v>-51.975844308348769</v>
      </c>
      <c r="BB189" s="578">
        <v>99354.92</v>
      </c>
      <c r="BC189" s="576">
        <f>'[67]Гл инж_Тех дир'!AT37</f>
        <v>99354.92</v>
      </c>
      <c r="BD189" s="576">
        <f t="shared" si="303"/>
        <v>190487.53000000003</v>
      </c>
      <c r="BE189" s="576">
        <f t="shared" si="237"/>
        <v>91132.61000000003</v>
      </c>
      <c r="BF189" s="576">
        <f t="shared" si="238"/>
        <v>91132.61000000003</v>
      </c>
      <c r="BG189" s="576">
        <f t="shared" si="218"/>
        <v>564754.92000000004</v>
      </c>
      <c r="BH189" s="578">
        <f t="shared" si="218"/>
        <v>530971.03</v>
      </c>
      <c r="BI189" s="578">
        <f>114500+507603.64</f>
        <v>622103.64</v>
      </c>
      <c r="BJ189" s="578">
        <f t="shared" si="239"/>
        <v>57348.719999999972</v>
      </c>
      <c r="BK189" s="578">
        <f t="shared" si="240"/>
        <v>91132.609999999986</v>
      </c>
      <c r="BL189" s="576">
        <v>0</v>
      </c>
      <c r="BM189" s="578">
        <f>'[67]Гл инж_Тех дир'!AW37</f>
        <v>165000</v>
      </c>
      <c r="BN189" s="522">
        <f t="shared" si="304"/>
        <v>359974.87</v>
      </c>
      <c r="BO189" s="578">
        <f t="shared" si="245"/>
        <v>359974.87</v>
      </c>
      <c r="BP189" s="578">
        <f t="shared" si="241"/>
        <v>194974.87</v>
      </c>
      <c r="BQ189" s="576">
        <v>0</v>
      </c>
      <c r="BR189" s="578">
        <f>'[67]Гл инж_Тех дир'!BB37</f>
        <v>0</v>
      </c>
      <c r="BS189" s="578">
        <f>'[67]Гл инж_Тех дир'!BC37</f>
        <v>0</v>
      </c>
      <c r="BT189" s="536"/>
      <c r="BU189" s="578">
        <v>114500</v>
      </c>
      <c r="BV189" s="578">
        <v>867578.51</v>
      </c>
      <c r="BW189" s="522"/>
      <c r="BX189" s="574"/>
      <c r="BY189" s="525">
        <f>114500+867578.51</f>
        <v>982078.51</v>
      </c>
      <c r="BZ189" s="525"/>
      <c r="CA189" s="525"/>
      <c r="CB189" s="522">
        <f t="shared" si="308"/>
        <v>982078.51</v>
      </c>
      <c r="CC189" s="522">
        <f t="shared" si="242"/>
        <v>0</v>
      </c>
      <c r="CD189" s="578"/>
      <c r="CE189" s="578"/>
      <c r="CF189" s="578"/>
      <c r="CG189" s="578"/>
      <c r="CH189" s="578"/>
      <c r="CI189" s="578"/>
      <c r="CJ189" s="578"/>
      <c r="CK189" s="542" t="s">
        <v>79</v>
      </c>
      <c r="CL189" s="543" t="s">
        <v>1806</v>
      </c>
      <c r="CM189" s="509" t="s">
        <v>1925</v>
      </c>
      <c r="CN189" s="528"/>
      <c r="CO189" s="528"/>
      <c r="CP189" s="544">
        <f t="shared" si="305"/>
        <v>521054.43858763302</v>
      </c>
      <c r="CQ189" s="544">
        <f t="shared" si="306"/>
        <v>38273.148409922695</v>
      </c>
      <c r="CR189" s="544">
        <f t="shared" si="307"/>
        <v>5427.3330024443676</v>
      </c>
      <c r="CS189" s="1709" t="s">
        <v>1826</v>
      </c>
      <c r="CT189" s="1710"/>
      <c r="CU189" s="1710"/>
      <c r="CV189" s="1710"/>
      <c r="CW189" s="1711"/>
      <c r="CX189" s="528"/>
      <c r="CY189" s="528"/>
      <c r="CZ189" s="528"/>
      <c r="DA189" s="528"/>
      <c r="DB189" s="579">
        <f>36900+254240.92</f>
        <v>291140.92000000004</v>
      </c>
      <c r="DC189" s="628" t="e">
        <f>P189-#REF!</f>
        <v>#REF!</v>
      </c>
      <c r="DD189" s="535"/>
      <c r="DE189" s="535"/>
      <c r="DF189" s="525">
        <f t="shared" si="278"/>
        <v>982.07851000000005</v>
      </c>
      <c r="DG189" s="525">
        <f t="shared" si="278"/>
        <v>0</v>
      </c>
      <c r="DH189" s="525">
        <f t="shared" si="278"/>
        <v>0</v>
      </c>
      <c r="DI189" s="522">
        <f t="shared" si="278"/>
        <v>982.07851000000005</v>
      </c>
      <c r="DJ189" s="536"/>
      <c r="DK189" s="536"/>
      <c r="DL189" s="536"/>
      <c r="DM189" s="536"/>
      <c r="DN189" s="536"/>
      <c r="DO189" s="536"/>
      <c r="DP189" s="536"/>
      <c r="DQ189" s="536"/>
      <c r="DR189" s="536"/>
      <c r="DS189" s="536"/>
    </row>
    <row r="190" spans="1:123" s="534" customFormat="1" ht="84.6">
      <c r="A190" s="537" t="s">
        <v>807</v>
      </c>
      <c r="B190" s="538" t="s">
        <v>808</v>
      </c>
      <c r="C190" s="576">
        <v>25084.74</v>
      </c>
      <c r="D190" s="576">
        <v>5018389.8499999996</v>
      </c>
      <c r="E190" s="576">
        <v>774420</v>
      </c>
      <c r="F190" s="576">
        <v>495748.19</v>
      </c>
      <c r="G190" s="577">
        <v>284518.64687391842</v>
      </c>
      <c r="H190" s="577">
        <v>0</v>
      </c>
      <c r="I190" s="576">
        <f t="shared" si="298"/>
        <v>555931.80999999994</v>
      </c>
      <c r="J190" s="576">
        <v>295790.17</v>
      </c>
      <c r="K190" s="576">
        <v>154100</v>
      </c>
      <c r="L190" s="576">
        <v>106041.64</v>
      </c>
      <c r="M190" s="576">
        <f t="shared" si="299"/>
        <v>449890.17</v>
      </c>
      <c r="N190" s="576">
        <v>432480.92</v>
      </c>
      <c r="O190" s="525">
        <f t="shared" si="300"/>
        <v>219454.2</v>
      </c>
      <c r="P190" s="522">
        <v>651935.12</v>
      </c>
      <c r="Q190" s="576">
        <f t="shared" si="219"/>
        <v>96003.310000000056</v>
      </c>
      <c r="R190" s="576">
        <f t="shared" si="220"/>
        <v>17.268900299121228</v>
      </c>
      <c r="S190" s="576">
        <v>558942.16499999992</v>
      </c>
      <c r="T190" s="576">
        <v>558942.16499999992</v>
      </c>
      <c r="U190" s="522">
        <f t="shared" si="301"/>
        <v>584284.32999999996</v>
      </c>
      <c r="V190" s="522">
        <f t="shared" si="217"/>
        <v>25342.165000000037</v>
      </c>
      <c r="W190" s="522">
        <f t="shared" si="246"/>
        <v>4.5339512004788531</v>
      </c>
      <c r="X190" s="522">
        <f t="shared" si="221"/>
        <v>-67650.790000000037</v>
      </c>
      <c r="Y190" s="522">
        <f t="shared" si="222"/>
        <v>-10.376920635906231</v>
      </c>
      <c r="Z190" s="524">
        <f t="shared" si="223"/>
        <v>583975.38</v>
      </c>
      <c r="AA190" s="522">
        <f t="shared" si="224"/>
        <v>25033.215000000084</v>
      </c>
      <c r="AB190" s="522">
        <f t="shared" si="247"/>
        <v>4.4786771454252516</v>
      </c>
      <c r="AC190" s="522">
        <f t="shared" si="225"/>
        <v>-308.94999999995343</v>
      </c>
      <c r="AD190" s="522">
        <f t="shared" si="226"/>
        <v>-5.287665339236014E-2</v>
      </c>
      <c r="AE190" s="522">
        <f t="shared" si="227"/>
        <v>-67959.739999999991</v>
      </c>
      <c r="AF190" s="522">
        <f t="shared" si="228"/>
        <v>-10.424310320941132</v>
      </c>
      <c r="AG190" s="522">
        <f t="shared" si="243"/>
        <v>619040.63</v>
      </c>
      <c r="AH190" s="522">
        <f t="shared" si="229"/>
        <v>34756.300000000047</v>
      </c>
      <c r="AI190" s="522">
        <f t="shared" si="230"/>
        <v>5.9485250956499414</v>
      </c>
      <c r="AJ190" s="522">
        <f t="shared" si="231"/>
        <v>35065.25</v>
      </c>
      <c r="AK190" s="522">
        <f t="shared" si="309"/>
        <v>6.004576768287734</v>
      </c>
      <c r="AL190" s="522">
        <f t="shared" si="302"/>
        <v>619040.63</v>
      </c>
      <c r="AM190" s="522">
        <f t="shared" si="270"/>
        <v>308200</v>
      </c>
      <c r="AN190" s="522">
        <f t="shared" si="270"/>
        <v>307891.05</v>
      </c>
      <c r="AO190" s="522">
        <f t="shared" si="232"/>
        <v>-308.95000000001164</v>
      </c>
      <c r="AP190" s="522">
        <f t="shared" si="244"/>
        <v>-0.10024334847501848</v>
      </c>
      <c r="AQ190" s="578">
        <v>154100</v>
      </c>
      <c r="AR190" s="578">
        <v>148555.07999999999</v>
      </c>
      <c r="AS190" s="578">
        <v>154100</v>
      </c>
      <c r="AT190" s="578">
        <v>159335.97</v>
      </c>
      <c r="AU190" s="578">
        <f t="shared" si="276"/>
        <v>276084.33</v>
      </c>
      <c r="AV190" s="578">
        <f t="shared" si="276"/>
        <v>276084.33</v>
      </c>
      <c r="AW190" s="578">
        <f t="shared" si="233"/>
        <v>0</v>
      </c>
      <c r="AX190" s="578">
        <f t="shared" si="234"/>
        <v>0</v>
      </c>
      <c r="AY190" s="578">
        <f t="shared" si="277"/>
        <v>311149.58</v>
      </c>
      <c r="AZ190" s="578">
        <f t="shared" si="235"/>
        <v>-35065.25</v>
      </c>
      <c r="BA190" s="578">
        <f t="shared" si="236"/>
        <v>-11.269579730752014</v>
      </c>
      <c r="BB190" s="578">
        <v>154100</v>
      </c>
      <c r="BC190" s="576">
        <f>'[67]Гл инж_Тех дир'!AT87</f>
        <v>154100</v>
      </c>
      <c r="BD190" s="576">
        <f t="shared" si="303"/>
        <v>151733.79000000004</v>
      </c>
      <c r="BE190" s="576">
        <f t="shared" si="237"/>
        <v>-2366.2099999999627</v>
      </c>
      <c r="BF190" s="576">
        <f t="shared" si="238"/>
        <v>-2366.2099999999627</v>
      </c>
      <c r="BG190" s="576">
        <f t="shared" si="218"/>
        <v>462300</v>
      </c>
      <c r="BH190" s="578">
        <f t="shared" si="218"/>
        <v>461991.05</v>
      </c>
      <c r="BI190" s="578">
        <v>459624.84</v>
      </c>
      <c r="BJ190" s="578">
        <f t="shared" si="239"/>
        <v>-2675.1599999999744</v>
      </c>
      <c r="BK190" s="578">
        <f t="shared" si="240"/>
        <v>-2366.2099999999627</v>
      </c>
      <c r="BL190" s="576">
        <v>121984.33</v>
      </c>
      <c r="BM190" s="578">
        <f>'[67]Гл инж_Тех дир'!AW87</f>
        <v>121984.33</v>
      </c>
      <c r="BN190" s="522">
        <f t="shared" si="304"/>
        <v>159415.78999999998</v>
      </c>
      <c r="BO190" s="578">
        <f t="shared" si="245"/>
        <v>37431.459999999977</v>
      </c>
      <c r="BP190" s="578">
        <f t="shared" si="241"/>
        <v>37431.459999999977</v>
      </c>
      <c r="BQ190" s="576">
        <v>121984.33</v>
      </c>
      <c r="BR190" s="578">
        <f>'[67]Гл инж_Тех дир'!BB87</f>
        <v>0</v>
      </c>
      <c r="BS190" s="578">
        <f>'[67]Гл инж_Тех дир'!BC87</f>
        <v>0</v>
      </c>
      <c r="BT190" s="536"/>
      <c r="BU190" s="578">
        <v>619040.63</v>
      </c>
      <c r="BV190" s="578"/>
      <c r="BW190" s="578"/>
      <c r="BX190" s="574"/>
      <c r="BY190" s="525">
        <v>619040.63</v>
      </c>
      <c r="BZ190" s="525"/>
      <c r="CA190" s="525"/>
      <c r="CB190" s="522">
        <f t="shared" si="308"/>
        <v>619040.63</v>
      </c>
      <c r="CC190" s="522">
        <f t="shared" si="242"/>
        <v>0</v>
      </c>
      <c r="CD190" s="578"/>
      <c r="CE190" s="578"/>
      <c r="CF190" s="578"/>
      <c r="CG190" s="578"/>
      <c r="CH190" s="578"/>
      <c r="CI190" s="578"/>
      <c r="CJ190" s="578"/>
      <c r="CK190" s="542" t="s">
        <v>79</v>
      </c>
      <c r="CL190" s="543" t="s">
        <v>1912</v>
      </c>
      <c r="CM190" s="509" t="s">
        <v>1925</v>
      </c>
      <c r="CN190" s="528"/>
      <c r="CO190" s="528"/>
      <c r="CP190" s="544">
        <f t="shared" si="305"/>
        <v>539072.67163551447</v>
      </c>
      <c r="CQ190" s="544">
        <f t="shared" si="306"/>
        <v>39596.64641023799</v>
      </c>
      <c r="CR190" s="544">
        <f t="shared" si="307"/>
        <v>5615.0119542475077</v>
      </c>
      <c r="CS190" s="1709" t="s">
        <v>1826</v>
      </c>
      <c r="CT190" s="1710"/>
      <c r="CU190" s="1710"/>
      <c r="CV190" s="1710"/>
      <c r="CW190" s="1711"/>
      <c r="CX190" s="528"/>
      <c r="CY190" s="528"/>
      <c r="CZ190" s="528"/>
      <c r="DA190" s="528"/>
      <c r="DB190" s="579">
        <f>148555.08</f>
        <v>148555.07999999999</v>
      </c>
      <c r="DC190" s="628" t="e">
        <f>P190-#REF!</f>
        <v>#REF!</v>
      </c>
      <c r="DD190" s="535"/>
      <c r="DE190" s="535"/>
      <c r="DF190" s="525">
        <f t="shared" si="278"/>
        <v>619.04062999999996</v>
      </c>
      <c r="DG190" s="525">
        <f t="shared" si="278"/>
        <v>0</v>
      </c>
      <c r="DH190" s="525">
        <f t="shared" si="278"/>
        <v>0</v>
      </c>
      <c r="DI190" s="522">
        <f t="shared" si="278"/>
        <v>619.04062999999996</v>
      </c>
      <c r="DJ190" s="536"/>
      <c r="DK190" s="536"/>
      <c r="DL190" s="536"/>
      <c r="DM190" s="536"/>
      <c r="DN190" s="536"/>
      <c r="DO190" s="536"/>
      <c r="DP190" s="536"/>
      <c r="DQ190" s="536"/>
      <c r="DR190" s="536"/>
      <c r="DS190" s="536"/>
    </row>
    <row r="191" spans="1:123" s="534" customFormat="1" ht="141">
      <c r="A191" s="537" t="s">
        <v>791</v>
      </c>
      <c r="B191" s="538" t="s">
        <v>792</v>
      </c>
      <c r="C191" s="576">
        <v>7758835.0899999999</v>
      </c>
      <c r="D191" s="576">
        <v>2598195.59</v>
      </c>
      <c r="E191" s="576">
        <v>967418.41</v>
      </c>
      <c r="F191" s="576">
        <v>8871909.5800000001</v>
      </c>
      <c r="G191" s="577">
        <v>2743443.5200393293</v>
      </c>
      <c r="H191" s="577">
        <v>0</v>
      </c>
      <c r="I191" s="576">
        <f t="shared" si="298"/>
        <v>4928256.04</v>
      </c>
      <c r="J191" s="576">
        <v>2919483.32</v>
      </c>
      <c r="K191" s="576">
        <v>800000</v>
      </c>
      <c r="L191" s="576">
        <v>1208772.72</v>
      </c>
      <c r="M191" s="576">
        <f t="shared" si="299"/>
        <v>3719483.32</v>
      </c>
      <c r="N191" s="576">
        <v>4446590.53</v>
      </c>
      <c r="O191" s="525">
        <f t="shared" si="300"/>
        <v>1129647.8399999999</v>
      </c>
      <c r="P191" s="522">
        <v>5576238.3700000001</v>
      </c>
      <c r="Q191" s="576">
        <f t="shared" si="219"/>
        <v>647982.33000000007</v>
      </c>
      <c r="R191" s="576">
        <f t="shared" si="220"/>
        <v>13.148308950279301</v>
      </c>
      <c r="S191" s="576">
        <v>2894332.9136414919</v>
      </c>
      <c r="T191" s="576">
        <v>2894332.9136414919</v>
      </c>
      <c r="U191" s="522">
        <f t="shared" si="301"/>
        <v>2894332.91</v>
      </c>
      <c r="V191" s="522">
        <f t="shared" si="217"/>
        <v>-3.6414917558431625E-3</v>
      </c>
      <c r="W191" s="522">
        <f t="shared" si="246"/>
        <v>-1.25814551665826E-7</v>
      </c>
      <c r="X191" s="522">
        <f t="shared" si="221"/>
        <v>-2681905.46</v>
      </c>
      <c r="Y191" s="522">
        <f t="shared" si="222"/>
        <v>-48.095244178021034</v>
      </c>
      <c r="Z191" s="524">
        <f t="shared" si="223"/>
        <v>3921966.25</v>
      </c>
      <c r="AA191" s="522">
        <f t="shared" si="224"/>
        <v>1027633.3363585081</v>
      </c>
      <c r="AB191" s="522">
        <f t="shared" si="247"/>
        <v>35.505015042156828</v>
      </c>
      <c r="AC191" s="522">
        <f t="shared" si="225"/>
        <v>1027633.3399999999</v>
      </c>
      <c r="AD191" s="522">
        <f t="shared" si="226"/>
        <v>35.505015212641865</v>
      </c>
      <c r="AE191" s="522">
        <f t="shared" si="227"/>
        <v>-1654272.12</v>
      </c>
      <c r="AF191" s="522">
        <f t="shared" si="228"/>
        <v>-29.666452727342786</v>
      </c>
      <c r="AG191" s="522">
        <f t="shared" si="243"/>
        <v>3850258.59</v>
      </c>
      <c r="AH191" s="522">
        <f t="shared" si="229"/>
        <v>955925.6799999997</v>
      </c>
      <c r="AI191" s="522">
        <f t="shared" si="230"/>
        <v>33.027495790040263</v>
      </c>
      <c r="AJ191" s="522">
        <f t="shared" si="231"/>
        <v>-71707.660000000149</v>
      </c>
      <c r="AK191" s="522">
        <f t="shared" si="309"/>
        <v>-1.8283599457287494</v>
      </c>
      <c r="AL191" s="522">
        <f t="shared" si="302"/>
        <v>3850258.59</v>
      </c>
      <c r="AM191" s="522">
        <f t="shared" si="270"/>
        <v>1270206.8799999999</v>
      </c>
      <c r="AN191" s="522">
        <f t="shared" si="270"/>
        <v>2297840.2200000002</v>
      </c>
      <c r="AO191" s="522">
        <f t="shared" si="232"/>
        <v>1027633.3400000003</v>
      </c>
      <c r="AP191" s="522">
        <f t="shared" si="244"/>
        <v>80.90283214337498</v>
      </c>
      <c r="AQ191" s="578">
        <v>498000</v>
      </c>
      <c r="AR191" s="578">
        <v>1332625.6499999999</v>
      </c>
      <c r="AS191" s="578">
        <v>772206.88</v>
      </c>
      <c r="AT191" s="578">
        <v>965214.5700000003</v>
      </c>
      <c r="AU191" s="578">
        <f t="shared" si="276"/>
        <v>1624126.03</v>
      </c>
      <c r="AV191" s="578">
        <f t="shared" si="276"/>
        <v>1624126.03</v>
      </c>
      <c r="AW191" s="578">
        <f t="shared" si="233"/>
        <v>0</v>
      </c>
      <c r="AX191" s="578">
        <f t="shared" si="234"/>
        <v>0</v>
      </c>
      <c r="AY191" s="578">
        <f t="shared" si="277"/>
        <v>1552418.3699999996</v>
      </c>
      <c r="AZ191" s="578">
        <f t="shared" si="235"/>
        <v>71707.660000000382</v>
      </c>
      <c r="BA191" s="578">
        <f t="shared" si="236"/>
        <v>4.6190937562791419</v>
      </c>
      <c r="BB191" s="578">
        <v>875539.18</v>
      </c>
      <c r="BC191" s="576">
        <f>'[67]Гл инж_Тех дир'!AT11</f>
        <v>875539.18</v>
      </c>
      <c r="BD191" s="576">
        <f t="shared" si="303"/>
        <v>823930.39999999991</v>
      </c>
      <c r="BE191" s="576">
        <f t="shared" si="237"/>
        <v>-51608.780000000144</v>
      </c>
      <c r="BF191" s="576">
        <f t="shared" si="238"/>
        <v>-51608.780000000144</v>
      </c>
      <c r="BG191" s="576">
        <f t="shared" si="218"/>
        <v>2145746.06</v>
      </c>
      <c r="BH191" s="578">
        <f t="shared" si="218"/>
        <v>3173379.4000000004</v>
      </c>
      <c r="BI191" s="578">
        <v>3121770.62</v>
      </c>
      <c r="BJ191" s="578">
        <f t="shared" si="239"/>
        <v>976024.56</v>
      </c>
      <c r="BK191" s="578">
        <f t="shared" si="240"/>
        <v>-51608.780000000261</v>
      </c>
      <c r="BL191" s="576">
        <v>748586.85</v>
      </c>
      <c r="BM191" s="578">
        <f>'[67]Гл инж_Тех дир'!AW11</f>
        <v>748586.85</v>
      </c>
      <c r="BN191" s="522">
        <f t="shared" si="304"/>
        <v>728487.96999999974</v>
      </c>
      <c r="BO191" s="578">
        <f t="shared" si="245"/>
        <v>-20098.880000000237</v>
      </c>
      <c r="BP191" s="578">
        <f t="shared" si="241"/>
        <v>-20098.880000000237</v>
      </c>
      <c r="BQ191" s="576">
        <v>748586.85</v>
      </c>
      <c r="BR191" s="578">
        <f>'[67]Гл инж_Тех дир'!BB11</f>
        <v>0</v>
      </c>
      <c r="BS191" s="578">
        <f>'[67]Гл инж_Тех дир'!BC11</f>
        <v>0</v>
      </c>
      <c r="BT191" s="536"/>
      <c r="BU191" s="578">
        <v>3850258.59</v>
      </c>
      <c r="BV191" s="578"/>
      <c r="BW191" s="578"/>
      <c r="BX191" s="574"/>
      <c r="BY191" s="525">
        <v>3850017.72</v>
      </c>
      <c r="BZ191" s="525">
        <v>197.62</v>
      </c>
      <c r="CA191" s="525">
        <v>43.25</v>
      </c>
      <c r="CB191" s="522">
        <f t="shared" si="308"/>
        <v>3850258.5900000003</v>
      </c>
      <c r="CC191" s="522">
        <f t="shared" si="242"/>
        <v>0</v>
      </c>
      <c r="CD191" s="578"/>
      <c r="CE191" s="578"/>
      <c r="CF191" s="578"/>
      <c r="CG191" s="578"/>
      <c r="CH191" s="578"/>
      <c r="CI191" s="578"/>
      <c r="CJ191" s="578"/>
      <c r="CK191" s="542" t="s">
        <v>79</v>
      </c>
      <c r="CL191" s="543" t="s">
        <v>1803</v>
      </c>
      <c r="CM191" s="509" t="s">
        <v>1925</v>
      </c>
      <c r="CN191" s="528" t="s">
        <v>1849</v>
      </c>
      <c r="CO191" s="528"/>
      <c r="CP191" s="544">
        <f t="shared" si="305"/>
        <v>2670370.7326812842</v>
      </c>
      <c r="CQ191" s="544">
        <f t="shared" si="306"/>
        <v>196147.44217217874</v>
      </c>
      <c r="CR191" s="544">
        <f t="shared" si="307"/>
        <v>27814.735146537263</v>
      </c>
      <c r="CS191" s="1709" t="s">
        <v>1826</v>
      </c>
      <c r="CT191" s="1710"/>
      <c r="CU191" s="1710"/>
      <c r="CV191" s="1710"/>
      <c r="CW191" s="1711"/>
      <c r="CX191" s="528"/>
      <c r="CY191" s="528"/>
      <c r="CZ191" s="528"/>
      <c r="DA191" s="528"/>
      <c r="DB191" s="579">
        <f>1332625.65</f>
        <v>1332625.6499999999</v>
      </c>
      <c r="DC191" s="628" t="e">
        <f>P191-#REF!</f>
        <v>#REF!</v>
      </c>
      <c r="DD191" s="535"/>
      <c r="DE191" s="535"/>
      <c r="DF191" s="525">
        <f t="shared" si="278"/>
        <v>3850.0177200000003</v>
      </c>
      <c r="DG191" s="525">
        <f t="shared" si="278"/>
        <v>0.19762000000000002</v>
      </c>
      <c r="DH191" s="525">
        <f t="shared" si="278"/>
        <v>4.3249999999999997E-2</v>
      </c>
      <c r="DI191" s="522">
        <f t="shared" si="278"/>
        <v>3850.2585900000004</v>
      </c>
      <c r="DJ191" s="536"/>
      <c r="DK191" s="536"/>
      <c r="DL191" s="536"/>
      <c r="DM191" s="536"/>
      <c r="DN191" s="536"/>
      <c r="DO191" s="536"/>
      <c r="DP191" s="536"/>
      <c r="DQ191" s="536"/>
      <c r="DR191" s="536"/>
      <c r="DS191" s="536"/>
    </row>
    <row r="192" spans="1:123" s="534" customFormat="1" ht="84.6">
      <c r="A192" s="537" t="s">
        <v>812</v>
      </c>
      <c r="B192" s="538" t="s">
        <v>813</v>
      </c>
      <c r="C192" s="576">
        <v>20675.16</v>
      </c>
      <c r="D192" s="576">
        <v>0</v>
      </c>
      <c r="E192" s="576">
        <v>20400</v>
      </c>
      <c r="F192" s="576">
        <v>21128.16</v>
      </c>
      <c r="G192" s="577">
        <v>0</v>
      </c>
      <c r="H192" s="577">
        <v>0</v>
      </c>
      <c r="I192" s="576">
        <f t="shared" si="298"/>
        <v>1680.34</v>
      </c>
      <c r="J192" s="576">
        <v>1680.34</v>
      </c>
      <c r="K192" s="576">
        <v>0</v>
      </c>
      <c r="L192" s="576">
        <v>0</v>
      </c>
      <c r="M192" s="576">
        <f t="shared" si="299"/>
        <v>1680.34</v>
      </c>
      <c r="N192" s="576">
        <v>1680.34</v>
      </c>
      <c r="O192" s="525">
        <f t="shared" si="300"/>
        <v>0</v>
      </c>
      <c r="P192" s="522">
        <v>1680.34</v>
      </c>
      <c r="Q192" s="576">
        <f t="shared" si="219"/>
        <v>0</v>
      </c>
      <c r="R192" s="576">
        <f t="shared" si="220"/>
        <v>0</v>
      </c>
      <c r="S192" s="576">
        <v>0</v>
      </c>
      <c r="T192" s="576">
        <v>0</v>
      </c>
      <c r="U192" s="522">
        <f t="shared" si="301"/>
        <v>0</v>
      </c>
      <c r="V192" s="522">
        <f t="shared" si="217"/>
        <v>0</v>
      </c>
      <c r="W192" s="522">
        <v>0</v>
      </c>
      <c r="X192" s="522">
        <f t="shared" si="221"/>
        <v>-1680.34</v>
      </c>
      <c r="Y192" s="522">
        <f t="shared" si="222"/>
        <v>-100</v>
      </c>
      <c r="Z192" s="524">
        <f t="shared" si="223"/>
        <v>0</v>
      </c>
      <c r="AA192" s="522">
        <f t="shared" si="224"/>
        <v>0</v>
      </c>
      <c r="AB192" s="522">
        <v>0</v>
      </c>
      <c r="AC192" s="522">
        <f t="shared" si="225"/>
        <v>0</v>
      </c>
      <c r="AD192" s="522">
        <v>0</v>
      </c>
      <c r="AE192" s="522">
        <f t="shared" si="227"/>
        <v>-1680.34</v>
      </c>
      <c r="AF192" s="522">
        <f t="shared" si="228"/>
        <v>-100</v>
      </c>
      <c r="AG192" s="522">
        <f t="shared" si="243"/>
        <v>0</v>
      </c>
      <c r="AH192" s="522">
        <f t="shared" si="229"/>
        <v>0</v>
      </c>
      <c r="AI192" s="522">
        <v>0</v>
      </c>
      <c r="AJ192" s="522">
        <f t="shared" si="231"/>
        <v>0</v>
      </c>
      <c r="AK192" s="522">
        <v>0</v>
      </c>
      <c r="AL192" s="522">
        <f t="shared" si="302"/>
        <v>0</v>
      </c>
      <c r="AM192" s="522">
        <f t="shared" si="270"/>
        <v>0</v>
      </c>
      <c r="AN192" s="522">
        <f t="shared" si="270"/>
        <v>0</v>
      </c>
      <c r="AO192" s="522">
        <f t="shared" si="232"/>
        <v>0</v>
      </c>
      <c r="AP192" s="522">
        <v>0</v>
      </c>
      <c r="AQ192" s="578">
        <v>0</v>
      </c>
      <c r="AR192" s="578">
        <v>0</v>
      </c>
      <c r="AS192" s="578">
        <v>0</v>
      </c>
      <c r="AT192" s="578">
        <v>0</v>
      </c>
      <c r="AU192" s="578">
        <f t="shared" si="276"/>
        <v>0</v>
      </c>
      <c r="AV192" s="578">
        <f t="shared" si="276"/>
        <v>0</v>
      </c>
      <c r="AW192" s="578">
        <f t="shared" si="233"/>
        <v>0</v>
      </c>
      <c r="AX192" s="578">
        <v>0</v>
      </c>
      <c r="AY192" s="578">
        <f t="shared" si="277"/>
        <v>0</v>
      </c>
      <c r="AZ192" s="578">
        <f t="shared" si="235"/>
        <v>0</v>
      </c>
      <c r="BA192" s="578">
        <v>0</v>
      </c>
      <c r="BB192" s="578">
        <v>0</v>
      </c>
      <c r="BC192" s="576">
        <f>'[67]Гл инж_Тех дир'!AT88</f>
        <v>0</v>
      </c>
      <c r="BD192" s="576">
        <f t="shared" si="303"/>
        <v>0</v>
      </c>
      <c r="BE192" s="576">
        <f t="shared" si="237"/>
        <v>0</v>
      </c>
      <c r="BF192" s="576">
        <f t="shared" si="238"/>
        <v>0</v>
      </c>
      <c r="BG192" s="576">
        <f t="shared" si="218"/>
        <v>0</v>
      </c>
      <c r="BH192" s="578">
        <f t="shared" si="218"/>
        <v>0</v>
      </c>
      <c r="BI192" s="578"/>
      <c r="BJ192" s="578">
        <f t="shared" si="239"/>
        <v>0</v>
      </c>
      <c r="BK192" s="578">
        <f t="shared" si="240"/>
        <v>0</v>
      </c>
      <c r="BL192" s="576">
        <v>0</v>
      </c>
      <c r="BM192" s="578">
        <f>'[67]Гл инж_Тех дир'!AW88</f>
        <v>0</v>
      </c>
      <c r="BN192" s="522">
        <f t="shared" si="304"/>
        <v>0</v>
      </c>
      <c r="BO192" s="578">
        <f t="shared" si="245"/>
        <v>0</v>
      </c>
      <c r="BP192" s="578">
        <f t="shared" si="241"/>
        <v>0</v>
      </c>
      <c r="BQ192" s="576">
        <v>0</v>
      </c>
      <c r="BR192" s="578">
        <f>'[67]Гл инж_Тех дир'!BB88</f>
        <v>0</v>
      </c>
      <c r="BS192" s="578">
        <f>'[67]Гл инж_Тех дир'!BC88</f>
        <v>0</v>
      </c>
      <c r="BT192" s="536"/>
      <c r="BU192" s="578"/>
      <c r="BV192" s="578"/>
      <c r="BW192" s="578"/>
      <c r="BX192" s="574"/>
      <c r="BY192" s="525"/>
      <c r="BZ192" s="525"/>
      <c r="CA192" s="525"/>
      <c r="CB192" s="522">
        <f t="shared" si="308"/>
        <v>0</v>
      </c>
      <c r="CC192" s="522">
        <f t="shared" si="242"/>
        <v>0</v>
      </c>
      <c r="CD192" s="578"/>
      <c r="CE192" s="578"/>
      <c r="CF192" s="578"/>
      <c r="CG192" s="578"/>
      <c r="CH192" s="578"/>
      <c r="CI192" s="578"/>
      <c r="CJ192" s="578"/>
      <c r="CK192" s="542" t="s">
        <v>79</v>
      </c>
      <c r="CL192" s="542" t="s">
        <v>1912</v>
      </c>
      <c r="CM192" s="509" t="s">
        <v>1925</v>
      </c>
      <c r="CN192" s="528"/>
      <c r="CO192" s="528"/>
      <c r="CP192" s="544">
        <f t="shared" si="305"/>
        <v>0</v>
      </c>
      <c r="CQ192" s="544">
        <f t="shared" si="306"/>
        <v>0</v>
      </c>
      <c r="CR192" s="544">
        <f t="shared" si="307"/>
        <v>0</v>
      </c>
      <c r="CS192" s="1709" t="s">
        <v>1826</v>
      </c>
      <c r="CT192" s="1710"/>
      <c r="CU192" s="1710"/>
      <c r="CV192" s="1710"/>
      <c r="CW192" s="1711"/>
      <c r="CX192" s="528"/>
      <c r="CY192" s="528"/>
      <c r="CZ192" s="528"/>
      <c r="DA192" s="528"/>
      <c r="DB192" s="579"/>
      <c r="DC192" s="628" t="e">
        <f>P192-#REF!</f>
        <v>#REF!</v>
      </c>
      <c r="DD192" s="535"/>
      <c r="DE192" s="535"/>
      <c r="DF192" s="525">
        <f t="shared" si="278"/>
        <v>0</v>
      </c>
      <c r="DG192" s="525">
        <f t="shared" si="278"/>
        <v>0</v>
      </c>
      <c r="DH192" s="525">
        <f t="shared" si="278"/>
        <v>0</v>
      </c>
      <c r="DI192" s="522">
        <f t="shared" si="278"/>
        <v>0</v>
      </c>
      <c r="DJ192" s="536"/>
      <c r="DK192" s="536"/>
      <c r="DL192" s="536"/>
      <c r="DM192" s="536"/>
      <c r="DN192" s="536"/>
      <c r="DO192" s="536"/>
      <c r="DP192" s="536"/>
      <c r="DQ192" s="536"/>
      <c r="DR192" s="536"/>
      <c r="DS192" s="536"/>
    </row>
    <row r="193" spans="1:123" s="534" customFormat="1" ht="91.5" customHeight="1">
      <c r="A193" s="537" t="s">
        <v>817</v>
      </c>
      <c r="B193" s="538" t="s">
        <v>818</v>
      </c>
      <c r="C193" s="576">
        <v>123545.32</v>
      </c>
      <c r="D193" s="576">
        <v>75411.899999999994</v>
      </c>
      <c r="E193" s="576">
        <v>75411.899999999994</v>
      </c>
      <c r="F193" s="576">
        <v>453416.93</v>
      </c>
      <c r="G193" s="577">
        <v>187193.691034488</v>
      </c>
      <c r="H193" s="577">
        <v>0</v>
      </c>
      <c r="I193" s="576">
        <f t="shared" si="298"/>
        <v>545691.92000000004</v>
      </c>
      <c r="J193" s="576">
        <v>139343.04999999999</v>
      </c>
      <c r="K193" s="576">
        <v>329099.76</v>
      </c>
      <c r="L193" s="576">
        <v>77249.11</v>
      </c>
      <c r="M193" s="576">
        <f t="shared" si="299"/>
        <v>468442.81</v>
      </c>
      <c r="N193" s="576">
        <v>459291.02</v>
      </c>
      <c r="O193" s="525">
        <f t="shared" si="300"/>
        <v>78813.559999999939</v>
      </c>
      <c r="P193" s="522">
        <v>538104.57999999996</v>
      </c>
      <c r="Q193" s="576">
        <f t="shared" si="219"/>
        <v>-7587.3400000000838</v>
      </c>
      <c r="R193" s="576">
        <f t="shared" si="220"/>
        <v>-1.3904072466383752</v>
      </c>
      <c r="S193" s="576">
        <v>197489.34404138484</v>
      </c>
      <c r="T193" s="576">
        <v>197489.34404138484</v>
      </c>
      <c r="U193" s="522">
        <f t="shared" si="301"/>
        <v>573522.21</v>
      </c>
      <c r="V193" s="522">
        <f t="shared" si="217"/>
        <v>376032.86595861509</v>
      </c>
      <c r="W193" s="522">
        <f t="shared" si="246"/>
        <v>190.406661070187</v>
      </c>
      <c r="X193" s="522">
        <f t="shared" si="221"/>
        <v>35417.630000000005</v>
      </c>
      <c r="Y193" s="522">
        <f t="shared" si="222"/>
        <v>6.5819231644525473</v>
      </c>
      <c r="Z193" s="524">
        <f t="shared" si="223"/>
        <v>583787.16</v>
      </c>
      <c r="AA193" s="522">
        <f t="shared" si="224"/>
        <v>386297.81595861516</v>
      </c>
      <c r="AB193" s="522">
        <f t="shared" si="247"/>
        <v>195.604384547282</v>
      </c>
      <c r="AC193" s="522">
        <f t="shared" si="225"/>
        <v>10264.95000000007</v>
      </c>
      <c r="AD193" s="522">
        <f t="shared" si="226"/>
        <v>1.789808628335436</v>
      </c>
      <c r="AE193" s="522">
        <f t="shared" si="227"/>
        <v>45682.580000000075</v>
      </c>
      <c r="AF193" s="522">
        <f t="shared" si="228"/>
        <v>8.4895356214957474</v>
      </c>
      <c r="AG193" s="522">
        <f t="shared" si="243"/>
        <v>598417.85</v>
      </c>
      <c r="AH193" s="522">
        <f t="shared" si="229"/>
        <v>24895.640000000014</v>
      </c>
      <c r="AI193" s="522">
        <f t="shared" si="230"/>
        <v>4.3408327639133688</v>
      </c>
      <c r="AJ193" s="522">
        <f t="shared" si="231"/>
        <v>14630.689999999944</v>
      </c>
      <c r="AK193" s="522">
        <f t="shared" ref="AK193:AK208" si="310">AG193/Z193*100-100</f>
        <v>2.5061685152513462</v>
      </c>
      <c r="AL193" s="522">
        <f t="shared" si="302"/>
        <v>598417.85</v>
      </c>
      <c r="AM193" s="522">
        <f t="shared" si="270"/>
        <v>445000</v>
      </c>
      <c r="AN193" s="522">
        <f t="shared" si="270"/>
        <v>455264.95</v>
      </c>
      <c r="AO193" s="522">
        <f t="shared" si="232"/>
        <v>10264.950000000012</v>
      </c>
      <c r="AP193" s="522">
        <f t="shared" si="244"/>
        <v>2.3067303370786476</v>
      </c>
      <c r="AQ193" s="578">
        <v>90000</v>
      </c>
      <c r="AR193" s="578">
        <v>14359.32</v>
      </c>
      <c r="AS193" s="578">
        <v>355000</v>
      </c>
      <c r="AT193" s="578">
        <v>440905.63</v>
      </c>
      <c r="AU193" s="578">
        <f t="shared" si="276"/>
        <v>128522.20999999999</v>
      </c>
      <c r="AV193" s="578">
        <f t="shared" si="276"/>
        <v>128522.20999999999</v>
      </c>
      <c r="AW193" s="578">
        <f t="shared" si="233"/>
        <v>0</v>
      </c>
      <c r="AX193" s="578">
        <f t="shared" si="234"/>
        <v>0</v>
      </c>
      <c r="AY193" s="578">
        <f t="shared" si="277"/>
        <v>143152.89999999997</v>
      </c>
      <c r="AZ193" s="578">
        <f t="shared" si="235"/>
        <v>-14630.689999999973</v>
      </c>
      <c r="BA193" s="578">
        <f t="shared" si="236"/>
        <v>-10.220323863505371</v>
      </c>
      <c r="BB193" s="578">
        <v>10522.21</v>
      </c>
      <c r="BC193" s="576">
        <f>'[67]Дир_ имущ'!AT56</f>
        <v>10522.21</v>
      </c>
      <c r="BD193" s="576">
        <f t="shared" si="303"/>
        <v>72189.830000000016</v>
      </c>
      <c r="BE193" s="576">
        <f t="shared" si="237"/>
        <v>61667.620000000017</v>
      </c>
      <c r="BF193" s="576">
        <f t="shared" si="238"/>
        <v>61667.620000000017</v>
      </c>
      <c r="BG193" s="576">
        <f t="shared" si="218"/>
        <v>455522.21</v>
      </c>
      <c r="BH193" s="578">
        <f t="shared" si="218"/>
        <v>465787.16000000003</v>
      </c>
      <c r="BI193" s="578">
        <v>527454.78</v>
      </c>
      <c r="BJ193" s="578">
        <f t="shared" si="239"/>
        <v>71932.570000000007</v>
      </c>
      <c r="BK193" s="578">
        <f t="shared" si="240"/>
        <v>61667.619999999995</v>
      </c>
      <c r="BL193" s="576">
        <v>118000</v>
      </c>
      <c r="BM193" s="578">
        <f>'[67]Дир_ имущ'!AW56</f>
        <v>118000</v>
      </c>
      <c r="BN193" s="522">
        <f t="shared" si="304"/>
        <v>70963.069999999949</v>
      </c>
      <c r="BO193" s="578">
        <f t="shared" si="245"/>
        <v>-47036.930000000051</v>
      </c>
      <c r="BP193" s="578">
        <f t="shared" si="241"/>
        <v>-47036.930000000051</v>
      </c>
      <c r="BQ193" s="576">
        <v>118000</v>
      </c>
      <c r="BR193" s="578">
        <f>'[67]Дир_ имущ'!BB56</f>
        <v>0</v>
      </c>
      <c r="BS193" s="578">
        <f>'[67]Дир_ имущ'!BC56</f>
        <v>0</v>
      </c>
      <c r="BT193" s="536"/>
      <c r="BU193" s="578">
        <f>596017.85+2400</f>
        <v>598417.85</v>
      </c>
      <c r="BV193" s="578"/>
      <c r="BW193" s="578"/>
      <c r="BX193" s="574"/>
      <c r="BY193" s="525">
        <f>549661.95+2396.72</f>
        <v>552058.66999999993</v>
      </c>
      <c r="BZ193" s="525">
        <f>41182.86+2.33</f>
        <v>41185.19</v>
      </c>
      <c r="CA193" s="525">
        <f>5173.04+0.95</f>
        <v>5173.99</v>
      </c>
      <c r="CB193" s="522">
        <f t="shared" si="308"/>
        <v>598417.84999999986</v>
      </c>
      <c r="CC193" s="522">
        <f t="shared" si="242"/>
        <v>0</v>
      </c>
      <c r="CD193" s="578"/>
      <c r="CE193" s="578"/>
      <c r="CF193" s="578"/>
      <c r="CG193" s="578"/>
      <c r="CH193" s="578"/>
      <c r="CI193" s="578"/>
      <c r="CJ193" s="578"/>
      <c r="CK193" s="543" t="s">
        <v>1815</v>
      </c>
      <c r="CL193" s="543" t="s">
        <v>1897</v>
      </c>
      <c r="CM193" s="509" t="s">
        <v>1925</v>
      </c>
      <c r="CN193" s="528"/>
      <c r="CO193" s="528"/>
      <c r="CP193" s="544">
        <f t="shared" si="305"/>
        <v>529143.31963515875</v>
      </c>
      <c r="CQ193" s="544">
        <f t="shared" si="306"/>
        <v>38867.303112147914</v>
      </c>
      <c r="CR193" s="544">
        <f t="shared" si="307"/>
        <v>5511.5872526933063</v>
      </c>
      <c r="CS193" s="1709" t="s">
        <v>1826</v>
      </c>
      <c r="CT193" s="1710"/>
      <c r="CU193" s="1710"/>
      <c r="CV193" s="1710"/>
      <c r="CW193" s="1711"/>
      <c r="CX193" s="528"/>
      <c r="CY193" s="528"/>
      <c r="CZ193" s="528"/>
      <c r="DA193" s="528"/>
      <c r="DB193" s="579">
        <f>14359.32</f>
        <v>14359.32</v>
      </c>
      <c r="DC193" s="628" t="e">
        <f>P193-#REF!</f>
        <v>#REF!</v>
      </c>
      <c r="DD193" s="535"/>
      <c r="DE193" s="535"/>
      <c r="DF193" s="525">
        <f t="shared" si="278"/>
        <v>552.05866999999989</v>
      </c>
      <c r="DG193" s="525">
        <f t="shared" si="278"/>
        <v>41.185190000000006</v>
      </c>
      <c r="DH193" s="525">
        <f t="shared" si="278"/>
        <v>5.1739899999999999</v>
      </c>
      <c r="DI193" s="522">
        <f t="shared" si="278"/>
        <v>598.41784999999982</v>
      </c>
      <c r="DJ193" s="536"/>
      <c r="DK193" s="536"/>
      <c r="DL193" s="536"/>
      <c r="DM193" s="536"/>
      <c r="DN193" s="536"/>
      <c r="DO193" s="536"/>
      <c r="DP193" s="536"/>
      <c r="DQ193" s="536"/>
      <c r="DR193" s="536"/>
      <c r="DS193" s="536"/>
    </row>
    <row r="194" spans="1:123" s="534" customFormat="1" ht="84.6">
      <c r="A194" s="537" t="s">
        <v>1939</v>
      </c>
      <c r="B194" s="538" t="s">
        <v>821</v>
      </c>
      <c r="C194" s="576">
        <v>837683.19</v>
      </c>
      <c r="D194" s="576">
        <v>854097.58</v>
      </c>
      <c r="E194" s="576">
        <v>1096166.32</v>
      </c>
      <c r="F194" s="576">
        <v>1600700.18</v>
      </c>
      <c r="G194" s="577">
        <v>516718.76422802528</v>
      </c>
      <c r="H194" s="577">
        <v>0</v>
      </c>
      <c r="I194" s="576">
        <f t="shared" si="298"/>
        <v>743012</v>
      </c>
      <c r="J194" s="576">
        <v>484652.62</v>
      </c>
      <c r="K194" s="576">
        <v>129179.69</v>
      </c>
      <c r="L194" s="576">
        <v>129179.69</v>
      </c>
      <c r="M194" s="576">
        <f t="shared" si="299"/>
        <v>613832.31000000006</v>
      </c>
      <c r="N194" s="576">
        <v>755351.47</v>
      </c>
      <c r="O194" s="525">
        <f t="shared" si="300"/>
        <v>399107.78</v>
      </c>
      <c r="P194" s="522">
        <f>847.46+1153611.79</f>
        <v>1154459.25</v>
      </c>
      <c r="Q194" s="576">
        <f t="shared" si="219"/>
        <v>411447.25</v>
      </c>
      <c r="R194" s="576">
        <f t="shared" si="220"/>
        <v>55.375586127814898</v>
      </c>
      <c r="S194" s="576">
        <v>545138.29626056668</v>
      </c>
      <c r="T194" s="576">
        <v>545138.29626056668</v>
      </c>
      <c r="U194" s="522">
        <f t="shared" si="301"/>
        <v>780905.61</v>
      </c>
      <c r="V194" s="522">
        <f t="shared" si="217"/>
        <v>235767.3137394333</v>
      </c>
      <c r="W194" s="522">
        <f t="shared" si="246"/>
        <v>43.249082912850554</v>
      </c>
      <c r="X194" s="522">
        <f t="shared" si="221"/>
        <v>-373553.64</v>
      </c>
      <c r="Y194" s="522">
        <f t="shared" si="222"/>
        <v>-32.357455665931909</v>
      </c>
      <c r="Z194" s="524">
        <f t="shared" si="223"/>
        <v>1328180.1600000001</v>
      </c>
      <c r="AA194" s="522">
        <f t="shared" si="224"/>
        <v>783041.86373943347</v>
      </c>
      <c r="AB194" s="522">
        <f t="shared" si="247"/>
        <v>143.64095663628683</v>
      </c>
      <c r="AC194" s="522">
        <f t="shared" si="225"/>
        <v>547274.55000000016</v>
      </c>
      <c r="AD194" s="522">
        <f t="shared" si="226"/>
        <v>70.082035907002933</v>
      </c>
      <c r="AE194" s="522">
        <f t="shared" si="227"/>
        <v>173720.91000000015</v>
      </c>
      <c r="AF194" s="522">
        <f t="shared" si="228"/>
        <v>15.047816542680053</v>
      </c>
      <c r="AG194" s="522">
        <f t="shared" si="243"/>
        <v>1214171.6599999999</v>
      </c>
      <c r="AH194" s="522">
        <f t="shared" si="229"/>
        <v>433266.04999999993</v>
      </c>
      <c r="AI194" s="522">
        <f t="shared" si="230"/>
        <v>55.482512156622846</v>
      </c>
      <c r="AJ194" s="522">
        <f t="shared" si="231"/>
        <v>-114008.50000000023</v>
      </c>
      <c r="AK194" s="522">
        <f t="shared" si="310"/>
        <v>-8.5838129068273616</v>
      </c>
      <c r="AL194" s="522">
        <f t="shared" si="302"/>
        <v>1214171.6599999999</v>
      </c>
      <c r="AM194" s="522">
        <f t="shared" si="270"/>
        <v>390452.8</v>
      </c>
      <c r="AN194" s="522">
        <f t="shared" si="270"/>
        <v>537727.35</v>
      </c>
      <c r="AO194" s="522">
        <f t="shared" si="232"/>
        <v>147274.54999999999</v>
      </c>
      <c r="AP194" s="522">
        <f t="shared" si="244"/>
        <v>37.718912503636801</v>
      </c>
      <c r="AQ194" s="578">
        <v>195226.4</v>
      </c>
      <c r="AR194" s="578">
        <v>228234.09</v>
      </c>
      <c r="AS194" s="578">
        <v>195226.4</v>
      </c>
      <c r="AT194" s="578">
        <v>309493.26</v>
      </c>
      <c r="AU194" s="578">
        <f t="shared" si="276"/>
        <v>390452.81</v>
      </c>
      <c r="AV194" s="578">
        <f t="shared" si="276"/>
        <v>790452.81</v>
      </c>
      <c r="AW194" s="578">
        <f t="shared" si="233"/>
        <v>400000.00000000006</v>
      </c>
      <c r="AX194" s="578">
        <f t="shared" si="234"/>
        <v>102.44515848150769</v>
      </c>
      <c r="AY194" s="578">
        <f t="shared" si="277"/>
        <v>676444.30999999994</v>
      </c>
      <c r="AZ194" s="578">
        <f t="shared" si="235"/>
        <v>114008.50000000012</v>
      </c>
      <c r="BA194" s="578">
        <f t="shared" si="236"/>
        <v>16.85408515003995</v>
      </c>
      <c r="BB194" s="578">
        <v>195226.4</v>
      </c>
      <c r="BC194" s="576">
        <f>'[67]Гл инж_Тех дир'!AT69</f>
        <v>395226.4</v>
      </c>
      <c r="BD194" s="576">
        <f t="shared" si="303"/>
        <v>264540.80000000005</v>
      </c>
      <c r="BE194" s="576">
        <f t="shared" si="237"/>
        <v>69314.400000000052</v>
      </c>
      <c r="BF194" s="576">
        <f t="shared" si="238"/>
        <v>-130685.59999999998</v>
      </c>
      <c r="BG194" s="576">
        <f t="shared" si="218"/>
        <v>585679.19999999995</v>
      </c>
      <c r="BH194" s="578">
        <f t="shared" si="218"/>
        <v>932953.75</v>
      </c>
      <c r="BI194" s="578">
        <f>801193.42+1074.73</f>
        <v>802268.15</v>
      </c>
      <c r="BJ194" s="578">
        <f t="shared" si="239"/>
        <v>216588.95000000007</v>
      </c>
      <c r="BK194" s="578">
        <f t="shared" si="240"/>
        <v>-130685.59999999998</v>
      </c>
      <c r="BL194" s="576">
        <v>195226.41</v>
      </c>
      <c r="BM194" s="578">
        <f>'[67]Гл инж_Тех дир'!AW69</f>
        <v>395226.41</v>
      </c>
      <c r="BN194" s="522">
        <f t="shared" si="304"/>
        <v>411903.50999999989</v>
      </c>
      <c r="BO194" s="578">
        <f t="shared" si="245"/>
        <v>216677.09999999989</v>
      </c>
      <c r="BP194" s="578">
        <f t="shared" si="241"/>
        <v>16677.099999999919</v>
      </c>
      <c r="BQ194" s="576">
        <v>195226.41</v>
      </c>
      <c r="BR194" s="578">
        <f>'[67]Гл инж_Тех дир'!BB69</f>
        <v>0</v>
      </c>
      <c r="BS194" s="578">
        <f>'[67]Гл инж_Тех дир'!BC69</f>
        <v>0</v>
      </c>
      <c r="BT194" s="536"/>
      <c r="BU194" s="578">
        <v>1213096.93</v>
      </c>
      <c r="BV194" s="578">
        <v>1074.73</v>
      </c>
      <c r="BW194" s="578"/>
      <c r="BX194" s="574"/>
      <c r="BY194" s="525">
        <f>1101274.68+1074.73</f>
        <v>1102349.4099999999</v>
      </c>
      <c r="BZ194" s="525">
        <v>92457.14</v>
      </c>
      <c r="CA194" s="525">
        <v>19365.11</v>
      </c>
      <c r="CB194" s="522">
        <f t="shared" si="308"/>
        <v>1214171.6599999999</v>
      </c>
      <c r="CC194" s="522">
        <f t="shared" si="242"/>
        <v>0</v>
      </c>
      <c r="CD194" s="578"/>
      <c r="CE194" s="578"/>
      <c r="CF194" s="578"/>
      <c r="CG194" s="578"/>
      <c r="CH194" s="578"/>
      <c r="CI194" s="578"/>
      <c r="CJ194" s="578"/>
      <c r="CK194" s="542" t="s">
        <v>79</v>
      </c>
      <c r="CL194" s="543" t="s">
        <v>1911</v>
      </c>
      <c r="CM194" s="509" t="s">
        <v>1925</v>
      </c>
      <c r="CN194" s="528" t="s">
        <v>1849</v>
      </c>
      <c r="CO194" s="528"/>
      <c r="CP194" s="544">
        <f t="shared" si="305"/>
        <v>720479.48552353133</v>
      </c>
      <c r="CQ194" s="544">
        <f t="shared" si="306"/>
        <v>52921.568714569519</v>
      </c>
      <c r="CR194" s="544">
        <f t="shared" si="307"/>
        <v>7504.5557618992498</v>
      </c>
      <c r="CS194" s="1709" t="s">
        <v>1826</v>
      </c>
      <c r="CT194" s="1710"/>
      <c r="CU194" s="1710"/>
      <c r="CV194" s="1710"/>
      <c r="CW194" s="1711"/>
      <c r="CX194" s="528"/>
      <c r="CY194" s="528"/>
      <c r="CZ194" s="528"/>
      <c r="DA194" s="528"/>
      <c r="DB194" s="579">
        <f>228234.09</f>
        <v>228234.09</v>
      </c>
      <c r="DC194" s="628" t="e">
        <f>P194-#REF!</f>
        <v>#REF!</v>
      </c>
      <c r="DD194" s="535"/>
      <c r="DE194" s="535"/>
      <c r="DF194" s="525">
        <f t="shared" si="278"/>
        <v>1102.3494099999998</v>
      </c>
      <c r="DG194" s="525">
        <f t="shared" si="278"/>
        <v>92.457139999999995</v>
      </c>
      <c r="DH194" s="525">
        <f t="shared" si="278"/>
        <v>19.365110000000001</v>
      </c>
      <c r="DI194" s="522">
        <f t="shared" si="278"/>
        <v>1214.17166</v>
      </c>
      <c r="DJ194" s="536"/>
      <c r="DK194" s="536"/>
      <c r="DL194" s="536"/>
      <c r="DM194" s="536"/>
      <c r="DN194" s="536"/>
      <c r="DO194" s="536"/>
      <c r="DP194" s="536"/>
      <c r="DQ194" s="536"/>
      <c r="DR194" s="536"/>
      <c r="DS194" s="536"/>
    </row>
    <row r="195" spans="1:123" s="534" customFormat="1" ht="88.5" customHeight="1">
      <c r="A195" s="537" t="s">
        <v>825</v>
      </c>
      <c r="B195" s="538" t="s">
        <v>826</v>
      </c>
      <c r="C195" s="576">
        <v>3027993.43</v>
      </c>
      <c r="D195" s="576">
        <v>11329083.48</v>
      </c>
      <c r="E195" s="576">
        <v>3000000</v>
      </c>
      <c r="F195" s="576">
        <v>3243039.89</v>
      </c>
      <c r="G195" s="577">
        <v>2359501.3705293178</v>
      </c>
      <c r="H195" s="577">
        <v>0</v>
      </c>
      <c r="I195" s="576">
        <f t="shared" si="298"/>
        <v>1946928.76</v>
      </c>
      <c r="J195" s="576">
        <v>37427.39</v>
      </c>
      <c r="K195" s="576">
        <v>1509501.37</v>
      </c>
      <c r="L195" s="576">
        <v>400000</v>
      </c>
      <c r="M195" s="576">
        <f t="shared" si="299"/>
        <v>1546928.76</v>
      </c>
      <c r="N195" s="576">
        <v>951913.77</v>
      </c>
      <c r="O195" s="525">
        <f t="shared" si="300"/>
        <v>3113623.21</v>
      </c>
      <c r="P195" s="522">
        <v>4065536.98</v>
      </c>
      <c r="Q195" s="576">
        <f t="shared" si="219"/>
        <v>2118608.2199999997</v>
      </c>
      <c r="R195" s="576">
        <f t="shared" si="220"/>
        <v>108.81796311848615</v>
      </c>
      <c r="S195" s="576">
        <v>3678114.8112499998</v>
      </c>
      <c r="T195" s="576">
        <v>3678114.8112499998</v>
      </c>
      <c r="U195" s="522">
        <f t="shared" si="301"/>
        <v>3516949.15</v>
      </c>
      <c r="V195" s="522">
        <f t="shared" si="217"/>
        <v>-161165.66124999989</v>
      </c>
      <c r="W195" s="522">
        <f t="shared" si="246"/>
        <v>-4.3817463434543527</v>
      </c>
      <c r="X195" s="522">
        <f t="shared" si="221"/>
        <v>-548587.83000000007</v>
      </c>
      <c r="Y195" s="522">
        <f t="shared" si="222"/>
        <v>-13.493613087243389</v>
      </c>
      <c r="Z195" s="524">
        <f t="shared" si="223"/>
        <v>1665954.38</v>
      </c>
      <c r="AA195" s="522">
        <f t="shared" si="224"/>
        <v>-2012160.4312499999</v>
      </c>
      <c r="AB195" s="522">
        <f t="shared" si="247"/>
        <v>-54.70629750587289</v>
      </c>
      <c r="AC195" s="522">
        <f t="shared" si="225"/>
        <v>-1850994.77</v>
      </c>
      <c r="AD195" s="522">
        <f t="shared" si="226"/>
        <v>-52.630694703106528</v>
      </c>
      <c r="AE195" s="522">
        <f t="shared" si="227"/>
        <v>-2399582.6</v>
      </c>
      <c r="AF195" s="522">
        <f t="shared" si="228"/>
        <v>-59.022525481984431</v>
      </c>
      <c r="AG195" s="522">
        <f t="shared" si="243"/>
        <v>2668678.8199999994</v>
      </c>
      <c r="AH195" s="522">
        <f t="shared" si="229"/>
        <v>-848270.33000000054</v>
      </c>
      <c r="AI195" s="522">
        <f t="shared" si="230"/>
        <v>-24.119493737917722</v>
      </c>
      <c r="AJ195" s="522">
        <f t="shared" si="231"/>
        <v>1002724.4399999995</v>
      </c>
      <c r="AK195" s="522">
        <f t="shared" si="310"/>
        <v>60.189189574326718</v>
      </c>
      <c r="AL195" s="522">
        <f t="shared" si="302"/>
        <v>2668678.8199999998</v>
      </c>
      <c r="AM195" s="522">
        <f t="shared" si="270"/>
        <v>2415254.2400000002</v>
      </c>
      <c r="AN195" s="522">
        <f t="shared" si="270"/>
        <v>564259.47</v>
      </c>
      <c r="AO195" s="522">
        <f t="shared" si="232"/>
        <v>-1850994.7700000003</v>
      </c>
      <c r="AP195" s="522">
        <f t="shared" si="244"/>
        <v>-76.637678110441911</v>
      </c>
      <c r="AQ195" s="578">
        <v>805084.75</v>
      </c>
      <c r="AR195" s="578">
        <v>0</v>
      </c>
      <c r="AS195" s="578">
        <v>1610169.49</v>
      </c>
      <c r="AT195" s="578">
        <v>564259.47</v>
      </c>
      <c r="AU195" s="578">
        <f t="shared" si="276"/>
        <v>1101694.9099999999</v>
      </c>
      <c r="AV195" s="578">
        <f t="shared" si="276"/>
        <v>1101694.9099999999</v>
      </c>
      <c r="AW195" s="578">
        <f t="shared" si="233"/>
        <v>0</v>
      </c>
      <c r="AX195" s="578">
        <f t="shared" si="234"/>
        <v>0</v>
      </c>
      <c r="AY195" s="578">
        <f t="shared" si="277"/>
        <v>2104419.3499999996</v>
      </c>
      <c r="AZ195" s="578">
        <f t="shared" si="235"/>
        <v>-1002724.4399999997</v>
      </c>
      <c r="BA195" s="578">
        <f t="shared" si="236"/>
        <v>-47.648508839267222</v>
      </c>
      <c r="BB195" s="578">
        <v>762711.86</v>
      </c>
      <c r="BC195" s="576">
        <f>'[67]Дир_ по реал.услуг'!AT30</f>
        <v>762711.86</v>
      </c>
      <c r="BD195" s="576">
        <f t="shared" si="303"/>
        <v>1392886.87</v>
      </c>
      <c r="BE195" s="576">
        <f t="shared" si="237"/>
        <v>630175.01000000013</v>
      </c>
      <c r="BF195" s="576">
        <f t="shared" si="238"/>
        <v>630175.01000000013</v>
      </c>
      <c r="BG195" s="576">
        <f t="shared" si="218"/>
        <v>3177966.1</v>
      </c>
      <c r="BH195" s="578">
        <f t="shared" si="218"/>
        <v>1326971.33</v>
      </c>
      <c r="BI195" s="578">
        <v>1957146.34</v>
      </c>
      <c r="BJ195" s="578">
        <f t="shared" si="239"/>
        <v>-1220819.76</v>
      </c>
      <c r="BK195" s="578">
        <f t="shared" si="240"/>
        <v>630175.01</v>
      </c>
      <c r="BL195" s="576">
        <v>338983.05</v>
      </c>
      <c r="BM195" s="578">
        <f>'[67]Дир_ по реал.услуг'!AW30</f>
        <v>338983.05</v>
      </c>
      <c r="BN195" s="522">
        <f t="shared" si="304"/>
        <v>711532.47999999975</v>
      </c>
      <c r="BO195" s="578">
        <f t="shared" si="245"/>
        <v>372549.42999999976</v>
      </c>
      <c r="BP195" s="578">
        <f t="shared" si="241"/>
        <v>372549.42999999976</v>
      </c>
      <c r="BQ195" s="576">
        <v>338983.05</v>
      </c>
      <c r="BR195" s="578">
        <f>'[67]Дир_ по реал.услуг'!BB30</f>
        <v>0</v>
      </c>
      <c r="BS195" s="578">
        <f>'[67]Дир_ по реал.услуг'!BC30</f>
        <v>0</v>
      </c>
      <c r="BT195" s="536"/>
      <c r="BU195" s="578">
        <v>2668678.8199999998</v>
      </c>
      <c r="BV195" s="578"/>
      <c r="BW195" s="578"/>
      <c r="BX195" s="574"/>
      <c r="BY195" s="525">
        <v>2668678.8199999998</v>
      </c>
      <c r="BZ195" s="525"/>
      <c r="CA195" s="525"/>
      <c r="CB195" s="522">
        <f t="shared" si="308"/>
        <v>2668678.8199999998</v>
      </c>
      <c r="CC195" s="522">
        <f t="shared" si="242"/>
        <v>0</v>
      </c>
      <c r="CD195" s="578"/>
      <c r="CE195" s="578"/>
      <c r="CF195" s="578"/>
      <c r="CG195" s="578"/>
      <c r="CH195" s="578"/>
      <c r="CI195" s="578"/>
      <c r="CJ195" s="578"/>
      <c r="CK195" s="543" t="s">
        <v>78</v>
      </c>
      <c r="CL195" s="543" t="s">
        <v>1833</v>
      </c>
      <c r="CM195" s="509" t="s">
        <v>1925</v>
      </c>
      <c r="CN195" s="528"/>
      <c r="CO195" s="528"/>
      <c r="CP195" s="544">
        <f t="shared" si="305"/>
        <v>3244809.2083810498</v>
      </c>
      <c r="CQ195" s="544">
        <f t="shared" si="306"/>
        <v>238341.82226885509</v>
      </c>
      <c r="CR195" s="544">
        <f t="shared" si="307"/>
        <v>33798.119350095549</v>
      </c>
      <c r="CS195" s="1709" t="s">
        <v>1826</v>
      </c>
      <c r="CT195" s="1710"/>
      <c r="CU195" s="1710"/>
      <c r="CV195" s="1710"/>
      <c r="CW195" s="1711"/>
      <c r="CX195" s="528"/>
      <c r="CY195" s="528"/>
      <c r="CZ195" s="528"/>
      <c r="DA195" s="528"/>
      <c r="DB195" s="579"/>
      <c r="DC195" s="628" t="e">
        <f>P195-#REF!</f>
        <v>#REF!</v>
      </c>
      <c r="DD195" s="535"/>
      <c r="DE195" s="535"/>
      <c r="DF195" s="525">
        <f t="shared" si="278"/>
        <v>2668.6788199999996</v>
      </c>
      <c r="DG195" s="525">
        <f t="shared" si="278"/>
        <v>0</v>
      </c>
      <c r="DH195" s="525">
        <f t="shared" si="278"/>
        <v>0</v>
      </c>
      <c r="DI195" s="522">
        <f t="shared" si="278"/>
        <v>2668.6788199999996</v>
      </c>
      <c r="DJ195" s="536"/>
      <c r="DK195" s="536"/>
      <c r="DL195" s="536"/>
      <c r="DM195" s="536"/>
      <c r="DN195" s="536"/>
      <c r="DO195" s="536"/>
      <c r="DP195" s="536"/>
      <c r="DQ195" s="536"/>
      <c r="DR195" s="536"/>
      <c r="DS195" s="536"/>
    </row>
    <row r="196" spans="1:123" s="623" customFormat="1" ht="141">
      <c r="A196" s="537" t="s">
        <v>729</v>
      </c>
      <c r="B196" s="538" t="s">
        <v>1940</v>
      </c>
      <c r="C196" s="576">
        <v>54665134.640000001</v>
      </c>
      <c r="D196" s="576">
        <v>42421277.859999999</v>
      </c>
      <c r="E196" s="573">
        <v>46514525.00999999</v>
      </c>
      <c r="F196" s="573">
        <v>77689404.909999996</v>
      </c>
      <c r="G196" s="596">
        <v>39539041.493048631</v>
      </c>
      <c r="H196" s="596">
        <v>0</v>
      </c>
      <c r="I196" s="522">
        <f t="shared" si="298"/>
        <v>72470275.969999999</v>
      </c>
      <c r="J196" s="573">
        <v>37724941.259999998</v>
      </c>
      <c r="K196" s="573">
        <v>21124770.199999999</v>
      </c>
      <c r="L196" s="573">
        <v>13620564.51</v>
      </c>
      <c r="M196" s="573">
        <f t="shared" si="299"/>
        <v>58849711.459999993</v>
      </c>
      <c r="N196" s="573">
        <v>52305918.719999999</v>
      </c>
      <c r="O196" s="573">
        <f t="shared" si="300"/>
        <v>14133084.969999999</v>
      </c>
      <c r="P196" s="522">
        <f>63104509.04+3334494.65</f>
        <v>66439003.689999998</v>
      </c>
      <c r="Q196" s="525">
        <f t="shared" si="219"/>
        <v>-6031272.2800000012</v>
      </c>
      <c r="R196" s="525">
        <f t="shared" si="220"/>
        <v>-8.3224083243407563</v>
      </c>
      <c r="S196" s="525">
        <v>79533422.150000006</v>
      </c>
      <c r="T196" s="525">
        <v>79533422.150000006</v>
      </c>
      <c r="U196" s="522">
        <f t="shared" si="301"/>
        <v>74417372.969999999</v>
      </c>
      <c r="V196" s="522">
        <f t="shared" si="217"/>
        <v>-5116049.1800000072</v>
      </c>
      <c r="W196" s="522">
        <f t="shared" si="246"/>
        <v>-6.4325777034353422</v>
      </c>
      <c r="X196" s="522">
        <f t="shared" si="221"/>
        <v>7978369.2800000012</v>
      </c>
      <c r="Y196" s="522">
        <f t="shared" si="222"/>
        <v>12.008562496250775</v>
      </c>
      <c r="Z196" s="524">
        <f t="shared" si="223"/>
        <v>76700949.710000008</v>
      </c>
      <c r="AA196" s="522">
        <f t="shared" si="224"/>
        <v>-2832472.4399999976</v>
      </c>
      <c r="AB196" s="522">
        <f t="shared" si="247"/>
        <v>-3.5613612031655748</v>
      </c>
      <c r="AC196" s="522">
        <f t="shared" si="225"/>
        <v>2283576.7400000095</v>
      </c>
      <c r="AD196" s="522">
        <f t="shared" si="226"/>
        <v>3.0686070320173684</v>
      </c>
      <c r="AE196" s="522">
        <f t="shared" si="227"/>
        <v>10261946.020000011</v>
      </c>
      <c r="AF196" s="522">
        <f t="shared" si="228"/>
        <v>15.445665121472274</v>
      </c>
      <c r="AG196" s="522">
        <f t="shared" si="243"/>
        <v>77463996.799999997</v>
      </c>
      <c r="AH196" s="522">
        <f t="shared" si="229"/>
        <v>3046623.8299999982</v>
      </c>
      <c r="AI196" s="522">
        <f t="shared" si="230"/>
        <v>4.0939685296714146</v>
      </c>
      <c r="AJ196" s="522">
        <f t="shared" si="231"/>
        <v>763047.08999998868</v>
      </c>
      <c r="AK196" s="522">
        <f t="shared" si="310"/>
        <v>0.9948339530149326</v>
      </c>
      <c r="AL196" s="522">
        <f t="shared" si="302"/>
        <v>77463996.799999997</v>
      </c>
      <c r="AM196" s="522">
        <f t="shared" si="270"/>
        <v>36814587.329999998</v>
      </c>
      <c r="AN196" s="522">
        <f t="shared" si="270"/>
        <v>37383607.609999999</v>
      </c>
      <c r="AO196" s="522">
        <f t="shared" si="232"/>
        <v>569020.28000000119</v>
      </c>
      <c r="AP196" s="522">
        <f t="shared" si="244"/>
        <v>1.5456380779156831</v>
      </c>
      <c r="AQ196" s="522">
        <v>18407469.510000002</v>
      </c>
      <c r="AR196" s="522">
        <v>17458128.829999998</v>
      </c>
      <c r="AS196" s="522">
        <v>18407117.82</v>
      </c>
      <c r="AT196" s="522">
        <v>19925478.780000001</v>
      </c>
      <c r="AU196" s="522">
        <f t="shared" si="276"/>
        <v>37602785.640000001</v>
      </c>
      <c r="AV196" s="522">
        <f t="shared" si="276"/>
        <v>39317342.100000001</v>
      </c>
      <c r="AW196" s="522">
        <f t="shared" si="233"/>
        <v>1714556.4600000009</v>
      </c>
      <c r="AX196" s="522">
        <f t="shared" si="234"/>
        <v>4.5596527778945699</v>
      </c>
      <c r="AY196" s="522">
        <f t="shared" si="277"/>
        <v>40080389.189999998</v>
      </c>
      <c r="AZ196" s="522">
        <f t="shared" si="235"/>
        <v>-763047.08999999613</v>
      </c>
      <c r="BA196" s="522">
        <f t="shared" si="236"/>
        <v>-1.9037916183468013</v>
      </c>
      <c r="BB196" s="522">
        <v>18638367.82</v>
      </c>
      <c r="BC196" s="525">
        <f>'[67]Гл инж_Тех дир'!AT70</f>
        <v>18886867.82</v>
      </c>
      <c r="BD196" s="525">
        <f t="shared" si="303"/>
        <v>19999327.480000004</v>
      </c>
      <c r="BE196" s="525">
        <f t="shared" si="237"/>
        <v>1360959.6600000039</v>
      </c>
      <c r="BF196" s="525">
        <f t="shared" si="238"/>
        <v>1112459.6600000039</v>
      </c>
      <c r="BG196" s="525">
        <f t="shared" si="218"/>
        <v>55452955.149999999</v>
      </c>
      <c r="BH196" s="522">
        <f t="shared" si="218"/>
        <v>56270475.43</v>
      </c>
      <c r="BI196" s="522">
        <f>56830329.29+19923.1+532682.7</f>
        <v>57382935.090000004</v>
      </c>
      <c r="BJ196" s="522">
        <f t="shared" si="239"/>
        <v>1929979.9400000051</v>
      </c>
      <c r="BK196" s="522">
        <f t="shared" si="240"/>
        <v>1112459.6600000039</v>
      </c>
      <c r="BL196" s="525">
        <v>18964417.82</v>
      </c>
      <c r="BM196" s="522">
        <f>'[67]Гл инж_Тех дир'!AW70</f>
        <v>20430474.280000001</v>
      </c>
      <c r="BN196" s="522">
        <f t="shared" si="304"/>
        <v>20081061.709999993</v>
      </c>
      <c r="BO196" s="522">
        <f t="shared" si="245"/>
        <v>1116643.8899999931</v>
      </c>
      <c r="BP196" s="522">
        <f t="shared" si="241"/>
        <v>-349412.57000000775</v>
      </c>
      <c r="BQ196" s="525">
        <v>18964417.82</v>
      </c>
      <c r="BR196" s="522">
        <f>'[67]Гл инж_Тех дир'!BB70</f>
        <v>0</v>
      </c>
      <c r="BS196" s="522">
        <f>'[67]Гл инж_Тех дир'!BC70</f>
        <v>0</v>
      </c>
      <c r="BT196" s="621"/>
      <c r="BU196" s="522">
        <f>76693645.6+3454.4+739368.19</f>
        <v>77436468.189999998</v>
      </c>
      <c r="BV196" s="522">
        <v>27528.61</v>
      </c>
      <c r="BW196" s="578"/>
      <c r="BX196" s="625"/>
      <c r="BY196" s="525">
        <f>75339132+3153.43+700416.54+27528.61</f>
        <v>76070230.580000013</v>
      </c>
      <c r="BZ196" s="525">
        <f>1153298.98+259.73+33003.9</f>
        <v>1186562.6099999999</v>
      </c>
      <c r="CA196" s="525">
        <f>201214.62+41.24+5947.75</f>
        <v>207203.61</v>
      </c>
      <c r="CB196" s="522">
        <f t="shared" si="308"/>
        <v>77463996.800000012</v>
      </c>
      <c r="CC196" s="522">
        <f t="shared" si="242"/>
        <v>0</v>
      </c>
      <c r="CD196" s="522"/>
      <c r="CE196" s="522"/>
      <c r="CF196" s="522"/>
      <c r="CG196" s="522"/>
      <c r="CH196" s="522"/>
      <c r="CI196" s="522"/>
      <c r="CJ196" s="522"/>
      <c r="CK196" s="542" t="s">
        <v>79</v>
      </c>
      <c r="CL196" s="543" t="s">
        <v>1911</v>
      </c>
      <c r="CM196" s="509" t="s">
        <v>1925</v>
      </c>
      <c r="CN196" s="528" t="s">
        <v>1849</v>
      </c>
      <c r="CO196" s="622"/>
      <c r="CP196" s="544">
        <f t="shared" si="305"/>
        <v>68658990.158155397</v>
      </c>
      <c r="CQ196" s="544">
        <f t="shared" si="306"/>
        <v>5043226.8212154387</v>
      </c>
      <c r="CR196" s="544">
        <f t="shared" si="307"/>
        <v>715155.99062916066</v>
      </c>
      <c r="CS196" s="1709" t="s">
        <v>1826</v>
      </c>
      <c r="CT196" s="1710"/>
      <c r="CU196" s="1710"/>
      <c r="CV196" s="1710"/>
      <c r="CW196" s="1711"/>
      <c r="CX196" s="622"/>
      <c r="CY196" s="622"/>
      <c r="CZ196" s="622"/>
      <c r="DA196" s="622"/>
      <c r="DB196" s="544">
        <f>17320856.61+132477.45+4794.77</f>
        <v>17458128.829999998</v>
      </c>
      <c r="DC196" s="628" t="e">
        <f>P196-#REF!</f>
        <v>#REF!</v>
      </c>
      <c r="DD196" s="624"/>
      <c r="DE196" s="624"/>
      <c r="DF196" s="525">
        <f t="shared" si="278"/>
        <v>76070.230580000018</v>
      </c>
      <c r="DG196" s="525">
        <f t="shared" si="278"/>
        <v>1186.5626099999999</v>
      </c>
      <c r="DH196" s="525">
        <f t="shared" si="278"/>
        <v>207.20361</v>
      </c>
      <c r="DI196" s="522">
        <f t="shared" si="278"/>
        <v>77463.996800000008</v>
      </c>
      <c r="DJ196" s="621"/>
      <c r="DK196" s="621"/>
      <c r="DL196" s="621"/>
      <c r="DM196" s="621"/>
      <c r="DN196" s="621"/>
      <c r="DO196" s="621"/>
      <c r="DP196" s="621"/>
      <c r="DQ196" s="621"/>
      <c r="DR196" s="621"/>
      <c r="DS196" s="621"/>
    </row>
    <row r="197" spans="1:123" s="534" customFormat="1" ht="113.25" customHeight="1">
      <c r="A197" s="537" t="s">
        <v>831</v>
      </c>
      <c r="B197" s="538" t="s">
        <v>832</v>
      </c>
      <c r="C197" s="576">
        <v>2392671.7799999998</v>
      </c>
      <c r="D197" s="576">
        <v>2644977.0099999998</v>
      </c>
      <c r="E197" s="525">
        <v>8558330</v>
      </c>
      <c r="F197" s="525">
        <v>5421189.4699999997</v>
      </c>
      <c r="G197" s="596">
        <v>2792840.6122244615</v>
      </c>
      <c r="H197" s="596">
        <v>0</v>
      </c>
      <c r="I197" s="525">
        <f t="shared" si="298"/>
        <v>3886113.84</v>
      </c>
      <c r="J197" s="525">
        <v>2489693.5299999998</v>
      </c>
      <c r="K197" s="525">
        <v>698210.15</v>
      </c>
      <c r="L197" s="525">
        <v>698210.16</v>
      </c>
      <c r="M197" s="525">
        <f t="shared" si="299"/>
        <v>3187903.6799999997</v>
      </c>
      <c r="N197" s="525">
        <v>2898443.99</v>
      </c>
      <c r="O197" s="525">
        <f t="shared" si="300"/>
        <v>1739994.6600000001</v>
      </c>
      <c r="P197" s="522">
        <v>4638438.6500000004</v>
      </c>
      <c r="Q197" s="525">
        <f t="shared" si="219"/>
        <v>752324.81000000052</v>
      </c>
      <c r="R197" s="525">
        <f t="shared" si="220"/>
        <v>19.359309607872959</v>
      </c>
      <c r="S197" s="525">
        <v>2597849.4074999997</v>
      </c>
      <c r="T197" s="525">
        <v>2597849.4074999997</v>
      </c>
      <c r="U197" s="522">
        <f t="shared" si="301"/>
        <v>4061686.1799999997</v>
      </c>
      <c r="V197" s="522">
        <f t="shared" ref="V197:V260" si="311">U197-T197</f>
        <v>1463836.7725</v>
      </c>
      <c r="W197" s="522">
        <f t="shared" si="246"/>
        <v>56.348022648037187</v>
      </c>
      <c r="X197" s="522">
        <f t="shared" si="221"/>
        <v>-576752.47000000067</v>
      </c>
      <c r="Y197" s="522">
        <f t="shared" si="222"/>
        <v>-12.434194208863815</v>
      </c>
      <c r="Z197" s="524">
        <f t="shared" si="223"/>
        <v>4061686.1799999997</v>
      </c>
      <c r="AA197" s="522">
        <f t="shared" si="224"/>
        <v>1463836.7725</v>
      </c>
      <c r="AB197" s="522">
        <f t="shared" si="247"/>
        <v>56.348022648037187</v>
      </c>
      <c r="AC197" s="522">
        <f t="shared" si="225"/>
        <v>0</v>
      </c>
      <c r="AD197" s="522">
        <f t="shared" si="226"/>
        <v>0</v>
      </c>
      <c r="AE197" s="522">
        <f t="shared" si="227"/>
        <v>-576752.47000000067</v>
      </c>
      <c r="AF197" s="522">
        <f t="shared" si="228"/>
        <v>-12.434194208863815</v>
      </c>
      <c r="AG197" s="522">
        <f t="shared" si="243"/>
        <v>3775824.76</v>
      </c>
      <c r="AH197" s="522">
        <f t="shared" si="229"/>
        <v>-285861.41999999993</v>
      </c>
      <c r="AI197" s="522">
        <f t="shared" si="230"/>
        <v>-7.0379986865454924</v>
      </c>
      <c r="AJ197" s="522">
        <f t="shared" si="231"/>
        <v>-285861.41999999993</v>
      </c>
      <c r="AK197" s="522">
        <f t="shared" si="310"/>
        <v>-7.0379986865454924</v>
      </c>
      <c r="AL197" s="522">
        <f t="shared" si="302"/>
        <v>3775824.76</v>
      </c>
      <c r="AM197" s="522">
        <f t="shared" si="270"/>
        <v>1561686.18</v>
      </c>
      <c r="AN197" s="522">
        <f t="shared" si="270"/>
        <v>1394854.45</v>
      </c>
      <c r="AO197" s="522">
        <f t="shared" si="232"/>
        <v>-166831.72999999998</v>
      </c>
      <c r="AP197" s="522">
        <f t="shared" si="244"/>
        <v>-10.682794798120071</v>
      </c>
      <c r="AQ197" s="522">
        <v>61686.18</v>
      </c>
      <c r="AR197" s="522">
        <v>619218.74</v>
      </c>
      <c r="AS197" s="522">
        <v>1500000</v>
      </c>
      <c r="AT197" s="522">
        <v>775635.71</v>
      </c>
      <c r="AU197" s="522">
        <f t="shared" si="276"/>
        <v>2500000</v>
      </c>
      <c r="AV197" s="522">
        <f t="shared" si="276"/>
        <v>2666831.73</v>
      </c>
      <c r="AW197" s="522">
        <f t="shared" si="233"/>
        <v>166831.72999999998</v>
      </c>
      <c r="AX197" s="522">
        <f t="shared" si="234"/>
        <v>6.6732691999999929</v>
      </c>
      <c r="AY197" s="522">
        <f t="shared" si="277"/>
        <v>2380970.3099999996</v>
      </c>
      <c r="AZ197" s="522">
        <f t="shared" si="235"/>
        <v>285861.42000000039</v>
      </c>
      <c r="BA197" s="522">
        <f t="shared" si="236"/>
        <v>12.006089231746884</v>
      </c>
      <c r="BB197" s="522">
        <v>1000000</v>
      </c>
      <c r="BC197" s="525">
        <f>'[67]Гл инж_Тех дир'!AT12</f>
        <v>1000000</v>
      </c>
      <c r="BD197" s="525">
        <f t="shared" si="303"/>
        <v>450192.32000000007</v>
      </c>
      <c r="BE197" s="525">
        <f t="shared" si="237"/>
        <v>-549807.67999999993</v>
      </c>
      <c r="BF197" s="525">
        <f t="shared" si="238"/>
        <v>-549807.67999999993</v>
      </c>
      <c r="BG197" s="525">
        <f t="shared" ref="BG197:BH260" si="312">AM197+BB197</f>
        <v>2561686.1799999997</v>
      </c>
      <c r="BH197" s="522">
        <f t="shared" si="312"/>
        <v>2394854.4500000002</v>
      </c>
      <c r="BI197" s="522">
        <f>1841854.77+3192</f>
        <v>1845046.77</v>
      </c>
      <c r="BJ197" s="522">
        <f t="shared" si="239"/>
        <v>-716639.40999999968</v>
      </c>
      <c r="BK197" s="522">
        <f t="shared" si="240"/>
        <v>-549807.68000000017</v>
      </c>
      <c r="BL197" s="525">
        <v>1500000</v>
      </c>
      <c r="BM197" s="522">
        <f>'[67]Гл инж_Тех дир'!AW12</f>
        <v>1666831.73</v>
      </c>
      <c r="BN197" s="522">
        <f t="shared" si="304"/>
        <v>1930777.9899999998</v>
      </c>
      <c r="BO197" s="522">
        <f t="shared" si="245"/>
        <v>430777.98999999976</v>
      </c>
      <c r="BP197" s="522">
        <f t="shared" si="241"/>
        <v>263946.25999999978</v>
      </c>
      <c r="BQ197" s="525">
        <v>1500000</v>
      </c>
      <c r="BR197" s="522">
        <f>'[67]Гл инж_Тех дир'!BB12</f>
        <v>0</v>
      </c>
      <c r="BS197" s="522">
        <f>'[67]Гл инж_Тех дир'!BC12</f>
        <v>0</v>
      </c>
      <c r="BT197" s="536"/>
      <c r="BU197" s="522">
        <v>3771036.76</v>
      </c>
      <c r="BV197" s="522">
        <v>4788</v>
      </c>
      <c r="BW197" s="578"/>
      <c r="BX197" s="574"/>
      <c r="BY197" s="525">
        <f>3470748.46+4788</f>
        <v>3475536.46</v>
      </c>
      <c r="BZ197" s="525">
        <v>270002.71999999997</v>
      </c>
      <c r="CA197" s="525">
        <v>30285.58</v>
      </c>
      <c r="CB197" s="522">
        <f t="shared" si="308"/>
        <v>3775824.76</v>
      </c>
      <c r="CC197" s="522">
        <f t="shared" si="242"/>
        <v>0</v>
      </c>
      <c r="CD197" s="522"/>
      <c r="CE197" s="522"/>
      <c r="CF197" s="522"/>
      <c r="CG197" s="522"/>
      <c r="CH197" s="522"/>
      <c r="CI197" s="522"/>
      <c r="CJ197" s="522"/>
      <c r="CK197" s="542" t="s">
        <v>79</v>
      </c>
      <c r="CL197" s="543" t="s">
        <v>1803</v>
      </c>
      <c r="CM197" s="509" t="s">
        <v>1925</v>
      </c>
      <c r="CN197" s="528" t="s">
        <v>1849</v>
      </c>
      <c r="CO197" s="528"/>
      <c r="CP197" s="544">
        <f t="shared" si="305"/>
        <v>3747394.7322832481</v>
      </c>
      <c r="CQ197" s="544">
        <f t="shared" si="306"/>
        <v>275258.36864187382</v>
      </c>
      <c r="CR197" s="544">
        <f t="shared" si="307"/>
        <v>39033.079074877634</v>
      </c>
      <c r="CS197" s="1709" t="s">
        <v>1826</v>
      </c>
      <c r="CT197" s="1710"/>
      <c r="CU197" s="1710"/>
      <c r="CV197" s="1710"/>
      <c r="CW197" s="1711"/>
      <c r="CX197" s="528"/>
      <c r="CY197" s="528"/>
      <c r="CZ197" s="528"/>
      <c r="DA197" s="528"/>
      <c r="DB197" s="544">
        <f>619218.74</f>
        <v>619218.74</v>
      </c>
      <c r="DC197" s="628" t="e">
        <f>P197-#REF!</f>
        <v>#REF!</v>
      </c>
      <c r="DD197" s="535"/>
      <c r="DE197" s="535"/>
      <c r="DF197" s="525">
        <f t="shared" si="278"/>
        <v>3475.5364599999998</v>
      </c>
      <c r="DG197" s="525">
        <f t="shared" si="278"/>
        <v>270.00271999999995</v>
      </c>
      <c r="DH197" s="525">
        <f t="shared" si="278"/>
        <v>30.285580000000003</v>
      </c>
      <c r="DI197" s="522">
        <f t="shared" si="278"/>
        <v>3775.82476</v>
      </c>
      <c r="DJ197" s="536"/>
      <c r="DK197" s="536"/>
      <c r="DL197" s="536"/>
      <c r="DM197" s="536"/>
      <c r="DN197" s="536"/>
      <c r="DO197" s="536"/>
      <c r="DP197" s="536"/>
      <c r="DQ197" s="536"/>
      <c r="DR197" s="536"/>
      <c r="DS197" s="536"/>
    </row>
    <row r="198" spans="1:123" s="534" customFormat="1" ht="93" customHeight="1">
      <c r="A198" s="537" t="s">
        <v>836</v>
      </c>
      <c r="B198" s="538" t="s">
        <v>837</v>
      </c>
      <c r="C198" s="576">
        <v>214717.14</v>
      </c>
      <c r="D198" s="576">
        <v>0</v>
      </c>
      <c r="E198" s="576">
        <v>441000</v>
      </c>
      <c r="F198" s="576">
        <v>193065.35</v>
      </c>
      <c r="G198" s="576">
        <v>66114.748437349001</v>
      </c>
      <c r="H198" s="576">
        <v>0</v>
      </c>
      <c r="I198" s="576">
        <f t="shared" si="298"/>
        <v>321538.06000000006</v>
      </c>
      <c r="J198" s="576">
        <v>70574.89</v>
      </c>
      <c r="K198" s="576">
        <v>80564.570000000007</v>
      </c>
      <c r="L198" s="576">
        <v>170398.6</v>
      </c>
      <c r="M198" s="576">
        <f t="shared" si="299"/>
        <v>151139.46000000002</v>
      </c>
      <c r="N198" s="576">
        <v>120606.42</v>
      </c>
      <c r="O198" s="525">
        <f t="shared" si="300"/>
        <v>79422.11</v>
      </c>
      <c r="P198" s="522">
        <f>21850.69+178177.84</f>
        <v>200028.53</v>
      </c>
      <c r="Q198" s="576">
        <f t="shared" ref="Q198:Q261" si="313">P198-I198</f>
        <v>-121509.53000000006</v>
      </c>
      <c r="R198" s="576">
        <f t="shared" ref="R198:R261" si="314">P198/I198*100-100</f>
        <v>-37.790092407723066</v>
      </c>
      <c r="S198" s="576">
        <v>69751.059601403234</v>
      </c>
      <c r="T198" s="576">
        <v>69751.059601403234</v>
      </c>
      <c r="U198" s="522">
        <f t="shared" si="301"/>
        <v>169009.8</v>
      </c>
      <c r="V198" s="522">
        <f t="shared" si="311"/>
        <v>99258.740398596754</v>
      </c>
      <c r="W198" s="522">
        <f t="shared" si="246"/>
        <v>142.30427604371459</v>
      </c>
      <c r="X198" s="522">
        <f t="shared" ref="X198:X261" si="315">U198-P198</f>
        <v>-31018.73000000001</v>
      </c>
      <c r="Y198" s="522">
        <f t="shared" ref="Y198:Y261" si="316">U198/P198*100-100</f>
        <v>-15.507152904638161</v>
      </c>
      <c r="Z198" s="524">
        <f t="shared" ref="Z198:Z261" si="317">AN198+AV198</f>
        <v>169009.8</v>
      </c>
      <c r="AA198" s="522">
        <f t="shared" ref="AA198:AA261" si="318">Z198-T198</f>
        <v>99258.740398596754</v>
      </c>
      <c r="AB198" s="522">
        <f t="shared" si="247"/>
        <v>142.30427604371459</v>
      </c>
      <c r="AC198" s="522">
        <f t="shared" ref="AC198:AC261" si="319">Z198-U198</f>
        <v>0</v>
      </c>
      <c r="AD198" s="522">
        <f t="shared" ref="AD198:AD261" si="320">Z198/U198*100-100</f>
        <v>0</v>
      </c>
      <c r="AE198" s="522">
        <f t="shared" ref="AE198:AE261" si="321">Z198-P198</f>
        <v>-31018.73000000001</v>
      </c>
      <c r="AF198" s="522">
        <f t="shared" ref="AF198:AF261" si="322">Z198/P198*100-100</f>
        <v>-15.507152904638161</v>
      </c>
      <c r="AG198" s="522">
        <f t="shared" si="243"/>
        <v>222268.27000000002</v>
      </c>
      <c r="AH198" s="522">
        <f t="shared" ref="AH198:AH261" si="323">AG198-U198</f>
        <v>53258.47000000003</v>
      </c>
      <c r="AI198" s="522">
        <f t="shared" ref="AI198:AI261" si="324">AG198/U198*100-100</f>
        <v>31.512060247393975</v>
      </c>
      <c r="AJ198" s="522">
        <f t="shared" ref="AJ198:AJ261" si="325">AG198-Z198</f>
        <v>53258.47000000003</v>
      </c>
      <c r="AK198" s="522">
        <f t="shared" si="310"/>
        <v>31.512060247393975</v>
      </c>
      <c r="AL198" s="522">
        <f t="shared" si="302"/>
        <v>222268.27000000002</v>
      </c>
      <c r="AM198" s="522">
        <f t="shared" si="270"/>
        <v>69009.8</v>
      </c>
      <c r="AN198" s="522">
        <f t="shared" si="270"/>
        <v>80829.329999999987</v>
      </c>
      <c r="AO198" s="522">
        <f t="shared" ref="AO198:AO261" si="326">AN198-AM198</f>
        <v>11819.529999999984</v>
      </c>
      <c r="AP198" s="522">
        <f t="shared" si="244"/>
        <v>17.12732104715559</v>
      </c>
      <c r="AQ198" s="578">
        <v>9009.7999999999993</v>
      </c>
      <c r="AR198" s="578">
        <v>59044.5</v>
      </c>
      <c r="AS198" s="578">
        <v>60000</v>
      </c>
      <c r="AT198" s="578">
        <v>21784.829999999987</v>
      </c>
      <c r="AU198" s="578">
        <f t="shared" si="276"/>
        <v>100000</v>
      </c>
      <c r="AV198" s="578">
        <f t="shared" si="276"/>
        <v>88180.47</v>
      </c>
      <c r="AW198" s="578">
        <f t="shared" ref="AW198:AW261" si="327">AV198-AU198</f>
        <v>-11819.529999999999</v>
      </c>
      <c r="AX198" s="578">
        <f t="shared" ref="AX198:AX261" si="328">AV198/AU198*100-100</f>
        <v>-11.81953</v>
      </c>
      <c r="AY198" s="578">
        <f t="shared" si="277"/>
        <v>141438.94000000003</v>
      </c>
      <c r="AZ198" s="578">
        <f t="shared" ref="AZ198:AZ261" si="329">AV198-AY198</f>
        <v>-53258.47000000003</v>
      </c>
      <c r="BA198" s="578">
        <f t="shared" ref="BA198:BA261" si="330">AV198/AY198*100-100</f>
        <v>-37.654743453252706</v>
      </c>
      <c r="BB198" s="578">
        <v>50000</v>
      </c>
      <c r="BC198" s="525">
        <f>'[67]Гл инж_Тех дир'!AT13</f>
        <v>38180.47</v>
      </c>
      <c r="BD198" s="525">
        <f t="shared" si="303"/>
        <v>20417.73000000001</v>
      </c>
      <c r="BE198" s="525">
        <f t="shared" ref="BE198:BE261" si="331">BD198-BB198</f>
        <v>-29582.26999999999</v>
      </c>
      <c r="BF198" s="525">
        <f t="shared" ref="BF198:BF261" si="332">BD198-BC198</f>
        <v>-17762.739999999991</v>
      </c>
      <c r="BG198" s="525">
        <f t="shared" si="312"/>
        <v>119009.8</v>
      </c>
      <c r="BH198" s="522">
        <f t="shared" si="312"/>
        <v>119009.79999999999</v>
      </c>
      <c r="BI198" s="522">
        <f>95240.48+6006.58</f>
        <v>101247.06</v>
      </c>
      <c r="BJ198" s="522">
        <f t="shared" ref="BJ198:BJ261" si="333">BI198-BG198</f>
        <v>-17762.740000000005</v>
      </c>
      <c r="BK198" s="522">
        <f t="shared" ref="BK198:BK261" si="334">BI198-BH198</f>
        <v>-17762.739999999991</v>
      </c>
      <c r="BL198" s="525">
        <v>50000</v>
      </c>
      <c r="BM198" s="522">
        <f>'[67]Гл инж_Тех дир'!AW13</f>
        <v>50000</v>
      </c>
      <c r="BN198" s="522">
        <f t="shared" si="304"/>
        <v>121021.21000000002</v>
      </c>
      <c r="BO198" s="522">
        <f t="shared" si="245"/>
        <v>71021.210000000021</v>
      </c>
      <c r="BP198" s="522">
        <f t="shared" ref="BP198:BP261" si="335">BN198-BM198</f>
        <v>71021.210000000021</v>
      </c>
      <c r="BQ198" s="525">
        <v>50000</v>
      </c>
      <c r="BR198" s="522">
        <f>'[67]Гл инж_Тех дир'!BB13</f>
        <v>0</v>
      </c>
      <c r="BS198" s="522">
        <f>'[67]Гл инж_Тех дир'!BC13</f>
        <v>0</v>
      </c>
      <c r="BT198" s="536"/>
      <c r="BU198" s="578">
        <v>181640.42</v>
      </c>
      <c r="BV198" s="578">
        <v>40627.85</v>
      </c>
      <c r="BW198" s="522"/>
      <c r="BX198" s="574"/>
      <c r="BY198" s="525">
        <f>156965.26+40627.85</f>
        <v>197593.11000000002</v>
      </c>
      <c r="BZ198" s="525">
        <v>22747.919999999998</v>
      </c>
      <c r="CA198" s="525">
        <v>1927.24</v>
      </c>
      <c r="CB198" s="522">
        <f t="shared" si="308"/>
        <v>222268.27000000002</v>
      </c>
      <c r="CC198" s="522">
        <f t="shared" ref="CC198:CC261" si="336">AL198-CB198</f>
        <v>0</v>
      </c>
      <c r="CD198" s="522"/>
      <c r="CE198" s="522"/>
      <c r="CF198" s="522"/>
      <c r="CG198" s="522"/>
      <c r="CH198" s="522"/>
      <c r="CI198" s="522"/>
      <c r="CJ198" s="522"/>
      <c r="CK198" s="542" t="s">
        <v>79</v>
      </c>
      <c r="CL198" s="543" t="s">
        <v>1803</v>
      </c>
      <c r="CM198" s="509" t="s">
        <v>1925</v>
      </c>
      <c r="CN198" s="528" t="s">
        <v>1849</v>
      </c>
      <c r="CO198" s="528"/>
      <c r="CP198" s="544">
        <f t="shared" si="305"/>
        <v>155931.89777754946</v>
      </c>
      <c r="CQ198" s="544">
        <f t="shared" si="306"/>
        <v>11453.706606276846</v>
      </c>
      <c r="CR198" s="544">
        <f t="shared" si="307"/>
        <v>1624.195616173688</v>
      </c>
      <c r="CS198" s="1709" t="s">
        <v>1826</v>
      </c>
      <c r="CT198" s="1710"/>
      <c r="CU198" s="1710"/>
      <c r="CV198" s="1710"/>
      <c r="CW198" s="1711"/>
      <c r="CX198" s="528"/>
      <c r="CY198" s="528"/>
      <c r="CZ198" s="528"/>
      <c r="DA198" s="528"/>
      <c r="DB198" s="579">
        <f>59044.5</f>
        <v>59044.5</v>
      </c>
      <c r="DC198" s="628" t="e">
        <f>P198-#REF!</f>
        <v>#REF!</v>
      </c>
      <c r="DD198" s="535"/>
      <c r="DE198" s="535"/>
      <c r="DF198" s="525">
        <f t="shared" si="278"/>
        <v>197.59311000000002</v>
      </c>
      <c r="DG198" s="525">
        <f t="shared" si="278"/>
        <v>22.747919999999997</v>
      </c>
      <c r="DH198" s="525">
        <f t="shared" si="278"/>
        <v>1.9272400000000001</v>
      </c>
      <c r="DI198" s="522">
        <f t="shared" si="278"/>
        <v>222.26827000000003</v>
      </c>
      <c r="DJ198" s="536"/>
      <c r="DK198" s="536"/>
      <c r="DL198" s="536"/>
      <c r="DM198" s="536"/>
      <c r="DN198" s="536"/>
      <c r="DO198" s="536"/>
      <c r="DP198" s="536"/>
      <c r="DQ198" s="536"/>
      <c r="DR198" s="536"/>
      <c r="DS198" s="536"/>
    </row>
    <row r="199" spans="1:123" s="534" customFormat="1" ht="56.4">
      <c r="A199" s="537" t="s">
        <v>841</v>
      </c>
      <c r="B199" s="538" t="s">
        <v>1941</v>
      </c>
      <c r="C199" s="576"/>
      <c r="D199" s="576"/>
      <c r="E199" s="576"/>
      <c r="F199" s="576"/>
      <c r="G199" s="576">
        <v>0</v>
      </c>
      <c r="H199" s="576">
        <v>0</v>
      </c>
      <c r="I199" s="576">
        <f t="shared" si="298"/>
        <v>94544.23000000001</v>
      </c>
      <c r="J199" s="576">
        <v>20209.84</v>
      </c>
      <c r="K199" s="576">
        <v>24778.13</v>
      </c>
      <c r="L199" s="576">
        <v>49556.26</v>
      </c>
      <c r="M199" s="576">
        <f t="shared" si="299"/>
        <v>44987.97</v>
      </c>
      <c r="N199" s="576">
        <v>23518.41</v>
      </c>
      <c r="O199" s="525">
        <f t="shared" si="300"/>
        <v>4658.9000000000015</v>
      </c>
      <c r="P199" s="522">
        <f>7967.47+20209.84</f>
        <v>28177.31</v>
      </c>
      <c r="Q199" s="576">
        <f t="shared" si="313"/>
        <v>-66366.920000000013</v>
      </c>
      <c r="R199" s="576">
        <f t="shared" si="314"/>
        <v>-70.196689951359275</v>
      </c>
      <c r="S199" s="576">
        <v>0</v>
      </c>
      <c r="T199" s="576">
        <v>0</v>
      </c>
      <c r="U199" s="522">
        <f t="shared" si="301"/>
        <v>32957.129999999997</v>
      </c>
      <c r="V199" s="522">
        <f t="shared" si="311"/>
        <v>32957.129999999997</v>
      </c>
      <c r="W199" s="522">
        <v>0</v>
      </c>
      <c r="X199" s="522">
        <f t="shared" si="315"/>
        <v>4779.8199999999961</v>
      </c>
      <c r="Y199" s="522">
        <f t="shared" si="316"/>
        <v>16.963365204130554</v>
      </c>
      <c r="Z199" s="524">
        <f t="shared" si="317"/>
        <v>25811.369999999995</v>
      </c>
      <c r="AA199" s="522">
        <f t="shared" si="318"/>
        <v>25811.369999999995</v>
      </c>
      <c r="AB199" s="522">
        <v>0</v>
      </c>
      <c r="AC199" s="522">
        <f t="shared" si="319"/>
        <v>-7145.760000000002</v>
      </c>
      <c r="AD199" s="522">
        <f t="shared" si="320"/>
        <v>-21.681985051489633</v>
      </c>
      <c r="AE199" s="522">
        <f t="shared" si="321"/>
        <v>-2365.940000000006</v>
      </c>
      <c r="AF199" s="522">
        <f t="shared" si="322"/>
        <v>-8.3966141551482565</v>
      </c>
      <c r="AG199" s="522">
        <f t="shared" ref="AG199:AG262" si="337">AN199+AY199</f>
        <v>25124.14</v>
      </c>
      <c r="AH199" s="522">
        <f t="shared" si="323"/>
        <v>-7832.989999999998</v>
      </c>
      <c r="AI199" s="522">
        <f t="shared" si="324"/>
        <v>-23.767209098607793</v>
      </c>
      <c r="AJ199" s="522">
        <f t="shared" si="325"/>
        <v>-687.22999999999593</v>
      </c>
      <c r="AK199" s="522">
        <f t="shared" si="310"/>
        <v>-2.6625088091023201</v>
      </c>
      <c r="AL199" s="522">
        <f t="shared" si="302"/>
        <v>25124.14</v>
      </c>
      <c r="AM199" s="522">
        <f t="shared" si="270"/>
        <v>15000</v>
      </c>
      <c r="AN199" s="522">
        <f t="shared" si="270"/>
        <v>7854.24</v>
      </c>
      <c r="AO199" s="522">
        <f t="shared" si="326"/>
        <v>-7145.76</v>
      </c>
      <c r="AP199" s="522">
        <f t="shared" si="244"/>
        <v>-47.638400000000004</v>
      </c>
      <c r="AQ199" s="578">
        <v>0</v>
      </c>
      <c r="AR199" s="578">
        <v>3012.71</v>
      </c>
      <c r="AS199" s="578">
        <v>15000</v>
      </c>
      <c r="AT199" s="578">
        <v>4841.53</v>
      </c>
      <c r="AU199" s="578">
        <f t="shared" si="276"/>
        <v>17957.129999999997</v>
      </c>
      <c r="AV199" s="578">
        <f t="shared" si="276"/>
        <v>17957.129999999997</v>
      </c>
      <c r="AW199" s="578">
        <f t="shared" si="327"/>
        <v>0</v>
      </c>
      <c r="AX199" s="578">
        <f t="shared" si="328"/>
        <v>0</v>
      </c>
      <c r="AY199" s="578">
        <f t="shared" si="277"/>
        <v>17269.900000000001</v>
      </c>
      <c r="AZ199" s="578">
        <f t="shared" si="329"/>
        <v>687.22999999999593</v>
      </c>
      <c r="BA199" s="578">
        <f t="shared" si="330"/>
        <v>3.9793513569852621</v>
      </c>
      <c r="BB199" s="578">
        <v>10985.71</v>
      </c>
      <c r="BC199" s="576">
        <f>'[67]Гл инж_Тех дир'!AT38</f>
        <v>10985.71</v>
      </c>
      <c r="BD199" s="576">
        <f t="shared" si="303"/>
        <v>4783.8999999999996</v>
      </c>
      <c r="BE199" s="576">
        <f t="shared" si="331"/>
        <v>-6201.8099999999995</v>
      </c>
      <c r="BF199" s="576">
        <f t="shared" si="332"/>
        <v>-6201.8099999999995</v>
      </c>
      <c r="BG199" s="576">
        <f t="shared" si="312"/>
        <v>25985.71</v>
      </c>
      <c r="BH199" s="578">
        <f t="shared" si="312"/>
        <v>18839.949999999997</v>
      </c>
      <c r="BI199" s="578">
        <f>3150+9488.14</f>
        <v>12638.14</v>
      </c>
      <c r="BJ199" s="578">
        <f t="shared" si="333"/>
        <v>-13347.57</v>
      </c>
      <c r="BK199" s="578">
        <f t="shared" si="334"/>
        <v>-6201.8099999999977</v>
      </c>
      <c r="BL199" s="576">
        <v>6971.42</v>
      </c>
      <c r="BM199" s="578">
        <f>'[67]Гл инж_Тех дир'!AW38</f>
        <v>6971.42</v>
      </c>
      <c r="BN199" s="522">
        <f t="shared" si="304"/>
        <v>12486</v>
      </c>
      <c r="BO199" s="578">
        <f t="shared" si="245"/>
        <v>5514.58</v>
      </c>
      <c r="BP199" s="578">
        <f t="shared" si="335"/>
        <v>5514.58</v>
      </c>
      <c r="BQ199" s="576">
        <v>6971.42</v>
      </c>
      <c r="BR199" s="578">
        <f>'[67]Гл инж_Тех дир'!BB38</f>
        <v>0</v>
      </c>
      <c r="BS199" s="578">
        <f>'[67]Гл инж_Тех дир'!BC38</f>
        <v>0</v>
      </c>
      <c r="BT199" s="536"/>
      <c r="BU199" s="578">
        <v>12450</v>
      </c>
      <c r="BV199" s="578">
        <v>12674.14</v>
      </c>
      <c r="BW199" s="522"/>
      <c r="BX199" s="574"/>
      <c r="BY199" s="525">
        <f>9963.25+12674.14</f>
        <v>22637.39</v>
      </c>
      <c r="BZ199" s="525">
        <v>2346.42</v>
      </c>
      <c r="CA199" s="525">
        <v>140.33000000000001</v>
      </c>
      <c r="CB199" s="522">
        <f t="shared" si="308"/>
        <v>25124.14</v>
      </c>
      <c r="CC199" s="522">
        <f t="shared" si="336"/>
        <v>0</v>
      </c>
      <c r="CD199" s="578"/>
      <c r="CE199" s="578"/>
      <c r="CF199" s="578"/>
      <c r="CG199" s="578"/>
      <c r="CH199" s="578"/>
      <c r="CI199" s="578"/>
      <c r="CJ199" s="578"/>
      <c r="CK199" s="542" t="s">
        <v>79</v>
      </c>
      <c r="CL199" s="543" t="s">
        <v>1806</v>
      </c>
      <c r="CM199" s="509" t="s">
        <v>1925</v>
      </c>
      <c r="CN199" s="528"/>
      <c r="CO199" s="528"/>
      <c r="CP199" s="544">
        <f t="shared" si="305"/>
        <v>30406.922120500756</v>
      </c>
      <c r="CQ199" s="544">
        <f t="shared" si="306"/>
        <v>2233.4876297405526</v>
      </c>
      <c r="CR199" s="544">
        <f t="shared" si="307"/>
        <v>316.72024975869056</v>
      </c>
      <c r="CS199" s="1709" t="s">
        <v>1826</v>
      </c>
      <c r="CT199" s="1710"/>
      <c r="CU199" s="1710"/>
      <c r="CV199" s="1710"/>
      <c r="CW199" s="1711"/>
      <c r="CX199" s="528"/>
      <c r="CY199" s="528"/>
      <c r="CZ199" s="528"/>
      <c r="DA199" s="528"/>
      <c r="DB199" s="579">
        <v>3012.71</v>
      </c>
      <c r="DC199" s="628" t="e">
        <f>P199-#REF!</f>
        <v>#REF!</v>
      </c>
      <c r="DD199" s="535"/>
      <c r="DE199" s="535"/>
      <c r="DF199" s="525">
        <f t="shared" si="278"/>
        <v>22.63739</v>
      </c>
      <c r="DG199" s="525">
        <f t="shared" si="278"/>
        <v>2.3464200000000002</v>
      </c>
      <c r="DH199" s="525">
        <f t="shared" si="278"/>
        <v>0.14033000000000001</v>
      </c>
      <c r="DI199" s="522">
        <f t="shared" si="278"/>
        <v>25.124140000000001</v>
      </c>
      <c r="DJ199" s="536"/>
      <c r="DK199" s="536"/>
      <c r="DL199" s="536"/>
      <c r="DM199" s="536"/>
      <c r="DN199" s="536"/>
      <c r="DO199" s="536"/>
      <c r="DP199" s="536"/>
      <c r="DQ199" s="536"/>
      <c r="DR199" s="536"/>
      <c r="DS199" s="536"/>
    </row>
    <row r="200" spans="1:123" s="534" customFormat="1" ht="60.75" customHeight="1">
      <c r="A200" s="537" t="s">
        <v>846</v>
      </c>
      <c r="B200" s="538" t="s">
        <v>847</v>
      </c>
      <c r="C200" s="576">
        <v>471360.45</v>
      </c>
      <c r="D200" s="576">
        <v>0</v>
      </c>
      <c r="E200" s="576">
        <v>2937360</v>
      </c>
      <c r="F200" s="576">
        <v>200328.35</v>
      </c>
      <c r="G200" s="577">
        <v>0</v>
      </c>
      <c r="H200" s="577">
        <v>0</v>
      </c>
      <c r="I200" s="576">
        <f t="shared" si="298"/>
        <v>28870296.550000001</v>
      </c>
      <c r="J200" s="576">
        <v>234650.75</v>
      </c>
      <c r="K200" s="576">
        <v>11274062.800000001</v>
      </c>
      <c r="L200" s="576">
        <v>17361583</v>
      </c>
      <c r="M200" s="576">
        <f t="shared" si="299"/>
        <v>11508713.550000001</v>
      </c>
      <c r="N200" s="576">
        <v>13727406.23</v>
      </c>
      <c r="O200" s="525">
        <f t="shared" si="300"/>
        <v>12981754.920000002</v>
      </c>
      <c r="P200" s="522">
        <f>346235.64+26362925.51</f>
        <v>26709161.150000002</v>
      </c>
      <c r="Q200" s="576">
        <f t="shared" si="313"/>
        <v>-2161135.3999999985</v>
      </c>
      <c r="R200" s="576">
        <f t="shared" si="314"/>
        <v>-7.4856709429955544</v>
      </c>
      <c r="S200" s="576">
        <v>0</v>
      </c>
      <c r="T200" s="576">
        <v>0</v>
      </c>
      <c r="U200" s="522">
        <f t="shared" si="301"/>
        <v>58328149.880000003</v>
      </c>
      <c r="V200" s="522">
        <f t="shared" si="311"/>
        <v>58328149.880000003</v>
      </c>
      <c r="W200" s="522">
        <v>0</v>
      </c>
      <c r="X200" s="522">
        <f t="shared" si="315"/>
        <v>31618988.73</v>
      </c>
      <c r="Y200" s="522">
        <f t="shared" si="316"/>
        <v>118.38256002285567</v>
      </c>
      <c r="Z200" s="524">
        <f t="shared" si="317"/>
        <v>26054412.090000004</v>
      </c>
      <c r="AA200" s="522">
        <f t="shared" si="318"/>
        <v>26054412.090000004</v>
      </c>
      <c r="AB200" s="522">
        <v>0</v>
      </c>
      <c r="AC200" s="522">
        <f t="shared" si="319"/>
        <v>-32273737.789999999</v>
      </c>
      <c r="AD200" s="522">
        <f t="shared" si="320"/>
        <v>-55.331324337215541</v>
      </c>
      <c r="AE200" s="522">
        <f t="shared" si="321"/>
        <v>-654749.05999999866</v>
      </c>
      <c r="AF200" s="522">
        <f t="shared" si="322"/>
        <v>-2.4514025593050093</v>
      </c>
      <c r="AG200" s="522">
        <f t="shared" si="337"/>
        <v>25971993.84</v>
      </c>
      <c r="AH200" s="522">
        <f t="shared" si="323"/>
        <v>-32356156.040000003</v>
      </c>
      <c r="AI200" s="522">
        <f t="shared" si="324"/>
        <v>-55.472625321679416</v>
      </c>
      <c r="AJ200" s="522">
        <f t="shared" si="325"/>
        <v>-82418.250000003725</v>
      </c>
      <c r="AK200" s="522">
        <f t="shared" si="310"/>
        <v>-0.31633125980853549</v>
      </c>
      <c r="AL200" s="522">
        <f t="shared" si="302"/>
        <v>25971993.84</v>
      </c>
      <c r="AM200" s="522">
        <f t="shared" si="270"/>
        <v>29040120.960000001</v>
      </c>
      <c r="AN200" s="522">
        <f t="shared" si="270"/>
        <v>25958889.84</v>
      </c>
      <c r="AO200" s="522">
        <f t="shared" si="326"/>
        <v>-3081231.120000001</v>
      </c>
      <c r="AP200" s="522">
        <f t="shared" ref="AP200:AP261" si="338">AN200/AM200*100-100</f>
        <v>-10.610255805215502</v>
      </c>
      <c r="AQ200" s="578">
        <v>14368240.199999999</v>
      </c>
      <c r="AR200" s="578">
        <v>12978994.92</v>
      </c>
      <c r="AS200" s="578">
        <v>14671880.76</v>
      </c>
      <c r="AT200" s="578">
        <v>12979894.92</v>
      </c>
      <c r="AU200" s="578">
        <f t="shared" si="276"/>
        <v>29288028.920000002</v>
      </c>
      <c r="AV200" s="578">
        <f t="shared" si="276"/>
        <v>95522.250000001863</v>
      </c>
      <c r="AW200" s="578">
        <f t="shared" si="327"/>
        <v>-29192506.670000002</v>
      </c>
      <c r="AX200" s="578">
        <f t="shared" si="328"/>
        <v>-99.673852240924376</v>
      </c>
      <c r="AY200" s="578">
        <f t="shared" si="277"/>
        <v>13104</v>
      </c>
      <c r="AZ200" s="578">
        <f t="shared" si="329"/>
        <v>82418.250000001863</v>
      </c>
      <c r="BA200" s="578">
        <f t="shared" si="330"/>
        <v>628.95489926741345</v>
      </c>
      <c r="BB200" s="578">
        <v>14360592.460000001</v>
      </c>
      <c r="BC200" s="576">
        <f>'[67]Дир_по корп'!AT37</f>
        <v>21973.38000000082</v>
      </c>
      <c r="BD200" s="576">
        <f t="shared" si="303"/>
        <v>5800</v>
      </c>
      <c r="BE200" s="576">
        <f t="shared" si="331"/>
        <v>-14354792.460000001</v>
      </c>
      <c r="BF200" s="576">
        <f t="shared" si="332"/>
        <v>-16173.38000000082</v>
      </c>
      <c r="BG200" s="576">
        <f t="shared" si="312"/>
        <v>43400713.420000002</v>
      </c>
      <c r="BH200" s="578">
        <f t="shared" si="312"/>
        <v>25980863.219999999</v>
      </c>
      <c r="BI200" s="578">
        <v>25964689.84</v>
      </c>
      <c r="BJ200" s="578">
        <f t="shared" si="333"/>
        <v>-17436023.580000002</v>
      </c>
      <c r="BK200" s="578">
        <f t="shared" si="334"/>
        <v>-16173.379999998957</v>
      </c>
      <c r="BL200" s="576">
        <v>14927436.460000001</v>
      </c>
      <c r="BM200" s="578">
        <f>'[67]Дир_по корп'!AW37</f>
        <v>73548.870000001043</v>
      </c>
      <c r="BN200" s="522">
        <f t="shared" si="304"/>
        <v>7304</v>
      </c>
      <c r="BO200" s="578">
        <f t="shared" ref="BO200:BO263" si="339">BN200-BL200</f>
        <v>-14920132.460000001</v>
      </c>
      <c r="BP200" s="578">
        <f t="shared" si="335"/>
        <v>-66244.870000001043</v>
      </c>
      <c r="BQ200" s="576">
        <v>14927436.460000001</v>
      </c>
      <c r="BR200" s="578">
        <f>'[67]Дир_по корп'!BB37</f>
        <v>0</v>
      </c>
      <c r="BS200" s="578">
        <f>'[67]Дир_по корп'!BC37</f>
        <v>0</v>
      </c>
      <c r="BT200" s="536"/>
      <c r="BU200" s="578">
        <v>25971993.84</v>
      </c>
      <c r="BV200" s="578"/>
      <c r="BW200" s="578"/>
      <c r="BX200" s="574"/>
      <c r="BY200" s="525">
        <f>25937869.22-89378.08</f>
        <v>25848491.140000001</v>
      </c>
      <c r="BZ200" s="525">
        <f>21657.53+86747.4</f>
        <v>108404.93</v>
      </c>
      <c r="CA200" s="525">
        <f>12467.09+2630.68</f>
        <v>15097.77</v>
      </c>
      <c r="CB200" s="522">
        <f t="shared" si="308"/>
        <v>25971993.84</v>
      </c>
      <c r="CC200" s="522">
        <f t="shared" si="336"/>
        <v>0</v>
      </c>
      <c r="CD200" s="578"/>
      <c r="CE200" s="578"/>
      <c r="CF200" s="578"/>
      <c r="CG200" s="578"/>
      <c r="CH200" s="578"/>
      <c r="CI200" s="578"/>
      <c r="CJ200" s="578"/>
      <c r="CK200" s="543" t="s">
        <v>80</v>
      </c>
      <c r="CL200" s="543" t="s">
        <v>1942</v>
      </c>
      <c r="CM200" s="509" t="s">
        <v>1925</v>
      </c>
      <c r="CN200" s="528"/>
      <c r="CO200" s="528"/>
      <c r="CP200" s="544">
        <f t="shared" si="305"/>
        <v>53814743.906221673</v>
      </c>
      <c r="CQ200" s="544">
        <f t="shared" si="306"/>
        <v>3952868.5059236926</v>
      </c>
      <c r="CR200" s="544">
        <f t="shared" si="307"/>
        <v>560537.4678546323</v>
      </c>
      <c r="CS200" s="1709" t="s">
        <v>1826</v>
      </c>
      <c r="CT200" s="1710"/>
      <c r="CU200" s="1710"/>
      <c r="CV200" s="1710"/>
      <c r="CW200" s="1711"/>
      <c r="CX200" s="528"/>
      <c r="CY200" s="528"/>
      <c r="CZ200" s="528"/>
      <c r="DA200" s="528"/>
      <c r="DB200" s="579">
        <f>2300+12976694.92</f>
        <v>12978994.92</v>
      </c>
      <c r="DC200" s="628" t="e">
        <f>P200-#REF!</f>
        <v>#REF!</v>
      </c>
      <c r="DD200" s="535"/>
      <c r="DE200" s="535"/>
      <c r="DF200" s="525">
        <f t="shared" si="278"/>
        <v>25848.491140000002</v>
      </c>
      <c r="DG200" s="525">
        <f t="shared" si="278"/>
        <v>108.40492999999999</v>
      </c>
      <c r="DH200" s="525">
        <f t="shared" si="278"/>
        <v>15.097770000000001</v>
      </c>
      <c r="DI200" s="522">
        <f t="shared" si="278"/>
        <v>25971.993839999999</v>
      </c>
      <c r="DJ200" s="536"/>
      <c r="DK200" s="536"/>
      <c r="DL200" s="536"/>
      <c r="DM200" s="536"/>
      <c r="DN200" s="536"/>
      <c r="DO200" s="536"/>
      <c r="DP200" s="536"/>
      <c r="DQ200" s="536"/>
      <c r="DR200" s="536"/>
      <c r="DS200" s="536"/>
    </row>
    <row r="201" spans="1:123" s="534" customFormat="1" ht="102" customHeight="1">
      <c r="A201" s="537" t="s">
        <v>851</v>
      </c>
      <c r="B201" s="538" t="s">
        <v>852</v>
      </c>
      <c r="C201" s="576">
        <f>189584.48+14169</f>
        <v>203753.48</v>
      </c>
      <c r="D201" s="576">
        <v>0</v>
      </c>
      <c r="E201" s="576">
        <v>508864</v>
      </c>
      <c r="F201" s="576">
        <v>566794</v>
      </c>
      <c r="G201" s="577">
        <v>0</v>
      </c>
      <c r="H201" s="577">
        <v>0</v>
      </c>
      <c r="I201" s="576">
        <f t="shared" si="298"/>
        <v>777559.85</v>
      </c>
      <c r="J201" s="576">
        <v>343874.19999999995</v>
      </c>
      <c r="K201" s="576">
        <v>215455.82</v>
      </c>
      <c r="L201" s="576">
        <v>218229.83</v>
      </c>
      <c r="M201" s="576">
        <f t="shared" si="299"/>
        <v>559330.02</v>
      </c>
      <c r="N201" s="576">
        <v>443966.2</v>
      </c>
      <c r="O201" s="525">
        <f t="shared" si="300"/>
        <v>-115377</v>
      </c>
      <c r="P201" s="522">
        <f>312639.2+15950</f>
        <v>328589.2</v>
      </c>
      <c r="Q201" s="576">
        <f t="shared" si="313"/>
        <v>-448970.64999999997</v>
      </c>
      <c r="R201" s="576">
        <f t="shared" si="314"/>
        <v>-57.740976466313171</v>
      </c>
      <c r="S201" s="576">
        <v>0</v>
      </c>
      <c r="T201" s="576">
        <v>0</v>
      </c>
      <c r="U201" s="522">
        <f t="shared" si="301"/>
        <v>688123.26</v>
      </c>
      <c r="V201" s="522">
        <f t="shared" si="311"/>
        <v>688123.26</v>
      </c>
      <c r="W201" s="522">
        <v>0</v>
      </c>
      <c r="X201" s="522">
        <f t="shared" si="315"/>
        <v>359534.06</v>
      </c>
      <c r="Y201" s="522">
        <f t="shared" si="316"/>
        <v>109.41749150611159</v>
      </c>
      <c r="Z201" s="524">
        <f t="shared" si="317"/>
        <v>753365.25000000012</v>
      </c>
      <c r="AA201" s="522">
        <f t="shared" si="318"/>
        <v>753365.25000000012</v>
      </c>
      <c r="AB201" s="522">
        <v>0</v>
      </c>
      <c r="AC201" s="522">
        <f t="shared" si="319"/>
        <v>65241.990000000107</v>
      </c>
      <c r="AD201" s="522">
        <f t="shared" si="320"/>
        <v>9.4811487697712806</v>
      </c>
      <c r="AE201" s="522">
        <f t="shared" si="321"/>
        <v>424776.0500000001</v>
      </c>
      <c r="AF201" s="522">
        <f t="shared" si="322"/>
        <v>129.27267542572918</v>
      </c>
      <c r="AG201" s="522">
        <f t="shared" si="337"/>
        <v>503036.14</v>
      </c>
      <c r="AH201" s="522">
        <f t="shared" si="323"/>
        <v>-185087.12</v>
      </c>
      <c r="AI201" s="522">
        <f t="shared" si="324"/>
        <v>-26.897378821346635</v>
      </c>
      <c r="AJ201" s="522">
        <f t="shared" si="325"/>
        <v>-250329.1100000001</v>
      </c>
      <c r="AK201" s="522">
        <f t="shared" si="310"/>
        <v>-33.228120091814702</v>
      </c>
      <c r="AL201" s="522">
        <f t="shared" si="302"/>
        <v>503036.14</v>
      </c>
      <c r="AM201" s="522">
        <f t="shared" si="270"/>
        <v>322595.93</v>
      </c>
      <c r="AN201" s="522">
        <f t="shared" si="270"/>
        <v>202170.4</v>
      </c>
      <c r="AO201" s="522">
        <f t="shared" si="326"/>
        <v>-120425.53</v>
      </c>
      <c r="AP201" s="522">
        <f t="shared" si="338"/>
        <v>-37.33014548571645</v>
      </c>
      <c r="AQ201" s="578">
        <v>116826.19</v>
      </c>
      <c r="AR201" s="578">
        <v>89887.52</v>
      </c>
      <c r="AS201" s="578">
        <v>205769.74</v>
      </c>
      <c r="AT201" s="578">
        <v>112282.87999999999</v>
      </c>
      <c r="AU201" s="578">
        <f t="shared" si="276"/>
        <v>365527.33</v>
      </c>
      <c r="AV201" s="578">
        <f t="shared" si="276"/>
        <v>551194.85000000009</v>
      </c>
      <c r="AW201" s="578">
        <f t="shared" si="327"/>
        <v>185667.52000000008</v>
      </c>
      <c r="AX201" s="578">
        <f t="shared" si="328"/>
        <v>50.79442896923743</v>
      </c>
      <c r="AY201" s="578">
        <f t="shared" si="277"/>
        <v>300865.74</v>
      </c>
      <c r="AZ201" s="578">
        <f t="shared" si="329"/>
        <v>250329.1100000001</v>
      </c>
      <c r="BA201" s="578">
        <f t="shared" si="330"/>
        <v>83.202929652276168</v>
      </c>
      <c r="BB201" s="578">
        <v>179953.01</v>
      </c>
      <c r="BC201" s="576">
        <f>'[67]Дир_по корп'!AT38</f>
        <v>239953.01</v>
      </c>
      <c r="BD201" s="576">
        <f t="shared" si="303"/>
        <v>134229.23000000001</v>
      </c>
      <c r="BE201" s="576">
        <f t="shared" si="331"/>
        <v>-45723.78</v>
      </c>
      <c r="BF201" s="576">
        <f t="shared" si="332"/>
        <v>-105723.78</v>
      </c>
      <c r="BG201" s="576">
        <f t="shared" si="312"/>
        <v>502548.94</v>
      </c>
      <c r="BH201" s="578">
        <f t="shared" si="312"/>
        <v>442123.41000000003</v>
      </c>
      <c r="BI201" s="578">
        <v>336399.63</v>
      </c>
      <c r="BJ201" s="578">
        <f t="shared" si="333"/>
        <v>-166149.31</v>
      </c>
      <c r="BK201" s="578">
        <f t="shared" si="334"/>
        <v>-105723.78000000003</v>
      </c>
      <c r="BL201" s="576">
        <v>185574.32</v>
      </c>
      <c r="BM201" s="578">
        <f>'[67]Дир_по корп'!AW38</f>
        <v>311241.84000000003</v>
      </c>
      <c r="BN201" s="522">
        <f t="shared" si="304"/>
        <v>166636.51</v>
      </c>
      <c r="BO201" s="578">
        <f t="shared" si="339"/>
        <v>-18937.809999999998</v>
      </c>
      <c r="BP201" s="578">
        <f t="shared" si="335"/>
        <v>-144605.33000000002</v>
      </c>
      <c r="BQ201" s="576">
        <v>185574.32</v>
      </c>
      <c r="BR201" s="578">
        <f>'[67]Дир_по корп'!BB38</f>
        <v>0</v>
      </c>
      <c r="BS201" s="578">
        <f>'[67]Дир_по корп'!BC38</f>
        <v>0</v>
      </c>
      <c r="BT201" s="536"/>
      <c r="BU201" s="578">
        <f>451186.14+51850</f>
        <v>503036.14</v>
      </c>
      <c r="BV201" s="578"/>
      <c r="BW201" s="578"/>
      <c r="BX201" s="574"/>
      <c r="BY201" s="525">
        <f>411558.92+45779.57</f>
        <v>457338.49</v>
      </c>
      <c r="BZ201" s="525">
        <f>34885.85+5455.51</f>
        <v>40341.360000000001</v>
      </c>
      <c r="CA201" s="525">
        <f>4741.37+614.92</f>
        <v>5356.29</v>
      </c>
      <c r="CB201" s="522">
        <f t="shared" si="308"/>
        <v>503036.13999999996</v>
      </c>
      <c r="CC201" s="522">
        <f t="shared" si="336"/>
        <v>0</v>
      </c>
      <c r="CD201" s="578"/>
      <c r="CE201" s="578"/>
      <c r="CF201" s="578"/>
      <c r="CG201" s="578"/>
      <c r="CH201" s="578"/>
      <c r="CI201" s="578"/>
      <c r="CJ201" s="578"/>
      <c r="CK201" s="543" t="s">
        <v>80</v>
      </c>
      <c r="CL201" s="543" t="s">
        <v>1942</v>
      </c>
      <c r="CM201" s="509" t="s">
        <v>1925</v>
      </c>
      <c r="CN201" s="528" t="s">
        <v>1849</v>
      </c>
      <c r="CO201" s="528"/>
      <c r="CP201" s="544">
        <f t="shared" si="305"/>
        <v>634876.59198859532</v>
      </c>
      <c r="CQ201" s="544">
        <f t="shared" si="306"/>
        <v>46633.75691229006</v>
      </c>
      <c r="CR201" s="544">
        <f t="shared" si="307"/>
        <v>6612.9110991146499</v>
      </c>
      <c r="CS201" s="1709" t="s">
        <v>1826</v>
      </c>
      <c r="CT201" s="1710"/>
      <c r="CU201" s="1710"/>
      <c r="CV201" s="1710"/>
      <c r="CW201" s="1711"/>
      <c r="CX201" s="528"/>
      <c r="CY201" s="528"/>
      <c r="CZ201" s="528"/>
      <c r="DA201" s="528"/>
      <c r="DB201" s="579">
        <f>89887.52</f>
        <v>89887.52</v>
      </c>
      <c r="DC201" s="628" t="e">
        <f>P201-#REF!</f>
        <v>#REF!</v>
      </c>
      <c r="DD201" s="535"/>
      <c r="DE201" s="535"/>
      <c r="DF201" s="525">
        <f t="shared" si="278"/>
        <v>457.33848999999998</v>
      </c>
      <c r="DG201" s="525">
        <f t="shared" si="278"/>
        <v>40.341360000000002</v>
      </c>
      <c r="DH201" s="525">
        <f t="shared" si="278"/>
        <v>5.3562899999999996</v>
      </c>
      <c r="DI201" s="522">
        <f t="shared" si="278"/>
        <v>503.03613999999993</v>
      </c>
      <c r="DJ201" s="536"/>
      <c r="DK201" s="536"/>
      <c r="DL201" s="536"/>
      <c r="DM201" s="536"/>
      <c r="DN201" s="536"/>
      <c r="DO201" s="536"/>
      <c r="DP201" s="536"/>
      <c r="DQ201" s="536"/>
      <c r="DR201" s="536"/>
      <c r="DS201" s="536"/>
    </row>
    <row r="202" spans="1:123" s="534" customFormat="1" ht="56.4">
      <c r="A202" s="537" t="s">
        <v>857</v>
      </c>
      <c r="B202" s="538" t="s">
        <v>858</v>
      </c>
      <c r="C202" s="576"/>
      <c r="D202" s="576">
        <v>3565004.19</v>
      </c>
      <c r="E202" s="576">
        <v>656530</v>
      </c>
      <c r="F202" s="576">
        <v>39148</v>
      </c>
      <c r="G202" s="577">
        <v>3687642.7718153866</v>
      </c>
      <c r="H202" s="577">
        <v>0</v>
      </c>
      <c r="I202" s="576">
        <f t="shared" si="298"/>
        <v>23846.38</v>
      </c>
      <c r="J202" s="576">
        <v>23846.38</v>
      </c>
      <c r="K202" s="576">
        <v>0</v>
      </c>
      <c r="L202" s="576">
        <v>0</v>
      </c>
      <c r="M202" s="576">
        <f t="shared" si="299"/>
        <v>23846.38</v>
      </c>
      <c r="N202" s="576">
        <v>51571.62</v>
      </c>
      <c r="O202" s="525">
        <f t="shared" si="300"/>
        <v>154741.64000000001</v>
      </c>
      <c r="P202" s="522">
        <v>206313.26</v>
      </c>
      <c r="Q202" s="576">
        <f t="shared" si="313"/>
        <v>182466.88</v>
      </c>
      <c r="R202" s="576">
        <f t="shared" si="314"/>
        <v>765.17643348801789</v>
      </c>
      <c r="S202" s="576">
        <v>0</v>
      </c>
      <c r="T202" s="576">
        <v>0</v>
      </c>
      <c r="U202" s="522">
        <f t="shared" si="301"/>
        <v>0</v>
      </c>
      <c r="V202" s="522">
        <f t="shared" si="311"/>
        <v>0</v>
      </c>
      <c r="W202" s="522">
        <v>0</v>
      </c>
      <c r="X202" s="522">
        <f t="shared" si="315"/>
        <v>-206313.26</v>
      </c>
      <c r="Y202" s="522">
        <f t="shared" si="316"/>
        <v>-100</v>
      </c>
      <c r="Z202" s="524">
        <f t="shared" si="317"/>
        <v>1641975.45</v>
      </c>
      <c r="AA202" s="522">
        <f t="shared" si="318"/>
        <v>1641975.45</v>
      </c>
      <c r="AB202" s="522">
        <v>0</v>
      </c>
      <c r="AC202" s="522">
        <f t="shared" si="319"/>
        <v>1641975.45</v>
      </c>
      <c r="AD202" s="522">
        <v>0</v>
      </c>
      <c r="AE202" s="522">
        <f t="shared" si="321"/>
        <v>1435662.19</v>
      </c>
      <c r="AF202" s="522">
        <f t="shared" si="322"/>
        <v>695.86520517391841</v>
      </c>
      <c r="AG202" s="522">
        <f t="shared" si="337"/>
        <v>1774442.46</v>
      </c>
      <c r="AH202" s="522">
        <f t="shared" si="323"/>
        <v>1774442.46</v>
      </c>
      <c r="AI202" s="522">
        <v>0</v>
      </c>
      <c r="AJ202" s="522">
        <f t="shared" si="325"/>
        <v>132467.01</v>
      </c>
      <c r="AK202" s="522">
        <f t="shared" si="310"/>
        <v>8.067539012230668</v>
      </c>
      <c r="AL202" s="522">
        <f t="shared" si="302"/>
        <v>1774442.46</v>
      </c>
      <c r="AM202" s="522">
        <f t="shared" si="270"/>
        <v>0</v>
      </c>
      <c r="AN202" s="522">
        <f t="shared" si="270"/>
        <v>1641975.45</v>
      </c>
      <c r="AO202" s="522">
        <f t="shared" si="326"/>
        <v>1641975.45</v>
      </c>
      <c r="AP202" s="522">
        <v>0</v>
      </c>
      <c r="AQ202" s="578">
        <v>0</v>
      </c>
      <c r="AR202" s="578">
        <v>67493.69</v>
      </c>
      <c r="AS202" s="578">
        <v>0</v>
      </c>
      <c r="AT202" s="578">
        <v>1574481.76</v>
      </c>
      <c r="AU202" s="578">
        <f t="shared" si="276"/>
        <v>0</v>
      </c>
      <c r="AV202" s="578">
        <f t="shared" si="276"/>
        <v>0</v>
      </c>
      <c r="AW202" s="578">
        <f t="shared" si="327"/>
        <v>0</v>
      </c>
      <c r="AX202" s="578">
        <v>0</v>
      </c>
      <c r="AY202" s="578">
        <f t="shared" si="277"/>
        <v>132467.01</v>
      </c>
      <c r="AZ202" s="578">
        <f t="shared" si="329"/>
        <v>-132467.01</v>
      </c>
      <c r="BA202" s="578">
        <v>0</v>
      </c>
      <c r="BB202" s="578">
        <v>0</v>
      </c>
      <c r="BC202" s="576">
        <f>'[67]Дир_ имущ'!AT26</f>
        <v>0</v>
      </c>
      <c r="BD202" s="576">
        <f t="shared" si="303"/>
        <v>55879.75</v>
      </c>
      <c r="BE202" s="576">
        <f t="shared" si="331"/>
        <v>55879.75</v>
      </c>
      <c r="BF202" s="576">
        <f t="shared" si="332"/>
        <v>55879.75</v>
      </c>
      <c r="BG202" s="576">
        <f t="shared" si="312"/>
        <v>0</v>
      </c>
      <c r="BH202" s="578">
        <f t="shared" si="312"/>
        <v>1641975.45</v>
      </c>
      <c r="BI202" s="578">
        <v>1697855.2</v>
      </c>
      <c r="BJ202" s="578">
        <f t="shared" si="333"/>
        <v>1697855.2</v>
      </c>
      <c r="BK202" s="578">
        <f t="shared" si="334"/>
        <v>55879.75</v>
      </c>
      <c r="BL202" s="576">
        <v>0</v>
      </c>
      <c r="BM202" s="578">
        <f>'[67]Дир_ имущ'!AW26</f>
        <v>0</v>
      </c>
      <c r="BN202" s="522">
        <f t="shared" si="304"/>
        <v>76587.260000000009</v>
      </c>
      <c r="BO202" s="578">
        <f t="shared" si="339"/>
        <v>76587.260000000009</v>
      </c>
      <c r="BP202" s="578">
        <f t="shared" si="335"/>
        <v>76587.260000000009</v>
      </c>
      <c r="BQ202" s="576">
        <v>0</v>
      </c>
      <c r="BR202" s="578">
        <f>'[67]Дир_ имущ'!BB26</f>
        <v>0</v>
      </c>
      <c r="BS202" s="578">
        <f>'[67]Дир_ имущ'!BC26</f>
        <v>0</v>
      </c>
      <c r="BT202" s="536"/>
      <c r="BU202" s="578">
        <v>1774442.46</v>
      </c>
      <c r="BV202" s="578"/>
      <c r="BW202" s="578"/>
      <c r="BX202" s="574"/>
      <c r="BY202" s="525">
        <v>1772101.2</v>
      </c>
      <c r="BZ202" s="525">
        <v>2162.3200000000002</v>
      </c>
      <c r="CA202" s="525">
        <v>178.94</v>
      </c>
      <c r="CB202" s="522">
        <f t="shared" si="308"/>
        <v>1774442.46</v>
      </c>
      <c r="CC202" s="522">
        <f t="shared" si="336"/>
        <v>0</v>
      </c>
      <c r="CD202" s="578"/>
      <c r="CE202" s="578"/>
      <c r="CF202" s="578"/>
      <c r="CG202" s="578"/>
      <c r="CH202" s="578"/>
      <c r="CI202" s="578"/>
      <c r="CJ202" s="578"/>
      <c r="CK202" s="543" t="s">
        <v>1815</v>
      </c>
      <c r="CL202" s="543" t="s">
        <v>1816</v>
      </c>
      <c r="CM202" s="509" t="s">
        <v>1925</v>
      </c>
      <c r="CN202" s="528" t="s">
        <v>1849</v>
      </c>
      <c r="CO202" s="528"/>
      <c r="CP202" s="544">
        <f t="shared" si="305"/>
        <v>0</v>
      </c>
      <c r="CQ202" s="544">
        <f t="shared" si="306"/>
        <v>0</v>
      </c>
      <c r="CR202" s="544">
        <f t="shared" si="307"/>
        <v>0</v>
      </c>
      <c r="CS202" s="1709" t="s">
        <v>1826</v>
      </c>
      <c r="CT202" s="1710"/>
      <c r="CU202" s="1710"/>
      <c r="CV202" s="1710"/>
      <c r="CW202" s="1711"/>
      <c r="CX202" s="528"/>
      <c r="CY202" s="528"/>
      <c r="CZ202" s="528"/>
      <c r="DA202" s="528"/>
      <c r="DB202" s="579">
        <f>67493.69</f>
        <v>67493.69</v>
      </c>
      <c r="DC202" s="628" t="e">
        <f>P202-#REF!</f>
        <v>#REF!</v>
      </c>
      <c r="DD202" s="535"/>
      <c r="DE202" s="535"/>
      <c r="DF202" s="525">
        <f t="shared" si="278"/>
        <v>1772.1012000000001</v>
      </c>
      <c r="DG202" s="525">
        <f t="shared" si="278"/>
        <v>2.1623200000000002</v>
      </c>
      <c r="DH202" s="525">
        <f t="shared" si="278"/>
        <v>0.17893999999999999</v>
      </c>
      <c r="DI202" s="522">
        <f t="shared" si="278"/>
        <v>1774.44246</v>
      </c>
      <c r="DJ202" s="536"/>
      <c r="DK202" s="536"/>
      <c r="DL202" s="536"/>
      <c r="DM202" s="536"/>
      <c r="DN202" s="536"/>
      <c r="DO202" s="536"/>
      <c r="DP202" s="536"/>
      <c r="DQ202" s="536"/>
      <c r="DR202" s="536"/>
      <c r="DS202" s="536"/>
    </row>
    <row r="203" spans="1:123" s="534" customFormat="1" ht="55.5" customHeight="1">
      <c r="A203" s="537" t="s">
        <v>862</v>
      </c>
      <c r="B203" s="538" t="s">
        <v>863</v>
      </c>
      <c r="C203" s="576">
        <v>1133999.17</v>
      </c>
      <c r="D203" s="576">
        <v>1458274.11</v>
      </c>
      <c r="E203" s="576">
        <v>26031300</v>
      </c>
      <c r="F203" s="576">
        <v>1986821.69</v>
      </c>
      <c r="G203" s="577">
        <v>1492700.8037944052</v>
      </c>
      <c r="H203" s="577">
        <v>0</v>
      </c>
      <c r="I203" s="576">
        <f t="shared" si="298"/>
        <v>9954290.25</v>
      </c>
      <c r="J203" s="576">
        <v>228957.43</v>
      </c>
      <c r="K203" s="576">
        <v>1500000</v>
      </c>
      <c r="L203" s="576">
        <v>8225332.8200000003</v>
      </c>
      <c r="M203" s="576">
        <f t="shared" si="299"/>
        <v>1728957.43</v>
      </c>
      <c r="N203" s="576">
        <v>490476.58</v>
      </c>
      <c r="O203" s="525">
        <f t="shared" si="300"/>
        <v>216665.81</v>
      </c>
      <c r="P203" s="522">
        <v>707142.39</v>
      </c>
      <c r="Q203" s="576">
        <f t="shared" si="313"/>
        <v>-9247147.8599999994</v>
      </c>
      <c r="R203" s="576">
        <f t="shared" si="314"/>
        <v>-92.896104370675744</v>
      </c>
      <c r="S203" s="576">
        <v>1574798.4999999998</v>
      </c>
      <c r="T203" s="576">
        <v>1574798.4999999998</v>
      </c>
      <c r="U203" s="522">
        <f t="shared" si="301"/>
        <v>10461959.050000001</v>
      </c>
      <c r="V203" s="522">
        <f t="shared" si="311"/>
        <v>8887160.5500000007</v>
      </c>
      <c r="W203" s="522">
        <f t="shared" ref="W203:W246" si="340">U203/T203*100-100</f>
        <v>564.33636112810643</v>
      </c>
      <c r="X203" s="522">
        <f t="shared" si="315"/>
        <v>9754816.6600000001</v>
      </c>
      <c r="Y203" s="522">
        <f t="shared" si="316"/>
        <v>1379.4699339124613</v>
      </c>
      <c r="Z203" s="524">
        <f t="shared" si="317"/>
        <v>5682031.8099999996</v>
      </c>
      <c r="AA203" s="522">
        <f t="shared" si="318"/>
        <v>4107233.3099999996</v>
      </c>
      <c r="AB203" s="522">
        <f t="shared" ref="AB203:AB246" si="341">Z203/T203*100-100</f>
        <v>260.81008522677666</v>
      </c>
      <c r="AC203" s="522">
        <f t="shared" si="319"/>
        <v>-4779927.2400000012</v>
      </c>
      <c r="AD203" s="522">
        <f t="shared" si="320"/>
        <v>-45.688644135918324</v>
      </c>
      <c r="AE203" s="522">
        <f t="shared" si="321"/>
        <v>4974889.42</v>
      </c>
      <c r="AF203" s="522">
        <f t="shared" si="322"/>
        <v>703.52018070929103</v>
      </c>
      <c r="AG203" s="522">
        <f t="shared" si="337"/>
        <v>2056982.29</v>
      </c>
      <c r="AH203" s="522">
        <f t="shared" si="323"/>
        <v>-8404976.7600000016</v>
      </c>
      <c r="AI203" s="522">
        <f t="shared" si="324"/>
        <v>-80.338459745739499</v>
      </c>
      <c r="AJ203" s="522">
        <f t="shared" si="325"/>
        <v>-3625049.5199999996</v>
      </c>
      <c r="AK203" s="522">
        <f t="shared" si="310"/>
        <v>-63.798472821291718</v>
      </c>
      <c r="AL203" s="522">
        <f t="shared" si="302"/>
        <v>2056982.29</v>
      </c>
      <c r="AM203" s="522">
        <f t="shared" si="270"/>
        <v>4000000</v>
      </c>
      <c r="AN203" s="522">
        <f t="shared" si="270"/>
        <v>1720072.76</v>
      </c>
      <c r="AO203" s="522">
        <f t="shared" si="326"/>
        <v>-2279927.2400000002</v>
      </c>
      <c r="AP203" s="522">
        <f t="shared" si="338"/>
        <v>-56.998180999999995</v>
      </c>
      <c r="AQ203" s="578">
        <v>1000000</v>
      </c>
      <c r="AR203" s="578">
        <v>47943.81</v>
      </c>
      <c r="AS203" s="578">
        <v>3000000</v>
      </c>
      <c r="AT203" s="578">
        <v>1672128.95</v>
      </c>
      <c r="AU203" s="578">
        <f t="shared" si="276"/>
        <v>6461959.0499999998</v>
      </c>
      <c r="AV203" s="578">
        <f t="shared" si="276"/>
        <v>3961959.05</v>
      </c>
      <c r="AW203" s="578">
        <f t="shared" si="327"/>
        <v>-2500000</v>
      </c>
      <c r="AX203" s="578">
        <f t="shared" si="328"/>
        <v>-38.687957949841859</v>
      </c>
      <c r="AY203" s="578">
        <f t="shared" si="277"/>
        <v>336909.53</v>
      </c>
      <c r="AZ203" s="578">
        <f t="shared" si="329"/>
        <v>3625049.5199999996</v>
      </c>
      <c r="BA203" s="578">
        <f t="shared" si="330"/>
        <v>1075.9712021206403</v>
      </c>
      <c r="BB203" s="578">
        <v>3461959.05</v>
      </c>
      <c r="BC203" s="576">
        <f>'[67]Дир_ имущ'!AT27</f>
        <v>3461959.05</v>
      </c>
      <c r="BD203" s="576">
        <f t="shared" si="303"/>
        <v>6783.8100000000559</v>
      </c>
      <c r="BE203" s="576">
        <f t="shared" si="331"/>
        <v>-3455175.2399999998</v>
      </c>
      <c r="BF203" s="576">
        <f t="shared" si="332"/>
        <v>-3455175.2399999998</v>
      </c>
      <c r="BG203" s="576">
        <f t="shared" si="312"/>
        <v>7461959.0499999998</v>
      </c>
      <c r="BH203" s="578">
        <f t="shared" si="312"/>
        <v>5182031.8099999996</v>
      </c>
      <c r="BI203" s="578">
        <v>1726856.57</v>
      </c>
      <c r="BJ203" s="578">
        <f t="shared" si="333"/>
        <v>-5735102.4799999995</v>
      </c>
      <c r="BK203" s="578">
        <f t="shared" si="334"/>
        <v>-3455175.2399999993</v>
      </c>
      <c r="BL203" s="576">
        <v>3000000</v>
      </c>
      <c r="BM203" s="578">
        <f>'[67]Дир_ имущ'!AW27</f>
        <v>500000</v>
      </c>
      <c r="BN203" s="522">
        <f t="shared" si="304"/>
        <v>330125.71999999997</v>
      </c>
      <c r="BO203" s="578">
        <f t="shared" si="339"/>
        <v>-2669874.2800000003</v>
      </c>
      <c r="BP203" s="578">
        <f t="shared" si="335"/>
        <v>-169874.28000000003</v>
      </c>
      <c r="BQ203" s="576">
        <v>3000000</v>
      </c>
      <c r="BR203" s="578">
        <f>'[67]Дир_ имущ'!BB27</f>
        <v>0</v>
      </c>
      <c r="BS203" s="578">
        <f>'[67]Дир_ имущ'!BC27</f>
        <v>0</v>
      </c>
      <c r="BT203" s="536"/>
      <c r="BU203" s="578">
        <v>2056982.29</v>
      </c>
      <c r="BV203" s="578"/>
      <c r="BW203" s="578"/>
      <c r="BX203" s="574"/>
      <c r="BY203" s="525">
        <v>2040094.99</v>
      </c>
      <c r="BZ203" s="525">
        <v>12804.22</v>
      </c>
      <c r="CA203" s="525">
        <v>4083.08</v>
      </c>
      <c r="CB203" s="522">
        <f t="shared" si="308"/>
        <v>2056982.29</v>
      </c>
      <c r="CC203" s="522">
        <f t="shared" si="336"/>
        <v>0</v>
      </c>
      <c r="CD203" s="578"/>
      <c r="CE203" s="578"/>
      <c r="CF203" s="578"/>
      <c r="CG203" s="578"/>
      <c r="CH203" s="578"/>
      <c r="CI203" s="578"/>
      <c r="CJ203" s="578"/>
      <c r="CK203" s="543" t="s">
        <v>1815</v>
      </c>
      <c r="CL203" s="543" t="s">
        <v>1816</v>
      </c>
      <c r="CM203" s="509" t="s">
        <v>1925</v>
      </c>
      <c r="CN203" s="528" t="s">
        <v>1849</v>
      </c>
      <c r="CO203" s="528"/>
      <c r="CP203" s="544">
        <f t="shared" si="305"/>
        <v>9652417.3695105761</v>
      </c>
      <c r="CQ203" s="544">
        <f t="shared" si="306"/>
        <v>709001.54597888922</v>
      </c>
      <c r="CR203" s="544">
        <f t="shared" si="307"/>
        <v>100540.13451053515</v>
      </c>
      <c r="CS203" s="1709" t="s">
        <v>1826</v>
      </c>
      <c r="CT203" s="1710"/>
      <c r="CU203" s="1710"/>
      <c r="CV203" s="1710"/>
      <c r="CW203" s="1711"/>
      <c r="CX203" s="528"/>
      <c r="CY203" s="528"/>
      <c r="CZ203" s="528"/>
      <c r="DA203" s="528"/>
      <c r="DB203" s="579">
        <f>47943.81</f>
        <v>47943.81</v>
      </c>
      <c r="DC203" s="628" t="e">
        <f>P203-#REF!</f>
        <v>#REF!</v>
      </c>
      <c r="DD203" s="535"/>
      <c r="DE203" s="535"/>
      <c r="DF203" s="525">
        <f t="shared" si="278"/>
        <v>2040.0949900000001</v>
      </c>
      <c r="DG203" s="525">
        <f t="shared" si="278"/>
        <v>12.804219999999999</v>
      </c>
      <c r="DH203" s="525">
        <f t="shared" si="278"/>
        <v>4.0830799999999998</v>
      </c>
      <c r="DI203" s="522">
        <f t="shared" si="278"/>
        <v>2056.9822899999999</v>
      </c>
      <c r="DJ203" s="536"/>
      <c r="DK203" s="536"/>
      <c r="DL203" s="536"/>
      <c r="DM203" s="536"/>
      <c r="DN203" s="536"/>
      <c r="DO203" s="536"/>
      <c r="DP203" s="536"/>
      <c r="DQ203" s="536"/>
      <c r="DR203" s="536"/>
      <c r="DS203" s="536"/>
    </row>
    <row r="204" spans="1:123" s="534" customFormat="1" ht="56.4">
      <c r="A204" s="537" t="s">
        <v>867</v>
      </c>
      <c r="B204" s="538" t="s">
        <v>868</v>
      </c>
      <c r="C204" s="576">
        <v>14836196.039999999</v>
      </c>
      <c r="D204" s="576">
        <v>0</v>
      </c>
      <c r="E204" s="576">
        <v>701240</v>
      </c>
      <c r="F204" s="576">
        <v>30375</v>
      </c>
      <c r="G204" s="577">
        <v>0</v>
      </c>
      <c r="H204" s="577">
        <v>0</v>
      </c>
      <c r="I204" s="576">
        <f t="shared" si="298"/>
        <v>29951.3</v>
      </c>
      <c r="J204" s="576">
        <v>15187.5</v>
      </c>
      <c r="K204" s="576">
        <v>6000</v>
      </c>
      <c r="L204" s="576">
        <v>8763.7999999999993</v>
      </c>
      <c r="M204" s="576">
        <f t="shared" si="299"/>
        <v>21187.5</v>
      </c>
      <c r="N204" s="576">
        <v>22781.25</v>
      </c>
      <c r="O204" s="525">
        <f t="shared" si="300"/>
        <v>7593.75</v>
      </c>
      <c r="P204" s="522">
        <v>30375</v>
      </c>
      <c r="Q204" s="576">
        <f t="shared" si="313"/>
        <v>423.70000000000073</v>
      </c>
      <c r="R204" s="576">
        <f t="shared" si="314"/>
        <v>1.4146297489591433</v>
      </c>
      <c r="S204" s="576">
        <v>0</v>
      </c>
      <c r="T204" s="576">
        <v>0</v>
      </c>
      <c r="U204" s="522">
        <f t="shared" si="301"/>
        <v>31478.82</v>
      </c>
      <c r="V204" s="522">
        <f t="shared" si="311"/>
        <v>31478.82</v>
      </c>
      <c r="W204" s="522">
        <v>0</v>
      </c>
      <c r="X204" s="522">
        <f t="shared" si="315"/>
        <v>1103.8199999999997</v>
      </c>
      <c r="Y204" s="522">
        <f t="shared" si="316"/>
        <v>3.633975308641979</v>
      </c>
      <c r="Z204" s="524">
        <f t="shared" si="317"/>
        <v>3131303.21</v>
      </c>
      <c r="AA204" s="522">
        <f t="shared" si="318"/>
        <v>3131303.21</v>
      </c>
      <c r="AB204" s="522">
        <v>0</v>
      </c>
      <c r="AC204" s="522">
        <f t="shared" si="319"/>
        <v>3099824.39</v>
      </c>
      <c r="AD204" s="522">
        <f t="shared" si="320"/>
        <v>9847.3335086893348</v>
      </c>
      <c r="AE204" s="522">
        <f t="shared" si="321"/>
        <v>3100928.21</v>
      </c>
      <c r="AF204" s="522">
        <f t="shared" si="322"/>
        <v>10208.817152263375</v>
      </c>
      <c r="AG204" s="522">
        <f t="shared" si="337"/>
        <v>2683814.4900000002</v>
      </c>
      <c r="AH204" s="522">
        <f t="shared" si="323"/>
        <v>2652335.6700000004</v>
      </c>
      <c r="AI204" s="522">
        <f t="shared" si="324"/>
        <v>8425.7785711154374</v>
      </c>
      <c r="AJ204" s="522">
        <f t="shared" si="325"/>
        <v>-447488.71999999974</v>
      </c>
      <c r="AK204" s="522">
        <f t="shared" si="310"/>
        <v>-14.29081407929192</v>
      </c>
      <c r="AL204" s="522">
        <f t="shared" si="302"/>
        <v>2683814.4900000002</v>
      </c>
      <c r="AM204" s="522">
        <f t="shared" si="270"/>
        <v>13800</v>
      </c>
      <c r="AN204" s="522">
        <f t="shared" si="270"/>
        <v>31303.21</v>
      </c>
      <c r="AO204" s="522">
        <f t="shared" si="326"/>
        <v>17503.21</v>
      </c>
      <c r="AP204" s="522">
        <f t="shared" si="338"/>
        <v>126.83485507246374</v>
      </c>
      <c r="AQ204" s="578">
        <v>5000</v>
      </c>
      <c r="AR204" s="578">
        <v>7593.75</v>
      </c>
      <c r="AS204" s="578">
        <v>8800</v>
      </c>
      <c r="AT204" s="578">
        <v>23709.46</v>
      </c>
      <c r="AU204" s="578">
        <f t="shared" si="276"/>
        <v>17678.82</v>
      </c>
      <c r="AV204" s="578">
        <f t="shared" si="276"/>
        <v>3100000</v>
      </c>
      <c r="AW204" s="578">
        <f t="shared" si="327"/>
        <v>3082321.18</v>
      </c>
      <c r="AX204" s="578">
        <f t="shared" si="328"/>
        <v>17435.106981122044</v>
      </c>
      <c r="AY204" s="578">
        <f t="shared" si="277"/>
        <v>2652511.2800000003</v>
      </c>
      <c r="AZ204" s="578">
        <f t="shared" si="329"/>
        <v>447488.71999999974</v>
      </c>
      <c r="BA204" s="578">
        <f t="shared" si="330"/>
        <v>16.870379529545289</v>
      </c>
      <c r="BB204" s="578">
        <v>8800</v>
      </c>
      <c r="BC204" s="576">
        <f>'[67]Дир_ имущ'!AT28</f>
        <v>2800000</v>
      </c>
      <c r="BD204" s="576">
        <f t="shared" si="303"/>
        <v>2305146.7000000002</v>
      </c>
      <c r="BE204" s="576">
        <f t="shared" si="331"/>
        <v>2296346.7000000002</v>
      </c>
      <c r="BF204" s="576">
        <f t="shared" si="332"/>
        <v>-494853.29999999981</v>
      </c>
      <c r="BG204" s="576">
        <f t="shared" si="312"/>
        <v>22600</v>
      </c>
      <c r="BH204" s="578">
        <f t="shared" si="312"/>
        <v>2831303.21</v>
      </c>
      <c r="BI204" s="578">
        <f>2303619.52+32830.39</f>
        <v>2336449.91</v>
      </c>
      <c r="BJ204" s="578">
        <f t="shared" si="333"/>
        <v>2313849.91</v>
      </c>
      <c r="BK204" s="578">
        <f t="shared" si="334"/>
        <v>-494853.29999999981</v>
      </c>
      <c r="BL204" s="576">
        <v>8878.82</v>
      </c>
      <c r="BM204" s="578">
        <f>'[67]Дир_ имущ'!AW28</f>
        <v>300000</v>
      </c>
      <c r="BN204" s="522">
        <f t="shared" si="304"/>
        <v>347364.58000000007</v>
      </c>
      <c r="BO204" s="578">
        <f t="shared" si="339"/>
        <v>338485.76000000007</v>
      </c>
      <c r="BP204" s="578">
        <f t="shared" si="335"/>
        <v>47364.580000000075</v>
      </c>
      <c r="BQ204" s="576">
        <v>8878.82</v>
      </c>
      <c r="BR204" s="578">
        <f>'[67]Дир_ имущ'!BB28</f>
        <v>0</v>
      </c>
      <c r="BS204" s="578">
        <f>'[67]Дир_ имущ'!BC28</f>
        <v>0</v>
      </c>
      <c r="BT204" s="536"/>
      <c r="BU204" s="578">
        <v>2400317.54</v>
      </c>
      <c r="BV204" s="578">
        <v>283496.95</v>
      </c>
      <c r="BW204" s="578"/>
      <c r="BX204" s="574"/>
      <c r="BY204" s="525">
        <f>2293591.05+281698.95</f>
        <v>2575290</v>
      </c>
      <c r="BZ204" s="525">
        <v>78170.23</v>
      </c>
      <c r="CA204" s="525">
        <f>28556.26+1798</f>
        <v>30354.26</v>
      </c>
      <c r="CB204" s="522">
        <f t="shared" si="308"/>
        <v>2683814.4899999998</v>
      </c>
      <c r="CC204" s="522">
        <f t="shared" si="336"/>
        <v>0</v>
      </c>
      <c r="CD204" s="578"/>
      <c r="CE204" s="578"/>
      <c r="CF204" s="578"/>
      <c r="CG204" s="578"/>
      <c r="CH204" s="578"/>
      <c r="CI204" s="578"/>
      <c r="CJ204" s="578"/>
      <c r="CK204" s="543" t="s">
        <v>1815</v>
      </c>
      <c r="CL204" s="543" t="s">
        <v>1816</v>
      </c>
      <c r="CM204" s="509" t="s">
        <v>1925</v>
      </c>
      <c r="CN204" s="528"/>
      <c r="CO204" s="528"/>
      <c r="CP204" s="544">
        <f t="shared" si="305"/>
        <v>29043.003082648935</v>
      </c>
      <c r="CQ204" s="544">
        <f t="shared" si="306"/>
        <v>2133.3033267408146</v>
      </c>
      <c r="CR204" s="544">
        <f t="shared" si="307"/>
        <v>302.51359061025227</v>
      </c>
      <c r="CS204" s="1709" t="s">
        <v>1826</v>
      </c>
      <c r="CT204" s="1710"/>
      <c r="CU204" s="1710"/>
      <c r="CV204" s="1710"/>
      <c r="CW204" s="1711"/>
      <c r="CX204" s="528"/>
      <c r="CY204" s="528"/>
      <c r="CZ204" s="528"/>
      <c r="DA204" s="528"/>
      <c r="DB204" s="579">
        <f>7593.75</f>
        <v>7593.75</v>
      </c>
      <c r="DC204" s="628" t="e">
        <f>P204-#REF!</f>
        <v>#REF!</v>
      </c>
      <c r="DD204" s="535"/>
      <c r="DE204" s="535"/>
      <c r="DF204" s="525">
        <f t="shared" si="278"/>
        <v>2575.29</v>
      </c>
      <c r="DG204" s="525">
        <f t="shared" si="278"/>
        <v>78.170229999999989</v>
      </c>
      <c r="DH204" s="525">
        <f t="shared" si="278"/>
        <v>30.35426</v>
      </c>
      <c r="DI204" s="522">
        <f t="shared" si="278"/>
        <v>2683.8144899999998</v>
      </c>
      <c r="DJ204" s="536"/>
      <c r="DK204" s="536"/>
      <c r="DL204" s="536"/>
      <c r="DM204" s="536"/>
      <c r="DN204" s="536"/>
      <c r="DO204" s="536"/>
      <c r="DP204" s="536"/>
      <c r="DQ204" s="536"/>
      <c r="DR204" s="536"/>
      <c r="DS204" s="536"/>
    </row>
    <row r="205" spans="1:123" s="534" customFormat="1" ht="56.4">
      <c r="A205" s="537" t="s">
        <v>872</v>
      </c>
      <c r="B205" s="538" t="s">
        <v>873</v>
      </c>
      <c r="C205" s="576"/>
      <c r="D205" s="576">
        <v>0</v>
      </c>
      <c r="E205" s="576">
        <v>0</v>
      </c>
      <c r="F205" s="576"/>
      <c r="G205" s="577">
        <v>0</v>
      </c>
      <c r="H205" s="577">
        <v>0</v>
      </c>
      <c r="I205" s="576">
        <f t="shared" si="298"/>
        <v>0</v>
      </c>
      <c r="J205" s="576">
        <v>0</v>
      </c>
      <c r="K205" s="576">
        <v>0</v>
      </c>
      <c r="L205" s="576">
        <v>0</v>
      </c>
      <c r="M205" s="576">
        <f t="shared" si="299"/>
        <v>0</v>
      </c>
      <c r="N205" s="576">
        <v>24173.55</v>
      </c>
      <c r="O205" s="525">
        <f t="shared" si="300"/>
        <v>24173.55</v>
      </c>
      <c r="P205" s="522">
        <v>48347.1</v>
      </c>
      <c r="Q205" s="576">
        <f t="shared" si="313"/>
        <v>48347.1</v>
      </c>
      <c r="R205" s="576">
        <v>0</v>
      </c>
      <c r="S205" s="576">
        <v>0</v>
      </c>
      <c r="T205" s="576">
        <v>0</v>
      </c>
      <c r="U205" s="522">
        <f t="shared" si="301"/>
        <v>0</v>
      </c>
      <c r="V205" s="522">
        <f t="shared" si="311"/>
        <v>0</v>
      </c>
      <c r="W205" s="522">
        <v>0</v>
      </c>
      <c r="X205" s="522">
        <f t="shared" si="315"/>
        <v>-48347.1</v>
      </c>
      <c r="Y205" s="522">
        <f t="shared" si="316"/>
        <v>-100</v>
      </c>
      <c r="Z205" s="524">
        <f t="shared" si="317"/>
        <v>43733.63</v>
      </c>
      <c r="AA205" s="522">
        <f t="shared" si="318"/>
        <v>43733.63</v>
      </c>
      <c r="AB205" s="522">
        <v>0</v>
      </c>
      <c r="AC205" s="522">
        <f t="shared" si="319"/>
        <v>43733.63</v>
      </c>
      <c r="AD205" s="522">
        <v>0</v>
      </c>
      <c r="AE205" s="522">
        <f t="shared" si="321"/>
        <v>-4613.4700000000012</v>
      </c>
      <c r="AF205" s="522">
        <f t="shared" si="322"/>
        <v>-9.5423924082313079</v>
      </c>
      <c r="AG205" s="522">
        <f t="shared" si="337"/>
        <v>85955.38</v>
      </c>
      <c r="AH205" s="522">
        <f t="shared" si="323"/>
        <v>85955.38</v>
      </c>
      <c r="AI205" s="522">
        <v>0</v>
      </c>
      <c r="AJ205" s="522">
        <f t="shared" si="325"/>
        <v>42221.750000000007</v>
      </c>
      <c r="AK205" s="522">
        <f t="shared" si="310"/>
        <v>96.542980767889617</v>
      </c>
      <c r="AL205" s="522">
        <f t="shared" si="302"/>
        <v>85955.38</v>
      </c>
      <c r="AM205" s="522">
        <f t="shared" si="270"/>
        <v>0</v>
      </c>
      <c r="AN205" s="522">
        <f t="shared" si="270"/>
        <v>43733.63</v>
      </c>
      <c r="AO205" s="522">
        <f t="shared" si="326"/>
        <v>43733.63</v>
      </c>
      <c r="AP205" s="522">
        <v>0</v>
      </c>
      <c r="AQ205" s="578">
        <v>0</v>
      </c>
      <c r="AR205" s="578">
        <v>26663.18</v>
      </c>
      <c r="AS205" s="578">
        <v>0</v>
      </c>
      <c r="AT205" s="578">
        <v>17070.449999999997</v>
      </c>
      <c r="AU205" s="578">
        <f t="shared" si="276"/>
        <v>0</v>
      </c>
      <c r="AV205" s="578">
        <f t="shared" si="276"/>
        <v>0</v>
      </c>
      <c r="AW205" s="578">
        <f t="shared" si="327"/>
        <v>0</v>
      </c>
      <c r="AX205" s="578">
        <v>0</v>
      </c>
      <c r="AY205" s="578">
        <f t="shared" si="277"/>
        <v>42221.750000000007</v>
      </c>
      <c r="AZ205" s="578">
        <f t="shared" si="329"/>
        <v>-42221.750000000007</v>
      </c>
      <c r="BA205" s="578">
        <v>0</v>
      </c>
      <c r="BB205" s="578">
        <v>0</v>
      </c>
      <c r="BC205" s="576">
        <f>'[67]Дир_ имущ'!AT29</f>
        <v>0</v>
      </c>
      <c r="BD205" s="576">
        <f t="shared" si="303"/>
        <v>30649.140000000007</v>
      </c>
      <c r="BE205" s="576">
        <f t="shared" si="331"/>
        <v>30649.140000000007</v>
      </c>
      <c r="BF205" s="576">
        <f t="shared" si="332"/>
        <v>30649.140000000007</v>
      </c>
      <c r="BG205" s="576">
        <f t="shared" si="312"/>
        <v>0</v>
      </c>
      <c r="BH205" s="578">
        <f t="shared" si="312"/>
        <v>43733.63</v>
      </c>
      <c r="BI205" s="578">
        <v>74382.77</v>
      </c>
      <c r="BJ205" s="578">
        <f t="shared" si="333"/>
        <v>74382.77</v>
      </c>
      <c r="BK205" s="578">
        <f t="shared" si="334"/>
        <v>30649.140000000007</v>
      </c>
      <c r="BL205" s="576">
        <v>0</v>
      </c>
      <c r="BM205" s="578">
        <f>'[67]Дир_ имущ'!AW29</f>
        <v>0</v>
      </c>
      <c r="BN205" s="522">
        <f t="shared" si="304"/>
        <v>11572.61</v>
      </c>
      <c r="BO205" s="578">
        <f t="shared" si="339"/>
        <v>11572.61</v>
      </c>
      <c r="BP205" s="578">
        <f t="shared" si="335"/>
        <v>11572.61</v>
      </c>
      <c r="BQ205" s="576">
        <v>0</v>
      </c>
      <c r="BR205" s="578">
        <f>'[67]Дир_ имущ'!BB29</f>
        <v>0</v>
      </c>
      <c r="BS205" s="578">
        <f>'[67]Дир_ имущ'!BC29</f>
        <v>0</v>
      </c>
      <c r="BT205" s="536"/>
      <c r="BU205" s="578">
        <v>82955.38</v>
      </c>
      <c r="BV205" s="578">
        <v>3000</v>
      </c>
      <c r="BW205" s="578"/>
      <c r="BX205" s="574"/>
      <c r="BY205" s="525">
        <f>82925.44+3000</f>
        <v>85925.440000000002</v>
      </c>
      <c r="BZ205" s="525">
        <v>27.65</v>
      </c>
      <c r="CA205" s="525">
        <v>2.29</v>
      </c>
      <c r="CB205" s="522">
        <f t="shared" si="308"/>
        <v>85955.37999999999</v>
      </c>
      <c r="CC205" s="522">
        <f t="shared" si="336"/>
        <v>0</v>
      </c>
      <c r="CD205" s="578"/>
      <c r="CE205" s="578"/>
      <c r="CF205" s="578"/>
      <c r="CG205" s="578"/>
      <c r="CH205" s="578"/>
      <c r="CI205" s="578"/>
      <c r="CJ205" s="578"/>
      <c r="CK205" s="543" t="s">
        <v>1815</v>
      </c>
      <c r="CL205" s="543" t="s">
        <v>1816</v>
      </c>
      <c r="CM205" s="509" t="s">
        <v>1925</v>
      </c>
      <c r="CN205" s="528" t="s">
        <v>1849</v>
      </c>
      <c r="CO205" s="528"/>
      <c r="CP205" s="544">
        <f t="shared" si="305"/>
        <v>0</v>
      </c>
      <c r="CQ205" s="544">
        <f t="shared" si="306"/>
        <v>0</v>
      </c>
      <c r="CR205" s="544">
        <f t="shared" si="307"/>
        <v>0</v>
      </c>
      <c r="CS205" s="1709" t="s">
        <v>1826</v>
      </c>
      <c r="CT205" s="1710"/>
      <c r="CU205" s="1710"/>
      <c r="CV205" s="1710"/>
      <c r="CW205" s="1711"/>
      <c r="CX205" s="528"/>
      <c r="CY205" s="528"/>
      <c r="CZ205" s="528"/>
      <c r="DA205" s="528"/>
      <c r="DB205" s="579">
        <v>26663.18</v>
      </c>
      <c r="DC205" s="628" t="e">
        <f>P205-#REF!</f>
        <v>#REF!</v>
      </c>
      <c r="DD205" s="535"/>
      <c r="DE205" s="535"/>
      <c r="DF205" s="525">
        <f t="shared" si="278"/>
        <v>85.925440000000009</v>
      </c>
      <c r="DG205" s="525">
        <f t="shared" si="278"/>
        <v>2.7649999999999997E-2</v>
      </c>
      <c r="DH205" s="525">
        <f t="shared" si="278"/>
        <v>2.2899999999999999E-3</v>
      </c>
      <c r="DI205" s="522">
        <f t="shared" si="278"/>
        <v>85.955379999999991</v>
      </c>
      <c r="DJ205" s="536"/>
      <c r="DK205" s="536"/>
      <c r="DL205" s="536"/>
      <c r="DM205" s="536"/>
      <c r="DN205" s="536"/>
      <c r="DO205" s="536"/>
      <c r="DP205" s="536"/>
      <c r="DQ205" s="536"/>
      <c r="DR205" s="536"/>
      <c r="DS205" s="536"/>
    </row>
    <row r="206" spans="1:123" s="534" customFormat="1" ht="90" customHeight="1">
      <c r="A206" s="537" t="s">
        <v>878</v>
      </c>
      <c r="B206" s="538" t="s">
        <v>879</v>
      </c>
      <c r="C206" s="576">
        <v>55092.2</v>
      </c>
      <c r="D206" s="576">
        <v>0</v>
      </c>
      <c r="E206" s="576">
        <v>135000</v>
      </c>
      <c r="F206" s="576">
        <v>262685.19</v>
      </c>
      <c r="G206" s="577">
        <v>0</v>
      </c>
      <c r="H206" s="577">
        <v>0</v>
      </c>
      <c r="I206" s="576">
        <f t="shared" si="298"/>
        <v>187880.74</v>
      </c>
      <c r="J206" s="576">
        <v>109980.85</v>
      </c>
      <c r="K206" s="576">
        <v>77899.89</v>
      </c>
      <c r="L206" s="576">
        <v>0</v>
      </c>
      <c r="M206" s="576">
        <f t="shared" si="299"/>
        <v>187880.74</v>
      </c>
      <c r="N206" s="576">
        <v>216383.16</v>
      </c>
      <c r="O206" s="525">
        <f t="shared" si="300"/>
        <v>0</v>
      </c>
      <c r="P206" s="522">
        <v>216383.16</v>
      </c>
      <c r="Q206" s="576">
        <f t="shared" si="313"/>
        <v>28502.420000000013</v>
      </c>
      <c r="R206" s="576">
        <f t="shared" si="314"/>
        <v>15.170485276990078</v>
      </c>
      <c r="S206" s="576"/>
      <c r="T206" s="576"/>
      <c r="U206" s="522">
        <f t="shared" si="301"/>
        <v>197462.66</v>
      </c>
      <c r="V206" s="522">
        <f t="shared" si="311"/>
        <v>197462.66</v>
      </c>
      <c r="W206" s="522">
        <v>0</v>
      </c>
      <c r="X206" s="522">
        <f t="shared" si="315"/>
        <v>-18920.5</v>
      </c>
      <c r="Y206" s="522">
        <f t="shared" si="316"/>
        <v>-8.7439798919657079</v>
      </c>
      <c r="Z206" s="524">
        <f t="shared" si="317"/>
        <v>200750.33000000002</v>
      </c>
      <c r="AA206" s="522">
        <f t="shared" si="318"/>
        <v>200750.33000000002</v>
      </c>
      <c r="AB206" s="522">
        <v>0</v>
      </c>
      <c r="AC206" s="522">
        <f t="shared" si="319"/>
        <v>3287.6700000000128</v>
      </c>
      <c r="AD206" s="522">
        <f t="shared" si="320"/>
        <v>1.6649578203798114</v>
      </c>
      <c r="AE206" s="522">
        <f t="shared" si="321"/>
        <v>-15632.829999999987</v>
      </c>
      <c r="AF206" s="522">
        <f t="shared" si="322"/>
        <v>-7.2246056486096109</v>
      </c>
      <c r="AG206" s="522">
        <f t="shared" si="337"/>
        <v>209619</v>
      </c>
      <c r="AH206" s="522">
        <f t="shared" si="323"/>
        <v>12156.339999999997</v>
      </c>
      <c r="AI206" s="522">
        <f t="shared" si="324"/>
        <v>6.1562727859535613</v>
      </c>
      <c r="AJ206" s="522">
        <f t="shared" si="325"/>
        <v>8868.6699999999837</v>
      </c>
      <c r="AK206" s="522">
        <f t="shared" si="310"/>
        <v>4.4177611065446172</v>
      </c>
      <c r="AL206" s="522">
        <f t="shared" si="302"/>
        <v>209619</v>
      </c>
      <c r="AM206" s="522">
        <f t="shared" si="270"/>
        <v>98731.33</v>
      </c>
      <c r="AN206" s="522">
        <f t="shared" si="270"/>
        <v>102019</v>
      </c>
      <c r="AO206" s="522">
        <f t="shared" si="326"/>
        <v>3287.6699999999983</v>
      </c>
      <c r="AP206" s="522">
        <f t="shared" si="338"/>
        <v>3.3299156407596229</v>
      </c>
      <c r="AQ206" s="578">
        <v>0</v>
      </c>
      <c r="AR206" s="578">
        <v>0</v>
      </c>
      <c r="AS206" s="578">
        <v>98731.33</v>
      </c>
      <c r="AT206" s="578">
        <v>102019</v>
      </c>
      <c r="AU206" s="578">
        <f t="shared" si="276"/>
        <v>98731.33</v>
      </c>
      <c r="AV206" s="578">
        <f t="shared" si="276"/>
        <v>98731.33</v>
      </c>
      <c r="AW206" s="578">
        <f t="shared" si="327"/>
        <v>0</v>
      </c>
      <c r="AX206" s="578">
        <f t="shared" si="328"/>
        <v>0</v>
      </c>
      <c r="AY206" s="578">
        <f t="shared" si="277"/>
        <v>107600</v>
      </c>
      <c r="AZ206" s="578">
        <f t="shared" si="329"/>
        <v>-8868.6699999999983</v>
      </c>
      <c r="BA206" s="578">
        <f t="shared" si="330"/>
        <v>-8.2422583643122778</v>
      </c>
      <c r="BB206" s="578">
        <v>98731.33</v>
      </c>
      <c r="BC206" s="576">
        <f>'[67]Гл инж_Тех дир'!AT56</f>
        <v>98731.33</v>
      </c>
      <c r="BD206" s="576">
        <f t="shared" si="303"/>
        <v>102260</v>
      </c>
      <c r="BE206" s="576">
        <f t="shared" si="331"/>
        <v>3528.6699999999983</v>
      </c>
      <c r="BF206" s="576">
        <f t="shared" si="332"/>
        <v>3528.6699999999983</v>
      </c>
      <c r="BG206" s="576">
        <f t="shared" si="312"/>
        <v>197462.66</v>
      </c>
      <c r="BH206" s="578">
        <f t="shared" si="312"/>
        <v>200750.33000000002</v>
      </c>
      <c r="BI206" s="578">
        <v>204279</v>
      </c>
      <c r="BJ206" s="578">
        <f t="shared" si="333"/>
        <v>6816.3399999999965</v>
      </c>
      <c r="BK206" s="578">
        <f t="shared" si="334"/>
        <v>3528.6699999999837</v>
      </c>
      <c r="BL206" s="576">
        <v>0</v>
      </c>
      <c r="BM206" s="578">
        <f>'[67]Гл инж_Тех дир'!AW56</f>
        <v>0</v>
      </c>
      <c r="BN206" s="522">
        <f t="shared" si="304"/>
        <v>5340</v>
      </c>
      <c r="BO206" s="578">
        <f t="shared" si="339"/>
        <v>5340</v>
      </c>
      <c r="BP206" s="578">
        <f t="shared" si="335"/>
        <v>5340</v>
      </c>
      <c r="BQ206" s="576">
        <v>0</v>
      </c>
      <c r="BR206" s="578">
        <f>'[67]Гл инж_Тех дир'!BB56</f>
        <v>0</v>
      </c>
      <c r="BS206" s="578">
        <f>'[67]Гл инж_Тех дир'!BC56</f>
        <v>0</v>
      </c>
      <c r="BT206" s="536"/>
      <c r="BU206" s="578">
        <v>209619</v>
      </c>
      <c r="BV206" s="578"/>
      <c r="BW206" s="578"/>
      <c r="BX206" s="574"/>
      <c r="BY206" s="525">
        <v>200536.25</v>
      </c>
      <c r="BZ206" s="525">
        <v>7061.48</v>
      </c>
      <c r="CA206" s="525">
        <v>2021.27</v>
      </c>
      <c r="CB206" s="522">
        <f t="shared" si="308"/>
        <v>209619</v>
      </c>
      <c r="CC206" s="522">
        <f t="shared" si="336"/>
        <v>0</v>
      </c>
      <c r="CD206" s="578"/>
      <c r="CE206" s="578"/>
      <c r="CF206" s="578"/>
      <c r="CG206" s="578"/>
      <c r="CH206" s="578"/>
      <c r="CI206" s="578"/>
      <c r="CJ206" s="578"/>
      <c r="CK206" s="542" t="s">
        <v>79</v>
      </c>
      <c r="CL206" s="543" t="s">
        <v>1903</v>
      </c>
      <c r="CM206" s="509" t="s">
        <v>1925</v>
      </c>
      <c r="CN206" s="528"/>
      <c r="CO206" s="528"/>
      <c r="CP206" s="544">
        <f t="shared" si="305"/>
        <v>182183.08828247242</v>
      </c>
      <c r="CQ206" s="544">
        <f t="shared" si="306"/>
        <v>13381.94219113329</v>
      </c>
      <c r="CR206" s="544">
        <f t="shared" si="307"/>
        <v>1897.6295263943007</v>
      </c>
      <c r="CS206" s="1709" t="s">
        <v>1826</v>
      </c>
      <c r="CT206" s="1710"/>
      <c r="CU206" s="1710"/>
      <c r="CV206" s="1710"/>
      <c r="CW206" s="1711"/>
      <c r="CX206" s="528"/>
      <c r="CY206" s="528"/>
      <c r="CZ206" s="528"/>
      <c r="DA206" s="528"/>
      <c r="DB206" s="579"/>
      <c r="DC206" s="628" t="e">
        <f>P206-#REF!</f>
        <v>#REF!</v>
      </c>
      <c r="DD206" s="535"/>
      <c r="DE206" s="535"/>
      <c r="DF206" s="525">
        <f t="shared" si="278"/>
        <v>200.53625</v>
      </c>
      <c r="DG206" s="525">
        <f t="shared" si="278"/>
        <v>7.0614799999999995</v>
      </c>
      <c r="DH206" s="525">
        <f t="shared" si="278"/>
        <v>2.0212699999999999</v>
      </c>
      <c r="DI206" s="522">
        <f t="shared" si="278"/>
        <v>209.619</v>
      </c>
      <c r="DJ206" s="536"/>
      <c r="DK206" s="536"/>
      <c r="DL206" s="536"/>
      <c r="DM206" s="536"/>
      <c r="DN206" s="536"/>
      <c r="DO206" s="536"/>
      <c r="DP206" s="536"/>
      <c r="DQ206" s="536"/>
      <c r="DR206" s="536"/>
      <c r="DS206" s="536"/>
    </row>
    <row r="207" spans="1:123" s="534" customFormat="1" ht="79.5" customHeight="1">
      <c r="A207" s="537" t="s">
        <v>1030</v>
      </c>
      <c r="B207" s="538" t="s">
        <v>1031</v>
      </c>
      <c r="C207" s="576">
        <v>261403.82</v>
      </c>
      <c r="D207" s="576">
        <v>1371591.66</v>
      </c>
      <c r="E207" s="576">
        <v>1215640</v>
      </c>
      <c r="F207" s="576">
        <v>911215.13</v>
      </c>
      <c r="G207" s="577">
        <v>660715.83895350026</v>
      </c>
      <c r="H207" s="577">
        <v>0</v>
      </c>
      <c r="I207" s="576">
        <f t="shared" si="298"/>
        <v>688716.42999999993</v>
      </c>
      <c r="J207" s="576">
        <v>28000.590000000004</v>
      </c>
      <c r="K207" s="576">
        <v>330357.92</v>
      </c>
      <c r="L207" s="576">
        <v>330357.92</v>
      </c>
      <c r="M207" s="576">
        <f t="shared" si="299"/>
        <v>358358.51</v>
      </c>
      <c r="N207" s="576">
        <v>42166.51</v>
      </c>
      <c r="O207" s="525">
        <f t="shared" si="300"/>
        <v>603737.88</v>
      </c>
      <c r="P207" s="522">
        <v>645904.39</v>
      </c>
      <c r="Q207" s="576">
        <f t="shared" si="313"/>
        <v>-42812.039999999921</v>
      </c>
      <c r="R207" s="576">
        <f t="shared" si="314"/>
        <v>-6.216207155098644</v>
      </c>
      <c r="S207" s="576">
        <v>990885.01249999995</v>
      </c>
      <c r="T207" s="576"/>
      <c r="U207" s="522">
        <f t="shared" si="301"/>
        <v>296822.03999999998</v>
      </c>
      <c r="V207" s="522">
        <f t="shared" si="311"/>
        <v>296822.03999999998</v>
      </c>
      <c r="W207" s="522">
        <v>0</v>
      </c>
      <c r="X207" s="522">
        <f t="shared" si="315"/>
        <v>-349082.35000000003</v>
      </c>
      <c r="Y207" s="522">
        <f t="shared" si="316"/>
        <v>-54.045514383328467</v>
      </c>
      <c r="Z207" s="524">
        <f t="shared" si="317"/>
        <v>176411.61</v>
      </c>
      <c r="AA207" s="522">
        <f t="shared" si="318"/>
        <v>176411.61</v>
      </c>
      <c r="AB207" s="522">
        <v>0</v>
      </c>
      <c r="AC207" s="522">
        <f t="shared" si="319"/>
        <v>-120410.43</v>
      </c>
      <c r="AD207" s="522">
        <f t="shared" si="320"/>
        <v>-40.566539465869852</v>
      </c>
      <c r="AE207" s="522">
        <f t="shared" si="321"/>
        <v>-469492.78</v>
      </c>
      <c r="AF207" s="522">
        <f t="shared" si="322"/>
        <v>-72.687658927353013</v>
      </c>
      <c r="AG207" s="522">
        <f t="shared" si="337"/>
        <v>56332.39</v>
      </c>
      <c r="AH207" s="522">
        <f t="shared" si="323"/>
        <v>-240489.64999999997</v>
      </c>
      <c r="AI207" s="522">
        <f t="shared" si="324"/>
        <v>-81.021493552163435</v>
      </c>
      <c r="AJ207" s="522">
        <f t="shared" si="325"/>
        <v>-120079.21999999999</v>
      </c>
      <c r="AK207" s="522">
        <f t="shared" si="310"/>
        <v>-68.067640219371043</v>
      </c>
      <c r="AL207" s="522">
        <f t="shared" si="302"/>
        <v>56332.39</v>
      </c>
      <c r="AM207" s="522">
        <f t="shared" si="270"/>
        <v>148411.01999999999</v>
      </c>
      <c r="AN207" s="522">
        <f t="shared" si="270"/>
        <v>28000.59</v>
      </c>
      <c r="AO207" s="522">
        <f t="shared" si="326"/>
        <v>-120410.43</v>
      </c>
      <c r="AP207" s="522">
        <f t="shared" si="338"/>
        <v>-81.133078931739703</v>
      </c>
      <c r="AQ207" s="578">
        <v>74205.509999999995</v>
      </c>
      <c r="AR207" s="578">
        <v>13945.09</v>
      </c>
      <c r="AS207" s="578">
        <v>74205.509999999995</v>
      </c>
      <c r="AT207" s="578">
        <v>14055.5</v>
      </c>
      <c r="AU207" s="578">
        <f t="shared" si="276"/>
        <v>148411.01999999999</v>
      </c>
      <c r="AV207" s="578">
        <f t="shared" si="276"/>
        <v>148411.01999999999</v>
      </c>
      <c r="AW207" s="578">
        <f t="shared" si="327"/>
        <v>0</v>
      </c>
      <c r="AX207" s="578">
        <f t="shared" si="328"/>
        <v>0</v>
      </c>
      <c r="AY207" s="578">
        <f t="shared" si="277"/>
        <v>28331.8</v>
      </c>
      <c r="AZ207" s="578">
        <f t="shared" si="329"/>
        <v>120079.21999999999</v>
      </c>
      <c r="BA207" s="578">
        <f t="shared" si="330"/>
        <v>423.83194855250986</v>
      </c>
      <c r="BB207" s="578">
        <v>74205.509999999995</v>
      </c>
      <c r="BC207" s="576">
        <f>'[67]Гл инж_Тех дир'!AT57</f>
        <v>74205.509999999995</v>
      </c>
      <c r="BD207" s="576">
        <f t="shared" si="303"/>
        <v>14165.91</v>
      </c>
      <c r="BE207" s="576">
        <f t="shared" si="331"/>
        <v>-60039.599999999991</v>
      </c>
      <c r="BF207" s="576">
        <f t="shared" si="332"/>
        <v>-60039.599999999991</v>
      </c>
      <c r="BG207" s="576">
        <f t="shared" si="312"/>
        <v>222616.52999999997</v>
      </c>
      <c r="BH207" s="578">
        <f t="shared" si="312"/>
        <v>102206.09999999999</v>
      </c>
      <c r="BI207" s="578">
        <v>42166.5</v>
      </c>
      <c r="BJ207" s="578">
        <f t="shared" si="333"/>
        <v>-180450.02999999997</v>
      </c>
      <c r="BK207" s="578">
        <f t="shared" si="334"/>
        <v>-60039.599999999991</v>
      </c>
      <c r="BL207" s="576">
        <v>74205.509999999995</v>
      </c>
      <c r="BM207" s="578">
        <f>'[67]Гл инж_Тех дир'!AW57</f>
        <v>74205.509999999995</v>
      </c>
      <c r="BN207" s="522">
        <f t="shared" si="304"/>
        <v>14165.89</v>
      </c>
      <c r="BO207" s="578">
        <f t="shared" si="339"/>
        <v>-60039.619999999995</v>
      </c>
      <c r="BP207" s="578">
        <f t="shared" si="335"/>
        <v>-60039.619999999995</v>
      </c>
      <c r="BQ207" s="576">
        <v>74205.509999999995</v>
      </c>
      <c r="BR207" s="578">
        <f>'[67]Гл инж_Тех дир'!BB57</f>
        <v>0</v>
      </c>
      <c r="BS207" s="578">
        <f>'[67]Гл инж_Тех дир'!BC57</f>
        <v>0</v>
      </c>
      <c r="BT207" s="536"/>
      <c r="BU207" s="578">
        <v>56332.39</v>
      </c>
      <c r="BV207" s="578"/>
      <c r="BW207" s="578"/>
      <c r="BX207" s="574"/>
      <c r="BY207" s="525">
        <v>52432.58</v>
      </c>
      <c r="BZ207" s="525">
        <v>3291.64</v>
      </c>
      <c r="CA207" s="525">
        <v>608.16999999999996</v>
      </c>
      <c r="CB207" s="522">
        <f t="shared" si="308"/>
        <v>56332.39</v>
      </c>
      <c r="CC207" s="522">
        <f t="shared" si="336"/>
        <v>0</v>
      </c>
      <c r="CD207" s="578"/>
      <c r="CE207" s="578"/>
      <c r="CF207" s="578"/>
      <c r="CG207" s="578"/>
      <c r="CH207" s="578"/>
      <c r="CI207" s="578"/>
      <c r="CJ207" s="578"/>
      <c r="CK207" s="542" t="s">
        <v>79</v>
      </c>
      <c r="CL207" s="543" t="s">
        <v>1903</v>
      </c>
      <c r="CM207" s="509" t="s">
        <v>1925</v>
      </c>
      <c r="CN207" s="528"/>
      <c r="CO207" s="528"/>
      <c r="CP207" s="544">
        <f t="shared" si="305"/>
        <v>273854.08419750625</v>
      </c>
      <c r="CQ207" s="544">
        <f t="shared" si="306"/>
        <v>20115.475909897355</v>
      </c>
      <c r="CR207" s="544">
        <f t="shared" si="307"/>
        <v>2852.4798925963528</v>
      </c>
      <c r="CS207" s="1709" t="s">
        <v>1826</v>
      </c>
      <c r="CT207" s="1710"/>
      <c r="CU207" s="1710"/>
      <c r="CV207" s="1710"/>
      <c r="CW207" s="1711"/>
      <c r="CX207" s="528"/>
      <c r="CY207" s="528"/>
      <c r="CZ207" s="528"/>
      <c r="DA207" s="528"/>
      <c r="DB207" s="579">
        <f>13945.09</f>
        <v>13945.09</v>
      </c>
      <c r="DC207" s="628" t="e">
        <f>P207-#REF!</f>
        <v>#REF!</v>
      </c>
      <c r="DD207" s="535"/>
      <c r="DE207" s="535"/>
      <c r="DF207" s="525">
        <f t="shared" si="278"/>
        <v>52.432580000000002</v>
      </c>
      <c r="DG207" s="525">
        <f t="shared" si="278"/>
        <v>3.2916399999999997</v>
      </c>
      <c r="DH207" s="525">
        <f t="shared" si="278"/>
        <v>0.60816999999999999</v>
      </c>
      <c r="DI207" s="522">
        <f t="shared" si="278"/>
        <v>56.332389999999997</v>
      </c>
      <c r="DJ207" s="536"/>
      <c r="DK207" s="536"/>
      <c r="DL207" s="536"/>
      <c r="DM207" s="536"/>
      <c r="DN207" s="536"/>
      <c r="DO207" s="536"/>
      <c r="DP207" s="536"/>
      <c r="DQ207" s="536"/>
      <c r="DR207" s="536"/>
      <c r="DS207" s="536"/>
    </row>
    <row r="208" spans="1:123" s="534" customFormat="1" ht="56.4">
      <c r="A208" s="537" t="s">
        <v>1118</v>
      </c>
      <c r="B208" s="538" t="s">
        <v>1119</v>
      </c>
      <c r="C208" s="576">
        <v>174816.32</v>
      </c>
      <c r="D208" s="576">
        <v>164591</v>
      </c>
      <c r="E208" s="576">
        <v>248460</v>
      </c>
      <c r="F208" s="576">
        <v>198397.21</v>
      </c>
      <c r="G208" s="577">
        <v>154000.45749873112</v>
      </c>
      <c r="H208" s="577">
        <v>0</v>
      </c>
      <c r="I208" s="576">
        <f t="shared" si="298"/>
        <v>220632.08000000002</v>
      </c>
      <c r="J208" s="576">
        <v>92114.420000000013</v>
      </c>
      <c r="K208" s="576">
        <v>55158.03</v>
      </c>
      <c r="L208" s="576">
        <v>73359.63</v>
      </c>
      <c r="M208" s="576">
        <f t="shared" si="299"/>
        <v>147272.45000000001</v>
      </c>
      <c r="N208" s="576">
        <v>139987.97</v>
      </c>
      <c r="O208" s="525">
        <f t="shared" si="300"/>
        <v>58564.320000000007</v>
      </c>
      <c r="P208" s="522">
        <v>198552.29</v>
      </c>
      <c r="Q208" s="576">
        <f t="shared" si="313"/>
        <v>-22079.790000000008</v>
      </c>
      <c r="R208" s="576">
        <f t="shared" si="314"/>
        <v>-10.007515679496834</v>
      </c>
      <c r="S208" s="576">
        <v>162470.48266116134</v>
      </c>
      <c r="T208" s="576">
        <v>162470.48266116134</v>
      </c>
      <c r="U208" s="522">
        <f t="shared" si="301"/>
        <v>196169.81</v>
      </c>
      <c r="V208" s="522">
        <f t="shared" si="311"/>
        <v>33699.327338838659</v>
      </c>
      <c r="W208" s="522">
        <f t="shared" si="340"/>
        <v>20.74181524352332</v>
      </c>
      <c r="X208" s="522">
        <f t="shared" si="315"/>
        <v>-2382.4800000000105</v>
      </c>
      <c r="Y208" s="522">
        <f t="shared" si="316"/>
        <v>-1.19992572233744</v>
      </c>
      <c r="Z208" s="524">
        <f t="shared" si="317"/>
        <v>196169.81</v>
      </c>
      <c r="AA208" s="522">
        <f t="shared" si="318"/>
        <v>33699.327338838659</v>
      </c>
      <c r="AB208" s="522">
        <f t="shared" si="341"/>
        <v>20.74181524352332</v>
      </c>
      <c r="AC208" s="522">
        <f t="shared" si="319"/>
        <v>0</v>
      </c>
      <c r="AD208" s="522">
        <f t="shared" si="320"/>
        <v>0</v>
      </c>
      <c r="AE208" s="522">
        <f t="shared" si="321"/>
        <v>-2382.4800000000105</v>
      </c>
      <c r="AF208" s="522">
        <f t="shared" si="322"/>
        <v>-1.19992572233744</v>
      </c>
      <c r="AG208" s="522">
        <f t="shared" si="337"/>
        <v>177086.35</v>
      </c>
      <c r="AH208" s="522">
        <f t="shared" si="323"/>
        <v>-19083.459999999992</v>
      </c>
      <c r="AI208" s="522">
        <f t="shared" si="324"/>
        <v>-9.7280310359682716</v>
      </c>
      <c r="AJ208" s="522">
        <f t="shared" si="325"/>
        <v>-19083.459999999992</v>
      </c>
      <c r="AK208" s="522">
        <f t="shared" si="310"/>
        <v>-9.7280310359682716</v>
      </c>
      <c r="AL208" s="522">
        <f t="shared" si="302"/>
        <v>177086.35</v>
      </c>
      <c r="AM208" s="522">
        <f t="shared" si="270"/>
        <v>69503.149999999994</v>
      </c>
      <c r="AN208" s="522">
        <f t="shared" si="270"/>
        <v>89564.64</v>
      </c>
      <c r="AO208" s="522">
        <f t="shared" si="326"/>
        <v>20061.490000000005</v>
      </c>
      <c r="AP208" s="522">
        <f t="shared" si="338"/>
        <v>28.864145006377413</v>
      </c>
      <c r="AQ208" s="578">
        <v>6169.81</v>
      </c>
      <c r="AR208" s="578">
        <v>34362.25</v>
      </c>
      <c r="AS208" s="578">
        <v>63333.34</v>
      </c>
      <c r="AT208" s="578">
        <v>55202.39</v>
      </c>
      <c r="AU208" s="578">
        <f t="shared" si="276"/>
        <v>126666.66</v>
      </c>
      <c r="AV208" s="578">
        <f t="shared" si="276"/>
        <v>106605.17</v>
      </c>
      <c r="AW208" s="578">
        <f t="shared" si="327"/>
        <v>-20061.490000000005</v>
      </c>
      <c r="AX208" s="578">
        <f t="shared" si="328"/>
        <v>-15.838019254632599</v>
      </c>
      <c r="AY208" s="578">
        <f t="shared" si="277"/>
        <v>87521.71</v>
      </c>
      <c r="AZ208" s="578">
        <f t="shared" si="329"/>
        <v>19083.459999999992</v>
      </c>
      <c r="BA208" s="578">
        <f t="shared" si="330"/>
        <v>21.804258623374693</v>
      </c>
      <c r="BB208" s="578">
        <v>63333.33</v>
      </c>
      <c r="BC208" s="576">
        <f>'[67]Гл инж_Тех дир'!AT14</f>
        <v>53300</v>
      </c>
      <c r="BD208" s="576">
        <f t="shared" si="303"/>
        <v>36815.61</v>
      </c>
      <c r="BE208" s="576">
        <f t="shared" si="331"/>
        <v>-26517.72</v>
      </c>
      <c r="BF208" s="576">
        <f t="shared" si="332"/>
        <v>-16484.39</v>
      </c>
      <c r="BG208" s="576">
        <f t="shared" si="312"/>
        <v>132836.47999999998</v>
      </c>
      <c r="BH208" s="578">
        <f t="shared" si="312"/>
        <v>142864.64000000001</v>
      </c>
      <c r="BI208" s="578">
        <v>126380.25</v>
      </c>
      <c r="BJ208" s="578">
        <f t="shared" si="333"/>
        <v>-6456.2299999999814</v>
      </c>
      <c r="BK208" s="578">
        <f t="shared" si="334"/>
        <v>-16484.390000000014</v>
      </c>
      <c r="BL208" s="576">
        <v>63333.33</v>
      </c>
      <c r="BM208" s="578">
        <f>'[67]Гл инж_Тех дир'!AW14</f>
        <v>53305.17</v>
      </c>
      <c r="BN208" s="522">
        <f t="shared" si="304"/>
        <v>50706.100000000006</v>
      </c>
      <c r="BO208" s="578">
        <f t="shared" si="339"/>
        <v>-12627.229999999996</v>
      </c>
      <c r="BP208" s="578">
        <f t="shared" si="335"/>
        <v>-2599.0699999999924</v>
      </c>
      <c r="BQ208" s="576">
        <v>63333.33</v>
      </c>
      <c r="BR208" s="578">
        <f>'[67]Гл инж_Тех дир'!BB14</f>
        <v>0</v>
      </c>
      <c r="BS208" s="578">
        <f>'[67]Гл инж_Тех дир'!BC14</f>
        <v>0</v>
      </c>
      <c r="BT208" s="536"/>
      <c r="BU208" s="578">
        <v>177086.35</v>
      </c>
      <c r="BV208" s="578"/>
      <c r="BW208" s="578"/>
      <c r="BX208" s="574"/>
      <c r="BY208" s="525">
        <v>162360.73000000001</v>
      </c>
      <c r="BZ208" s="525">
        <v>12696.11</v>
      </c>
      <c r="CA208" s="525">
        <v>2029.51</v>
      </c>
      <c r="CB208" s="522">
        <f t="shared" si="308"/>
        <v>177086.35000000003</v>
      </c>
      <c r="CC208" s="522">
        <f t="shared" si="336"/>
        <v>0</v>
      </c>
      <c r="CD208" s="578"/>
      <c r="CE208" s="578"/>
      <c r="CF208" s="578"/>
      <c r="CG208" s="578"/>
      <c r="CH208" s="578"/>
      <c r="CI208" s="578"/>
      <c r="CJ208" s="578"/>
      <c r="CK208" s="542" t="s">
        <v>79</v>
      </c>
      <c r="CL208" s="543" t="s">
        <v>1803</v>
      </c>
      <c r="CM208" s="509" t="s">
        <v>1925</v>
      </c>
      <c r="CN208" s="528" t="s">
        <v>1849</v>
      </c>
      <c r="CO208" s="528"/>
      <c r="CP208" s="544">
        <f t="shared" si="305"/>
        <v>180990.27843332931</v>
      </c>
      <c r="CQ208" s="544">
        <f t="shared" si="306"/>
        <v>13294.326416273341</v>
      </c>
      <c r="CR208" s="544">
        <f t="shared" si="307"/>
        <v>1885.2051503973457</v>
      </c>
      <c r="CS208" s="1709" t="s">
        <v>1826</v>
      </c>
      <c r="CT208" s="1710"/>
      <c r="CU208" s="1710"/>
      <c r="CV208" s="1710"/>
      <c r="CW208" s="1711"/>
      <c r="CX208" s="528"/>
      <c r="CY208" s="528"/>
      <c r="CZ208" s="528"/>
      <c r="DA208" s="528"/>
      <c r="DB208" s="579">
        <f>34362.25</f>
        <v>34362.25</v>
      </c>
      <c r="DC208" s="628" t="e">
        <f>P208-#REF!</f>
        <v>#REF!</v>
      </c>
      <c r="DD208" s="535"/>
      <c r="DE208" s="535"/>
      <c r="DF208" s="525">
        <f t="shared" si="278"/>
        <v>162.36073000000002</v>
      </c>
      <c r="DG208" s="525">
        <f t="shared" si="278"/>
        <v>12.696110000000001</v>
      </c>
      <c r="DH208" s="525">
        <f t="shared" si="278"/>
        <v>2.0295100000000001</v>
      </c>
      <c r="DI208" s="522">
        <f t="shared" si="278"/>
        <v>177.08635000000004</v>
      </c>
      <c r="DJ208" s="536"/>
      <c r="DK208" s="536"/>
      <c r="DL208" s="536"/>
      <c r="DM208" s="536"/>
      <c r="DN208" s="536"/>
      <c r="DO208" s="536"/>
      <c r="DP208" s="536"/>
      <c r="DQ208" s="536"/>
      <c r="DR208" s="536"/>
      <c r="DS208" s="536"/>
    </row>
    <row r="209" spans="1:123" s="534" customFormat="1" ht="42" customHeight="1">
      <c r="A209" s="537" t="s">
        <v>883</v>
      </c>
      <c r="B209" s="538" t="s">
        <v>884</v>
      </c>
      <c r="C209" s="576">
        <v>30250</v>
      </c>
      <c r="D209" s="576">
        <v>406814.08</v>
      </c>
      <c r="E209" s="576">
        <v>70000</v>
      </c>
      <c r="F209" s="576"/>
      <c r="G209" s="577">
        <v>9747.3460213460512</v>
      </c>
      <c r="H209" s="577">
        <v>0</v>
      </c>
      <c r="I209" s="576">
        <f t="shared" si="298"/>
        <v>0</v>
      </c>
      <c r="J209" s="576">
        <v>0</v>
      </c>
      <c r="K209" s="576">
        <v>0</v>
      </c>
      <c r="L209" s="576">
        <v>0</v>
      </c>
      <c r="M209" s="576">
        <f t="shared" si="299"/>
        <v>0</v>
      </c>
      <c r="N209" s="576">
        <v>0</v>
      </c>
      <c r="O209" s="525">
        <f t="shared" si="300"/>
        <v>0</v>
      </c>
      <c r="P209" s="522"/>
      <c r="Q209" s="576">
        <f t="shared" si="313"/>
        <v>0</v>
      </c>
      <c r="R209" s="576">
        <v>0</v>
      </c>
      <c r="S209" s="576"/>
      <c r="T209" s="576"/>
      <c r="U209" s="522">
        <f t="shared" si="301"/>
        <v>0</v>
      </c>
      <c r="V209" s="522">
        <f t="shared" si="311"/>
        <v>0</v>
      </c>
      <c r="W209" s="522">
        <v>0</v>
      </c>
      <c r="X209" s="522">
        <f t="shared" si="315"/>
        <v>0</v>
      </c>
      <c r="Y209" s="522">
        <v>0</v>
      </c>
      <c r="Z209" s="524">
        <f t="shared" si="317"/>
        <v>0</v>
      </c>
      <c r="AA209" s="522">
        <f t="shared" si="318"/>
        <v>0</v>
      </c>
      <c r="AB209" s="522">
        <v>0</v>
      </c>
      <c r="AC209" s="522">
        <f t="shared" si="319"/>
        <v>0</v>
      </c>
      <c r="AD209" s="522">
        <v>0</v>
      </c>
      <c r="AE209" s="522">
        <f t="shared" si="321"/>
        <v>0</v>
      </c>
      <c r="AF209" s="522">
        <v>0</v>
      </c>
      <c r="AG209" s="522">
        <f t="shared" si="337"/>
        <v>0</v>
      </c>
      <c r="AH209" s="522">
        <f t="shared" si="323"/>
        <v>0</v>
      </c>
      <c r="AI209" s="522">
        <v>0</v>
      </c>
      <c r="AJ209" s="522">
        <f t="shared" si="325"/>
        <v>0</v>
      </c>
      <c r="AK209" s="522">
        <v>0</v>
      </c>
      <c r="AL209" s="522">
        <f t="shared" si="302"/>
        <v>0</v>
      </c>
      <c r="AM209" s="522">
        <f t="shared" si="270"/>
        <v>0</v>
      </c>
      <c r="AN209" s="522">
        <f t="shared" si="270"/>
        <v>0</v>
      </c>
      <c r="AO209" s="522">
        <f t="shared" si="326"/>
        <v>0</v>
      </c>
      <c r="AP209" s="522">
        <v>0</v>
      </c>
      <c r="AQ209" s="578">
        <v>0</v>
      </c>
      <c r="AR209" s="578">
        <v>0</v>
      </c>
      <c r="AS209" s="578">
        <v>0</v>
      </c>
      <c r="AT209" s="578">
        <v>0</v>
      </c>
      <c r="AU209" s="578">
        <f t="shared" si="276"/>
        <v>0</v>
      </c>
      <c r="AV209" s="578">
        <f t="shared" si="276"/>
        <v>0</v>
      </c>
      <c r="AW209" s="578">
        <f t="shared" si="327"/>
        <v>0</v>
      </c>
      <c r="AX209" s="578">
        <v>0</v>
      </c>
      <c r="AY209" s="578">
        <f t="shared" si="277"/>
        <v>0</v>
      </c>
      <c r="AZ209" s="578">
        <f t="shared" si="329"/>
        <v>0</v>
      </c>
      <c r="BA209" s="578">
        <v>0</v>
      </c>
      <c r="BB209" s="578">
        <v>0</v>
      </c>
      <c r="BC209" s="576">
        <f>'[67]Дир_ имущ'!AT57</f>
        <v>0</v>
      </c>
      <c r="BD209" s="576">
        <f t="shared" si="303"/>
        <v>0</v>
      </c>
      <c r="BE209" s="576">
        <f t="shared" si="331"/>
        <v>0</v>
      </c>
      <c r="BF209" s="576">
        <f t="shared" si="332"/>
        <v>0</v>
      </c>
      <c r="BG209" s="576">
        <f t="shared" si="312"/>
        <v>0</v>
      </c>
      <c r="BH209" s="578">
        <f t="shared" si="312"/>
        <v>0</v>
      </c>
      <c r="BI209" s="578"/>
      <c r="BJ209" s="578">
        <f t="shared" si="333"/>
        <v>0</v>
      </c>
      <c r="BK209" s="578">
        <f t="shared" si="334"/>
        <v>0</v>
      </c>
      <c r="BL209" s="576">
        <v>0</v>
      </c>
      <c r="BM209" s="578">
        <f>'[67]Дир_ имущ'!AW57</f>
        <v>0</v>
      </c>
      <c r="BN209" s="522">
        <f t="shared" si="304"/>
        <v>0</v>
      </c>
      <c r="BO209" s="578">
        <f t="shared" si="339"/>
        <v>0</v>
      </c>
      <c r="BP209" s="578">
        <f t="shared" si="335"/>
        <v>0</v>
      </c>
      <c r="BQ209" s="576">
        <v>0</v>
      </c>
      <c r="BR209" s="578">
        <f>'[67]Дир_ имущ'!BB57</f>
        <v>0</v>
      </c>
      <c r="BS209" s="578">
        <f>'[67]Дир_ имущ'!BC57</f>
        <v>0</v>
      </c>
      <c r="BT209" s="536"/>
      <c r="BU209" s="578"/>
      <c r="BV209" s="578"/>
      <c r="BW209" s="578"/>
      <c r="BX209" s="574"/>
      <c r="BY209" s="525"/>
      <c r="BZ209" s="525"/>
      <c r="CA209" s="525"/>
      <c r="CB209" s="522">
        <f t="shared" si="308"/>
        <v>0</v>
      </c>
      <c r="CC209" s="522">
        <f t="shared" si="336"/>
        <v>0</v>
      </c>
      <c r="CD209" s="578"/>
      <c r="CE209" s="578"/>
      <c r="CF209" s="578"/>
      <c r="CG209" s="578"/>
      <c r="CH209" s="578"/>
      <c r="CI209" s="578"/>
      <c r="CJ209" s="578"/>
      <c r="CK209" s="543" t="s">
        <v>1815</v>
      </c>
      <c r="CL209" s="543" t="s">
        <v>1897</v>
      </c>
      <c r="CM209" s="509" t="s">
        <v>1925</v>
      </c>
      <c r="CN209" s="528"/>
      <c r="CO209" s="528"/>
      <c r="CP209" s="544">
        <f t="shared" si="305"/>
        <v>0</v>
      </c>
      <c r="CQ209" s="544">
        <f t="shared" si="306"/>
        <v>0</v>
      </c>
      <c r="CR209" s="544">
        <f t="shared" si="307"/>
        <v>0</v>
      </c>
      <c r="CS209" s="1709" t="s">
        <v>1826</v>
      </c>
      <c r="CT209" s="1710"/>
      <c r="CU209" s="1710"/>
      <c r="CV209" s="1710"/>
      <c r="CW209" s="1711"/>
      <c r="CX209" s="528"/>
      <c r="CY209" s="528"/>
      <c r="CZ209" s="528"/>
      <c r="DA209" s="528"/>
      <c r="DB209" s="579"/>
      <c r="DC209" s="628" t="e">
        <f>P209-#REF!</f>
        <v>#REF!</v>
      </c>
      <c r="DD209" s="535"/>
      <c r="DE209" s="535"/>
      <c r="DF209" s="525">
        <f t="shared" si="278"/>
        <v>0</v>
      </c>
      <c r="DG209" s="525">
        <f t="shared" si="278"/>
        <v>0</v>
      </c>
      <c r="DH209" s="525">
        <f t="shared" si="278"/>
        <v>0</v>
      </c>
      <c r="DI209" s="522">
        <f t="shared" si="278"/>
        <v>0</v>
      </c>
      <c r="DJ209" s="536"/>
      <c r="DK209" s="536"/>
      <c r="DL209" s="536"/>
      <c r="DM209" s="536"/>
      <c r="DN209" s="536"/>
      <c r="DO209" s="536"/>
      <c r="DP209" s="536"/>
      <c r="DQ209" s="536"/>
      <c r="DR209" s="536"/>
      <c r="DS209" s="536"/>
    </row>
    <row r="210" spans="1:123" s="534" customFormat="1" ht="140.25" customHeight="1">
      <c r="A210" s="537" t="s">
        <v>888</v>
      </c>
      <c r="B210" s="538" t="s">
        <v>889</v>
      </c>
      <c r="C210" s="576">
        <v>1299968</v>
      </c>
      <c r="D210" s="576">
        <v>30436068.039999999</v>
      </c>
      <c r="E210" s="525">
        <v>11000000</v>
      </c>
      <c r="F210" s="525">
        <v>0</v>
      </c>
      <c r="G210" s="596">
        <v>13903355.077053301</v>
      </c>
      <c r="H210" s="596">
        <v>0</v>
      </c>
      <c r="I210" s="525">
        <f t="shared" si="298"/>
        <v>13573419.76</v>
      </c>
      <c r="J210" s="525">
        <v>6903419.7599999998</v>
      </c>
      <c r="K210" s="525">
        <v>3335000</v>
      </c>
      <c r="L210" s="525">
        <v>3335000</v>
      </c>
      <c r="M210" s="525">
        <f t="shared" si="299"/>
        <v>10238419.76</v>
      </c>
      <c r="N210" s="525">
        <v>0</v>
      </c>
      <c r="O210" s="525">
        <f t="shared" si="300"/>
        <v>0</v>
      </c>
      <c r="P210" s="522"/>
      <c r="Q210" s="525">
        <f t="shared" si="313"/>
        <v>-13573419.76</v>
      </c>
      <c r="R210" s="525">
        <f t="shared" si="314"/>
        <v>-100</v>
      </c>
      <c r="S210" s="525">
        <v>18182518.824999999</v>
      </c>
      <c r="T210" s="525">
        <v>18157998.824999999</v>
      </c>
      <c r="U210" s="522">
        <f t="shared" si="301"/>
        <v>13682978.5</v>
      </c>
      <c r="V210" s="522">
        <f t="shared" si="311"/>
        <v>-4475020.3249999993</v>
      </c>
      <c r="W210" s="522">
        <f t="shared" si="340"/>
        <v>-24.644898196814367</v>
      </c>
      <c r="X210" s="522">
        <f t="shared" si="315"/>
        <v>13682978.5</v>
      </c>
      <c r="Y210" s="522">
        <v>0</v>
      </c>
      <c r="Z210" s="524">
        <f t="shared" si="317"/>
        <v>13798366.469999999</v>
      </c>
      <c r="AA210" s="522">
        <f t="shared" si="318"/>
        <v>-4359632.3550000004</v>
      </c>
      <c r="AB210" s="522">
        <f t="shared" si="341"/>
        <v>-24.009431859845932</v>
      </c>
      <c r="AC210" s="522">
        <f t="shared" si="319"/>
        <v>115387.96999999881</v>
      </c>
      <c r="AD210" s="522">
        <f t="shared" si="320"/>
        <v>0.84329570495194162</v>
      </c>
      <c r="AE210" s="522">
        <f t="shared" si="321"/>
        <v>13798366.469999999</v>
      </c>
      <c r="AF210" s="522">
        <v>0</v>
      </c>
      <c r="AG210" s="522">
        <f t="shared" si="337"/>
        <v>13962797.760000002</v>
      </c>
      <c r="AH210" s="522">
        <f t="shared" si="323"/>
        <v>279819.26000000164</v>
      </c>
      <c r="AI210" s="522">
        <f t="shared" si="324"/>
        <v>2.0450171722480093</v>
      </c>
      <c r="AJ210" s="522">
        <f t="shared" si="325"/>
        <v>164431.29000000283</v>
      </c>
      <c r="AK210" s="522">
        <f>AG210/Z210*100-100</f>
        <v>1.1916721472610732</v>
      </c>
      <c r="AL210" s="522">
        <f t="shared" si="302"/>
        <v>13962797.760000002</v>
      </c>
      <c r="AM210" s="522">
        <f t="shared" si="270"/>
        <v>6788978.5</v>
      </c>
      <c r="AN210" s="522">
        <f t="shared" si="270"/>
        <v>6904366.4699999997</v>
      </c>
      <c r="AO210" s="522">
        <f t="shared" si="326"/>
        <v>115387.96999999974</v>
      </c>
      <c r="AP210" s="522">
        <f t="shared" si="338"/>
        <v>1.699636697921477</v>
      </c>
      <c r="AQ210" s="522">
        <v>3341978.5</v>
      </c>
      <c r="AR210" s="522">
        <v>3350120.34</v>
      </c>
      <c r="AS210" s="522">
        <v>3447000</v>
      </c>
      <c r="AT210" s="522">
        <v>3554246.13</v>
      </c>
      <c r="AU210" s="522">
        <f t="shared" si="276"/>
        <v>6894000</v>
      </c>
      <c r="AV210" s="522">
        <f t="shared" si="276"/>
        <v>6894000</v>
      </c>
      <c r="AW210" s="522">
        <f t="shared" si="327"/>
        <v>0</v>
      </c>
      <c r="AX210" s="522">
        <f t="shared" si="328"/>
        <v>0</v>
      </c>
      <c r="AY210" s="522">
        <f t="shared" si="277"/>
        <v>7058431.2900000019</v>
      </c>
      <c r="AZ210" s="522">
        <f t="shared" si="329"/>
        <v>-164431.2900000019</v>
      </c>
      <c r="BA210" s="522">
        <f t="shared" si="330"/>
        <v>-2.3295727229499192</v>
      </c>
      <c r="BB210" s="522">
        <v>3447000</v>
      </c>
      <c r="BC210" s="525">
        <f>'[67]Дир_ по реал.услуг'!AT31</f>
        <v>3447000</v>
      </c>
      <c r="BD210" s="525">
        <f t="shared" si="303"/>
        <v>3526391.6600000011</v>
      </c>
      <c r="BE210" s="525">
        <f t="shared" si="331"/>
        <v>79391.66000000108</v>
      </c>
      <c r="BF210" s="525">
        <f t="shared" si="332"/>
        <v>79391.66000000108</v>
      </c>
      <c r="BG210" s="525">
        <f t="shared" si="312"/>
        <v>10235978.5</v>
      </c>
      <c r="BH210" s="522">
        <f t="shared" si="312"/>
        <v>10351366.469999999</v>
      </c>
      <c r="BI210" s="522">
        <f>8440118.58+1990639.55</f>
        <v>10430758.130000001</v>
      </c>
      <c r="BJ210" s="522">
        <f t="shared" si="333"/>
        <v>194779.63000000082</v>
      </c>
      <c r="BK210" s="522">
        <f t="shared" si="334"/>
        <v>79391.660000002012</v>
      </c>
      <c r="BL210" s="525">
        <v>3447000</v>
      </c>
      <c r="BM210" s="522">
        <f>'[67]Дир_ по реал.услуг'!AW31</f>
        <v>3447000</v>
      </c>
      <c r="BN210" s="522">
        <f t="shared" si="304"/>
        <v>3532039.6300000008</v>
      </c>
      <c r="BO210" s="522">
        <f t="shared" si="339"/>
        <v>85039.63000000082</v>
      </c>
      <c r="BP210" s="522">
        <f t="shared" si="335"/>
        <v>85039.63000000082</v>
      </c>
      <c r="BQ210" s="525">
        <v>3447000</v>
      </c>
      <c r="BR210" s="522">
        <f>'[67]Дир_ по реал.услуг'!BB31</f>
        <v>0</v>
      </c>
      <c r="BS210" s="522">
        <f>'[67]Дир_ по реал.услуг'!BC31</f>
        <v>0</v>
      </c>
      <c r="BT210" s="536"/>
      <c r="BU210" s="522">
        <f>11407315.81+2555481.95</f>
        <v>13962797.760000002</v>
      </c>
      <c r="BV210" s="522"/>
      <c r="BW210" s="578"/>
      <c r="BX210" s="574"/>
      <c r="BY210" s="522">
        <f>11407299.54+2555481.95</f>
        <v>13962781.489999998</v>
      </c>
      <c r="BZ210" s="522">
        <f>10.47</f>
        <v>10.47</v>
      </c>
      <c r="CA210" s="522">
        <v>5.8</v>
      </c>
      <c r="CB210" s="522">
        <f t="shared" si="308"/>
        <v>13962797.76</v>
      </c>
      <c r="CC210" s="522">
        <f t="shared" si="336"/>
        <v>0</v>
      </c>
      <c r="CD210" s="522"/>
      <c r="CE210" s="522"/>
      <c r="CF210" s="522"/>
      <c r="CG210" s="522"/>
      <c r="CH210" s="522"/>
      <c r="CI210" s="522"/>
      <c r="CJ210" s="522"/>
      <c r="CK210" s="543" t="s">
        <v>78</v>
      </c>
      <c r="CL210" s="543" t="s">
        <v>1833</v>
      </c>
      <c r="CM210" s="509" t="s">
        <v>1925</v>
      </c>
      <c r="CN210" s="528"/>
      <c r="CO210" s="528"/>
      <c r="CP210" s="544">
        <f>U210</f>
        <v>13682978.5</v>
      </c>
      <c r="CQ210" s="544"/>
      <c r="CR210" s="544"/>
      <c r="CS210" s="1709"/>
      <c r="CT210" s="1710"/>
      <c r="CU210" s="1710"/>
      <c r="CV210" s="1710"/>
      <c r="CW210" s="1711"/>
      <c r="CX210" s="528"/>
      <c r="CY210" s="528"/>
      <c r="CZ210" s="528"/>
      <c r="DA210" s="528"/>
      <c r="DB210" s="544">
        <f>2751071.9+599048.44</f>
        <v>3350120.34</v>
      </c>
      <c r="DC210" s="628" t="e">
        <f>P210-#REF!</f>
        <v>#REF!</v>
      </c>
      <c r="DD210" s="535"/>
      <c r="DE210" s="535"/>
      <c r="DF210" s="522">
        <f t="shared" si="278"/>
        <v>13962.781489999998</v>
      </c>
      <c r="DG210" s="522">
        <f t="shared" si="278"/>
        <v>1.047E-2</v>
      </c>
      <c r="DH210" s="522">
        <f t="shared" si="278"/>
        <v>5.7999999999999996E-3</v>
      </c>
      <c r="DI210" s="522">
        <f t="shared" si="278"/>
        <v>13962.797759999999</v>
      </c>
      <c r="DJ210" s="536"/>
      <c r="DK210" s="536"/>
      <c r="DL210" s="536"/>
      <c r="DM210" s="536"/>
      <c r="DN210" s="536"/>
      <c r="DO210" s="536"/>
      <c r="DP210" s="536"/>
      <c r="DQ210" s="536"/>
      <c r="DR210" s="536"/>
      <c r="DS210" s="536"/>
    </row>
    <row r="211" spans="1:123" s="658" customFormat="1" ht="64.5" customHeight="1">
      <c r="A211" s="651" t="s">
        <v>893</v>
      </c>
      <c r="B211" s="634" t="s">
        <v>894</v>
      </c>
      <c r="C211" s="635"/>
      <c r="D211" s="635"/>
      <c r="E211" s="635"/>
      <c r="F211" s="635">
        <v>12132272.859999999</v>
      </c>
      <c r="G211" s="652">
        <v>0</v>
      </c>
      <c r="H211" s="652">
        <v>0</v>
      </c>
      <c r="I211" s="635">
        <f t="shared" si="298"/>
        <v>0</v>
      </c>
      <c r="J211" s="635">
        <v>0</v>
      </c>
      <c r="K211" s="635">
        <v>0</v>
      </c>
      <c r="L211" s="635">
        <v>0</v>
      </c>
      <c r="M211" s="635">
        <f t="shared" si="299"/>
        <v>0</v>
      </c>
      <c r="N211" s="635">
        <v>7861833.9800000004</v>
      </c>
      <c r="O211" s="525">
        <f t="shared" si="300"/>
        <v>-7861833.9800000004</v>
      </c>
      <c r="P211" s="522"/>
      <c r="Q211" s="635">
        <f t="shared" si="313"/>
        <v>0</v>
      </c>
      <c r="R211" s="635">
        <v>0</v>
      </c>
      <c r="S211" s="635"/>
      <c r="T211" s="635"/>
      <c r="U211" s="522">
        <f t="shared" si="301"/>
        <v>0</v>
      </c>
      <c r="V211" s="522">
        <f t="shared" si="311"/>
        <v>0</v>
      </c>
      <c r="W211" s="522">
        <v>0</v>
      </c>
      <c r="X211" s="522">
        <f t="shared" si="315"/>
        <v>0</v>
      </c>
      <c r="Y211" s="522">
        <v>0</v>
      </c>
      <c r="Z211" s="524">
        <f t="shared" si="317"/>
        <v>0</v>
      </c>
      <c r="AA211" s="522">
        <f t="shared" si="318"/>
        <v>0</v>
      </c>
      <c r="AB211" s="522">
        <v>0</v>
      </c>
      <c r="AC211" s="522">
        <f t="shared" si="319"/>
        <v>0</v>
      </c>
      <c r="AD211" s="522">
        <v>0</v>
      </c>
      <c r="AE211" s="522">
        <f t="shared" si="321"/>
        <v>0</v>
      </c>
      <c r="AF211" s="522">
        <v>0</v>
      </c>
      <c r="AG211" s="522">
        <f t="shared" si="337"/>
        <v>0</v>
      </c>
      <c r="AH211" s="522">
        <f t="shared" si="323"/>
        <v>0</v>
      </c>
      <c r="AI211" s="522">
        <v>0</v>
      </c>
      <c r="AJ211" s="522">
        <f t="shared" si="325"/>
        <v>0</v>
      </c>
      <c r="AK211" s="522">
        <v>0</v>
      </c>
      <c r="AL211" s="522">
        <f t="shared" si="302"/>
        <v>0</v>
      </c>
      <c r="AM211" s="522">
        <f t="shared" ref="AM211:AN274" si="342">AQ211+AS211</f>
        <v>0</v>
      </c>
      <c r="AN211" s="522">
        <f t="shared" si="342"/>
        <v>0</v>
      </c>
      <c r="AO211" s="522">
        <f t="shared" si="326"/>
        <v>0</v>
      </c>
      <c r="AP211" s="522">
        <v>0</v>
      </c>
      <c r="AQ211" s="639">
        <v>0</v>
      </c>
      <c r="AR211" s="639">
        <v>0</v>
      </c>
      <c r="AS211" s="639">
        <v>0</v>
      </c>
      <c r="AT211" s="639">
        <v>0</v>
      </c>
      <c r="AU211" s="639">
        <f t="shared" si="276"/>
        <v>0</v>
      </c>
      <c r="AV211" s="639">
        <f t="shared" si="276"/>
        <v>0</v>
      </c>
      <c r="AW211" s="639">
        <f t="shared" si="327"/>
        <v>0</v>
      </c>
      <c r="AX211" s="639">
        <v>0</v>
      </c>
      <c r="AY211" s="639">
        <f t="shared" si="277"/>
        <v>0</v>
      </c>
      <c r="AZ211" s="639">
        <f t="shared" si="329"/>
        <v>0</v>
      </c>
      <c r="BA211" s="639">
        <v>0</v>
      </c>
      <c r="BB211" s="639">
        <v>0</v>
      </c>
      <c r="BC211" s="635"/>
      <c r="BD211" s="635">
        <f t="shared" si="303"/>
        <v>0</v>
      </c>
      <c r="BE211" s="635">
        <f t="shared" si="331"/>
        <v>0</v>
      </c>
      <c r="BF211" s="635">
        <f t="shared" si="332"/>
        <v>0</v>
      </c>
      <c r="BG211" s="635">
        <f t="shared" si="312"/>
        <v>0</v>
      </c>
      <c r="BH211" s="639">
        <f t="shared" si="312"/>
        <v>0</v>
      </c>
      <c r="BI211" s="639"/>
      <c r="BJ211" s="639">
        <f t="shared" si="333"/>
        <v>0</v>
      </c>
      <c r="BK211" s="639">
        <f t="shared" si="334"/>
        <v>0</v>
      </c>
      <c r="BL211" s="635">
        <v>0</v>
      </c>
      <c r="BM211" s="639"/>
      <c r="BN211" s="522">
        <f t="shared" si="304"/>
        <v>0</v>
      </c>
      <c r="BO211" s="639">
        <f t="shared" si="339"/>
        <v>0</v>
      </c>
      <c r="BP211" s="639">
        <f t="shared" si="335"/>
        <v>0</v>
      </c>
      <c r="BQ211" s="635">
        <v>0</v>
      </c>
      <c r="BR211" s="639"/>
      <c r="BS211" s="639"/>
      <c r="BT211" s="653"/>
      <c r="BU211" s="639"/>
      <c r="BV211" s="639"/>
      <c r="BW211" s="578"/>
      <c r="BX211" s="654"/>
      <c r="BY211" s="522"/>
      <c r="BZ211" s="522"/>
      <c r="CA211" s="522"/>
      <c r="CB211" s="522">
        <f t="shared" si="308"/>
        <v>0</v>
      </c>
      <c r="CC211" s="522">
        <f t="shared" si="336"/>
        <v>0</v>
      </c>
      <c r="CD211" s="639"/>
      <c r="CE211" s="639"/>
      <c r="CF211" s="639"/>
      <c r="CG211" s="639"/>
      <c r="CH211" s="639"/>
      <c r="CI211" s="639"/>
      <c r="CJ211" s="639"/>
      <c r="CK211" s="642" t="s">
        <v>1891</v>
      </c>
      <c r="CL211" s="642" t="s">
        <v>1892</v>
      </c>
      <c r="CM211" s="509" t="s">
        <v>1925</v>
      </c>
      <c r="CN211" s="655"/>
      <c r="CO211" s="655"/>
      <c r="CP211" s="544">
        <f>U211*$CU$7/100</f>
        <v>0</v>
      </c>
      <c r="CQ211" s="544">
        <f>U211*$CU$8/100</f>
        <v>0</v>
      </c>
      <c r="CR211" s="544">
        <f>U211*$CU$9/100</f>
        <v>0</v>
      </c>
      <c r="CS211" s="1709" t="s">
        <v>1826</v>
      </c>
      <c r="CT211" s="1710"/>
      <c r="CU211" s="1710"/>
      <c r="CV211" s="1710"/>
      <c r="CW211" s="1711"/>
      <c r="CX211" s="655"/>
      <c r="CY211" s="655"/>
      <c r="CZ211" s="655"/>
      <c r="DA211" s="655"/>
      <c r="DB211" s="656"/>
      <c r="DC211" s="628" t="e">
        <f>P211-#REF!</f>
        <v>#REF!</v>
      </c>
      <c r="DD211" s="657"/>
      <c r="DE211" s="657"/>
      <c r="DF211" s="522">
        <f t="shared" si="278"/>
        <v>0</v>
      </c>
      <c r="DG211" s="522">
        <f t="shared" si="278"/>
        <v>0</v>
      </c>
      <c r="DH211" s="522">
        <f t="shared" si="278"/>
        <v>0</v>
      </c>
      <c r="DI211" s="522">
        <f t="shared" si="278"/>
        <v>0</v>
      </c>
      <c r="DJ211" s="653"/>
      <c r="DK211" s="653"/>
      <c r="DL211" s="653"/>
      <c r="DM211" s="653"/>
      <c r="DN211" s="653"/>
      <c r="DO211" s="653"/>
      <c r="DP211" s="653"/>
      <c r="DQ211" s="653"/>
      <c r="DR211" s="653"/>
      <c r="DS211" s="653"/>
    </row>
    <row r="212" spans="1:123" s="534" customFormat="1">
      <c r="A212" s="537" t="s">
        <v>897</v>
      </c>
      <c r="B212" s="538" t="s">
        <v>898</v>
      </c>
      <c r="C212" s="576">
        <v>184828.27</v>
      </c>
      <c r="D212" s="576">
        <v>0</v>
      </c>
      <c r="E212" s="576">
        <v>271367.76</v>
      </c>
      <c r="F212" s="576">
        <v>219360.26</v>
      </c>
      <c r="G212" s="577">
        <v>0</v>
      </c>
      <c r="H212" s="577">
        <v>0</v>
      </c>
      <c r="I212" s="576">
        <f t="shared" si="298"/>
        <v>287381.11</v>
      </c>
      <c r="J212" s="576">
        <v>114837.05</v>
      </c>
      <c r="K212" s="576">
        <v>86272.03</v>
      </c>
      <c r="L212" s="576">
        <v>86272.03</v>
      </c>
      <c r="M212" s="576">
        <f t="shared" si="299"/>
        <v>201109.08000000002</v>
      </c>
      <c r="N212" s="576">
        <v>187034.38</v>
      </c>
      <c r="O212" s="525">
        <f t="shared" si="300"/>
        <v>100699.07</v>
      </c>
      <c r="P212" s="522">
        <f>284079+3654.45</f>
        <v>287733.45</v>
      </c>
      <c r="Q212" s="576">
        <f t="shared" si="313"/>
        <v>352.34000000002561</v>
      </c>
      <c r="R212" s="576">
        <f t="shared" si="314"/>
        <v>0.1226037438577805</v>
      </c>
      <c r="S212" s="576"/>
      <c r="T212" s="576"/>
      <c r="U212" s="522">
        <f t="shared" si="301"/>
        <v>262097.51</v>
      </c>
      <c r="V212" s="522">
        <f t="shared" si="311"/>
        <v>262097.51</v>
      </c>
      <c r="W212" s="522">
        <v>0</v>
      </c>
      <c r="X212" s="522">
        <f t="shared" si="315"/>
        <v>-25635.940000000002</v>
      </c>
      <c r="Y212" s="522">
        <f t="shared" si="316"/>
        <v>-8.909614089011896</v>
      </c>
      <c r="Z212" s="524">
        <f t="shared" si="317"/>
        <v>294462.35000000003</v>
      </c>
      <c r="AA212" s="522">
        <f t="shared" si="318"/>
        <v>294462.35000000003</v>
      </c>
      <c r="AB212" s="522">
        <v>0</v>
      </c>
      <c r="AC212" s="522">
        <f t="shared" si="319"/>
        <v>32364.840000000026</v>
      </c>
      <c r="AD212" s="522">
        <f t="shared" si="320"/>
        <v>12.348396594839841</v>
      </c>
      <c r="AE212" s="522">
        <f t="shared" si="321"/>
        <v>6728.9000000000233</v>
      </c>
      <c r="AF212" s="522">
        <f t="shared" si="322"/>
        <v>2.3385880230470235</v>
      </c>
      <c r="AG212" s="522">
        <f t="shared" si="337"/>
        <v>346450.14999999997</v>
      </c>
      <c r="AH212" s="522">
        <f t="shared" si="323"/>
        <v>84352.639999999956</v>
      </c>
      <c r="AI212" s="522">
        <f t="shared" si="324"/>
        <v>32.183686140322351</v>
      </c>
      <c r="AJ212" s="522">
        <f t="shared" si="325"/>
        <v>51987.79999999993</v>
      </c>
      <c r="AK212" s="522">
        <f t="shared" ref="AK212:AK235" si="343">AG212/Z212*100-100</f>
        <v>17.655160328646403</v>
      </c>
      <c r="AL212" s="522">
        <f t="shared" si="302"/>
        <v>346450.14999999997</v>
      </c>
      <c r="AM212" s="522">
        <f t="shared" si="342"/>
        <v>121121.62</v>
      </c>
      <c r="AN212" s="522">
        <f t="shared" si="342"/>
        <v>153486.46000000002</v>
      </c>
      <c r="AO212" s="522">
        <f t="shared" si="326"/>
        <v>32364.840000000026</v>
      </c>
      <c r="AP212" s="522">
        <f t="shared" si="338"/>
        <v>26.720943791868066</v>
      </c>
      <c r="AQ212" s="578">
        <v>58574.42</v>
      </c>
      <c r="AR212" s="578">
        <v>63829.74</v>
      </c>
      <c r="AS212" s="578">
        <v>62547.199999999997</v>
      </c>
      <c r="AT212" s="578">
        <v>89656.72000000003</v>
      </c>
      <c r="AU212" s="578">
        <f t="shared" si="276"/>
        <v>140975.89000000001</v>
      </c>
      <c r="AV212" s="578">
        <f t="shared" si="276"/>
        <v>140975.89000000001</v>
      </c>
      <c r="AW212" s="578">
        <f t="shared" si="327"/>
        <v>0</v>
      </c>
      <c r="AX212" s="578">
        <f t="shared" si="328"/>
        <v>0</v>
      </c>
      <c r="AY212" s="578">
        <f t="shared" si="277"/>
        <v>192963.68999999994</v>
      </c>
      <c r="AZ212" s="578">
        <f t="shared" si="329"/>
        <v>-51987.79999999993</v>
      </c>
      <c r="BA212" s="578">
        <f t="shared" si="330"/>
        <v>-26.941752616774664</v>
      </c>
      <c r="BB212" s="578">
        <v>70487.95</v>
      </c>
      <c r="BC212" s="576">
        <f>'[67]Дир_по корп'!AT25</f>
        <v>70487.95</v>
      </c>
      <c r="BD212" s="576">
        <f t="shared" si="303"/>
        <v>92193.50999999998</v>
      </c>
      <c r="BE212" s="576">
        <f t="shared" si="331"/>
        <v>21705.559999999983</v>
      </c>
      <c r="BF212" s="576">
        <f t="shared" si="332"/>
        <v>21705.559999999983</v>
      </c>
      <c r="BG212" s="576">
        <f t="shared" si="312"/>
        <v>191609.57</v>
      </c>
      <c r="BH212" s="578">
        <f t="shared" si="312"/>
        <v>223974.41000000003</v>
      </c>
      <c r="BI212" s="578">
        <v>245679.97</v>
      </c>
      <c r="BJ212" s="578">
        <f t="shared" si="333"/>
        <v>54070.399999999994</v>
      </c>
      <c r="BK212" s="578">
        <f t="shared" si="334"/>
        <v>21705.559999999969</v>
      </c>
      <c r="BL212" s="576">
        <v>70487.94</v>
      </c>
      <c r="BM212" s="578">
        <f>'[67]Дир_по корп'!AW25</f>
        <v>70487.94</v>
      </c>
      <c r="BN212" s="522">
        <f t="shared" si="304"/>
        <v>100770.17999999996</v>
      </c>
      <c r="BO212" s="578">
        <f t="shared" si="339"/>
        <v>30282.239999999962</v>
      </c>
      <c r="BP212" s="578">
        <f t="shared" si="335"/>
        <v>30282.239999999962</v>
      </c>
      <c r="BQ212" s="576">
        <v>70487.94</v>
      </c>
      <c r="BR212" s="578">
        <f>'[67]Дир_по корп'!BB25</f>
        <v>0</v>
      </c>
      <c r="BS212" s="578">
        <f>'[67]Дир_по корп'!BC25</f>
        <v>0</v>
      </c>
      <c r="BT212" s="536"/>
      <c r="BU212" s="578">
        <f>341443.72+5006.43</f>
        <v>346450.14999999997</v>
      </c>
      <c r="BV212" s="578"/>
      <c r="BW212" s="522"/>
      <c r="BX212" s="574"/>
      <c r="BY212" s="522">
        <f>329565.39+4667.31</f>
        <v>334232.7</v>
      </c>
      <c r="BZ212" s="522">
        <f>10137.98+279.74</f>
        <v>10417.719999999999</v>
      </c>
      <c r="CA212" s="522">
        <f>1740.35+59.38</f>
        <v>1799.73</v>
      </c>
      <c r="CB212" s="522">
        <f t="shared" si="308"/>
        <v>346450.14999999997</v>
      </c>
      <c r="CC212" s="522">
        <f t="shared" si="336"/>
        <v>0</v>
      </c>
      <c r="CD212" s="578"/>
      <c r="CE212" s="578"/>
      <c r="CF212" s="578"/>
      <c r="CG212" s="578"/>
      <c r="CH212" s="578"/>
      <c r="CI212" s="578"/>
      <c r="CJ212" s="578"/>
      <c r="CK212" s="543" t="s">
        <v>80</v>
      </c>
      <c r="CL212" s="543" t="s">
        <v>1908</v>
      </c>
      <c r="CM212" s="509" t="s">
        <v>1925</v>
      </c>
      <c r="CN212" s="528"/>
      <c r="CO212" s="528"/>
      <c r="CP212" s="544">
        <f>U212*$CU$7/100</f>
        <v>241816.5226931826</v>
      </c>
      <c r="CQ212" s="544">
        <f>U212*$CU$8/100</f>
        <v>17762.212497593111</v>
      </c>
      <c r="CR212" s="544">
        <f>U212*$CU$9/100</f>
        <v>2518.7748092243137</v>
      </c>
      <c r="CS212" s="1709" t="s">
        <v>1826</v>
      </c>
      <c r="CT212" s="1710"/>
      <c r="CU212" s="1710"/>
      <c r="CV212" s="1710"/>
      <c r="CW212" s="1711"/>
      <c r="CX212" s="528"/>
      <c r="CY212" s="528"/>
      <c r="CZ212" s="528"/>
      <c r="DA212" s="528"/>
      <c r="DB212" s="579">
        <f>63040.42+789.32</f>
        <v>63829.74</v>
      </c>
      <c r="DC212" s="628" t="e">
        <f>P212-#REF!</f>
        <v>#REF!</v>
      </c>
      <c r="DD212" s="535"/>
      <c r="DE212" s="535"/>
      <c r="DF212" s="522">
        <f t="shared" si="278"/>
        <v>334.23270000000002</v>
      </c>
      <c r="DG212" s="522">
        <f t="shared" si="278"/>
        <v>10.417719999999999</v>
      </c>
      <c r="DH212" s="522">
        <f t="shared" si="278"/>
        <v>1.7997300000000001</v>
      </c>
      <c r="DI212" s="522">
        <f t="shared" si="278"/>
        <v>346.45014999999995</v>
      </c>
      <c r="DJ212" s="536"/>
      <c r="DK212" s="536"/>
      <c r="DL212" s="536"/>
      <c r="DM212" s="536"/>
      <c r="DN212" s="536"/>
      <c r="DO212" s="536"/>
      <c r="DP212" s="536"/>
      <c r="DQ212" s="536"/>
      <c r="DR212" s="536"/>
      <c r="DS212" s="536"/>
    </row>
    <row r="213" spans="1:123" s="534" customFormat="1" ht="84.6">
      <c r="A213" s="537" t="s">
        <v>902</v>
      </c>
      <c r="B213" s="538" t="s">
        <v>1943</v>
      </c>
      <c r="C213" s="576">
        <v>6581559.4500000002</v>
      </c>
      <c r="D213" s="576">
        <v>6787582.0700000003</v>
      </c>
      <c r="E213" s="576">
        <v>3392050</v>
      </c>
      <c r="F213" s="576">
        <v>3261525.42</v>
      </c>
      <c r="G213" s="577">
        <v>7167037.8440843653</v>
      </c>
      <c r="H213" s="577">
        <v>0</v>
      </c>
      <c r="I213" s="576">
        <f t="shared" si="298"/>
        <v>2567796.6</v>
      </c>
      <c r="J213" s="576">
        <v>1279614.56</v>
      </c>
      <c r="K213" s="576">
        <v>644091.02</v>
      </c>
      <c r="L213" s="576">
        <v>644091.02</v>
      </c>
      <c r="M213" s="576">
        <f t="shared" si="299"/>
        <v>1923705.58</v>
      </c>
      <c r="N213" s="576">
        <v>1923705.58</v>
      </c>
      <c r="O213" s="525">
        <f t="shared" si="300"/>
        <v>644091.0299999998</v>
      </c>
      <c r="P213" s="522">
        <v>2567796.61</v>
      </c>
      <c r="Q213" s="576">
        <f t="shared" si="313"/>
        <v>9.9999997764825821E-3</v>
      </c>
      <c r="R213" s="576">
        <f t="shared" si="314"/>
        <v>3.8943895219745173E-7</v>
      </c>
      <c r="S213" s="576"/>
      <c r="T213" s="576"/>
      <c r="U213" s="522">
        <f t="shared" si="301"/>
        <v>2698754.24</v>
      </c>
      <c r="V213" s="522">
        <f t="shared" si="311"/>
        <v>2698754.24</v>
      </c>
      <c r="W213" s="522">
        <v>0</v>
      </c>
      <c r="X213" s="522">
        <f t="shared" si="315"/>
        <v>130957.63000000035</v>
      </c>
      <c r="Y213" s="522">
        <f t="shared" si="316"/>
        <v>5.1000001125478747</v>
      </c>
      <c r="Z213" s="524">
        <f t="shared" si="317"/>
        <v>2966101.7</v>
      </c>
      <c r="AA213" s="522">
        <f t="shared" si="318"/>
        <v>2966101.7</v>
      </c>
      <c r="AB213" s="522">
        <v>0</v>
      </c>
      <c r="AC213" s="522">
        <f t="shared" si="319"/>
        <v>267347.45999999996</v>
      </c>
      <c r="AD213" s="522">
        <f t="shared" si="320"/>
        <v>9.9063284843602446</v>
      </c>
      <c r="AE213" s="522">
        <f t="shared" si="321"/>
        <v>398305.09000000032</v>
      </c>
      <c r="AF213" s="522">
        <f t="shared" si="322"/>
        <v>15.511551360759853</v>
      </c>
      <c r="AG213" s="522">
        <f t="shared" si="337"/>
        <v>2966101.7</v>
      </c>
      <c r="AH213" s="522">
        <f t="shared" si="323"/>
        <v>267347.45999999996</v>
      </c>
      <c r="AI213" s="522">
        <f t="shared" si="324"/>
        <v>9.9063284843602446</v>
      </c>
      <c r="AJ213" s="522">
        <f t="shared" si="325"/>
        <v>0</v>
      </c>
      <c r="AK213" s="522">
        <f t="shared" si="343"/>
        <v>0</v>
      </c>
      <c r="AL213" s="522">
        <f t="shared" si="302"/>
        <v>2966101.7</v>
      </c>
      <c r="AM213" s="522">
        <f t="shared" si="342"/>
        <v>1349377.12</v>
      </c>
      <c r="AN213" s="522">
        <f t="shared" si="342"/>
        <v>1470861.4</v>
      </c>
      <c r="AO213" s="522">
        <f t="shared" si="326"/>
        <v>121484.2799999998</v>
      </c>
      <c r="AP213" s="522">
        <f t="shared" si="338"/>
        <v>9.0029894682073746</v>
      </c>
      <c r="AQ213" s="578">
        <v>674688.56</v>
      </c>
      <c r="AR213" s="578">
        <v>731367.55</v>
      </c>
      <c r="AS213" s="578">
        <v>674688.56</v>
      </c>
      <c r="AT213" s="578">
        <v>739493.84999999986</v>
      </c>
      <c r="AU213" s="578">
        <f t="shared" si="276"/>
        <v>1349377.12</v>
      </c>
      <c r="AV213" s="578">
        <f t="shared" si="276"/>
        <v>1495240.3</v>
      </c>
      <c r="AW213" s="578">
        <f t="shared" si="327"/>
        <v>145863.17999999993</v>
      </c>
      <c r="AX213" s="578">
        <f t="shared" si="328"/>
        <v>10.809667500513115</v>
      </c>
      <c r="AY213" s="578">
        <f t="shared" si="277"/>
        <v>1495240.3000000003</v>
      </c>
      <c r="AZ213" s="578">
        <f t="shared" si="329"/>
        <v>0</v>
      </c>
      <c r="BA213" s="578">
        <f t="shared" si="330"/>
        <v>0</v>
      </c>
      <c r="BB213" s="578">
        <v>674688.56</v>
      </c>
      <c r="BC213" s="576">
        <f>'[67]Дир_ по реал.услуг'!AT15</f>
        <v>747620.15</v>
      </c>
      <c r="BD213" s="576">
        <f t="shared" si="303"/>
        <v>747620.14999999991</v>
      </c>
      <c r="BE213" s="576">
        <f t="shared" si="331"/>
        <v>72931.589999999851</v>
      </c>
      <c r="BF213" s="576">
        <f t="shared" si="332"/>
        <v>0</v>
      </c>
      <c r="BG213" s="576">
        <f t="shared" si="312"/>
        <v>2024065.6800000002</v>
      </c>
      <c r="BH213" s="578">
        <f t="shared" si="312"/>
        <v>2218481.5499999998</v>
      </c>
      <c r="BI213" s="578">
        <v>2218481.5499999998</v>
      </c>
      <c r="BJ213" s="578">
        <f t="shared" si="333"/>
        <v>194415.86999999965</v>
      </c>
      <c r="BK213" s="578">
        <f t="shared" si="334"/>
        <v>0</v>
      </c>
      <c r="BL213" s="576">
        <v>674688.56</v>
      </c>
      <c r="BM213" s="578">
        <f>'[67]Дир_ по реал.услуг'!AW15</f>
        <v>747620.15</v>
      </c>
      <c r="BN213" s="522">
        <f t="shared" si="304"/>
        <v>747620.15000000037</v>
      </c>
      <c r="BO213" s="578">
        <f t="shared" si="339"/>
        <v>72931.590000000317</v>
      </c>
      <c r="BP213" s="578">
        <f t="shared" si="335"/>
        <v>0</v>
      </c>
      <c r="BQ213" s="576">
        <v>674688.56</v>
      </c>
      <c r="BR213" s="578">
        <f>'[67]Дир_ по реал.услуг'!BB15</f>
        <v>0</v>
      </c>
      <c r="BS213" s="578">
        <f>'[67]Дир_ по реал.услуг'!BC15</f>
        <v>0</v>
      </c>
      <c r="BT213" s="536"/>
      <c r="BU213" s="578">
        <v>2966101.7</v>
      </c>
      <c r="BV213" s="578"/>
      <c r="BW213" s="639"/>
      <c r="BX213" s="574"/>
      <c r="BY213" s="522">
        <v>2966101.7</v>
      </c>
      <c r="BZ213" s="578"/>
      <c r="CA213" s="578"/>
      <c r="CB213" s="522">
        <f t="shared" si="308"/>
        <v>2966101.7</v>
      </c>
      <c r="CC213" s="578">
        <f t="shared" si="336"/>
        <v>0</v>
      </c>
      <c r="CD213" s="578"/>
      <c r="CE213" s="578"/>
      <c r="CF213" s="578"/>
      <c r="CG213" s="578"/>
      <c r="CH213" s="578"/>
      <c r="CI213" s="578"/>
      <c r="CJ213" s="578"/>
      <c r="CK213" s="543" t="s">
        <v>78</v>
      </c>
      <c r="CL213" s="543" t="s">
        <v>1944</v>
      </c>
      <c r="CM213" s="509" t="s">
        <v>1925</v>
      </c>
      <c r="CN213" s="528" t="s">
        <v>1849</v>
      </c>
      <c r="CO213" s="528"/>
      <c r="CP213" s="544">
        <f>U213</f>
        <v>2698754.24</v>
      </c>
      <c r="CQ213" s="579"/>
      <c r="CR213" s="579"/>
      <c r="CS213" s="1709"/>
      <c r="CT213" s="1710"/>
      <c r="CU213" s="1710"/>
      <c r="CV213" s="1710"/>
      <c r="CW213" s="1711"/>
      <c r="CX213" s="528"/>
      <c r="CY213" s="528"/>
      <c r="CZ213" s="528"/>
      <c r="DA213" s="528"/>
      <c r="DB213" s="579">
        <f>731367.55</f>
        <v>731367.55</v>
      </c>
      <c r="DC213" s="628" t="e">
        <f>P213-#REF!</f>
        <v>#REF!</v>
      </c>
      <c r="DD213" s="535"/>
      <c r="DE213" s="535"/>
      <c r="DF213" s="522">
        <f t="shared" si="278"/>
        <v>2966.1017000000002</v>
      </c>
      <c r="DG213" s="578">
        <f t="shared" si="278"/>
        <v>0</v>
      </c>
      <c r="DH213" s="578">
        <f t="shared" si="278"/>
        <v>0</v>
      </c>
      <c r="DI213" s="522">
        <f t="shared" si="278"/>
        <v>2966.1017000000002</v>
      </c>
      <c r="DJ213" s="536"/>
      <c r="DK213" s="536"/>
      <c r="DL213" s="536"/>
      <c r="DM213" s="536"/>
      <c r="DN213" s="536"/>
      <c r="DO213" s="536"/>
      <c r="DP213" s="536"/>
      <c r="DQ213" s="536"/>
      <c r="DR213" s="536"/>
      <c r="DS213" s="536"/>
    </row>
    <row r="214" spans="1:123" s="534" customFormat="1" ht="56.4">
      <c r="A214" s="537" t="s">
        <v>907</v>
      </c>
      <c r="B214" s="538" t="s">
        <v>908</v>
      </c>
      <c r="C214" s="576">
        <v>522994.42</v>
      </c>
      <c r="D214" s="576">
        <v>235244.5</v>
      </c>
      <c r="E214" s="576">
        <v>688020</v>
      </c>
      <c r="F214" s="576">
        <v>800485.08</v>
      </c>
      <c r="G214" s="577">
        <v>297268.77119826694</v>
      </c>
      <c r="H214" s="577">
        <v>0</v>
      </c>
      <c r="I214" s="576">
        <f t="shared" si="298"/>
        <v>564882.75</v>
      </c>
      <c r="J214" s="576">
        <v>239536.04</v>
      </c>
      <c r="K214" s="576">
        <v>141782.23000000001</v>
      </c>
      <c r="L214" s="576">
        <v>183564.48</v>
      </c>
      <c r="M214" s="576">
        <f t="shared" si="299"/>
        <v>381318.27</v>
      </c>
      <c r="N214" s="576">
        <v>311214.53000000003</v>
      </c>
      <c r="O214" s="525">
        <f t="shared" si="300"/>
        <v>154783</v>
      </c>
      <c r="P214" s="522">
        <f>443691.53+22306</f>
        <v>465997.53</v>
      </c>
      <c r="Q214" s="576">
        <f t="shared" si="313"/>
        <v>-98885.219999999972</v>
      </c>
      <c r="R214" s="576">
        <f t="shared" si="314"/>
        <v>-17.505441615981368</v>
      </c>
      <c r="S214" s="576">
        <v>313618.55361417163</v>
      </c>
      <c r="T214" s="576">
        <v>313618.55361417163</v>
      </c>
      <c r="U214" s="522">
        <f t="shared" si="301"/>
        <v>436115.29</v>
      </c>
      <c r="V214" s="522">
        <f t="shared" si="311"/>
        <v>122496.73638582835</v>
      </c>
      <c r="W214" s="522">
        <f t="shared" si="340"/>
        <v>39.05914843817871</v>
      </c>
      <c r="X214" s="522">
        <f t="shared" si="315"/>
        <v>-29882.240000000049</v>
      </c>
      <c r="Y214" s="522">
        <f t="shared" si="316"/>
        <v>-6.412531843248189</v>
      </c>
      <c r="Z214" s="524">
        <f t="shared" si="317"/>
        <v>473100.79000000004</v>
      </c>
      <c r="AA214" s="522">
        <f t="shared" si="318"/>
        <v>159482.23638582841</v>
      </c>
      <c r="AB214" s="522">
        <f t="shared" si="341"/>
        <v>50.852296379770621</v>
      </c>
      <c r="AC214" s="522">
        <f t="shared" si="319"/>
        <v>36985.500000000058</v>
      </c>
      <c r="AD214" s="522">
        <f t="shared" si="320"/>
        <v>8.4806703291691719</v>
      </c>
      <c r="AE214" s="522">
        <f t="shared" si="321"/>
        <v>7103.2600000000093</v>
      </c>
      <c r="AF214" s="522">
        <f t="shared" si="322"/>
        <v>1.5243128005421056</v>
      </c>
      <c r="AG214" s="522">
        <f t="shared" si="337"/>
        <v>537025.69999999995</v>
      </c>
      <c r="AH214" s="522">
        <f t="shared" si="323"/>
        <v>100910.40999999997</v>
      </c>
      <c r="AI214" s="522">
        <f t="shared" si="324"/>
        <v>23.138471022192306</v>
      </c>
      <c r="AJ214" s="522">
        <f t="shared" si="325"/>
        <v>63924.909999999916</v>
      </c>
      <c r="AK214" s="522">
        <f t="shared" si="343"/>
        <v>13.511900920731918</v>
      </c>
      <c r="AL214" s="522">
        <f t="shared" si="302"/>
        <v>537025.69999999995</v>
      </c>
      <c r="AM214" s="522">
        <f t="shared" si="342"/>
        <v>260000</v>
      </c>
      <c r="AN214" s="522">
        <f t="shared" si="342"/>
        <v>232489.5</v>
      </c>
      <c r="AO214" s="522">
        <f t="shared" si="326"/>
        <v>-27510.5</v>
      </c>
      <c r="AP214" s="522">
        <f t="shared" si="338"/>
        <v>-10.580961538461537</v>
      </c>
      <c r="AQ214" s="578">
        <v>120000</v>
      </c>
      <c r="AR214" s="578">
        <v>96420</v>
      </c>
      <c r="AS214" s="578">
        <v>140000</v>
      </c>
      <c r="AT214" s="578">
        <v>136069.5</v>
      </c>
      <c r="AU214" s="578">
        <f t="shared" si="276"/>
        <v>176115.28999999998</v>
      </c>
      <c r="AV214" s="578">
        <f t="shared" si="276"/>
        <v>240611.29</v>
      </c>
      <c r="AW214" s="578">
        <f t="shared" si="327"/>
        <v>64496.000000000029</v>
      </c>
      <c r="AX214" s="578">
        <f t="shared" si="328"/>
        <v>36.621465404849317</v>
      </c>
      <c r="AY214" s="578">
        <f t="shared" si="277"/>
        <v>304536.19999999995</v>
      </c>
      <c r="AZ214" s="578">
        <f t="shared" si="329"/>
        <v>-63924.909999999945</v>
      </c>
      <c r="BA214" s="578">
        <f t="shared" si="330"/>
        <v>-20.99090682815374</v>
      </c>
      <c r="BB214" s="578">
        <v>50000</v>
      </c>
      <c r="BC214" s="576">
        <f>'[67]Гл инж_Тех дир'!AT39</f>
        <v>55000</v>
      </c>
      <c r="BD214" s="576">
        <f t="shared" si="303"/>
        <v>65650</v>
      </c>
      <c r="BE214" s="576">
        <f t="shared" si="331"/>
        <v>15650</v>
      </c>
      <c r="BF214" s="576">
        <f t="shared" si="332"/>
        <v>10650</v>
      </c>
      <c r="BG214" s="576">
        <f t="shared" si="312"/>
        <v>310000</v>
      </c>
      <c r="BH214" s="578">
        <f t="shared" si="312"/>
        <v>287489.5</v>
      </c>
      <c r="BI214" s="578">
        <f>31965+266174.5</f>
        <v>298139.5</v>
      </c>
      <c r="BJ214" s="578">
        <f t="shared" si="333"/>
        <v>-11860.5</v>
      </c>
      <c r="BK214" s="578">
        <f t="shared" si="334"/>
        <v>10650</v>
      </c>
      <c r="BL214" s="576">
        <v>126115.29</v>
      </c>
      <c r="BM214" s="578">
        <f>'[67]Гл инж_Тех дир'!AW39</f>
        <v>185611.29</v>
      </c>
      <c r="BN214" s="522">
        <f t="shared" si="304"/>
        <v>238886.19999999995</v>
      </c>
      <c r="BO214" s="578">
        <f t="shared" si="339"/>
        <v>112770.90999999996</v>
      </c>
      <c r="BP214" s="578">
        <f t="shared" si="335"/>
        <v>53274.909999999945</v>
      </c>
      <c r="BQ214" s="576">
        <v>126115.29</v>
      </c>
      <c r="BR214" s="578">
        <f>'[67]Гл инж_Тех дир'!BB39</f>
        <v>0</v>
      </c>
      <c r="BS214" s="578">
        <f>'[67]Гл инж_Тех дир'!BC39</f>
        <v>0</v>
      </c>
      <c r="BT214" s="536"/>
      <c r="BU214" s="578">
        <v>46023.199999999997</v>
      </c>
      <c r="BV214" s="578">
        <v>491002.5</v>
      </c>
      <c r="BW214" s="578"/>
      <c r="BX214" s="574"/>
      <c r="BY214" s="522">
        <f>43075.19+490351.5</f>
        <v>533426.68999999994</v>
      </c>
      <c r="BZ214" s="522">
        <f>2569.58+651</f>
        <v>3220.58</v>
      </c>
      <c r="CA214" s="522">
        <v>378.43</v>
      </c>
      <c r="CB214" s="522">
        <f t="shared" si="308"/>
        <v>537025.69999999995</v>
      </c>
      <c r="CC214" s="522">
        <f t="shared" si="336"/>
        <v>0</v>
      </c>
      <c r="CD214" s="578"/>
      <c r="CE214" s="578"/>
      <c r="CF214" s="578"/>
      <c r="CG214" s="578"/>
      <c r="CH214" s="578"/>
      <c r="CI214" s="578"/>
      <c r="CJ214" s="578"/>
      <c r="CK214" s="543" t="s">
        <v>79</v>
      </c>
      <c r="CL214" s="543" t="s">
        <v>1806</v>
      </c>
      <c r="CM214" s="509" t="s">
        <v>1925</v>
      </c>
      <c r="CN214" s="528" t="s">
        <v>1849</v>
      </c>
      <c r="CO214" s="528"/>
      <c r="CP214" s="544">
        <f t="shared" ref="CP214:CP229" si="344">U214*$CU$7/100</f>
        <v>402368.88523331983</v>
      </c>
      <c r="CQ214" s="544">
        <f t="shared" ref="CQ214:CQ229" si="345">U214*$CU$8/100</f>
        <v>29555.3073145542</v>
      </c>
      <c r="CR214" s="544">
        <f t="shared" ref="CR214:CR229" si="346">U214*$CU$9/100</f>
        <v>4191.0974521259513</v>
      </c>
      <c r="CS214" s="1709" t="s">
        <v>1826</v>
      </c>
      <c r="CT214" s="1710"/>
      <c r="CU214" s="1710"/>
      <c r="CV214" s="1710"/>
      <c r="CW214" s="1711"/>
      <c r="CX214" s="528"/>
      <c r="CY214" s="528"/>
      <c r="CZ214" s="528"/>
      <c r="DA214" s="528"/>
      <c r="DB214" s="579">
        <f>3401+93019</f>
        <v>96420</v>
      </c>
      <c r="DC214" s="628" t="e">
        <f>P214-#REF!</f>
        <v>#REF!</v>
      </c>
      <c r="DD214" s="535"/>
      <c r="DE214" s="535"/>
      <c r="DF214" s="522">
        <f t="shared" si="278"/>
        <v>533.42668999999989</v>
      </c>
      <c r="DG214" s="522">
        <f t="shared" si="278"/>
        <v>3.22058</v>
      </c>
      <c r="DH214" s="522">
        <f t="shared" si="278"/>
        <v>0.37842999999999999</v>
      </c>
      <c r="DI214" s="522">
        <f t="shared" si="278"/>
        <v>537.02569999999992</v>
      </c>
      <c r="DJ214" s="536"/>
      <c r="DK214" s="536"/>
      <c r="DL214" s="536"/>
      <c r="DM214" s="536"/>
      <c r="DN214" s="536"/>
      <c r="DO214" s="536"/>
      <c r="DP214" s="536"/>
      <c r="DQ214" s="536"/>
      <c r="DR214" s="536"/>
      <c r="DS214" s="536"/>
    </row>
    <row r="215" spans="1:123" s="534" customFormat="1" ht="67.5" customHeight="1">
      <c r="A215" s="537" t="s">
        <v>766</v>
      </c>
      <c r="B215" s="538" t="s">
        <v>767</v>
      </c>
      <c r="C215" s="576">
        <v>43147353.229999997</v>
      </c>
      <c r="D215" s="525">
        <v>60087660</v>
      </c>
      <c r="E215" s="573">
        <v>23416220</v>
      </c>
      <c r="F215" s="573">
        <v>27789149.68</v>
      </c>
      <c r="G215" s="596">
        <v>53221340</v>
      </c>
      <c r="H215" s="596">
        <v>0</v>
      </c>
      <c r="I215" s="525">
        <f t="shared" si="298"/>
        <v>29341691.659999996</v>
      </c>
      <c r="J215" s="525">
        <v>14372446.369999999</v>
      </c>
      <c r="K215" s="525">
        <v>7307436.3700000001</v>
      </c>
      <c r="L215" s="525">
        <v>7661808.9199999999</v>
      </c>
      <c r="M215" s="525">
        <f t="shared" si="299"/>
        <v>21679882.739999998</v>
      </c>
      <c r="N215" s="525">
        <v>17155521.43</v>
      </c>
      <c r="O215" s="525">
        <f t="shared" si="300"/>
        <v>6172170.3200000003</v>
      </c>
      <c r="P215" s="522">
        <v>23327691.75</v>
      </c>
      <c r="Q215" s="525">
        <f t="shared" si="313"/>
        <v>-6013999.9099999964</v>
      </c>
      <c r="R215" s="525">
        <f t="shared" si="314"/>
        <v>-20.496432106532453</v>
      </c>
      <c r="S215" s="525">
        <v>29964650</v>
      </c>
      <c r="T215" s="525">
        <v>31517431.199792694</v>
      </c>
      <c r="U215" s="522">
        <f t="shared" si="301"/>
        <v>25282818.490000002</v>
      </c>
      <c r="V215" s="522">
        <f t="shared" si="311"/>
        <v>-6234612.7097926922</v>
      </c>
      <c r="W215" s="522">
        <f t="shared" si="340"/>
        <v>-19.781474798091097</v>
      </c>
      <c r="X215" s="522">
        <f t="shared" si="315"/>
        <v>1955126.7400000021</v>
      </c>
      <c r="Y215" s="522">
        <f t="shared" si="316"/>
        <v>8.3811410102330655</v>
      </c>
      <c r="Z215" s="524">
        <f t="shared" si="317"/>
        <v>25282818.5</v>
      </c>
      <c r="AA215" s="522">
        <f t="shared" si="318"/>
        <v>-6234612.6997926943</v>
      </c>
      <c r="AB215" s="522">
        <f t="shared" si="341"/>
        <v>-19.781474766362635</v>
      </c>
      <c r="AC215" s="522">
        <f t="shared" si="319"/>
        <v>9.9999979138374329E-3</v>
      </c>
      <c r="AD215" s="522">
        <f t="shared" si="320"/>
        <v>3.9552531916342559E-8</v>
      </c>
      <c r="AE215" s="522">
        <f t="shared" si="321"/>
        <v>1955126.75</v>
      </c>
      <c r="AF215" s="522">
        <f t="shared" si="322"/>
        <v>8.3811410531005492</v>
      </c>
      <c r="AG215" s="522">
        <f t="shared" si="337"/>
        <v>21288788.719999999</v>
      </c>
      <c r="AH215" s="522">
        <f t="shared" si="323"/>
        <v>-3994029.7700000033</v>
      </c>
      <c r="AI215" s="522">
        <f t="shared" si="324"/>
        <v>-15.797407126819124</v>
      </c>
      <c r="AJ215" s="522">
        <f t="shared" si="325"/>
        <v>-3994029.7800000012</v>
      </c>
      <c r="AK215" s="522">
        <f t="shared" si="343"/>
        <v>-15.797407160123385</v>
      </c>
      <c r="AL215" s="522">
        <f t="shared" si="302"/>
        <v>21288788.719999999</v>
      </c>
      <c r="AM215" s="522">
        <f t="shared" si="342"/>
        <v>13436297.17</v>
      </c>
      <c r="AN215" s="522">
        <f t="shared" si="342"/>
        <v>10616735.640000001</v>
      </c>
      <c r="AO215" s="522">
        <f t="shared" si="326"/>
        <v>-2819561.5299999993</v>
      </c>
      <c r="AP215" s="522">
        <f t="shared" si="338"/>
        <v>-20.984661877644371</v>
      </c>
      <c r="AQ215" s="522">
        <v>6975808.9000000004</v>
      </c>
      <c r="AR215" s="522">
        <v>5530024.6900000004</v>
      </c>
      <c r="AS215" s="522">
        <v>6460488.2699999996</v>
      </c>
      <c r="AT215" s="522">
        <v>5086710.95</v>
      </c>
      <c r="AU215" s="522">
        <f t="shared" si="276"/>
        <v>11846521.32</v>
      </c>
      <c r="AV215" s="522">
        <f t="shared" si="276"/>
        <v>14666082.859999999</v>
      </c>
      <c r="AW215" s="522">
        <f t="shared" si="327"/>
        <v>2819561.5399999991</v>
      </c>
      <c r="AX215" s="522">
        <f t="shared" si="328"/>
        <v>23.800755207689946</v>
      </c>
      <c r="AY215" s="522">
        <f t="shared" si="277"/>
        <v>10672053.079999998</v>
      </c>
      <c r="AZ215" s="522">
        <f t="shared" si="329"/>
        <v>3994029.7800000012</v>
      </c>
      <c r="BA215" s="522">
        <f t="shared" si="330"/>
        <v>37.4251303855022</v>
      </c>
      <c r="BB215" s="522">
        <v>5978375.0800000001</v>
      </c>
      <c r="BC215" s="525">
        <f>'[67]Дир_ по реал.услуг'!AT16</f>
        <v>7333041.4299999997</v>
      </c>
      <c r="BD215" s="525">
        <f t="shared" si="303"/>
        <v>4936904.6899999995</v>
      </c>
      <c r="BE215" s="525">
        <f t="shared" si="331"/>
        <v>-1041470.3900000006</v>
      </c>
      <c r="BF215" s="525">
        <f t="shared" si="332"/>
        <v>-2396136.7400000002</v>
      </c>
      <c r="BG215" s="525">
        <f t="shared" si="312"/>
        <v>19414672.25</v>
      </c>
      <c r="BH215" s="522">
        <f t="shared" si="312"/>
        <v>17949777.07</v>
      </c>
      <c r="BI215" s="522">
        <v>15553640.33</v>
      </c>
      <c r="BJ215" s="522">
        <f t="shared" si="333"/>
        <v>-3861031.92</v>
      </c>
      <c r="BK215" s="522">
        <f t="shared" si="334"/>
        <v>-2396136.7400000002</v>
      </c>
      <c r="BL215" s="525">
        <v>5868146.2400000002</v>
      </c>
      <c r="BM215" s="522">
        <f>'[67]Дир_ по реал.услуг'!AW16</f>
        <v>7333041.4299999997</v>
      </c>
      <c r="BN215" s="522">
        <f t="shared" si="304"/>
        <v>5735148.3899999987</v>
      </c>
      <c r="BO215" s="522">
        <f t="shared" si="339"/>
        <v>-132997.85000000149</v>
      </c>
      <c r="BP215" s="522">
        <f t="shared" si="335"/>
        <v>-1597893.040000001</v>
      </c>
      <c r="BQ215" s="525">
        <v>5868146.2400000002</v>
      </c>
      <c r="BR215" s="522">
        <f>'[67]Дир_ по реал.услуг'!BB16</f>
        <v>0</v>
      </c>
      <c r="BS215" s="522">
        <f>'[67]Дир_ по реал.услуг'!BC16</f>
        <v>0</v>
      </c>
      <c r="BT215" s="536"/>
      <c r="BU215" s="522">
        <v>21288788.719999999</v>
      </c>
      <c r="BV215" s="522"/>
      <c r="BW215" s="578"/>
      <c r="BX215" s="574"/>
      <c r="BY215" s="522">
        <v>21288788.719999999</v>
      </c>
      <c r="BZ215" s="522"/>
      <c r="CA215" s="522"/>
      <c r="CB215" s="522">
        <f t="shared" si="308"/>
        <v>21288788.719999999</v>
      </c>
      <c r="CC215" s="522">
        <f t="shared" si="336"/>
        <v>0</v>
      </c>
      <c r="CD215" s="522"/>
      <c r="CE215" s="522"/>
      <c r="CF215" s="522"/>
      <c r="CG215" s="522"/>
      <c r="CH215" s="522"/>
      <c r="CI215" s="522"/>
      <c r="CJ215" s="522"/>
      <c r="CK215" s="543" t="s">
        <v>78</v>
      </c>
      <c r="CL215" s="543" t="s">
        <v>1944</v>
      </c>
      <c r="CM215" s="509" t="s">
        <v>1925</v>
      </c>
      <c r="CN215" s="528" t="s">
        <v>1849</v>
      </c>
      <c r="CO215" s="528"/>
      <c r="CP215" s="544">
        <f t="shared" si="344"/>
        <v>23326445.379563894</v>
      </c>
      <c r="CQ215" s="544">
        <f t="shared" si="345"/>
        <v>1713403.5136673225</v>
      </c>
      <c r="CR215" s="544">
        <f t="shared" si="346"/>
        <v>242969.59676878541</v>
      </c>
      <c r="CS215" s="1709" t="s">
        <v>1826</v>
      </c>
      <c r="CT215" s="1710"/>
      <c r="CU215" s="1710"/>
      <c r="CV215" s="1710"/>
      <c r="CW215" s="1711"/>
      <c r="CX215" s="528"/>
      <c r="CY215" s="528"/>
      <c r="CZ215" s="528"/>
      <c r="DA215" s="528"/>
      <c r="DB215" s="659">
        <f>5530024.69</f>
        <v>5530024.6900000004</v>
      </c>
      <c r="DC215" s="628" t="e">
        <f>P215-#REF!</f>
        <v>#REF!</v>
      </c>
      <c r="DD215" s="535"/>
      <c r="DE215" s="535"/>
      <c r="DF215" s="522">
        <f t="shared" si="278"/>
        <v>21288.78872</v>
      </c>
      <c r="DG215" s="522">
        <f t="shared" si="278"/>
        <v>0</v>
      </c>
      <c r="DH215" s="522">
        <f t="shared" si="278"/>
        <v>0</v>
      </c>
      <c r="DI215" s="522">
        <f t="shared" si="278"/>
        <v>21288.78872</v>
      </c>
      <c r="DJ215" s="536"/>
      <c r="DK215" s="536"/>
      <c r="DL215" s="536"/>
      <c r="DM215" s="536"/>
      <c r="DN215" s="536"/>
      <c r="DO215" s="536"/>
      <c r="DP215" s="536"/>
      <c r="DQ215" s="536"/>
      <c r="DR215" s="536"/>
      <c r="DS215" s="536"/>
    </row>
    <row r="216" spans="1:123" s="623" customFormat="1" ht="60" customHeight="1">
      <c r="A216" s="537" t="s">
        <v>912</v>
      </c>
      <c r="B216" s="538" t="s">
        <v>757</v>
      </c>
      <c r="C216" s="576">
        <f>5184180.13+27891.966+178.08</f>
        <v>5212250.176</v>
      </c>
      <c r="D216" s="576">
        <f>21601240.85+54863.67+41950</f>
        <v>21698054.520000003</v>
      </c>
      <c r="E216" s="576">
        <f>5500000+20000</f>
        <v>5520000</v>
      </c>
      <c r="F216" s="576">
        <f>1742923.24+14948.83</f>
        <v>1757872.07</v>
      </c>
      <c r="G216" s="577">
        <v>6143992.6785235796</v>
      </c>
      <c r="H216" s="577">
        <v>0</v>
      </c>
      <c r="I216" s="576">
        <f t="shared" si="298"/>
        <v>3012534.94</v>
      </c>
      <c r="J216" s="576">
        <v>1536836.9700000002</v>
      </c>
      <c r="K216" s="576">
        <v>769371.9</v>
      </c>
      <c r="L216" s="576">
        <v>706326.07</v>
      </c>
      <c r="M216" s="576">
        <f t="shared" si="299"/>
        <v>2306208.87</v>
      </c>
      <c r="N216" s="576">
        <v>2312085.62</v>
      </c>
      <c r="O216" s="525">
        <f t="shared" si="300"/>
        <v>736714.23</v>
      </c>
      <c r="P216" s="522">
        <f>840150.81+2184264.85+24384.19</f>
        <v>3048799.85</v>
      </c>
      <c r="Q216" s="576">
        <f t="shared" si="313"/>
        <v>36264.910000000149</v>
      </c>
      <c r="R216" s="576">
        <f t="shared" si="314"/>
        <v>1.2038004777464835</v>
      </c>
      <c r="S216" s="576">
        <v>3974011.4524999997</v>
      </c>
      <c r="T216" s="576">
        <v>2026661.4524999997</v>
      </c>
      <c r="U216" s="522">
        <f t="shared" si="301"/>
        <v>5170911.6499999994</v>
      </c>
      <c r="V216" s="522">
        <f t="shared" si="311"/>
        <v>3144250.1974999998</v>
      </c>
      <c r="W216" s="522">
        <f t="shared" si="340"/>
        <v>155.14432337090108</v>
      </c>
      <c r="X216" s="522">
        <f t="shared" si="315"/>
        <v>2122111.7999999993</v>
      </c>
      <c r="Y216" s="522">
        <f t="shared" si="316"/>
        <v>69.604824993677425</v>
      </c>
      <c r="Z216" s="524">
        <f t="shared" si="317"/>
        <v>5116546.47</v>
      </c>
      <c r="AA216" s="522">
        <f t="shared" si="318"/>
        <v>3089885.0175000001</v>
      </c>
      <c r="AB216" s="522">
        <f t="shared" si="341"/>
        <v>152.46182403521095</v>
      </c>
      <c r="AC216" s="522">
        <f t="shared" si="319"/>
        <v>-54365.179999999702</v>
      </c>
      <c r="AD216" s="522">
        <f t="shared" si="320"/>
        <v>-1.0513654782711228</v>
      </c>
      <c r="AE216" s="522">
        <f t="shared" si="321"/>
        <v>2067746.6199999996</v>
      </c>
      <c r="AF216" s="522">
        <f t="shared" si="322"/>
        <v>67.821658414211726</v>
      </c>
      <c r="AG216" s="522">
        <f t="shared" si="337"/>
        <v>4841515.0599999996</v>
      </c>
      <c r="AH216" s="522">
        <f t="shared" si="323"/>
        <v>-329396.58999999985</v>
      </c>
      <c r="AI216" s="522">
        <f t="shared" si="324"/>
        <v>-6.3701840660920936</v>
      </c>
      <c r="AJ216" s="522">
        <f t="shared" si="325"/>
        <v>-275031.41000000015</v>
      </c>
      <c r="AK216" s="522">
        <f t="shared" si="343"/>
        <v>-5.3753329831479135</v>
      </c>
      <c r="AL216" s="522">
        <f t="shared" si="302"/>
        <v>4841515.0599999996</v>
      </c>
      <c r="AM216" s="522">
        <f t="shared" si="342"/>
        <v>2312727.5099999998</v>
      </c>
      <c r="AN216" s="522">
        <f t="shared" si="342"/>
        <v>1940080.14</v>
      </c>
      <c r="AO216" s="522">
        <f t="shared" si="326"/>
        <v>-372647.36999999988</v>
      </c>
      <c r="AP216" s="522">
        <f t="shared" si="338"/>
        <v>-16.112895634643948</v>
      </c>
      <c r="AQ216" s="578">
        <f>681893.26+74909+185600</f>
        <v>942402.26</v>
      </c>
      <c r="AR216" s="578">
        <v>803244.1100000001</v>
      </c>
      <c r="AS216" s="578">
        <f>813525.25+556800</f>
        <v>1370325.25</v>
      </c>
      <c r="AT216" s="578">
        <v>1136836.0299999998</v>
      </c>
      <c r="AU216" s="578">
        <f t="shared" si="276"/>
        <v>2858184.1399999997</v>
      </c>
      <c r="AV216" s="578">
        <f t="shared" si="276"/>
        <v>3176466.33</v>
      </c>
      <c r="AW216" s="578">
        <f t="shared" si="327"/>
        <v>318282.19000000041</v>
      </c>
      <c r="AX216" s="578">
        <f t="shared" si="328"/>
        <v>11.135818212188411</v>
      </c>
      <c r="AY216" s="578">
        <f t="shared" si="277"/>
        <v>2901434.92</v>
      </c>
      <c r="AZ216" s="578">
        <f t="shared" si="329"/>
        <v>275031.41000000015</v>
      </c>
      <c r="BA216" s="578">
        <f t="shared" si="330"/>
        <v>9.479151440005424</v>
      </c>
      <c r="BB216" s="578">
        <f>853885.65+556800</f>
        <v>1410685.65</v>
      </c>
      <c r="BC216" s="576">
        <f>'[67]Дир_по экон'!AT27</f>
        <v>1585597.56</v>
      </c>
      <c r="BD216" s="576">
        <f t="shared" si="303"/>
        <v>1585978.36</v>
      </c>
      <c r="BE216" s="576">
        <f t="shared" si="331"/>
        <v>175292.7100000002</v>
      </c>
      <c r="BF216" s="576">
        <f t="shared" si="332"/>
        <v>380.80000000004657</v>
      </c>
      <c r="BG216" s="576">
        <f t="shared" si="312"/>
        <v>3723413.1599999997</v>
      </c>
      <c r="BH216" s="578">
        <f t="shared" si="312"/>
        <v>3525677.7</v>
      </c>
      <c r="BI216" s="578">
        <f>290362.56+2604817.65+630878.29</f>
        <v>3526058.5</v>
      </c>
      <c r="BJ216" s="578">
        <f t="shared" si="333"/>
        <v>-197354.65999999968</v>
      </c>
      <c r="BK216" s="578">
        <f t="shared" si="334"/>
        <v>380.79999999981374</v>
      </c>
      <c r="BL216" s="576">
        <f>890698.49+556800</f>
        <v>1447498.49</v>
      </c>
      <c r="BM216" s="578">
        <f>'[67]Дир_по экон'!AW27</f>
        <v>1590868.77</v>
      </c>
      <c r="BN216" s="522">
        <f t="shared" si="304"/>
        <v>1315456.5599999996</v>
      </c>
      <c r="BO216" s="578">
        <f t="shared" si="339"/>
        <v>-132041.9300000004</v>
      </c>
      <c r="BP216" s="578">
        <f t="shared" si="335"/>
        <v>-275412.21000000043</v>
      </c>
      <c r="BQ216" s="576">
        <f>890698.49+556800</f>
        <v>1447498.49</v>
      </c>
      <c r="BR216" s="578">
        <f>'[67]Дир_по экон'!BB27</f>
        <v>0</v>
      </c>
      <c r="BS216" s="578">
        <f>'[67]Дир_по экон'!BC27</f>
        <v>0</v>
      </c>
      <c r="BT216" s="621"/>
      <c r="BU216" s="578">
        <f>(71562.56+291950+27000)+(3349557.25+188308.65)</f>
        <v>3928378.46</v>
      </c>
      <c r="BV216" s="578">
        <v>913136.6</v>
      </c>
      <c r="BW216" s="578"/>
      <c r="BX216" s="625"/>
      <c r="BY216" s="522">
        <f>(71317.91+291074.44+26922.54-18.32)+0.42+3296514.98+179247.25+913136.6</f>
        <v>4778195.8199999994</v>
      </c>
      <c r="BZ216" s="522">
        <f>(207.39+743.18+67.02+18.9)+0.03+46722.28+6486</f>
        <v>54244.799999999996</v>
      </c>
      <c r="CA216" s="522">
        <f>(37.26+132.38+10.44-0.58)-0.45+6319.99+2575.4</f>
        <v>9074.44</v>
      </c>
      <c r="CB216" s="522">
        <f t="shared" si="308"/>
        <v>4841515.0599999996</v>
      </c>
      <c r="CC216" s="522">
        <f t="shared" si="336"/>
        <v>0</v>
      </c>
      <c r="CD216" s="578"/>
      <c r="CE216" s="578"/>
      <c r="CF216" s="578"/>
      <c r="CG216" s="578"/>
      <c r="CH216" s="578"/>
      <c r="CI216" s="578"/>
      <c r="CJ216" s="578"/>
      <c r="CK216" s="543" t="s">
        <v>77</v>
      </c>
      <c r="CL216" s="542" t="s">
        <v>1800</v>
      </c>
      <c r="CM216" s="509" t="s">
        <v>1925</v>
      </c>
      <c r="CN216" s="622"/>
      <c r="CO216" s="622"/>
      <c r="CP216" s="544">
        <f t="shared" si="344"/>
        <v>4770788.8348754905</v>
      </c>
      <c r="CQ216" s="544">
        <f t="shared" si="345"/>
        <v>350430.00421324035</v>
      </c>
      <c r="CR216" s="544">
        <f t="shared" si="346"/>
        <v>49692.810911269356</v>
      </c>
      <c r="CS216" s="1709" t="s">
        <v>1826</v>
      </c>
      <c r="CT216" s="1710"/>
      <c r="CU216" s="1710"/>
      <c r="CV216" s="1710"/>
      <c r="CW216" s="1711"/>
      <c r="CX216" s="622"/>
      <c r="CY216" s="622"/>
      <c r="CZ216" s="622"/>
      <c r="DA216" s="622"/>
      <c r="DB216" s="579">
        <f>70350+540315.55+192578.56</f>
        <v>803244.1100000001</v>
      </c>
      <c r="DC216" s="628" t="e">
        <f>P216-#REF!</f>
        <v>#REF!</v>
      </c>
      <c r="DD216" s="624"/>
      <c r="DE216" s="624"/>
      <c r="DF216" s="522">
        <f t="shared" si="278"/>
        <v>4778.195819999999</v>
      </c>
      <c r="DG216" s="522">
        <f t="shared" si="278"/>
        <v>54.244799999999998</v>
      </c>
      <c r="DH216" s="522">
        <f t="shared" si="278"/>
        <v>9.0744400000000009</v>
      </c>
      <c r="DI216" s="522">
        <f t="shared" si="278"/>
        <v>4841.5150599999997</v>
      </c>
      <c r="DJ216" s="621"/>
      <c r="DK216" s="621"/>
      <c r="DL216" s="621"/>
      <c r="DM216" s="621"/>
      <c r="DN216" s="621"/>
      <c r="DO216" s="621"/>
      <c r="DP216" s="621"/>
      <c r="DQ216" s="621"/>
      <c r="DR216" s="621"/>
      <c r="DS216" s="621"/>
    </row>
    <row r="217" spans="1:123" s="534" customFormat="1" ht="56.4">
      <c r="A217" s="537" t="s">
        <v>916</v>
      </c>
      <c r="B217" s="538" t="s">
        <v>917</v>
      </c>
      <c r="C217" s="576"/>
      <c r="D217" s="576">
        <v>0</v>
      </c>
      <c r="E217" s="576">
        <v>300000</v>
      </c>
      <c r="F217" s="576">
        <v>0</v>
      </c>
      <c r="G217" s="577">
        <v>0</v>
      </c>
      <c r="H217" s="577">
        <v>0</v>
      </c>
      <c r="I217" s="576">
        <f t="shared" si="298"/>
        <v>542028.34</v>
      </c>
      <c r="J217" s="576">
        <v>9415.34</v>
      </c>
      <c r="K217" s="576">
        <v>185270</v>
      </c>
      <c r="L217" s="576">
        <v>347343</v>
      </c>
      <c r="M217" s="576">
        <f t="shared" si="299"/>
        <v>194685.34</v>
      </c>
      <c r="N217" s="576">
        <v>367109.01</v>
      </c>
      <c r="O217" s="525">
        <f t="shared" si="300"/>
        <v>103370.88</v>
      </c>
      <c r="P217" s="522">
        <v>470479.89</v>
      </c>
      <c r="Q217" s="576">
        <f t="shared" si="313"/>
        <v>-71548.449999999953</v>
      </c>
      <c r="R217" s="576">
        <f t="shared" si="314"/>
        <v>-13.200130827107671</v>
      </c>
      <c r="S217" s="576"/>
      <c r="T217" s="576"/>
      <c r="U217" s="522">
        <f t="shared" si="301"/>
        <v>514442.08999999997</v>
      </c>
      <c r="V217" s="522">
        <f t="shared" si="311"/>
        <v>514442.08999999997</v>
      </c>
      <c r="W217" s="522">
        <v>0</v>
      </c>
      <c r="X217" s="522">
        <f t="shared" si="315"/>
        <v>43962.199999999953</v>
      </c>
      <c r="Y217" s="522">
        <f t="shared" si="316"/>
        <v>9.344118831519026</v>
      </c>
      <c r="Z217" s="524">
        <f t="shared" si="317"/>
        <v>725463.95</v>
      </c>
      <c r="AA217" s="522">
        <f t="shared" si="318"/>
        <v>725463.95</v>
      </c>
      <c r="AB217" s="522">
        <v>0</v>
      </c>
      <c r="AC217" s="522">
        <f t="shared" si="319"/>
        <v>211021.86</v>
      </c>
      <c r="AD217" s="522">
        <f t="shared" si="320"/>
        <v>41.019555767686114</v>
      </c>
      <c r="AE217" s="522">
        <f t="shared" si="321"/>
        <v>254984.05999999994</v>
      </c>
      <c r="AF217" s="522">
        <f t="shared" si="322"/>
        <v>54.196590634298929</v>
      </c>
      <c r="AG217" s="522">
        <f t="shared" si="337"/>
        <v>640543.8600000001</v>
      </c>
      <c r="AH217" s="522">
        <f t="shared" si="323"/>
        <v>126101.77000000014</v>
      </c>
      <c r="AI217" s="522">
        <f t="shared" si="324"/>
        <v>24.512335295115562</v>
      </c>
      <c r="AJ217" s="522">
        <f t="shared" si="325"/>
        <v>-84920.089999999851</v>
      </c>
      <c r="AK217" s="522">
        <f t="shared" si="343"/>
        <v>-11.705625069309079</v>
      </c>
      <c r="AL217" s="522">
        <f t="shared" si="302"/>
        <v>640543.8600000001</v>
      </c>
      <c r="AM217" s="522">
        <f t="shared" si="342"/>
        <v>120000</v>
      </c>
      <c r="AN217" s="522">
        <f t="shared" si="342"/>
        <v>115463.95</v>
      </c>
      <c r="AO217" s="522">
        <f t="shared" si="326"/>
        <v>-4536.0500000000029</v>
      </c>
      <c r="AP217" s="522">
        <f t="shared" si="338"/>
        <v>-3.7800416666666621</v>
      </c>
      <c r="AQ217" s="578">
        <v>0</v>
      </c>
      <c r="AR217" s="578">
        <v>1578.89</v>
      </c>
      <c r="AS217" s="578">
        <v>120000</v>
      </c>
      <c r="AT217" s="578">
        <v>113885.06</v>
      </c>
      <c r="AU217" s="578">
        <f t="shared" si="276"/>
        <v>394442.08999999997</v>
      </c>
      <c r="AV217" s="578">
        <f t="shared" si="276"/>
        <v>610000</v>
      </c>
      <c r="AW217" s="578">
        <f t="shared" si="327"/>
        <v>215557.91000000003</v>
      </c>
      <c r="AX217" s="578">
        <f t="shared" si="328"/>
        <v>54.648810424871272</v>
      </c>
      <c r="AY217" s="578">
        <f t="shared" si="277"/>
        <v>525079.91000000015</v>
      </c>
      <c r="AZ217" s="578">
        <f t="shared" si="329"/>
        <v>84920.089999999851</v>
      </c>
      <c r="BA217" s="578">
        <f t="shared" si="330"/>
        <v>16.172793584884971</v>
      </c>
      <c r="BB217" s="578">
        <v>315000</v>
      </c>
      <c r="BC217" s="576">
        <f>'[67]Гл инж_Тех дир'!AT103</f>
        <v>366720.27</v>
      </c>
      <c r="BD217" s="576">
        <f t="shared" si="303"/>
        <v>385669.47</v>
      </c>
      <c r="BE217" s="576">
        <f t="shared" si="331"/>
        <v>70669.469999999972</v>
      </c>
      <c r="BF217" s="576">
        <f t="shared" si="332"/>
        <v>18949.199999999953</v>
      </c>
      <c r="BG217" s="576">
        <f t="shared" si="312"/>
        <v>435000</v>
      </c>
      <c r="BH217" s="578">
        <f t="shared" si="312"/>
        <v>482184.22000000003</v>
      </c>
      <c r="BI217" s="578">
        <f>466688.24+34445.18</f>
        <v>501133.42</v>
      </c>
      <c r="BJ217" s="578">
        <f t="shared" si="333"/>
        <v>66133.419999999984</v>
      </c>
      <c r="BK217" s="578">
        <f t="shared" si="334"/>
        <v>18949.199999999953</v>
      </c>
      <c r="BL217" s="576">
        <v>79442.09</v>
      </c>
      <c r="BM217" s="578">
        <f>'[67]Гл инж_Тех дир'!AW103</f>
        <v>243279.73</v>
      </c>
      <c r="BN217" s="522">
        <f t="shared" si="304"/>
        <v>139410.44000000012</v>
      </c>
      <c r="BO217" s="578">
        <f t="shared" si="339"/>
        <v>59968.350000000122</v>
      </c>
      <c r="BP217" s="578">
        <f t="shared" si="335"/>
        <v>-103869.28999999989</v>
      </c>
      <c r="BQ217" s="576">
        <v>79442.09</v>
      </c>
      <c r="BR217" s="578">
        <f>'[67]Гл инж_Тех дир'!BB103</f>
        <v>0</v>
      </c>
      <c r="BS217" s="578">
        <f>'[67]Гл инж_Тех дир'!BC103</f>
        <v>0</v>
      </c>
      <c r="BT217" s="536"/>
      <c r="BU217" s="578">
        <v>606098.68000000005</v>
      </c>
      <c r="BV217" s="578">
        <v>34445.18</v>
      </c>
      <c r="BW217" s="522"/>
      <c r="BX217" s="574"/>
      <c r="BY217" s="522">
        <f>578122.72+34445.18</f>
        <v>612567.9</v>
      </c>
      <c r="BZ217" s="522">
        <v>22577.279999999999</v>
      </c>
      <c r="CA217" s="522">
        <v>5398.68</v>
      </c>
      <c r="CB217" s="522">
        <f t="shared" si="308"/>
        <v>640543.8600000001</v>
      </c>
      <c r="CC217" s="522">
        <f t="shared" si="336"/>
        <v>0</v>
      </c>
      <c r="CD217" s="578"/>
      <c r="CE217" s="578"/>
      <c r="CF217" s="578"/>
      <c r="CG217" s="578"/>
      <c r="CH217" s="578"/>
      <c r="CI217" s="578"/>
      <c r="CJ217" s="578"/>
      <c r="CK217" s="543" t="s">
        <v>79</v>
      </c>
      <c r="CL217" s="543" t="s">
        <v>1945</v>
      </c>
      <c r="CM217" s="509" t="s">
        <v>1925</v>
      </c>
      <c r="CN217" s="528"/>
      <c r="CO217" s="528"/>
      <c r="CP217" s="544">
        <f t="shared" si="344"/>
        <v>474634.79271822638</v>
      </c>
      <c r="CQ217" s="544">
        <f t="shared" si="345"/>
        <v>34863.473980679628</v>
      </c>
      <c r="CR217" s="544">
        <f t="shared" si="346"/>
        <v>4943.8233010939593</v>
      </c>
      <c r="CS217" s="1709" t="s">
        <v>1826</v>
      </c>
      <c r="CT217" s="1710"/>
      <c r="CU217" s="1710"/>
      <c r="CV217" s="1710"/>
      <c r="CW217" s="1711"/>
      <c r="CX217" s="528"/>
      <c r="CY217" s="528"/>
      <c r="CZ217" s="528"/>
      <c r="DA217" s="528"/>
      <c r="DB217" s="579">
        <f>1578.89</f>
        <v>1578.89</v>
      </c>
      <c r="DC217" s="628" t="e">
        <f>P217-#REF!</f>
        <v>#REF!</v>
      </c>
      <c r="DD217" s="535"/>
      <c r="DE217" s="535"/>
      <c r="DF217" s="522">
        <f t="shared" si="278"/>
        <v>612.56790000000001</v>
      </c>
      <c r="DG217" s="522">
        <f t="shared" si="278"/>
        <v>22.577279999999998</v>
      </c>
      <c r="DH217" s="522">
        <f t="shared" si="278"/>
        <v>5.3986800000000006</v>
      </c>
      <c r="DI217" s="522">
        <f t="shared" si="278"/>
        <v>640.54386000000011</v>
      </c>
      <c r="DJ217" s="536"/>
      <c r="DK217" s="536"/>
      <c r="DL217" s="536"/>
      <c r="DM217" s="536"/>
      <c r="DN217" s="536"/>
      <c r="DO217" s="536"/>
      <c r="DP217" s="536"/>
      <c r="DQ217" s="536"/>
      <c r="DR217" s="536"/>
      <c r="DS217" s="536"/>
    </row>
    <row r="218" spans="1:123" s="534" customFormat="1" ht="56.4">
      <c r="A218" s="537" t="s">
        <v>920</v>
      </c>
      <c r="B218" s="538" t="s">
        <v>921</v>
      </c>
      <c r="C218" s="576">
        <v>97749840.549999997</v>
      </c>
      <c r="D218" s="525">
        <v>22147414.370000001</v>
      </c>
      <c r="E218" s="649">
        <v>107186420</v>
      </c>
      <c r="F218" s="649">
        <v>112861239.15000001</v>
      </c>
      <c r="G218" s="577">
        <v>45185307.212915063</v>
      </c>
      <c r="H218" s="577">
        <v>0</v>
      </c>
      <c r="I218" s="578">
        <f t="shared" si="298"/>
        <v>85928788.430000007</v>
      </c>
      <c r="J218" s="649">
        <v>40713988.700000003</v>
      </c>
      <c r="K218" s="649">
        <v>22500000</v>
      </c>
      <c r="L218" s="649">
        <v>22714799.73</v>
      </c>
      <c r="M218" s="649">
        <f t="shared" si="299"/>
        <v>63213988.700000003</v>
      </c>
      <c r="N218" s="649">
        <v>62602613.880000003</v>
      </c>
      <c r="O218" s="573">
        <f t="shared" si="300"/>
        <v>21335194.539999999</v>
      </c>
      <c r="P218" s="522">
        <f>175270+83762538.42</f>
        <v>83937808.420000002</v>
      </c>
      <c r="Q218" s="576">
        <f t="shared" si="313"/>
        <v>-1990980.0100000054</v>
      </c>
      <c r="R218" s="576">
        <f t="shared" si="314"/>
        <v>-2.3170116166852779</v>
      </c>
      <c r="S218" s="576">
        <v>47670499.109625384</v>
      </c>
      <c r="T218" s="576">
        <v>49617849.109625399</v>
      </c>
      <c r="U218" s="522">
        <f t="shared" si="301"/>
        <v>47670499</v>
      </c>
      <c r="V218" s="522">
        <f t="shared" si="311"/>
        <v>-1947350.1096253991</v>
      </c>
      <c r="W218" s="522">
        <f t="shared" si="340"/>
        <v>-3.9246967463723195</v>
      </c>
      <c r="X218" s="522">
        <f t="shared" si="315"/>
        <v>-36267309.420000002</v>
      </c>
      <c r="Y218" s="522">
        <f t="shared" si="316"/>
        <v>-43.207358046006036</v>
      </c>
      <c r="Z218" s="524">
        <f t="shared" si="317"/>
        <v>28658921.41</v>
      </c>
      <c r="AA218" s="522">
        <f t="shared" si="318"/>
        <v>-20958927.699625399</v>
      </c>
      <c r="AB218" s="522">
        <f t="shared" si="341"/>
        <v>-42.240701835581106</v>
      </c>
      <c r="AC218" s="522">
        <f t="shared" si="319"/>
        <v>-19011577.59</v>
      </c>
      <c r="AD218" s="522">
        <f t="shared" si="320"/>
        <v>-39.881222116009319</v>
      </c>
      <c r="AE218" s="522">
        <f t="shared" si="321"/>
        <v>-55278887.010000005</v>
      </c>
      <c r="AF218" s="522">
        <f t="shared" si="322"/>
        <v>-65.85695772922827</v>
      </c>
      <c r="AG218" s="522">
        <f t="shared" si="337"/>
        <v>26655112.030000001</v>
      </c>
      <c r="AH218" s="522">
        <f t="shared" si="323"/>
        <v>-21015386.969999999</v>
      </c>
      <c r="AI218" s="522">
        <f t="shared" si="324"/>
        <v>-44.084680065967</v>
      </c>
      <c r="AJ218" s="522">
        <f t="shared" si="325"/>
        <v>-2003809.379999999</v>
      </c>
      <c r="AK218" s="522">
        <f t="shared" si="343"/>
        <v>-6.9919218219454962</v>
      </c>
      <c r="AL218" s="522">
        <f t="shared" si="302"/>
        <v>26655112.030000001</v>
      </c>
      <c r="AM218" s="522">
        <f t="shared" si="342"/>
        <v>44100000</v>
      </c>
      <c r="AN218" s="522">
        <f t="shared" si="342"/>
        <v>26488422.41</v>
      </c>
      <c r="AO218" s="522">
        <f t="shared" si="326"/>
        <v>-17611577.59</v>
      </c>
      <c r="AP218" s="522">
        <f t="shared" si="338"/>
        <v>-39.935550090702939</v>
      </c>
      <c r="AQ218" s="578">
        <v>21600000</v>
      </c>
      <c r="AR218" s="578">
        <v>19121176.539999999</v>
      </c>
      <c r="AS218" s="578">
        <v>22500000</v>
      </c>
      <c r="AT218" s="578">
        <v>7367245.870000001</v>
      </c>
      <c r="AU218" s="578">
        <f t="shared" si="276"/>
        <v>3570499</v>
      </c>
      <c r="AV218" s="578">
        <f t="shared" si="276"/>
        <v>2170499</v>
      </c>
      <c r="AW218" s="578">
        <f t="shared" si="327"/>
        <v>-1400000</v>
      </c>
      <c r="AX218" s="578">
        <f t="shared" si="328"/>
        <v>-39.21020563232198</v>
      </c>
      <c r="AY218" s="578">
        <f t="shared" si="277"/>
        <v>166689.62000000104</v>
      </c>
      <c r="AZ218" s="578">
        <f t="shared" si="329"/>
        <v>2003809.379999999</v>
      </c>
      <c r="BA218" s="578">
        <f t="shared" si="330"/>
        <v>1202.1200720236727</v>
      </c>
      <c r="BB218" s="578">
        <v>3570499</v>
      </c>
      <c r="BC218" s="576">
        <f>'[67]Гл инж_Тех дир'!AT40</f>
        <v>300000</v>
      </c>
      <c r="BD218" s="576">
        <f t="shared" si="303"/>
        <v>83719.489999998361</v>
      </c>
      <c r="BE218" s="576">
        <f t="shared" si="331"/>
        <v>-3486779.5100000016</v>
      </c>
      <c r="BF218" s="576">
        <f t="shared" si="332"/>
        <v>-216280.51000000164</v>
      </c>
      <c r="BG218" s="576">
        <f t="shared" si="312"/>
        <v>47670499</v>
      </c>
      <c r="BH218" s="578">
        <f t="shared" si="312"/>
        <v>26788422.41</v>
      </c>
      <c r="BI218" s="578">
        <f>26542081.9+30060</f>
        <v>26572141.899999999</v>
      </c>
      <c r="BJ218" s="578">
        <f t="shared" si="333"/>
        <v>-21098357.100000001</v>
      </c>
      <c r="BK218" s="578">
        <f t="shared" si="334"/>
        <v>-216280.51000000164</v>
      </c>
      <c r="BL218" s="576">
        <v>0</v>
      </c>
      <c r="BM218" s="578">
        <f>'[67]Гл инж_Тех дир'!AW40</f>
        <v>1870499</v>
      </c>
      <c r="BN218" s="522">
        <f t="shared" si="304"/>
        <v>82970.130000002682</v>
      </c>
      <c r="BO218" s="578">
        <f t="shared" si="339"/>
        <v>82970.130000002682</v>
      </c>
      <c r="BP218" s="578">
        <f t="shared" si="335"/>
        <v>-1787528.8699999973</v>
      </c>
      <c r="BQ218" s="576">
        <v>0</v>
      </c>
      <c r="BR218" s="578">
        <f>'[67]Гл инж_Тех дир'!BB40</f>
        <v>0</v>
      </c>
      <c r="BS218" s="578">
        <f>'[67]Гл инж_Тех дир'!BC40</f>
        <v>0</v>
      </c>
      <c r="BT218" s="536"/>
      <c r="BU218" s="578">
        <v>26625052.030000001</v>
      </c>
      <c r="BV218" s="578">
        <v>30060</v>
      </c>
      <c r="BW218" s="578"/>
      <c r="BX218" s="574"/>
      <c r="BY218" s="525">
        <f>25853041.83+30060</f>
        <v>25883101.829999998</v>
      </c>
      <c r="BZ218" s="525">
        <v>570084.15</v>
      </c>
      <c r="CA218" s="525">
        <v>201926.05</v>
      </c>
      <c r="CB218" s="522">
        <f t="shared" si="308"/>
        <v>26655112.029999997</v>
      </c>
      <c r="CC218" s="522">
        <f t="shared" si="336"/>
        <v>0</v>
      </c>
      <c r="CD218" s="578"/>
      <c r="CE218" s="578"/>
      <c r="CF218" s="578"/>
      <c r="CG218" s="578"/>
      <c r="CH218" s="578"/>
      <c r="CI218" s="578"/>
      <c r="CJ218" s="578"/>
      <c r="CK218" s="543" t="s">
        <v>79</v>
      </c>
      <c r="CL218" s="543" t="s">
        <v>1806</v>
      </c>
      <c r="CM218" s="509" t="s">
        <v>1925</v>
      </c>
      <c r="CN218" s="528" t="s">
        <v>1849</v>
      </c>
      <c r="CO218" s="528"/>
      <c r="CP218" s="544">
        <f t="shared" si="344"/>
        <v>43981777.252400599</v>
      </c>
      <c r="CQ218" s="544">
        <f t="shared" si="345"/>
        <v>3230605.0259855576</v>
      </c>
      <c r="CR218" s="544">
        <f t="shared" si="346"/>
        <v>458116.72161384835</v>
      </c>
      <c r="CS218" s="1709" t="s">
        <v>1826</v>
      </c>
      <c r="CT218" s="1710"/>
      <c r="CU218" s="1710"/>
      <c r="CV218" s="1710"/>
      <c r="CW218" s="1711"/>
      <c r="CX218" s="528"/>
      <c r="CY218" s="528"/>
      <c r="CZ218" s="528"/>
      <c r="DA218" s="528"/>
      <c r="DB218" s="579">
        <f>19121176.54</f>
        <v>19121176.539999999</v>
      </c>
      <c r="DC218" s="628" t="e">
        <f>P218-#REF!</f>
        <v>#REF!</v>
      </c>
      <c r="DD218" s="535"/>
      <c r="DE218" s="535"/>
      <c r="DF218" s="525">
        <f t="shared" si="278"/>
        <v>25883.10183</v>
      </c>
      <c r="DG218" s="525">
        <f t="shared" si="278"/>
        <v>570.08415000000002</v>
      </c>
      <c r="DH218" s="525">
        <f t="shared" si="278"/>
        <v>201.92604999999998</v>
      </c>
      <c r="DI218" s="522">
        <f t="shared" si="278"/>
        <v>26655.112029999997</v>
      </c>
      <c r="DJ218" s="536"/>
      <c r="DK218" s="536"/>
      <c r="DL218" s="536"/>
      <c r="DM218" s="536"/>
      <c r="DN218" s="536"/>
      <c r="DO218" s="536"/>
      <c r="DP218" s="536"/>
      <c r="DQ218" s="536"/>
      <c r="DR218" s="536"/>
      <c r="DS218" s="536"/>
    </row>
    <row r="219" spans="1:123" s="534" customFormat="1" ht="84.6">
      <c r="A219" s="520" t="s">
        <v>925</v>
      </c>
      <c r="B219" s="521" t="s">
        <v>926</v>
      </c>
      <c r="C219" s="578">
        <v>264038.09000000003</v>
      </c>
      <c r="D219" s="578">
        <v>0</v>
      </c>
      <c r="E219" s="578">
        <v>330000</v>
      </c>
      <c r="F219" s="578">
        <v>328867.62</v>
      </c>
      <c r="G219" s="593">
        <v>0</v>
      </c>
      <c r="H219" s="593">
        <v>0</v>
      </c>
      <c r="I219" s="578">
        <f t="shared" si="298"/>
        <v>191981.42</v>
      </c>
      <c r="J219" s="578">
        <v>104159.61</v>
      </c>
      <c r="K219" s="578">
        <v>39273.93</v>
      </c>
      <c r="L219" s="578">
        <v>48547.88</v>
      </c>
      <c r="M219" s="578">
        <f t="shared" si="299"/>
        <v>143433.54</v>
      </c>
      <c r="N219" s="578">
        <v>153154.66</v>
      </c>
      <c r="O219" s="522">
        <f t="shared" si="300"/>
        <v>47579.010000000009</v>
      </c>
      <c r="P219" s="522">
        <v>200733.67</v>
      </c>
      <c r="Q219" s="578">
        <f t="shared" si="313"/>
        <v>8752.25</v>
      </c>
      <c r="R219" s="578">
        <f t="shared" si="314"/>
        <v>4.5589047106746108</v>
      </c>
      <c r="S219" s="578"/>
      <c r="T219" s="578"/>
      <c r="U219" s="522">
        <f t="shared" si="301"/>
        <v>130135.8</v>
      </c>
      <c r="V219" s="522">
        <f t="shared" si="311"/>
        <v>130135.8</v>
      </c>
      <c r="W219" s="522">
        <v>0</v>
      </c>
      <c r="X219" s="522">
        <f t="shared" si="315"/>
        <v>-70597.87000000001</v>
      </c>
      <c r="Y219" s="522">
        <f t="shared" si="316"/>
        <v>-35.169919426073363</v>
      </c>
      <c r="Z219" s="524">
        <f t="shared" si="317"/>
        <v>861007.56</v>
      </c>
      <c r="AA219" s="522">
        <f t="shared" si="318"/>
        <v>861007.56</v>
      </c>
      <c r="AB219" s="522">
        <v>0</v>
      </c>
      <c r="AC219" s="522">
        <f t="shared" si="319"/>
        <v>730871.76</v>
      </c>
      <c r="AD219" s="522">
        <f t="shared" si="320"/>
        <v>561.62236678915406</v>
      </c>
      <c r="AE219" s="522">
        <f t="shared" si="321"/>
        <v>660273.89</v>
      </c>
      <c r="AF219" s="522">
        <f t="shared" si="322"/>
        <v>328.93031348452899</v>
      </c>
      <c r="AG219" s="522">
        <f t="shared" si="337"/>
        <v>899108.26</v>
      </c>
      <c r="AH219" s="522">
        <f t="shared" si="323"/>
        <v>768972.46</v>
      </c>
      <c r="AI219" s="522">
        <f t="shared" si="324"/>
        <v>590.90001367801938</v>
      </c>
      <c r="AJ219" s="522">
        <f t="shared" si="325"/>
        <v>38100.699999999953</v>
      </c>
      <c r="AK219" s="522">
        <f t="shared" si="343"/>
        <v>4.4251295540308462</v>
      </c>
      <c r="AL219" s="522">
        <f t="shared" si="302"/>
        <v>899108.26</v>
      </c>
      <c r="AM219" s="522">
        <f t="shared" si="342"/>
        <v>63392.679999999993</v>
      </c>
      <c r="AN219" s="522">
        <f t="shared" si="342"/>
        <v>96007.56</v>
      </c>
      <c r="AO219" s="522">
        <f t="shared" si="326"/>
        <v>32614.880000000005</v>
      </c>
      <c r="AP219" s="522">
        <f t="shared" si="338"/>
        <v>51.448968555991001</v>
      </c>
      <c r="AQ219" s="578">
        <v>30416.55</v>
      </c>
      <c r="AR219" s="578">
        <v>42762.12</v>
      </c>
      <c r="AS219" s="578">
        <v>32976.129999999997</v>
      </c>
      <c r="AT219" s="578">
        <v>53245.439999999995</v>
      </c>
      <c r="AU219" s="578">
        <f t="shared" ref="AU219:AV239" si="347">BB219+BL219</f>
        <v>66743.12</v>
      </c>
      <c r="AV219" s="578">
        <f t="shared" si="347"/>
        <v>765000</v>
      </c>
      <c r="AW219" s="578">
        <f t="shared" si="327"/>
        <v>698256.88</v>
      </c>
      <c r="AX219" s="578">
        <f t="shared" si="328"/>
        <v>1046.1855544062071</v>
      </c>
      <c r="AY219" s="578">
        <f t="shared" si="277"/>
        <v>803100.7</v>
      </c>
      <c r="AZ219" s="578">
        <f t="shared" si="329"/>
        <v>-38100.699999999953</v>
      </c>
      <c r="BA219" s="578">
        <f t="shared" si="330"/>
        <v>-4.744199575470418</v>
      </c>
      <c r="BB219" s="578">
        <v>33460.32</v>
      </c>
      <c r="BC219" s="576">
        <f>'[67]Гл инж_Тех дир'!AT41</f>
        <v>306000</v>
      </c>
      <c r="BD219" s="576">
        <f t="shared" si="303"/>
        <v>267356.37999999995</v>
      </c>
      <c r="BE219" s="576">
        <f t="shared" si="331"/>
        <v>233896.05999999994</v>
      </c>
      <c r="BF219" s="576">
        <f t="shared" si="332"/>
        <v>-38643.620000000054</v>
      </c>
      <c r="BG219" s="576">
        <f t="shared" si="312"/>
        <v>96853</v>
      </c>
      <c r="BH219" s="578">
        <f t="shared" si="312"/>
        <v>402007.56</v>
      </c>
      <c r="BI219" s="578">
        <f>264603.72+98760.22</f>
        <v>363363.93999999994</v>
      </c>
      <c r="BJ219" s="578">
        <f t="shared" si="333"/>
        <v>266510.93999999994</v>
      </c>
      <c r="BK219" s="578">
        <f t="shared" si="334"/>
        <v>-38643.620000000054</v>
      </c>
      <c r="BL219" s="576">
        <v>33282.800000000003</v>
      </c>
      <c r="BM219" s="578">
        <f>'[67]Гл инж_Тех дир'!AW41</f>
        <v>459000</v>
      </c>
      <c r="BN219" s="522">
        <f t="shared" si="304"/>
        <v>535744.32000000007</v>
      </c>
      <c r="BO219" s="578">
        <f t="shared" si="339"/>
        <v>502461.52000000008</v>
      </c>
      <c r="BP219" s="578">
        <f t="shared" si="335"/>
        <v>76744.320000000065</v>
      </c>
      <c r="BQ219" s="576">
        <v>33282.800000000003</v>
      </c>
      <c r="BR219" s="578">
        <f>'[67]Гл инж_Тех дир'!BB41</f>
        <v>0</v>
      </c>
      <c r="BS219" s="578">
        <f>'[67]Гл инж_Тех дир'!BC41</f>
        <v>0</v>
      </c>
      <c r="BT219" s="536"/>
      <c r="BU219" s="578">
        <v>590879.98</v>
      </c>
      <c r="BV219" s="578">
        <v>308228.28000000003</v>
      </c>
      <c r="BW219" s="578"/>
      <c r="BX219" s="574"/>
      <c r="BY219" s="522">
        <f>535999.34+308228.28</f>
        <v>844227.62</v>
      </c>
      <c r="BZ219" s="522">
        <v>48137.97</v>
      </c>
      <c r="CA219" s="522">
        <v>6742.67</v>
      </c>
      <c r="CB219" s="522">
        <f t="shared" si="308"/>
        <v>899108.26</v>
      </c>
      <c r="CC219" s="522">
        <f t="shared" si="336"/>
        <v>0</v>
      </c>
      <c r="CD219" s="578"/>
      <c r="CE219" s="578"/>
      <c r="CF219" s="578"/>
      <c r="CG219" s="578"/>
      <c r="CH219" s="578"/>
      <c r="CI219" s="578"/>
      <c r="CJ219" s="578"/>
      <c r="CK219" s="605" t="s">
        <v>79</v>
      </c>
      <c r="CL219" s="605" t="s">
        <v>1806</v>
      </c>
      <c r="CM219" s="527" t="s">
        <v>1925</v>
      </c>
      <c r="CN219" s="528" t="s">
        <v>1849</v>
      </c>
      <c r="CO219" s="528"/>
      <c r="CP219" s="529">
        <f t="shared" si="344"/>
        <v>120065.95039340692</v>
      </c>
      <c r="CQ219" s="529">
        <f t="shared" si="345"/>
        <v>8819.2357613175245</v>
      </c>
      <c r="CR219" s="529">
        <f t="shared" si="346"/>
        <v>1250.6138452755749</v>
      </c>
      <c r="CS219" s="1730" t="s">
        <v>1826</v>
      </c>
      <c r="CT219" s="1731"/>
      <c r="CU219" s="1731"/>
      <c r="CV219" s="1731"/>
      <c r="CW219" s="1732"/>
      <c r="CX219" s="528"/>
      <c r="CY219" s="528"/>
      <c r="CZ219" s="528"/>
      <c r="DA219" s="528"/>
      <c r="DB219" s="630">
        <f>42762.12</f>
        <v>42762.12</v>
      </c>
      <c r="DC219" s="571" t="e">
        <f>P219-#REF!</f>
        <v>#REF!</v>
      </c>
      <c r="DD219" s="535"/>
      <c r="DE219" s="535"/>
      <c r="DF219" s="522">
        <f t="shared" si="278"/>
        <v>844.22762</v>
      </c>
      <c r="DG219" s="522">
        <f t="shared" si="278"/>
        <v>48.137970000000003</v>
      </c>
      <c r="DH219" s="522">
        <f t="shared" si="278"/>
        <v>6.7426700000000004</v>
      </c>
      <c r="DI219" s="522">
        <f t="shared" ref="DI219:DI282" si="348">CB219/1000</f>
        <v>899.10825999999997</v>
      </c>
      <c r="DJ219" s="536"/>
      <c r="DK219" s="536"/>
      <c r="DL219" s="536"/>
      <c r="DM219" s="536"/>
      <c r="DN219" s="536"/>
      <c r="DO219" s="536"/>
      <c r="DP219" s="536"/>
      <c r="DQ219" s="536"/>
      <c r="DR219" s="536"/>
      <c r="DS219" s="536"/>
    </row>
    <row r="220" spans="1:123" s="534" customFormat="1" ht="124.5" customHeight="1">
      <c r="A220" s="537" t="s">
        <v>930</v>
      </c>
      <c r="B220" s="538" t="s">
        <v>931</v>
      </c>
      <c r="C220" s="576">
        <v>29317683.899999999</v>
      </c>
      <c r="D220" s="576"/>
      <c r="E220" s="649">
        <v>36671440</v>
      </c>
      <c r="F220" s="649">
        <v>29603268.539999999</v>
      </c>
      <c r="G220" s="577">
        <v>0</v>
      </c>
      <c r="H220" s="577">
        <v>0</v>
      </c>
      <c r="I220" s="576">
        <f t="shared" si="298"/>
        <v>35986060</v>
      </c>
      <c r="J220" s="576">
        <v>24016035.559999999</v>
      </c>
      <c r="K220" s="576">
        <v>11970024.439999999</v>
      </c>
      <c r="L220" s="576">
        <v>0</v>
      </c>
      <c r="M220" s="576">
        <f t="shared" si="299"/>
        <v>35986060</v>
      </c>
      <c r="N220" s="576">
        <v>36245171.189999998</v>
      </c>
      <c r="O220" s="525">
        <f t="shared" si="300"/>
        <v>-178863.75999999791</v>
      </c>
      <c r="P220" s="522">
        <v>36066307.43</v>
      </c>
      <c r="Q220" s="576">
        <f t="shared" si="313"/>
        <v>80247.429999999702</v>
      </c>
      <c r="R220" s="576">
        <f t="shared" si="314"/>
        <v>0.22299587673670374</v>
      </c>
      <c r="S220" s="576"/>
      <c r="T220" s="576">
        <v>33574330.881563552</v>
      </c>
      <c r="U220" s="522">
        <f t="shared" si="301"/>
        <v>41545779.910000004</v>
      </c>
      <c r="V220" s="522">
        <f t="shared" si="311"/>
        <v>7971449.0284364522</v>
      </c>
      <c r="W220" s="522">
        <f t="shared" si="340"/>
        <v>23.742689188822411</v>
      </c>
      <c r="X220" s="522">
        <f t="shared" si="315"/>
        <v>5479472.4800000042</v>
      </c>
      <c r="Y220" s="522">
        <f t="shared" si="316"/>
        <v>15.192773728319551</v>
      </c>
      <c r="Z220" s="524">
        <f t="shared" si="317"/>
        <v>39493310.359999999</v>
      </c>
      <c r="AA220" s="522">
        <f t="shared" si="318"/>
        <v>5918979.4784364477</v>
      </c>
      <c r="AB220" s="522">
        <f t="shared" si="341"/>
        <v>17.629478601721587</v>
      </c>
      <c r="AC220" s="522">
        <f t="shared" si="319"/>
        <v>-2052469.5500000045</v>
      </c>
      <c r="AD220" s="522">
        <f t="shared" si="320"/>
        <v>-4.9402600082276393</v>
      </c>
      <c r="AE220" s="522">
        <f t="shared" si="321"/>
        <v>3427002.9299999997</v>
      </c>
      <c r="AF220" s="522">
        <f t="shared" si="322"/>
        <v>9.5019511954512268</v>
      </c>
      <c r="AG220" s="522">
        <f t="shared" si="337"/>
        <v>39452004.539999999</v>
      </c>
      <c r="AH220" s="522">
        <f t="shared" si="323"/>
        <v>-2093775.3700000048</v>
      </c>
      <c r="AI220" s="522">
        <f t="shared" si="324"/>
        <v>-5.0396824287225286</v>
      </c>
      <c r="AJ220" s="522">
        <f t="shared" si="325"/>
        <v>-41305.820000000298</v>
      </c>
      <c r="AK220" s="522">
        <f t="shared" si="343"/>
        <v>-0.10458940925305171</v>
      </c>
      <c r="AL220" s="522">
        <f t="shared" si="302"/>
        <v>39452004.539999999</v>
      </c>
      <c r="AM220" s="522">
        <f t="shared" si="342"/>
        <v>22850178.950000003</v>
      </c>
      <c r="AN220" s="522">
        <f t="shared" si="342"/>
        <v>21796393.050000001</v>
      </c>
      <c r="AO220" s="522">
        <f t="shared" si="326"/>
        <v>-1053785.9000000022</v>
      </c>
      <c r="AP220" s="522">
        <f t="shared" si="338"/>
        <v>-4.6117183690589911</v>
      </c>
      <c r="AQ220" s="578">
        <v>8309155.9800000004</v>
      </c>
      <c r="AR220" s="578">
        <v>10692326.029999999</v>
      </c>
      <c r="AS220" s="578">
        <v>14541022.970000001</v>
      </c>
      <c r="AT220" s="578">
        <v>11104067.020000001</v>
      </c>
      <c r="AU220" s="578">
        <f t="shared" si="347"/>
        <v>18695600.960000001</v>
      </c>
      <c r="AV220" s="578">
        <f t="shared" si="347"/>
        <v>17696917.310000002</v>
      </c>
      <c r="AW220" s="578">
        <f t="shared" si="327"/>
        <v>-998683.64999999851</v>
      </c>
      <c r="AX220" s="578">
        <f t="shared" si="328"/>
        <v>-5.3418109005253314</v>
      </c>
      <c r="AY220" s="578">
        <f t="shared" ref="AY220:AY239" si="349">BD220+BN220</f>
        <v>17655611.489999998</v>
      </c>
      <c r="AZ220" s="578">
        <f t="shared" si="329"/>
        <v>41305.820000004023</v>
      </c>
      <c r="BA220" s="578">
        <f t="shared" si="330"/>
        <v>0.23395292778955934</v>
      </c>
      <c r="BB220" s="578">
        <v>12463733.970000001</v>
      </c>
      <c r="BC220" s="576">
        <f>'[67]Дир_ по реал.услуг'!AT17</f>
        <v>12463733.970000001</v>
      </c>
      <c r="BD220" s="576">
        <f t="shared" si="303"/>
        <v>13788020.050000001</v>
      </c>
      <c r="BE220" s="576">
        <f t="shared" si="331"/>
        <v>1324286.08</v>
      </c>
      <c r="BF220" s="576">
        <f t="shared" si="332"/>
        <v>1324286.08</v>
      </c>
      <c r="BG220" s="576">
        <f t="shared" si="312"/>
        <v>35313912.920000002</v>
      </c>
      <c r="BH220" s="578">
        <f t="shared" si="312"/>
        <v>34260127.020000003</v>
      </c>
      <c r="BI220" s="578">
        <v>35584413.100000001</v>
      </c>
      <c r="BJ220" s="578">
        <f t="shared" si="333"/>
        <v>270500.1799999997</v>
      </c>
      <c r="BK220" s="578">
        <f t="shared" si="334"/>
        <v>1324286.0799999982</v>
      </c>
      <c r="BL220" s="576">
        <v>6231866.9900000002</v>
      </c>
      <c r="BM220" s="578">
        <f>'[67]Дир_ по реал.услуг'!AW17</f>
        <v>5233183.34</v>
      </c>
      <c r="BN220" s="522">
        <f t="shared" si="304"/>
        <v>3867591.4399999976</v>
      </c>
      <c r="BO220" s="578">
        <f t="shared" si="339"/>
        <v>-2364275.5500000026</v>
      </c>
      <c r="BP220" s="578">
        <f t="shared" si="335"/>
        <v>-1365591.9000000022</v>
      </c>
      <c r="BQ220" s="576">
        <v>6231866.9900000002</v>
      </c>
      <c r="BR220" s="578">
        <f>'[67]Дир_ по реал.услуг'!BB17</f>
        <v>0</v>
      </c>
      <c r="BS220" s="578">
        <f>'[67]Дир_ по реал.услуг'!BC17</f>
        <v>0</v>
      </c>
      <c r="BT220" s="536"/>
      <c r="BU220" s="578">
        <v>39452004.539999999</v>
      </c>
      <c r="BV220" s="578"/>
      <c r="BW220" s="578"/>
      <c r="BX220" s="574"/>
      <c r="BY220" s="525">
        <v>39452004.539999999</v>
      </c>
      <c r="BZ220" s="525"/>
      <c r="CA220" s="525"/>
      <c r="CB220" s="522">
        <f t="shared" si="308"/>
        <v>39452004.539999999</v>
      </c>
      <c r="CC220" s="522">
        <f t="shared" si="336"/>
        <v>0</v>
      </c>
      <c r="CD220" s="578"/>
      <c r="CE220" s="578"/>
      <c r="CF220" s="578"/>
      <c r="CG220" s="578"/>
      <c r="CH220" s="578"/>
      <c r="CI220" s="578"/>
      <c r="CJ220" s="578"/>
      <c r="CK220" s="543" t="s">
        <v>78</v>
      </c>
      <c r="CL220" s="543" t="s">
        <v>1944</v>
      </c>
      <c r="CM220" s="509" t="s">
        <v>1925</v>
      </c>
      <c r="CN220" s="528" t="s">
        <v>1849</v>
      </c>
      <c r="CO220" s="528"/>
      <c r="CP220" s="544">
        <f t="shared" si="344"/>
        <v>38330986.167752929</v>
      </c>
      <c r="CQ220" s="544">
        <f t="shared" si="345"/>
        <v>2815535.9855942731</v>
      </c>
      <c r="CR220" s="544">
        <f t="shared" si="346"/>
        <v>399257.75665280293</v>
      </c>
      <c r="CS220" s="1709" t="s">
        <v>1826</v>
      </c>
      <c r="CT220" s="1710"/>
      <c r="CU220" s="1710"/>
      <c r="CV220" s="1710"/>
      <c r="CW220" s="1711"/>
      <c r="CX220" s="528"/>
      <c r="CY220" s="528"/>
      <c r="CZ220" s="528"/>
      <c r="DA220" s="528"/>
      <c r="DB220" s="660">
        <f>10692326.03</f>
        <v>10692326.029999999</v>
      </c>
      <c r="DC220" s="628" t="e">
        <f>P220-#REF!</f>
        <v>#REF!</v>
      </c>
      <c r="DD220" s="535"/>
      <c r="DE220" s="535"/>
      <c r="DF220" s="525">
        <f t="shared" ref="DF220:DI283" si="350">BY220/1000</f>
        <v>39452.004540000002</v>
      </c>
      <c r="DG220" s="525">
        <f t="shared" si="350"/>
        <v>0</v>
      </c>
      <c r="DH220" s="525">
        <f t="shared" si="350"/>
        <v>0</v>
      </c>
      <c r="DI220" s="522">
        <f t="shared" si="348"/>
        <v>39452.004540000002</v>
      </c>
      <c r="DJ220" s="536"/>
      <c r="DK220" s="536"/>
      <c r="DL220" s="536"/>
      <c r="DM220" s="536"/>
      <c r="DN220" s="536"/>
      <c r="DO220" s="536"/>
      <c r="DP220" s="536"/>
      <c r="DQ220" s="536"/>
      <c r="DR220" s="536"/>
      <c r="DS220" s="536"/>
    </row>
    <row r="221" spans="1:123" s="534" customFormat="1" ht="141">
      <c r="A221" s="537" t="s">
        <v>934</v>
      </c>
      <c r="B221" s="538" t="s">
        <v>935</v>
      </c>
      <c r="C221" s="576"/>
      <c r="D221" s="576">
        <v>0</v>
      </c>
      <c r="E221" s="576">
        <v>57500</v>
      </c>
      <c r="F221" s="576">
        <v>0</v>
      </c>
      <c r="G221" s="577">
        <v>0</v>
      </c>
      <c r="H221" s="577">
        <v>0</v>
      </c>
      <c r="I221" s="576">
        <f t="shared" si="298"/>
        <v>60605</v>
      </c>
      <c r="J221" s="576">
        <v>0</v>
      </c>
      <c r="K221" s="576">
        <v>60605</v>
      </c>
      <c r="L221" s="576">
        <v>0</v>
      </c>
      <c r="M221" s="576">
        <f t="shared" si="299"/>
        <v>60605</v>
      </c>
      <c r="N221" s="576">
        <v>0</v>
      </c>
      <c r="O221" s="525">
        <f t="shared" si="300"/>
        <v>3013</v>
      </c>
      <c r="P221" s="522">
        <v>3013</v>
      </c>
      <c r="Q221" s="576">
        <f t="shared" si="313"/>
        <v>-57592</v>
      </c>
      <c r="R221" s="576">
        <f t="shared" si="314"/>
        <v>-95.028462998102469</v>
      </c>
      <c r="S221" s="576"/>
      <c r="T221" s="576"/>
      <c r="U221" s="522">
        <f t="shared" si="301"/>
        <v>63695.86</v>
      </c>
      <c r="V221" s="522">
        <f t="shared" si="311"/>
        <v>63695.86</v>
      </c>
      <c r="W221" s="522">
        <v>0</v>
      </c>
      <c r="X221" s="522">
        <f t="shared" si="315"/>
        <v>60682.86</v>
      </c>
      <c r="Y221" s="522">
        <f t="shared" si="316"/>
        <v>2014.0345170925984</v>
      </c>
      <c r="Z221" s="524">
        <f t="shared" si="317"/>
        <v>70744.86</v>
      </c>
      <c r="AA221" s="522">
        <f t="shared" si="318"/>
        <v>70744.86</v>
      </c>
      <c r="AB221" s="522">
        <v>0</v>
      </c>
      <c r="AC221" s="522">
        <f t="shared" si="319"/>
        <v>7049</v>
      </c>
      <c r="AD221" s="522">
        <f t="shared" si="320"/>
        <v>11.066653311533912</v>
      </c>
      <c r="AE221" s="522">
        <f t="shared" si="321"/>
        <v>67731.86</v>
      </c>
      <c r="AF221" s="522">
        <f t="shared" si="322"/>
        <v>2247.9873879853967</v>
      </c>
      <c r="AG221" s="522">
        <f t="shared" si="337"/>
        <v>33124</v>
      </c>
      <c r="AH221" s="522">
        <f t="shared" si="323"/>
        <v>-30571.86</v>
      </c>
      <c r="AI221" s="522">
        <f t="shared" si="324"/>
        <v>-47.99662018850205</v>
      </c>
      <c r="AJ221" s="522">
        <f t="shared" si="325"/>
        <v>-37620.86</v>
      </c>
      <c r="AK221" s="522">
        <f t="shared" si="343"/>
        <v>-53.178223831385061</v>
      </c>
      <c r="AL221" s="522">
        <f t="shared" si="302"/>
        <v>33124</v>
      </c>
      <c r="AM221" s="522">
        <f t="shared" si="342"/>
        <v>0</v>
      </c>
      <c r="AN221" s="522">
        <f t="shared" si="342"/>
        <v>7049</v>
      </c>
      <c r="AO221" s="522">
        <f t="shared" si="326"/>
        <v>7049</v>
      </c>
      <c r="AP221" s="522">
        <v>0</v>
      </c>
      <c r="AQ221" s="578">
        <v>0</v>
      </c>
      <c r="AR221" s="578">
        <v>0</v>
      </c>
      <c r="AS221" s="578">
        <v>0</v>
      </c>
      <c r="AT221" s="578">
        <v>7049</v>
      </c>
      <c r="AU221" s="578">
        <f t="shared" si="347"/>
        <v>63695.86</v>
      </c>
      <c r="AV221" s="578">
        <f t="shared" si="347"/>
        <v>63695.86</v>
      </c>
      <c r="AW221" s="578">
        <f t="shared" si="327"/>
        <v>0</v>
      </c>
      <c r="AX221" s="578">
        <f t="shared" si="328"/>
        <v>0</v>
      </c>
      <c r="AY221" s="578">
        <f t="shared" si="349"/>
        <v>26075</v>
      </c>
      <c r="AZ221" s="578">
        <f t="shared" si="329"/>
        <v>37620.86</v>
      </c>
      <c r="BA221" s="578">
        <f t="shared" si="330"/>
        <v>144.27942473633749</v>
      </c>
      <c r="BB221" s="578">
        <v>63695.86</v>
      </c>
      <c r="BC221" s="576">
        <f>'[67]Гл инж_Тех дир'!AT58</f>
        <v>63695.86</v>
      </c>
      <c r="BD221" s="576">
        <f t="shared" si="303"/>
        <v>26075</v>
      </c>
      <c r="BE221" s="576">
        <f t="shared" si="331"/>
        <v>-37620.86</v>
      </c>
      <c r="BF221" s="576">
        <f t="shared" si="332"/>
        <v>-37620.86</v>
      </c>
      <c r="BG221" s="576">
        <f t="shared" si="312"/>
        <v>63695.86</v>
      </c>
      <c r="BH221" s="578">
        <f t="shared" si="312"/>
        <v>70744.86</v>
      </c>
      <c r="BI221" s="578">
        <f>33124</f>
        <v>33124</v>
      </c>
      <c r="BJ221" s="578">
        <f t="shared" si="333"/>
        <v>-30571.86</v>
      </c>
      <c r="BK221" s="578">
        <f t="shared" si="334"/>
        <v>-37620.86</v>
      </c>
      <c r="BL221" s="576">
        <v>0</v>
      </c>
      <c r="BM221" s="578">
        <f>'[67]Гл инж_Тех дир'!AW58</f>
        <v>0</v>
      </c>
      <c r="BN221" s="522">
        <f t="shared" si="304"/>
        <v>0</v>
      </c>
      <c r="BO221" s="578">
        <f t="shared" si="339"/>
        <v>0</v>
      </c>
      <c r="BP221" s="578">
        <f t="shared" si="335"/>
        <v>0</v>
      </c>
      <c r="BQ221" s="576">
        <v>0</v>
      </c>
      <c r="BR221" s="578">
        <f>'[67]Гл инж_Тех дир'!BB58</f>
        <v>0</v>
      </c>
      <c r="BS221" s="578">
        <f>'[67]Гл инж_Тех дир'!BC58</f>
        <v>0</v>
      </c>
      <c r="BT221" s="536"/>
      <c r="BU221" s="578">
        <v>33124</v>
      </c>
      <c r="BV221" s="578"/>
      <c r="BW221" s="578"/>
      <c r="BX221" s="574"/>
      <c r="BY221" s="525">
        <v>33489.33</v>
      </c>
      <c r="BZ221" s="525">
        <v>-588.92999999999995</v>
      </c>
      <c r="CA221" s="525">
        <v>223.6</v>
      </c>
      <c r="CB221" s="522">
        <f t="shared" si="308"/>
        <v>33124</v>
      </c>
      <c r="CC221" s="522">
        <f t="shared" si="336"/>
        <v>0</v>
      </c>
      <c r="CD221" s="578"/>
      <c r="CE221" s="578"/>
      <c r="CF221" s="578"/>
      <c r="CG221" s="578"/>
      <c r="CH221" s="578"/>
      <c r="CI221" s="578"/>
      <c r="CJ221" s="578"/>
      <c r="CK221" s="542" t="s">
        <v>79</v>
      </c>
      <c r="CL221" s="543" t="s">
        <v>1903</v>
      </c>
      <c r="CM221" s="509" t="s">
        <v>1925</v>
      </c>
      <c r="CN221" s="528" t="s">
        <v>1849</v>
      </c>
      <c r="CO221" s="528"/>
      <c r="CP221" s="544">
        <f t="shared" si="344"/>
        <v>58767.103034102765</v>
      </c>
      <c r="CQ221" s="544">
        <f t="shared" si="345"/>
        <v>4316.6354405157881</v>
      </c>
      <c r="CR221" s="544">
        <f t="shared" si="346"/>
        <v>612.12152538144517</v>
      </c>
      <c r="CS221" s="1709" t="s">
        <v>1826</v>
      </c>
      <c r="CT221" s="1710"/>
      <c r="CU221" s="1710"/>
      <c r="CV221" s="1710"/>
      <c r="CW221" s="1711"/>
      <c r="CX221" s="528"/>
      <c r="CY221" s="528"/>
      <c r="CZ221" s="528"/>
      <c r="DA221" s="528"/>
      <c r="DB221" s="579"/>
      <c r="DC221" s="628" t="e">
        <f>P221-#REF!</f>
        <v>#REF!</v>
      </c>
      <c r="DD221" s="535"/>
      <c r="DE221" s="535"/>
      <c r="DF221" s="525">
        <f t="shared" si="350"/>
        <v>33.489330000000002</v>
      </c>
      <c r="DG221" s="525">
        <f t="shared" si="350"/>
        <v>-0.58892999999999995</v>
      </c>
      <c r="DH221" s="525">
        <f t="shared" si="350"/>
        <v>0.22359999999999999</v>
      </c>
      <c r="DI221" s="522">
        <f t="shared" si="348"/>
        <v>33.124000000000002</v>
      </c>
      <c r="DJ221" s="536"/>
      <c r="DK221" s="536"/>
      <c r="DL221" s="536"/>
      <c r="DM221" s="536"/>
      <c r="DN221" s="536"/>
      <c r="DO221" s="536"/>
      <c r="DP221" s="536"/>
      <c r="DQ221" s="536"/>
      <c r="DR221" s="536"/>
      <c r="DS221" s="536"/>
    </row>
    <row r="222" spans="1:123" s="534" customFormat="1" ht="141">
      <c r="A222" s="537" t="s">
        <v>938</v>
      </c>
      <c r="B222" s="538" t="s">
        <v>939</v>
      </c>
      <c r="C222" s="576">
        <v>98672215.719999999</v>
      </c>
      <c r="D222" s="576"/>
      <c r="E222" s="525">
        <v>61524000</v>
      </c>
      <c r="F222" s="525">
        <v>14489326.82</v>
      </c>
      <c r="G222" s="596">
        <v>0</v>
      </c>
      <c r="H222" s="596">
        <v>0</v>
      </c>
      <c r="I222" s="525">
        <f t="shared" si="298"/>
        <v>28928940.050000004</v>
      </c>
      <c r="J222" s="525">
        <v>599525.97</v>
      </c>
      <c r="K222" s="525">
        <v>10257510.32</v>
      </c>
      <c r="L222" s="525">
        <v>18071903.760000002</v>
      </c>
      <c r="M222" s="525">
        <f t="shared" si="299"/>
        <v>10857036.290000001</v>
      </c>
      <c r="N222" s="525">
        <v>633194.87</v>
      </c>
      <c r="O222" s="525">
        <f t="shared" si="300"/>
        <v>1892238.1599999997</v>
      </c>
      <c r="P222" s="522">
        <v>2525433.0299999998</v>
      </c>
      <c r="Q222" s="525">
        <f t="shared" si="313"/>
        <v>-26403507.020000003</v>
      </c>
      <c r="R222" s="525">
        <f t="shared" si="314"/>
        <v>-91.270219283405794</v>
      </c>
      <c r="S222" s="525"/>
      <c r="T222" s="525"/>
      <c r="U222" s="522">
        <f t="shared" si="301"/>
        <v>11390585.780000001</v>
      </c>
      <c r="V222" s="522">
        <f t="shared" si="311"/>
        <v>11390585.780000001</v>
      </c>
      <c r="W222" s="522">
        <v>0</v>
      </c>
      <c r="X222" s="522">
        <f t="shared" si="315"/>
        <v>8865152.7500000019</v>
      </c>
      <c r="Y222" s="522">
        <f t="shared" si="316"/>
        <v>351.03495696340053</v>
      </c>
      <c r="Z222" s="524">
        <f t="shared" si="317"/>
        <v>9323174.4199999999</v>
      </c>
      <c r="AA222" s="522">
        <f t="shared" si="318"/>
        <v>9323174.4199999999</v>
      </c>
      <c r="AB222" s="522">
        <v>0</v>
      </c>
      <c r="AC222" s="522">
        <f t="shared" si="319"/>
        <v>-2067411.3600000013</v>
      </c>
      <c r="AD222" s="522">
        <f t="shared" si="320"/>
        <v>-18.150175942926808</v>
      </c>
      <c r="AE222" s="522">
        <f t="shared" si="321"/>
        <v>6797741.3900000006</v>
      </c>
      <c r="AF222" s="522">
        <f t="shared" si="322"/>
        <v>269.17131871043915</v>
      </c>
      <c r="AG222" s="522">
        <f t="shared" si="337"/>
        <v>7859189.25</v>
      </c>
      <c r="AH222" s="522">
        <f t="shared" si="323"/>
        <v>-3531396.5300000012</v>
      </c>
      <c r="AI222" s="522">
        <f t="shared" si="324"/>
        <v>-31.002764899067387</v>
      </c>
      <c r="AJ222" s="522">
        <f t="shared" si="325"/>
        <v>-1463985.17</v>
      </c>
      <c r="AK222" s="522">
        <f t="shared" si="343"/>
        <v>-15.702647017516597</v>
      </c>
      <c r="AL222" s="522">
        <f t="shared" si="302"/>
        <v>7859189.25</v>
      </c>
      <c r="AM222" s="522">
        <f t="shared" si="342"/>
        <v>4780503.42</v>
      </c>
      <c r="AN222" s="522">
        <f t="shared" si="342"/>
        <v>2713092.06</v>
      </c>
      <c r="AO222" s="522">
        <f t="shared" si="326"/>
        <v>-2067411.3599999999</v>
      </c>
      <c r="AP222" s="522">
        <f t="shared" si="338"/>
        <v>-43.246729023362981</v>
      </c>
      <c r="AQ222" s="522">
        <v>3256812.21</v>
      </c>
      <c r="AR222" s="522">
        <v>151892.06</v>
      </c>
      <c r="AS222" s="522">
        <v>1523691.21</v>
      </c>
      <c r="AT222" s="522">
        <v>2561200</v>
      </c>
      <c r="AU222" s="522">
        <f t="shared" si="347"/>
        <v>6610082.3599999994</v>
      </c>
      <c r="AV222" s="522">
        <f t="shared" si="347"/>
        <v>6610082.3599999994</v>
      </c>
      <c r="AW222" s="522">
        <f t="shared" si="327"/>
        <v>0</v>
      </c>
      <c r="AX222" s="522">
        <f t="shared" si="328"/>
        <v>0</v>
      </c>
      <c r="AY222" s="522">
        <f t="shared" si="349"/>
        <v>5146097.1899999995</v>
      </c>
      <c r="AZ222" s="522">
        <f t="shared" si="329"/>
        <v>1463985.17</v>
      </c>
      <c r="BA222" s="522">
        <f t="shared" si="330"/>
        <v>28.448455517801847</v>
      </c>
      <c r="BB222" s="522">
        <v>3021568.32</v>
      </c>
      <c r="BC222" s="525">
        <f>'[67]Дир_ по кап.стр.'!AT9</f>
        <v>3021568.32</v>
      </c>
      <c r="BD222" s="525">
        <f t="shared" si="303"/>
        <v>480005.08000000007</v>
      </c>
      <c r="BE222" s="525">
        <f t="shared" si="331"/>
        <v>-2541563.2399999998</v>
      </c>
      <c r="BF222" s="525">
        <f t="shared" si="332"/>
        <v>-2541563.2399999998</v>
      </c>
      <c r="BG222" s="525">
        <f t="shared" si="312"/>
        <v>7802071.7400000002</v>
      </c>
      <c r="BH222" s="522">
        <f t="shared" si="312"/>
        <v>5734660.3799999999</v>
      </c>
      <c r="BI222" s="522">
        <v>3193097.14</v>
      </c>
      <c r="BJ222" s="522">
        <f t="shared" si="333"/>
        <v>-4608974.5999999996</v>
      </c>
      <c r="BK222" s="522">
        <f t="shared" si="334"/>
        <v>-2541563.2399999998</v>
      </c>
      <c r="BL222" s="525">
        <v>3588514.04</v>
      </c>
      <c r="BM222" s="522">
        <f>'[67]Дир_ по кап.стр.'!AW9</f>
        <v>3588514.04</v>
      </c>
      <c r="BN222" s="522">
        <f t="shared" si="304"/>
        <v>4666092.1099999994</v>
      </c>
      <c r="BO222" s="522">
        <f t="shared" si="339"/>
        <v>1077578.0699999994</v>
      </c>
      <c r="BP222" s="522">
        <f t="shared" si="335"/>
        <v>1077578.0699999994</v>
      </c>
      <c r="BQ222" s="525">
        <v>3588514.04</v>
      </c>
      <c r="BR222" s="522">
        <f>'[67]Дир_ по кап.стр.'!BB9</f>
        <v>0</v>
      </c>
      <c r="BS222" s="522">
        <f>'[67]Дир_ по кап.стр.'!BC9</f>
        <v>0</v>
      </c>
      <c r="BT222" s="536"/>
      <c r="BU222" s="522">
        <v>7859189.25</v>
      </c>
      <c r="BV222" s="522"/>
      <c r="BW222" s="578"/>
      <c r="BX222" s="574"/>
      <c r="BY222" s="525"/>
      <c r="BZ222" s="525">
        <v>7859189.25</v>
      </c>
      <c r="CA222" s="525"/>
      <c r="CB222" s="522">
        <f t="shared" si="308"/>
        <v>7859189.25</v>
      </c>
      <c r="CC222" s="522">
        <f t="shared" si="336"/>
        <v>0</v>
      </c>
      <c r="CD222" s="522"/>
      <c r="CE222" s="522"/>
      <c r="CF222" s="522"/>
      <c r="CG222" s="522"/>
      <c r="CH222" s="522"/>
      <c r="CI222" s="522"/>
      <c r="CJ222" s="522"/>
      <c r="CK222" s="542" t="s">
        <v>1791</v>
      </c>
      <c r="CL222" s="543" t="s">
        <v>1792</v>
      </c>
      <c r="CM222" s="509" t="s">
        <v>1925</v>
      </c>
      <c r="CN222" s="528" t="s">
        <v>1849</v>
      </c>
      <c r="CO222" s="528"/>
      <c r="CP222" s="544">
        <f t="shared" si="344"/>
        <v>10509187.381284215</v>
      </c>
      <c r="CQ222" s="544">
        <f t="shared" si="345"/>
        <v>771934.09848274558</v>
      </c>
      <c r="CR222" s="544">
        <f t="shared" si="346"/>
        <v>109464.30023304182</v>
      </c>
      <c r="CS222" s="1709" t="s">
        <v>1826</v>
      </c>
      <c r="CT222" s="1710"/>
      <c r="CU222" s="1710"/>
      <c r="CV222" s="1710"/>
      <c r="CW222" s="1711"/>
      <c r="CX222" s="528"/>
      <c r="CY222" s="528"/>
      <c r="CZ222" s="528"/>
      <c r="DA222" s="528"/>
      <c r="DB222" s="544">
        <f>151892.06</f>
        <v>151892.06</v>
      </c>
      <c r="DC222" s="628" t="e">
        <f>P222-#REF!</f>
        <v>#REF!</v>
      </c>
      <c r="DD222" s="535"/>
      <c r="DE222" s="535"/>
      <c r="DF222" s="525">
        <f t="shared" si="350"/>
        <v>0</v>
      </c>
      <c r="DG222" s="525">
        <f t="shared" si="350"/>
        <v>7859.1892500000004</v>
      </c>
      <c r="DH222" s="525">
        <f t="shared" si="350"/>
        <v>0</v>
      </c>
      <c r="DI222" s="522">
        <f t="shared" si="348"/>
        <v>7859.1892500000004</v>
      </c>
      <c r="DJ222" s="536"/>
      <c r="DK222" s="536"/>
      <c r="DL222" s="536"/>
      <c r="DM222" s="536"/>
      <c r="DN222" s="536"/>
      <c r="DO222" s="536"/>
      <c r="DP222" s="536"/>
      <c r="DQ222" s="536"/>
      <c r="DR222" s="536"/>
      <c r="DS222" s="536"/>
    </row>
    <row r="223" spans="1:123" s="534" customFormat="1" ht="141">
      <c r="A223" s="537" t="s">
        <v>942</v>
      </c>
      <c r="B223" s="538" t="s">
        <v>943</v>
      </c>
      <c r="C223" s="576"/>
      <c r="D223" s="576">
        <v>2093827.88</v>
      </c>
      <c r="E223" s="576">
        <v>0</v>
      </c>
      <c r="F223" s="576"/>
      <c r="G223" s="577">
        <v>0</v>
      </c>
      <c r="H223" s="577">
        <v>0</v>
      </c>
      <c r="I223" s="576">
        <f t="shared" si="298"/>
        <v>96086.39</v>
      </c>
      <c r="J223" s="576">
        <v>96086.39</v>
      </c>
      <c r="K223" s="576">
        <v>0</v>
      </c>
      <c r="L223" s="576">
        <v>0</v>
      </c>
      <c r="M223" s="576">
        <f t="shared" si="299"/>
        <v>96086.39</v>
      </c>
      <c r="N223" s="576">
        <v>144129.57999999999</v>
      </c>
      <c r="O223" s="525">
        <f t="shared" si="300"/>
        <v>44528.900000000023</v>
      </c>
      <c r="P223" s="522">
        <v>188658.48</v>
      </c>
      <c r="Q223" s="576">
        <f t="shared" si="313"/>
        <v>92572.090000000011</v>
      </c>
      <c r="R223" s="576">
        <f t="shared" si="314"/>
        <v>96.342562146418459</v>
      </c>
      <c r="S223" s="576"/>
      <c r="T223" s="576"/>
      <c r="U223" s="522">
        <f t="shared" si="301"/>
        <v>0</v>
      </c>
      <c r="V223" s="522">
        <f t="shared" si="311"/>
        <v>0</v>
      </c>
      <c r="W223" s="522">
        <v>0</v>
      </c>
      <c r="X223" s="522">
        <f t="shared" si="315"/>
        <v>-188658.48</v>
      </c>
      <c r="Y223" s="522">
        <f t="shared" si="316"/>
        <v>-100</v>
      </c>
      <c r="Z223" s="524">
        <f t="shared" si="317"/>
        <v>44528.92</v>
      </c>
      <c r="AA223" s="522">
        <f t="shared" si="318"/>
        <v>44528.92</v>
      </c>
      <c r="AB223" s="522">
        <v>0</v>
      </c>
      <c r="AC223" s="522">
        <f t="shared" si="319"/>
        <v>44528.92</v>
      </c>
      <c r="AD223" s="522">
        <v>0</v>
      </c>
      <c r="AE223" s="522">
        <f t="shared" si="321"/>
        <v>-144129.56</v>
      </c>
      <c r="AF223" s="522">
        <f t="shared" si="322"/>
        <v>-76.397074756459403</v>
      </c>
      <c r="AG223" s="522">
        <f t="shared" si="337"/>
        <v>44528.92</v>
      </c>
      <c r="AH223" s="522">
        <f t="shared" si="323"/>
        <v>44528.92</v>
      </c>
      <c r="AI223" s="522">
        <v>0</v>
      </c>
      <c r="AJ223" s="522">
        <f t="shared" si="325"/>
        <v>0</v>
      </c>
      <c r="AK223" s="522">
        <f t="shared" si="343"/>
        <v>0</v>
      </c>
      <c r="AL223" s="522">
        <f t="shared" si="302"/>
        <v>44528.92</v>
      </c>
      <c r="AM223" s="522">
        <f t="shared" si="342"/>
        <v>0</v>
      </c>
      <c r="AN223" s="522">
        <f t="shared" si="342"/>
        <v>44528.92</v>
      </c>
      <c r="AO223" s="522">
        <f t="shared" si="326"/>
        <v>44528.92</v>
      </c>
      <c r="AP223" s="522">
        <v>0</v>
      </c>
      <c r="AQ223" s="578">
        <v>0</v>
      </c>
      <c r="AR223" s="578">
        <v>44528.92</v>
      </c>
      <c r="AS223" s="578">
        <v>0</v>
      </c>
      <c r="AT223" s="578">
        <v>0</v>
      </c>
      <c r="AU223" s="578">
        <f t="shared" si="347"/>
        <v>0</v>
      </c>
      <c r="AV223" s="578">
        <f t="shared" si="347"/>
        <v>0</v>
      </c>
      <c r="AW223" s="578">
        <f t="shared" si="327"/>
        <v>0</v>
      </c>
      <c r="AX223" s="578">
        <v>0</v>
      </c>
      <c r="AY223" s="578">
        <f t="shared" si="349"/>
        <v>0</v>
      </c>
      <c r="AZ223" s="578">
        <f t="shared" si="329"/>
        <v>0</v>
      </c>
      <c r="BA223" s="578">
        <v>0</v>
      </c>
      <c r="BB223" s="578">
        <v>0</v>
      </c>
      <c r="BC223" s="576">
        <f>'[67]Гл инж_Тех дир'!AT15</f>
        <v>0</v>
      </c>
      <c r="BD223" s="576">
        <f t="shared" si="303"/>
        <v>0</v>
      </c>
      <c r="BE223" s="576">
        <f t="shared" si="331"/>
        <v>0</v>
      </c>
      <c r="BF223" s="576">
        <f t="shared" si="332"/>
        <v>0</v>
      </c>
      <c r="BG223" s="576">
        <f t="shared" si="312"/>
        <v>0</v>
      </c>
      <c r="BH223" s="578">
        <f t="shared" si="312"/>
        <v>44528.92</v>
      </c>
      <c r="BI223" s="578">
        <v>44528.92</v>
      </c>
      <c r="BJ223" s="578">
        <f t="shared" si="333"/>
        <v>44528.92</v>
      </c>
      <c r="BK223" s="578">
        <f t="shared" si="334"/>
        <v>0</v>
      </c>
      <c r="BL223" s="576">
        <v>0</v>
      </c>
      <c r="BM223" s="578">
        <f>'[67]Гл инж_Тех дир'!AW15</f>
        <v>0</v>
      </c>
      <c r="BN223" s="522">
        <f t="shared" si="304"/>
        <v>0</v>
      </c>
      <c r="BO223" s="578">
        <f t="shared" si="339"/>
        <v>0</v>
      </c>
      <c r="BP223" s="578">
        <f t="shared" si="335"/>
        <v>0</v>
      </c>
      <c r="BQ223" s="576">
        <v>0</v>
      </c>
      <c r="BR223" s="578">
        <f>'[67]Гл инж_Тех дир'!BB15</f>
        <v>0</v>
      </c>
      <c r="BS223" s="578">
        <f>'[67]Гл инж_Тех дир'!BC15</f>
        <v>0</v>
      </c>
      <c r="BT223" s="536"/>
      <c r="BU223" s="578">
        <v>44528.92</v>
      </c>
      <c r="BV223" s="578"/>
      <c r="BW223" s="578"/>
      <c r="BX223" s="574"/>
      <c r="BY223" s="525">
        <v>44528.92</v>
      </c>
      <c r="BZ223" s="525"/>
      <c r="CA223" s="525"/>
      <c r="CB223" s="522">
        <f t="shared" si="308"/>
        <v>44528.92</v>
      </c>
      <c r="CC223" s="522">
        <f t="shared" si="336"/>
        <v>0</v>
      </c>
      <c r="CD223" s="578"/>
      <c r="CE223" s="578"/>
      <c r="CF223" s="578"/>
      <c r="CG223" s="578"/>
      <c r="CH223" s="578"/>
      <c r="CI223" s="578"/>
      <c r="CJ223" s="578"/>
      <c r="CK223" s="542" t="s">
        <v>79</v>
      </c>
      <c r="CL223" s="543" t="s">
        <v>1803</v>
      </c>
      <c r="CM223" s="509" t="s">
        <v>1925</v>
      </c>
      <c r="CN223" s="528"/>
      <c r="CO223" s="528"/>
      <c r="CP223" s="544">
        <f t="shared" si="344"/>
        <v>0</v>
      </c>
      <c r="CQ223" s="544">
        <f t="shared" si="345"/>
        <v>0</v>
      </c>
      <c r="CR223" s="544">
        <f t="shared" si="346"/>
        <v>0</v>
      </c>
      <c r="CS223" s="1709" t="s">
        <v>1826</v>
      </c>
      <c r="CT223" s="1710"/>
      <c r="CU223" s="1710"/>
      <c r="CV223" s="1710"/>
      <c r="CW223" s="1711"/>
      <c r="CX223" s="528"/>
      <c r="CY223" s="528"/>
      <c r="CZ223" s="528"/>
      <c r="DA223" s="528"/>
      <c r="DB223" s="579">
        <f>44528.92</f>
        <v>44528.92</v>
      </c>
      <c r="DC223" s="628" t="e">
        <f>P223-#REF!</f>
        <v>#REF!</v>
      </c>
      <c r="DD223" s="535"/>
      <c r="DE223" s="535"/>
      <c r="DF223" s="525">
        <f t="shared" si="350"/>
        <v>44.528919999999999</v>
      </c>
      <c r="DG223" s="525">
        <f t="shared" si="350"/>
        <v>0</v>
      </c>
      <c r="DH223" s="525">
        <f t="shared" si="350"/>
        <v>0</v>
      </c>
      <c r="DI223" s="522">
        <f t="shared" si="348"/>
        <v>44.528919999999999</v>
      </c>
      <c r="DJ223" s="536"/>
      <c r="DK223" s="536"/>
      <c r="DL223" s="536"/>
      <c r="DM223" s="536"/>
      <c r="DN223" s="536"/>
      <c r="DO223" s="536"/>
      <c r="DP223" s="536"/>
      <c r="DQ223" s="536"/>
      <c r="DR223" s="536"/>
      <c r="DS223" s="536"/>
    </row>
    <row r="224" spans="1:123" s="534" customFormat="1" ht="36" customHeight="1">
      <c r="A224" s="537" t="s">
        <v>1283</v>
      </c>
      <c r="B224" s="538" t="s">
        <v>1284</v>
      </c>
      <c r="C224" s="576">
        <v>6241652.9800000004</v>
      </c>
      <c r="D224" s="576">
        <v>22823285.300000001</v>
      </c>
      <c r="E224" s="576">
        <v>29200000</v>
      </c>
      <c r="F224" s="576">
        <v>11685545.140000001</v>
      </c>
      <c r="G224" s="626">
        <v>20800000</v>
      </c>
      <c r="H224" s="626">
        <v>0</v>
      </c>
      <c r="I224" s="576">
        <f t="shared" si="298"/>
        <v>14513707.42</v>
      </c>
      <c r="J224" s="576">
        <v>4113707.42</v>
      </c>
      <c r="K224" s="576">
        <v>0</v>
      </c>
      <c r="L224" s="576">
        <v>10400000</v>
      </c>
      <c r="M224" s="576">
        <f t="shared" si="299"/>
        <v>4113707.42</v>
      </c>
      <c r="N224" s="576">
        <v>5573123.4800000004</v>
      </c>
      <c r="O224" s="525">
        <f t="shared" si="300"/>
        <v>1987712.8599999994</v>
      </c>
      <c r="P224" s="522">
        <v>7560836.3399999999</v>
      </c>
      <c r="Q224" s="576">
        <f t="shared" si="313"/>
        <v>-6952871.0800000001</v>
      </c>
      <c r="R224" s="576">
        <f t="shared" si="314"/>
        <v>-47.905548036740022</v>
      </c>
      <c r="S224" s="576">
        <v>20800000</v>
      </c>
      <c r="T224" s="576">
        <v>20800000</v>
      </c>
      <c r="U224" s="522">
        <f t="shared" si="301"/>
        <v>11342095.66</v>
      </c>
      <c r="V224" s="522">
        <f t="shared" si="311"/>
        <v>-9457904.3399999999</v>
      </c>
      <c r="W224" s="522">
        <f t="shared" si="340"/>
        <v>-45.47069394230769</v>
      </c>
      <c r="X224" s="522">
        <f t="shared" si="315"/>
        <v>3781259.3200000003</v>
      </c>
      <c r="Y224" s="522">
        <f t="shared" si="316"/>
        <v>50.011125092015959</v>
      </c>
      <c r="Z224" s="524">
        <f t="shared" si="317"/>
        <v>9631153.9600000009</v>
      </c>
      <c r="AA224" s="522">
        <f t="shared" si="318"/>
        <v>-11168846.039999999</v>
      </c>
      <c r="AB224" s="522">
        <f t="shared" si="341"/>
        <v>-53.696375192307691</v>
      </c>
      <c r="AC224" s="522">
        <f t="shared" si="319"/>
        <v>-1710941.6999999993</v>
      </c>
      <c r="AD224" s="522">
        <f t="shared" si="320"/>
        <v>-15.084881588805075</v>
      </c>
      <c r="AE224" s="522">
        <f t="shared" si="321"/>
        <v>2070317.620000001</v>
      </c>
      <c r="AF224" s="522">
        <f t="shared" si="322"/>
        <v>27.382124501851095</v>
      </c>
      <c r="AG224" s="522">
        <f t="shared" si="337"/>
        <v>9631023.0399999991</v>
      </c>
      <c r="AH224" s="522">
        <f t="shared" si="323"/>
        <v>-1711072.620000001</v>
      </c>
      <c r="AI224" s="522">
        <f t="shared" si="324"/>
        <v>-15.086035872845045</v>
      </c>
      <c r="AJ224" s="522">
        <f t="shared" si="325"/>
        <v>-130.92000000178814</v>
      </c>
      <c r="AK224" s="522">
        <f t="shared" si="343"/>
        <v>-1.3593386685073483E-3</v>
      </c>
      <c r="AL224" s="522">
        <f t="shared" si="302"/>
        <v>9631023.0399999991</v>
      </c>
      <c r="AM224" s="522">
        <f t="shared" si="342"/>
        <v>5291440.54</v>
      </c>
      <c r="AN224" s="522">
        <f t="shared" si="342"/>
        <v>4775865.96</v>
      </c>
      <c r="AO224" s="522">
        <f t="shared" si="326"/>
        <v>-515574.58000000007</v>
      </c>
      <c r="AP224" s="522">
        <f t="shared" si="338"/>
        <v>-9.7435580368441634</v>
      </c>
      <c r="AQ224" s="578">
        <v>2631103.06</v>
      </c>
      <c r="AR224" s="578">
        <v>2374674.16</v>
      </c>
      <c r="AS224" s="578">
        <v>2660337.48</v>
      </c>
      <c r="AT224" s="578">
        <v>2401191.7999999998</v>
      </c>
      <c r="AU224" s="578">
        <f t="shared" si="347"/>
        <v>6050655.1200000001</v>
      </c>
      <c r="AV224" s="578">
        <f t="shared" si="347"/>
        <v>4855288</v>
      </c>
      <c r="AW224" s="578">
        <f t="shared" si="327"/>
        <v>-1195367.1200000001</v>
      </c>
      <c r="AX224" s="578">
        <f t="shared" si="328"/>
        <v>-19.755994950840957</v>
      </c>
      <c r="AY224" s="578">
        <f t="shared" si="349"/>
        <v>4855157.0799999991</v>
      </c>
      <c r="AZ224" s="578">
        <f t="shared" si="329"/>
        <v>130.92000000085682</v>
      </c>
      <c r="BA224" s="578">
        <f t="shared" si="330"/>
        <v>2.6965141980639373E-3</v>
      </c>
      <c r="BB224" s="578">
        <v>3025327.56</v>
      </c>
      <c r="BC224" s="576">
        <f>'[67]Гл инж_Тех дир'!AT16</f>
        <v>2427644</v>
      </c>
      <c r="BD224" s="576">
        <f t="shared" si="303"/>
        <v>2427578.54</v>
      </c>
      <c r="BE224" s="576">
        <f t="shared" si="331"/>
        <v>-597749.02</v>
      </c>
      <c r="BF224" s="576">
        <f t="shared" si="332"/>
        <v>-65.459999999962747</v>
      </c>
      <c r="BG224" s="576">
        <f t="shared" si="312"/>
        <v>8316768.0999999996</v>
      </c>
      <c r="BH224" s="578">
        <f t="shared" si="312"/>
        <v>7203509.96</v>
      </c>
      <c r="BI224" s="578">
        <v>7203444.5</v>
      </c>
      <c r="BJ224" s="578">
        <f t="shared" si="333"/>
        <v>-1113323.5999999996</v>
      </c>
      <c r="BK224" s="578">
        <f t="shared" si="334"/>
        <v>-65.459999999962747</v>
      </c>
      <c r="BL224" s="576">
        <v>3025327.56</v>
      </c>
      <c r="BM224" s="578">
        <f>'[67]Гл инж_Тех дир'!AW16</f>
        <v>2427644</v>
      </c>
      <c r="BN224" s="522">
        <f t="shared" si="304"/>
        <v>2427578.5399999991</v>
      </c>
      <c r="BO224" s="578">
        <f t="shared" si="339"/>
        <v>-597749.02000000095</v>
      </c>
      <c r="BP224" s="578">
        <f t="shared" si="335"/>
        <v>-65.46000000089407</v>
      </c>
      <c r="BQ224" s="576">
        <v>3025327.56</v>
      </c>
      <c r="BR224" s="578">
        <f>'[67]Гл инж_Тех дир'!BB16</f>
        <v>0</v>
      </c>
      <c r="BS224" s="578">
        <f>'[67]Гл инж_Тех дир'!BC16</f>
        <v>0</v>
      </c>
      <c r="BT224" s="536"/>
      <c r="BU224" s="578">
        <v>9631023.0399999991</v>
      </c>
      <c r="BV224" s="578"/>
      <c r="BW224" s="522"/>
      <c r="BX224" s="574"/>
      <c r="BY224" s="525">
        <v>8964020.6199999992</v>
      </c>
      <c r="BZ224" s="525">
        <v>562967.53</v>
      </c>
      <c r="CA224" s="525">
        <v>104034.89</v>
      </c>
      <c r="CB224" s="522">
        <f t="shared" si="308"/>
        <v>9631023.0399999991</v>
      </c>
      <c r="CC224" s="522">
        <f t="shared" si="336"/>
        <v>0</v>
      </c>
      <c r="CD224" s="578"/>
      <c r="CE224" s="578"/>
      <c r="CF224" s="578"/>
      <c r="CG224" s="578"/>
      <c r="CH224" s="578"/>
      <c r="CI224" s="578"/>
      <c r="CJ224" s="578"/>
      <c r="CK224" s="542" t="s">
        <v>79</v>
      </c>
      <c r="CL224" s="543" t="s">
        <v>1803</v>
      </c>
      <c r="CM224" s="509" t="s">
        <v>1925</v>
      </c>
      <c r="CN224" s="528"/>
      <c r="CO224" s="528"/>
      <c r="CP224" s="544">
        <f t="shared" si="344"/>
        <v>10464449.404935734</v>
      </c>
      <c r="CQ224" s="544">
        <f t="shared" si="345"/>
        <v>768647.948166118</v>
      </c>
      <c r="CR224" s="544">
        <f t="shared" si="346"/>
        <v>108998.306898148</v>
      </c>
      <c r="CS224" s="1709" t="s">
        <v>1826</v>
      </c>
      <c r="CT224" s="1710"/>
      <c r="CU224" s="1710"/>
      <c r="CV224" s="1710"/>
      <c r="CW224" s="1711"/>
      <c r="CX224" s="528"/>
      <c r="CY224" s="528"/>
      <c r="CZ224" s="528"/>
      <c r="DA224" s="528"/>
      <c r="DB224" s="579">
        <f>2374674.16</f>
        <v>2374674.16</v>
      </c>
      <c r="DC224" s="628" t="e">
        <f>P224-#REF!</f>
        <v>#REF!</v>
      </c>
      <c r="DD224" s="535"/>
      <c r="DE224" s="535"/>
      <c r="DF224" s="525">
        <f t="shared" si="350"/>
        <v>8964.0206199999993</v>
      </c>
      <c r="DG224" s="525">
        <f t="shared" si="350"/>
        <v>562.96753000000001</v>
      </c>
      <c r="DH224" s="525">
        <f t="shared" si="350"/>
        <v>104.03489</v>
      </c>
      <c r="DI224" s="522">
        <f t="shared" si="348"/>
        <v>9631.0230399999982</v>
      </c>
      <c r="DJ224" s="536"/>
      <c r="DK224" s="536"/>
      <c r="DL224" s="536"/>
      <c r="DM224" s="536"/>
      <c r="DN224" s="536"/>
      <c r="DO224" s="536"/>
      <c r="DP224" s="536"/>
      <c r="DQ224" s="536"/>
      <c r="DR224" s="536"/>
      <c r="DS224" s="536"/>
    </row>
    <row r="225" spans="1:123" s="534" customFormat="1" ht="37.5" customHeight="1">
      <c r="A225" s="537" t="s">
        <v>947</v>
      </c>
      <c r="B225" s="538" t="s">
        <v>948</v>
      </c>
      <c r="C225" s="576"/>
      <c r="D225" s="576"/>
      <c r="E225" s="576"/>
      <c r="F225" s="576"/>
      <c r="G225" s="577">
        <v>0</v>
      </c>
      <c r="H225" s="577">
        <v>0</v>
      </c>
      <c r="I225" s="576">
        <f t="shared" si="298"/>
        <v>36755.4</v>
      </c>
      <c r="J225" s="576">
        <v>36755.4</v>
      </c>
      <c r="K225" s="576">
        <v>0</v>
      </c>
      <c r="L225" s="576">
        <v>0</v>
      </c>
      <c r="M225" s="576">
        <f t="shared" si="299"/>
        <v>36755.4</v>
      </c>
      <c r="N225" s="576">
        <v>51938.54</v>
      </c>
      <c r="O225" s="525">
        <f t="shared" si="300"/>
        <v>22403.719999999994</v>
      </c>
      <c r="P225" s="522">
        <v>74342.259999999995</v>
      </c>
      <c r="Q225" s="576">
        <f t="shared" si="313"/>
        <v>37586.859999999993</v>
      </c>
      <c r="R225" s="576">
        <f t="shared" si="314"/>
        <v>102.26214379383708</v>
      </c>
      <c r="S225" s="576"/>
      <c r="T225" s="576"/>
      <c r="U225" s="522">
        <f t="shared" si="301"/>
        <v>568919.38</v>
      </c>
      <c r="V225" s="522">
        <f t="shared" si="311"/>
        <v>568919.38</v>
      </c>
      <c r="W225" s="522">
        <v>0</v>
      </c>
      <c r="X225" s="522">
        <f t="shared" si="315"/>
        <v>494577.12</v>
      </c>
      <c r="Y225" s="522">
        <f t="shared" si="316"/>
        <v>665.27049352548613</v>
      </c>
      <c r="Z225" s="524">
        <f t="shared" si="317"/>
        <v>620933.04</v>
      </c>
      <c r="AA225" s="522">
        <f t="shared" si="318"/>
        <v>620933.04</v>
      </c>
      <c r="AB225" s="522">
        <v>0</v>
      </c>
      <c r="AC225" s="522">
        <f t="shared" si="319"/>
        <v>52013.660000000033</v>
      </c>
      <c r="AD225" s="522">
        <f t="shared" si="320"/>
        <v>9.1425361533650005</v>
      </c>
      <c r="AE225" s="522">
        <f t="shared" si="321"/>
        <v>546590.78</v>
      </c>
      <c r="AF225" s="522">
        <f t="shared" si="322"/>
        <v>735.23562506708856</v>
      </c>
      <c r="AG225" s="522">
        <f t="shared" si="337"/>
        <v>454112.14</v>
      </c>
      <c r="AH225" s="522">
        <f t="shared" si="323"/>
        <v>-114807.23999999999</v>
      </c>
      <c r="AI225" s="522">
        <f t="shared" si="324"/>
        <v>-20.179878562055663</v>
      </c>
      <c r="AJ225" s="522">
        <f t="shared" si="325"/>
        <v>-166820.90000000002</v>
      </c>
      <c r="AK225" s="522">
        <f t="shared" si="343"/>
        <v>-26.86616579462418</v>
      </c>
      <c r="AL225" s="522">
        <f t="shared" si="302"/>
        <v>454112.14</v>
      </c>
      <c r="AM225" s="522">
        <f t="shared" si="342"/>
        <v>242342.83999999997</v>
      </c>
      <c r="AN225" s="522">
        <f t="shared" si="342"/>
        <v>294356.5</v>
      </c>
      <c r="AO225" s="522">
        <f t="shared" si="326"/>
        <v>52013.660000000033</v>
      </c>
      <c r="AP225" s="522">
        <f t="shared" si="338"/>
        <v>21.462841650283565</v>
      </c>
      <c r="AQ225" s="578">
        <v>5788.27</v>
      </c>
      <c r="AR225" s="578">
        <v>106366.84</v>
      </c>
      <c r="AS225" s="578">
        <f>5788.27+230766.3</f>
        <v>236554.56999999998</v>
      </c>
      <c r="AT225" s="578">
        <v>187989.66</v>
      </c>
      <c r="AU225" s="578">
        <f t="shared" si="347"/>
        <v>326576.54000000004</v>
      </c>
      <c r="AV225" s="578">
        <f t="shared" si="347"/>
        <v>326576.54000000004</v>
      </c>
      <c r="AW225" s="578">
        <f t="shared" si="327"/>
        <v>0</v>
      </c>
      <c r="AX225" s="578">
        <f t="shared" si="328"/>
        <v>0</v>
      </c>
      <c r="AY225" s="578">
        <f t="shared" si="349"/>
        <v>159755.64000000001</v>
      </c>
      <c r="AZ225" s="578">
        <f t="shared" si="329"/>
        <v>166820.90000000002</v>
      </c>
      <c r="BA225" s="578">
        <f t="shared" si="330"/>
        <v>104.42254182700529</v>
      </c>
      <c r="BB225" s="578">
        <v>5788.27</v>
      </c>
      <c r="BC225" s="576">
        <f>'[67]Дир_по корп'!AT26</f>
        <v>5788.27</v>
      </c>
      <c r="BD225" s="576">
        <f t="shared" si="303"/>
        <v>72601.669999999984</v>
      </c>
      <c r="BE225" s="576">
        <f t="shared" si="331"/>
        <v>66813.39999999998</v>
      </c>
      <c r="BF225" s="576">
        <f t="shared" si="332"/>
        <v>66813.39999999998</v>
      </c>
      <c r="BG225" s="576">
        <f t="shared" si="312"/>
        <v>248131.10999999996</v>
      </c>
      <c r="BH225" s="578">
        <f t="shared" si="312"/>
        <v>300144.77</v>
      </c>
      <c r="BI225" s="578">
        <v>366958.17</v>
      </c>
      <c r="BJ225" s="578">
        <f t="shared" si="333"/>
        <v>118827.06000000003</v>
      </c>
      <c r="BK225" s="578">
        <f t="shared" si="334"/>
        <v>66813.399999999965</v>
      </c>
      <c r="BL225" s="576">
        <f>5788.27+315000</f>
        <v>320788.27</v>
      </c>
      <c r="BM225" s="578">
        <f>'[67]Дир_по корп'!AW26</f>
        <v>320788.27</v>
      </c>
      <c r="BN225" s="522">
        <f t="shared" si="304"/>
        <v>87153.97000000003</v>
      </c>
      <c r="BO225" s="578">
        <f t="shared" si="339"/>
        <v>-233634.3</v>
      </c>
      <c r="BP225" s="578">
        <f t="shared" si="335"/>
        <v>-233634.3</v>
      </c>
      <c r="BQ225" s="576">
        <f>5788.27+315000</f>
        <v>320788.27</v>
      </c>
      <c r="BR225" s="578">
        <f>'[67]Дир_по корп'!BB26</f>
        <v>0</v>
      </c>
      <c r="BS225" s="578">
        <f>'[67]Дир_по корп'!BC26</f>
        <v>0</v>
      </c>
      <c r="BT225" s="536"/>
      <c r="BU225" s="578">
        <f>451412.14+2700</f>
        <v>454112.14</v>
      </c>
      <c r="BV225" s="578"/>
      <c r="BW225" s="578"/>
      <c r="BX225" s="574"/>
      <c r="BY225" s="525">
        <f>432796.16+2131.01</f>
        <v>434927.17</v>
      </c>
      <c r="BZ225" s="525">
        <f>15941.85+539.17</f>
        <v>16481.02</v>
      </c>
      <c r="CA225" s="525">
        <f>2674.13+29.82</f>
        <v>2703.9500000000003</v>
      </c>
      <c r="CB225" s="522">
        <f t="shared" si="308"/>
        <v>454112.14</v>
      </c>
      <c r="CC225" s="522">
        <f t="shared" si="336"/>
        <v>0</v>
      </c>
      <c r="CD225" s="578"/>
      <c r="CE225" s="578"/>
      <c r="CF225" s="578"/>
      <c r="CG225" s="578"/>
      <c r="CH225" s="578"/>
      <c r="CI225" s="578"/>
      <c r="CJ225" s="578"/>
      <c r="CK225" s="543" t="s">
        <v>80</v>
      </c>
      <c r="CL225" s="543" t="s">
        <v>1908</v>
      </c>
      <c r="CM225" s="509" t="s">
        <v>1925</v>
      </c>
      <c r="CN225" s="528"/>
      <c r="CO225" s="528"/>
      <c r="CP225" s="544">
        <f t="shared" si="344"/>
        <v>524896.65454800148</v>
      </c>
      <c r="CQ225" s="544">
        <f t="shared" si="345"/>
        <v>38555.371707113598</v>
      </c>
      <c r="CR225" s="544">
        <f t="shared" si="346"/>
        <v>5467.3537448849274</v>
      </c>
      <c r="CS225" s="1709" t="s">
        <v>1826</v>
      </c>
      <c r="CT225" s="1710"/>
      <c r="CU225" s="1710"/>
      <c r="CV225" s="1710"/>
      <c r="CW225" s="1711"/>
      <c r="CX225" s="528"/>
      <c r="CY225" s="528"/>
      <c r="CZ225" s="528"/>
      <c r="DA225" s="528"/>
      <c r="DB225" s="579">
        <f>106366.84</f>
        <v>106366.84</v>
      </c>
      <c r="DC225" s="628" t="e">
        <f>P225-#REF!</f>
        <v>#REF!</v>
      </c>
      <c r="DD225" s="535"/>
      <c r="DE225" s="535"/>
      <c r="DF225" s="525">
        <f t="shared" si="350"/>
        <v>434.92716999999999</v>
      </c>
      <c r="DG225" s="525">
        <f t="shared" si="350"/>
        <v>16.481020000000001</v>
      </c>
      <c r="DH225" s="525">
        <f t="shared" si="350"/>
        <v>2.7039500000000003</v>
      </c>
      <c r="DI225" s="522">
        <f t="shared" si="348"/>
        <v>454.11214000000001</v>
      </c>
      <c r="DJ225" s="536"/>
      <c r="DK225" s="536"/>
      <c r="DL225" s="536"/>
      <c r="DM225" s="536"/>
      <c r="DN225" s="536"/>
      <c r="DO225" s="536"/>
      <c r="DP225" s="536"/>
      <c r="DQ225" s="536"/>
      <c r="DR225" s="536"/>
      <c r="DS225" s="536"/>
    </row>
    <row r="226" spans="1:123" s="534" customFormat="1" ht="112.8">
      <c r="A226" s="537" t="s">
        <v>951</v>
      </c>
      <c r="B226" s="538" t="s">
        <v>952</v>
      </c>
      <c r="C226" s="576"/>
      <c r="D226" s="576">
        <v>0</v>
      </c>
      <c r="E226" s="576">
        <v>164000</v>
      </c>
      <c r="F226" s="576">
        <v>0</v>
      </c>
      <c r="G226" s="577">
        <v>0</v>
      </c>
      <c r="H226" s="577">
        <v>0</v>
      </c>
      <c r="I226" s="576">
        <f t="shared" si="298"/>
        <v>161305.5</v>
      </c>
      <c r="J226" s="576">
        <v>89305.5</v>
      </c>
      <c r="K226" s="576">
        <v>36000</v>
      </c>
      <c r="L226" s="576">
        <v>36000</v>
      </c>
      <c r="M226" s="576">
        <f t="shared" si="299"/>
        <v>125305.5</v>
      </c>
      <c r="N226" s="576">
        <v>127574</v>
      </c>
      <c r="O226" s="525">
        <f t="shared" si="300"/>
        <v>38268.47</v>
      </c>
      <c r="P226" s="522">
        <v>165842.47</v>
      </c>
      <c r="Q226" s="576">
        <f t="shared" si="313"/>
        <v>4536.9700000000012</v>
      </c>
      <c r="R226" s="576">
        <f t="shared" si="314"/>
        <v>2.8126567290017874</v>
      </c>
      <c r="S226" s="576"/>
      <c r="T226" s="576"/>
      <c r="U226" s="522">
        <f t="shared" si="301"/>
        <v>169532.08000000002</v>
      </c>
      <c r="V226" s="522">
        <f t="shared" si="311"/>
        <v>169532.08000000002</v>
      </c>
      <c r="W226" s="522">
        <v>0</v>
      </c>
      <c r="X226" s="522">
        <f t="shared" si="315"/>
        <v>3689.6100000000151</v>
      </c>
      <c r="Y226" s="522">
        <f t="shared" si="316"/>
        <v>2.2247678776130329</v>
      </c>
      <c r="Z226" s="524">
        <f t="shared" si="317"/>
        <v>169532.08000000002</v>
      </c>
      <c r="AA226" s="522">
        <f t="shared" si="318"/>
        <v>169532.08000000002</v>
      </c>
      <c r="AB226" s="522">
        <v>0</v>
      </c>
      <c r="AC226" s="522">
        <f t="shared" si="319"/>
        <v>0</v>
      </c>
      <c r="AD226" s="522">
        <f t="shared" si="320"/>
        <v>0</v>
      </c>
      <c r="AE226" s="522">
        <f t="shared" si="321"/>
        <v>3689.6100000000151</v>
      </c>
      <c r="AF226" s="522">
        <f t="shared" si="322"/>
        <v>2.2247678776130329</v>
      </c>
      <c r="AG226" s="522">
        <f t="shared" si="337"/>
        <v>177125</v>
      </c>
      <c r="AH226" s="522">
        <f t="shared" si="323"/>
        <v>7592.9199999999837</v>
      </c>
      <c r="AI226" s="522">
        <f t="shared" si="324"/>
        <v>4.4787511602523864</v>
      </c>
      <c r="AJ226" s="522">
        <f t="shared" si="325"/>
        <v>7592.9199999999837</v>
      </c>
      <c r="AK226" s="522">
        <f t="shared" si="343"/>
        <v>4.4787511602523864</v>
      </c>
      <c r="AL226" s="522">
        <f t="shared" si="302"/>
        <v>177125</v>
      </c>
      <c r="AM226" s="522">
        <f t="shared" si="342"/>
        <v>97532.08</v>
      </c>
      <c r="AN226" s="522">
        <f t="shared" si="342"/>
        <v>76620.740000000005</v>
      </c>
      <c r="AO226" s="522">
        <f t="shared" si="326"/>
        <v>-20911.339999999997</v>
      </c>
      <c r="AP226" s="522">
        <f t="shared" si="338"/>
        <v>-21.440473739512171</v>
      </c>
      <c r="AQ226" s="578">
        <v>45000</v>
      </c>
      <c r="AR226" s="578">
        <v>38219.19</v>
      </c>
      <c r="AS226" s="578">
        <v>52532.08</v>
      </c>
      <c r="AT226" s="578">
        <v>38401.550000000003</v>
      </c>
      <c r="AU226" s="578">
        <f t="shared" si="347"/>
        <v>72000</v>
      </c>
      <c r="AV226" s="578">
        <f t="shared" si="347"/>
        <v>92911.34</v>
      </c>
      <c r="AW226" s="578">
        <f t="shared" si="327"/>
        <v>20911.339999999997</v>
      </c>
      <c r="AX226" s="578">
        <f t="shared" si="328"/>
        <v>29.043527777777769</v>
      </c>
      <c r="AY226" s="578">
        <f t="shared" si="349"/>
        <v>100504.26</v>
      </c>
      <c r="AZ226" s="578">
        <f t="shared" si="329"/>
        <v>-7592.9199999999983</v>
      </c>
      <c r="BA226" s="578">
        <f t="shared" si="330"/>
        <v>-7.5548240442743406</v>
      </c>
      <c r="BB226" s="578">
        <v>36000</v>
      </c>
      <c r="BC226" s="576">
        <f>'[67]Гл инж_Тех дир'!AT17</f>
        <v>46455.67</v>
      </c>
      <c r="BD226" s="576">
        <f t="shared" si="303"/>
        <v>38752.14</v>
      </c>
      <c r="BE226" s="576">
        <f t="shared" si="331"/>
        <v>2752.1399999999994</v>
      </c>
      <c r="BF226" s="576">
        <f t="shared" si="332"/>
        <v>-7703.5299999999988</v>
      </c>
      <c r="BG226" s="576">
        <f t="shared" si="312"/>
        <v>133532.08000000002</v>
      </c>
      <c r="BH226" s="578">
        <f t="shared" si="312"/>
        <v>123076.41</v>
      </c>
      <c r="BI226" s="578">
        <v>115372.88</v>
      </c>
      <c r="BJ226" s="578">
        <f t="shared" si="333"/>
        <v>-18159.200000000012</v>
      </c>
      <c r="BK226" s="578">
        <f t="shared" si="334"/>
        <v>-7703.5299999999988</v>
      </c>
      <c r="BL226" s="576">
        <v>36000</v>
      </c>
      <c r="BM226" s="578">
        <f>'[67]Гл инж_Тех дир'!AW17</f>
        <v>46455.67</v>
      </c>
      <c r="BN226" s="522">
        <f t="shared" si="304"/>
        <v>61752.119999999995</v>
      </c>
      <c r="BO226" s="578">
        <f t="shared" si="339"/>
        <v>25752.119999999995</v>
      </c>
      <c r="BP226" s="578">
        <f t="shared" si="335"/>
        <v>15296.449999999997</v>
      </c>
      <c r="BQ226" s="576">
        <v>36000</v>
      </c>
      <c r="BR226" s="578">
        <f>'[67]Гл инж_Тех дир'!BB17</f>
        <v>0</v>
      </c>
      <c r="BS226" s="578">
        <f>'[67]Гл инж_Тех дир'!BC17</f>
        <v>0</v>
      </c>
      <c r="BT226" s="536"/>
      <c r="BU226" s="578">
        <v>177125</v>
      </c>
      <c r="BV226" s="578"/>
      <c r="BW226" s="578"/>
      <c r="BX226" s="574"/>
      <c r="BY226" s="525">
        <v>177125</v>
      </c>
      <c r="BZ226" s="525"/>
      <c r="CA226" s="525"/>
      <c r="CB226" s="522">
        <f t="shared" si="308"/>
        <v>177125</v>
      </c>
      <c r="CC226" s="522">
        <f t="shared" si="336"/>
        <v>0</v>
      </c>
      <c r="CD226" s="578"/>
      <c r="CE226" s="578"/>
      <c r="CF226" s="578"/>
      <c r="CG226" s="578"/>
      <c r="CH226" s="578"/>
      <c r="CI226" s="578"/>
      <c r="CJ226" s="578"/>
      <c r="CK226" s="542" t="s">
        <v>79</v>
      </c>
      <c r="CL226" s="543" t="s">
        <v>1803</v>
      </c>
      <c r="CM226" s="509" t="s">
        <v>1925</v>
      </c>
      <c r="CN226" s="528" t="s">
        <v>1849</v>
      </c>
      <c r="CO226" s="528"/>
      <c r="CP226" s="544">
        <f t="shared" si="344"/>
        <v>156413.76398632114</v>
      </c>
      <c r="CQ226" s="544">
        <f t="shared" si="345"/>
        <v>11489.101251358532</v>
      </c>
      <c r="CR226" s="544">
        <f t="shared" si="346"/>
        <v>1629.2147623203332</v>
      </c>
      <c r="CS226" s="1709" t="s">
        <v>1826</v>
      </c>
      <c r="CT226" s="1710"/>
      <c r="CU226" s="1710"/>
      <c r="CV226" s="1710"/>
      <c r="CW226" s="1711"/>
      <c r="CX226" s="528"/>
      <c r="CY226" s="528"/>
      <c r="CZ226" s="528"/>
      <c r="DA226" s="528"/>
      <c r="DB226" s="579">
        <f>38219.19</f>
        <v>38219.19</v>
      </c>
      <c r="DC226" s="628" t="e">
        <f>P226-#REF!</f>
        <v>#REF!</v>
      </c>
      <c r="DD226" s="535"/>
      <c r="DE226" s="535"/>
      <c r="DF226" s="525">
        <f t="shared" si="350"/>
        <v>177.125</v>
      </c>
      <c r="DG226" s="525">
        <f t="shared" si="350"/>
        <v>0</v>
      </c>
      <c r="DH226" s="525">
        <f t="shared" si="350"/>
        <v>0</v>
      </c>
      <c r="DI226" s="522">
        <f t="shared" si="348"/>
        <v>177.125</v>
      </c>
      <c r="DJ226" s="536"/>
      <c r="DK226" s="536"/>
      <c r="DL226" s="536"/>
      <c r="DM226" s="536"/>
      <c r="DN226" s="536"/>
      <c r="DO226" s="536"/>
      <c r="DP226" s="536"/>
      <c r="DQ226" s="536"/>
      <c r="DR226" s="536"/>
      <c r="DS226" s="536"/>
    </row>
    <row r="227" spans="1:123" s="534" customFormat="1" ht="84.6">
      <c r="A227" s="537" t="s">
        <v>955</v>
      </c>
      <c r="B227" s="538" t="s">
        <v>956</v>
      </c>
      <c r="C227" s="576">
        <v>743766.03</v>
      </c>
      <c r="D227" s="576"/>
      <c r="E227" s="576">
        <v>31784410</v>
      </c>
      <c r="F227" s="576">
        <v>18512837.010000002</v>
      </c>
      <c r="G227" s="577">
        <v>0</v>
      </c>
      <c r="H227" s="577">
        <v>0</v>
      </c>
      <c r="I227" s="576">
        <f t="shared" si="298"/>
        <v>2665516.88</v>
      </c>
      <c r="J227" s="576">
        <v>475516.87999999995</v>
      </c>
      <c r="K227" s="576">
        <v>1365000</v>
      </c>
      <c r="L227" s="576">
        <v>825000</v>
      </c>
      <c r="M227" s="576">
        <f t="shared" si="299"/>
        <v>1840516.88</v>
      </c>
      <c r="N227" s="576">
        <v>554272.81000000006</v>
      </c>
      <c r="O227" s="525">
        <f t="shared" si="300"/>
        <v>902358.44</v>
      </c>
      <c r="P227" s="522">
        <f>2800+1453831.25</f>
        <v>1456631.25</v>
      </c>
      <c r="Q227" s="576">
        <f t="shared" si="313"/>
        <v>-1208885.6299999999</v>
      </c>
      <c r="R227" s="576">
        <f t="shared" si="314"/>
        <v>-45.352765877063206</v>
      </c>
      <c r="S227" s="576"/>
      <c r="T227" s="576"/>
      <c r="U227" s="522">
        <f t="shared" si="301"/>
        <v>776720.96</v>
      </c>
      <c r="V227" s="522">
        <f t="shared" si="311"/>
        <v>776720.96</v>
      </c>
      <c r="W227" s="522">
        <v>0</v>
      </c>
      <c r="X227" s="522">
        <f t="shared" si="315"/>
        <v>-679910.29</v>
      </c>
      <c r="Y227" s="522">
        <f t="shared" si="316"/>
        <v>-46.67689849438559</v>
      </c>
      <c r="Z227" s="524">
        <f t="shared" si="317"/>
        <v>555737.85</v>
      </c>
      <c r="AA227" s="522">
        <f t="shared" si="318"/>
        <v>555737.85</v>
      </c>
      <c r="AB227" s="522">
        <v>0</v>
      </c>
      <c r="AC227" s="522">
        <f t="shared" si="319"/>
        <v>-220983.11</v>
      </c>
      <c r="AD227" s="522">
        <f t="shared" si="320"/>
        <v>-28.450772076499646</v>
      </c>
      <c r="AE227" s="522">
        <f t="shared" si="321"/>
        <v>-900893.4</v>
      </c>
      <c r="AF227" s="522">
        <f t="shared" si="322"/>
        <v>-61.847732567868505</v>
      </c>
      <c r="AG227" s="522">
        <f t="shared" si="337"/>
        <v>535880.5</v>
      </c>
      <c r="AH227" s="522">
        <f t="shared" si="323"/>
        <v>-240840.45999999996</v>
      </c>
      <c r="AI227" s="522">
        <f t="shared" si="324"/>
        <v>-31.007333701925589</v>
      </c>
      <c r="AJ227" s="522">
        <f t="shared" si="325"/>
        <v>-19857.349999999977</v>
      </c>
      <c r="AK227" s="522">
        <f t="shared" si="343"/>
        <v>-3.5731505421126144</v>
      </c>
      <c r="AL227" s="522">
        <f t="shared" si="302"/>
        <v>535880.5</v>
      </c>
      <c r="AM227" s="522">
        <f t="shared" si="342"/>
        <v>380000</v>
      </c>
      <c r="AN227" s="522">
        <f t="shared" si="342"/>
        <v>159016.89000000001</v>
      </c>
      <c r="AO227" s="522">
        <f t="shared" si="326"/>
        <v>-220983.11</v>
      </c>
      <c r="AP227" s="522">
        <f t="shared" si="338"/>
        <v>-58.153449999999992</v>
      </c>
      <c r="AQ227" s="578">
        <v>190000</v>
      </c>
      <c r="AR227" s="578">
        <v>141058.45000000001</v>
      </c>
      <c r="AS227" s="578">
        <v>190000</v>
      </c>
      <c r="AT227" s="578">
        <v>17958.440000000002</v>
      </c>
      <c r="AU227" s="578">
        <f t="shared" si="347"/>
        <v>396720.95999999996</v>
      </c>
      <c r="AV227" s="578">
        <f t="shared" si="347"/>
        <v>396720.95999999996</v>
      </c>
      <c r="AW227" s="578">
        <f t="shared" si="327"/>
        <v>0</v>
      </c>
      <c r="AX227" s="578">
        <f t="shared" si="328"/>
        <v>0</v>
      </c>
      <c r="AY227" s="578">
        <f t="shared" si="349"/>
        <v>376863.61</v>
      </c>
      <c r="AZ227" s="578">
        <f t="shared" si="329"/>
        <v>19857.349999999977</v>
      </c>
      <c r="BA227" s="578">
        <f t="shared" si="330"/>
        <v>5.2691078345293221</v>
      </c>
      <c r="BB227" s="578">
        <v>206720.96</v>
      </c>
      <c r="BC227" s="576">
        <f>'[67]Дир_ имущ'!AT30</f>
        <v>206720.96</v>
      </c>
      <c r="BD227" s="576">
        <f t="shared" si="303"/>
        <v>159697.79999999999</v>
      </c>
      <c r="BE227" s="576">
        <f t="shared" si="331"/>
        <v>-47023.16</v>
      </c>
      <c r="BF227" s="576">
        <f t="shared" si="332"/>
        <v>-47023.16</v>
      </c>
      <c r="BG227" s="576">
        <f t="shared" si="312"/>
        <v>586720.96</v>
      </c>
      <c r="BH227" s="578">
        <f t="shared" si="312"/>
        <v>365737.85</v>
      </c>
      <c r="BI227" s="578">
        <f>307414.69+11300</f>
        <v>318714.69</v>
      </c>
      <c r="BJ227" s="578">
        <f t="shared" si="333"/>
        <v>-268006.26999999996</v>
      </c>
      <c r="BK227" s="578">
        <f t="shared" si="334"/>
        <v>-47023.159999999974</v>
      </c>
      <c r="BL227" s="576">
        <v>190000</v>
      </c>
      <c r="BM227" s="578">
        <f>'[67]Дир_ имущ'!AW30</f>
        <v>190000</v>
      </c>
      <c r="BN227" s="522">
        <f t="shared" si="304"/>
        <v>217165.81</v>
      </c>
      <c r="BO227" s="578">
        <f t="shared" si="339"/>
        <v>27165.809999999998</v>
      </c>
      <c r="BP227" s="578">
        <f t="shared" si="335"/>
        <v>27165.809999999998</v>
      </c>
      <c r="BQ227" s="576">
        <v>190000</v>
      </c>
      <c r="BR227" s="578">
        <f>'[67]Дир_ имущ'!BB30</f>
        <v>0</v>
      </c>
      <c r="BS227" s="578">
        <f>'[67]Дир_ имущ'!BC30</f>
        <v>0</v>
      </c>
      <c r="BT227" s="536"/>
      <c r="BU227" s="578">
        <v>425080.5</v>
      </c>
      <c r="BV227" s="578">
        <v>110800</v>
      </c>
      <c r="BW227" s="578"/>
      <c r="BX227" s="574"/>
      <c r="BY227" s="525">
        <f>405758.35+110800</f>
        <v>516558.35</v>
      </c>
      <c r="BZ227" s="525">
        <v>14954.82</v>
      </c>
      <c r="CA227" s="525">
        <v>4367.33</v>
      </c>
      <c r="CB227" s="522">
        <f t="shared" si="308"/>
        <v>535880.49999999988</v>
      </c>
      <c r="CC227" s="522">
        <f t="shared" si="336"/>
        <v>0</v>
      </c>
      <c r="CD227" s="578"/>
      <c r="CE227" s="578"/>
      <c r="CF227" s="578"/>
      <c r="CG227" s="578"/>
      <c r="CH227" s="578"/>
      <c r="CI227" s="578"/>
      <c r="CJ227" s="578"/>
      <c r="CK227" s="543" t="s">
        <v>1815</v>
      </c>
      <c r="CL227" s="543" t="s">
        <v>1816</v>
      </c>
      <c r="CM227" s="509" t="s">
        <v>1925</v>
      </c>
      <c r="CN227" s="528"/>
      <c r="CO227" s="528"/>
      <c r="CP227" s="544">
        <f t="shared" si="344"/>
        <v>716618.64185627166</v>
      </c>
      <c r="CQ227" s="544">
        <f t="shared" si="345"/>
        <v>52637.97715153615</v>
      </c>
      <c r="CR227" s="544">
        <f t="shared" si="346"/>
        <v>7464.3409921922776</v>
      </c>
      <c r="CS227" s="1709" t="s">
        <v>1826</v>
      </c>
      <c r="CT227" s="1710"/>
      <c r="CU227" s="1710"/>
      <c r="CV227" s="1710"/>
      <c r="CW227" s="1711"/>
      <c r="CX227" s="528"/>
      <c r="CY227" s="528"/>
      <c r="CZ227" s="528"/>
      <c r="DA227" s="528"/>
      <c r="DB227" s="579">
        <f>140658.45+400</f>
        <v>141058.45000000001</v>
      </c>
      <c r="DC227" s="628" t="e">
        <f>P227-#REF!</f>
        <v>#REF!</v>
      </c>
      <c r="DD227" s="535"/>
      <c r="DE227" s="535"/>
      <c r="DF227" s="525">
        <f t="shared" si="350"/>
        <v>516.55835000000002</v>
      </c>
      <c r="DG227" s="525">
        <f t="shared" si="350"/>
        <v>14.95482</v>
      </c>
      <c r="DH227" s="525">
        <f t="shared" si="350"/>
        <v>4.3673299999999999</v>
      </c>
      <c r="DI227" s="522">
        <f t="shared" si="348"/>
        <v>535.88049999999987</v>
      </c>
      <c r="DJ227" s="536"/>
      <c r="DK227" s="536"/>
      <c r="DL227" s="536"/>
      <c r="DM227" s="536"/>
      <c r="DN227" s="536"/>
      <c r="DO227" s="536"/>
      <c r="DP227" s="536"/>
      <c r="DQ227" s="536"/>
      <c r="DR227" s="536"/>
      <c r="DS227" s="536"/>
    </row>
    <row r="228" spans="1:123" s="534" customFormat="1" ht="84.6">
      <c r="A228" s="537" t="s">
        <v>960</v>
      </c>
      <c r="B228" s="538" t="s">
        <v>961</v>
      </c>
      <c r="C228" s="576"/>
      <c r="D228" s="576"/>
      <c r="E228" s="576">
        <v>120000</v>
      </c>
      <c r="F228" s="576">
        <v>120000</v>
      </c>
      <c r="G228" s="577">
        <v>0</v>
      </c>
      <c r="H228" s="577">
        <v>0</v>
      </c>
      <c r="I228" s="576">
        <f t="shared" si="298"/>
        <v>626849.31000000006</v>
      </c>
      <c r="J228" s="576">
        <v>366849.31</v>
      </c>
      <c r="K228" s="576">
        <v>130000</v>
      </c>
      <c r="L228" s="576">
        <v>130000</v>
      </c>
      <c r="M228" s="576">
        <f t="shared" si="299"/>
        <v>496849.31</v>
      </c>
      <c r="N228" s="576">
        <v>572465.75</v>
      </c>
      <c r="O228" s="525">
        <f t="shared" si="300"/>
        <v>205616.43999999994</v>
      </c>
      <c r="P228" s="522">
        <v>778082.19</v>
      </c>
      <c r="Q228" s="576">
        <f t="shared" si="313"/>
        <v>151232.87999999989</v>
      </c>
      <c r="R228" s="576">
        <f t="shared" si="314"/>
        <v>24.12587484542334</v>
      </c>
      <c r="S228" s="576"/>
      <c r="T228" s="576"/>
      <c r="U228" s="522">
        <f t="shared" si="301"/>
        <v>520000</v>
      </c>
      <c r="V228" s="522">
        <f t="shared" si="311"/>
        <v>520000</v>
      </c>
      <c r="W228" s="522">
        <v>0</v>
      </c>
      <c r="X228" s="522">
        <f t="shared" si="315"/>
        <v>-258082.18999999994</v>
      </c>
      <c r="Y228" s="522">
        <f t="shared" si="316"/>
        <v>-33.16901393154879</v>
      </c>
      <c r="Z228" s="524">
        <f t="shared" si="317"/>
        <v>561917.81000000006</v>
      </c>
      <c r="AA228" s="522">
        <f t="shared" si="318"/>
        <v>561917.81000000006</v>
      </c>
      <c r="AB228" s="522">
        <v>0</v>
      </c>
      <c r="AC228" s="522">
        <f t="shared" si="319"/>
        <v>41917.810000000056</v>
      </c>
      <c r="AD228" s="522">
        <f t="shared" si="320"/>
        <v>8.0611173076923279</v>
      </c>
      <c r="AE228" s="522">
        <f t="shared" si="321"/>
        <v>-216164.37999999989</v>
      </c>
      <c r="AF228" s="522">
        <f t="shared" si="322"/>
        <v>-27.78168974668344</v>
      </c>
      <c r="AG228" s="522">
        <f t="shared" si="337"/>
        <v>561917.81000000006</v>
      </c>
      <c r="AH228" s="522">
        <f t="shared" si="323"/>
        <v>41917.810000000056</v>
      </c>
      <c r="AI228" s="522">
        <f t="shared" si="324"/>
        <v>8.0611173076923279</v>
      </c>
      <c r="AJ228" s="522">
        <f t="shared" si="325"/>
        <v>0</v>
      </c>
      <c r="AK228" s="522">
        <f t="shared" si="343"/>
        <v>0</v>
      </c>
      <c r="AL228" s="522">
        <f t="shared" si="302"/>
        <v>561917.81000000006</v>
      </c>
      <c r="AM228" s="522">
        <f t="shared" si="342"/>
        <v>260000</v>
      </c>
      <c r="AN228" s="522">
        <f t="shared" si="342"/>
        <v>301917.81</v>
      </c>
      <c r="AO228" s="522">
        <f t="shared" si="326"/>
        <v>41917.81</v>
      </c>
      <c r="AP228" s="522">
        <f t="shared" si="338"/>
        <v>16.122234615384627</v>
      </c>
      <c r="AQ228" s="578">
        <v>130000</v>
      </c>
      <c r="AR228" s="578">
        <v>171917.81</v>
      </c>
      <c r="AS228" s="578">
        <v>130000</v>
      </c>
      <c r="AT228" s="578">
        <v>130000</v>
      </c>
      <c r="AU228" s="578">
        <f t="shared" si="347"/>
        <v>260000</v>
      </c>
      <c r="AV228" s="578">
        <f t="shared" si="347"/>
        <v>260000</v>
      </c>
      <c r="AW228" s="578">
        <f t="shared" si="327"/>
        <v>0</v>
      </c>
      <c r="AX228" s="578">
        <f t="shared" si="328"/>
        <v>0</v>
      </c>
      <c r="AY228" s="578">
        <f t="shared" si="349"/>
        <v>260000.00000000006</v>
      </c>
      <c r="AZ228" s="578">
        <f t="shared" si="329"/>
        <v>0</v>
      </c>
      <c r="BA228" s="578">
        <f t="shared" si="330"/>
        <v>0</v>
      </c>
      <c r="BB228" s="578">
        <v>130000</v>
      </c>
      <c r="BC228" s="576">
        <f>'[67]Дир_по корп'!AT46</f>
        <v>130000</v>
      </c>
      <c r="BD228" s="576">
        <f t="shared" si="303"/>
        <v>130000</v>
      </c>
      <c r="BE228" s="576">
        <f t="shared" si="331"/>
        <v>0</v>
      </c>
      <c r="BF228" s="576">
        <f t="shared" si="332"/>
        <v>0</v>
      </c>
      <c r="BG228" s="576">
        <f t="shared" si="312"/>
        <v>390000</v>
      </c>
      <c r="BH228" s="578">
        <f t="shared" si="312"/>
        <v>431917.81</v>
      </c>
      <c r="BI228" s="578">
        <v>431917.81</v>
      </c>
      <c r="BJ228" s="578">
        <f t="shared" si="333"/>
        <v>41917.81</v>
      </c>
      <c r="BK228" s="578">
        <f t="shared" si="334"/>
        <v>0</v>
      </c>
      <c r="BL228" s="576">
        <v>130000</v>
      </c>
      <c r="BM228" s="578">
        <f>'[67]Дир_по корп'!AW46</f>
        <v>130000</v>
      </c>
      <c r="BN228" s="522">
        <f t="shared" si="304"/>
        <v>130000.00000000006</v>
      </c>
      <c r="BO228" s="578">
        <f t="shared" si="339"/>
        <v>0</v>
      </c>
      <c r="BP228" s="578">
        <f t="shared" si="335"/>
        <v>0</v>
      </c>
      <c r="BQ228" s="576">
        <v>130000</v>
      </c>
      <c r="BR228" s="578">
        <f>'[67]Дир_по корп'!BB46</f>
        <v>0</v>
      </c>
      <c r="BS228" s="578">
        <f>'[67]Дир_по корп'!BC46</f>
        <v>0</v>
      </c>
      <c r="BT228" s="536"/>
      <c r="BU228" s="578">
        <v>561917.81000000006</v>
      </c>
      <c r="BV228" s="578"/>
      <c r="BW228" s="578"/>
      <c r="BX228" s="574"/>
      <c r="BY228" s="525">
        <v>561866.86</v>
      </c>
      <c r="BZ228" s="525">
        <v>40.119999999999997</v>
      </c>
      <c r="CA228" s="525">
        <v>10.83</v>
      </c>
      <c r="CB228" s="522">
        <f t="shared" si="308"/>
        <v>561917.80999999994</v>
      </c>
      <c r="CC228" s="522">
        <f t="shared" si="336"/>
        <v>0</v>
      </c>
      <c r="CD228" s="578"/>
      <c r="CE228" s="578"/>
      <c r="CF228" s="578"/>
      <c r="CG228" s="578"/>
      <c r="CH228" s="578"/>
      <c r="CI228" s="578"/>
      <c r="CJ228" s="578"/>
      <c r="CK228" s="543" t="s">
        <v>80</v>
      </c>
      <c r="CL228" s="543" t="s">
        <v>1821</v>
      </c>
      <c r="CM228" s="509" t="s">
        <v>1925</v>
      </c>
      <c r="CN228" s="528" t="s">
        <v>1849</v>
      </c>
      <c r="CO228" s="528"/>
      <c r="CP228" s="544">
        <f t="shared" si="344"/>
        <v>479762.63414503611</v>
      </c>
      <c r="CQ228" s="544">
        <f t="shared" si="345"/>
        <v>35240.130662624062</v>
      </c>
      <c r="CR228" s="544">
        <f t="shared" si="346"/>
        <v>4997.2351923398392</v>
      </c>
      <c r="CS228" s="1709" t="s">
        <v>1826</v>
      </c>
      <c r="CT228" s="1710"/>
      <c r="CU228" s="1710"/>
      <c r="CV228" s="1710"/>
      <c r="CW228" s="1711"/>
      <c r="CX228" s="528"/>
      <c r="CY228" s="528"/>
      <c r="CZ228" s="528"/>
      <c r="DA228" s="528"/>
      <c r="DB228" s="579">
        <f>171917.81</f>
        <v>171917.81</v>
      </c>
      <c r="DC228" s="628" t="e">
        <f>P228-#REF!</f>
        <v>#REF!</v>
      </c>
      <c r="DD228" s="535"/>
      <c r="DE228" s="535"/>
      <c r="DF228" s="525">
        <f t="shared" si="350"/>
        <v>561.86685999999997</v>
      </c>
      <c r="DG228" s="525">
        <f t="shared" si="350"/>
        <v>4.0119999999999996E-2</v>
      </c>
      <c r="DH228" s="525">
        <f t="shared" si="350"/>
        <v>1.0829999999999999E-2</v>
      </c>
      <c r="DI228" s="522">
        <f t="shared" si="348"/>
        <v>561.91780999999992</v>
      </c>
      <c r="DJ228" s="536"/>
      <c r="DK228" s="536"/>
      <c r="DL228" s="536"/>
      <c r="DM228" s="536"/>
      <c r="DN228" s="536"/>
      <c r="DO228" s="536"/>
      <c r="DP228" s="536"/>
      <c r="DQ228" s="536"/>
      <c r="DR228" s="536"/>
      <c r="DS228" s="536"/>
    </row>
    <row r="229" spans="1:123" s="534" customFormat="1" ht="84.6">
      <c r="A229" s="537" t="s">
        <v>964</v>
      </c>
      <c r="B229" s="538" t="s">
        <v>1946</v>
      </c>
      <c r="C229" s="576"/>
      <c r="D229" s="576"/>
      <c r="E229" s="576"/>
      <c r="F229" s="576"/>
      <c r="G229" s="577">
        <v>0</v>
      </c>
      <c r="H229" s="577">
        <v>0</v>
      </c>
      <c r="I229" s="576">
        <f t="shared" si="298"/>
        <v>3443223.1399999997</v>
      </c>
      <c r="J229" s="576">
        <v>0</v>
      </c>
      <c r="K229" s="576">
        <v>1960317.63</v>
      </c>
      <c r="L229" s="576">
        <v>1482905.51</v>
      </c>
      <c r="M229" s="576">
        <f t="shared" si="299"/>
        <v>1960317.63</v>
      </c>
      <c r="N229" s="576">
        <v>2021470.3</v>
      </c>
      <c r="O229" s="525">
        <f t="shared" si="300"/>
        <v>1095085.1199999999</v>
      </c>
      <c r="P229" s="522">
        <v>3116555.42</v>
      </c>
      <c r="Q229" s="576">
        <f t="shared" si="313"/>
        <v>-326667.71999999974</v>
      </c>
      <c r="R229" s="576">
        <f t="shared" si="314"/>
        <v>-9.4872654695274719</v>
      </c>
      <c r="S229" s="576"/>
      <c r="T229" s="576"/>
      <c r="U229" s="522">
        <f t="shared" si="301"/>
        <v>2832753.71</v>
      </c>
      <c r="V229" s="522">
        <f t="shared" si="311"/>
        <v>2832753.71</v>
      </c>
      <c r="W229" s="522">
        <v>0</v>
      </c>
      <c r="X229" s="522">
        <f t="shared" si="315"/>
        <v>-283801.70999999996</v>
      </c>
      <c r="Y229" s="522">
        <f t="shared" si="316"/>
        <v>-9.1062622592477425</v>
      </c>
      <c r="Z229" s="524">
        <f t="shared" si="317"/>
        <v>2832753.71</v>
      </c>
      <c r="AA229" s="522">
        <f t="shared" si="318"/>
        <v>2832753.71</v>
      </c>
      <c r="AB229" s="522">
        <v>0</v>
      </c>
      <c r="AC229" s="522">
        <f t="shared" si="319"/>
        <v>0</v>
      </c>
      <c r="AD229" s="522">
        <f t="shared" si="320"/>
        <v>0</v>
      </c>
      <c r="AE229" s="522">
        <f t="shared" si="321"/>
        <v>-283801.70999999996</v>
      </c>
      <c r="AF229" s="522">
        <f t="shared" si="322"/>
        <v>-9.1062622592477425</v>
      </c>
      <c r="AG229" s="522">
        <f t="shared" si="337"/>
        <v>2826226.26</v>
      </c>
      <c r="AH229" s="522">
        <f t="shared" si="323"/>
        <v>-6527.4500000001863</v>
      </c>
      <c r="AI229" s="522">
        <f t="shared" si="324"/>
        <v>-0.23042772751324492</v>
      </c>
      <c r="AJ229" s="522">
        <f t="shared" si="325"/>
        <v>-6527.4500000001863</v>
      </c>
      <c r="AK229" s="522">
        <f t="shared" si="343"/>
        <v>-0.23042772751324492</v>
      </c>
      <c r="AL229" s="522">
        <f>SUM(BU229:BV229)</f>
        <v>2826226.26</v>
      </c>
      <c r="AM229" s="522">
        <f t="shared" si="342"/>
        <v>1762799.12</v>
      </c>
      <c r="AN229" s="522">
        <f t="shared" si="342"/>
        <v>2021470.31</v>
      </c>
      <c r="AO229" s="522">
        <f t="shared" si="326"/>
        <v>258671.18999999994</v>
      </c>
      <c r="AP229" s="522">
        <f t="shared" si="338"/>
        <v>14.673889217734583</v>
      </c>
      <c r="AQ229" s="578">
        <v>0</v>
      </c>
      <c r="AR229" s="578">
        <v>0</v>
      </c>
      <c r="AS229" s="578">
        <v>1762799.12</v>
      </c>
      <c r="AT229" s="578">
        <v>2021470.31</v>
      </c>
      <c r="AU229" s="578">
        <f t="shared" si="347"/>
        <v>1069954.5900000001</v>
      </c>
      <c r="AV229" s="578">
        <f t="shared" si="347"/>
        <v>811283.4</v>
      </c>
      <c r="AW229" s="578">
        <f t="shared" si="327"/>
        <v>-258671.19000000006</v>
      </c>
      <c r="AX229" s="578">
        <f t="shared" si="328"/>
        <v>-24.175903577365844</v>
      </c>
      <c r="AY229" s="578">
        <f t="shared" si="349"/>
        <v>804755.94999999972</v>
      </c>
      <c r="AZ229" s="578">
        <f t="shared" si="329"/>
        <v>6527.4500000003027</v>
      </c>
      <c r="BA229" s="578">
        <f t="shared" si="330"/>
        <v>0.81110925616644636</v>
      </c>
      <c r="BB229" s="578">
        <v>1004555.5</v>
      </c>
      <c r="BC229" s="576">
        <f>'[67]Гл инж_Тех дир'!AT112</f>
        <v>811283.4</v>
      </c>
      <c r="BD229" s="576">
        <f t="shared" si="303"/>
        <v>804755.94999999972</v>
      </c>
      <c r="BE229" s="576">
        <f t="shared" si="331"/>
        <v>-199799.55000000028</v>
      </c>
      <c r="BF229" s="576">
        <f t="shared" si="332"/>
        <v>-6527.4500000003027</v>
      </c>
      <c r="BG229" s="576">
        <f t="shared" si="312"/>
        <v>2767354.62</v>
      </c>
      <c r="BH229" s="578">
        <f t="shared" si="312"/>
        <v>2832753.71</v>
      </c>
      <c r="BI229" s="578">
        <v>2826226.26</v>
      </c>
      <c r="BJ229" s="578">
        <f t="shared" si="333"/>
        <v>58871.639999999665</v>
      </c>
      <c r="BK229" s="578">
        <f t="shared" si="334"/>
        <v>-6527.4500000001863</v>
      </c>
      <c r="BL229" s="576">
        <v>65399.09</v>
      </c>
      <c r="BM229" s="578">
        <f>'[67]Гл инж_Тех дир'!AW112</f>
        <v>0</v>
      </c>
      <c r="BN229" s="522">
        <f t="shared" si="304"/>
        <v>0</v>
      </c>
      <c r="BO229" s="578">
        <f t="shared" si="339"/>
        <v>-65399.09</v>
      </c>
      <c r="BP229" s="578">
        <f t="shared" si="335"/>
        <v>0</v>
      </c>
      <c r="BQ229" s="576">
        <v>65399.09</v>
      </c>
      <c r="BR229" s="578">
        <f>'[67]Гл инж_Тех дир'!BB112</f>
        <v>0</v>
      </c>
      <c r="BS229" s="578">
        <f>'[67]Гл инж_Тех дир'!BC112</f>
        <v>0</v>
      </c>
      <c r="BT229" s="536"/>
      <c r="BU229" s="578">
        <v>2826226.26</v>
      </c>
      <c r="BV229" s="578"/>
      <c r="BW229" s="578"/>
      <c r="BX229" s="574"/>
      <c r="BY229" s="525">
        <v>2823809.34</v>
      </c>
      <c r="BZ229" s="525">
        <v>2388.4299999999998</v>
      </c>
      <c r="CA229" s="525">
        <v>28.49</v>
      </c>
      <c r="CB229" s="522">
        <f t="shared" si="308"/>
        <v>2826226.2600000002</v>
      </c>
      <c r="CC229" s="522">
        <f t="shared" si="336"/>
        <v>0</v>
      </c>
      <c r="CD229" s="578"/>
      <c r="CE229" s="578"/>
      <c r="CF229" s="578"/>
      <c r="CG229" s="578"/>
      <c r="CH229" s="578"/>
      <c r="CI229" s="578"/>
      <c r="CJ229" s="578"/>
      <c r="CK229" s="542" t="s">
        <v>79</v>
      </c>
      <c r="CL229" s="543" t="s">
        <v>1931</v>
      </c>
      <c r="CM229" s="509" t="s">
        <v>1925</v>
      </c>
      <c r="CN229" s="528"/>
      <c r="CO229" s="528"/>
      <c r="CP229" s="544">
        <f t="shared" si="344"/>
        <v>2613556.5034494684</v>
      </c>
      <c r="CQ229" s="544">
        <f t="shared" si="345"/>
        <v>191974.25168352516</v>
      </c>
      <c r="CR229" s="544">
        <f t="shared" si="346"/>
        <v>27222.954867006236</v>
      </c>
      <c r="CS229" s="1709" t="s">
        <v>1826</v>
      </c>
      <c r="CT229" s="1710"/>
      <c r="CU229" s="1710"/>
      <c r="CV229" s="1710"/>
      <c r="CW229" s="1711"/>
      <c r="CX229" s="528"/>
      <c r="CY229" s="528"/>
      <c r="CZ229" s="528"/>
      <c r="DA229" s="528"/>
      <c r="DB229" s="579"/>
      <c r="DC229" s="628" t="e">
        <f>P229-#REF!</f>
        <v>#REF!</v>
      </c>
      <c r="DD229" s="535"/>
      <c r="DE229" s="535"/>
      <c r="DF229" s="525">
        <f t="shared" si="350"/>
        <v>2823.8093399999998</v>
      </c>
      <c r="DG229" s="525">
        <f t="shared" si="350"/>
        <v>2.3884300000000001</v>
      </c>
      <c r="DH229" s="525">
        <f t="shared" si="350"/>
        <v>2.8489999999999998E-2</v>
      </c>
      <c r="DI229" s="522">
        <f t="shared" si="348"/>
        <v>2826.2262600000004</v>
      </c>
      <c r="DJ229" s="536"/>
      <c r="DK229" s="536"/>
      <c r="DL229" s="536"/>
      <c r="DM229" s="536"/>
      <c r="DN229" s="536"/>
      <c r="DO229" s="536"/>
      <c r="DP229" s="536"/>
      <c r="DQ229" s="536"/>
      <c r="DR229" s="536"/>
      <c r="DS229" s="536"/>
    </row>
    <row r="230" spans="1:123" ht="55.2">
      <c r="A230" s="505" t="s">
        <v>1947</v>
      </c>
      <c r="B230" s="506" t="s">
        <v>1948</v>
      </c>
      <c r="C230" s="580">
        <f t="shared" ref="C230:T230" si="351">SUM(C231:C237)</f>
        <v>8008037.5999999996</v>
      </c>
      <c r="D230" s="580">
        <f t="shared" si="351"/>
        <v>8274609.6899999995</v>
      </c>
      <c r="E230" s="594">
        <f t="shared" si="351"/>
        <v>32826983.390000001</v>
      </c>
      <c r="F230" s="594">
        <f t="shared" si="351"/>
        <v>23030544.579999998</v>
      </c>
      <c r="G230" s="580">
        <f t="shared" si="351"/>
        <v>22999781.28876204</v>
      </c>
      <c r="H230" s="580">
        <f t="shared" si="351"/>
        <v>0</v>
      </c>
      <c r="I230" s="580">
        <f t="shared" si="351"/>
        <v>34686420.439999998</v>
      </c>
      <c r="J230" s="580">
        <f t="shared" si="351"/>
        <v>14905948.59</v>
      </c>
      <c r="K230" s="580">
        <f t="shared" si="351"/>
        <v>10066088.279999999</v>
      </c>
      <c r="L230" s="580">
        <f t="shared" si="351"/>
        <v>9714383.5700000003</v>
      </c>
      <c r="M230" s="580">
        <f t="shared" si="351"/>
        <v>24972036.870000001</v>
      </c>
      <c r="N230" s="580">
        <f t="shared" si="351"/>
        <v>22257652.82</v>
      </c>
      <c r="O230" s="580">
        <f>SUM(O231:O237)</f>
        <v>17179024.189999998</v>
      </c>
      <c r="P230" s="580">
        <f>SUM(P231:P237)</f>
        <v>39436677.009999998</v>
      </c>
      <c r="Q230" s="580">
        <f t="shared" si="313"/>
        <v>4750256.57</v>
      </c>
      <c r="R230" s="580">
        <f t="shared" si="314"/>
        <v>13.694859572543436</v>
      </c>
      <c r="S230" s="580">
        <f t="shared" si="351"/>
        <v>49202400</v>
      </c>
      <c r="T230" s="580">
        <f t="shared" si="351"/>
        <v>49202400</v>
      </c>
      <c r="U230" s="580">
        <f>SUM(U231:U237)</f>
        <v>46966102.130000003</v>
      </c>
      <c r="V230" s="580">
        <f t="shared" si="311"/>
        <v>-2236297.8699999973</v>
      </c>
      <c r="W230" s="580">
        <f t="shared" si="340"/>
        <v>-4.5450991618294978</v>
      </c>
      <c r="X230" s="580">
        <f t="shared" si="315"/>
        <v>7529425.1200000048</v>
      </c>
      <c r="Y230" s="580">
        <f t="shared" si="316"/>
        <v>19.092443103385108</v>
      </c>
      <c r="Z230" s="580">
        <f t="shared" si="317"/>
        <v>47130047.805652514</v>
      </c>
      <c r="AA230" s="580">
        <f t="shared" si="318"/>
        <v>-2072352.1943474859</v>
      </c>
      <c r="AB230" s="580">
        <f t="shared" si="341"/>
        <v>-4.2118924978202017</v>
      </c>
      <c r="AC230" s="580">
        <f t="shared" si="319"/>
        <v>163945.67565251142</v>
      </c>
      <c r="AD230" s="580">
        <f t="shared" si="320"/>
        <v>0.3490723483901661</v>
      </c>
      <c r="AE230" s="580">
        <f t="shared" si="321"/>
        <v>7693370.7956525162</v>
      </c>
      <c r="AF230" s="580">
        <f t="shared" si="322"/>
        <v>19.508161891281304</v>
      </c>
      <c r="AG230" s="580">
        <f t="shared" si="337"/>
        <v>46551236.009999998</v>
      </c>
      <c r="AH230" s="580">
        <f t="shared" si="323"/>
        <v>-414866.12000000477</v>
      </c>
      <c r="AI230" s="580">
        <f t="shared" si="324"/>
        <v>-0.88333095825511521</v>
      </c>
      <c r="AJ230" s="580">
        <f t="shared" si="325"/>
        <v>-578811.79565251619</v>
      </c>
      <c r="AK230" s="580">
        <f t="shared" si="343"/>
        <v>-1.2281162922629107</v>
      </c>
      <c r="AL230" s="580">
        <f>SUM(AL231:AL237)</f>
        <v>46551236.00999999</v>
      </c>
      <c r="AM230" s="580">
        <f t="shared" si="342"/>
        <v>18609027.709999997</v>
      </c>
      <c r="AN230" s="580">
        <f t="shared" si="342"/>
        <v>18471686.73</v>
      </c>
      <c r="AO230" s="580">
        <f t="shared" si="326"/>
        <v>-137340.97999999672</v>
      </c>
      <c r="AP230" s="580">
        <f t="shared" si="338"/>
        <v>-0.73803415277947693</v>
      </c>
      <c r="AQ230" s="580">
        <f>SUM(AQ231:AQ237)</f>
        <v>9406025.7299999986</v>
      </c>
      <c r="AR230" s="580">
        <f>SUM(AR231:AR237)</f>
        <v>9212555.1899999995</v>
      </c>
      <c r="AS230" s="580">
        <f>SUM(AS231:AS237)</f>
        <v>9203001.9799999986</v>
      </c>
      <c r="AT230" s="580">
        <f>SUM(AT231:AT237)</f>
        <v>9259131.540000001</v>
      </c>
      <c r="AU230" s="580">
        <f t="shared" si="347"/>
        <v>28357074.419999998</v>
      </c>
      <c r="AV230" s="580">
        <f t="shared" si="347"/>
        <v>28658361.075652514</v>
      </c>
      <c r="AW230" s="580">
        <f t="shared" si="327"/>
        <v>301286.65565251559</v>
      </c>
      <c r="AX230" s="580">
        <f t="shared" si="328"/>
        <v>1.0624743977115685</v>
      </c>
      <c r="AY230" s="580">
        <f t="shared" si="349"/>
        <v>28079549.279999997</v>
      </c>
      <c r="AZ230" s="580">
        <f t="shared" si="329"/>
        <v>578811.79565251619</v>
      </c>
      <c r="BA230" s="580">
        <f t="shared" si="330"/>
        <v>2.061328655530744</v>
      </c>
      <c r="BB230" s="580">
        <f t="shared" ref="BB230:BN230" si="352">SUM(BB231:BB237)</f>
        <v>9091530.8299999982</v>
      </c>
      <c r="BC230" s="580">
        <f t="shared" si="352"/>
        <v>9221917.0891810879</v>
      </c>
      <c r="BD230" s="580">
        <f t="shared" si="352"/>
        <v>9100642.5599999987</v>
      </c>
      <c r="BE230" s="580">
        <f t="shared" si="331"/>
        <v>9111.730000000447</v>
      </c>
      <c r="BF230" s="580">
        <f t="shared" si="332"/>
        <v>-121274.52918108925</v>
      </c>
      <c r="BG230" s="580">
        <f t="shared" si="312"/>
        <v>27700558.539999995</v>
      </c>
      <c r="BH230" s="580">
        <f t="shared" si="352"/>
        <v>27693603.819181088</v>
      </c>
      <c r="BI230" s="580">
        <f t="shared" si="352"/>
        <v>27572329.289999999</v>
      </c>
      <c r="BJ230" s="580">
        <f t="shared" si="333"/>
        <v>-128229.24999999627</v>
      </c>
      <c r="BK230" s="580">
        <f t="shared" si="334"/>
        <v>-121274.52918108925</v>
      </c>
      <c r="BL230" s="580">
        <f t="shared" si="352"/>
        <v>19265543.59</v>
      </c>
      <c r="BM230" s="580">
        <f t="shared" si="352"/>
        <v>19436443.986471426</v>
      </c>
      <c r="BN230" s="580">
        <f t="shared" si="352"/>
        <v>18978906.719999999</v>
      </c>
      <c r="BO230" s="580">
        <f t="shared" si="339"/>
        <v>-286636.87000000104</v>
      </c>
      <c r="BP230" s="580">
        <f t="shared" si="335"/>
        <v>-457537.26647142693</v>
      </c>
      <c r="BQ230" s="580">
        <f t="shared" ref="BQ230:BS230" si="353">SUM(BQ231:BQ237)</f>
        <v>19265543.59</v>
      </c>
      <c r="BR230" s="580">
        <f t="shared" si="353"/>
        <v>0</v>
      </c>
      <c r="BS230" s="580">
        <f t="shared" si="353"/>
        <v>0</v>
      </c>
      <c r="BU230" s="580">
        <f>SUM(BU231:BU237)</f>
        <v>45112255.009999998</v>
      </c>
      <c r="BV230" s="580">
        <f t="shared" ref="BV230:BW230" si="354">SUM(BV231:BV237)</f>
        <v>1438981</v>
      </c>
      <c r="BW230" s="580">
        <f t="shared" si="354"/>
        <v>0</v>
      </c>
      <c r="BX230" s="581"/>
      <c r="BY230" s="580">
        <f>SUM(BY231:BY237)</f>
        <v>45265698.190000005</v>
      </c>
      <c r="BZ230" s="580">
        <f>SUM(BZ231:BZ237)</f>
        <v>1185059.8700000001</v>
      </c>
      <c r="CA230" s="580">
        <f>SUM(CA231:CA237)</f>
        <v>100477.95</v>
      </c>
      <c r="CB230" s="580">
        <f>SUM(CB231:CB237)</f>
        <v>46551236.009999998</v>
      </c>
      <c r="CC230" s="580">
        <f t="shared" si="336"/>
        <v>0</v>
      </c>
      <c r="CD230" s="580"/>
      <c r="CE230" s="580"/>
      <c r="CF230" s="580"/>
      <c r="CG230" s="580"/>
      <c r="CH230" s="580"/>
      <c r="CI230" s="580"/>
      <c r="CJ230" s="580"/>
      <c r="CK230" s="508"/>
      <c r="CL230" s="508"/>
      <c r="CM230" s="510"/>
      <c r="CN230" s="510"/>
      <c r="CO230" s="510"/>
      <c r="CP230" s="582">
        <f>SUM(CP231:CP237)</f>
        <v>43331886.295026138</v>
      </c>
      <c r="CQ230" s="582">
        <f>SUM(CQ231:CQ237)</f>
        <v>3182868.4149525892</v>
      </c>
      <c r="CR230" s="582">
        <f>SUM(CR231:CR237)</f>
        <v>451347.42002127523</v>
      </c>
      <c r="CS230" s="1715"/>
      <c r="CT230" s="1716"/>
      <c r="CU230" s="1716"/>
      <c r="CV230" s="1716"/>
      <c r="CW230" s="1717"/>
      <c r="CX230" s="510"/>
      <c r="CY230" s="510"/>
      <c r="CZ230" s="510"/>
      <c r="DA230" s="510"/>
      <c r="DB230" s="582">
        <f>SUM(DB231:DB237)</f>
        <v>9212555.1899999995</v>
      </c>
      <c r="DC230" s="628" t="e">
        <f>P230-#REF!</f>
        <v>#REF!</v>
      </c>
      <c r="DD230" s="517"/>
      <c r="DE230" s="517"/>
      <c r="DF230" s="580">
        <f t="shared" si="350"/>
        <v>45265.698190000003</v>
      </c>
      <c r="DG230" s="580">
        <f t="shared" si="350"/>
        <v>1185.05987</v>
      </c>
      <c r="DH230" s="580">
        <f t="shared" si="350"/>
        <v>100.47794999999999</v>
      </c>
      <c r="DI230" s="580">
        <f t="shared" si="348"/>
        <v>46551.236010000001</v>
      </c>
    </row>
    <row r="231" spans="1:123" s="534" customFormat="1" ht="68.25" customHeight="1">
      <c r="A231" s="598" t="s">
        <v>1949</v>
      </c>
      <c r="B231" s="538" t="s">
        <v>1220</v>
      </c>
      <c r="C231" s="576">
        <v>600243.93999999994</v>
      </c>
      <c r="D231" s="576">
        <v>412642.16</v>
      </c>
      <c r="E231" s="576">
        <v>316450.40000000002</v>
      </c>
      <c r="F231" s="576">
        <v>1276402.75</v>
      </c>
      <c r="G231" s="577">
        <v>434099.5536153164</v>
      </c>
      <c r="H231" s="577">
        <v>0</v>
      </c>
      <c r="I231" s="576">
        <f t="shared" ref="I231:I237" si="355">J231+K231+L231</f>
        <v>4653982.97</v>
      </c>
      <c r="J231" s="576">
        <v>0</v>
      </c>
      <c r="K231" s="576">
        <v>2326994.3199999998</v>
      </c>
      <c r="L231" s="576">
        <v>2326988.65</v>
      </c>
      <c r="M231" s="576">
        <f t="shared" ref="M231:M237" si="356">J231+K231</f>
        <v>2326994.3199999998</v>
      </c>
      <c r="N231" s="576"/>
      <c r="O231" s="525">
        <f t="shared" ref="O231:O237" si="357">P231-N231</f>
        <v>9193961</v>
      </c>
      <c r="P231" s="522">
        <f>6942+9187019</f>
        <v>9193961</v>
      </c>
      <c r="Q231" s="576">
        <f t="shared" si="313"/>
        <v>4539978.03</v>
      </c>
      <c r="R231" s="576">
        <f t="shared" si="314"/>
        <v>97.550379089590876</v>
      </c>
      <c r="S231" s="576">
        <v>8260750</v>
      </c>
      <c r="T231" s="576">
        <v>8260750</v>
      </c>
      <c r="U231" s="522">
        <f t="shared" ref="U231:U237" si="358">AQ231+AS231+BB231+BL231</f>
        <v>9765435.2699999996</v>
      </c>
      <c r="V231" s="522">
        <f t="shared" si="311"/>
        <v>1504685.2699999996</v>
      </c>
      <c r="W231" s="522">
        <f t="shared" si="340"/>
        <v>18.214874799503676</v>
      </c>
      <c r="X231" s="522">
        <f t="shared" si="315"/>
        <v>571474.26999999955</v>
      </c>
      <c r="Y231" s="522">
        <f t="shared" si="316"/>
        <v>6.2157569517643054</v>
      </c>
      <c r="Z231" s="524">
        <f t="shared" si="317"/>
        <v>9780869.2000000011</v>
      </c>
      <c r="AA231" s="522">
        <f t="shared" si="318"/>
        <v>1520119.2000000011</v>
      </c>
      <c r="AB231" s="522">
        <f t="shared" si="341"/>
        <v>18.401709287897589</v>
      </c>
      <c r="AC231" s="522">
        <f t="shared" si="319"/>
        <v>15433.930000001565</v>
      </c>
      <c r="AD231" s="522">
        <f t="shared" si="320"/>
        <v>0.1580465137833329</v>
      </c>
      <c r="AE231" s="522">
        <f t="shared" si="321"/>
        <v>586908.20000000112</v>
      </c>
      <c r="AF231" s="522">
        <f t="shared" si="322"/>
        <v>6.3836272527151294</v>
      </c>
      <c r="AG231" s="522">
        <f t="shared" si="337"/>
        <v>9587691.6400000006</v>
      </c>
      <c r="AH231" s="522">
        <f t="shared" si="323"/>
        <v>-177743.62999999896</v>
      </c>
      <c r="AI231" s="522">
        <f t="shared" si="324"/>
        <v>-1.8201301333289024</v>
      </c>
      <c r="AJ231" s="522">
        <f t="shared" si="325"/>
        <v>-193177.56000000052</v>
      </c>
      <c r="AK231" s="522">
        <f t="shared" si="343"/>
        <v>-1.9750551413160764</v>
      </c>
      <c r="AL231" s="522">
        <f t="shared" ref="AL231:AL238" si="359">SUM(BU231:BV231)</f>
        <v>9587691.6400000006</v>
      </c>
      <c r="AM231" s="522">
        <f t="shared" si="342"/>
        <v>0</v>
      </c>
      <c r="AN231" s="522">
        <f t="shared" si="342"/>
        <v>0</v>
      </c>
      <c r="AO231" s="522">
        <f t="shared" si="326"/>
        <v>0</v>
      </c>
      <c r="AP231" s="522">
        <v>0</v>
      </c>
      <c r="AQ231" s="578">
        <v>0</v>
      </c>
      <c r="AR231" s="578">
        <v>0</v>
      </c>
      <c r="AS231" s="578">
        <v>0</v>
      </c>
      <c r="AT231" s="578">
        <v>0</v>
      </c>
      <c r="AU231" s="578">
        <f t="shared" si="347"/>
        <v>9765435.2699999996</v>
      </c>
      <c r="AV231" s="578">
        <f t="shared" si="347"/>
        <v>9780869.2000000011</v>
      </c>
      <c r="AW231" s="578">
        <f t="shared" si="327"/>
        <v>15433.930000001565</v>
      </c>
      <c r="AX231" s="578">
        <f t="shared" si="328"/>
        <v>0.1580465137833329</v>
      </c>
      <c r="AY231" s="578">
        <f t="shared" si="349"/>
        <v>9587691.6400000006</v>
      </c>
      <c r="AZ231" s="578">
        <f t="shared" si="329"/>
        <v>193177.56000000052</v>
      </c>
      <c r="BA231" s="578">
        <f t="shared" si="330"/>
        <v>2.0148495305591752</v>
      </c>
      <c r="BB231" s="578">
        <v>0</v>
      </c>
      <c r="BC231" s="576">
        <f>'[67]Дир_по экон'!AT28</f>
        <v>0</v>
      </c>
      <c r="BD231" s="576">
        <f t="shared" ref="BD231:BD238" si="360">BI231-AN231</f>
        <v>0</v>
      </c>
      <c r="BE231" s="576">
        <f t="shared" si="331"/>
        <v>0</v>
      </c>
      <c r="BF231" s="576">
        <f t="shared" si="332"/>
        <v>0</v>
      </c>
      <c r="BG231" s="576">
        <f t="shared" si="312"/>
        <v>0</v>
      </c>
      <c r="BH231" s="578">
        <f t="shared" si="312"/>
        <v>0</v>
      </c>
      <c r="BI231" s="578"/>
      <c r="BJ231" s="578">
        <f t="shared" si="333"/>
        <v>0</v>
      </c>
      <c r="BK231" s="578">
        <f t="shared" si="334"/>
        <v>0</v>
      </c>
      <c r="BL231" s="576">
        <v>9765435.2699999996</v>
      </c>
      <c r="BM231" s="578">
        <f>'[67]Дир_по экон'!AW28</f>
        <v>9780869.2000000011</v>
      </c>
      <c r="BN231" s="522">
        <f t="shared" ref="BN231:BN238" si="361">AL231-BI231</f>
        <v>9587691.6400000006</v>
      </c>
      <c r="BO231" s="578">
        <f t="shared" si="339"/>
        <v>-177743.62999999896</v>
      </c>
      <c r="BP231" s="578">
        <f t="shared" si="335"/>
        <v>-193177.56000000052</v>
      </c>
      <c r="BQ231" s="576">
        <v>9765435.2699999996</v>
      </c>
      <c r="BR231" s="578">
        <f>'[67]Дир_по экон'!BB28</f>
        <v>0</v>
      </c>
      <c r="BS231" s="578">
        <f>'[67]Дир_по экон'!BC28</f>
        <v>0</v>
      </c>
      <c r="BT231" s="536"/>
      <c r="BU231" s="578">
        <v>9580749.6400000006</v>
      </c>
      <c r="BV231" s="578">
        <v>6942</v>
      </c>
      <c r="BW231" s="578"/>
      <c r="BX231" s="574"/>
      <c r="BY231" s="525">
        <f>8849539.85+6942</f>
        <v>8856481.8499999996</v>
      </c>
      <c r="BZ231" s="525">
        <v>692887.7</v>
      </c>
      <c r="CA231" s="525">
        <v>38322.089999999997</v>
      </c>
      <c r="CB231" s="522">
        <f t="shared" si="308"/>
        <v>9587691.6399999987</v>
      </c>
      <c r="CC231" s="522">
        <f t="shared" si="336"/>
        <v>0</v>
      </c>
      <c r="CD231" s="578"/>
      <c r="CE231" s="578"/>
      <c r="CF231" s="578"/>
      <c r="CG231" s="578"/>
      <c r="CH231" s="578"/>
      <c r="CI231" s="578"/>
      <c r="CJ231" s="578"/>
      <c r="CK231" s="543" t="s">
        <v>77</v>
      </c>
      <c r="CL231" s="542" t="s">
        <v>1800</v>
      </c>
      <c r="CM231" s="528" t="s">
        <v>1305</v>
      </c>
      <c r="CN231" s="528" t="s">
        <v>1849</v>
      </c>
      <c r="CO231" s="528"/>
      <c r="CP231" s="544">
        <f t="shared" ref="CP231:CP237" si="362">U231*$CU$7/100</f>
        <v>9009790.2859770041</v>
      </c>
      <c r="CQ231" s="544">
        <f t="shared" ref="CQ231:CQ237" si="363">U231*$CU$8/100</f>
        <v>661798.49017730285</v>
      </c>
      <c r="CR231" s="544">
        <f t="shared" ref="CR231:CR237" si="364">U231*$CU$9/100</f>
        <v>93846.493845693651</v>
      </c>
      <c r="CS231" s="1709" t="s">
        <v>1826</v>
      </c>
      <c r="CT231" s="1710"/>
      <c r="CU231" s="1710"/>
      <c r="CV231" s="1710"/>
      <c r="CW231" s="1711"/>
      <c r="CX231" s="528"/>
      <c r="CY231" s="528"/>
      <c r="CZ231" s="528"/>
      <c r="DA231" s="528"/>
      <c r="DB231" s="579"/>
      <c r="DC231" s="628" t="e">
        <f>P231-#REF!</f>
        <v>#REF!</v>
      </c>
      <c r="DD231" s="535"/>
      <c r="DE231" s="535"/>
      <c r="DF231" s="525">
        <f t="shared" si="350"/>
        <v>8856.4818500000001</v>
      </c>
      <c r="DG231" s="525">
        <f t="shared" si="350"/>
        <v>692.8877</v>
      </c>
      <c r="DH231" s="525">
        <f t="shared" si="350"/>
        <v>38.322089999999996</v>
      </c>
      <c r="DI231" s="522">
        <f t="shared" si="348"/>
        <v>9587.6916399999991</v>
      </c>
      <c r="DJ231" s="536"/>
      <c r="DK231" s="536"/>
      <c r="DL231" s="536"/>
      <c r="DM231" s="536"/>
      <c r="DN231" s="536"/>
      <c r="DO231" s="536"/>
      <c r="DP231" s="536"/>
      <c r="DQ231" s="536"/>
      <c r="DR231" s="536"/>
      <c r="DS231" s="536"/>
    </row>
    <row r="232" spans="1:123" s="602" customFormat="1" ht="68.25" customHeight="1">
      <c r="A232" s="598" t="s">
        <v>1224</v>
      </c>
      <c r="B232" s="610" t="s">
        <v>1225</v>
      </c>
      <c r="C232" s="525">
        <v>879069.5</v>
      </c>
      <c r="D232" s="525">
        <v>1812299.65</v>
      </c>
      <c r="E232" s="525">
        <v>936048.31018999999</v>
      </c>
      <c r="F232" s="525">
        <v>935737</v>
      </c>
      <c r="G232" s="596">
        <v>80421.355146722679</v>
      </c>
      <c r="H232" s="596">
        <v>0</v>
      </c>
      <c r="I232" s="525">
        <f t="shared" si="355"/>
        <v>487398.96</v>
      </c>
      <c r="J232" s="525">
        <v>0</v>
      </c>
      <c r="K232" s="525">
        <v>233485.48</v>
      </c>
      <c r="L232" s="525">
        <v>253913.48</v>
      </c>
      <c r="M232" s="525">
        <f t="shared" si="356"/>
        <v>233485.48</v>
      </c>
      <c r="N232" s="525"/>
      <c r="O232" s="525">
        <f t="shared" si="357"/>
        <v>946836</v>
      </c>
      <c r="P232" s="522">
        <v>946836</v>
      </c>
      <c r="Q232" s="525">
        <f t="shared" si="313"/>
        <v>459437.04</v>
      </c>
      <c r="R232" s="525">
        <f t="shared" si="314"/>
        <v>94.263032485748425</v>
      </c>
      <c r="S232" s="576">
        <v>978110</v>
      </c>
      <c r="T232" s="576">
        <v>978110</v>
      </c>
      <c r="U232" s="522">
        <f t="shared" si="358"/>
        <v>975873.14</v>
      </c>
      <c r="V232" s="522">
        <f t="shared" si="311"/>
        <v>-2236.859999999986</v>
      </c>
      <c r="W232" s="522">
        <f t="shared" si="340"/>
        <v>-0.22869206939914477</v>
      </c>
      <c r="X232" s="522">
        <f t="shared" si="315"/>
        <v>29037.140000000014</v>
      </c>
      <c r="Y232" s="522">
        <f t="shared" si="316"/>
        <v>3.0667549607323821</v>
      </c>
      <c r="Z232" s="524">
        <f t="shared" si="317"/>
        <v>949698.04</v>
      </c>
      <c r="AA232" s="522">
        <f t="shared" si="318"/>
        <v>-28411.959999999963</v>
      </c>
      <c r="AB232" s="522">
        <f t="shared" si="341"/>
        <v>-2.9047816707732323</v>
      </c>
      <c r="AC232" s="522">
        <f t="shared" si="319"/>
        <v>-26175.099999999977</v>
      </c>
      <c r="AD232" s="522">
        <f t="shared" si="320"/>
        <v>-2.682223634108837</v>
      </c>
      <c r="AE232" s="522">
        <f t="shared" si="321"/>
        <v>2862.0400000000373</v>
      </c>
      <c r="AF232" s="522">
        <f t="shared" si="322"/>
        <v>0.30227410026657253</v>
      </c>
      <c r="AG232" s="522">
        <f t="shared" si="337"/>
        <v>991990</v>
      </c>
      <c r="AH232" s="522">
        <f t="shared" si="323"/>
        <v>16116.859999999986</v>
      </c>
      <c r="AI232" s="522">
        <f t="shared" si="324"/>
        <v>1.6515322883054182</v>
      </c>
      <c r="AJ232" s="522">
        <f t="shared" si="325"/>
        <v>42291.959999999963</v>
      </c>
      <c r="AK232" s="522">
        <f t="shared" si="343"/>
        <v>4.4532007247271963</v>
      </c>
      <c r="AL232" s="522">
        <f t="shared" si="359"/>
        <v>991990</v>
      </c>
      <c r="AM232" s="522">
        <f t="shared" si="342"/>
        <v>0</v>
      </c>
      <c r="AN232" s="522">
        <f t="shared" si="342"/>
        <v>0</v>
      </c>
      <c r="AO232" s="522">
        <f t="shared" si="326"/>
        <v>0</v>
      </c>
      <c r="AP232" s="522">
        <v>0</v>
      </c>
      <c r="AQ232" s="578">
        <v>0</v>
      </c>
      <c r="AR232" s="578">
        <v>0</v>
      </c>
      <c r="AS232" s="578">
        <v>0</v>
      </c>
      <c r="AT232" s="578">
        <v>0</v>
      </c>
      <c r="AU232" s="578">
        <f t="shared" si="347"/>
        <v>975873.14</v>
      </c>
      <c r="AV232" s="578">
        <f t="shared" si="347"/>
        <v>949698.04</v>
      </c>
      <c r="AW232" s="578">
        <f t="shared" si="327"/>
        <v>-26175.099999999977</v>
      </c>
      <c r="AX232" s="578">
        <f t="shared" si="328"/>
        <v>-2.682223634108837</v>
      </c>
      <c r="AY232" s="578">
        <f t="shared" si="349"/>
        <v>991990</v>
      </c>
      <c r="AZ232" s="578">
        <f t="shared" si="329"/>
        <v>-42291.959999999963</v>
      </c>
      <c r="BA232" s="578">
        <f t="shared" si="330"/>
        <v>-4.2633453966269883</v>
      </c>
      <c r="BB232" s="578">
        <v>0</v>
      </c>
      <c r="BC232" s="576">
        <f>'[67]Дир_по экон'!AT29</f>
        <v>0</v>
      </c>
      <c r="BD232" s="576">
        <f t="shared" si="360"/>
        <v>0</v>
      </c>
      <c r="BE232" s="576">
        <f t="shared" si="331"/>
        <v>0</v>
      </c>
      <c r="BF232" s="576">
        <f t="shared" si="332"/>
        <v>0</v>
      </c>
      <c r="BG232" s="576">
        <f t="shared" si="312"/>
        <v>0</v>
      </c>
      <c r="BH232" s="578">
        <f t="shared" si="312"/>
        <v>0</v>
      </c>
      <c r="BI232" s="578"/>
      <c r="BJ232" s="578">
        <f t="shared" si="333"/>
        <v>0</v>
      </c>
      <c r="BK232" s="578">
        <f t="shared" si="334"/>
        <v>0</v>
      </c>
      <c r="BL232" s="576">
        <v>975873.14</v>
      </c>
      <c r="BM232" s="578">
        <f>'[67]Дир_по экон'!AW29</f>
        <v>949698.04</v>
      </c>
      <c r="BN232" s="522">
        <f t="shared" si="361"/>
        <v>991990</v>
      </c>
      <c r="BO232" s="578">
        <f t="shared" si="339"/>
        <v>16116.859999999986</v>
      </c>
      <c r="BP232" s="578">
        <f t="shared" si="335"/>
        <v>42291.959999999963</v>
      </c>
      <c r="BQ232" s="576">
        <v>975873.14</v>
      </c>
      <c r="BR232" s="578">
        <f>'[67]Дир_по экон'!BB29</f>
        <v>0</v>
      </c>
      <c r="BS232" s="578">
        <f>'[67]Дир_по экон'!BC29</f>
        <v>0</v>
      </c>
      <c r="BT232" s="600"/>
      <c r="BU232" s="578">
        <v>194144</v>
      </c>
      <c r="BV232" s="578">
        <v>797846</v>
      </c>
      <c r="BW232" s="578"/>
      <c r="BX232" s="595"/>
      <c r="BY232" s="525">
        <f>186666.22+797846</f>
        <v>984512.22</v>
      </c>
      <c r="BZ232" s="525">
        <v>7085.89</v>
      </c>
      <c r="CA232" s="525">
        <v>391.89</v>
      </c>
      <c r="CB232" s="522">
        <f t="shared" si="308"/>
        <v>991990</v>
      </c>
      <c r="CC232" s="522">
        <f t="shared" si="336"/>
        <v>0</v>
      </c>
      <c r="CD232" s="578"/>
      <c r="CE232" s="578"/>
      <c r="CF232" s="578"/>
      <c r="CG232" s="578"/>
      <c r="CH232" s="578"/>
      <c r="CI232" s="578"/>
      <c r="CJ232" s="578"/>
      <c r="CK232" s="543" t="s">
        <v>77</v>
      </c>
      <c r="CL232" s="612" t="s">
        <v>1800</v>
      </c>
      <c r="CM232" s="528" t="s">
        <v>1305</v>
      </c>
      <c r="CN232" s="528" t="s">
        <v>1849</v>
      </c>
      <c r="CO232" s="601"/>
      <c r="CP232" s="544">
        <f t="shared" si="362"/>
        <v>900360.51584189921</v>
      </c>
      <c r="CQ232" s="544">
        <f t="shared" si="363"/>
        <v>66134.417237971589</v>
      </c>
      <c r="CR232" s="544">
        <f t="shared" si="364"/>
        <v>9378.2069201291997</v>
      </c>
      <c r="CS232" s="1709" t="s">
        <v>1826</v>
      </c>
      <c r="CT232" s="1710"/>
      <c r="CU232" s="1710"/>
      <c r="CV232" s="1710"/>
      <c r="CW232" s="1711"/>
      <c r="CX232" s="601"/>
      <c r="CY232" s="601"/>
      <c r="CZ232" s="601"/>
      <c r="DA232" s="601"/>
      <c r="DB232" s="579"/>
      <c r="DC232" s="628" t="e">
        <f>P232-#REF!</f>
        <v>#REF!</v>
      </c>
      <c r="DD232" s="603"/>
      <c r="DE232" s="603"/>
      <c r="DF232" s="525">
        <f t="shared" si="350"/>
        <v>984.51221999999996</v>
      </c>
      <c r="DG232" s="525">
        <f t="shared" si="350"/>
        <v>7.08589</v>
      </c>
      <c r="DH232" s="525">
        <f t="shared" si="350"/>
        <v>0.39188999999999996</v>
      </c>
      <c r="DI232" s="522">
        <f t="shared" si="348"/>
        <v>991.99</v>
      </c>
      <c r="DJ232" s="600"/>
      <c r="DK232" s="600"/>
      <c r="DL232" s="600"/>
      <c r="DM232" s="600"/>
      <c r="DN232" s="600"/>
      <c r="DO232" s="600"/>
      <c r="DP232" s="600"/>
      <c r="DQ232" s="600"/>
      <c r="DR232" s="600"/>
      <c r="DS232" s="600"/>
    </row>
    <row r="233" spans="1:123" s="602" customFormat="1" ht="95.25" customHeight="1">
      <c r="A233" s="598" t="s">
        <v>1234</v>
      </c>
      <c r="B233" s="610" t="s">
        <v>1235</v>
      </c>
      <c r="C233" s="525">
        <v>2181199.7999999998</v>
      </c>
      <c r="D233" s="525"/>
      <c r="E233" s="525">
        <v>2325444.05981</v>
      </c>
      <c r="F233" s="525">
        <v>1584112.76</v>
      </c>
      <c r="G233" s="661">
        <v>1194140.3800000001</v>
      </c>
      <c r="H233" s="661">
        <v>0</v>
      </c>
      <c r="I233" s="525">
        <f t="shared" si="355"/>
        <v>1398081.46</v>
      </c>
      <c r="J233" s="525">
        <v>678747.59</v>
      </c>
      <c r="K233" s="525">
        <v>363247.09</v>
      </c>
      <c r="L233" s="525">
        <v>356086.78</v>
      </c>
      <c r="M233" s="525">
        <f t="shared" si="356"/>
        <v>1041994.6799999999</v>
      </c>
      <c r="N233" s="525">
        <v>1006593.82</v>
      </c>
      <c r="O233" s="525">
        <f t="shared" si="357"/>
        <v>438257.19000000006</v>
      </c>
      <c r="P233" s="522">
        <f>358493.76+1086357.25</f>
        <v>1444851.01</v>
      </c>
      <c r="Q233" s="525">
        <f t="shared" si="313"/>
        <v>46769.550000000047</v>
      </c>
      <c r="R233" s="525">
        <f t="shared" si="314"/>
        <v>3.3452664482082497</v>
      </c>
      <c r="S233" s="525">
        <v>1351720</v>
      </c>
      <c r="T233" s="525">
        <v>1351720</v>
      </c>
      <c r="U233" s="522">
        <f t="shared" si="358"/>
        <v>1660171.1500000001</v>
      </c>
      <c r="V233" s="522">
        <f t="shared" si="311"/>
        <v>308451.15000000014</v>
      </c>
      <c r="W233" s="522">
        <f t="shared" si="340"/>
        <v>22.819160033142964</v>
      </c>
      <c r="X233" s="522">
        <f t="shared" si="315"/>
        <v>215320.14000000013</v>
      </c>
      <c r="Y233" s="522">
        <f t="shared" si="316"/>
        <v>14.902584315596684</v>
      </c>
      <c r="Z233" s="524">
        <f t="shared" si="317"/>
        <v>1662384.44</v>
      </c>
      <c r="AA233" s="522">
        <f t="shared" si="318"/>
        <v>310664.43999999994</v>
      </c>
      <c r="AB233" s="522">
        <f t="shared" si="341"/>
        <v>22.982898825200479</v>
      </c>
      <c r="AC233" s="522">
        <f t="shared" si="319"/>
        <v>2213.2899999998044</v>
      </c>
      <c r="AD233" s="522">
        <f t="shared" si="320"/>
        <v>0.13331697758991368</v>
      </c>
      <c r="AE233" s="522">
        <f t="shared" si="321"/>
        <v>217533.42999999993</v>
      </c>
      <c r="AF233" s="522">
        <f t="shared" si="322"/>
        <v>15.055768968178924</v>
      </c>
      <c r="AG233" s="522">
        <f t="shared" si="337"/>
        <v>1818331.16</v>
      </c>
      <c r="AH233" s="522">
        <f t="shared" si="323"/>
        <v>158160.00999999978</v>
      </c>
      <c r="AI233" s="522">
        <f t="shared" si="324"/>
        <v>9.5267292170448741</v>
      </c>
      <c r="AJ233" s="522">
        <f t="shared" si="325"/>
        <v>155946.71999999997</v>
      </c>
      <c r="AK233" s="522">
        <f t="shared" si="343"/>
        <v>9.3809058992395222</v>
      </c>
      <c r="AL233" s="522">
        <f t="shared" si="359"/>
        <v>1818331.16</v>
      </c>
      <c r="AM233" s="522">
        <f t="shared" si="342"/>
        <v>830085.57000000007</v>
      </c>
      <c r="AN233" s="522">
        <f t="shared" si="342"/>
        <v>818638.65999999992</v>
      </c>
      <c r="AO233" s="522">
        <f t="shared" si="326"/>
        <v>-11446.910000000149</v>
      </c>
      <c r="AP233" s="522">
        <f t="shared" si="338"/>
        <v>-1.3790036128444143</v>
      </c>
      <c r="AQ233" s="522">
        <v>415042.78</v>
      </c>
      <c r="AR233" s="522">
        <v>368763.43</v>
      </c>
      <c r="AS233" s="522">
        <v>415042.79</v>
      </c>
      <c r="AT233" s="522">
        <v>449875.22999999992</v>
      </c>
      <c r="AU233" s="522">
        <f t="shared" si="347"/>
        <v>830085.58</v>
      </c>
      <c r="AV233" s="522">
        <f t="shared" si="347"/>
        <v>843745.78</v>
      </c>
      <c r="AW233" s="522">
        <f t="shared" si="327"/>
        <v>13660.20000000007</v>
      </c>
      <c r="AX233" s="522">
        <f t="shared" si="328"/>
        <v>1.6456375498054285</v>
      </c>
      <c r="AY233" s="522">
        <f t="shared" si="349"/>
        <v>999692.5</v>
      </c>
      <c r="AZ233" s="522">
        <f t="shared" si="329"/>
        <v>-155946.71999999997</v>
      </c>
      <c r="BA233" s="522">
        <f t="shared" si="330"/>
        <v>-15.59946883666727</v>
      </c>
      <c r="BB233" s="522">
        <v>415042.79</v>
      </c>
      <c r="BC233" s="525">
        <f>'[67]Гл инж_Тех дир'!AT18</f>
        <v>428702.99</v>
      </c>
      <c r="BD233" s="525">
        <f t="shared" si="360"/>
        <v>416069.5</v>
      </c>
      <c r="BE233" s="525">
        <f t="shared" si="331"/>
        <v>1026.710000000021</v>
      </c>
      <c r="BF233" s="525">
        <f t="shared" si="332"/>
        <v>-12633.489999999991</v>
      </c>
      <c r="BG233" s="525">
        <f t="shared" si="312"/>
        <v>1245128.3600000001</v>
      </c>
      <c r="BH233" s="522">
        <f t="shared" si="312"/>
        <v>1247341.6499999999</v>
      </c>
      <c r="BI233" s="522">
        <v>1234708.1599999999</v>
      </c>
      <c r="BJ233" s="522">
        <f t="shared" si="333"/>
        <v>-10420.200000000186</v>
      </c>
      <c r="BK233" s="522">
        <f t="shared" si="334"/>
        <v>-12633.489999999991</v>
      </c>
      <c r="BL233" s="525">
        <v>415042.79</v>
      </c>
      <c r="BM233" s="522">
        <f>'[67]Гл инж_Тех дир'!AW18</f>
        <v>415042.79</v>
      </c>
      <c r="BN233" s="522">
        <f t="shared" si="361"/>
        <v>583623</v>
      </c>
      <c r="BO233" s="522">
        <f t="shared" si="339"/>
        <v>168580.21000000002</v>
      </c>
      <c r="BP233" s="522">
        <f t="shared" si="335"/>
        <v>168580.21000000002</v>
      </c>
      <c r="BQ233" s="525">
        <v>415042.79</v>
      </c>
      <c r="BR233" s="522">
        <f>'[67]Гл инж_Тех дир'!BB18</f>
        <v>0</v>
      </c>
      <c r="BS233" s="522">
        <f>'[67]Гл инж_Тех дир'!BC18</f>
        <v>0</v>
      </c>
      <c r="BT233" s="600"/>
      <c r="BU233" s="522">
        <f>205616.43+1612714.73</f>
        <v>1818331.16</v>
      </c>
      <c r="BV233" s="522"/>
      <c r="BW233" s="522"/>
      <c r="BX233" s="595"/>
      <c r="BY233" s="525">
        <f>186895.91+1404922.49</f>
        <v>1591818.4</v>
      </c>
      <c r="BZ233" s="525">
        <f>15957.39+187692.56</f>
        <v>203649.95</v>
      </c>
      <c r="CA233" s="525">
        <f>2763.13+20099.68</f>
        <v>22862.81</v>
      </c>
      <c r="CB233" s="522">
        <f t="shared" si="308"/>
        <v>1818331.16</v>
      </c>
      <c r="CC233" s="522">
        <f t="shared" si="336"/>
        <v>0</v>
      </c>
      <c r="CD233" s="522"/>
      <c r="CE233" s="522"/>
      <c r="CF233" s="522"/>
      <c r="CG233" s="522"/>
      <c r="CH233" s="522"/>
      <c r="CI233" s="522"/>
      <c r="CJ233" s="522"/>
      <c r="CK233" s="612" t="s">
        <v>79</v>
      </c>
      <c r="CL233" s="543" t="s">
        <v>1803</v>
      </c>
      <c r="CM233" s="528" t="s">
        <v>1305</v>
      </c>
      <c r="CN233" s="528" t="s">
        <v>1849</v>
      </c>
      <c r="CO233" s="601"/>
      <c r="CP233" s="544">
        <f t="shared" si="362"/>
        <v>1531707.8539530654</v>
      </c>
      <c r="CQ233" s="544">
        <f t="shared" si="363"/>
        <v>112508.93893907472</v>
      </c>
      <c r="CR233" s="544">
        <f t="shared" si="364"/>
        <v>15954.3571078602</v>
      </c>
      <c r="CS233" s="1709" t="s">
        <v>1826</v>
      </c>
      <c r="CT233" s="1710"/>
      <c r="CU233" s="1710"/>
      <c r="CV233" s="1710"/>
      <c r="CW233" s="1711"/>
      <c r="CX233" s="601"/>
      <c r="CY233" s="601"/>
      <c r="CZ233" s="601"/>
      <c r="DA233" s="601"/>
      <c r="DB233" s="544">
        <f>86092.61+282670.82</f>
        <v>368763.43</v>
      </c>
      <c r="DC233" s="628" t="e">
        <f>P233-#REF!</f>
        <v>#REF!</v>
      </c>
      <c r="DD233" s="603">
        <f>174548.44+1060159.72</f>
        <v>1234708.1599999999</v>
      </c>
      <c r="DE233" s="603"/>
      <c r="DF233" s="525">
        <f t="shared" si="350"/>
        <v>1591.8183999999999</v>
      </c>
      <c r="DG233" s="525">
        <f t="shared" si="350"/>
        <v>203.64995000000002</v>
      </c>
      <c r="DH233" s="525">
        <f t="shared" si="350"/>
        <v>22.86281</v>
      </c>
      <c r="DI233" s="522">
        <f t="shared" si="348"/>
        <v>1818.33116</v>
      </c>
      <c r="DJ233" s="600"/>
      <c r="DK233" s="600"/>
      <c r="DL233" s="600"/>
      <c r="DM233" s="600"/>
      <c r="DN233" s="600"/>
      <c r="DO233" s="600"/>
      <c r="DP233" s="600"/>
      <c r="DQ233" s="600"/>
      <c r="DR233" s="600"/>
      <c r="DS233" s="600"/>
    </row>
    <row r="234" spans="1:123" s="602" customFormat="1" ht="68.25" customHeight="1">
      <c r="A234" s="598" t="s">
        <v>1229</v>
      </c>
      <c r="B234" s="610" t="s">
        <v>1230</v>
      </c>
      <c r="C234" s="525">
        <v>4332784.3600000003</v>
      </c>
      <c r="D234" s="525">
        <v>6049667.8799999999</v>
      </c>
      <c r="E234" s="525">
        <v>28775000.620000001</v>
      </c>
      <c r="F234" s="525">
        <v>19234292.07</v>
      </c>
      <c r="G234" s="596">
        <v>21291120</v>
      </c>
      <c r="H234" s="596">
        <v>0</v>
      </c>
      <c r="I234" s="525">
        <f t="shared" si="355"/>
        <v>28146957.050000001</v>
      </c>
      <c r="J234" s="525">
        <v>14227201</v>
      </c>
      <c r="K234" s="525">
        <v>7142361.3899999997</v>
      </c>
      <c r="L234" s="525">
        <v>6777394.6600000001</v>
      </c>
      <c r="M234" s="525">
        <f t="shared" si="356"/>
        <v>21369562.390000001</v>
      </c>
      <c r="N234" s="525">
        <v>21251059</v>
      </c>
      <c r="O234" s="525">
        <f t="shared" si="357"/>
        <v>6599970</v>
      </c>
      <c r="P234" s="522">
        <v>27851029</v>
      </c>
      <c r="Q234" s="525">
        <f t="shared" si="313"/>
        <v>-295928.05000000075</v>
      </c>
      <c r="R234" s="525">
        <f t="shared" si="314"/>
        <v>-1.0513678245016536</v>
      </c>
      <c r="S234" s="525">
        <v>38611820</v>
      </c>
      <c r="T234" s="525">
        <v>38611820</v>
      </c>
      <c r="U234" s="522">
        <f t="shared" si="358"/>
        <v>34564622.57</v>
      </c>
      <c r="V234" s="522">
        <f t="shared" si="311"/>
        <v>-4047197.4299999997</v>
      </c>
      <c r="W234" s="522">
        <f t="shared" si="340"/>
        <v>-10.481757736361558</v>
      </c>
      <c r="X234" s="522">
        <f t="shared" si="315"/>
        <v>6713593.5700000003</v>
      </c>
      <c r="Y234" s="522">
        <f t="shared" si="316"/>
        <v>24.105369930856057</v>
      </c>
      <c r="Z234" s="524">
        <f t="shared" si="317"/>
        <v>34678157.07565251</v>
      </c>
      <c r="AA234" s="522">
        <f t="shared" si="318"/>
        <v>-3933662.9243474901</v>
      </c>
      <c r="AB234" s="522">
        <f t="shared" si="341"/>
        <v>-10.187716933176134</v>
      </c>
      <c r="AC234" s="522">
        <f t="shared" si="319"/>
        <v>113534.50565250963</v>
      </c>
      <c r="AD234" s="522">
        <f t="shared" si="320"/>
        <v>0.328470260083364</v>
      </c>
      <c r="AE234" s="522">
        <f t="shared" si="321"/>
        <v>6827128.0756525099</v>
      </c>
      <c r="AF234" s="522">
        <f t="shared" si="322"/>
        <v>24.513019162245357</v>
      </c>
      <c r="AG234" s="522">
        <f t="shared" si="337"/>
        <v>34094284.159999996</v>
      </c>
      <c r="AH234" s="522">
        <f t="shared" si="323"/>
        <v>-470338.41000000387</v>
      </c>
      <c r="AI234" s="522">
        <f t="shared" si="324"/>
        <v>-1.3607508921802349</v>
      </c>
      <c r="AJ234" s="522">
        <f t="shared" si="325"/>
        <v>-583872.9156525135</v>
      </c>
      <c r="AK234" s="522">
        <f t="shared" si="343"/>
        <v>-1.6836907289472123</v>
      </c>
      <c r="AL234" s="522">
        <f t="shared" si="359"/>
        <v>34094284.159999996</v>
      </c>
      <c r="AM234" s="522">
        <f t="shared" si="342"/>
        <v>17778942.140000001</v>
      </c>
      <c r="AN234" s="522">
        <f t="shared" si="342"/>
        <v>17594109.02</v>
      </c>
      <c r="AO234" s="522">
        <f t="shared" si="326"/>
        <v>-184833.12000000104</v>
      </c>
      <c r="AP234" s="522">
        <f t="shared" si="338"/>
        <v>-1.0396182098155009</v>
      </c>
      <c r="AQ234" s="522">
        <v>8990982.9499999993</v>
      </c>
      <c r="AR234" s="522">
        <v>8843791.7599999998</v>
      </c>
      <c r="AS234" s="522">
        <v>8787959.1899999995</v>
      </c>
      <c r="AT234" s="522">
        <v>8750317.2599999998</v>
      </c>
      <c r="AU234" s="522">
        <f t="shared" si="347"/>
        <v>16785680.43</v>
      </c>
      <c r="AV234" s="522">
        <f t="shared" si="347"/>
        <v>17084048.05565251</v>
      </c>
      <c r="AW234" s="522">
        <f t="shared" si="327"/>
        <v>298367.62565251067</v>
      </c>
      <c r="AX234" s="522">
        <f t="shared" si="328"/>
        <v>1.7775128443363997</v>
      </c>
      <c r="AY234" s="522">
        <f t="shared" si="349"/>
        <v>16500175.139999997</v>
      </c>
      <c r="AZ234" s="522">
        <f t="shared" si="329"/>
        <v>583872.9156525135</v>
      </c>
      <c r="BA234" s="522">
        <f t="shared" si="330"/>
        <v>3.5385861707436135</v>
      </c>
      <c r="BB234" s="522">
        <v>8676488.0399999991</v>
      </c>
      <c r="BC234" s="525">
        <f>'[67]Дир_по экон'!AT30</f>
        <v>8793214.0991810877</v>
      </c>
      <c r="BD234" s="525">
        <f t="shared" si="360"/>
        <v>8684573.0599999987</v>
      </c>
      <c r="BE234" s="525">
        <f t="shared" si="331"/>
        <v>8085.019999999553</v>
      </c>
      <c r="BF234" s="525">
        <f t="shared" si="332"/>
        <v>-108641.03918108903</v>
      </c>
      <c r="BG234" s="525">
        <f t="shared" si="312"/>
        <v>26455430.18</v>
      </c>
      <c r="BH234" s="522">
        <f t="shared" si="312"/>
        <v>26387323.119181089</v>
      </c>
      <c r="BI234" s="522">
        <f>25770731.08+507951</f>
        <v>26278682.079999998</v>
      </c>
      <c r="BJ234" s="522">
        <f t="shared" si="333"/>
        <v>-176748.10000000149</v>
      </c>
      <c r="BK234" s="522">
        <f t="shared" si="334"/>
        <v>-108641.03918109089</v>
      </c>
      <c r="BL234" s="525">
        <v>8109192.3899999997</v>
      </c>
      <c r="BM234" s="522">
        <f>'[67]Дир_по экон'!AW30</f>
        <v>8290833.9564714236</v>
      </c>
      <c r="BN234" s="522">
        <f t="shared" si="361"/>
        <v>7815602.0799999982</v>
      </c>
      <c r="BO234" s="522">
        <f t="shared" si="339"/>
        <v>-293590.31000000145</v>
      </c>
      <c r="BP234" s="522">
        <f t="shared" si="335"/>
        <v>-475231.87647142541</v>
      </c>
      <c r="BQ234" s="525">
        <v>8109192.3899999997</v>
      </c>
      <c r="BR234" s="522">
        <f>'[67]Дир_по экон'!BB30</f>
        <v>0</v>
      </c>
      <c r="BS234" s="522">
        <f>'[67]Дир_по экон'!BC30</f>
        <v>0</v>
      </c>
      <c r="BT234" s="600"/>
      <c r="BU234" s="522">
        <v>33460091.16</v>
      </c>
      <c r="BV234" s="522">
        <v>634193</v>
      </c>
      <c r="BW234" s="522"/>
      <c r="BX234" s="595"/>
      <c r="BY234" s="525">
        <f>33140205.51+634193</f>
        <v>33774398.510000005</v>
      </c>
      <c r="BZ234" s="525">
        <v>281016.73</v>
      </c>
      <c r="CA234" s="525">
        <v>38868.92</v>
      </c>
      <c r="CB234" s="522">
        <f t="shared" si="308"/>
        <v>34094284.160000004</v>
      </c>
      <c r="CC234" s="522">
        <f t="shared" si="336"/>
        <v>0</v>
      </c>
      <c r="CD234" s="522"/>
      <c r="CE234" s="522"/>
      <c r="CF234" s="522"/>
      <c r="CG234" s="522"/>
      <c r="CH234" s="522"/>
      <c r="CI234" s="522"/>
      <c r="CJ234" s="522"/>
      <c r="CK234" s="543" t="s">
        <v>77</v>
      </c>
      <c r="CL234" s="542" t="s">
        <v>1800</v>
      </c>
      <c r="CM234" s="528" t="s">
        <v>1305</v>
      </c>
      <c r="CN234" s="528" t="s">
        <v>1849</v>
      </c>
      <c r="CO234" s="601"/>
      <c r="CP234" s="544">
        <f t="shared" si="362"/>
        <v>31890027.639254168</v>
      </c>
      <c r="CQ234" s="544">
        <f t="shared" si="363"/>
        <v>2342426.5685982401</v>
      </c>
      <c r="CR234" s="544">
        <f t="shared" si="364"/>
        <v>332168.36214759218</v>
      </c>
      <c r="CS234" s="1709" t="s">
        <v>1826</v>
      </c>
      <c r="CT234" s="1710"/>
      <c r="CU234" s="1710"/>
      <c r="CV234" s="1710"/>
      <c r="CW234" s="1711"/>
      <c r="CX234" s="601"/>
      <c r="CY234" s="601"/>
      <c r="CZ234" s="601"/>
      <c r="DA234" s="601"/>
      <c r="DB234" s="544">
        <f>8669655.76+174136</f>
        <v>8843791.7599999998</v>
      </c>
      <c r="DC234" s="628" t="e">
        <f>P234-#REF!</f>
        <v>#REF!</v>
      </c>
      <c r="DD234" s="603">
        <f>25770731.08</f>
        <v>25770731.079999998</v>
      </c>
      <c r="DE234" s="603"/>
      <c r="DF234" s="525">
        <f t="shared" si="350"/>
        <v>33774.398510000006</v>
      </c>
      <c r="DG234" s="525">
        <f t="shared" si="350"/>
        <v>281.01673</v>
      </c>
      <c r="DH234" s="525">
        <f t="shared" si="350"/>
        <v>38.868919999999996</v>
      </c>
      <c r="DI234" s="522">
        <f t="shared" si="348"/>
        <v>34094.284160000003</v>
      </c>
      <c r="DJ234" s="662"/>
      <c r="DK234" s="600"/>
      <c r="DL234" s="600"/>
      <c r="DM234" s="600"/>
      <c r="DN234" s="600"/>
      <c r="DO234" s="600"/>
      <c r="DP234" s="600"/>
      <c r="DQ234" s="600"/>
      <c r="DR234" s="600"/>
      <c r="DS234" s="600"/>
    </row>
    <row r="235" spans="1:123" s="534" customFormat="1" ht="68.25" customHeight="1">
      <c r="A235" s="598" t="s">
        <v>1126</v>
      </c>
      <c r="B235" s="538" t="s">
        <v>1127</v>
      </c>
      <c r="C235" s="576">
        <v>14740</v>
      </c>
      <c r="D235" s="576">
        <v>0</v>
      </c>
      <c r="E235" s="576">
        <v>200000</v>
      </c>
      <c r="F235" s="576">
        <v>0</v>
      </c>
      <c r="G235" s="577">
        <v>0</v>
      </c>
      <c r="H235" s="577">
        <v>0</v>
      </c>
      <c r="I235" s="576">
        <f t="shared" si="355"/>
        <v>0</v>
      </c>
      <c r="J235" s="576">
        <v>0</v>
      </c>
      <c r="K235" s="576">
        <v>0</v>
      </c>
      <c r="L235" s="576">
        <v>0</v>
      </c>
      <c r="M235" s="576">
        <f t="shared" si="356"/>
        <v>0</v>
      </c>
      <c r="N235" s="576"/>
      <c r="O235" s="525">
        <f t="shared" si="357"/>
        <v>0</v>
      </c>
      <c r="P235" s="522"/>
      <c r="Q235" s="576">
        <f t="shared" si="313"/>
        <v>0</v>
      </c>
      <c r="R235" s="576">
        <v>0</v>
      </c>
      <c r="S235" s="576">
        <v>0</v>
      </c>
      <c r="T235" s="576">
        <v>0</v>
      </c>
      <c r="U235" s="522">
        <f t="shared" si="358"/>
        <v>0</v>
      </c>
      <c r="V235" s="522">
        <f t="shared" si="311"/>
        <v>0</v>
      </c>
      <c r="W235" s="522">
        <v>0</v>
      </c>
      <c r="X235" s="522">
        <f t="shared" si="315"/>
        <v>0</v>
      </c>
      <c r="Y235" s="522">
        <v>0</v>
      </c>
      <c r="Z235" s="524">
        <f t="shared" si="317"/>
        <v>58939.05</v>
      </c>
      <c r="AA235" s="522">
        <f t="shared" si="318"/>
        <v>58939.05</v>
      </c>
      <c r="AB235" s="522">
        <v>0</v>
      </c>
      <c r="AC235" s="522">
        <f t="shared" si="319"/>
        <v>58939.05</v>
      </c>
      <c r="AD235" s="522">
        <v>0</v>
      </c>
      <c r="AE235" s="522">
        <f t="shared" si="321"/>
        <v>58939.05</v>
      </c>
      <c r="AF235" s="522">
        <v>0</v>
      </c>
      <c r="AG235" s="522">
        <f t="shared" si="337"/>
        <v>58939.05</v>
      </c>
      <c r="AH235" s="522">
        <f t="shared" si="323"/>
        <v>58939.05</v>
      </c>
      <c r="AI235" s="522">
        <v>0</v>
      </c>
      <c r="AJ235" s="522">
        <f t="shared" si="325"/>
        <v>0</v>
      </c>
      <c r="AK235" s="522">
        <f t="shared" si="343"/>
        <v>0</v>
      </c>
      <c r="AL235" s="522">
        <f t="shared" si="359"/>
        <v>58939.05</v>
      </c>
      <c r="AM235" s="522">
        <f t="shared" si="342"/>
        <v>0</v>
      </c>
      <c r="AN235" s="522">
        <f t="shared" si="342"/>
        <v>58939.05</v>
      </c>
      <c r="AO235" s="522">
        <f t="shared" si="326"/>
        <v>58939.05</v>
      </c>
      <c r="AP235" s="522">
        <v>0</v>
      </c>
      <c r="AQ235" s="578">
        <v>0</v>
      </c>
      <c r="AR235" s="578">
        <v>0</v>
      </c>
      <c r="AS235" s="578">
        <v>0</v>
      </c>
      <c r="AT235" s="578">
        <v>58939.05</v>
      </c>
      <c r="AU235" s="578">
        <f t="shared" si="347"/>
        <v>0</v>
      </c>
      <c r="AV235" s="578">
        <f t="shared" si="347"/>
        <v>0</v>
      </c>
      <c r="AW235" s="578">
        <f t="shared" si="327"/>
        <v>0</v>
      </c>
      <c r="AX235" s="578">
        <v>0</v>
      </c>
      <c r="AY235" s="578">
        <f t="shared" si="349"/>
        <v>0</v>
      </c>
      <c r="AZ235" s="578">
        <f t="shared" si="329"/>
        <v>0</v>
      </c>
      <c r="BA235" s="578">
        <v>0</v>
      </c>
      <c r="BB235" s="578">
        <v>0</v>
      </c>
      <c r="BC235" s="576">
        <f>'[67]Дир_ имущ'!AT58</f>
        <v>0</v>
      </c>
      <c r="BD235" s="576">
        <f t="shared" si="360"/>
        <v>0</v>
      </c>
      <c r="BE235" s="576">
        <f t="shared" si="331"/>
        <v>0</v>
      </c>
      <c r="BF235" s="576">
        <f t="shared" si="332"/>
        <v>0</v>
      </c>
      <c r="BG235" s="576">
        <f t="shared" si="312"/>
        <v>0</v>
      </c>
      <c r="BH235" s="578">
        <f t="shared" si="312"/>
        <v>58939.05</v>
      </c>
      <c r="BI235" s="578">
        <v>58939.05</v>
      </c>
      <c r="BJ235" s="578">
        <f t="shared" si="333"/>
        <v>58939.05</v>
      </c>
      <c r="BK235" s="578">
        <f t="shared" si="334"/>
        <v>0</v>
      </c>
      <c r="BL235" s="576">
        <v>0</v>
      </c>
      <c r="BM235" s="578">
        <f>'[67]Дир_ имущ'!AW58</f>
        <v>0</v>
      </c>
      <c r="BN235" s="522">
        <f t="shared" si="361"/>
        <v>0</v>
      </c>
      <c r="BO235" s="578">
        <f t="shared" si="339"/>
        <v>0</v>
      </c>
      <c r="BP235" s="578">
        <f t="shared" si="335"/>
        <v>0</v>
      </c>
      <c r="BQ235" s="576">
        <v>0</v>
      </c>
      <c r="BR235" s="578">
        <f>'[67]Дир_ имущ'!BB58</f>
        <v>0</v>
      </c>
      <c r="BS235" s="578">
        <f>'[67]Дир_ имущ'!BC58</f>
        <v>0</v>
      </c>
      <c r="BT235" s="536"/>
      <c r="BU235" s="578">
        <v>58939.05</v>
      </c>
      <c r="BV235" s="578"/>
      <c r="BW235" s="578"/>
      <c r="BX235" s="574"/>
      <c r="BY235" s="525">
        <v>58487.21</v>
      </c>
      <c r="BZ235" s="525">
        <v>419.6</v>
      </c>
      <c r="CA235" s="525">
        <v>32.24</v>
      </c>
      <c r="CB235" s="522">
        <f t="shared" si="308"/>
        <v>58939.049999999996</v>
      </c>
      <c r="CC235" s="522">
        <f t="shared" si="336"/>
        <v>0</v>
      </c>
      <c r="CD235" s="578"/>
      <c r="CE235" s="578"/>
      <c r="CF235" s="578"/>
      <c r="CG235" s="578"/>
      <c r="CH235" s="578"/>
      <c r="CI235" s="578"/>
      <c r="CJ235" s="578"/>
      <c r="CK235" s="543" t="s">
        <v>1815</v>
      </c>
      <c r="CL235" s="543" t="s">
        <v>1897</v>
      </c>
      <c r="CM235" s="528" t="s">
        <v>1305</v>
      </c>
      <c r="CN235" s="528"/>
      <c r="CO235" s="528"/>
      <c r="CP235" s="544">
        <f t="shared" si="362"/>
        <v>0</v>
      </c>
      <c r="CQ235" s="544">
        <f t="shared" si="363"/>
        <v>0</v>
      </c>
      <c r="CR235" s="544">
        <f t="shared" si="364"/>
        <v>0</v>
      </c>
      <c r="CS235" s="1709" t="s">
        <v>1826</v>
      </c>
      <c r="CT235" s="1710"/>
      <c r="CU235" s="1710"/>
      <c r="CV235" s="1710"/>
      <c r="CW235" s="1711"/>
      <c r="CX235" s="528"/>
      <c r="CY235" s="528"/>
      <c r="CZ235" s="528"/>
      <c r="DA235" s="528"/>
      <c r="DB235" s="579"/>
      <c r="DC235" s="628" t="e">
        <f>P235-#REF!</f>
        <v>#REF!</v>
      </c>
      <c r="DD235" s="535">
        <f>58939.05</f>
        <v>58939.05</v>
      </c>
      <c r="DE235" s="535"/>
      <c r="DF235" s="525">
        <f t="shared" si="350"/>
        <v>58.487209999999997</v>
      </c>
      <c r="DG235" s="525">
        <f t="shared" si="350"/>
        <v>0.41960000000000003</v>
      </c>
      <c r="DH235" s="525">
        <f t="shared" si="350"/>
        <v>3.2240000000000005E-2</v>
      </c>
      <c r="DI235" s="522">
        <f t="shared" si="348"/>
        <v>58.939049999999995</v>
      </c>
      <c r="DJ235" s="597"/>
      <c r="DK235" s="536"/>
      <c r="DL235" s="536"/>
      <c r="DM235" s="536"/>
      <c r="DN235" s="536"/>
      <c r="DO235" s="536"/>
      <c r="DP235" s="536"/>
      <c r="DQ235" s="536"/>
      <c r="DR235" s="536"/>
      <c r="DS235" s="536"/>
    </row>
    <row r="236" spans="1:123" s="534" customFormat="1" ht="84.6">
      <c r="A236" s="598" t="s">
        <v>1950</v>
      </c>
      <c r="B236" s="538" t="s">
        <v>1951</v>
      </c>
      <c r="C236" s="576"/>
      <c r="D236" s="576"/>
      <c r="E236" s="576">
        <v>274040</v>
      </c>
      <c r="F236" s="576">
        <v>0</v>
      </c>
      <c r="G236" s="577">
        <v>0</v>
      </c>
      <c r="H236" s="577">
        <v>0</v>
      </c>
      <c r="I236" s="576">
        <f t="shared" si="355"/>
        <v>0</v>
      </c>
      <c r="J236" s="576">
        <v>0</v>
      </c>
      <c r="K236" s="576">
        <v>0</v>
      </c>
      <c r="L236" s="576">
        <v>0</v>
      </c>
      <c r="M236" s="576">
        <f t="shared" si="356"/>
        <v>0</v>
      </c>
      <c r="N236" s="576"/>
      <c r="O236" s="525">
        <f t="shared" si="357"/>
        <v>0</v>
      </c>
      <c r="P236" s="522"/>
      <c r="Q236" s="576">
        <f t="shared" si="313"/>
        <v>0</v>
      </c>
      <c r="R236" s="576">
        <v>0</v>
      </c>
      <c r="S236" s="576"/>
      <c r="T236" s="576"/>
      <c r="U236" s="522">
        <f t="shared" si="358"/>
        <v>0</v>
      </c>
      <c r="V236" s="522">
        <f t="shared" si="311"/>
        <v>0</v>
      </c>
      <c r="W236" s="522">
        <v>0</v>
      </c>
      <c r="X236" s="522">
        <f t="shared" si="315"/>
        <v>0</v>
      </c>
      <c r="Y236" s="522">
        <v>0</v>
      </c>
      <c r="Z236" s="524">
        <f t="shared" si="317"/>
        <v>0</v>
      </c>
      <c r="AA236" s="522">
        <f t="shared" si="318"/>
        <v>0</v>
      </c>
      <c r="AB236" s="522">
        <v>0</v>
      </c>
      <c r="AC236" s="522">
        <f t="shared" si="319"/>
        <v>0</v>
      </c>
      <c r="AD236" s="522">
        <v>0</v>
      </c>
      <c r="AE236" s="522">
        <f t="shared" si="321"/>
        <v>0</v>
      </c>
      <c r="AF236" s="522">
        <v>0</v>
      </c>
      <c r="AG236" s="522">
        <f t="shared" si="337"/>
        <v>0</v>
      </c>
      <c r="AH236" s="522">
        <f t="shared" si="323"/>
        <v>0</v>
      </c>
      <c r="AI236" s="522">
        <v>0</v>
      </c>
      <c r="AJ236" s="522">
        <f t="shared" si="325"/>
        <v>0</v>
      </c>
      <c r="AK236" s="522">
        <v>0</v>
      </c>
      <c r="AL236" s="522">
        <f t="shared" si="359"/>
        <v>0</v>
      </c>
      <c r="AM236" s="522">
        <f t="shared" si="342"/>
        <v>0</v>
      </c>
      <c r="AN236" s="522">
        <f t="shared" si="342"/>
        <v>0</v>
      </c>
      <c r="AO236" s="522">
        <f t="shared" si="326"/>
        <v>0</v>
      </c>
      <c r="AP236" s="522">
        <v>0</v>
      </c>
      <c r="AQ236" s="578">
        <v>0</v>
      </c>
      <c r="AR236" s="578">
        <v>0</v>
      </c>
      <c r="AS236" s="578">
        <v>0</v>
      </c>
      <c r="AT236" s="578">
        <v>0</v>
      </c>
      <c r="AU236" s="578">
        <f t="shared" si="347"/>
        <v>0</v>
      </c>
      <c r="AV236" s="578">
        <f t="shared" si="347"/>
        <v>0</v>
      </c>
      <c r="AW236" s="578">
        <f t="shared" si="327"/>
        <v>0</v>
      </c>
      <c r="AX236" s="578">
        <v>0</v>
      </c>
      <c r="AY236" s="578">
        <f t="shared" si="349"/>
        <v>0</v>
      </c>
      <c r="AZ236" s="578">
        <f t="shared" si="329"/>
        <v>0</v>
      </c>
      <c r="BA236" s="578">
        <v>0</v>
      </c>
      <c r="BB236" s="578">
        <v>0</v>
      </c>
      <c r="BC236" s="576">
        <f>'[67]Гл инж_Тех дир'!AT120</f>
        <v>0</v>
      </c>
      <c r="BD236" s="576">
        <f t="shared" si="360"/>
        <v>0</v>
      </c>
      <c r="BE236" s="576">
        <f t="shared" si="331"/>
        <v>0</v>
      </c>
      <c r="BF236" s="576">
        <f t="shared" si="332"/>
        <v>0</v>
      </c>
      <c r="BG236" s="576">
        <f t="shared" si="312"/>
        <v>0</v>
      </c>
      <c r="BH236" s="578">
        <f t="shared" si="312"/>
        <v>0</v>
      </c>
      <c r="BI236" s="578"/>
      <c r="BJ236" s="578">
        <f t="shared" si="333"/>
        <v>0</v>
      </c>
      <c r="BK236" s="578">
        <f t="shared" si="334"/>
        <v>0</v>
      </c>
      <c r="BL236" s="576">
        <v>0</v>
      </c>
      <c r="BM236" s="578">
        <f>'[67]Гл инж_Тех дир'!AW120</f>
        <v>0</v>
      </c>
      <c r="BN236" s="522">
        <f t="shared" si="361"/>
        <v>0</v>
      </c>
      <c r="BO236" s="578">
        <f t="shared" si="339"/>
        <v>0</v>
      </c>
      <c r="BP236" s="578">
        <f t="shared" si="335"/>
        <v>0</v>
      </c>
      <c r="BQ236" s="576">
        <v>0</v>
      </c>
      <c r="BR236" s="578">
        <f>'[67]Гл инж_Тех дир'!BB120</f>
        <v>0</v>
      </c>
      <c r="BS236" s="578">
        <f>'[67]Гл инж_Тех дир'!BC120</f>
        <v>0</v>
      </c>
      <c r="BT236" s="536"/>
      <c r="BU236" s="578"/>
      <c r="BV236" s="578"/>
      <c r="BW236" s="578"/>
      <c r="BX236" s="574"/>
      <c r="BY236" s="525"/>
      <c r="BZ236" s="525"/>
      <c r="CA236" s="525"/>
      <c r="CB236" s="522"/>
      <c r="CC236" s="522">
        <f t="shared" si="336"/>
        <v>0</v>
      </c>
      <c r="CD236" s="578"/>
      <c r="CE236" s="578"/>
      <c r="CF236" s="578"/>
      <c r="CG236" s="578"/>
      <c r="CH236" s="578"/>
      <c r="CI236" s="578"/>
      <c r="CJ236" s="578"/>
      <c r="CK236" s="542" t="s">
        <v>79</v>
      </c>
      <c r="CL236" s="542"/>
      <c r="CM236" s="528" t="s">
        <v>1305</v>
      </c>
      <c r="CN236" s="528"/>
      <c r="CO236" s="528"/>
      <c r="CP236" s="544">
        <f t="shared" si="362"/>
        <v>0</v>
      </c>
      <c r="CQ236" s="544">
        <f t="shared" si="363"/>
        <v>0</v>
      </c>
      <c r="CR236" s="544">
        <f t="shared" si="364"/>
        <v>0</v>
      </c>
      <c r="CS236" s="1709" t="s">
        <v>1826</v>
      </c>
      <c r="CT236" s="1710"/>
      <c r="CU236" s="1710"/>
      <c r="CV236" s="1710"/>
      <c r="CW236" s="1711"/>
      <c r="CX236" s="528"/>
      <c r="CY236" s="528"/>
      <c r="CZ236" s="528"/>
      <c r="DA236" s="528"/>
      <c r="DB236" s="579"/>
      <c r="DC236" s="628" t="e">
        <f>P236-#REF!</f>
        <v>#REF!</v>
      </c>
      <c r="DD236" s="535"/>
      <c r="DE236" s="535"/>
      <c r="DF236" s="525">
        <f t="shared" si="350"/>
        <v>0</v>
      </c>
      <c r="DG236" s="525">
        <f t="shared" si="350"/>
        <v>0</v>
      </c>
      <c r="DH236" s="525">
        <f t="shared" si="350"/>
        <v>0</v>
      </c>
      <c r="DI236" s="522">
        <f t="shared" si="348"/>
        <v>0</v>
      </c>
      <c r="DJ236" s="536"/>
      <c r="DK236" s="536"/>
      <c r="DL236" s="536"/>
      <c r="DM236" s="536"/>
      <c r="DN236" s="536"/>
      <c r="DO236" s="536"/>
      <c r="DP236" s="536"/>
      <c r="DQ236" s="536"/>
      <c r="DR236" s="536"/>
      <c r="DS236" s="536"/>
    </row>
    <row r="237" spans="1:123" s="534" customFormat="1" ht="87.75" customHeight="1">
      <c r="A237" s="537" t="s">
        <v>1952</v>
      </c>
      <c r="B237" s="538" t="s">
        <v>1953</v>
      </c>
      <c r="C237" s="576"/>
      <c r="D237" s="576"/>
      <c r="E237" s="576">
        <v>0</v>
      </c>
      <c r="F237" s="576">
        <v>0</v>
      </c>
      <c r="G237" s="577">
        <v>0</v>
      </c>
      <c r="H237" s="577">
        <v>0</v>
      </c>
      <c r="I237" s="576">
        <f t="shared" si="355"/>
        <v>0</v>
      </c>
      <c r="J237" s="576">
        <v>0</v>
      </c>
      <c r="K237" s="576">
        <v>0</v>
      </c>
      <c r="L237" s="576">
        <v>0</v>
      </c>
      <c r="M237" s="576">
        <f t="shared" si="356"/>
        <v>0</v>
      </c>
      <c r="N237" s="576"/>
      <c r="O237" s="525">
        <f t="shared" si="357"/>
        <v>0</v>
      </c>
      <c r="P237" s="522"/>
      <c r="Q237" s="576">
        <f t="shared" si="313"/>
        <v>0</v>
      </c>
      <c r="R237" s="576">
        <v>0</v>
      </c>
      <c r="S237" s="576"/>
      <c r="T237" s="576"/>
      <c r="U237" s="522">
        <f t="shared" si="358"/>
        <v>0</v>
      </c>
      <c r="V237" s="522">
        <f t="shared" si="311"/>
        <v>0</v>
      </c>
      <c r="W237" s="522">
        <v>0</v>
      </c>
      <c r="X237" s="522">
        <f t="shared" si="315"/>
        <v>0</v>
      </c>
      <c r="Y237" s="522">
        <v>0</v>
      </c>
      <c r="Z237" s="524">
        <f t="shared" si="317"/>
        <v>0</v>
      </c>
      <c r="AA237" s="522">
        <f t="shared" si="318"/>
        <v>0</v>
      </c>
      <c r="AB237" s="522">
        <v>0</v>
      </c>
      <c r="AC237" s="522">
        <f t="shared" si="319"/>
        <v>0</v>
      </c>
      <c r="AD237" s="522">
        <v>0</v>
      </c>
      <c r="AE237" s="522">
        <f t="shared" si="321"/>
        <v>0</v>
      </c>
      <c r="AF237" s="522">
        <v>0</v>
      </c>
      <c r="AG237" s="522">
        <f t="shared" si="337"/>
        <v>0</v>
      </c>
      <c r="AH237" s="522">
        <f t="shared" si="323"/>
        <v>0</v>
      </c>
      <c r="AI237" s="522">
        <v>0</v>
      </c>
      <c r="AJ237" s="522">
        <f t="shared" si="325"/>
        <v>0</v>
      </c>
      <c r="AK237" s="522">
        <v>0</v>
      </c>
      <c r="AL237" s="522">
        <f t="shared" si="359"/>
        <v>0</v>
      </c>
      <c r="AM237" s="522">
        <f t="shared" si="342"/>
        <v>0</v>
      </c>
      <c r="AN237" s="522">
        <f t="shared" si="342"/>
        <v>0</v>
      </c>
      <c r="AO237" s="522">
        <f t="shared" si="326"/>
        <v>0</v>
      </c>
      <c r="AP237" s="522">
        <v>0</v>
      </c>
      <c r="AQ237" s="578">
        <v>0</v>
      </c>
      <c r="AR237" s="578">
        <v>0</v>
      </c>
      <c r="AS237" s="578">
        <v>0</v>
      </c>
      <c r="AT237" s="578">
        <v>0</v>
      </c>
      <c r="AU237" s="578">
        <f t="shared" si="347"/>
        <v>0</v>
      </c>
      <c r="AV237" s="578">
        <f t="shared" si="347"/>
        <v>0</v>
      </c>
      <c r="AW237" s="578">
        <f t="shared" si="327"/>
        <v>0</v>
      </c>
      <c r="AX237" s="578">
        <v>0</v>
      </c>
      <c r="AY237" s="578">
        <f t="shared" si="349"/>
        <v>0</v>
      </c>
      <c r="AZ237" s="578">
        <f t="shared" si="329"/>
        <v>0</v>
      </c>
      <c r="BA237" s="578">
        <v>0</v>
      </c>
      <c r="BB237" s="578">
        <v>0</v>
      </c>
      <c r="BC237" s="576">
        <f>'[67]Дир_ по реал.услуг'!AT37</f>
        <v>0</v>
      </c>
      <c r="BD237" s="576">
        <f t="shared" si="360"/>
        <v>0</v>
      </c>
      <c r="BE237" s="576">
        <f t="shared" si="331"/>
        <v>0</v>
      </c>
      <c r="BF237" s="576">
        <f t="shared" si="332"/>
        <v>0</v>
      </c>
      <c r="BG237" s="576">
        <f t="shared" si="312"/>
        <v>0</v>
      </c>
      <c r="BH237" s="578">
        <f t="shared" si="312"/>
        <v>0</v>
      </c>
      <c r="BI237" s="578"/>
      <c r="BJ237" s="578">
        <f t="shared" si="333"/>
        <v>0</v>
      </c>
      <c r="BK237" s="578">
        <f t="shared" si="334"/>
        <v>0</v>
      </c>
      <c r="BL237" s="576">
        <v>0</v>
      </c>
      <c r="BM237" s="578">
        <f>'[67]Дир_ по реал.услуг'!AW37</f>
        <v>0</v>
      </c>
      <c r="BN237" s="522">
        <f t="shared" si="361"/>
        <v>0</v>
      </c>
      <c r="BO237" s="578">
        <f t="shared" si="339"/>
        <v>0</v>
      </c>
      <c r="BP237" s="578">
        <f t="shared" si="335"/>
        <v>0</v>
      </c>
      <c r="BQ237" s="576">
        <v>0</v>
      </c>
      <c r="BR237" s="578">
        <f>'[67]Дир_ по реал.услуг'!BB37</f>
        <v>0</v>
      </c>
      <c r="BS237" s="578">
        <f>'[67]Дир_ по реал.услуг'!BC37</f>
        <v>0</v>
      </c>
      <c r="BT237" s="536"/>
      <c r="BU237" s="578"/>
      <c r="BV237" s="578"/>
      <c r="BW237" s="578"/>
      <c r="BX237" s="574"/>
      <c r="BY237" s="525"/>
      <c r="BZ237" s="525"/>
      <c r="CA237" s="525"/>
      <c r="CB237" s="522"/>
      <c r="CC237" s="522">
        <f t="shared" si="336"/>
        <v>0</v>
      </c>
      <c r="CD237" s="578"/>
      <c r="CE237" s="578"/>
      <c r="CF237" s="578"/>
      <c r="CG237" s="578"/>
      <c r="CH237" s="578"/>
      <c r="CI237" s="578"/>
      <c r="CJ237" s="578"/>
      <c r="CK237" s="543" t="s">
        <v>78</v>
      </c>
      <c r="CL237" s="543"/>
      <c r="CM237" s="528" t="s">
        <v>1305</v>
      </c>
      <c r="CN237" s="528"/>
      <c r="CO237" s="528"/>
      <c r="CP237" s="544">
        <f t="shared" si="362"/>
        <v>0</v>
      </c>
      <c r="CQ237" s="544">
        <f t="shared" si="363"/>
        <v>0</v>
      </c>
      <c r="CR237" s="544">
        <f t="shared" si="364"/>
        <v>0</v>
      </c>
      <c r="CS237" s="1709" t="s">
        <v>1826</v>
      </c>
      <c r="CT237" s="1710"/>
      <c r="CU237" s="1710"/>
      <c r="CV237" s="1710"/>
      <c r="CW237" s="1711"/>
      <c r="CX237" s="528"/>
      <c r="CY237" s="528"/>
      <c r="CZ237" s="528"/>
      <c r="DA237" s="528"/>
      <c r="DB237" s="579"/>
      <c r="DC237" s="628" t="e">
        <f>P237-#REF!</f>
        <v>#REF!</v>
      </c>
      <c r="DD237" s="535"/>
      <c r="DE237" s="535"/>
      <c r="DF237" s="525">
        <f t="shared" si="350"/>
        <v>0</v>
      </c>
      <c r="DG237" s="525">
        <f t="shared" si="350"/>
        <v>0</v>
      </c>
      <c r="DH237" s="525">
        <f t="shared" si="350"/>
        <v>0</v>
      </c>
      <c r="DI237" s="522">
        <f t="shared" si="348"/>
        <v>0</v>
      </c>
      <c r="DJ237" s="536"/>
      <c r="DK237" s="536"/>
      <c r="DL237" s="536"/>
      <c r="DM237" s="536"/>
      <c r="DN237" s="536"/>
      <c r="DO237" s="536"/>
      <c r="DP237" s="536"/>
      <c r="DQ237" s="536"/>
      <c r="DR237" s="536"/>
      <c r="DS237" s="536"/>
    </row>
    <row r="238" spans="1:123" s="534" customFormat="1" ht="84.75" customHeight="1">
      <c r="A238" s="537" t="s">
        <v>1954</v>
      </c>
      <c r="B238" s="663" t="s">
        <v>1955</v>
      </c>
      <c r="C238" s="576"/>
      <c r="D238" s="576"/>
      <c r="E238" s="576"/>
      <c r="F238" s="576"/>
      <c r="G238" s="577"/>
      <c r="H238" s="577"/>
      <c r="I238" s="576"/>
      <c r="J238" s="576"/>
      <c r="K238" s="576"/>
      <c r="L238" s="576"/>
      <c r="M238" s="576"/>
      <c r="N238" s="576"/>
      <c r="O238" s="525"/>
      <c r="P238" s="522"/>
      <c r="Q238" s="576">
        <f t="shared" si="313"/>
        <v>0</v>
      </c>
      <c r="R238" s="576">
        <v>0</v>
      </c>
      <c r="S238" s="576"/>
      <c r="T238" s="576"/>
      <c r="U238" s="522"/>
      <c r="V238" s="522">
        <f t="shared" si="311"/>
        <v>0</v>
      </c>
      <c r="W238" s="522">
        <v>0</v>
      </c>
      <c r="X238" s="522">
        <f t="shared" si="315"/>
        <v>0</v>
      </c>
      <c r="Y238" s="522">
        <v>0</v>
      </c>
      <c r="Z238" s="524">
        <f t="shared" si="317"/>
        <v>0</v>
      </c>
      <c r="AA238" s="522">
        <f t="shared" si="318"/>
        <v>0</v>
      </c>
      <c r="AB238" s="522">
        <v>0</v>
      </c>
      <c r="AC238" s="522">
        <f t="shared" si="319"/>
        <v>0</v>
      </c>
      <c r="AD238" s="522">
        <v>0</v>
      </c>
      <c r="AE238" s="522">
        <f t="shared" si="321"/>
        <v>0</v>
      </c>
      <c r="AF238" s="522">
        <v>0</v>
      </c>
      <c r="AG238" s="522">
        <f t="shared" si="337"/>
        <v>0</v>
      </c>
      <c r="AH238" s="522">
        <f t="shared" si="323"/>
        <v>0</v>
      </c>
      <c r="AI238" s="522">
        <v>0</v>
      </c>
      <c r="AJ238" s="522">
        <f t="shared" si="325"/>
        <v>0</v>
      </c>
      <c r="AK238" s="522">
        <v>0</v>
      </c>
      <c r="AL238" s="522">
        <f t="shared" si="359"/>
        <v>0</v>
      </c>
      <c r="AM238" s="522">
        <f t="shared" si="342"/>
        <v>0</v>
      </c>
      <c r="AN238" s="522">
        <f t="shared" si="342"/>
        <v>0</v>
      </c>
      <c r="AO238" s="522">
        <f t="shared" si="326"/>
        <v>0</v>
      </c>
      <c r="AP238" s="522">
        <v>0</v>
      </c>
      <c r="AQ238" s="578"/>
      <c r="AR238" s="578">
        <v>0</v>
      </c>
      <c r="AS238" s="578"/>
      <c r="AT238" s="578"/>
      <c r="AU238" s="578">
        <f t="shared" si="347"/>
        <v>0</v>
      </c>
      <c r="AV238" s="578">
        <f t="shared" si="347"/>
        <v>0</v>
      </c>
      <c r="AW238" s="578">
        <f t="shared" si="327"/>
        <v>0</v>
      </c>
      <c r="AX238" s="578">
        <v>0</v>
      </c>
      <c r="AY238" s="578">
        <f t="shared" si="349"/>
        <v>0</v>
      </c>
      <c r="AZ238" s="578">
        <f t="shared" si="329"/>
        <v>0</v>
      </c>
      <c r="BA238" s="578">
        <v>0</v>
      </c>
      <c r="BB238" s="578"/>
      <c r="BC238" s="576">
        <f>'[67]Дир_ по кап.стр.'!AT14</f>
        <v>0</v>
      </c>
      <c r="BD238" s="576">
        <f t="shared" si="360"/>
        <v>0</v>
      </c>
      <c r="BE238" s="576">
        <f t="shared" si="331"/>
        <v>0</v>
      </c>
      <c r="BF238" s="576">
        <f t="shared" si="332"/>
        <v>0</v>
      </c>
      <c r="BG238" s="576">
        <f t="shared" si="312"/>
        <v>0</v>
      </c>
      <c r="BH238" s="578">
        <f t="shared" si="312"/>
        <v>0</v>
      </c>
      <c r="BI238" s="578"/>
      <c r="BJ238" s="578">
        <f t="shared" si="333"/>
        <v>0</v>
      </c>
      <c r="BK238" s="578">
        <f t="shared" si="334"/>
        <v>0</v>
      </c>
      <c r="BL238" s="576">
        <v>0</v>
      </c>
      <c r="BM238" s="578">
        <f>'[67]Дир_ по кап.стр.'!AW14</f>
        <v>0</v>
      </c>
      <c r="BN238" s="522">
        <f t="shared" si="361"/>
        <v>0</v>
      </c>
      <c r="BO238" s="578">
        <f t="shared" si="339"/>
        <v>0</v>
      </c>
      <c r="BP238" s="578">
        <f t="shared" si="335"/>
        <v>0</v>
      </c>
      <c r="BQ238" s="576">
        <v>0</v>
      </c>
      <c r="BR238" s="578">
        <f>'[67]Дир_ по кап.стр.'!BB14</f>
        <v>0</v>
      </c>
      <c r="BS238" s="578">
        <f>'[67]Дир_ по кап.стр.'!BC14</f>
        <v>0</v>
      </c>
      <c r="BT238" s="536"/>
      <c r="BU238" s="578"/>
      <c r="BV238" s="578"/>
      <c r="BW238" s="578"/>
      <c r="BX238" s="574"/>
      <c r="BY238" s="522"/>
      <c r="BZ238" s="522"/>
      <c r="CA238" s="522"/>
      <c r="CB238" s="522"/>
      <c r="CC238" s="522">
        <f t="shared" si="336"/>
        <v>0</v>
      </c>
      <c r="CD238" s="578"/>
      <c r="CE238" s="578"/>
      <c r="CF238" s="578"/>
      <c r="CG238" s="578"/>
      <c r="CH238" s="578"/>
      <c r="CI238" s="578"/>
      <c r="CJ238" s="578"/>
      <c r="CK238" s="543" t="s">
        <v>1791</v>
      </c>
      <c r="CL238" s="543"/>
      <c r="CM238" s="528"/>
      <c r="CN238" s="528"/>
      <c r="CO238" s="528"/>
      <c r="CP238" s="544"/>
      <c r="CQ238" s="544"/>
      <c r="CR238" s="544"/>
      <c r="CS238" s="664"/>
      <c r="CT238" s="665"/>
      <c r="CU238" s="665"/>
      <c r="CV238" s="665"/>
      <c r="CW238" s="666"/>
      <c r="CX238" s="528"/>
      <c r="CY238" s="528"/>
      <c r="CZ238" s="528"/>
      <c r="DA238" s="528"/>
      <c r="DB238" s="579"/>
      <c r="DC238" s="628" t="e">
        <f>P238-#REF!</f>
        <v>#REF!</v>
      </c>
      <c r="DD238" s="535"/>
      <c r="DE238" s="535"/>
      <c r="DF238" s="522">
        <f t="shared" si="350"/>
        <v>0</v>
      </c>
      <c r="DG238" s="522">
        <f t="shared" si="350"/>
        <v>0</v>
      </c>
      <c r="DH238" s="522">
        <f t="shared" si="350"/>
        <v>0</v>
      </c>
      <c r="DI238" s="522">
        <f t="shared" si="348"/>
        <v>0</v>
      </c>
      <c r="DJ238" s="536"/>
      <c r="DK238" s="536"/>
      <c r="DL238" s="536"/>
      <c r="DM238" s="536"/>
      <c r="DN238" s="536"/>
      <c r="DO238" s="536"/>
      <c r="DP238" s="536"/>
      <c r="DQ238" s="536"/>
      <c r="DR238" s="536"/>
      <c r="DS238" s="536"/>
    </row>
    <row r="239" spans="1:123" s="534" customFormat="1" ht="36" customHeight="1">
      <c r="A239" s="1721" t="s">
        <v>1956</v>
      </c>
      <c r="B239" s="1721"/>
      <c r="C239" s="580">
        <f>C34</f>
        <v>3903001892.0259995</v>
      </c>
      <c r="D239" s="580">
        <f t="shared" ref="D239:T239" si="365">D34</f>
        <v>3359426039.024178</v>
      </c>
      <c r="E239" s="580">
        <f t="shared" si="365"/>
        <v>4179342794.1764789</v>
      </c>
      <c r="F239" s="580">
        <f t="shared" si="365"/>
        <v>3945232720.5499997</v>
      </c>
      <c r="G239" s="580">
        <f t="shared" si="365"/>
        <v>3366281105.9767146</v>
      </c>
      <c r="H239" s="580">
        <f t="shared" si="365"/>
        <v>0</v>
      </c>
      <c r="I239" s="580">
        <f t="shared" si="365"/>
        <v>3903770733.0800009</v>
      </c>
      <c r="J239" s="580">
        <f t="shared" si="365"/>
        <v>1873246123.8</v>
      </c>
      <c r="K239" s="580">
        <f t="shared" si="365"/>
        <v>1028079476.02</v>
      </c>
      <c r="L239" s="580">
        <f t="shared" si="365"/>
        <v>1002445133.2600002</v>
      </c>
      <c r="M239" s="580">
        <f t="shared" si="365"/>
        <v>2901325599.8200002</v>
      </c>
      <c r="N239" s="580">
        <f t="shared" si="365"/>
        <v>2789063452.2400002</v>
      </c>
      <c r="O239" s="580">
        <f>O34</f>
        <v>987415600.3900001</v>
      </c>
      <c r="P239" s="580">
        <f>P34</f>
        <v>3776479052.6300001</v>
      </c>
      <c r="Q239" s="580">
        <f t="shared" si="313"/>
        <v>-127291680.45000076</v>
      </c>
      <c r="R239" s="580">
        <f t="shared" si="314"/>
        <v>-3.2607365840249969</v>
      </c>
      <c r="S239" s="580">
        <f t="shared" si="365"/>
        <v>3578962017.3510051</v>
      </c>
      <c r="T239" s="580">
        <f t="shared" si="365"/>
        <v>3538623144.1550665</v>
      </c>
      <c r="U239" s="580">
        <f>U34</f>
        <v>3768456824.7570519</v>
      </c>
      <c r="V239" s="580">
        <f t="shared" si="311"/>
        <v>229833680.60198545</v>
      </c>
      <c r="W239" s="580">
        <f t="shared" si="340"/>
        <v>6.4950030347711305</v>
      </c>
      <c r="X239" s="580">
        <f t="shared" si="315"/>
        <v>-8022227.8729481697</v>
      </c>
      <c r="Y239" s="580">
        <f t="shared" si="316"/>
        <v>-0.21242611864512639</v>
      </c>
      <c r="Z239" s="580">
        <f t="shared" si="317"/>
        <v>3805196374.4254885</v>
      </c>
      <c r="AA239" s="580">
        <f t="shared" si="318"/>
        <v>266573230.27042198</v>
      </c>
      <c r="AB239" s="580">
        <f t="shared" si="341"/>
        <v>7.5332472380037245</v>
      </c>
      <c r="AC239" s="580">
        <f t="shared" si="319"/>
        <v>36739549.668436527</v>
      </c>
      <c r="AD239" s="580">
        <f t="shared" si="320"/>
        <v>0.97492292938250102</v>
      </c>
      <c r="AE239" s="580">
        <f t="shared" si="321"/>
        <v>28717321.795488358</v>
      </c>
      <c r="AF239" s="580">
        <f t="shared" si="322"/>
        <v>0.76042581979871215</v>
      </c>
      <c r="AG239" s="580">
        <f t="shared" si="337"/>
        <v>3812346771.723</v>
      </c>
      <c r="AH239" s="580">
        <f t="shared" si="323"/>
        <v>43889946.965948105</v>
      </c>
      <c r="AI239" s="580">
        <f t="shared" si="324"/>
        <v>1.1646663079064865</v>
      </c>
      <c r="AJ239" s="580">
        <f t="shared" si="325"/>
        <v>7150397.2975115776</v>
      </c>
      <c r="AK239" s="580">
        <f>AG239/Z239*100-100</f>
        <v>0.18791138732206036</v>
      </c>
      <c r="AL239" s="580">
        <f t="shared" ref="AL239" si="366">AL34</f>
        <v>3812346771.7230005</v>
      </c>
      <c r="AM239" s="580">
        <f>AQ239+AS239</f>
        <v>1955195775.1060073</v>
      </c>
      <c r="AN239" s="580">
        <f>AR239+AT239</f>
        <v>1842474976.8299999</v>
      </c>
      <c r="AO239" s="580">
        <f t="shared" si="326"/>
        <v>-112720798.27600741</v>
      </c>
      <c r="AP239" s="580">
        <f t="shared" si="338"/>
        <v>-5.7651924022746925</v>
      </c>
      <c r="AQ239" s="580">
        <f t="shared" ref="AQ239:BN239" si="367">AQ34</f>
        <v>883768739.35259151</v>
      </c>
      <c r="AR239" s="580">
        <f t="shared" si="367"/>
        <v>900677724.91000009</v>
      </c>
      <c r="AS239" s="580">
        <f>AS34</f>
        <v>1071427035.7534158</v>
      </c>
      <c r="AT239" s="580">
        <f>AT34</f>
        <v>941797251.91999996</v>
      </c>
      <c r="AU239" s="580">
        <f t="shared" si="347"/>
        <v>1813261049.6510448</v>
      </c>
      <c r="AV239" s="580">
        <f t="shared" si="347"/>
        <v>1962721397.5954885</v>
      </c>
      <c r="AW239" s="580">
        <f t="shared" si="327"/>
        <v>149460347.9444437</v>
      </c>
      <c r="AX239" s="580">
        <f t="shared" si="328"/>
        <v>8.2426271701587979</v>
      </c>
      <c r="AY239" s="580">
        <f t="shared" si="349"/>
        <v>1969871794.8930001</v>
      </c>
      <c r="AZ239" s="580">
        <f t="shared" si="329"/>
        <v>-7150397.2975115776</v>
      </c>
      <c r="BA239" s="580">
        <f t="shared" si="330"/>
        <v>-0.36298795261951966</v>
      </c>
      <c r="BB239" s="580">
        <f t="shared" si="367"/>
        <v>953444848.73323822</v>
      </c>
      <c r="BC239" s="580">
        <f t="shared" si="367"/>
        <v>1044074670.7523745</v>
      </c>
      <c r="BD239" s="580">
        <f t="shared" si="367"/>
        <v>980290543.66000009</v>
      </c>
      <c r="BE239" s="580">
        <f t="shared" si="331"/>
        <v>26845694.926761866</v>
      </c>
      <c r="BF239" s="580">
        <f t="shared" si="332"/>
        <v>-63784127.092374444</v>
      </c>
      <c r="BG239" s="580">
        <f t="shared" si="312"/>
        <v>2908640623.8392458</v>
      </c>
      <c r="BH239" s="580">
        <f t="shared" ref="BH239:BI239" si="368">BH34</f>
        <v>2886549647.5823741</v>
      </c>
      <c r="BI239" s="580">
        <f t="shared" si="368"/>
        <v>2822765520.4900007</v>
      </c>
      <c r="BJ239" s="580">
        <f t="shared" si="333"/>
        <v>-85875103.349245071</v>
      </c>
      <c r="BK239" s="580">
        <f t="shared" si="334"/>
        <v>-63784127.092373371</v>
      </c>
      <c r="BL239" s="580">
        <f t="shared" si="367"/>
        <v>859816200.91780651</v>
      </c>
      <c r="BM239" s="580">
        <f t="shared" si="367"/>
        <v>918646726.8431139</v>
      </c>
      <c r="BN239" s="580">
        <f t="shared" si="367"/>
        <v>989581251.23299992</v>
      </c>
      <c r="BO239" s="580">
        <f t="shared" si="339"/>
        <v>129765050.31519341</v>
      </c>
      <c r="BP239" s="580">
        <f t="shared" si="335"/>
        <v>70934524.389886022</v>
      </c>
      <c r="BQ239" s="580">
        <f t="shared" ref="BQ239:BS239" si="369">BQ34</f>
        <v>859816200.91780651</v>
      </c>
      <c r="BR239" s="580">
        <f t="shared" si="369"/>
        <v>0</v>
      </c>
      <c r="BS239" s="580">
        <f t="shared" si="369"/>
        <v>0</v>
      </c>
      <c r="BT239" s="536"/>
      <c r="BU239" s="580">
        <f>BU34</f>
        <v>3411888443.1400003</v>
      </c>
      <c r="BV239" s="580">
        <f t="shared" ref="BV239" si="370">BV34</f>
        <v>400458328.58299994</v>
      </c>
      <c r="BW239" s="580">
        <f t="shared" ref="BW239" si="371">BW31</f>
        <v>0</v>
      </c>
      <c r="BX239" s="581"/>
      <c r="BY239" s="580">
        <f t="shared" ref="BY239:CB239" si="372">BY34</f>
        <v>3706938201</v>
      </c>
      <c r="BZ239" s="580">
        <f t="shared" si="372"/>
        <v>71668869.850000009</v>
      </c>
      <c r="CA239" s="580">
        <f t="shared" si="372"/>
        <v>33739700.870000005</v>
      </c>
      <c r="CB239" s="580">
        <f t="shared" si="372"/>
        <v>3812346771.7200003</v>
      </c>
      <c r="CC239" s="580">
        <f t="shared" si="336"/>
        <v>3.0002593994140625E-3</v>
      </c>
      <c r="CD239" s="580"/>
      <c r="CE239" s="580"/>
      <c r="CF239" s="580"/>
      <c r="CG239" s="580"/>
      <c r="CH239" s="580"/>
      <c r="CI239" s="580"/>
      <c r="CJ239" s="580"/>
      <c r="CK239" s="508"/>
      <c r="CL239" s="508"/>
      <c r="CM239" s="528"/>
      <c r="CN239" s="528"/>
      <c r="CO239" s="528"/>
      <c r="CP239" s="582">
        <f>CP34</f>
        <v>3581200022.5516486</v>
      </c>
      <c r="CQ239" s="582">
        <f>CQ34</f>
        <v>160817811.79253244</v>
      </c>
      <c r="CR239" s="582">
        <f>CR34</f>
        <v>26438990.412871424</v>
      </c>
      <c r="CS239" s="1715"/>
      <c r="CT239" s="1716"/>
      <c r="CU239" s="1716"/>
      <c r="CV239" s="1716"/>
      <c r="CW239" s="1717"/>
      <c r="CX239" s="528"/>
      <c r="CY239" s="528"/>
      <c r="CZ239" s="528"/>
      <c r="DA239" s="528"/>
      <c r="DB239" s="582">
        <f>DB34</f>
        <v>900677724.91000009</v>
      </c>
      <c r="DC239" s="628" t="e">
        <f>P239-#REF!</f>
        <v>#REF!</v>
      </c>
      <c r="DD239" s="535"/>
      <c r="DE239" s="535"/>
      <c r="DF239" s="580">
        <f t="shared" si="350"/>
        <v>3706938.2009999999</v>
      </c>
      <c r="DG239" s="580">
        <f t="shared" si="350"/>
        <v>71668.869850000003</v>
      </c>
      <c r="DH239" s="580">
        <f t="shared" si="350"/>
        <v>33739.700870000008</v>
      </c>
      <c r="DI239" s="580">
        <f t="shared" si="348"/>
        <v>3812346.7717200001</v>
      </c>
      <c r="DJ239" s="536"/>
      <c r="DK239" s="536"/>
      <c r="DL239" s="536"/>
      <c r="DM239" s="536"/>
      <c r="DN239" s="536"/>
      <c r="DO239" s="536"/>
      <c r="DP239" s="536"/>
      <c r="DQ239" s="536"/>
      <c r="DR239" s="536"/>
      <c r="DS239" s="536"/>
    </row>
    <row r="240" spans="1:123" s="534" customFormat="1">
      <c r="A240" s="667" t="s">
        <v>1957</v>
      </c>
      <c r="B240" s="584"/>
      <c r="C240" s="585"/>
      <c r="D240" s="585"/>
      <c r="E240" s="585">
        <f>E241-E243</f>
        <v>141259356.45000005</v>
      </c>
      <c r="F240" s="585">
        <f>F241-F243-F244</f>
        <v>328645087.87000012</v>
      </c>
      <c r="G240" s="585"/>
      <c r="H240" s="585"/>
      <c r="I240" s="585"/>
      <c r="J240" s="585"/>
      <c r="K240" s="585"/>
      <c r="L240" s="585"/>
      <c r="M240" s="585"/>
      <c r="N240" s="585"/>
      <c r="O240" s="585"/>
      <c r="P240" s="585"/>
      <c r="Q240" s="585">
        <f t="shared" si="313"/>
        <v>0</v>
      </c>
      <c r="R240" s="585" t="e">
        <f t="shared" si="314"/>
        <v>#DIV/0!</v>
      </c>
      <c r="S240" s="585"/>
      <c r="T240" s="585"/>
      <c r="U240" s="585"/>
      <c r="V240" s="585">
        <f t="shared" si="311"/>
        <v>0</v>
      </c>
      <c r="W240" s="585"/>
      <c r="X240" s="585">
        <f t="shared" si="315"/>
        <v>0</v>
      </c>
      <c r="Y240" s="585" t="e">
        <f t="shared" si="316"/>
        <v>#DIV/0!</v>
      </c>
      <c r="Z240" s="668"/>
      <c r="AA240" s="585">
        <f t="shared" si="318"/>
        <v>0</v>
      </c>
      <c r="AB240" s="585"/>
      <c r="AC240" s="585"/>
      <c r="AD240" s="585"/>
      <c r="AE240" s="585"/>
      <c r="AF240" s="585"/>
      <c r="AG240" s="585"/>
      <c r="AH240" s="585"/>
      <c r="AI240" s="585"/>
      <c r="AJ240" s="585"/>
      <c r="AK240" s="585"/>
      <c r="AL240" s="585"/>
      <c r="AM240" s="585"/>
      <c r="AN240" s="585"/>
      <c r="AO240" s="585"/>
      <c r="AP240" s="585"/>
      <c r="AQ240" s="585"/>
      <c r="AR240" s="585"/>
      <c r="AS240" s="585"/>
      <c r="AT240" s="585"/>
      <c r="AU240" s="585"/>
      <c r="AV240" s="585"/>
      <c r="AW240" s="585"/>
      <c r="AX240" s="585"/>
      <c r="AY240" s="585"/>
      <c r="AZ240" s="585"/>
      <c r="BA240" s="585"/>
      <c r="BB240" s="585"/>
      <c r="BC240" s="669"/>
      <c r="BD240" s="669"/>
      <c r="BE240" s="669">
        <f t="shared" si="331"/>
        <v>0</v>
      </c>
      <c r="BF240" s="669">
        <f t="shared" si="332"/>
        <v>0</v>
      </c>
      <c r="BG240" s="669">
        <f t="shared" si="312"/>
        <v>0</v>
      </c>
      <c r="BH240" s="585"/>
      <c r="BI240" s="585"/>
      <c r="BJ240" s="585">
        <f t="shared" si="333"/>
        <v>0</v>
      </c>
      <c r="BK240" s="585">
        <f t="shared" si="334"/>
        <v>0</v>
      </c>
      <c r="BL240" s="669"/>
      <c r="BM240" s="585"/>
      <c r="BN240" s="585"/>
      <c r="BO240" s="585">
        <f t="shared" si="339"/>
        <v>0</v>
      </c>
      <c r="BP240" s="585">
        <f t="shared" si="335"/>
        <v>0</v>
      </c>
      <c r="BQ240" s="669"/>
      <c r="BR240" s="585"/>
      <c r="BS240" s="585"/>
      <c r="BT240" s="536"/>
      <c r="BU240" s="585"/>
      <c r="BV240" s="585"/>
      <c r="BW240" s="585"/>
      <c r="BX240" s="574"/>
      <c r="BY240" s="585"/>
      <c r="BZ240" s="585"/>
      <c r="CA240" s="585"/>
      <c r="CB240" s="585"/>
      <c r="CC240" s="585">
        <f t="shared" si="336"/>
        <v>0</v>
      </c>
      <c r="CD240" s="585"/>
      <c r="CE240" s="585"/>
      <c r="CF240" s="585"/>
      <c r="CG240" s="585"/>
      <c r="CH240" s="585"/>
      <c r="CI240" s="585"/>
      <c r="CJ240" s="585"/>
      <c r="CK240" s="587"/>
      <c r="CL240" s="587"/>
      <c r="CM240" s="527"/>
      <c r="CN240" s="527"/>
      <c r="CO240" s="528"/>
      <c r="CP240" s="670"/>
      <c r="CQ240" s="670"/>
      <c r="CR240" s="670"/>
      <c r="CS240" s="1738"/>
      <c r="CT240" s="1739"/>
      <c r="CU240" s="1739"/>
      <c r="CV240" s="1739"/>
      <c r="CW240" s="1740"/>
      <c r="CX240" s="528"/>
      <c r="CY240" s="528"/>
      <c r="CZ240" s="528"/>
      <c r="DA240" s="528"/>
      <c r="DB240" s="670">
        <f>DB241-(DB243+DB244)</f>
        <v>68471000.00000003</v>
      </c>
      <c r="DC240" s="628" t="e">
        <f>P240-#REF!</f>
        <v>#REF!</v>
      </c>
      <c r="DD240" s="575"/>
      <c r="DE240" s="575"/>
      <c r="DF240" s="585">
        <f t="shared" si="350"/>
        <v>0</v>
      </c>
      <c r="DG240" s="585">
        <f t="shared" si="350"/>
        <v>0</v>
      </c>
      <c r="DH240" s="585">
        <f t="shared" si="350"/>
        <v>0</v>
      </c>
      <c r="DI240" s="585">
        <f t="shared" si="348"/>
        <v>0</v>
      </c>
      <c r="DJ240" s="536"/>
      <c r="DK240" s="536"/>
      <c r="DL240" s="536"/>
      <c r="DM240" s="536"/>
      <c r="DN240" s="536"/>
      <c r="DO240" s="536"/>
      <c r="DP240" s="536"/>
      <c r="DQ240" s="536"/>
      <c r="DR240" s="536"/>
      <c r="DS240" s="536"/>
    </row>
    <row r="241" spans="1:123">
      <c r="A241" s="505" t="s">
        <v>1839</v>
      </c>
      <c r="B241" s="506" t="s">
        <v>1840</v>
      </c>
      <c r="C241" s="580">
        <f t="shared" ref="C241:T241" si="373">C242</f>
        <v>1165224921.02</v>
      </c>
      <c r="D241" s="580">
        <f t="shared" si="373"/>
        <v>140167232.40000001</v>
      </c>
      <c r="E241" s="580">
        <f t="shared" si="373"/>
        <v>663072456.45000005</v>
      </c>
      <c r="F241" s="580">
        <f t="shared" si="373"/>
        <v>708362095.12000012</v>
      </c>
      <c r="G241" s="580">
        <f t="shared" si="373"/>
        <v>190167995.25791135</v>
      </c>
      <c r="H241" s="580">
        <f t="shared" si="373"/>
        <v>0</v>
      </c>
      <c r="I241" s="580">
        <f t="shared" si="373"/>
        <v>954090196.852</v>
      </c>
      <c r="J241" s="580">
        <f t="shared" si="373"/>
        <v>488996137.26999998</v>
      </c>
      <c r="K241" s="580">
        <f t="shared" si="373"/>
        <v>184515379.33000004</v>
      </c>
      <c r="L241" s="580">
        <f t="shared" si="373"/>
        <v>280578680.25199997</v>
      </c>
      <c r="M241" s="580">
        <f t="shared" si="373"/>
        <v>673511516.60000002</v>
      </c>
      <c r="N241" s="580">
        <f t="shared" si="373"/>
        <v>709521927.88</v>
      </c>
      <c r="O241" s="580">
        <f t="shared" si="373"/>
        <v>395955838.72000003</v>
      </c>
      <c r="P241" s="580">
        <f t="shared" si="373"/>
        <v>1105477766.5999997</v>
      </c>
      <c r="Q241" s="580">
        <f t="shared" si="313"/>
        <v>151387569.74799967</v>
      </c>
      <c r="R241" s="580">
        <f t="shared" si="314"/>
        <v>15.867217821491053</v>
      </c>
      <c r="S241" s="580">
        <f t="shared" si="373"/>
        <v>193468837.09999999</v>
      </c>
      <c r="T241" s="580">
        <f t="shared" si="373"/>
        <v>193433217.09999999</v>
      </c>
      <c r="U241" s="580">
        <f>U242</f>
        <v>981835031.71448755</v>
      </c>
      <c r="V241" s="580">
        <f t="shared" si="311"/>
        <v>788401814.61448753</v>
      </c>
      <c r="W241" s="580">
        <f t="shared" si="340"/>
        <v>407.58346804877056</v>
      </c>
      <c r="X241" s="580">
        <f t="shared" si="315"/>
        <v>-123642734.88551211</v>
      </c>
      <c r="Y241" s="580">
        <f t="shared" si="316"/>
        <v>-11.184551930500319</v>
      </c>
      <c r="Z241" s="580">
        <f t="shared" si="317"/>
        <v>1244195350.0014963</v>
      </c>
      <c r="AA241" s="580">
        <f t="shared" si="318"/>
        <v>1050762132.9014963</v>
      </c>
      <c r="AB241" s="580">
        <f t="shared" si="341"/>
        <v>543.21700722078117</v>
      </c>
      <c r="AC241" s="580">
        <f t="shared" si="319"/>
        <v>262360318.28700876</v>
      </c>
      <c r="AD241" s="580">
        <f t="shared" si="320"/>
        <v>26.721425678698111</v>
      </c>
      <c r="AE241" s="580">
        <f t="shared" si="321"/>
        <v>138717583.40149665</v>
      </c>
      <c r="AF241" s="580">
        <f t="shared" si="322"/>
        <v>12.548202016593748</v>
      </c>
      <c r="AG241" s="580">
        <f t="shared" si="337"/>
        <v>1505009448.03</v>
      </c>
      <c r="AH241" s="580">
        <f t="shared" si="323"/>
        <v>523174416.31551242</v>
      </c>
      <c r="AI241" s="580">
        <f t="shared" si="324"/>
        <v>53.285368663403801</v>
      </c>
      <c r="AJ241" s="580">
        <f t="shared" si="325"/>
        <v>260814098.02850366</v>
      </c>
      <c r="AK241" s="580">
        <f t="shared" ref="AK241:AK249" si="374">AG241/Z241*100-100</f>
        <v>20.962471691297509</v>
      </c>
      <c r="AL241" s="580">
        <f>AL242</f>
        <v>1505009448.0300002</v>
      </c>
      <c r="AM241" s="580">
        <f t="shared" si="342"/>
        <v>398051963.19322622</v>
      </c>
      <c r="AN241" s="580">
        <f t="shared" si="342"/>
        <v>726441521.69999993</v>
      </c>
      <c r="AO241" s="580">
        <f t="shared" si="326"/>
        <v>328389558.50677371</v>
      </c>
      <c r="AP241" s="580">
        <f t="shared" si="338"/>
        <v>82.499168166987204</v>
      </c>
      <c r="AQ241" s="580">
        <f>AQ242</f>
        <v>179620355.6285395</v>
      </c>
      <c r="AR241" s="580">
        <f>AR242</f>
        <v>221836476.57000002</v>
      </c>
      <c r="AS241" s="580">
        <f>AS242</f>
        <v>218431607.56468672</v>
      </c>
      <c r="AT241" s="580">
        <f>AT242</f>
        <v>504605045.12999988</v>
      </c>
      <c r="AU241" s="580">
        <f t="shared" ref="AU241:AV272" si="375">BB241+BL241</f>
        <v>583783068.52126157</v>
      </c>
      <c r="AV241" s="580">
        <f t="shared" si="375"/>
        <v>517753828.30149639</v>
      </c>
      <c r="AW241" s="580">
        <f t="shared" si="327"/>
        <v>-66029240.219765186</v>
      </c>
      <c r="AX241" s="580">
        <f t="shared" si="328"/>
        <v>-11.310578154830537</v>
      </c>
      <c r="AY241" s="580">
        <f t="shared" ref="AY241:AY301" si="376">BD241+BN241</f>
        <v>778567926.33000004</v>
      </c>
      <c r="AZ241" s="580">
        <f t="shared" si="329"/>
        <v>-260814098.02850366</v>
      </c>
      <c r="BA241" s="580">
        <f t="shared" si="330"/>
        <v>-33.499209151592552</v>
      </c>
      <c r="BB241" s="580">
        <f t="shared" ref="BB241:BN241" si="377">BB242</f>
        <v>297212845.60752755</v>
      </c>
      <c r="BC241" s="580">
        <f t="shared" si="377"/>
        <v>227706969.14470005</v>
      </c>
      <c r="BD241" s="580">
        <f t="shared" si="377"/>
        <v>444365072.6500001</v>
      </c>
      <c r="BE241" s="580">
        <f t="shared" si="331"/>
        <v>147152227.04247254</v>
      </c>
      <c r="BF241" s="580">
        <f t="shared" si="332"/>
        <v>216658103.50530005</v>
      </c>
      <c r="BG241" s="580">
        <f t="shared" si="312"/>
        <v>695264808.80075383</v>
      </c>
      <c r="BH241" s="580">
        <f t="shared" si="377"/>
        <v>954148490.84469998</v>
      </c>
      <c r="BI241" s="580">
        <f t="shared" si="377"/>
        <v>1170806594.3499999</v>
      </c>
      <c r="BJ241" s="580">
        <f t="shared" si="333"/>
        <v>475541785.54924607</v>
      </c>
      <c r="BK241" s="580">
        <f t="shared" si="334"/>
        <v>216658103.50529993</v>
      </c>
      <c r="BL241" s="580">
        <f t="shared" si="377"/>
        <v>286570222.91373402</v>
      </c>
      <c r="BM241" s="580">
        <f t="shared" si="377"/>
        <v>290046859.15679634</v>
      </c>
      <c r="BN241" s="580">
        <f t="shared" si="377"/>
        <v>334202853.67999995</v>
      </c>
      <c r="BO241" s="580">
        <f t="shared" si="339"/>
        <v>47632630.766265929</v>
      </c>
      <c r="BP241" s="580">
        <f t="shared" si="335"/>
        <v>44155994.523203611</v>
      </c>
      <c r="BQ241" s="580">
        <f t="shared" ref="BQ241:BS241" si="378">BQ242</f>
        <v>286570222.91373402</v>
      </c>
      <c r="BR241" s="580">
        <f t="shared" si="378"/>
        <v>0</v>
      </c>
      <c r="BS241" s="580">
        <f t="shared" si="378"/>
        <v>0</v>
      </c>
      <c r="BU241" s="580">
        <f>BU242</f>
        <v>0</v>
      </c>
      <c r="BV241" s="580">
        <f t="shared" ref="BV241:BW241" si="379">BV242</f>
        <v>0</v>
      </c>
      <c r="BW241" s="580">
        <f t="shared" si="379"/>
        <v>1505009448.0300002</v>
      </c>
      <c r="BX241" s="581"/>
      <c r="BY241" s="580">
        <f>BY242</f>
        <v>1404286282.8822761</v>
      </c>
      <c r="BZ241" s="580">
        <f t="shared" ref="BZ241:CB241" si="380">BZ242</f>
        <v>70884749.760000005</v>
      </c>
      <c r="CA241" s="580">
        <f t="shared" si="380"/>
        <v>29838415.389999986</v>
      </c>
      <c r="CB241" s="580">
        <f t="shared" si="380"/>
        <v>1505009448.0322757</v>
      </c>
      <c r="CC241" s="580">
        <f t="shared" si="336"/>
        <v>-2.2754669189453125E-3</v>
      </c>
      <c r="CD241" s="580"/>
      <c r="CE241" s="580"/>
      <c r="CF241" s="580"/>
      <c r="CG241" s="580"/>
      <c r="CH241" s="580"/>
      <c r="CI241" s="580"/>
      <c r="CJ241" s="580"/>
      <c r="CK241" s="508"/>
      <c r="CL241" s="508"/>
      <c r="CM241" s="510"/>
      <c r="CN241" s="510"/>
      <c r="CO241" s="510"/>
      <c r="CP241" s="582">
        <f>CP242</f>
        <v>900637464.80414701</v>
      </c>
      <c r="CQ241" s="582">
        <f>CQ242</f>
        <v>65554109.064055525</v>
      </c>
      <c r="CR241" s="582">
        <f>CR242</f>
        <v>15643457.846284993</v>
      </c>
      <c r="CS241" s="1715"/>
      <c r="CT241" s="1716"/>
      <c r="CU241" s="1716"/>
      <c r="CV241" s="1716"/>
      <c r="CW241" s="1717"/>
      <c r="CX241" s="510"/>
      <c r="CY241" s="510"/>
      <c r="CZ241" s="510"/>
      <c r="DA241" s="510"/>
      <c r="DB241" s="582">
        <f>DB242</f>
        <v>221836476.57000002</v>
      </c>
      <c r="DC241" s="628" t="e">
        <f>P241-#REF!</f>
        <v>#REF!</v>
      </c>
      <c r="DD241" s="572"/>
      <c r="DE241" s="572"/>
      <c r="DF241" s="580">
        <f t="shared" si="350"/>
        <v>1404286.282882276</v>
      </c>
      <c r="DG241" s="580">
        <f t="shared" si="350"/>
        <v>70884.749760000006</v>
      </c>
      <c r="DH241" s="580">
        <f t="shared" si="350"/>
        <v>29838.415389999987</v>
      </c>
      <c r="DI241" s="580">
        <f t="shared" si="348"/>
        <v>1505009.4480322758</v>
      </c>
    </row>
    <row r="242" spans="1:123" ht="31.5" customHeight="1">
      <c r="A242" s="505" t="s">
        <v>1958</v>
      </c>
      <c r="B242" s="506" t="s">
        <v>1305</v>
      </c>
      <c r="C242" s="580">
        <f t="shared" ref="C242:P242" si="381">SUM(C243:C299)</f>
        <v>1165224921.02</v>
      </c>
      <c r="D242" s="580">
        <f t="shared" si="381"/>
        <v>140167232.40000001</v>
      </c>
      <c r="E242" s="580">
        <f t="shared" si="381"/>
        <v>663072456.45000005</v>
      </c>
      <c r="F242" s="580">
        <f t="shared" si="381"/>
        <v>708362095.12000012</v>
      </c>
      <c r="G242" s="580">
        <f t="shared" si="381"/>
        <v>190167995.25791135</v>
      </c>
      <c r="H242" s="580">
        <f t="shared" si="381"/>
        <v>0</v>
      </c>
      <c r="I242" s="580">
        <f t="shared" si="381"/>
        <v>954090196.852</v>
      </c>
      <c r="J242" s="580">
        <f t="shared" si="381"/>
        <v>488996137.26999998</v>
      </c>
      <c r="K242" s="580">
        <f t="shared" si="381"/>
        <v>184515379.33000004</v>
      </c>
      <c r="L242" s="580">
        <f t="shared" si="381"/>
        <v>280578680.25199997</v>
      </c>
      <c r="M242" s="580">
        <f t="shared" si="381"/>
        <v>673511516.60000002</v>
      </c>
      <c r="N242" s="580">
        <f t="shared" si="381"/>
        <v>709521927.88</v>
      </c>
      <c r="O242" s="580">
        <f t="shared" si="381"/>
        <v>395955838.72000003</v>
      </c>
      <c r="P242" s="580">
        <f t="shared" si="381"/>
        <v>1105477766.5999997</v>
      </c>
      <c r="Q242" s="580">
        <f t="shared" si="313"/>
        <v>151387569.74799967</v>
      </c>
      <c r="R242" s="580">
        <f t="shared" si="314"/>
        <v>15.867217821491053</v>
      </c>
      <c r="S242" s="580">
        <f>SUM(S243:S299)</f>
        <v>193468837.09999999</v>
      </c>
      <c r="T242" s="580">
        <f>SUM(T243:T299)</f>
        <v>193433217.09999999</v>
      </c>
      <c r="U242" s="580">
        <f>SUM(U243:U299)</f>
        <v>981835031.71448755</v>
      </c>
      <c r="V242" s="580">
        <f t="shared" si="311"/>
        <v>788401814.61448753</v>
      </c>
      <c r="W242" s="580">
        <f t="shared" si="340"/>
        <v>407.58346804877056</v>
      </c>
      <c r="X242" s="580">
        <f t="shared" si="315"/>
        <v>-123642734.88551211</v>
      </c>
      <c r="Y242" s="580">
        <f t="shared" si="316"/>
        <v>-11.184551930500319</v>
      </c>
      <c r="Z242" s="580">
        <f t="shared" si="317"/>
        <v>1244195350.0014963</v>
      </c>
      <c r="AA242" s="580">
        <f t="shared" si="318"/>
        <v>1050762132.9014963</v>
      </c>
      <c r="AB242" s="580">
        <f t="shared" si="341"/>
        <v>543.21700722078117</v>
      </c>
      <c r="AC242" s="580">
        <f t="shared" si="319"/>
        <v>262360318.28700876</v>
      </c>
      <c r="AD242" s="580">
        <f t="shared" si="320"/>
        <v>26.721425678698111</v>
      </c>
      <c r="AE242" s="580">
        <f t="shared" si="321"/>
        <v>138717583.40149665</v>
      </c>
      <c r="AF242" s="580">
        <f t="shared" si="322"/>
        <v>12.548202016593748</v>
      </c>
      <c r="AG242" s="580">
        <f t="shared" si="337"/>
        <v>1505009448.03</v>
      </c>
      <c r="AH242" s="580">
        <f t="shared" si="323"/>
        <v>523174416.31551242</v>
      </c>
      <c r="AI242" s="580">
        <f t="shared" si="324"/>
        <v>53.285368663403801</v>
      </c>
      <c r="AJ242" s="580">
        <f t="shared" si="325"/>
        <v>260814098.02850366</v>
      </c>
      <c r="AK242" s="580">
        <f t="shared" si="374"/>
        <v>20.962471691297509</v>
      </c>
      <c r="AL242" s="580">
        <f>SUM(AL243:AL300)</f>
        <v>1505009448.0300002</v>
      </c>
      <c r="AM242" s="580">
        <f t="shared" si="342"/>
        <v>398051963.19322622</v>
      </c>
      <c r="AN242" s="580">
        <f t="shared" si="342"/>
        <v>726441521.69999993</v>
      </c>
      <c r="AO242" s="580">
        <f t="shared" si="326"/>
        <v>328389558.50677371</v>
      </c>
      <c r="AP242" s="580">
        <f t="shared" si="338"/>
        <v>82.499168166987204</v>
      </c>
      <c r="AQ242" s="580">
        <f>SUM(AQ243:AQ299)</f>
        <v>179620355.6285395</v>
      </c>
      <c r="AR242" s="580">
        <f>SUM(AR243:AR300)</f>
        <v>221836476.57000002</v>
      </c>
      <c r="AS242" s="580">
        <f>SUM(AS243:AS299)</f>
        <v>218431607.56468672</v>
      </c>
      <c r="AT242" s="580">
        <f>SUM(AT243:AT300)</f>
        <v>504605045.12999988</v>
      </c>
      <c r="AU242" s="580">
        <f t="shared" si="375"/>
        <v>583783068.52126157</v>
      </c>
      <c r="AV242" s="580">
        <f t="shared" si="375"/>
        <v>517753828.30149639</v>
      </c>
      <c r="AW242" s="580">
        <f t="shared" si="327"/>
        <v>-66029240.219765186</v>
      </c>
      <c r="AX242" s="580">
        <f t="shared" si="328"/>
        <v>-11.310578154830537</v>
      </c>
      <c r="AY242" s="580">
        <f t="shared" si="376"/>
        <v>778567926.33000004</v>
      </c>
      <c r="AZ242" s="580">
        <f t="shared" si="329"/>
        <v>-260814098.02850366</v>
      </c>
      <c r="BA242" s="580">
        <f t="shared" si="330"/>
        <v>-33.499209151592552</v>
      </c>
      <c r="BB242" s="580">
        <f>SUM(BB243:BB299)</f>
        <v>297212845.60752755</v>
      </c>
      <c r="BC242" s="580">
        <f>SUM(BC243:BC300)</f>
        <v>227706969.14470005</v>
      </c>
      <c r="BD242" s="580">
        <f>SUM(BD243:BD300)</f>
        <v>444365072.6500001</v>
      </c>
      <c r="BE242" s="580">
        <f t="shared" si="331"/>
        <v>147152227.04247254</v>
      </c>
      <c r="BF242" s="580">
        <f t="shared" si="332"/>
        <v>216658103.50530005</v>
      </c>
      <c r="BG242" s="580">
        <f t="shared" si="312"/>
        <v>695264808.80075383</v>
      </c>
      <c r="BH242" s="580">
        <f t="shared" ref="BH242:BI242" si="382">SUM(BH243:BH300)</f>
        <v>954148490.84469998</v>
      </c>
      <c r="BI242" s="580">
        <f t="shared" si="382"/>
        <v>1170806594.3499999</v>
      </c>
      <c r="BJ242" s="580">
        <f t="shared" si="333"/>
        <v>475541785.54924607</v>
      </c>
      <c r="BK242" s="580">
        <f t="shared" si="334"/>
        <v>216658103.50529993</v>
      </c>
      <c r="BL242" s="580">
        <f>SUM(BL243:BL300)</f>
        <v>286570222.91373402</v>
      </c>
      <c r="BM242" s="580">
        <f>SUM(BM243:BM300)</f>
        <v>290046859.15679634</v>
      </c>
      <c r="BN242" s="580">
        <f>SUM(BN243:BN300)</f>
        <v>334202853.67999995</v>
      </c>
      <c r="BO242" s="580">
        <f t="shared" si="339"/>
        <v>47632630.766265929</v>
      </c>
      <c r="BP242" s="580">
        <f t="shared" si="335"/>
        <v>44155994.523203611</v>
      </c>
      <c r="BQ242" s="580">
        <f>SUM(BQ243:BQ300)</f>
        <v>286570222.91373402</v>
      </c>
      <c r="BR242" s="580">
        <f>SUM(BR243:BR300)</f>
        <v>0</v>
      </c>
      <c r="BS242" s="580">
        <f>SUM(BS243:BS300)</f>
        <v>0</v>
      </c>
      <c r="BT242" s="569"/>
      <c r="BU242" s="580">
        <f>SUM(BU243:BU299)</f>
        <v>0</v>
      </c>
      <c r="BV242" s="580">
        <f t="shared" ref="BV242" si="383">SUM(BV243:BV299)</f>
        <v>0</v>
      </c>
      <c r="BW242" s="580">
        <f>SUM(BW243:BW300)</f>
        <v>1505009448.0300002</v>
      </c>
      <c r="BX242" s="581"/>
      <c r="BY242" s="580">
        <f>SUM(BY243:BY300)</f>
        <v>1404286282.8822761</v>
      </c>
      <c r="BZ242" s="580">
        <f t="shared" ref="BZ242:CB242" si="384">SUM(BZ243:BZ300)</f>
        <v>70884749.760000005</v>
      </c>
      <c r="CA242" s="580">
        <f t="shared" si="384"/>
        <v>29838415.389999986</v>
      </c>
      <c r="CB242" s="580">
        <f t="shared" si="384"/>
        <v>1505009448.0322757</v>
      </c>
      <c r="CC242" s="580">
        <f t="shared" si="336"/>
        <v>-2.2754669189453125E-3</v>
      </c>
      <c r="CD242" s="580"/>
      <c r="CE242" s="580"/>
      <c r="CF242" s="580"/>
      <c r="CG242" s="580"/>
      <c r="CH242" s="580"/>
      <c r="CI242" s="580"/>
      <c r="CJ242" s="580"/>
      <c r="CK242" s="508"/>
      <c r="CL242" s="508"/>
      <c r="CM242" s="510"/>
      <c r="CN242" s="510"/>
      <c r="CO242" s="510"/>
      <c r="CP242" s="582">
        <f>SUM(CP243:CP299)</f>
        <v>900637464.80414701</v>
      </c>
      <c r="CQ242" s="582">
        <f>SUM(CQ243:CQ299)</f>
        <v>65554109.064055525</v>
      </c>
      <c r="CR242" s="582">
        <f>SUM(CR243:CR299)</f>
        <v>15643457.846284993</v>
      </c>
      <c r="CS242" s="1715"/>
      <c r="CT242" s="1716"/>
      <c r="CU242" s="1716"/>
      <c r="CV242" s="1716"/>
      <c r="CW242" s="1717"/>
      <c r="CX242" s="510"/>
      <c r="CY242" s="510"/>
      <c r="CZ242" s="510"/>
      <c r="DA242" s="510"/>
      <c r="DB242" s="582">
        <f>SUM(DB243:DB300)</f>
        <v>221836476.57000002</v>
      </c>
      <c r="DC242" s="628" t="e">
        <f>P242-#REF!</f>
        <v>#REF!</v>
      </c>
      <c r="DD242" s="572">
        <f>BI242-BI243-BI244</f>
        <v>713018208.29999995</v>
      </c>
      <c r="DE242" s="572"/>
      <c r="DF242" s="580">
        <f t="shared" si="350"/>
        <v>1404286.282882276</v>
      </c>
      <c r="DG242" s="580">
        <f t="shared" si="350"/>
        <v>70884.749760000006</v>
      </c>
      <c r="DH242" s="580">
        <f t="shared" si="350"/>
        <v>29838.415389999987</v>
      </c>
      <c r="DI242" s="580">
        <f t="shared" si="348"/>
        <v>1505009.4480322758</v>
      </c>
      <c r="DJ242" s="569"/>
      <c r="DK242" s="569"/>
    </row>
    <row r="243" spans="1:123" s="534" customFormat="1" ht="84.75" customHeight="1">
      <c r="A243" s="537" t="s">
        <v>1132</v>
      </c>
      <c r="B243" s="538" t="s">
        <v>1133</v>
      </c>
      <c r="C243" s="576">
        <v>365166493.37</v>
      </c>
      <c r="D243" s="576">
        <v>134791086.77000001</v>
      </c>
      <c r="E243" s="576">
        <v>521813100</v>
      </c>
      <c r="F243" s="576">
        <v>379717007.25</v>
      </c>
      <c r="G243" s="626">
        <v>139673219.93782499</v>
      </c>
      <c r="H243" s="626">
        <v>0</v>
      </c>
      <c r="I243" s="578">
        <f t="shared" ref="I243:I299" si="385">J243+K243+L243</f>
        <v>315064506.85000002</v>
      </c>
      <c r="J243" s="578">
        <v>141776506.84999999</v>
      </c>
      <c r="K243" s="578">
        <v>82292000</v>
      </c>
      <c r="L243" s="578">
        <v>90996000</v>
      </c>
      <c r="M243" s="578">
        <f t="shared" ref="M243:M297" si="386">J243+K243</f>
        <v>224068506.84999999</v>
      </c>
      <c r="N243" s="578">
        <v>222806301.41</v>
      </c>
      <c r="O243" s="522">
        <f t="shared" ref="O243:O299" si="387">P243-N243</f>
        <v>69859825.349999994</v>
      </c>
      <c r="P243" s="522">
        <v>292666126.75999999</v>
      </c>
      <c r="Q243" s="576">
        <f t="shared" si="313"/>
        <v>-22398380.090000033</v>
      </c>
      <c r="R243" s="576">
        <f t="shared" si="314"/>
        <v>-7.1091410181165742</v>
      </c>
      <c r="S243" s="1741">
        <v>147355247.09999999</v>
      </c>
      <c r="T243" s="1741">
        <v>147355247.09999999</v>
      </c>
      <c r="U243" s="578">
        <f t="shared" ref="U243:U299" si="388">AQ243+AS243+BB243+BL243</f>
        <v>308663643.60793829</v>
      </c>
      <c r="V243" s="578">
        <f t="shared" si="311"/>
        <v>161308396.5079383</v>
      </c>
      <c r="W243" s="578">
        <f t="shared" si="340"/>
        <v>109.46905500994427</v>
      </c>
      <c r="X243" s="578">
        <f t="shared" si="315"/>
        <v>15997516.847938299</v>
      </c>
      <c r="Y243" s="578">
        <f t="shared" si="316"/>
        <v>5.4661320136501672</v>
      </c>
      <c r="Z243" s="586">
        <f t="shared" si="317"/>
        <v>279187602.81</v>
      </c>
      <c r="AA243" s="578">
        <f t="shared" si="318"/>
        <v>131832355.71000001</v>
      </c>
      <c r="AB243" s="578">
        <f t="shared" si="341"/>
        <v>89.465667700678722</v>
      </c>
      <c r="AC243" s="578">
        <f t="shared" si="319"/>
        <v>-29476040.797938287</v>
      </c>
      <c r="AD243" s="578">
        <f t="shared" si="320"/>
        <v>-9.549566788428919</v>
      </c>
      <c r="AE243" s="578">
        <f t="shared" si="321"/>
        <v>-13478523.949999988</v>
      </c>
      <c r="AF243" s="578">
        <f t="shared" si="322"/>
        <v>-4.6054267021659854</v>
      </c>
      <c r="AG243" s="578">
        <f t="shared" si="337"/>
        <v>301639939.07999998</v>
      </c>
      <c r="AH243" s="578">
        <f t="shared" si="323"/>
        <v>-7023704.5279383063</v>
      </c>
      <c r="AI243" s="578">
        <f t="shared" si="324"/>
        <v>-2.2755205134750867</v>
      </c>
      <c r="AJ243" s="578">
        <f t="shared" si="325"/>
        <v>22452336.269999981</v>
      </c>
      <c r="AK243" s="578">
        <f t="shared" si="374"/>
        <v>8.0420248048334031</v>
      </c>
      <c r="AL243" s="522">
        <f>BW243</f>
        <v>301639939.07999998</v>
      </c>
      <c r="AM243" s="578">
        <f t="shared" si="342"/>
        <v>152692136.7586233</v>
      </c>
      <c r="AN243" s="578">
        <f t="shared" si="342"/>
        <v>150847602.78999999</v>
      </c>
      <c r="AO243" s="578">
        <f t="shared" si="326"/>
        <v>-1844533.9686233103</v>
      </c>
      <c r="AP243" s="578">
        <f t="shared" si="338"/>
        <v>-1.2080084854265749</v>
      </c>
      <c r="AQ243" s="578">
        <f>75554.0545668425*1000</f>
        <v>75554054.566842496</v>
      </c>
      <c r="AR243" s="578">
        <v>75313424.680000007</v>
      </c>
      <c r="AS243" s="578">
        <f>77138.0821917808*1000</f>
        <v>77138082.191780806</v>
      </c>
      <c r="AT243" s="578">
        <v>75534178.109999985</v>
      </c>
      <c r="AU243" s="578">
        <f t="shared" si="375"/>
        <v>155971506.84931499</v>
      </c>
      <c r="AV243" s="578">
        <f t="shared" si="375"/>
        <v>128340000.02000001</v>
      </c>
      <c r="AW243" s="578">
        <f t="shared" si="327"/>
        <v>-27631506.829314977</v>
      </c>
      <c r="AX243" s="578">
        <f t="shared" si="328"/>
        <v>-17.715740129387825</v>
      </c>
      <c r="AY243" s="578">
        <f t="shared" si="376"/>
        <v>150792336.28999999</v>
      </c>
      <c r="AZ243" s="578">
        <f t="shared" si="329"/>
        <v>-22452336.269999981</v>
      </c>
      <c r="BA243" s="578">
        <f t="shared" si="330"/>
        <v>-14.889573848647203</v>
      </c>
      <c r="BB243" s="578">
        <f>77985.7534246575*1000</f>
        <v>77985753.424657494</v>
      </c>
      <c r="BC243" s="576">
        <f>'[67]Дир_по фин'!AT9</f>
        <v>64570767.140000001</v>
      </c>
      <c r="BD243" s="576">
        <f t="shared" ref="BD243:BD300" si="389">BI243-AN243</f>
        <v>63392904.120000005</v>
      </c>
      <c r="BE243" s="576">
        <f t="shared" si="331"/>
        <v>-14592849.304657489</v>
      </c>
      <c r="BF243" s="576">
        <f t="shared" si="332"/>
        <v>-1177863.0199999958</v>
      </c>
      <c r="BG243" s="576">
        <f t="shared" si="312"/>
        <v>230677890.1832808</v>
      </c>
      <c r="BH243" s="578">
        <f t="shared" si="312"/>
        <v>215418369.93000001</v>
      </c>
      <c r="BI243" s="578">
        <v>214240506.91</v>
      </c>
      <c r="BJ243" s="578">
        <f t="shared" si="333"/>
        <v>-16437383.273280799</v>
      </c>
      <c r="BK243" s="578">
        <f t="shared" si="334"/>
        <v>-1177863.0200000107</v>
      </c>
      <c r="BL243" s="576">
        <f>77985.7534246575*1000</f>
        <v>77985753.424657494</v>
      </c>
      <c r="BM243" s="578">
        <f>'[67]Дир_по фин'!AW9</f>
        <v>63769232.880000003</v>
      </c>
      <c r="BN243" s="522">
        <f t="shared" ref="BN243:BN300" si="390">AL243-BI243</f>
        <v>87399432.169999987</v>
      </c>
      <c r="BO243" s="578">
        <f t="shared" si="339"/>
        <v>9413678.7453424931</v>
      </c>
      <c r="BP243" s="578">
        <f t="shared" si="335"/>
        <v>23630199.289999984</v>
      </c>
      <c r="BQ243" s="576">
        <f>77985.7534246575*1000</f>
        <v>77985753.424657494</v>
      </c>
      <c r="BR243" s="578">
        <f>'[67]Дир_по фин'!BB9</f>
        <v>0</v>
      </c>
      <c r="BS243" s="578">
        <f>'[67]Дир_по фин'!BC9</f>
        <v>0</v>
      </c>
      <c r="BT243" s="536"/>
      <c r="BU243" s="578"/>
      <c r="BV243" s="578"/>
      <c r="BW243" s="586">
        <v>301639939.07999998</v>
      </c>
      <c r="BX243" s="629"/>
      <c r="BY243" s="522">
        <v>298925150.01999998</v>
      </c>
      <c r="BZ243" s="522">
        <f>700809.88+1628336.59</f>
        <v>2329146.4700000002</v>
      </c>
      <c r="CA243" s="578">
        <v>385642.59</v>
      </c>
      <c r="CB243" s="522">
        <f t="shared" ref="CB243:CB300" si="391">SUM(BY243:CA243)</f>
        <v>301639939.07999998</v>
      </c>
      <c r="CC243" s="578">
        <f t="shared" si="336"/>
        <v>0</v>
      </c>
      <c r="CD243" s="578"/>
      <c r="CE243" s="578"/>
      <c r="CF243" s="578"/>
      <c r="CG243" s="578"/>
      <c r="CH243" s="578"/>
      <c r="CI243" s="578"/>
      <c r="CJ243" s="578"/>
      <c r="CK243" s="542" t="s">
        <v>81</v>
      </c>
      <c r="CL243" s="542" t="s">
        <v>1810</v>
      </c>
      <c r="CM243" s="528" t="s">
        <v>1959</v>
      </c>
      <c r="CN243" s="528" t="s">
        <v>1849</v>
      </c>
      <c r="CO243" s="528"/>
      <c r="CP243" s="544">
        <f>U243*$CW$7/100</f>
        <v>287542694.6056397</v>
      </c>
      <c r="CQ243" s="544">
        <f>U243*$CW$8/100</f>
        <v>21120949.002298601</v>
      </c>
      <c r="CR243" s="579"/>
      <c r="CS243" s="1709" t="s">
        <v>1898</v>
      </c>
      <c r="CT243" s="1710"/>
      <c r="CU243" s="1710"/>
      <c r="CV243" s="1710"/>
      <c r="CW243" s="1711"/>
      <c r="CX243" s="528"/>
      <c r="CY243" s="528"/>
      <c r="CZ243" s="528"/>
      <c r="DA243" s="528"/>
      <c r="DB243" s="579">
        <v>75313424.680000007</v>
      </c>
      <c r="DC243" s="628" t="e">
        <f>P243-#REF!</f>
        <v>#REF!</v>
      </c>
      <c r="DD243" s="575"/>
      <c r="DE243" s="575"/>
      <c r="DF243" s="522">
        <f t="shared" si="350"/>
        <v>298925.15002</v>
      </c>
      <c r="DG243" s="522">
        <f t="shared" si="350"/>
        <v>2329.1464700000001</v>
      </c>
      <c r="DH243" s="578">
        <f t="shared" si="350"/>
        <v>385.64259000000004</v>
      </c>
      <c r="DI243" s="522">
        <f t="shared" si="348"/>
        <v>301639.93907999998</v>
      </c>
      <c r="DJ243" s="536"/>
      <c r="DK243" s="536"/>
      <c r="DL243" s="536"/>
      <c r="DM243" s="536"/>
      <c r="DN243" s="536"/>
      <c r="DO243" s="536"/>
      <c r="DP243" s="536"/>
      <c r="DQ243" s="536"/>
      <c r="DR243" s="536"/>
      <c r="DS243" s="536"/>
    </row>
    <row r="244" spans="1:123" s="534" customFormat="1" ht="95.25" customHeight="1">
      <c r="A244" s="537" t="s">
        <v>1135</v>
      </c>
      <c r="B244" s="538" t="s">
        <v>1136</v>
      </c>
      <c r="C244" s="576"/>
      <c r="D244" s="576"/>
      <c r="E244" s="576"/>
      <c r="F244" s="576"/>
      <c r="G244" s="577">
        <v>0</v>
      </c>
      <c r="H244" s="577">
        <v>0</v>
      </c>
      <c r="I244" s="578">
        <f t="shared" si="385"/>
        <v>110953067.81</v>
      </c>
      <c r="J244" s="578">
        <v>55430067.810000002</v>
      </c>
      <c r="K244" s="578">
        <v>29208000</v>
      </c>
      <c r="L244" s="578">
        <v>26315000</v>
      </c>
      <c r="M244" s="578">
        <f t="shared" si="386"/>
        <v>84638067.810000002</v>
      </c>
      <c r="N244" s="578">
        <v>82911580.040000007</v>
      </c>
      <c r="O244" s="522">
        <f t="shared" si="387"/>
        <v>51664238.390000001</v>
      </c>
      <c r="P244" s="522">
        <v>134575818.43000001</v>
      </c>
      <c r="Q244" s="576">
        <f t="shared" si="313"/>
        <v>23622750.620000005</v>
      </c>
      <c r="R244" s="576">
        <f t="shared" si="314"/>
        <v>21.290759314967715</v>
      </c>
      <c r="S244" s="1742"/>
      <c r="T244" s="1742"/>
      <c r="U244" s="578">
        <f t="shared" si="388"/>
        <v>377074037.05393291</v>
      </c>
      <c r="V244" s="578">
        <f t="shared" si="311"/>
        <v>377074037.05393291</v>
      </c>
      <c r="W244" s="578">
        <v>0</v>
      </c>
      <c r="X244" s="578">
        <f t="shared" si="315"/>
        <v>242498218.6239329</v>
      </c>
      <c r="Y244" s="578">
        <f t="shared" si="316"/>
        <v>180.19449664359206</v>
      </c>
      <c r="Z244" s="586">
        <f t="shared" si="317"/>
        <v>363828358.38999999</v>
      </c>
      <c r="AA244" s="578">
        <f t="shared" si="318"/>
        <v>363828358.38999999</v>
      </c>
      <c r="AB244" s="578">
        <v>0</v>
      </c>
      <c r="AC244" s="578">
        <f t="shared" si="319"/>
        <v>-13245678.66393292</v>
      </c>
      <c r="AD244" s="578">
        <f t="shared" si="320"/>
        <v>-3.5127527653245494</v>
      </c>
      <c r="AE244" s="578">
        <f t="shared" si="321"/>
        <v>229252539.95999998</v>
      </c>
      <c r="AF244" s="578">
        <f t="shared" si="322"/>
        <v>170.35195671445706</v>
      </c>
      <c r="AG244" s="578">
        <f t="shared" si="337"/>
        <v>303950187.32999998</v>
      </c>
      <c r="AH244" s="578">
        <f t="shared" si="323"/>
        <v>-73123849.723932922</v>
      </c>
      <c r="AI244" s="578">
        <f t="shared" si="324"/>
        <v>-19.392438231825011</v>
      </c>
      <c r="AJ244" s="578">
        <f t="shared" si="325"/>
        <v>-59878171.060000002</v>
      </c>
      <c r="AK244" s="578">
        <f t="shared" si="374"/>
        <v>-16.457807556555153</v>
      </c>
      <c r="AL244" s="522">
        <f t="shared" ref="AL244:AL300" si="392">BW244</f>
        <v>303950187.32999998</v>
      </c>
      <c r="AM244" s="578">
        <f t="shared" si="342"/>
        <v>175020864.45119292</v>
      </c>
      <c r="AN244" s="578">
        <f t="shared" si="342"/>
        <v>156917081.68000001</v>
      </c>
      <c r="AO244" s="578">
        <f t="shared" si="326"/>
        <v>-18103782.771192908</v>
      </c>
      <c r="AP244" s="578">
        <f t="shared" si="338"/>
        <v>-10.34378548406805</v>
      </c>
      <c r="AQ244" s="578">
        <f>78029.475410097*1000</f>
        <v>78029475.410097003</v>
      </c>
      <c r="AR244" s="578">
        <v>78052051.890000001</v>
      </c>
      <c r="AS244" s="578">
        <f>96991.3890410959*1000</f>
        <v>96991389.041095898</v>
      </c>
      <c r="AT244" s="578">
        <v>78865029.790000007</v>
      </c>
      <c r="AU244" s="578">
        <f t="shared" si="375"/>
        <v>202053172.60273999</v>
      </c>
      <c r="AV244" s="578">
        <f t="shared" si="375"/>
        <v>206911276.71000001</v>
      </c>
      <c r="AW244" s="578">
        <f t="shared" si="327"/>
        <v>4858104.1072600186</v>
      </c>
      <c r="AX244" s="578">
        <f t="shared" si="328"/>
        <v>2.4043691295120766</v>
      </c>
      <c r="AY244" s="578">
        <f t="shared" si="376"/>
        <v>147033105.64999998</v>
      </c>
      <c r="AZ244" s="578">
        <f t="shared" si="329"/>
        <v>59878171.060000032</v>
      </c>
      <c r="BA244" s="578">
        <f t="shared" si="330"/>
        <v>40.724278246924229</v>
      </c>
      <c r="BB244" s="578">
        <f>101026.58630137*1000</f>
        <v>101026586.30136999</v>
      </c>
      <c r="BC244" s="576">
        <f>'[67]Дир_по фин'!AT10</f>
        <v>99873057.530000001</v>
      </c>
      <c r="BD244" s="576">
        <f t="shared" si="389"/>
        <v>86630797.459999979</v>
      </c>
      <c r="BE244" s="576">
        <f t="shared" si="331"/>
        <v>-14395788.841370016</v>
      </c>
      <c r="BF244" s="576">
        <f t="shared" si="332"/>
        <v>-13242260.070000023</v>
      </c>
      <c r="BG244" s="576">
        <f t="shared" si="312"/>
        <v>276047450.75256288</v>
      </c>
      <c r="BH244" s="578">
        <f t="shared" si="312"/>
        <v>256790139.21000001</v>
      </c>
      <c r="BI244" s="578">
        <v>243547879.13999999</v>
      </c>
      <c r="BJ244" s="578">
        <f t="shared" si="333"/>
        <v>-32499571.612562895</v>
      </c>
      <c r="BK244" s="578">
        <f t="shared" si="334"/>
        <v>-13242260.070000023</v>
      </c>
      <c r="BL244" s="576">
        <f>101026.58630137*1000</f>
        <v>101026586.30136999</v>
      </c>
      <c r="BM244" s="578">
        <f>'[67]Дир_по фин'!AW10</f>
        <v>107038219.18000001</v>
      </c>
      <c r="BN244" s="522">
        <f t="shared" si="390"/>
        <v>60402308.189999998</v>
      </c>
      <c r="BO244" s="578">
        <f t="shared" si="339"/>
        <v>-40624278.111369997</v>
      </c>
      <c r="BP244" s="578">
        <f t="shared" si="335"/>
        <v>-46635910.99000001</v>
      </c>
      <c r="BQ244" s="576">
        <f>101026.58630137*1000</f>
        <v>101026586.30136999</v>
      </c>
      <c r="BR244" s="578">
        <f>'[67]Дир_по фин'!BB10</f>
        <v>0</v>
      </c>
      <c r="BS244" s="578">
        <f>'[67]Дир_по фин'!BC10</f>
        <v>0</v>
      </c>
      <c r="BT244" s="536"/>
      <c r="BU244" s="578"/>
      <c r="BV244" s="578"/>
      <c r="BW244" s="586">
        <v>303950187.32999998</v>
      </c>
      <c r="BX244" s="629"/>
      <c r="BY244" s="522">
        <v>297233597.39999998</v>
      </c>
      <c r="BZ244" s="522">
        <f>221330.16+1702348.05+3767825.27</f>
        <v>5691503.4800000004</v>
      </c>
      <c r="CA244" s="578">
        <v>1025086.45</v>
      </c>
      <c r="CB244" s="522">
        <f t="shared" si="391"/>
        <v>303950187.32999998</v>
      </c>
      <c r="CC244" s="578">
        <f t="shared" si="336"/>
        <v>0</v>
      </c>
      <c r="CD244" s="578"/>
      <c r="CE244" s="578"/>
      <c r="CF244" s="578"/>
      <c r="CG244" s="578"/>
      <c r="CH244" s="578"/>
      <c r="CI244" s="578"/>
      <c r="CJ244" s="578"/>
      <c r="CK244" s="542" t="s">
        <v>81</v>
      </c>
      <c r="CL244" s="542" t="s">
        <v>1810</v>
      </c>
      <c r="CM244" s="528" t="s">
        <v>1959</v>
      </c>
      <c r="CN244" s="528" t="s">
        <v>1849</v>
      </c>
      <c r="CO244" s="528"/>
      <c r="CP244" s="544">
        <f>U244*$CW$7/100</f>
        <v>351271965.21413124</v>
      </c>
      <c r="CQ244" s="544">
        <f>U244*$CW$8/100</f>
        <v>25802071.839801691</v>
      </c>
      <c r="CR244" s="671"/>
      <c r="CS244" s="1709" t="s">
        <v>1898</v>
      </c>
      <c r="CT244" s="1710"/>
      <c r="CU244" s="1710"/>
      <c r="CV244" s="1710"/>
      <c r="CW244" s="1711"/>
      <c r="CX244" s="528"/>
      <c r="CY244" s="528"/>
      <c r="CZ244" s="528"/>
      <c r="DA244" s="528"/>
      <c r="DB244" s="579">
        <v>78052051.890000001</v>
      </c>
      <c r="DC244" s="628" t="e">
        <f>P244-#REF!</f>
        <v>#REF!</v>
      </c>
      <c r="DD244" s="575"/>
      <c r="DE244" s="575"/>
      <c r="DF244" s="522">
        <f t="shared" si="350"/>
        <v>297233.59739999997</v>
      </c>
      <c r="DG244" s="522">
        <f t="shared" si="350"/>
        <v>5691.5034800000003</v>
      </c>
      <c r="DH244" s="578">
        <f t="shared" si="350"/>
        <v>1025.08645</v>
      </c>
      <c r="DI244" s="522">
        <f t="shared" si="348"/>
        <v>303950.18732999999</v>
      </c>
      <c r="DJ244" s="536"/>
      <c r="DK244" s="536"/>
      <c r="DL244" s="536"/>
      <c r="DM244" s="536"/>
      <c r="DN244" s="536"/>
      <c r="DO244" s="536"/>
      <c r="DP244" s="536"/>
      <c r="DQ244" s="536"/>
      <c r="DR244" s="536"/>
      <c r="DS244" s="536"/>
    </row>
    <row r="245" spans="1:123" s="534" customFormat="1" ht="32.25" customHeight="1">
      <c r="A245" s="537" t="s">
        <v>1301</v>
      </c>
      <c r="B245" s="538" t="s">
        <v>1960</v>
      </c>
      <c r="C245" s="576">
        <v>189166.42</v>
      </c>
      <c r="D245" s="576">
        <v>974363.03</v>
      </c>
      <c r="E245" s="576">
        <v>190900</v>
      </c>
      <c r="F245" s="576">
        <v>170682.08</v>
      </c>
      <c r="G245" s="577">
        <v>1009650</v>
      </c>
      <c r="H245" s="577">
        <v>0</v>
      </c>
      <c r="I245" s="578">
        <f t="shared" si="385"/>
        <v>133428.51</v>
      </c>
      <c r="J245" s="578">
        <v>56540.35</v>
      </c>
      <c r="K245" s="578">
        <v>38203.730000000003</v>
      </c>
      <c r="L245" s="578">
        <v>38684.43</v>
      </c>
      <c r="M245" s="578">
        <f t="shared" si="386"/>
        <v>94744.08</v>
      </c>
      <c r="N245" s="578">
        <v>84614.96</v>
      </c>
      <c r="O245" s="522">
        <f t="shared" si="387"/>
        <v>37030.839999999997</v>
      </c>
      <c r="P245" s="522">
        <v>121645.8</v>
      </c>
      <c r="Q245" s="576">
        <f t="shared" si="313"/>
        <v>-11782.710000000006</v>
      </c>
      <c r="R245" s="576">
        <f t="shared" si="314"/>
        <v>-8.8307289049394342</v>
      </c>
      <c r="S245" s="576">
        <v>147920</v>
      </c>
      <c r="T245" s="576">
        <v>147920</v>
      </c>
      <c r="U245" s="522">
        <f t="shared" si="388"/>
        <v>141930.4</v>
      </c>
      <c r="V245" s="522">
        <f t="shared" si="311"/>
        <v>-5989.6000000000058</v>
      </c>
      <c r="W245" s="522">
        <f t="shared" si="340"/>
        <v>-4.049215792320183</v>
      </c>
      <c r="X245" s="522">
        <f t="shared" si="315"/>
        <v>20284.599999999991</v>
      </c>
      <c r="Y245" s="522">
        <f t="shared" si="316"/>
        <v>16.675133872275083</v>
      </c>
      <c r="Z245" s="524">
        <f t="shared" si="317"/>
        <v>129186.26000000001</v>
      </c>
      <c r="AA245" s="522">
        <f t="shared" si="318"/>
        <v>-18733.739999999991</v>
      </c>
      <c r="AB245" s="522">
        <f t="shared" si="341"/>
        <v>-12.664778258518112</v>
      </c>
      <c r="AC245" s="522">
        <f t="shared" si="319"/>
        <v>-12744.139999999985</v>
      </c>
      <c r="AD245" s="522">
        <f t="shared" si="320"/>
        <v>-8.9791475258295605</v>
      </c>
      <c r="AE245" s="522">
        <f t="shared" si="321"/>
        <v>7540.4600000000064</v>
      </c>
      <c r="AF245" s="522">
        <f t="shared" si="322"/>
        <v>6.1987014759243664</v>
      </c>
      <c r="AG245" s="522">
        <f t="shared" si="337"/>
        <v>83456.039999999994</v>
      </c>
      <c r="AH245" s="522">
        <f t="shared" si="323"/>
        <v>-58474.36</v>
      </c>
      <c r="AI245" s="522">
        <f t="shared" si="324"/>
        <v>-41.199320230197337</v>
      </c>
      <c r="AJ245" s="522">
        <f t="shared" si="325"/>
        <v>-45730.220000000016</v>
      </c>
      <c r="AK245" s="522">
        <f t="shared" si="374"/>
        <v>-35.398671654400403</v>
      </c>
      <c r="AL245" s="522">
        <f t="shared" si="392"/>
        <v>83456.039999999994</v>
      </c>
      <c r="AM245" s="522">
        <f t="shared" si="342"/>
        <v>70065.259999999995</v>
      </c>
      <c r="AN245" s="522">
        <f t="shared" si="342"/>
        <v>57320.98</v>
      </c>
      <c r="AO245" s="522">
        <f t="shared" si="326"/>
        <v>-12744.279999999992</v>
      </c>
      <c r="AP245" s="522">
        <f t="shared" si="338"/>
        <v>-18.18915679467969</v>
      </c>
      <c r="AQ245" s="578">
        <v>34732.629999999997</v>
      </c>
      <c r="AR245" s="578">
        <v>32240.29</v>
      </c>
      <c r="AS245" s="578">
        <v>35332.629999999997</v>
      </c>
      <c r="AT245" s="578">
        <v>25080.690000000002</v>
      </c>
      <c r="AU245" s="578">
        <f t="shared" si="375"/>
        <v>71865.14</v>
      </c>
      <c r="AV245" s="578">
        <f t="shared" si="375"/>
        <v>71865.279999999999</v>
      </c>
      <c r="AW245" s="578">
        <f t="shared" si="327"/>
        <v>0.13999999999941792</v>
      </c>
      <c r="AX245" s="578">
        <f t="shared" si="328"/>
        <v>1.9480933315207949E-4</v>
      </c>
      <c r="AY245" s="578">
        <f t="shared" si="376"/>
        <v>26135.05999999999</v>
      </c>
      <c r="AZ245" s="578">
        <f t="shared" si="329"/>
        <v>45730.220000000008</v>
      </c>
      <c r="BA245" s="578">
        <f t="shared" si="330"/>
        <v>174.97652578566885</v>
      </c>
      <c r="BB245" s="578">
        <v>34532.629999999997</v>
      </c>
      <c r="BC245" s="576">
        <f>'[67]Дир_по фин'!AT11</f>
        <v>34532.639999999999</v>
      </c>
      <c r="BD245" s="576">
        <f t="shared" si="389"/>
        <v>13347.18</v>
      </c>
      <c r="BE245" s="576">
        <f t="shared" si="331"/>
        <v>-21185.449999999997</v>
      </c>
      <c r="BF245" s="576">
        <f t="shared" si="332"/>
        <v>-21185.46</v>
      </c>
      <c r="BG245" s="576">
        <f t="shared" si="312"/>
        <v>104597.88999999998</v>
      </c>
      <c r="BH245" s="578">
        <f t="shared" si="312"/>
        <v>91853.62</v>
      </c>
      <c r="BI245" s="578">
        <v>70668.160000000003</v>
      </c>
      <c r="BJ245" s="578">
        <f t="shared" si="333"/>
        <v>-33929.729999999981</v>
      </c>
      <c r="BK245" s="578">
        <f t="shared" si="334"/>
        <v>-21185.459999999992</v>
      </c>
      <c r="BL245" s="576">
        <v>37332.51</v>
      </c>
      <c r="BM245" s="578">
        <f>'[67]Дир_по фин'!AW11</f>
        <v>37332.639999999999</v>
      </c>
      <c r="BN245" s="522">
        <f t="shared" si="390"/>
        <v>12787.87999999999</v>
      </c>
      <c r="BO245" s="578">
        <f t="shared" si="339"/>
        <v>-24544.630000000012</v>
      </c>
      <c r="BP245" s="578">
        <f t="shared" si="335"/>
        <v>-24544.760000000009</v>
      </c>
      <c r="BQ245" s="576">
        <v>37332.51</v>
      </c>
      <c r="BR245" s="578">
        <f>'[67]Дир_по фин'!BB11</f>
        <v>0</v>
      </c>
      <c r="BS245" s="578">
        <f>'[67]Дир_по фин'!BC11</f>
        <v>0</v>
      </c>
      <c r="BT245" s="536"/>
      <c r="BU245" s="578"/>
      <c r="BV245" s="578"/>
      <c r="BW245" s="586">
        <v>83456.039999999994</v>
      </c>
      <c r="BX245" s="629"/>
      <c r="BY245" s="522">
        <v>78416.72</v>
      </c>
      <c r="BZ245" s="522">
        <f>1331.71+2818.37</f>
        <v>4150.08</v>
      </c>
      <c r="CA245" s="522">
        <f>889.24</f>
        <v>889.24</v>
      </c>
      <c r="CB245" s="522">
        <f t="shared" si="391"/>
        <v>83456.040000000008</v>
      </c>
      <c r="CC245" s="522">
        <f t="shared" si="336"/>
        <v>0</v>
      </c>
      <c r="CD245" s="578"/>
      <c r="CE245" s="578"/>
      <c r="CF245" s="578"/>
      <c r="CG245" s="578"/>
      <c r="CH245" s="578"/>
      <c r="CI245" s="578"/>
      <c r="CJ245" s="578"/>
      <c r="CK245" s="542" t="s">
        <v>81</v>
      </c>
      <c r="CL245" s="542" t="s">
        <v>1810</v>
      </c>
      <c r="CM245" s="528" t="s">
        <v>1959</v>
      </c>
      <c r="CN245" s="528" t="s">
        <v>1849</v>
      </c>
      <c r="CO245" s="528"/>
      <c r="CP245" s="544">
        <f>U245*$CU$7/100</f>
        <v>130947.88955626659</v>
      </c>
      <c r="CQ245" s="544">
        <f>U245*$CU$8/100</f>
        <v>9618.5496942278805</v>
      </c>
      <c r="CR245" s="544">
        <f>U245*$CU$9/100</f>
        <v>1363.96074950552</v>
      </c>
      <c r="CS245" s="1709" t="s">
        <v>1826</v>
      </c>
      <c r="CT245" s="1710"/>
      <c r="CU245" s="1710"/>
      <c r="CV245" s="1710"/>
      <c r="CW245" s="1711"/>
      <c r="CX245" s="528"/>
      <c r="CY245" s="528"/>
      <c r="CZ245" s="528"/>
      <c r="DA245" s="528"/>
      <c r="DB245" s="579">
        <v>32240.29</v>
      </c>
      <c r="DC245" s="628" t="e">
        <f>P245-#REF!</f>
        <v>#REF!</v>
      </c>
      <c r="DD245" s="575"/>
      <c r="DE245" s="575"/>
      <c r="DF245" s="522">
        <f t="shared" si="350"/>
        <v>78.416719999999998</v>
      </c>
      <c r="DG245" s="522">
        <f t="shared" si="350"/>
        <v>4.15008</v>
      </c>
      <c r="DH245" s="522">
        <f t="shared" si="350"/>
        <v>0.88924000000000003</v>
      </c>
      <c r="DI245" s="522">
        <f t="shared" si="348"/>
        <v>83.456040000000002</v>
      </c>
      <c r="DJ245" s="536"/>
      <c r="DK245" s="536"/>
      <c r="DL245" s="536"/>
      <c r="DM245" s="536"/>
      <c r="DN245" s="536"/>
      <c r="DO245" s="536"/>
      <c r="DP245" s="536"/>
      <c r="DQ245" s="536"/>
      <c r="DR245" s="536"/>
      <c r="DS245" s="536"/>
    </row>
    <row r="246" spans="1:123" s="534" customFormat="1" ht="73.5" customHeight="1">
      <c r="A246" s="537" t="s">
        <v>1290</v>
      </c>
      <c r="B246" s="538" t="s">
        <v>1291</v>
      </c>
      <c r="C246" s="576">
        <v>4273458.33</v>
      </c>
      <c r="D246" s="576">
        <v>3556882.16</v>
      </c>
      <c r="E246" s="525">
        <v>5026680</v>
      </c>
      <c r="F246" s="525">
        <v>3504110.85</v>
      </c>
      <c r="G246" s="596">
        <v>3739089.9999999995</v>
      </c>
      <c r="H246" s="596">
        <v>0</v>
      </c>
      <c r="I246" s="522">
        <f t="shared" si="385"/>
        <v>2953603.7199999997</v>
      </c>
      <c r="J246" s="522">
        <v>928529.73</v>
      </c>
      <c r="K246" s="522">
        <v>444350.63</v>
      </c>
      <c r="L246" s="522">
        <v>1580723.36</v>
      </c>
      <c r="M246" s="522">
        <f t="shared" si="386"/>
        <v>1372880.3599999999</v>
      </c>
      <c r="N246" s="522">
        <v>1572439.63</v>
      </c>
      <c r="O246" s="522">
        <f t="shared" si="387"/>
        <v>518682.65000000014</v>
      </c>
      <c r="P246" s="522">
        <v>2091122.28</v>
      </c>
      <c r="Q246" s="525">
        <f t="shared" si="313"/>
        <v>-862481.43999999971</v>
      </c>
      <c r="R246" s="525">
        <f t="shared" si="314"/>
        <v>-29.200987057261685</v>
      </c>
      <c r="S246" s="525">
        <v>2949290</v>
      </c>
      <c r="T246" s="525">
        <v>2949290</v>
      </c>
      <c r="U246" s="522">
        <f t="shared" si="388"/>
        <v>3312882.7</v>
      </c>
      <c r="V246" s="522">
        <f t="shared" si="311"/>
        <v>363592.70000000019</v>
      </c>
      <c r="W246" s="522">
        <f t="shared" si="340"/>
        <v>12.328143383661839</v>
      </c>
      <c r="X246" s="522">
        <f t="shared" si="315"/>
        <v>1221760.4200000002</v>
      </c>
      <c r="Y246" s="522">
        <f t="shared" si="316"/>
        <v>58.426062965576563</v>
      </c>
      <c r="Z246" s="524">
        <f t="shared" si="317"/>
        <v>3574507.3</v>
      </c>
      <c r="AA246" s="522">
        <f t="shared" si="318"/>
        <v>625217.29999999981</v>
      </c>
      <c r="AB246" s="522">
        <f t="shared" si="341"/>
        <v>21.198908889936206</v>
      </c>
      <c r="AC246" s="522">
        <f t="shared" si="319"/>
        <v>261624.59999999963</v>
      </c>
      <c r="AD246" s="522">
        <f t="shared" si="320"/>
        <v>7.8971887534683844</v>
      </c>
      <c r="AE246" s="522">
        <f t="shared" si="321"/>
        <v>1483385.0199999998</v>
      </c>
      <c r="AF246" s="522">
        <f t="shared" si="322"/>
        <v>70.937268192656802</v>
      </c>
      <c r="AG246" s="522">
        <f t="shared" si="337"/>
        <v>4341717.3600000003</v>
      </c>
      <c r="AH246" s="522">
        <f t="shared" si="323"/>
        <v>1028834.6600000001</v>
      </c>
      <c r="AI246" s="522">
        <f t="shared" si="324"/>
        <v>31.055571632524135</v>
      </c>
      <c r="AJ246" s="522">
        <f t="shared" si="325"/>
        <v>767210.06000000052</v>
      </c>
      <c r="AK246" s="522">
        <f t="shared" si="374"/>
        <v>21.463379302652427</v>
      </c>
      <c r="AL246" s="522">
        <f t="shared" si="392"/>
        <v>4341717.3600000003</v>
      </c>
      <c r="AM246" s="522">
        <f t="shared" si="342"/>
        <v>1750872.72</v>
      </c>
      <c r="AN246" s="522">
        <f t="shared" si="342"/>
        <v>1817811.58</v>
      </c>
      <c r="AO246" s="522">
        <f t="shared" si="326"/>
        <v>66938.860000000102</v>
      </c>
      <c r="AP246" s="522">
        <f t="shared" si="338"/>
        <v>3.8231711097766095</v>
      </c>
      <c r="AQ246" s="522">
        <v>909069.74</v>
      </c>
      <c r="AR246" s="522">
        <v>1283573.33</v>
      </c>
      <c r="AS246" s="522">
        <v>841802.98</v>
      </c>
      <c r="AT246" s="522">
        <v>534238.25</v>
      </c>
      <c r="AU246" s="522">
        <f t="shared" si="375"/>
        <v>1562009.98</v>
      </c>
      <c r="AV246" s="522">
        <f t="shared" si="375"/>
        <v>1756695.72</v>
      </c>
      <c r="AW246" s="522">
        <f t="shared" si="327"/>
        <v>194685.74</v>
      </c>
      <c r="AX246" s="522">
        <f t="shared" si="328"/>
        <v>12.463796166014248</v>
      </c>
      <c r="AY246" s="522">
        <f t="shared" si="376"/>
        <v>2523905.7800000003</v>
      </c>
      <c r="AZ246" s="522">
        <f t="shared" si="329"/>
        <v>-767210.06000000029</v>
      </c>
      <c r="BA246" s="522">
        <f t="shared" si="330"/>
        <v>-30.397729823337556</v>
      </c>
      <c r="BB246" s="522">
        <v>839088.19</v>
      </c>
      <c r="BC246" s="576">
        <f>'[67]Дир_по фин'!AT12</f>
        <v>940276.28</v>
      </c>
      <c r="BD246" s="576">
        <f t="shared" si="389"/>
        <v>627262.10999999987</v>
      </c>
      <c r="BE246" s="576">
        <f t="shared" si="331"/>
        <v>-211826.08000000007</v>
      </c>
      <c r="BF246" s="576">
        <f t="shared" si="332"/>
        <v>-313014.17000000016</v>
      </c>
      <c r="BG246" s="576">
        <f t="shared" si="312"/>
        <v>2589960.91</v>
      </c>
      <c r="BH246" s="578">
        <f t="shared" si="312"/>
        <v>2758087.8600000003</v>
      </c>
      <c r="BI246" s="578">
        <v>2445073.69</v>
      </c>
      <c r="BJ246" s="578">
        <f t="shared" si="333"/>
        <v>-144887.2200000002</v>
      </c>
      <c r="BK246" s="578">
        <f t="shared" si="334"/>
        <v>-313014.17000000039</v>
      </c>
      <c r="BL246" s="576">
        <v>722921.79</v>
      </c>
      <c r="BM246" s="578">
        <f>'[67]Дир_по фин'!AW12</f>
        <v>816419.44</v>
      </c>
      <c r="BN246" s="522">
        <f t="shared" si="390"/>
        <v>1896643.6700000004</v>
      </c>
      <c r="BO246" s="578">
        <f t="shared" si="339"/>
        <v>1173721.8800000004</v>
      </c>
      <c r="BP246" s="578">
        <f t="shared" si="335"/>
        <v>1080224.2300000004</v>
      </c>
      <c r="BQ246" s="576">
        <v>722921.79</v>
      </c>
      <c r="BR246" s="578">
        <f>'[67]Дир_по фин'!BB12</f>
        <v>0</v>
      </c>
      <c r="BS246" s="578">
        <f>'[67]Дир_по фин'!BC12</f>
        <v>0</v>
      </c>
      <c r="BT246" s="536"/>
      <c r="BU246" s="578"/>
      <c r="BV246" s="578"/>
      <c r="BW246" s="586">
        <v>4341717.3600000003</v>
      </c>
      <c r="BX246" s="574"/>
      <c r="BY246" s="522">
        <v>3947608.33</v>
      </c>
      <c r="BZ246" s="522">
        <f>114182.12+235114</f>
        <v>349296.12</v>
      </c>
      <c r="CA246" s="522">
        <v>44812.91</v>
      </c>
      <c r="CB246" s="522">
        <f t="shared" si="391"/>
        <v>4341717.3600000003</v>
      </c>
      <c r="CC246" s="522">
        <f t="shared" si="336"/>
        <v>0</v>
      </c>
      <c r="CD246" s="578"/>
      <c r="CE246" s="578"/>
      <c r="CF246" s="578"/>
      <c r="CG246" s="578"/>
      <c r="CH246" s="578"/>
      <c r="CI246" s="578"/>
      <c r="CJ246" s="578"/>
      <c r="CK246" s="542" t="s">
        <v>81</v>
      </c>
      <c r="CL246" s="542" t="s">
        <v>1810</v>
      </c>
      <c r="CM246" s="528" t="s">
        <v>1959</v>
      </c>
      <c r="CN246" s="528" t="s">
        <v>1849</v>
      </c>
      <c r="CO246" s="528"/>
      <c r="CP246" s="544">
        <f>U246*$CU$7/100</f>
        <v>3056533.3283952298</v>
      </c>
      <c r="CQ246" s="544">
        <f>U246*$CU$8/100</f>
        <v>224512.34464989771</v>
      </c>
      <c r="CR246" s="544">
        <f>U246*$CU$9/100</f>
        <v>31837.026954872748</v>
      </c>
      <c r="CS246" s="1709" t="s">
        <v>1826</v>
      </c>
      <c r="CT246" s="1710"/>
      <c r="CU246" s="1710"/>
      <c r="CV246" s="1710"/>
      <c r="CW246" s="1711"/>
      <c r="CX246" s="528"/>
      <c r="CY246" s="528"/>
      <c r="CZ246" s="528"/>
      <c r="DA246" s="528"/>
      <c r="DB246" s="579">
        <v>1283573.33</v>
      </c>
      <c r="DC246" s="628" t="e">
        <f>P246-#REF!</f>
        <v>#REF!</v>
      </c>
      <c r="DD246" s="575"/>
      <c r="DE246" s="575"/>
      <c r="DF246" s="522">
        <f t="shared" si="350"/>
        <v>3947.60833</v>
      </c>
      <c r="DG246" s="522">
        <f t="shared" si="350"/>
        <v>349.29611999999997</v>
      </c>
      <c r="DH246" s="522">
        <f t="shared" si="350"/>
        <v>44.812910000000002</v>
      </c>
      <c r="DI246" s="522">
        <f t="shared" si="348"/>
        <v>4341.7173600000006</v>
      </c>
      <c r="DJ246" s="536"/>
      <c r="DK246" s="536"/>
      <c r="DL246" s="536"/>
      <c r="DM246" s="536"/>
      <c r="DN246" s="536"/>
      <c r="DO246" s="536"/>
      <c r="DP246" s="536"/>
      <c r="DQ246" s="536"/>
      <c r="DR246" s="536"/>
      <c r="DS246" s="536"/>
    </row>
    <row r="247" spans="1:123" s="534" customFormat="1" ht="84.6">
      <c r="A247" s="537" t="s">
        <v>1313</v>
      </c>
      <c r="B247" s="538" t="s">
        <v>1314</v>
      </c>
      <c r="C247" s="576">
        <v>8126662.5700000003</v>
      </c>
      <c r="D247" s="576">
        <v>0</v>
      </c>
      <c r="E247" s="576">
        <v>0</v>
      </c>
      <c r="F247" s="576">
        <v>8818775.7100000009</v>
      </c>
      <c r="G247" s="577">
        <v>0</v>
      </c>
      <c r="H247" s="577">
        <v>0</v>
      </c>
      <c r="I247" s="578">
        <f t="shared" si="385"/>
        <v>5956156.8200000003</v>
      </c>
      <c r="J247" s="578">
        <v>4694053.58</v>
      </c>
      <c r="K247" s="578">
        <v>587455.65</v>
      </c>
      <c r="L247" s="578">
        <v>674647.59</v>
      </c>
      <c r="M247" s="578">
        <f t="shared" si="386"/>
        <v>5281509.2300000004</v>
      </c>
      <c r="N247" s="578">
        <v>6581758.7300000004</v>
      </c>
      <c r="O247" s="522">
        <f t="shared" si="387"/>
        <v>3168049.34</v>
      </c>
      <c r="P247" s="522">
        <v>9749808.0700000003</v>
      </c>
      <c r="Q247" s="576">
        <f t="shared" si="313"/>
        <v>3793651.25</v>
      </c>
      <c r="R247" s="576">
        <f t="shared" si="314"/>
        <v>63.692937655056568</v>
      </c>
      <c r="S247" s="576"/>
      <c r="T247" s="576"/>
      <c r="U247" s="522">
        <f t="shared" si="388"/>
        <v>9412966.1999999993</v>
      </c>
      <c r="V247" s="522">
        <f t="shared" si="311"/>
        <v>9412966.1999999993</v>
      </c>
      <c r="W247" s="522">
        <v>0</v>
      </c>
      <c r="X247" s="522">
        <f t="shared" si="315"/>
        <v>-336841.87000000104</v>
      </c>
      <c r="Y247" s="522">
        <f t="shared" si="316"/>
        <v>-3.4548564195479656</v>
      </c>
      <c r="Z247" s="524">
        <f t="shared" si="317"/>
        <v>10515375.379999999</v>
      </c>
      <c r="AA247" s="522">
        <f t="shared" si="318"/>
        <v>10515375.379999999</v>
      </c>
      <c r="AB247" s="522">
        <v>0</v>
      </c>
      <c r="AC247" s="522">
        <f t="shared" si="319"/>
        <v>1102409.1799999997</v>
      </c>
      <c r="AD247" s="522">
        <f t="shared" si="320"/>
        <v>11.711602448970865</v>
      </c>
      <c r="AE247" s="522">
        <f t="shared" si="321"/>
        <v>765567.30999999866</v>
      </c>
      <c r="AF247" s="522">
        <f t="shared" si="322"/>
        <v>7.8521269803826925</v>
      </c>
      <c r="AG247" s="522">
        <f t="shared" si="337"/>
        <v>10164878.780000001</v>
      </c>
      <c r="AH247" s="522">
        <f t="shared" si="323"/>
        <v>751912.58000000194</v>
      </c>
      <c r="AI247" s="522">
        <f t="shared" si="324"/>
        <v>7.988051417841092</v>
      </c>
      <c r="AJ247" s="522">
        <f t="shared" si="325"/>
        <v>-350496.59999999776</v>
      </c>
      <c r="AK247" s="522">
        <f t="shared" si="374"/>
        <v>-3.3331820057193084</v>
      </c>
      <c r="AL247" s="522">
        <f t="shared" si="392"/>
        <v>10164878.780000001</v>
      </c>
      <c r="AM247" s="522">
        <f t="shared" si="342"/>
        <v>4706483.0999999996</v>
      </c>
      <c r="AN247" s="522">
        <f t="shared" si="342"/>
        <v>5008892.28</v>
      </c>
      <c r="AO247" s="522">
        <f t="shared" si="326"/>
        <v>302409.18000000063</v>
      </c>
      <c r="AP247" s="522">
        <f t="shared" si="338"/>
        <v>6.4253748196822613</v>
      </c>
      <c r="AQ247" s="578">
        <v>2353241.5499999998</v>
      </c>
      <c r="AR247" s="578">
        <v>2748651.03</v>
      </c>
      <c r="AS247" s="578">
        <v>2353241.5499999998</v>
      </c>
      <c r="AT247" s="578">
        <v>2260241.2500000005</v>
      </c>
      <c r="AU247" s="578">
        <f t="shared" si="375"/>
        <v>4706483.0999999996</v>
      </c>
      <c r="AV247" s="578">
        <f t="shared" si="375"/>
        <v>5506483.0999999996</v>
      </c>
      <c r="AW247" s="578">
        <f t="shared" si="327"/>
        <v>800000</v>
      </c>
      <c r="AX247" s="578">
        <f t="shared" si="328"/>
        <v>16.997830078259497</v>
      </c>
      <c r="AY247" s="578">
        <f t="shared" si="376"/>
        <v>5155986.5000000009</v>
      </c>
      <c r="AZ247" s="578">
        <f t="shared" si="329"/>
        <v>350496.5999999987</v>
      </c>
      <c r="BA247" s="578">
        <f t="shared" si="330"/>
        <v>6.7978572092847571</v>
      </c>
      <c r="BB247" s="578">
        <v>2353241.5499999998</v>
      </c>
      <c r="BC247" s="576">
        <f>'[67]Дир_ имущ'!AT31</f>
        <v>2753241.55</v>
      </c>
      <c r="BD247" s="576">
        <f t="shared" si="389"/>
        <v>1843629.25</v>
      </c>
      <c r="BE247" s="576">
        <f t="shared" si="331"/>
        <v>-509612.29999999981</v>
      </c>
      <c r="BF247" s="576">
        <f t="shared" si="332"/>
        <v>-909612.29999999981</v>
      </c>
      <c r="BG247" s="576">
        <f t="shared" si="312"/>
        <v>7059724.6499999994</v>
      </c>
      <c r="BH247" s="578">
        <f t="shared" si="312"/>
        <v>7762133.8300000001</v>
      </c>
      <c r="BI247" s="578">
        <v>6852521.5300000003</v>
      </c>
      <c r="BJ247" s="578">
        <f t="shared" si="333"/>
        <v>-207203.11999999918</v>
      </c>
      <c r="BK247" s="578">
        <f t="shared" si="334"/>
        <v>-909612.29999999981</v>
      </c>
      <c r="BL247" s="576">
        <v>2353241.5499999998</v>
      </c>
      <c r="BM247" s="578">
        <f>'[67]Дир_ имущ'!AW31</f>
        <v>2753241.55</v>
      </c>
      <c r="BN247" s="522">
        <f t="shared" si="390"/>
        <v>3312357.2500000009</v>
      </c>
      <c r="BO247" s="578">
        <f t="shared" si="339"/>
        <v>959115.70000000112</v>
      </c>
      <c r="BP247" s="578">
        <f t="shared" si="335"/>
        <v>559115.70000000112</v>
      </c>
      <c r="BQ247" s="576">
        <v>2353241.5499999998</v>
      </c>
      <c r="BR247" s="578">
        <f>'[67]Дир_ имущ'!BB31</f>
        <v>0</v>
      </c>
      <c r="BS247" s="578">
        <f>'[67]Дир_ имущ'!BC31</f>
        <v>0</v>
      </c>
      <c r="BT247" s="536"/>
      <c r="BU247" s="578"/>
      <c r="BV247" s="578"/>
      <c r="BW247" s="586">
        <f>10112955.65+51923.13</f>
        <v>10164878.780000001</v>
      </c>
      <c r="BX247" s="574"/>
      <c r="BY247" s="522">
        <v>32888.639999999999</v>
      </c>
      <c r="BZ247" s="522">
        <f>1239.34+2527.37</f>
        <v>3766.71</v>
      </c>
      <c r="CA247" s="522">
        <f>10112955.65+15267.78</f>
        <v>10128223.43</v>
      </c>
      <c r="CB247" s="522">
        <f t="shared" si="391"/>
        <v>10164878.779999999</v>
      </c>
      <c r="CC247" s="522">
        <f t="shared" si="336"/>
        <v>0</v>
      </c>
      <c r="CD247" s="578"/>
      <c r="CE247" s="578"/>
      <c r="CF247" s="578"/>
      <c r="CG247" s="578"/>
      <c r="CH247" s="578"/>
      <c r="CI247" s="578"/>
      <c r="CJ247" s="578"/>
      <c r="CK247" s="543" t="s">
        <v>1815</v>
      </c>
      <c r="CL247" s="543" t="s">
        <v>1816</v>
      </c>
      <c r="CM247" s="528" t="s">
        <v>1959</v>
      </c>
      <c r="CN247" s="528"/>
      <c r="CO247" s="528"/>
      <c r="CP247" s="579"/>
      <c r="CQ247" s="579"/>
      <c r="CR247" s="579">
        <f t="shared" ref="CR247:CR252" si="393">U247</f>
        <v>9412966.1999999993</v>
      </c>
      <c r="CS247" s="1727"/>
      <c r="CT247" s="1728"/>
      <c r="CU247" s="1728"/>
      <c r="CV247" s="1728"/>
      <c r="CW247" s="1729"/>
      <c r="CX247" s="528"/>
      <c r="CY247" s="528"/>
      <c r="CZ247" s="528"/>
      <c r="DA247" s="528"/>
      <c r="DB247" s="579">
        <f>2745977.03+2674</f>
        <v>2748651.03</v>
      </c>
      <c r="DC247" s="628" t="e">
        <f>P247-#REF!</f>
        <v>#REF!</v>
      </c>
      <c r="DD247" s="575"/>
      <c r="DE247" s="575"/>
      <c r="DF247" s="522">
        <f t="shared" si="350"/>
        <v>32.888640000000002</v>
      </c>
      <c r="DG247" s="522">
        <f t="shared" si="350"/>
        <v>3.7667100000000002</v>
      </c>
      <c r="DH247" s="522">
        <f t="shared" si="350"/>
        <v>10128.22343</v>
      </c>
      <c r="DI247" s="522">
        <f t="shared" si="348"/>
        <v>10164.878779999999</v>
      </c>
      <c r="DJ247" s="536"/>
      <c r="DK247" s="536"/>
      <c r="DL247" s="536"/>
      <c r="DM247" s="536"/>
      <c r="DN247" s="536"/>
      <c r="DO247" s="536"/>
      <c r="DP247" s="536"/>
      <c r="DQ247" s="536"/>
      <c r="DR247" s="536"/>
      <c r="DS247" s="536"/>
    </row>
    <row r="248" spans="1:123" s="534" customFormat="1" ht="56.4">
      <c r="A248" s="537" t="s">
        <v>1318</v>
      </c>
      <c r="B248" s="538" t="s">
        <v>1319</v>
      </c>
      <c r="C248" s="576">
        <v>148848765.36000001</v>
      </c>
      <c r="D248" s="576">
        <v>0</v>
      </c>
      <c r="E248" s="576">
        <v>1274510</v>
      </c>
      <c r="F248" s="576">
        <v>12891954.029999999</v>
      </c>
      <c r="G248" s="577">
        <v>0</v>
      </c>
      <c r="H248" s="626">
        <v>0</v>
      </c>
      <c r="I248" s="578">
        <f t="shared" si="385"/>
        <v>862528.63</v>
      </c>
      <c r="J248" s="578">
        <v>862528.63</v>
      </c>
      <c r="K248" s="578">
        <v>0</v>
      </c>
      <c r="L248" s="578">
        <v>0</v>
      </c>
      <c r="M248" s="578">
        <f t="shared" si="386"/>
        <v>862528.63</v>
      </c>
      <c r="N248" s="578">
        <v>1075045.96</v>
      </c>
      <c r="O248" s="522">
        <f t="shared" si="387"/>
        <v>2530505.4800000004</v>
      </c>
      <c r="P248" s="522">
        <f>159310.76+2923241.94+522998.74</f>
        <v>3605551.4400000004</v>
      </c>
      <c r="Q248" s="576">
        <f t="shared" si="313"/>
        <v>2743022.8100000005</v>
      </c>
      <c r="R248" s="576">
        <f t="shared" si="314"/>
        <v>318.02107368888153</v>
      </c>
      <c r="S248" s="576"/>
      <c r="T248" s="576"/>
      <c r="U248" s="522">
        <f t="shared" si="388"/>
        <v>0</v>
      </c>
      <c r="V248" s="522">
        <f t="shared" si="311"/>
        <v>0</v>
      </c>
      <c r="W248" s="522">
        <v>0</v>
      </c>
      <c r="X248" s="522">
        <f t="shared" si="315"/>
        <v>-3605551.4400000004</v>
      </c>
      <c r="Y248" s="522">
        <f t="shared" si="316"/>
        <v>-100</v>
      </c>
      <c r="Z248" s="524">
        <f t="shared" si="317"/>
        <v>1788156.38</v>
      </c>
      <c r="AA248" s="522">
        <f t="shared" si="318"/>
        <v>1788156.38</v>
      </c>
      <c r="AB248" s="522">
        <v>0</v>
      </c>
      <c r="AC248" s="522">
        <f t="shared" si="319"/>
        <v>1788156.38</v>
      </c>
      <c r="AD248" s="522">
        <v>0</v>
      </c>
      <c r="AE248" s="522">
        <f t="shared" si="321"/>
        <v>-1817395.0600000005</v>
      </c>
      <c r="AF248" s="522">
        <f t="shared" si="322"/>
        <v>-50.405467519831035</v>
      </c>
      <c r="AG248" s="522">
        <f t="shared" si="337"/>
        <v>2277426.34</v>
      </c>
      <c r="AH248" s="522">
        <f t="shared" si="323"/>
        <v>2277426.34</v>
      </c>
      <c r="AI248" s="522">
        <v>0</v>
      </c>
      <c r="AJ248" s="522">
        <f t="shared" si="325"/>
        <v>489269.95999999996</v>
      </c>
      <c r="AK248" s="522">
        <f t="shared" si="374"/>
        <v>27.36169864517106</v>
      </c>
      <c r="AL248" s="522">
        <f t="shared" si="392"/>
        <v>2277426.34</v>
      </c>
      <c r="AM248" s="522">
        <f t="shared" si="342"/>
        <v>0</v>
      </c>
      <c r="AN248" s="522">
        <f t="shared" si="342"/>
        <v>1788156.38</v>
      </c>
      <c r="AO248" s="522">
        <f t="shared" si="326"/>
        <v>1788156.38</v>
      </c>
      <c r="AP248" s="522">
        <v>0</v>
      </c>
      <c r="AQ248" s="578">
        <v>0</v>
      </c>
      <c r="AR248" s="578">
        <v>1439221.1</v>
      </c>
      <c r="AS248" s="578">
        <v>0</v>
      </c>
      <c r="AT248" s="578">
        <v>348935.2799999998</v>
      </c>
      <c r="AU248" s="578">
        <f t="shared" si="375"/>
        <v>0</v>
      </c>
      <c r="AV248" s="578">
        <f t="shared" si="375"/>
        <v>0</v>
      </c>
      <c r="AW248" s="578">
        <f t="shared" si="327"/>
        <v>0</v>
      </c>
      <c r="AX248" s="578">
        <v>0</v>
      </c>
      <c r="AY248" s="578">
        <f t="shared" si="376"/>
        <v>489269.95999999996</v>
      </c>
      <c r="AZ248" s="578">
        <f t="shared" si="329"/>
        <v>-489269.95999999996</v>
      </c>
      <c r="BA248" s="578">
        <v>0</v>
      </c>
      <c r="BB248" s="578">
        <v>0</v>
      </c>
      <c r="BC248" s="576">
        <f>'[67]Дир_ имущ'!AT32</f>
        <v>0</v>
      </c>
      <c r="BD248" s="576">
        <f t="shared" si="389"/>
        <v>257837.55000000005</v>
      </c>
      <c r="BE248" s="576">
        <f t="shared" si="331"/>
        <v>257837.55000000005</v>
      </c>
      <c r="BF248" s="576">
        <f t="shared" si="332"/>
        <v>257837.55000000005</v>
      </c>
      <c r="BG248" s="576">
        <f t="shared" si="312"/>
        <v>0</v>
      </c>
      <c r="BH248" s="578">
        <f t="shared" si="312"/>
        <v>1788156.38</v>
      </c>
      <c r="BI248" s="578">
        <v>2045993.93</v>
      </c>
      <c r="BJ248" s="578">
        <f t="shared" si="333"/>
        <v>2045993.93</v>
      </c>
      <c r="BK248" s="578">
        <f t="shared" si="334"/>
        <v>257837.55000000005</v>
      </c>
      <c r="BL248" s="576">
        <v>0</v>
      </c>
      <c r="BM248" s="578">
        <f>'[67]Дир_ имущ'!AW32</f>
        <v>0</v>
      </c>
      <c r="BN248" s="522">
        <f t="shared" si="390"/>
        <v>231432.40999999992</v>
      </c>
      <c r="BO248" s="578">
        <f t="shared" si="339"/>
        <v>231432.40999999992</v>
      </c>
      <c r="BP248" s="578">
        <f t="shared" si="335"/>
        <v>231432.40999999992</v>
      </c>
      <c r="BQ248" s="576">
        <v>0</v>
      </c>
      <c r="BR248" s="578">
        <f>'[67]Дир_ имущ'!BB32</f>
        <v>0</v>
      </c>
      <c r="BS248" s="578">
        <f>'[67]Дир_ имущ'!BC32</f>
        <v>0</v>
      </c>
      <c r="BT248" s="536"/>
      <c r="BU248" s="578"/>
      <c r="BV248" s="578"/>
      <c r="BW248" s="586">
        <f>1988919.11-321236.84+609744.07</f>
        <v>2277426.34</v>
      </c>
      <c r="BX248" s="574"/>
      <c r="BY248" s="578"/>
      <c r="BZ248" s="578"/>
      <c r="CA248" s="522">
        <f>1667682.27+609744.07</f>
        <v>2277426.34</v>
      </c>
      <c r="CB248" s="522">
        <f t="shared" si="391"/>
        <v>2277426.34</v>
      </c>
      <c r="CC248" s="522">
        <f t="shared" si="336"/>
        <v>0</v>
      </c>
      <c r="CD248" s="578"/>
      <c r="CE248" s="578"/>
      <c r="CF248" s="578"/>
      <c r="CG248" s="578"/>
      <c r="CH248" s="578"/>
      <c r="CI248" s="578"/>
      <c r="CJ248" s="578"/>
      <c r="CK248" s="543" t="s">
        <v>1815</v>
      </c>
      <c r="CL248" s="543" t="s">
        <v>1816</v>
      </c>
      <c r="CM248" s="528" t="s">
        <v>1959</v>
      </c>
      <c r="CN248" s="528"/>
      <c r="CO248" s="528"/>
      <c r="CP248" s="579"/>
      <c r="CQ248" s="579"/>
      <c r="CR248" s="579">
        <f t="shared" si="393"/>
        <v>0</v>
      </c>
      <c r="CS248" s="1727"/>
      <c r="CT248" s="1728"/>
      <c r="CU248" s="1728"/>
      <c r="CV248" s="1728"/>
      <c r="CW248" s="1729"/>
      <c r="CX248" s="528"/>
      <c r="CY248" s="528"/>
      <c r="CZ248" s="528"/>
      <c r="DA248" s="528"/>
      <c r="DB248" s="579">
        <v>1439221.1</v>
      </c>
      <c r="DC248" s="628" t="e">
        <f>P248-#REF!</f>
        <v>#REF!</v>
      </c>
      <c r="DD248" s="575"/>
      <c r="DE248" s="575"/>
      <c r="DF248" s="578">
        <f t="shared" si="350"/>
        <v>0</v>
      </c>
      <c r="DG248" s="578">
        <f t="shared" si="350"/>
        <v>0</v>
      </c>
      <c r="DH248" s="522">
        <f t="shared" si="350"/>
        <v>2277.42634</v>
      </c>
      <c r="DI248" s="522">
        <f t="shared" si="348"/>
        <v>2277.42634</v>
      </c>
      <c r="DJ248" s="536"/>
      <c r="DK248" s="536"/>
      <c r="DL248" s="536"/>
      <c r="DM248" s="536"/>
      <c r="DN248" s="536"/>
      <c r="DO248" s="536"/>
      <c r="DP248" s="536"/>
      <c r="DQ248" s="536"/>
      <c r="DR248" s="536"/>
      <c r="DS248" s="536"/>
    </row>
    <row r="249" spans="1:123" s="534" customFormat="1">
      <c r="A249" s="537" t="s">
        <v>1323</v>
      </c>
      <c r="B249" s="538" t="s">
        <v>1324</v>
      </c>
      <c r="C249" s="576"/>
      <c r="D249" s="576"/>
      <c r="E249" s="576"/>
      <c r="F249" s="576"/>
      <c r="G249" s="577">
        <v>0</v>
      </c>
      <c r="H249" s="632">
        <v>0</v>
      </c>
      <c r="I249" s="578">
        <f t="shared" si="385"/>
        <v>0</v>
      </c>
      <c r="J249" s="578">
        <v>0</v>
      </c>
      <c r="K249" s="578">
        <v>0</v>
      </c>
      <c r="L249" s="578">
        <v>0</v>
      </c>
      <c r="M249" s="578">
        <f t="shared" si="386"/>
        <v>0</v>
      </c>
      <c r="N249" s="578">
        <v>67179.289999999994</v>
      </c>
      <c r="O249" s="522">
        <f t="shared" si="387"/>
        <v>80429.12000000001</v>
      </c>
      <c r="P249" s="522">
        <f>53750+93858.41</f>
        <v>147608.41</v>
      </c>
      <c r="Q249" s="576">
        <f t="shared" si="313"/>
        <v>147608.41</v>
      </c>
      <c r="R249" s="576">
        <v>0</v>
      </c>
      <c r="S249" s="576"/>
      <c r="T249" s="576"/>
      <c r="U249" s="522">
        <f t="shared" si="388"/>
        <v>0</v>
      </c>
      <c r="V249" s="522">
        <f t="shared" si="311"/>
        <v>0</v>
      </c>
      <c r="W249" s="522">
        <v>0</v>
      </c>
      <c r="X249" s="522">
        <f t="shared" si="315"/>
        <v>-147608.41</v>
      </c>
      <c r="Y249" s="522">
        <f t="shared" si="316"/>
        <v>-100</v>
      </c>
      <c r="Z249" s="524">
        <f t="shared" si="317"/>
        <v>88855.97</v>
      </c>
      <c r="AA249" s="522">
        <f t="shared" si="318"/>
        <v>88855.97</v>
      </c>
      <c r="AB249" s="522">
        <v>0</v>
      </c>
      <c r="AC249" s="522">
        <f t="shared" si="319"/>
        <v>88855.97</v>
      </c>
      <c r="AD249" s="522">
        <v>0</v>
      </c>
      <c r="AE249" s="522">
        <f t="shared" si="321"/>
        <v>-58752.44</v>
      </c>
      <c r="AF249" s="522">
        <f t="shared" si="322"/>
        <v>-39.802908248927004</v>
      </c>
      <c r="AG249" s="522">
        <f t="shared" si="337"/>
        <v>472088.03</v>
      </c>
      <c r="AH249" s="522">
        <f t="shared" si="323"/>
        <v>472088.03</v>
      </c>
      <c r="AI249" s="522">
        <v>0</v>
      </c>
      <c r="AJ249" s="522">
        <f t="shared" si="325"/>
        <v>383232.06000000006</v>
      </c>
      <c r="AK249" s="522">
        <f t="shared" si="374"/>
        <v>431.29579250555707</v>
      </c>
      <c r="AL249" s="522">
        <f t="shared" si="392"/>
        <v>472088.03</v>
      </c>
      <c r="AM249" s="522">
        <f t="shared" si="342"/>
        <v>0</v>
      </c>
      <c r="AN249" s="522">
        <f t="shared" si="342"/>
        <v>88855.97</v>
      </c>
      <c r="AO249" s="522">
        <f t="shared" si="326"/>
        <v>88855.97</v>
      </c>
      <c r="AP249" s="522">
        <v>0</v>
      </c>
      <c r="AQ249" s="578">
        <v>0</v>
      </c>
      <c r="AR249" s="578">
        <v>5000</v>
      </c>
      <c r="AS249" s="578">
        <v>0</v>
      </c>
      <c r="AT249" s="578">
        <v>83855.97</v>
      </c>
      <c r="AU249" s="578">
        <f t="shared" si="375"/>
        <v>0</v>
      </c>
      <c r="AV249" s="578">
        <f t="shared" si="375"/>
        <v>0</v>
      </c>
      <c r="AW249" s="578">
        <f t="shared" si="327"/>
        <v>0</v>
      </c>
      <c r="AX249" s="578">
        <v>0</v>
      </c>
      <c r="AY249" s="578">
        <f t="shared" si="376"/>
        <v>383232.06000000006</v>
      </c>
      <c r="AZ249" s="578">
        <f t="shared" si="329"/>
        <v>-383232.06000000006</v>
      </c>
      <c r="BA249" s="578">
        <v>0</v>
      </c>
      <c r="BB249" s="578">
        <v>0</v>
      </c>
      <c r="BC249" s="576">
        <f>'[67]Дир_ имущ'!AT33</f>
        <v>0</v>
      </c>
      <c r="BD249" s="576">
        <f t="shared" si="389"/>
        <v>63404.66</v>
      </c>
      <c r="BE249" s="576">
        <f t="shared" si="331"/>
        <v>63404.66</v>
      </c>
      <c r="BF249" s="576">
        <f t="shared" si="332"/>
        <v>63404.66</v>
      </c>
      <c r="BG249" s="576">
        <f t="shared" si="312"/>
        <v>0</v>
      </c>
      <c r="BH249" s="578">
        <f t="shared" si="312"/>
        <v>88855.97</v>
      </c>
      <c r="BI249" s="578">
        <f>144760.63+7500</f>
        <v>152260.63</v>
      </c>
      <c r="BJ249" s="578">
        <f t="shared" si="333"/>
        <v>152260.63</v>
      </c>
      <c r="BK249" s="578">
        <f t="shared" si="334"/>
        <v>63404.66</v>
      </c>
      <c r="BL249" s="576">
        <v>0</v>
      </c>
      <c r="BM249" s="578">
        <f>'[67]Дир_ имущ'!AW33</f>
        <v>0</v>
      </c>
      <c r="BN249" s="522">
        <f t="shared" si="390"/>
        <v>319827.40000000002</v>
      </c>
      <c r="BO249" s="578">
        <f t="shared" si="339"/>
        <v>319827.40000000002</v>
      </c>
      <c r="BP249" s="578">
        <f t="shared" si="335"/>
        <v>319827.40000000002</v>
      </c>
      <c r="BQ249" s="576">
        <v>0</v>
      </c>
      <c r="BR249" s="578">
        <f>'[67]Дир_ имущ'!BB33</f>
        <v>0</v>
      </c>
      <c r="BS249" s="578">
        <f>'[67]Дир_ имущ'!BC33</f>
        <v>0</v>
      </c>
      <c r="BT249" s="536"/>
      <c r="BU249" s="578"/>
      <c r="BV249" s="578"/>
      <c r="BW249" s="586">
        <f>14500+612729.75-155141.72</f>
        <v>472088.03</v>
      </c>
      <c r="BX249" s="574"/>
      <c r="BY249" s="578"/>
      <c r="BZ249" s="578"/>
      <c r="CA249" s="522">
        <f>14500+612729.75-155141.72</f>
        <v>472088.03</v>
      </c>
      <c r="CB249" s="522">
        <f t="shared" si="391"/>
        <v>472088.03</v>
      </c>
      <c r="CC249" s="522">
        <f t="shared" si="336"/>
        <v>0</v>
      </c>
      <c r="CD249" s="578"/>
      <c r="CE249" s="578"/>
      <c r="CF249" s="578"/>
      <c r="CG249" s="578"/>
      <c r="CH249" s="578"/>
      <c r="CI249" s="578"/>
      <c r="CJ249" s="578"/>
      <c r="CK249" s="543" t="s">
        <v>1815</v>
      </c>
      <c r="CL249" s="543" t="s">
        <v>1816</v>
      </c>
      <c r="CM249" s="528" t="s">
        <v>1959</v>
      </c>
      <c r="CN249" s="528"/>
      <c r="CO249" s="528"/>
      <c r="CP249" s="579"/>
      <c r="CQ249" s="579"/>
      <c r="CR249" s="579">
        <f t="shared" si="393"/>
        <v>0</v>
      </c>
      <c r="CS249" s="1727"/>
      <c r="CT249" s="1728"/>
      <c r="CU249" s="1728"/>
      <c r="CV249" s="1728"/>
      <c r="CW249" s="1729"/>
      <c r="CX249" s="528"/>
      <c r="CY249" s="528"/>
      <c r="CZ249" s="528"/>
      <c r="DA249" s="528"/>
      <c r="DB249" s="579">
        <f>5000</f>
        <v>5000</v>
      </c>
      <c r="DC249" s="628" t="e">
        <f>P249-#REF!</f>
        <v>#REF!</v>
      </c>
      <c r="DD249" s="575"/>
      <c r="DE249" s="575"/>
      <c r="DF249" s="578">
        <f t="shared" si="350"/>
        <v>0</v>
      </c>
      <c r="DG249" s="578">
        <f t="shared" si="350"/>
        <v>0</v>
      </c>
      <c r="DH249" s="522">
        <f t="shared" si="350"/>
        <v>472.08803</v>
      </c>
      <c r="DI249" s="522">
        <f t="shared" si="348"/>
        <v>472.08803</v>
      </c>
      <c r="DJ249" s="536"/>
      <c r="DK249" s="536"/>
      <c r="DL249" s="536"/>
      <c r="DM249" s="536"/>
      <c r="DN249" s="536"/>
      <c r="DO249" s="536"/>
      <c r="DP249" s="536"/>
      <c r="DQ249" s="536"/>
      <c r="DR249" s="536"/>
      <c r="DS249" s="536"/>
    </row>
    <row r="250" spans="1:123" s="534" customFormat="1" ht="31.5" customHeight="1">
      <c r="A250" s="537" t="s">
        <v>1328</v>
      </c>
      <c r="B250" s="538" t="s">
        <v>1329</v>
      </c>
      <c r="C250" s="576"/>
      <c r="D250" s="576"/>
      <c r="E250" s="576"/>
      <c r="F250" s="576"/>
      <c r="G250" s="577">
        <v>0</v>
      </c>
      <c r="H250" s="627">
        <v>0</v>
      </c>
      <c r="I250" s="578">
        <f t="shared" si="385"/>
        <v>79320000</v>
      </c>
      <c r="J250" s="578">
        <v>0</v>
      </c>
      <c r="K250" s="578">
        <v>0</v>
      </c>
      <c r="L250" s="578">
        <v>79320000</v>
      </c>
      <c r="M250" s="578">
        <f t="shared" si="386"/>
        <v>0</v>
      </c>
      <c r="N250" s="578"/>
      <c r="O250" s="522">
        <f t="shared" si="387"/>
        <v>79320150</v>
      </c>
      <c r="P250" s="522">
        <v>79320150</v>
      </c>
      <c r="Q250" s="576">
        <f t="shared" si="313"/>
        <v>150</v>
      </c>
      <c r="R250" s="576">
        <f t="shared" si="314"/>
        <v>1.8910741302136103E-4</v>
      </c>
      <c r="S250" s="525"/>
      <c r="T250" s="525"/>
      <c r="U250" s="522">
        <f t="shared" si="388"/>
        <v>0</v>
      </c>
      <c r="V250" s="522">
        <f t="shared" si="311"/>
        <v>0</v>
      </c>
      <c r="W250" s="522">
        <v>0</v>
      </c>
      <c r="X250" s="522">
        <f t="shared" si="315"/>
        <v>-79320150</v>
      </c>
      <c r="Y250" s="522">
        <f t="shared" si="316"/>
        <v>-100</v>
      </c>
      <c r="Z250" s="524">
        <f t="shared" si="317"/>
        <v>0</v>
      </c>
      <c r="AA250" s="522">
        <f t="shared" si="318"/>
        <v>0</v>
      </c>
      <c r="AB250" s="522">
        <v>0</v>
      </c>
      <c r="AC250" s="522">
        <f t="shared" si="319"/>
        <v>0</v>
      </c>
      <c r="AD250" s="522">
        <v>0</v>
      </c>
      <c r="AE250" s="522">
        <f t="shared" si="321"/>
        <v>-79320150</v>
      </c>
      <c r="AF250" s="522">
        <f t="shared" si="322"/>
        <v>-100</v>
      </c>
      <c r="AG250" s="522">
        <f t="shared" si="337"/>
        <v>0</v>
      </c>
      <c r="AH250" s="522">
        <f t="shared" si="323"/>
        <v>0</v>
      </c>
      <c r="AI250" s="522">
        <v>0</v>
      </c>
      <c r="AJ250" s="522">
        <f t="shared" si="325"/>
        <v>0</v>
      </c>
      <c r="AK250" s="522">
        <v>0</v>
      </c>
      <c r="AL250" s="522">
        <f t="shared" si="392"/>
        <v>0</v>
      </c>
      <c r="AM250" s="522">
        <f t="shared" si="342"/>
        <v>0</v>
      </c>
      <c r="AN250" s="522">
        <f t="shared" si="342"/>
        <v>0</v>
      </c>
      <c r="AO250" s="522">
        <f t="shared" si="326"/>
        <v>0</v>
      </c>
      <c r="AP250" s="522">
        <v>0</v>
      </c>
      <c r="AQ250" s="522">
        <v>0</v>
      </c>
      <c r="AR250" s="522">
        <v>0</v>
      </c>
      <c r="AS250" s="522">
        <v>0</v>
      </c>
      <c r="AT250" s="522">
        <v>0</v>
      </c>
      <c r="AU250" s="522">
        <f t="shared" si="375"/>
        <v>0</v>
      </c>
      <c r="AV250" s="522">
        <f t="shared" si="375"/>
        <v>0</v>
      </c>
      <c r="AW250" s="522">
        <f t="shared" si="327"/>
        <v>0</v>
      </c>
      <c r="AX250" s="522">
        <v>0</v>
      </c>
      <c r="AY250" s="522">
        <f t="shared" si="376"/>
        <v>0</v>
      </c>
      <c r="AZ250" s="522">
        <f t="shared" si="329"/>
        <v>0</v>
      </c>
      <c r="BA250" s="578">
        <v>0</v>
      </c>
      <c r="BB250" s="522">
        <v>0</v>
      </c>
      <c r="BC250" s="525">
        <f>'[67]Дир_по корп'!AT47</f>
        <v>0</v>
      </c>
      <c r="BD250" s="525">
        <f t="shared" si="389"/>
        <v>0</v>
      </c>
      <c r="BE250" s="525">
        <f t="shared" si="331"/>
        <v>0</v>
      </c>
      <c r="BF250" s="525">
        <f t="shared" si="332"/>
        <v>0</v>
      </c>
      <c r="BG250" s="525">
        <f t="shared" si="312"/>
        <v>0</v>
      </c>
      <c r="BH250" s="522">
        <f t="shared" si="312"/>
        <v>0</v>
      </c>
      <c r="BI250" s="522"/>
      <c r="BJ250" s="522">
        <f t="shared" si="333"/>
        <v>0</v>
      </c>
      <c r="BK250" s="522">
        <f t="shared" si="334"/>
        <v>0</v>
      </c>
      <c r="BL250" s="525">
        <v>0</v>
      </c>
      <c r="BM250" s="522">
        <f>'[67]Дир_по корп'!AW47</f>
        <v>0</v>
      </c>
      <c r="BN250" s="522">
        <f t="shared" si="390"/>
        <v>0</v>
      </c>
      <c r="BO250" s="522">
        <f t="shared" si="339"/>
        <v>0</v>
      </c>
      <c r="BP250" s="522">
        <f t="shared" si="335"/>
        <v>0</v>
      </c>
      <c r="BQ250" s="525">
        <v>0</v>
      </c>
      <c r="BR250" s="522">
        <f>'[67]Дир_по корп'!BB47</f>
        <v>0</v>
      </c>
      <c r="BS250" s="522">
        <f>'[67]Дир_по корп'!BC47</f>
        <v>0</v>
      </c>
      <c r="BT250" s="536"/>
      <c r="BU250" s="522"/>
      <c r="BV250" s="522"/>
      <c r="BW250" s="522"/>
      <c r="BX250" s="574"/>
      <c r="BY250" s="522"/>
      <c r="BZ250" s="522"/>
      <c r="CA250" s="522"/>
      <c r="CB250" s="522">
        <f t="shared" si="391"/>
        <v>0</v>
      </c>
      <c r="CC250" s="522">
        <f t="shared" si="336"/>
        <v>0</v>
      </c>
      <c r="CD250" s="522"/>
      <c r="CE250" s="522"/>
      <c r="CF250" s="522"/>
      <c r="CG250" s="522"/>
      <c r="CH250" s="522"/>
      <c r="CI250" s="522"/>
      <c r="CJ250" s="522"/>
      <c r="CK250" s="542" t="s">
        <v>80</v>
      </c>
      <c r="CL250" s="542" t="s">
        <v>1821</v>
      </c>
      <c r="CM250" s="528" t="s">
        <v>1959</v>
      </c>
      <c r="CN250" s="528"/>
      <c r="CO250" s="528"/>
      <c r="CP250" s="544"/>
      <c r="CQ250" s="544"/>
      <c r="CR250" s="579">
        <f t="shared" si="393"/>
        <v>0</v>
      </c>
      <c r="CS250" s="1727"/>
      <c r="CT250" s="1728"/>
      <c r="CU250" s="1728"/>
      <c r="CV250" s="1728"/>
      <c r="CW250" s="1729"/>
      <c r="CX250" s="528"/>
      <c r="CY250" s="528"/>
      <c r="CZ250" s="528"/>
      <c r="DA250" s="528"/>
      <c r="DB250" s="579"/>
      <c r="DC250" s="628" t="e">
        <f>P250-#REF!</f>
        <v>#REF!</v>
      </c>
      <c r="DD250" s="575"/>
      <c r="DE250" s="575"/>
      <c r="DF250" s="522">
        <f t="shared" si="350"/>
        <v>0</v>
      </c>
      <c r="DG250" s="522">
        <f t="shared" si="350"/>
        <v>0</v>
      </c>
      <c r="DH250" s="522">
        <f t="shared" si="350"/>
        <v>0</v>
      </c>
      <c r="DI250" s="522">
        <f t="shared" si="348"/>
        <v>0</v>
      </c>
      <c r="DJ250" s="536"/>
      <c r="DK250" s="536"/>
      <c r="DL250" s="536"/>
      <c r="DM250" s="536"/>
      <c r="DN250" s="536"/>
      <c r="DO250" s="536"/>
      <c r="DP250" s="536"/>
      <c r="DQ250" s="536"/>
      <c r="DR250" s="536"/>
      <c r="DS250" s="536"/>
    </row>
    <row r="251" spans="1:123" s="534" customFormat="1" ht="30.75" customHeight="1">
      <c r="A251" s="537" t="s">
        <v>1333</v>
      </c>
      <c r="B251" s="538" t="s">
        <v>1334</v>
      </c>
      <c r="C251" s="576">
        <v>146466246</v>
      </c>
      <c r="D251" s="576">
        <v>0</v>
      </c>
      <c r="E251" s="576">
        <v>0</v>
      </c>
      <c r="F251" s="576"/>
      <c r="G251" s="577">
        <v>0</v>
      </c>
      <c r="H251" s="626">
        <v>0</v>
      </c>
      <c r="I251" s="578">
        <f t="shared" si="385"/>
        <v>0</v>
      </c>
      <c r="J251" s="578">
        <v>0</v>
      </c>
      <c r="K251" s="578">
        <v>0</v>
      </c>
      <c r="L251" s="578">
        <v>0</v>
      </c>
      <c r="M251" s="578">
        <f t="shared" si="386"/>
        <v>0</v>
      </c>
      <c r="N251" s="578"/>
      <c r="O251" s="522">
        <f t="shared" si="387"/>
        <v>0</v>
      </c>
      <c r="P251" s="522"/>
      <c r="Q251" s="576">
        <f t="shared" si="313"/>
        <v>0</v>
      </c>
      <c r="R251" s="576">
        <v>0</v>
      </c>
      <c r="S251" s="576"/>
      <c r="T251" s="576"/>
      <c r="U251" s="522">
        <f t="shared" si="388"/>
        <v>0</v>
      </c>
      <c r="V251" s="522">
        <f t="shared" si="311"/>
        <v>0</v>
      </c>
      <c r="W251" s="522">
        <v>0</v>
      </c>
      <c r="X251" s="522">
        <f t="shared" si="315"/>
        <v>0</v>
      </c>
      <c r="Y251" s="522">
        <v>0</v>
      </c>
      <c r="Z251" s="524">
        <f t="shared" si="317"/>
        <v>0</v>
      </c>
      <c r="AA251" s="522">
        <f t="shared" si="318"/>
        <v>0</v>
      </c>
      <c r="AB251" s="522">
        <v>0</v>
      </c>
      <c r="AC251" s="522">
        <f t="shared" si="319"/>
        <v>0</v>
      </c>
      <c r="AD251" s="522">
        <v>0</v>
      </c>
      <c r="AE251" s="522">
        <f t="shared" si="321"/>
        <v>0</v>
      </c>
      <c r="AF251" s="522">
        <v>0</v>
      </c>
      <c r="AG251" s="522">
        <f t="shared" si="337"/>
        <v>0</v>
      </c>
      <c r="AH251" s="522">
        <f t="shared" si="323"/>
        <v>0</v>
      </c>
      <c r="AI251" s="522">
        <v>0</v>
      </c>
      <c r="AJ251" s="522">
        <f t="shared" si="325"/>
        <v>0</v>
      </c>
      <c r="AK251" s="522">
        <v>0</v>
      </c>
      <c r="AL251" s="522">
        <f t="shared" si="392"/>
        <v>0</v>
      </c>
      <c r="AM251" s="522">
        <f t="shared" si="342"/>
        <v>0</v>
      </c>
      <c r="AN251" s="522">
        <f t="shared" si="342"/>
        <v>0</v>
      </c>
      <c r="AO251" s="522">
        <f t="shared" si="326"/>
        <v>0</v>
      </c>
      <c r="AP251" s="522">
        <v>0</v>
      </c>
      <c r="AQ251" s="578">
        <v>0</v>
      </c>
      <c r="AR251" s="578">
        <v>0</v>
      </c>
      <c r="AS251" s="578">
        <v>0</v>
      </c>
      <c r="AT251" s="578">
        <v>0</v>
      </c>
      <c r="AU251" s="578">
        <f t="shared" si="375"/>
        <v>0</v>
      </c>
      <c r="AV251" s="578">
        <f t="shared" si="375"/>
        <v>0</v>
      </c>
      <c r="AW251" s="578">
        <f t="shared" si="327"/>
        <v>0</v>
      </c>
      <c r="AX251" s="578">
        <v>0</v>
      </c>
      <c r="AY251" s="578">
        <f t="shared" si="376"/>
        <v>0</v>
      </c>
      <c r="AZ251" s="578">
        <f t="shared" si="329"/>
        <v>0</v>
      </c>
      <c r="BA251" s="578">
        <v>0</v>
      </c>
      <c r="BB251" s="578">
        <v>0</v>
      </c>
      <c r="BC251" s="576">
        <f>'[67]Дир_по фин'!AT13</f>
        <v>0</v>
      </c>
      <c r="BD251" s="576">
        <f t="shared" si="389"/>
        <v>0</v>
      </c>
      <c r="BE251" s="576">
        <f t="shared" si="331"/>
        <v>0</v>
      </c>
      <c r="BF251" s="576">
        <f t="shared" si="332"/>
        <v>0</v>
      </c>
      <c r="BG251" s="576">
        <f t="shared" si="312"/>
        <v>0</v>
      </c>
      <c r="BH251" s="578">
        <f t="shared" si="312"/>
        <v>0</v>
      </c>
      <c r="BI251" s="578"/>
      <c r="BJ251" s="578">
        <f t="shared" si="333"/>
        <v>0</v>
      </c>
      <c r="BK251" s="578">
        <f t="shared" si="334"/>
        <v>0</v>
      </c>
      <c r="BL251" s="576">
        <v>0</v>
      </c>
      <c r="BM251" s="578">
        <f>'[67]Дир_по фин'!AW13</f>
        <v>0</v>
      </c>
      <c r="BN251" s="522">
        <f t="shared" si="390"/>
        <v>0</v>
      </c>
      <c r="BO251" s="578">
        <f t="shared" si="339"/>
        <v>0</v>
      </c>
      <c r="BP251" s="578">
        <f t="shared" si="335"/>
        <v>0</v>
      </c>
      <c r="BQ251" s="576">
        <v>0</v>
      </c>
      <c r="BR251" s="578">
        <f>'[67]Дир_по фин'!BB13</f>
        <v>0</v>
      </c>
      <c r="BS251" s="578">
        <f>'[67]Дир_по фин'!BC13</f>
        <v>0</v>
      </c>
      <c r="BT251" s="536"/>
      <c r="BU251" s="578"/>
      <c r="BV251" s="578"/>
      <c r="BW251" s="578"/>
      <c r="BX251" s="574"/>
      <c r="BY251" s="578"/>
      <c r="BZ251" s="578"/>
      <c r="CA251" s="522"/>
      <c r="CB251" s="522">
        <f t="shared" si="391"/>
        <v>0</v>
      </c>
      <c r="CC251" s="522">
        <f t="shared" si="336"/>
        <v>0</v>
      </c>
      <c r="CD251" s="578"/>
      <c r="CE251" s="578"/>
      <c r="CF251" s="578"/>
      <c r="CG251" s="578"/>
      <c r="CH251" s="578"/>
      <c r="CI251" s="578"/>
      <c r="CJ251" s="578"/>
      <c r="CK251" s="542" t="s">
        <v>81</v>
      </c>
      <c r="CL251" s="542" t="s">
        <v>1810</v>
      </c>
      <c r="CM251" s="528" t="s">
        <v>1959</v>
      </c>
      <c r="CN251" s="528"/>
      <c r="CO251" s="528"/>
      <c r="CP251" s="579"/>
      <c r="CQ251" s="579"/>
      <c r="CR251" s="579">
        <f t="shared" si="393"/>
        <v>0</v>
      </c>
      <c r="CS251" s="1727"/>
      <c r="CT251" s="1728"/>
      <c r="CU251" s="1728"/>
      <c r="CV251" s="1728"/>
      <c r="CW251" s="1729"/>
      <c r="CX251" s="528"/>
      <c r="CY251" s="528"/>
      <c r="CZ251" s="528"/>
      <c r="DA251" s="528"/>
      <c r="DB251" s="579"/>
      <c r="DC251" s="628" t="e">
        <f>P251-#REF!</f>
        <v>#REF!</v>
      </c>
      <c r="DD251" s="575"/>
      <c r="DE251" s="575"/>
      <c r="DF251" s="578">
        <f t="shared" si="350"/>
        <v>0</v>
      </c>
      <c r="DG251" s="578">
        <f t="shared" si="350"/>
        <v>0</v>
      </c>
      <c r="DH251" s="522">
        <f t="shared" si="350"/>
        <v>0</v>
      </c>
      <c r="DI251" s="522">
        <f t="shared" si="348"/>
        <v>0</v>
      </c>
      <c r="DJ251" s="536"/>
      <c r="DK251" s="536"/>
      <c r="DL251" s="536"/>
      <c r="DM251" s="536"/>
      <c r="DN251" s="536"/>
      <c r="DO251" s="536"/>
      <c r="DP251" s="536"/>
      <c r="DQ251" s="536"/>
      <c r="DR251" s="536"/>
      <c r="DS251" s="536"/>
    </row>
    <row r="252" spans="1:123" s="534" customFormat="1">
      <c r="A252" s="537" t="s">
        <v>1337</v>
      </c>
      <c r="B252" s="538" t="s">
        <v>1338</v>
      </c>
      <c r="C252" s="576"/>
      <c r="D252" s="576"/>
      <c r="E252" s="576"/>
      <c r="F252" s="576"/>
      <c r="G252" s="577">
        <v>0</v>
      </c>
      <c r="H252" s="627">
        <v>0</v>
      </c>
      <c r="I252" s="578">
        <f t="shared" si="385"/>
        <v>136498.68</v>
      </c>
      <c r="J252" s="578">
        <v>128498.68</v>
      </c>
      <c r="K252" s="578">
        <v>4000</v>
      </c>
      <c r="L252" s="578">
        <v>4000</v>
      </c>
      <c r="M252" s="578">
        <f t="shared" si="386"/>
        <v>132498.68</v>
      </c>
      <c r="N252" s="578">
        <v>128498.68</v>
      </c>
      <c r="O252" s="522">
        <f t="shared" si="387"/>
        <v>43142.84</v>
      </c>
      <c r="P252" s="522">
        <v>171641.52</v>
      </c>
      <c r="Q252" s="576">
        <f t="shared" si="313"/>
        <v>35142.839999999997</v>
      </c>
      <c r="R252" s="576">
        <f t="shared" si="314"/>
        <v>25.745919301197631</v>
      </c>
      <c r="S252" s="576"/>
      <c r="T252" s="576"/>
      <c r="U252" s="522">
        <f t="shared" si="388"/>
        <v>0</v>
      </c>
      <c r="V252" s="522">
        <f t="shared" si="311"/>
        <v>0</v>
      </c>
      <c r="W252" s="522">
        <v>0</v>
      </c>
      <c r="X252" s="522">
        <f t="shared" si="315"/>
        <v>-171641.52</v>
      </c>
      <c r="Y252" s="522">
        <f t="shared" si="316"/>
        <v>-100</v>
      </c>
      <c r="Z252" s="524">
        <f t="shared" si="317"/>
        <v>103363.72</v>
      </c>
      <c r="AA252" s="522">
        <f t="shared" si="318"/>
        <v>103363.72</v>
      </c>
      <c r="AB252" s="522">
        <v>0</v>
      </c>
      <c r="AC252" s="522">
        <f t="shared" si="319"/>
        <v>103363.72</v>
      </c>
      <c r="AD252" s="522">
        <v>0</v>
      </c>
      <c r="AE252" s="522">
        <f t="shared" si="321"/>
        <v>-68277.799999999988</v>
      </c>
      <c r="AF252" s="522">
        <f t="shared" si="322"/>
        <v>-39.779302816707748</v>
      </c>
      <c r="AG252" s="522">
        <f t="shared" si="337"/>
        <v>543996.09</v>
      </c>
      <c r="AH252" s="522">
        <f t="shared" si="323"/>
        <v>543996.09</v>
      </c>
      <c r="AI252" s="522">
        <v>0</v>
      </c>
      <c r="AJ252" s="522">
        <f t="shared" si="325"/>
        <v>440632.37</v>
      </c>
      <c r="AK252" s="522">
        <f>AG252/Z252*100-100</f>
        <v>426.29306491678119</v>
      </c>
      <c r="AL252" s="522">
        <f t="shared" si="392"/>
        <v>543996.09</v>
      </c>
      <c r="AM252" s="522">
        <f t="shared" si="342"/>
        <v>0</v>
      </c>
      <c r="AN252" s="522">
        <f t="shared" si="342"/>
        <v>103363.72</v>
      </c>
      <c r="AO252" s="522">
        <f t="shared" si="326"/>
        <v>103363.72</v>
      </c>
      <c r="AP252" s="522">
        <v>0</v>
      </c>
      <c r="AQ252" s="578">
        <v>0</v>
      </c>
      <c r="AR252" s="578">
        <v>7742.05</v>
      </c>
      <c r="AS252" s="578">
        <v>0</v>
      </c>
      <c r="AT252" s="578">
        <v>95621.67</v>
      </c>
      <c r="AU252" s="578">
        <f t="shared" si="375"/>
        <v>0</v>
      </c>
      <c r="AV252" s="578">
        <f t="shared" si="375"/>
        <v>0</v>
      </c>
      <c r="AW252" s="578">
        <f t="shared" si="327"/>
        <v>0</v>
      </c>
      <c r="AX252" s="578">
        <v>0</v>
      </c>
      <c r="AY252" s="578">
        <f t="shared" si="376"/>
        <v>440632.37</v>
      </c>
      <c r="AZ252" s="578">
        <f t="shared" si="329"/>
        <v>-440632.37</v>
      </c>
      <c r="BA252" s="578">
        <v>0</v>
      </c>
      <c r="BB252" s="578">
        <v>0</v>
      </c>
      <c r="BC252" s="576">
        <f>'[67]Дир_ имущ'!AT34</f>
        <v>0</v>
      </c>
      <c r="BD252" s="576">
        <f t="shared" si="389"/>
        <v>78776.540000000008</v>
      </c>
      <c r="BE252" s="576">
        <f t="shared" si="331"/>
        <v>78776.540000000008</v>
      </c>
      <c r="BF252" s="576">
        <f t="shared" si="332"/>
        <v>78776.540000000008</v>
      </c>
      <c r="BG252" s="576">
        <f t="shared" si="312"/>
        <v>0</v>
      </c>
      <c r="BH252" s="578">
        <f t="shared" si="312"/>
        <v>103363.72</v>
      </c>
      <c r="BI252" s="578">
        <v>182140.26</v>
      </c>
      <c r="BJ252" s="578">
        <f t="shared" si="333"/>
        <v>182140.26</v>
      </c>
      <c r="BK252" s="578">
        <f t="shared" si="334"/>
        <v>78776.540000000008</v>
      </c>
      <c r="BL252" s="576">
        <v>0</v>
      </c>
      <c r="BM252" s="578">
        <f>'[67]Дир_ имущ'!AW34</f>
        <v>0</v>
      </c>
      <c r="BN252" s="522">
        <f t="shared" si="390"/>
        <v>361855.82999999996</v>
      </c>
      <c r="BO252" s="578">
        <f t="shared" si="339"/>
        <v>361855.82999999996</v>
      </c>
      <c r="BP252" s="578">
        <f t="shared" si="335"/>
        <v>361855.82999999996</v>
      </c>
      <c r="BQ252" s="576">
        <v>0</v>
      </c>
      <c r="BR252" s="578">
        <f>'[67]Дир_ имущ'!BB34</f>
        <v>0</v>
      </c>
      <c r="BS252" s="578">
        <f>'[67]Дир_ имущ'!BC34</f>
        <v>0</v>
      </c>
      <c r="BT252" s="536"/>
      <c r="BU252" s="578"/>
      <c r="BV252" s="578"/>
      <c r="BW252" s="586">
        <v>543996.09</v>
      </c>
      <c r="BX252" s="574"/>
      <c r="BY252" s="578">
        <f>BW252</f>
        <v>543996.09</v>
      </c>
      <c r="BZ252" s="578"/>
      <c r="CA252" s="522"/>
      <c r="CB252" s="522">
        <f t="shared" si="391"/>
        <v>543996.09</v>
      </c>
      <c r="CC252" s="522">
        <f t="shared" si="336"/>
        <v>0</v>
      </c>
      <c r="CD252" s="578"/>
      <c r="CE252" s="578"/>
      <c r="CF252" s="578"/>
      <c r="CG252" s="578"/>
      <c r="CH252" s="578"/>
      <c r="CI252" s="578"/>
      <c r="CJ252" s="578"/>
      <c r="CK252" s="543" t="s">
        <v>1815</v>
      </c>
      <c r="CL252" s="543" t="s">
        <v>1816</v>
      </c>
      <c r="CM252" s="528" t="s">
        <v>1959</v>
      </c>
      <c r="CN252" s="528"/>
      <c r="CO252" s="528"/>
      <c r="CP252" s="579"/>
      <c r="CQ252" s="579"/>
      <c r="CR252" s="579">
        <f t="shared" si="393"/>
        <v>0</v>
      </c>
      <c r="CS252" s="1727"/>
      <c r="CT252" s="1728"/>
      <c r="CU252" s="1728"/>
      <c r="CV252" s="1728"/>
      <c r="CW252" s="1729"/>
      <c r="CX252" s="528"/>
      <c r="CY252" s="528"/>
      <c r="CZ252" s="528"/>
      <c r="DA252" s="528"/>
      <c r="DB252" s="579">
        <v>7742.05</v>
      </c>
      <c r="DC252" s="628" t="e">
        <f>P252-#REF!</f>
        <v>#REF!</v>
      </c>
      <c r="DD252" s="575"/>
      <c r="DE252" s="575"/>
      <c r="DF252" s="578">
        <f t="shared" si="350"/>
        <v>543.99608999999998</v>
      </c>
      <c r="DG252" s="578">
        <f t="shared" si="350"/>
        <v>0</v>
      </c>
      <c r="DH252" s="522">
        <f t="shared" si="350"/>
        <v>0</v>
      </c>
      <c r="DI252" s="522">
        <f t="shared" si="348"/>
        <v>543.99608999999998</v>
      </c>
      <c r="DJ252" s="536"/>
      <c r="DK252" s="536"/>
      <c r="DL252" s="536"/>
      <c r="DM252" s="536"/>
      <c r="DN252" s="536"/>
      <c r="DO252" s="536"/>
      <c r="DP252" s="536"/>
      <c r="DQ252" s="536"/>
      <c r="DR252" s="536"/>
      <c r="DS252" s="536"/>
    </row>
    <row r="253" spans="1:123" s="534" customFormat="1" ht="48" customHeight="1">
      <c r="A253" s="537" t="s">
        <v>1342</v>
      </c>
      <c r="B253" s="538" t="s">
        <v>1343</v>
      </c>
      <c r="C253" s="576">
        <v>512088.07</v>
      </c>
      <c r="D253" s="576"/>
      <c r="E253" s="525">
        <v>440000</v>
      </c>
      <c r="F253" s="525">
        <v>399333.75</v>
      </c>
      <c r="G253" s="577">
        <v>0</v>
      </c>
      <c r="H253" s="577">
        <v>0</v>
      </c>
      <c r="I253" s="522">
        <f t="shared" si="385"/>
        <v>328169.51</v>
      </c>
      <c r="J253" s="522">
        <v>158169.51</v>
      </c>
      <c r="K253" s="522">
        <v>85000</v>
      </c>
      <c r="L253" s="522">
        <v>85000</v>
      </c>
      <c r="M253" s="522">
        <f t="shared" si="386"/>
        <v>243169.51</v>
      </c>
      <c r="N253" s="522">
        <v>240796.64</v>
      </c>
      <c r="O253" s="522">
        <f t="shared" si="387"/>
        <v>82118.659999999974</v>
      </c>
      <c r="P253" s="522">
        <v>322915.3</v>
      </c>
      <c r="Q253" s="525">
        <f t="shared" si="313"/>
        <v>-5254.210000000021</v>
      </c>
      <c r="R253" s="525">
        <f t="shared" si="314"/>
        <v>-1.6010658637970465</v>
      </c>
      <c r="S253" s="525"/>
      <c r="T253" s="525"/>
      <c r="U253" s="522">
        <f t="shared" si="388"/>
        <v>390000</v>
      </c>
      <c r="V253" s="522">
        <f t="shared" si="311"/>
        <v>390000</v>
      </c>
      <c r="W253" s="522">
        <v>0</v>
      </c>
      <c r="X253" s="522">
        <f t="shared" si="315"/>
        <v>67084.700000000012</v>
      </c>
      <c r="Y253" s="522">
        <f t="shared" si="316"/>
        <v>20.774704698105054</v>
      </c>
      <c r="Z253" s="524">
        <f t="shared" si="317"/>
        <v>382745.79000000004</v>
      </c>
      <c r="AA253" s="522">
        <f t="shared" si="318"/>
        <v>382745.79000000004</v>
      </c>
      <c r="AB253" s="522">
        <v>0</v>
      </c>
      <c r="AC253" s="522">
        <f t="shared" si="319"/>
        <v>-7254.2099999999627</v>
      </c>
      <c r="AD253" s="522">
        <f t="shared" si="320"/>
        <v>-1.8600538461538463</v>
      </c>
      <c r="AE253" s="522">
        <f t="shared" si="321"/>
        <v>59830.490000000049</v>
      </c>
      <c r="AF253" s="522">
        <f t="shared" si="322"/>
        <v>18.528230158187014</v>
      </c>
      <c r="AG253" s="522">
        <f t="shared" si="337"/>
        <v>374232.25</v>
      </c>
      <c r="AH253" s="522">
        <f t="shared" si="323"/>
        <v>-15767.75</v>
      </c>
      <c r="AI253" s="522">
        <f t="shared" si="324"/>
        <v>-4.0430128205128284</v>
      </c>
      <c r="AJ253" s="522">
        <f t="shared" si="325"/>
        <v>-8513.5400000000373</v>
      </c>
      <c r="AK253" s="522">
        <f>AG253/Z253*100-100</f>
        <v>-2.2243327614393991</v>
      </c>
      <c r="AL253" s="522">
        <f t="shared" si="392"/>
        <v>374232.25</v>
      </c>
      <c r="AM253" s="522">
        <f t="shared" si="342"/>
        <v>170000</v>
      </c>
      <c r="AN253" s="522">
        <f t="shared" si="342"/>
        <v>162745.79</v>
      </c>
      <c r="AO253" s="522">
        <f t="shared" si="326"/>
        <v>-7254.2099999999919</v>
      </c>
      <c r="AP253" s="522">
        <f t="shared" si="338"/>
        <v>-4.2671823529411625</v>
      </c>
      <c r="AQ253" s="522">
        <v>85000</v>
      </c>
      <c r="AR253" s="522">
        <v>81135.600000000006</v>
      </c>
      <c r="AS253" s="522">
        <v>85000</v>
      </c>
      <c r="AT253" s="522">
        <v>81610.19</v>
      </c>
      <c r="AU253" s="522">
        <f t="shared" si="375"/>
        <v>220000</v>
      </c>
      <c r="AV253" s="522">
        <f t="shared" si="375"/>
        <v>220000</v>
      </c>
      <c r="AW253" s="522">
        <f t="shared" si="327"/>
        <v>0</v>
      </c>
      <c r="AX253" s="522">
        <f t="shared" si="328"/>
        <v>0</v>
      </c>
      <c r="AY253" s="522">
        <f t="shared" si="376"/>
        <v>211486.46</v>
      </c>
      <c r="AZ253" s="522">
        <f t="shared" si="329"/>
        <v>8513.5400000000081</v>
      </c>
      <c r="BA253" s="522">
        <f t="shared" si="330"/>
        <v>4.0255721335540784</v>
      </c>
      <c r="BB253" s="522">
        <v>135000</v>
      </c>
      <c r="BC253" s="525">
        <f>'[67]Дир_по корп'!AT48</f>
        <v>135000</v>
      </c>
      <c r="BD253" s="525">
        <f t="shared" si="389"/>
        <v>129376.28</v>
      </c>
      <c r="BE253" s="525">
        <f t="shared" si="331"/>
        <v>-5623.7200000000012</v>
      </c>
      <c r="BF253" s="525">
        <f t="shared" si="332"/>
        <v>-5623.7200000000012</v>
      </c>
      <c r="BG253" s="525">
        <f t="shared" si="312"/>
        <v>305000</v>
      </c>
      <c r="BH253" s="522">
        <f t="shared" si="312"/>
        <v>297745.79000000004</v>
      </c>
      <c r="BI253" s="522">
        <v>292122.07</v>
      </c>
      <c r="BJ253" s="522">
        <f t="shared" si="333"/>
        <v>-12877.929999999993</v>
      </c>
      <c r="BK253" s="522">
        <f t="shared" si="334"/>
        <v>-5623.7200000000303</v>
      </c>
      <c r="BL253" s="525">
        <v>85000</v>
      </c>
      <c r="BM253" s="522">
        <f>'[67]Дир_по корп'!AW48</f>
        <v>85000</v>
      </c>
      <c r="BN253" s="522">
        <f t="shared" si="390"/>
        <v>82110.179999999993</v>
      </c>
      <c r="BO253" s="522">
        <f t="shared" si="339"/>
        <v>-2889.820000000007</v>
      </c>
      <c r="BP253" s="522">
        <f t="shared" si="335"/>
        <v>-2889.820000000007</v>
      </c>
      <c r="BQ253" s="525">
        <v>85000</v>
      </c>
      <c r="BR253" s="522">
        <f>'[67]Дир_по корп'!BB48</f>
        <v>0</v>
      </c>
      <c r="BS253" s="522">
        <f>'[67]Дир_по корп'!BC48</f>
        <v>0</v>
      </c>
      <c r="BT253" s="536"/>
      <c r="BU253" s="522"/>
      <c r="BV253" s="522"/>
      <c r="BW253" s="524">
        <v>374232.25</v>
      </c>
      <c r="BX253" s="629"/>
      <c r="BY253" s="522">
        <v>349613.71</v>
      </c>
      <c r="BZ253" s="522">
        <f>6017.03+14597.58</f>
        <v>20614.61</v>
      </c>
      <c r="CA253" s="522">
        <v>4003.93</v>
      </c>
      <c r="CB253" s="522">
        <f t="shared" si="391"/>
        <v>374232.25</v>
      </c>
      <c r="CC253" s="522">
        <f t="shared" si="336"/>
        <v>0</v>
      </c>
      <c r="CD253" s="522"/>
      <c r="CE253" s="522"/>
      <c r="CF253" s="522"/>
      <c r="CG253" s="522"/>
      <c r="CH253" s="522"/>
      <c r="CI253" s="522"/>
      <c r="CJ253" s="522"/>
      <c r="CK253" s="543" t="s">
        <v>80</v>
      </c>
      <c r="CL253" s="542" t="s">
        <v>1821</v>
      </c>
      <c r="CM253" s="528" t="s">
        <v>1959</v>
      </c>
      <c r="CN253" s="528"/>
      <c r="CO253" s="528"/>
      <c r="CP253" s="544">
        <f>U253*$CW$7/100</f>
        <v>363313.4423782049</v>
      </c>
      <c r="CQ253" s="544">
        <f>U253*$CW$8/100</f>
        <v>26686.55762179504</v>
      </c>
      <c r="CR253" s="544"/>
      <c r="CS253" s="1709" t="s">
        <v>1898</v>
      </c>
      <c r="CT253" s="1710"/>
      <c r="CU253" s="1710"/>
      <c r="CV253" s="1710"/>
      <c r="CW253" s="1711"/>
      <c r="CX253" s="528"/>
      <c r="CY253" s="528"/>
      <c r="CZ253" s="528"/>
      <c r="DA253" s="528"/>
      <c r="DB253" s="579">
        <v>81135.600000000006</v>
      </c>
      <c r="DC253" s="628" t="e">
        <f>P253-#REF!</f>
        <v>#REF!</v>
      </c>
      <c r="DD253" s="575"/>
      <c r="DE253" s="575"/>
      <c r="DF253" s="522">
        <f t="shared" si="350"/>
        <v>349.61371000000003</v>
      </c>
      <c r="DG253" s="522">
        <f t="shared" si="350"/>
        <v>20.614609999999999</v>
      </c>
      <c r="DH253" s="522">
        <f t="shared" si="350"/>
        <v>4.0039299999999995</v>
      </c>
      <c r="DI253" s="522">
        <f t="shared" si="348"/>
        <v>374.23225000000002</v>
      </c>
      <c r="DJ253" s="536"/>
      <c r="DK253" s="536"/>
      <c r="DL253" s="536"/>
      <c r="DM253" s="536"/>
      <c r="DN253" s="536"/>
      <c r="DO253" s="536"/>
      <c r="DP253" s="536"/>
      <c r="DQ253" s="536"/>
      <c r="DR253" s="536"/>
      <c r="DS253" s="536"/>
    </row>
    <row r="254" spans="1:123" s="534" customFormat="1" ht="30.75" customHeight="1">
      <c r="A254" s="537" t="s">
        <v>1961</v>
      </c>
      <c r="B254" s="538" t="s">
        <v>1399</v>
      </c>
      <c r="C254" s="576"/>
      <c r="D254" s="576"/>
      <c r="E254" s="525">
        <v>50000</v>
      </c>
      <c r="F254" s="525"/>
      <c r="G254" s="577">
        <v>0</v>
      </c>
      <c r="H254" s="577">
        <v>0</v>
      </c>
      <c r="I254" s="522">
        <f t="shared" si="385"/>
        <v>5000000</v>
      </c>
      <c r="J254" s="522">
        <v>5000000</v>
      </c>
      <c r="K254" s="522">
        <v>0</v>
      </c>
      <c r="L254" s="522">
        <v>0</v>
      </c>
      <c r="M254" s="522">
        <f t="shared" si="386"/>
        <v>5000000</v>
      </c>
      <c r="N254" s="522">
        <v>5000000</v>
      </c>
      <c r="O254" s="522">
        <f t="shared" si="387"/>
        <v>0</v>
      </c>
      <c r="P254" s="522">
        <v>5000000</v>
      </c>
      <c r="Q254" s="525">
        <f t="shared" si="313"/>
        <v>0</v>
      </c>
      <c r="R254" s="525">
        <f t="shared" si="314"/>
        <v>0</v>
      </c>
      <c r="S254" s="525"/>
      <c r="T254" s="525"/>
      <c r="U254" s="522">
        <f t="shared" si="388"/>
        <v>0</v>
      </c>
      <c r="V254" s="522">
        <f t="shared" si="311"/>
        <v>0</v>
      </c>
      <c r="W254" s="522">
        <v>0</v>
      </c>
      <c r="X254" s="522">
        <f t="shared" si="315"/>
        <v>-5000000</v>
      </c>
      <c r="Y254" s="522">
        <f t="shared" si="316"/>
        <v>-100</v>
      </c>
      <c r="Z254" s="524">
        <f t="shared" si="317"/>
        <v>0</v>
      </c>
      <c r="AA254" s="522">
        <f t="shared" si="318"/>
        <v>0</v>
      </c>
      <c r="AB254" s="522">
        <v>0</v>
      </c>
      <c r="AC254" s="522">
        <f t="shared" si="319"/>
        <v>0</v>
      </c>
      <c r="AD254" s="522">
        <v>0</v>
      </c>
      <c r="AE254" s="522">
        <f t="shared" si="321"/>
        <v>-5000000</v>
      </c>
      <c r="AF254" s="522">
        <f t="shared" si="322"/>
        <v>-100</v>
      </c>
      <c r="AG254" s="522">
        <f t="shared" si="337"/>
        <v>0</v>
      </c>
      <c r="AH254" s="522">
        <f t="shared" si="323"/>
        <v>0</v>
      </c>
      <c r="AI254" s="522">
        <v>0</v>
      </c>
      <c r="AJ254" s="522">
        <f t="shared" si="325"/>
        <v>0</v>
      </c>
      <c r="AK254" s="522">
        <v>0</v>
      </c>
      <c r="AL254" s="522">
        <f t="shared" si="392"/>
        <v>0</v>
      </c>
      <c r="AM254" s="522">
        <f t="shared" si="342"/>
        <v>0</v>
      </c>
      <c r="AN254" s="522">
        <f t="shared" si="342"/>
        <v>0</v>
      </c>
      <c r="AO254" s="522">
        <f t="shared" si="326"/>
        <v>0</v>
      </c>
      <c r="AP254" s="522">
        <v>0</v>
      </c>
      <c r="AQ254" s="522">
        <v>0</v>
      </c>
      <c r="AR254" s="522">
        <v>0</v>
      </c>
      <c r="AS254" s="522">
        <v>0</v>
      </c>
      <c r="AT254" s="522">
        <v>0</v>
      </c>
      <c r="AU254" s="522">
        <f t="shared" si="375"/>
        <v>0</v>
      </c>
      <c r="AV254" s="522">
        <f t="shared" si="375"/>
        <v>0</v>
      </c>
      <c r="AW254" s="522">
        <f t="shared" si="327"/>
        <v>0</v>
      </c>
      <c r="AX254" s="522">
        <v>0</v>
      </c>
      <c r="AY254" s="522">
        <f t="shared" si="376"/>
        <v>0</v>
      </c>
      <c r="AZ254" s="522">
        <f t="shared" si="329"/>
        <v>0</v>
      </c>
      <c r="BA254" s="522">
        <v>0</v>
      </c>
      <c r="BB254" s="522">
        <v>0</v>
      </c>
      <c r="BC254" s="525">
        <f>'[67]Дир_по экон'!AT31</f>
        <v>0</v>
      </c>
      <c r="BD254" s="525">
        <f t="shared" si="389"/>
        <v>0</v>
      </c>
      <c r="BE254" s="525">
        <f t="shared" si="331"/>
        <v>0</v>
      </c>
      <c r="BF254" s="525">
        <f t="shared" si="332"/>
        <v>0</v>
      </c>
      <c r="BG254" s="525">
        <f t="shared" si="312"/>
        <v>0</v>
      </c>
      <c r="BH254" s="522">
        <f t="shared" si="312"/>
        <v>0</v>
      </c>
      <c r="BI254" s="522"/>
      <c r="BJ254" s="522">
        <f t="shared" si="333"/>
        <v>0</v>
      </c>
      <c r="BK254" s="522">
        <f t="shared" si="334"/>
        <v>0</v>
      </c>
      <c r="BL254" s="525">
        <v>0</v>
      </c>
      <c r="BM254" s="522">
        <f>'[67]Дир_по экон'!AW31</f>
        <v>0</v>
      </c>
      <c r="BN254" s="522">
        <f t="shared" si="390"/>
        <v>0</v>
      </c>
      <c r="BO254" s="522">
        <f t="shared" si="339"/>
        <v>0</v>
      </c>
      <c r="BP254" s="522">
        <f t="shared" si="335"/>
        <v>0</v>
      </c>
      <c r="BQ254" s="525">
        <v>0</v>
      </c>
      <c r="BR254" s="522">
        <f>'[67]Дир_по экон'!BB31</f>
        <v>0</v>
      </c>
      <c r="BS254" s="522">
        <f>'[67]Дир_по экон'!BC31</f>
        <v>0</v>
      </c>
      <c r="BT254" s="536"/>
      <c r="BU254" s="522"/>
      <c r="BV254" s="522"/>
      <c r="BW254" s="522"/>
      <c r="BX254" s="574"/>
      <c r="BY254" s="522"/>
      <c r="BZ254" s="522"/>
      <c r="CA254" s="522"/>
      <c r="CB254" s="522">
        <f t="shared" si="391"/>
        <v>0</v>
      </c>
      <c r="CC254" s="522">
        <f t="shared" si="336"/>
        <v>0</v>
      </c>
      <c r="CD254" s="522"/>
      <c r="CE254" s="522"/>
      <c r="CF254" s="522"/>
      <c r="CG254" s="522"/>
      <c r="CH254" s="522"/>
      <c r="CI254" s="522"/>
      <c r="CJ254" s="522"/>
      <c r="CK254" s="543" t="s">
        <v>77</v>
      </c>
      <c r="CL254" s="542" t="s">
        <v>1800</v>
      </c>
      <c r="CM254" s="528" t="s">
        <v>1959</v>
      </c>
      <c r="CN254" s="528"/>
      <c r="CO254" s="528"/>
      <c r="CP254" s="544">
        <f>U254*$CW$7/100</f>
        <v>0</v>
      </c>
      <c r="CQ254" s="544">
        <f>U254*$CW$8/100</f>
        <v>0</v>
      </c>
      <c r="CR254" s="544"/>
      <c r="CS254" s="1709" t="s">
        <v>1898</v>
      </c>
      <c r="CT254" s="1710"/>
      <c r="CU254" s="1710"/>
      <c r="CV254" s="1710"/>
      <c r="CW254" s="1711"/>
      <c r="CX254" s="528"/>
      <c r="CY254" s="528"/>
      <c r="CZ254" s="528"/>
      <c r="DA254" s="528"/>
      <c r="DB254" s="579"/>
      <c r="DC254" s="628" t="e">
        <f>P254-#REF!</f>
        <v>#REF!</v>
      </c>
      <c r="DD254" s="575"/>
      <c r="DE254" s="575"/>
      <c r="DF254" s="522">
        <f t="shared" si="350"/>
        <v>0</v>
      </c>
      <c r="DG254" s="522">
        <f t="shared" si="350"/>
        <v>0</v>
      </c>
      <c r="DH254" s="522">
        <f t="shared" si="350"/>
        <v>0</v>
      </c>
      <c r="DI254" s="522">
        <f t="shared" si="348"/>
        <v>0</v>
      </c>
      <c r="DJ254" s="536"/>
      <c r="DK254" s="536"/>
      <c r="DL254" s="536"/>
      <c r="DM254" s="536"/>
      <c r="DN254" s="536"/>
      <c r="DO254" s="536"/>
      <c r="DP254" s="536"/>
      <c r="DQ254" s="536"/>
      <c r="DR254" s="536"/>
      <c r="DS254" s="536"/>
    </row>
    <row r="255" spans="1:123" s="534" customFormat="1" ht="65.25" customHeight="1">
      <c r="A255" s="537" t="s">
        <v>968</v>
      </c>
      <c r="B255" s="538" t="s">
        <v>969</v>
      </c>
      <c r="C255" s="576">
        <v>151100</v>
      </c>
      <c r="D255" s="576">
        <v>844900.44</v>
      </c>
      <c r="E255" s="576">
        <v>200000</v>
      </c>
      <c r="F255" s="525">
        <v>0</v>
      </c>
      <c r="G255" s="596">
        <v>41535.6678436168</v>
      </c>
      <c r="H255" s="596">
        <v>0</v>
      </c>
      <c r="I255" s="522">
        <f t="shared" si="385"/>
        <v>200000</v>
      </c>
      <c r="J255" s="522">
        <v>0</v>
      </c>
      <c r="K255" s="522">
        <v>200000</v>
      </c>
      <c r="L255" s="522">
        <v>0</v>
      </c>
      <c r="M255" s="522">
        <f t="shared" si="386"/>
        <v>200000</v>
      </c>
      <c r="N255" s="522">
        <v>6909856.0300000003</v>
      </c>
      <c r="O255" s="522">
        <f t="shared" si="387"/>
        <v>290114.20999999996</v>
      </c>
      <c r="P255" s="522">
        <v>7199970.2400000002</v>
      </c>
      <c r="Q255" s="525">
        <f t="shared" si="313"/>
        <v>6999970.2400000002</v>
      </c>
      <c r="R255" s="525">
        <f t="shared" si="314"/>
        <v>3499.9851200000003</v>
      </c>
      <c r="S255" s="525"/>
      <c r="T255" s="525"/>
      <c r="U255" s="522">
        <f t="shared" si="388"/>
        <v>310000</v>
      </c>
      <c r="V255" s="522">
        <f t="shared" si="311"/>
        <v>310000</v>
      </c>
      <c r="W255" s="522">
        <v>0</v>
      </c>
      <c r="X255" s="522">
        <f t="shared" si="315"/>
        <v>-6889970.2400000002</v>
      </c>
      <c r="Y255" s="522">
        <f t="shared" si="316"/>
        <v>-95.694426648074597</v>
      </c>
      <c r="Z255" s="524">
        <f t="shared" si="317"/>
        <v>312681.43</v>
      </c>
      <c r="AA255" s="522">
        <f t="shared" si="318"/>
        <v>312681.43</v>
      </c>
      <c r="AB255" s="522">
        <v>0</v>
      </c>
      <c r="AC255" s="522">
        <f t="shared" si="319"/>
        <v>2681.429999999993</v>
      </c>
      <c r="AD255" s="522">
        <f t="shared" si="320"/>
        <v>0.86497741935482964</v>
      </c>
      <c r="AE255" s="522">
        <f t="shared" si="321"/>
        <v>-6887288.8100000005</v>
      </c>
      <c r="AF255" s="522">
        <f t="shared" si="322"/>
        <v>-95.657184410806678</v>
      </c>
      <c r="AG255" s="522">
        <f t="shared" si="337"/>
        <v>4709652.62</v>
      </c>
      <c r="AH255" s="522">
        <f t="shared" si="323"/>
        <v>4399652.62</v>
      </c>
      <c r="AI255" s="522">
        <f t="shared" si="324"/>
        <v>1419.2427806451612</v>
      </c>
      <c r="AJ255" s="522">
        <f t="shared" si="325"/>
        <v>4396971.1900000004</v>
      </c>
      <c r="AK255" s="522">
        <f>AG255/Z255*100-100</f>
        <v>1406.2143664879618</v>
      </c>
      <c r="AL255" s="522">
        <f t="shared" si="392"/>
        <v>4709652.62</v>
      </c>
      <c r="AM255" s="522">
        <f t="shared" si="342"/>
        <v>0</v>
      </c>
      <c r="AN255" s="522">
        <f t="shared" si="342"/>
        <v>2681.43</v>
      </c>
      <c r="AO255" s="522">
        <f t="shared" si="326"/>
        <v>2681.43</v>
      </c>
      <c r="AP255" s="522">
        <v>0</v>
      </c>
      <c r="AQ255" s="522">
        <v>0</v>
      </c>
      <c r="AR255" s="522">
        <v>2681.43</v>
      </c>
      <c r="AS255" s="522">
        <v>0</v>
      </c>
      <c r="AT255" s="522">
        <v>0</v>
      </c>
      <c r="AU255" s="522">
        <f t="shared" si="375"/>
        <v>310000</v>
      </c>
      <c r="AV255" s="522">
        <f t="shared" si="375"/>
        <v>310000</v>
      </c>
      <c r="AW255" s="522">
        <f t="shared" si="327"/>
        <v>0</v>
      </c>
      <c r="AX255" s="522">
        <f t="shared" si="328"/>
        <v>0</v>
      </c>
      <c r="AY255" s="522">
        <f t="shared" si="376"/>
        <v>4706971.1900000004</v>
      </c>
      <c r="AZ255" s="522">
        <f t="shared" si="329"/>
        <v>-4396971.1900000004</v>
      </c>
      <c r="BA255" s="522">
        <f t="shared" si="330"/>
        <v>-93.414023849166583</v>
      </c>
      <c r="BB255" s="522">
        <v>310000</v>
      </c>
      <c r="BC255" s="525">
        <f>'[67]Дир_по корп'!AT14</f>
        <v>310000</v>
      </c>
      <c r="BD255" s="525">
        <f t="shared" si="389"/>
        <v>0</v>
      </c>
      <c r="BE255" s="525">
        <f t="shared" si="331"/>
        <v>-310000</v>
      </c>
      <c r="BF255" s="525">
        <f t="shared" si="332"/>
        <v>-310000</v>
      </c>
      <c r="BG255" s="525">
        <f t="shared" si="312"/>
        <v>310000</v>
      </c>
      <c r="BH255" s="522">
        <f t="shared" si="312"/>
        <v>312681.43</v>
      </c>
      <c r="BI255" s="522">
        <v>2681.43</v>
      </c>
      <c r="BJ255" s="522">
        <f t="shared" si="333"/>
        <v>-307318.57</v>
      </c>
      <c r="BK255" s="522">
        <f t="shared" si="334"/>
        <v>-310000</v>
      </c>
      <c r="BL255" s="525">
        <v>0</v>
      </c>
      <c r="BM255" s="522">
        <f>'[67]Дир_по корп'!AW14</f>
        <v>0</v>
      </c>
      <c r="BN255" s="522">
        <f t="shared" si="390"/>
        <v>4706971.1900000004</v>
      </c>
      <c r="BO255" s="522">
        <f t="shared" si="339"/>
        <v>4706971.1900000004</v>
      </c>
      <c r="BP255" s="522">
        <f t="shared" si="335"/>
        <v>4706971.1900000004</v>
      </c>
      <c r="BQ255" s="525">
        <v>0</v>
      </c>
      <c r="BR255" s="522">
        <f>'[67]Дир_по корп'!BB14</f>
        <v>0</v>
      </c>
      <c r="BS255" s="522">
        <f>'[67]Дир_по корп'!BC14</f>
        <v>0</v>
      </c>
      <c r="BT255" s="536"/>
      <c r="BU255" s="522"/>
      <c r="BV255" s="522"/>
      <c r="BW255" s="524">
        <f>4576271.19+133381.43</f>
        <v>4709652.62</v>
      </c>
      <c r="BX255" s="629"/>
      <c r="BY255" s="522">
        <f>4433427.62+129188.23</f>
        <v>4562615.8500000006</v>
      </c>
      <c r="BZ255" s="522">
        <f>216.62+6736.25+81664.97+2381.63</f>
        <v>90999.47</v>
      </c>
      <c r="CA255" s="522">
        <f>54442.35+1594.95</f>
        <v>56037.299999999996</v>
      </c>
      <c r="CB255" s="522">
        <f t="shared" si="391"/>
        <v>4709652.62</v>
      </c>
      <c r="CC255" s="522">
        <f t="shared" si="336"/>
        <v>0</v>
      </c>
      <c r="CD255" s="522"/>
      <c r="CE255" s="522"/>
      <c r="CF255" s="522"/>
      <c r="CG255" s="522"/>
      <c r="CH255" s="522"/>
      <c r="CI255" s="522"/>
      <c r="CJ255" s="522"/>
      <c r="CK255" s="543" t="s">
        <v>80</v>
      </c>
      <c r="CL255" s="542" t="s">
        <v>1901</v>
      </c>
      <c r="CM255" s="528" t="s">
        <v>1959</v>
      </c>
      <c r="CN255" s="528"/>
      <c r="CO255" s="528"/>
      <c r="CP255" s="544">
        <f>U255*$CU$7/100</f>
        <v>286012.33958646382</v>
      </c>
      <c r="CQ255" s="544">
        <f>U255*$CU$8/100</f>
        <v>21008.539433487422</v>
      </c>
      <c r="CR255" s="544">
        <f>U255*$CU$9/100</f>
        <v>2979.1209800487504</v>
      </c>
      <c r="CS255" s="1709" t="s">
        <v>1826</v>
      </c>
      <c r="CT255" s="1710"/>
      <c r="CU255" s="1710"/>
      <c r="CV255" s="1710"/>
      <c r="CW255" s="1711"/>
      <c r="CX255" s="528"/>
      <c r="CY255" s="528"/>
      <c r="CZ255" s="528"/>
      <c r="DA255" s="528"/>
      <c r="DB255" s="579">
        <v>2681.43</v>
      </c>
      <c r="DC255" s="628" t="e">
        <f>P255-#REF!</f>
        <v>#REF!</v>
      </c>
      <c r="DD255" s="575"/>
      <c r="DE255" s="575"/>
      <c r="DF255" s="522">
        <f t="shared" si="350"/>
        <v>4562.6158500000001</v>
      </c>
      <c r="DG255" s="522">
        <f t="shared" si="350"/>
        <v>90.999470000000002</v>
      </c>
      <c r="DH255" s="522">
        <f t="shared" si="350"/>
        <v>56.037299999999995</v>
      </c>
      <c r="DI255" s="522">
        <f t="shared" si="348"/>
        <v>4709.6526199999998</v>
      </c>
      <c r="DJ255" s="536"/>
      <c r="DK255" s="536"/>
      <c r="DL255" s="536"/>
      <c r="DM255" s="536"/>
      <c r="DN255" s="536"/>
      <c r="DO255" s="536"/>
      <c r="DP255" s="536"/>
      <c r="DQ255" s="536"/>
      <c r="DR255" s="536"/>
      <c r="DS255" s="536"/>
    </row>
    <row r="256" spans="1:123" s="534" customFormat="1" ht="112.5" customHeight="1">
      <c r="A256" s="537" t="s">
        <v>1347</v>
      </c>
      <c r="B256" s="672" t="s">
        <v>1962</v>
      </c>
      <c r="C256" s="576"/>
      <c r="D256" s="576"/>
      <c r="E256" s="649">
        <v>0</v>
      </c>
      <c r="F256" s="649"/>
      <c r="G256" s="577">
        <v>0</v>
      </c>
      <c r="H256" s="577">
        <v>0</v>
      </c>
      <c r="I256" s="578">
        <f t="shared" si="385"/>
        <v>34250.49</v>
      </c>
      <c r="J256" s="578">
        <v>34250.49</v>
      </c>
      <c r="K256" s="578">
        <v>0</v>
      </c>
      <c r="L256" s="578">
        <v>0</v>
      </c>
      <c r="M256" s="578">
        <f t="shared" si="386"/>
        <v>34250.49</v>
      </c>
      <c r="N256" s="578">
        <v>121366.23</v>
      </c>
      <c r="O256" s="522">
        <f t="shared" si="387"/>
        <v>12518.030000000013</v>
      </c>
      <c r="P256" s="522">
        <v>133884.26</v>
      </c>
      <c r="Q256" s="576">
        <f t="shared" si="313"/>
        <v>99633.770000000019</v>
      </c>
      <c r="R256" s="576">
        <f t="shared" si="314"/>
        <v>290.89735650497266</v>
      </c>
      <c r="S256" s="576"/>
      <c r="T256" s="576"/>
      <c r="U256" s="522">
        <f t="shared" si="388"/>
        <v>0</v>
      </c>
      <c r="V256" s="522">
        <f t="shared" si="311"/>
        <v>0</v>
      </c>
      <c r="W256" s="522">
        <v>0</v>
      </c>
      <c r="X256" s="522">
        <f t="shared" si="315"/>
        <v>-133884.26</v>
      </c>
      <c r="Y256" s="522">
        <f t="shared" si="316"/>
        <v>-100</v>
      </c>
      <c r="Z256" s="524">
        <f t="shared" si="317"/>
        <v>9900000</v>
      </c>
      <c r="AA256" s="522">
        <f t="shared" si="318"/>
        <v>9900000</v>
      </c>
      <c r="AB256" s="522">
        <v>0</v>
      </c>
      <c r="AC256" s="522">
        <f t="shared" si="319"/>
        <v>9900000</v>
      </c>
      <c r="AD256" s="522">
        <v>0</v>
      </c>
      <c r="AE256" s="522">
        <f t="shared" si="321"/>
        <v>9766115.7400000002</v>
      </c>
      <c r="AF256" s="522">
        <f t="shared" si="322"/>
        <v>7294.4465167152575</v>
      </c>
      <c r="AG256" s="522">
        <f t="shared" si="337"/>
        <v>521291.58000000007</v>
      </c>
      <c r="AH256" s="522">
        <f t="shared" si="323"/>
        <v>521291.58000000007</v>
      </c>
      <c r="AI256" s="522">
        <v>0</v>
      </c>
      <c r="AJ256" s="522">
        <f t="shared" si="325"/>
        <v>-9378708.4199999999</v>
      </c>
      <c r="AK256" s="522">
        <f>AG256/Z256*100-100</f>
        <v>-94.734428484848479</v>
      </c>
      <c r="AL256" s="522">
        <f t="shared" si="392"/>
        <v>521291.58</v>
      </c>
      <c r="AM256" s="522">
        <f t="shared" si="342"/>
        <v>0</v>
      </c>
      <c r="AN256" s="522">
        <f t="shared" si="342"/>
        <v>4900000</v>
      </c>
      <c r="AO256" s="522">
        <f t="shared" si="326"/>
        <v>4900000</v>
      </c>
      <c r="AP256" s="522">
        <v>0</v>
      </c>
      <c r="AQ256" s="578">
        <v>0</v>
      </c>
      <c r="AR256" s="578">
        <v>0</v>
      </c>
      <c r="AS256" s="578">
        <v>0</v>
      </c>
      <c r="AT256" s="578">
        <v>4900000</v>
      </c>
      <c r="AU256" s="578">
        <f t="shared" si="375"/>
        <v>0</v>
      </c>
      <c r="AV256" s="578">
        <f t="shared" si="375"/>
        <v>5000000</v>
      </c>
      <c r="AW256" s="578">
        <f t="shared" si="327"/>
        <v>5000000</v>
      </c>
      <c r="AX256" s="578">
        <v>0</v>
      </c>
      <c r="AY256" s="578">
        <f t="shared" si="376"/>
        <v>-4378708.42</v>
      </c>
      <c r="AZ256" s="578">
        <f t="shared" si="329"/>
        <v>9378708.4199999999</v>
      </c>
      <c r="BA256" s="578">
        <v>0</v>
      </c>
      <c r="BB256" s="578">
        <v>0</v>
      </c>
      <c r="BC256" s="576">
        <f>'[67]Дир_ по кап.стр.'!AT10</f>
        <v>2500000</v>
      </c>
      <c r="BD256" s="576">
        <f t="shared" si="389"/>
        <v>3420000</v>
      </c>
      <c r="BE256" s="576">
        <f t="shared" si="331"/>
        <v>3420000</v>
      </c>
      <c r="BF256" s="576">
        <f t="shared" si="332"/>
        <v>920000</v>
      </c>
      <c r="BG256" s="576">
        <f t="shared" si="312"/>
        <v>0</v>
      </c>
      <c r="BH256" s="578">
        <f t="shared" si="312"/>
        <v>7400000</v>
      </c>
      <c r="BI256" s="578">
        <v>8320000</v>
      </c>
      <c r="BJ256" s="578">
        <f t="shared" si="333"/>
        <v>8320000</v>
      </c>
      <c r="BK256" s="578">
        <f t="shared" si="334"/>
        <v>920000</v>
      </c>
      <c r="BL256" s="576">
        <v>0</v>
      </c>
      <c r="BM256" s="578">
        <f>'[67]Дир_ по кап.стр.'!AW10</f>
        <v>2500000</v>
      </c>
      <c r="BN256" s="522">
        <f t="shared" si="390"/>
        <v>-7798708.4199999999</v>
      </c>
      <c r="BO256" s="578">
        <f t="shared" si="339"/>
        <v>-7798708.4199999999</v>
      </c>
      <c r="BP256" s="578">
        <f t="shared" si="335"/>
        <v>-10298708.42</v>
      </c>
      <c r="BQ256" s="576">
        <v>0</v>
      </c>
      <c r="BR256" s="578">
        <f>'[67]Дир_ по кап.стр.'!BB10</f>
        <v>0</v>
      </c>
      <c r="BS256" s="578">
        <f>'[67]Дир_ по кап.стр.'!BC10</f>
        <v>0</v>
      </c>
      <c r="BT256" s="536"/>
      <c r="BU256" s="578"/>
      <c r="BV256" s="578"/>
      <c r="BW256" s="586">
        <f>200000+321291.58</f>
        <v>521291.58</v>
      </c>
      <c r="BX256" s="629"/>
      <c r="BY256" s="522"/>
      <c r="BZ256" s="522">
        <f>200000+321291.58</f>
        <v>521291.58</v>
      </c>
      <c r="CA256" s="522"/>
      <c r="CB256" s="522">
        <f t="shared" si="391"/>
        <v>521291.58</v>
      </c>
      <c r="CC256" s="522">
        <f t="shared" si="336"/>
        <v>0</v>
      </c>
      <c r="CD256" s="578"/>
      <c r="CE256" s="578"/>
      <c r="CF256" s="578"/>
      <c r="CG256" s="578"/>
      <c r="CH256" s="578"/>
      <c r="CI256" s="578"/>
      <c r="CJ256" s="578"/>
      <c r="CK256" s="543" t="s">
        <v>1791</v>
      </c>
      <c r="CL256" s="542" t="s">
        <v>1792</v>
      </c>
      <c r="CM256" s="528" t="s">
        <v>1959</v>
      </c>
      <c r="CN256" s="528" t="s">
        <v>1849</v>
      </c>
      <c r="CO256" s="528"/>
      <c r="CP256" s="579"/>
      <c r="CQ256" s="579">
        <f>U256</f>
        <v>0</v>
      </c>
      <c r="CR256" s="579"/>
      <c r="CS256" s="1727"/>
      <c r="CT256" s="1728"/>
      <c r="CU256" s="1728"/>
      <c r="CV256" s="1728"/>
      <c r="CW256" s="1729"/>
      <c r="CX256" s="528"/>
      <c r="CY256" s="528"/>
      <c r="CZ256" s="528"/>
      <c r="DA256" s="528"/>
      <c r="DB256" s="660"/>
      <c r="DC256" s="628" t="e">
        <f>P256-#REF!</f>
        <v>#REF!</v>
      </c>
      <c r="DD256" s="575">
        <f>BI256+BI268</f>
        <v>14609862.059999999</v>
      </c>
      <c r="DE256" s="575"/>
      <c r="DF256" s="522">
        <f t="shared" si="350"/>
        <v>0</v>
      </c>
      <c r="DG256" s="522">
        <f t="shared" si="350"/>
        <v>521.29158000000007</v>
      </c>
      <c r="DH256" s="522">
        <f t="shared" si="350"/>
        <v>0</v>
      </c>
      <c r="DI256" s="522">
        <f t="shared" si="348"/>
        <v>521.29158000000007</v>
      </c>
      <c r="DJ256" s="536"/>
      <c r="DK256" s="536"/>
      <c r="DL256" s="536"/>
      <c r="DM256" s="536"/>
      <c r="DN256" s="536"/>
      <c r="DO256" s="536"/>
      <c r="DP256" s="536"/>
      <c r="DQ256" s="536"/>
      <c r="DR256" s="536"/>
      <c r="DS256" s="536"/>
    </row>
    <row r="257" spans="1:123" s="534" customFormat="1" ht="56.4">
      <c r="A257" s="537" t="s">
        <v>1352</v>
      </c>
      <c r="B257" s="538" t="s">
        <v>1353</v>
      </c>
      <c r="C257" s="576">
        <v>162512.20000000001</v>
      </c>
      <c r="D257" s="576"/>
      <c r="E257" s="576">
        <v>0</v>
      </c>
      <c r="F257" s="576">
        <v>1444368.87</v>
      </c>
      <c r="G257" s="577">
        <v>0</v>
      </c>
      <c r="H257" s="577">
        <v>0</v>
      </c>
      <c r="I257" s="578">
        <f t="shared" si="385"/>
        <v>2036961.57</v>
      </c>
      <c r="J257" s="578">
        <v>998431.59</v>
      </c>
      <c r="K257" s="578">
        <v>869265.01</v>
      </c>
      <c r="L257" s="578">
        <v>169264.97</v>
      </c>
      <c r="M257" s="578">
        <f t="shared" si="386"/>
        <v>1867696.6</v>
      </c>
      <c r="N257" s="578">
        <v>1747459.71</v>
      </c>
      <c r="O257" s="522">
        <f t="shared" si="387"/>
        <v>26437.520000000019</v>
      </c>
      <c r="P257" s="522">
        <v>1773897.23</v>
      </c>
      <c r="Q257" s="576">
        <f t="shared" si="313"/>
        <v>-263064.34000000008</v>
      </c>
      <c r="R257" s="576">
        <f t="shared" si="314"/>
        <v>-12.914546051057812</v>
      </c>
      <c r="S257" s="576"/>
      <c r="T257" s="576"/>
      <c r="U257" s="522">
        <f t="shared" si="388"/>
        <v>1120000</v>
      </c>
      <c r="V257" s="522">
        <f t="shared" si="311"/>
        <v>1120000</v>
      </c>
      <c r="W257" s="522">
        <v>0</v>
      </c>
      <c r="X257" s="522">
        <f t="shared" si="315"/>
        <v>-653897.23</v>
      </c>
      <c r="Y257" s="522">
        <f t="shared" si="316"/>
        <v>-36.862182258438949</v>
      </c>
      <c r="Z257" s="524">
        <f t="shared" si="317"/>
        <v>2115517.7400000002</v>
      </c>
      <c r="AA257" s="522">
        <f t="shared" si="318"/>
        <v>2115517.7400000002</v>
      </c>
      <c r="AB257" s="522">
        <v>0</v>
      </c>
      <c r="AC257" s="522">
        <f t="shared" si="319"/>
        <v>995517.74000000022</v>
      </c>
      <c r="AD257" s="522">
        <f t="shared" si="320"/>
        <v>88.885512500000033</v>
      </c>
      <c r="AE257" s="522">
        <f t="shared" si="321"/>
        <v>341620.51000000024</v>
      </c>
      <c r="AF257" s="522">
        <f t="shared" si="322"/>
        <v>19.258190622463516</v>
      </c>
      <c r="AG257" s="522">
        <f t="shared" si="337"/>
        <v>630570.4</v>
      </c>
      <c r="AH257" s="522">
        <f t="shared" si="323"/>
        <v>-489429.6</v>
      </c>
      <c r="AI257" s="522">
        <f t="shared" si="324"/>
        <v>-43.699071428571422</v>
      </c>
      <c r="AJ257" s="522">
        <f t="shared" si="325"/>
        <v>-1484947.3400000003</v>
      </c>
      <c r="AK257" s="522">
        <f>AG257/Z257*100-100</f>
        <v>-70.19309325196204</v>
      </c>
      <c r="AL257" s="522">
        <f t="shared" si="392"/>
        <v>630570.4</v>
      </c>
      <c r="AM257" s="522">
        <f t="shared" si="342"/>
        <v>120000</v>
      </c>
      <c r="AN257" s="522">
        <f t="shared" si="342"/>
        <v>370517.74</v>
      </c>
      <c r="AO257" s="522">
        <f t="shared" si="326"/>
        <v>250517.74</v>
      </c>
      <c r="AP257" s="522">
        <f t="shared" si="338"/>
        <v>208.7647833333333</v>
      </c>
      <c r="AQ257" s="578">
        <v>60000</v>
      </c>
      <c r="AR257" s="578">
        <v>73421.06</v>
      </c>
      <c r="AS257" s="578">
        <v>60000</v>
      </c>
      <c r="AT257" s="578">
        <v>297096.68</v>
      </c>
      <c r="AU257" s="578">
        <f t="shared" si="375"/>
        <v>1000000.0000000001</v>
      </c>
      <c r="AV257" s="578">
        <f t="shared" si="375"/>
        <v>1745000</v>
      </c>
      <c r="AW257" s="578">
        <f t="shared" si="327"/>
        <v>744999.99999999988</v>
      </c>
      <c r="AX257" s="578">
        <f t="shared" si="328"/>
        <v>74.5</v>
      </c>
      <c r="AY257" s="578">
        <f t="shared" si="376"/>
        <v>260052.66000000003</v>
      </c>
      <c r="AZ257" s="578">
        <f t="shared" si="329"/>
        <v>1484947.3399999999</v>
      </c>
      <c r="BA257" s="578">
        <f t="shared" si="330"/>
        <v>571.01793921277317</v>
      </c>
      <c r="BB257" s="578">
        <f>2391771.6-1500000-391771.6</f>
        <v>500000.00000000012</v>
      </c>
      <c r="BC257" s="576">
        <f>'[67]Дир_по корп'!AT31</f>
        <v>500000</v>
      </c>
      <c r="BD257" s="576">
        <f t="shared" si="389"/>
        <v>85833.19</v>
      </c>
      <c r="BE257" s="576">
        <f t="shared" si="331"/>
        <v>-414166.81000000011</v>
      </c>
      <c r="BF257" s="576">
        <f t="shared" si="332"/>
        <v>-414166.81</v>
      </c>
      <c r="BG257" s="576">
        <f t="shared" si="312"/>
        <v>620000.00000000012</v>
      </c>
      <c r="BH257" s="578">
        <f t="shared" si="312"/>
        <v>870517.74</v>
      </c>
      <c r="BI257" s="578">
        <v>456350.93</v>
      </c>
      <c r="BJ257" s="578">
        <f t="shared" si="333"/>
        <v>-163649.07000000012</v>
      </c>
      <c r="BK257" s="578">
        <f t="shared" si="334"/>
        <v>-414166.81</v>
      </c>
      <c r="BL257" s="576">
        <f>2391771.6-1891771.6</f>
        <v>500000</v>
      </c>
      <c r="BM257" s="578">
        <f>'[67]Дир_по корп'!AW31</f>
        <v>1245000</v>
      </c>
      <c r="BN257" s="522">
        <f t="shared" si="390"/>
        <v>174219.47000000003</v>
      </c>
      <c r="BO257" s="578">
        <f t="shared" si="339"/>
        <v>-325780.52999999997</v>
      </c>
      <c r="BP257" s="578">
        <f t="shared" si="335"/>
        <v>-1070780.53</v>
      </c>
      <c r="BQ257" s="576">
        <f>2391771.6-1891771.6</f>
        <v>500000</v>
      </c>
      <c r="BR257" s="578">
        <f>'[67]Дир_по корп'!BB31</f>
        <v>0</v>
      </c>
      <c r="BS257" s="578">
        <f>'[67]Дир_по корп'!BC31</f>
        <v>0</v>
      </c>
      <c r="BT257" s="536"/>
      <c r="BU257" s="578"/>
      <c r="BV257" s="578"/>
      <c r="BW257" s="586">
        <f>472122.88+158447.52</f>
        <v>630570.4</v>
      </c>
      <c r="BX257" s="629"/>
      <c r="BY257" s="522">
        <v>479428.66</v>
      </c>
      <c r="BZ257" s="522">
        <f>1181.57+430.12+3549.57+405.47</f>
        <v>5566.7300000000005</v>
      </c>
      <c r="CA257" s="522">
        <f>145323.36+251.65</f>
        <v>145575.00999999998</v>
      </c>
      <c r="CB257" s="522">
        <f t="shared" si="391"/>
        <v>630570.39999999991</v>
      </c>
      <c r="CC257" s="522">
        <f t="shared" si="336"/>
        <v>0</v>
      </c>
      <c r="CD257" s="578"/>
      <c r="CE257" s="578"/>
      <c r="CF257" s="578"/>
      <c r="CG257" s="578"/>
      <c r="CH257" s="578"/>
      <c r="CI257" s="578"/>
      <c r="CJ257" s="578"/>
      <c r="CK257" s="543" t="s">
        <v>80</v>
      </c>
      <c r="CL257" s="543" t="s">
        <v>1936</v>
      </c>
      <c r="CM257" s="528" t="s">
        <v>1959</v>
      </c>
      <c r="CN257" s="528"/>
      <c r="CO257" s="528"/>
      <c r="CP257" s="544">
        <f t="shared" ref="CP257:CP273" si="394">U257*$CU$7/100</f>
        <v>1033334.9043123855</v>
      </c>
      <c r="CQ257" s="544">
        <f t="shared" ref="CQ257:CQ273" si="395">U257*$CU$8/100</f>
        <v>75901.819888728758</v>
      </c>
      <c r="CR257" s="544">
        <f t="shared" ref="CR257:CR273" si="396">U257*$CU$9/100</f>
        <v>10763.275798885808</v>
      </c>
      <c r="CS257" s="1709" t="s">
        <v>1826</v>
      </c>
      <c r="CT257" s="1710"/>
      <c r="CU257" s="1710"/>
      <c r="CV257" s="1710"/>
      <c r="CW257" s="1711"/>
      <c r="CX257" s="673"/>
      <c r="CY257" s="673"/>
      <c r="CZ257" s="673"/>
      <c r="DA257" s="673"/>
      <c r="DB257" s="579">
        <f>19159.3+54261.76</f>
        <v>73421.06</v>
      </c>
      <c r="DC257" s="628" t="e">
        <f>P257-#REF!</f>
        <v>#REF!</v>
      </c>
      <c r="DD257" s="575"/>
      <c r="DE257" s="575"/>
      <c r="DF257" s="522">
        <f t="shared" si="350"/>
        <v>479.42865999999998</v>
      </c>
      <c r="DG257" s="522">
        <f t="shared" si="350"/>
        <v>5.5667300000000006</v>
      </c>
      <c r="DH257" s="522">
        <f t="shared" si="350"/>
        <v>145.57500999999999</v>
      </c>
      <c r="DI257" s="522">
        <f t="shared" si="348"/>
        <v>630.57039999999995</v>
      </c>
      <c r="DJ257" s="536"/>
      <c r="DK257" s="536"/>
      <c r="DL257" s="536"/>
      <c r="DM257" s="536"/>
      <c r="DN257" s="536"/>
      <c r="DO257" s="536"/>
      <c r="DP257" s="536"/>
      <c r="DQ257" s="536"/>
      <c r="DR257" s="536"/>
      <c r="DS257" s="536"/>
    </row>
    <row r="258" spans="1:123" s="534" customFormat="1" ht="36.75" customHeight="1">
      <c r="A258" s="537" t="s">
        <v>1356</v>
      </c>
      <c r="B258" s="538" t="s">
        <v>1357</v>
      </c>
      <c r="C258" s="576">
        <v>12290432.880000001</v>
      </c>
      <c r="D258" s="576"/>
      <c r="E258" s="576">
        <v>11180637.6</v>
      </c>
      <c r="F258" s="576">
        <v>72754995.540000007</v>
      </c>
      <c r="G258" s="577">
        <v>0</v>
      </c>
      <c r="H258" s="577">
        <v>0</v>
      </c>
      <c r="I258" s="578">
        <f t="shared" si="385"/>
        <v>50442064.109999999</v>
      </c>
      <c r="J258" s="578">
        <v>15913451.65</v>
      </c>
      <c r="K258" s="578">
        <v>22764306.23</v>
      </c>
      <c r="L258" s="578">
        <v>11764306.23</v>
      </c>
      <c r="M258" s="578">
        <f t="shared" si="386"/>
        <v>38677757.880000003</v>
      </c>
      <c r="N258" s="578">
        <v>56483566.700000003</v>
      </c>
      <c r="O258" s="522">
        <f t="shared" si="387"/>
        <v>26870405.590000004</v>
      </c>
      <c r="P258" s="522">
        <v>83353972.290000007</v>
      </c>
      <c r="Q258" s="576">
        <f t="shared" si="313"/>
        <v>32911908.180000007</v>
      </c>
      <c r="R258" s="576">
        <f t="shared" si="314"/>
        <v>65.246949665319733</v>
      </c>
      <c r="S258" s="576"/>
      <c r="T258" s="576"/>
      <c r="U258" s="522">
        <f t="shared" si="388"/>
        <v>40000000</v>
      </c>
      <c r="V258" s="522">
        <f t="shared" si="311"/>
        <v>40000000</v>
      </c>
      <c r="W258" s="522">
        <v>0</v>
      </c>
      <c r="X258" s="522">
        <f t="shared" si="315"/>
        <v>-43353972.290000007</v>
      </c>
      <c r="Y258" s="522">
        <f t="shared" si="316"/>
        <v>-52.011885095488353</v>
      </c>
      <c r="Z258" s="524">
        <f t="shared" si="317"/>
        <v>123725878.47</v>
      </c>
      <c r="AA258" s="522">
        <f t="shared" si="318"/>
        <v>123725878.47</v>
      </c>
      <c r="AB258" s="522">
        <v>0</v>
      </c>
      <c r="AC258" s="522">
        <f t="shared" si="319"/>
        <v>83725878.469999999</v>
      </c>
      <c r="AD258" s="522">
        <f t="shared" si="320"/>
        <v>209.31469617499999</v>
      </c>
      <c r="AE258" s="522">
        <f t="shared" si="321"/>
        <v>40371906.179999992</v>
      </c>
      <c r="AF258" s="522">
        <f t="shared" si="322"/>
        <v>48.434291817000087</v>
      </c>
      <c r="AG258" s="522">
        <f t="shared" si="337"/>
        <v>178921961.57999998</v>
      </c>
      <c r="AH258" s="522">
        <f t="shared" si="323"/>
        <v>138921961.57999998</v>
      </c>
      <c r="AI258" s="522">
        <f t="shared" si="324"/>
        <v>347.30490394999993</v>
      </c>
      <c r="AJ258" s="522">
        <f t="shared" si="325"/>
        <v>55196083.109999985</v>
      </c>
      <c r="AK258" s="522">
        <f>AG258/Z258*100-100</f>
        <v>44.611591198670254</v>
      </c>
      <c r="AL258" s="522">
        <f t="shared" si="392"/>
        <v>178921961.57999998</v>
      </c>
      <c r="AM258" s="522">
        <f t="shared" si="342"/>
        <v>10000000</v>
      </c>
      <c r="AN258" s="522">
        <f t="shared" si="342"/>
        <v>83725878.469999999</v>
      </c>
      <c r="AO258" s="522">
        <f t="shared" si="326"/>
        <v>73725878.469999999</v>
      </c>
      <c r="AP258" s="522">
        <f t="shared" si="338"/>
        <v>737.25878469999998</v>
      </c>
      <c r="AQ258" s="578">
        <v>0</v>
      </c>
      <c r="AR258" s="578">
        <v>40305348.079999998</v>
      </c>
      <c r="AS258" s="578">
        <v>10000000</v>
      </c>
      <c r="AT258" s="578">
        <v>43420530.390000001</v>
      </c>
      <c r="AU258" s="578">
        <f t="shared" si="375"/>
        <v>30000000</v>
      </c>
      <c r="AV258" s="578">
        <f t="shared" si="375"/>
        <v>40000000</v>
      </c>
      <c r="AW258" s="578">
        <f t="shared" si="327"/>
        <v>10000000</v>
      </c>
      <c r="AX258" s="578">
        <f t="shared" si="328"/>
        <v>33.333333333333314</v>
      </c>
      <c r="AY258" s="578">
        <f t="shared" si="376"/>
        <v>95196083.109999985</v>
      </c>
      <c r="AZ258" s="578">
        <f t="shared" si="329"/>
        <v>-55196083.109999985</v>
      </c>
      <c r="BA258" s="578">
        <v>0</v>
      </c>
      <c r="BB258" s="578">
        <v>20000000</v>
      </c>
      <c r="BC258" s="576">
        <f>'[67]Дир_по экон'!AT32</f>
        <v>20000000</v>
      </c>
      <c r="BD258" s="576">
        <f t="shared" si="389"/>
        <v>53944282.050000012</v>
      </c>
      <c r="BE258" s="576">
        <f t="shared" si="331"/>
        <v>33944282.050000012</v>
      </c>
      <c r="BF258" s="576">
        <f t="shared" si="332"/>
        <v>33944282.050000012</v>
      </c>
      <c r="BG258" s="576">
        <f t="shared" si="312"/>
        <v>30000000</v>
      </c>
      <c r="BH258" s="578">
        <f t="shared" si="312"/>
        <v>103725878.47</v>
      </c>
      <c r="BI258" s="578">
        <v>137670160.52000001</v>
      </c>
      <c r="BJ258" s="578">
        <f t="shared" si="333"/>
        <v>107670160.52000001</v>
      </c>
      <c r="BK258" s="578">
        <f t="shared" si="334"/>
        <v>33944282.050000012</v>
      </c>
      <c r="BL258" s="576">
        <v>10000000</v>
      </c>
      <c r="BM258" s="578">
        <f>'[67]Дир_по экон'!AW32</f>
        <v>20000000</v>
      </c>
      <c r="BN258" s="522">
        <f t="shared" si="390"/>
        <v>41251801.059999973</v>
      </c>
      <c r="BO258" s="578">
        <f t="shared" si="339"/>
        <v>31251801.059999973</v>
      </c>
      <c r="BP258" s="578">
        <f t="shared" si="335"/>
        <v>21251801.059999973</v>
      </c>
      <c r="BQ258" s="576">
        <v>10000000</v>
      </c>
      <c r="BR258" s="578">
        <f>'[67]Дир_по экон'!BB32</f>
        <v>0</v>
      </c>
      <c r="BS258" s="578">
        <f>'[67]Дир_по экон'!BC32</f>
        <v>0</v>
      </c>
      <c r="BT258" s="536"/>
      <c r="BU258" s="578"/>
      <c r="BV258" s="578"/>
      <c r="BW258" s="586">
        <f>1898163.83+49215204.24+30221392.55+97587200.96</f>
        <v>178921961.57999998</v>
      </c>
      <c r="BX258" s="574"/>
      <c r="BY258" s="522">
        <v>147919487.78999999</v>
      </c>
      <c r="BZ258" s="522">
        <f>3303.29+47.75+3917.72+1001620.04+26496331.24+466.1+3457.21</f>
        <v>27509143.350000001</v>
      </c>
      <c r="CA258" s="522">
        <f>28677.4+875132.69-133486.36+1546015.92-235832.95+1666245.85-253422.11</f>
        <v>3493330.44</v>
      </c>
      <c r="CB258" s="522">
        <f t="shared" si="391"/>
        <v>178921961.57999998</v>
      </c>
      <c r="CC258" s="522">
        <f t="shared" si="336"/>
        <v>0</v>
      </c>
      <c r="CD258" s="578"/>
      <c r="CE258" s="578"/>
      <c r="CF258" s="578"/>
      <c r="CG258" s="578"/>
      <c r="CH258" s="578"/>
      <c r="CI258" s="578"/>
      <c r="CJ258" s="578"/>
      <c r="CK258" s="543" t="s">
        <v>77</v>
      </c>
      <c r="CL258" s="542" t="s">
        <v>1800</v>
      </c>
      <c r="CM258" s="528" t="s">
        <v>1959</v>
      </c>
      <c r="CN258" s="528"/>
      <c r="CO258" s="528"/>
      <c r="CP258" s="544">
        <f t="shared" si="394"/>
        <v>36904818.011156626</v>
      </c>
      <c r="CQ258" s="544">
        <f t="shared" si="395"/>
        <v>2710779.2817403125</v>
      </c>
      <c r="CR258" s="544">
        <f t="shared" si="396"/>
        <v>384402.70710306457</v>
      </c>
      <c r="CS258" s="1709" t="s">
        <v>1826</v>
      </c>
      <c r="CT258" s="1710"/>
      <c r="CU258" s="1710"/>
      <c r="CV258" s="1710"/>
      <c r="CW258" s="1711"/>
      <c r="CX258" s="673"/>
      <c r="CY258" s="673"/>
      <c r="CZ258" s="673"/>
      <c r="DA258" s="673"/>
      <c r="DB258" s="579">
        <f>421240.4+30618366.59+4145323.51+5120417.58</f>
        <v>40305348.079999998</v>
      </c>
      <c r="DC258" s="628" t="e">
        <f>P258-#REF!</f>
        <v>#REF!</v>
      </c>
      <c r="DD258" s="575"/>
      <c r="DE258" s="575"/>
      <c r="DF258" s="522">
        <f t="shared" si="350"/>
        <v>147919.48778999998</v>
      </c>
      <c r="DG258" s="522">
        <f t="shared" si="350"/>
        <v>27509.143350000002</v>
      </c>
      <c r="DH258" s="522">
        <f t="shared" si="350"/>
        <v>3493.3304399999997</v>
      </c>
      <c r="DI258" s="522">
        <f t="shared" si="348"/>
        <v>178921.96157999997</v>
      </c>
      <c r="DJ258" s="536"/>
      <c r="DK258" s="536"/>
      <c r="DL258" s="536"/>
      <c r="DM258" s="536"/>
      <c r="DN258" s="536"/>
      <c r="DO258" s="536"/>
      <c r="DP258" s="536"/>
      <c r="DQ258" s="536"/>
      <c r="DR258" s="536"/>
      <c r="DS258" s="536"/>
    </row>
    <row r="259" spans="1:123" s="534" customFormat="1" ht="68.25" customHeight="1">
      <c r="A259" s="537" t="s">
        <v>1361</v>
      </c>
      <c r="B259" s="538" t="s">
        <v>1362</v>
      </c>
      <c r="C259" s="576">
        <v>62900</v>
      </c>
      <c r="D259" s="576"/>
      <c r="E259" s="576">
        <v>0</v>
      </c>
      <c r="F259" s="576">
        <v>630914.16</v>
      </c>
      <c r="G259" s="577">
        <v>0</v>
      </c>
      <c r="H259" s="577">
        <v>0</v>
      </c>
      <c r="I259" s="578">
        <f t="shared" si="385"/>
        <v>3946.38</v>
      </c>
      <c r="J259" s="578">
        <v>3946.38</v>
      </c>
      <c r="K259" s="578">
        <v>0</v>
      </c>
      <c r="L259" s="578">
        <v>0</v>
      </c>
      <c r="M259" s="578">
        <f t="shared" si="386"/>
        <v>3946.38</v>
      </c>
      <c r="N259" s="578">
        <v>4546.38</v>
      </c>
      <c r="O259" s="522">
        <f t="shared" si="387"/>
        <v>104709.18</v>
      </c>
      <c r="P259" s="522">
        <v>109255.56</v>
      </c>
      <c r="Q259" s="576">
        <f t="shared" si="313"/>
        <v>105309.18</v>
      </c>
      <c r="R259" s="576">
        <f t="shared" si="314"/>
        <v>2668.500752588448</v>
      </c>
      <c r="S259" s="576"/>
      <c r="T259" s="576"/>
      <c r="U259" s="522">
        <f t="shared" si="388"/>
        <v>0</v>
      </c>
      <c r="V259" s="522">
        <f t="shared" si="311"/>
        <v>0</v>
      </c>
      <c r="W259" s="522">
        <v>0</v>
      </c>
      <c r="X259" s="522">
        <f t="shared" si="315"/>
        <v>-109255.56</v>
      </c>
      <c r="Y259" s="522">
        <f t="shared" si="316"/>
        <v>-100</v>
      </c>
      <c r="Z259" s="524">
        <f t="shared" si="317"/>
        <v>33510</v>
      </c>
      <c r="AA259" s="522">
        <f t="shared" si="318"/>
        <v>33510</v>
      </c>
      <c r="AB259" s="522">
        <v>0</v>
      </c>
      <c r="AC259" s="522">
        <f t="shared" si="319"/>
        <v>33510</v>
      </c>
      <c r="AD259" s="522">
        <v>0</v>
      </c>
      <c r="AE259" s="522">
        <f t="shared" si="321"/>
        <v>-75745.56</v>
      </c>
      <c r="AF259" s="522">
        <f t="shared" si="322"/>
        <v>-69.328792054152672</v>
      </c>
      <c r="AG259" s="522">
        <f t="shared" si="337"/>
        <v>33510</v>
      </c>
      <c r="AH259" s="522">
        <f t="shared" si="323"/>
        <v>33510</v>
      </c>
      <c r="AI259" s="522">
        <v>0</v>
      </c>
      <c r="AJ259" s="522">
        <f t="shared" si="325"/>
        <v>0</v>
      </c>
      <c r="AK259" s="522">
        <f>AG259/Z259*100-100</f>
        <v>0</v>
      </c>
      <c r="AL259" s="522">
        <f t="shared" si="392"/>
        <v>33510</v>
      </c>
      <c r="AM259" s="522">
        <f t="shared" si="342"/>
        <v>0</v>
      </c>
      <c r="AN259" s="522">
        <f t="shared" si="342"/>
        <v>33510</v>
      </c>
      <c r="AO259" s="522">
        <f t="shared" si="326"/>
        <v>33510</v>
      </c>
      <c r="AP259" s="522">
        <v>0</v>
      </c>
      <c r="AQ259" s="578">
        <v>0</v>
      </c>
      <c r="AR259" s="578">
        <v>0</v>
      </c>
      <c r="AS259" s="578">
        <v>0</v>
      </c>
      <c r="AT259" s="578">
        <v>33510</v>
      </c>
      <c r="AU259" s="578">
        <f t="shared" si="375"/>
        <v>0</v>
      </c>
      <c r="AV259" s="578">
        <f t="shared" si="375"/>
        <v>0</v>
      </c>
      <c r="AW259" s="578">
        <f t="shared" si="327"/>
        <v>0</v>
      </c>
      <c r="AX259" s="578">
        <v>0</v>
      </c>
      <c r="AY259" s="578">
        <f t="shared" si="376"/>
        <v>0</v>
      </c>
      <c r="AZ259" s="578">
        <f t="shared" si="329"/>
        <v>0</v>
      </c>
      <c r="BA259" s="578">
        <v>0</v>
      </c>
      <c r="BB259" s="578">
        <v>0</v>
      </c>
      <c r="BC259" s="576">
        <f>'[67]Дир_по экон'!AT33</f>
        <v>0</v>
      </c>
      <c r="BD259" s="576">
        <f t="shared" si="389"/>
        <v>0</v>
      </c>
      <c r="BE259" s="576">
        <f t="shared" si="331"/>
        <v>0</v>
      </c>
      <c r="BF259" s="576">
        <f t="shared" si="332"/>
        <v>0</v>
      </c>
      <c r="BG259" s="576">
        <f t="shared" si="312"/>
        <v>0</v>
      </c>
      <c r="BH259" s="578">
        <f t="shared" si="312"/>
        <v>33510</v>
      </c>
      <c r="BI259" s="578">
        <v>33510</v>
      </c>
      <c r="BJ259" s="578">
        <f t="shared" si="333"/>
        <v>33510</v>
      </c>
      <c r="BK259" s="578">
        <f t="shared" si="334"/>
        <v>0</v>
      </c>
      <c r="BL259" s="576">
        <v>0</v>
      </c>
      <c r="BM259" s="578">
        <f>'[67]Дир_по экон'!AW33</f>
        <v>0</v>
      </c>
      <c r="BN259" s="522">
        <f t="shared" si="390"/>
        <v>0</v>
      </c>
      <c r="BO259" s="578">
        <f t="shared" si="339"/>
        <v>0</v>
      </c>
      <c r="BP259" s="578">
        <f t="shared" si="335"/>
        <v>0</v>
      </c>
      <c r="BQ259" s="576">
        <v>0</v>
      </c>
      <c r="BR259" s="578">
        <f>'[67]Дир_по экон'!BB33</f>
        <v>0</v>
      </c>
      <c r="BS259" s="578">
        <f>'[67]Дир_по экон'!BC33</f>
        <v>0</v>
      </c>
      <c r="BT259" s="536"/>
      <c r="BU259" s="578"/>
      <c r="BV259" s="578"/>
      <c r="BW259" s="586">
        <v>33510</v>
      </c>
      <c r="BX259" s="574"/>
      <c r="BY259" s="522">
        <v>28741.4</v>
      </c>
      <c r="BZ259" s="522">
        <f>259.16+4169.3</f>
        <v>4428.46</v>
      </c>
      <c r="CA259" s="522">
        <v>340.14</v>
      </c>
      <c r="CB259" s="522">
        <f t="shared" si="391"/>
        <v>33510</v>
      </c>
      <c r="CC259" s="522">
        <f t="shared" si="336"/>
        <v>0</v>
      </c>
      <c r="CD259" s="578"/>
      <c r="CE259" s="578"/>
      <c r="CF259" s="578"/>
      <c r="CG259" s="578"/>
      <c r="CH259" s="578"/>
      <c r="CI259" s="578"/>
      <c r="CJ259" s="578"/>
      <c r="CK259" s="543" t="s">
        <v>77</v>
      </c>
      <c r="CL259" s="542" t="s">
        <v>1800</v>
      </c>
      <c r="CM259" s="528" t="s">
        <v>1959</v>
      </c>
      <c r="CN259" s="528"/>
      <c r="CO259" s="528"/>
      <c r="CP259" s="544">
        <f t="shared" si="394"/>
        <v>0</v>
      </c>
      <c r="CQ259" s="544">
        <f t="shared" si="395"/>
        <v>0</v>
      </c>
      <c r="CR259" s="544">
        <f t="shared" si="396"/>
        <v>0</v>
      </c>
      <c r="CS259" s="1709" t="s">
        <v>1826</v>
      </c>
      <c r="CT259" s="1710"/>
      <c r="CU259" s="1710"/>
      <c r="CV259" s="1710"/>
      <c r="CW259" s="1711"/>
      <c r="CX259" s="528"/>
      <c r="CY259" s="528"/>
      <c r="CZ259" s="528"/>
      <c r="DA259" s="528"/>
      <c r="DB259" s="579"/>
      <c r="DC259" s="628" t="e">
        <f>P259-#REF!</f>
        <v>#REF!</v>
      </c>
      <c r="DD259" s="575"/>
      <c r="DE259" s="575"/>
      <c r="DF259" s="522">
        <f t="shared" si="350"/>
        <v>28.741400000000002</v>
      </c>
      <c r="DG259" s="522">
        <f t="shared" si="350"/>
        <v>4.4284600000000003</v>
      </c>
      <c r="DH259" s="522">
        <f t="shared" si="350"/>
        <v>0.34014</v>
      </c>
      <c r="DI259" s="522">
        <f t="shared" si="348"/>
        <v>33.51</v>
      </c>
      <c r="DJ259" s="536"/>
      <c r="DK259" s="536"/>
      <c r="DL259" s="536"/>
      <c r="DM259" s="536"/>
      <c r="DN259" s="536"/>
      <c r="DO259" s="536"/>
      <c r="DP259" s="536"/>
      <c r="DQ259" s="536"/>
      <c r="DR259" s="536"/>
      <c r="DS259" s="536"/>
    </row>
    <row r="260" spans="1:123" s="534" customFormat="1" ht="39.75" customHeight="1">
      <c r="A260" s="537" t="s">
        <v>1366</v>
      </c>
      <c r="B260" s="538" t="s">
        <v>1367</v>
      </c>
      <c r="C260" s="576">
        <v>6953.76</v>
      </c>
      <c r="D260" s="576"/>
      <c r="E260" s="576">
        <v>0</v>
      </c>
      <c r="F260" s="576"/>
      <c r="G260" s="577">
        <v>0</v>
      </c>
      <c r="H260" s="577">
        <v>0</v>
      </c>
      <c r="I260" s="578">
        <f t="shared" si="385"/>
        <v>0</v>
      </c>
      <c r="J260" s="578">
        <v>0</v>
      </c>
      <c r="K260" s="578">
        <v>0</v>
      </c>
      <c r="L260" s="578">
        <v>0</v>
      </c>
      <c r="M260" s="578">
        <f t="shared" si="386"/>
        <v>0</v>
      </c>
      <c r="N260" s="578"/>
      <c r="O260" s="522">
        <f t="shared" si="387"/>
        <v>0</v>
      </c>
      <c r="P260" s="522">
        <v>0</v>
      </c>
      <c r="Q260" s="576">
        <f t="shared" si="313"/>
        <v>0</v>
      </c>
      <c r="R260" s="576">
        <v>0</v>
      </c>
      <c r="S260" s="576"/>
      <c r="T260" s="576"/>
      <c r="U260" s="522">
        <f t="shared" si="388"/>
        <v>0</v>
      </c>
      <c r="V260" s="522">
        <f t="shared" si="311"/>
        <v>0</v>
      </c>
      <c r="W260" s="522">
        <v>0</v>
      </c>
      <c r="X260" s="522">
        <f t="shared" si="315"/>
        <v>0</v>
      </c>
      <c r="Y260" s="522">
        <v>0</v>
      </c>
      <c r="Z260" s="524">
        <f t="shared" si="317"/>
        <v>0</v>
      </c>
      <c r="AA260" s="522">
        <f t="shared" si="318"/>
        <v>0</v>
      </c>
      <c r="AB260" s="522">
        <v>0</v>
      </c>
      <c r="AC260" s="522">
        <f t="shared" si="319"/>
        <v>0</v>
      </c>
      <c r="AD260" s="522">
        <v>0</v>
      </c>
      <c r="AE260" s="522">
        <f t="shared" si="321"/>
        <v>0</v>
      </c>
      <c r="AF260" s="522">
        <v>0</v>
      </c>
      <c r="AG260" s="522">
        <f t="shared" si="337"/>
        <v>0</v>
      </c>
      <c r="AH260" s="522">
        <f t="shared" si="323"/>
        <v>0</v>
      </c>
      <c r="AI260" s="522">
        <v>0</v>
      </c>
      <c r="AJ260" s="522">
        <f t="shared" si="325"/>
        <v>0</v>
      </c>
      <c r="AK260" s="522">
        <v>0</v>
      </c>
      <c r="AL260" s="522">
        <f t="shared" si="392"/>
        <v>0</v>
      </c>
      <c r="AM260" s="522">
        <f t="shared" si="342"/>
        <v>0</v>
      </c>
      <c r="AN260" s="522">
        <f t="shared" si="342"/>
        <v>0</v>
      </c>
      <c r="AO260" s="522">
        <f t="shared" si="326"/>
        <v>0</v>
      </c>
      <c r="AP260" s="522">
        <v>0</v>
      </c>
      <c r="AQ260" s="578">
        <v>0</v>
      </c>
      <c r="AR260" s="578">
        <v>0</v>
      </c>
      <c r="AS260" s="578">
        <v>0</v>
      </c>
      <c r="AT260" s="578">
        <v>0</v>
      </c>
      <c r="AU260" s="578">
        <f t="shared" si="375"/>
        <v>0</v>
      </c>
      <c r="AV260" s="578">
        <f t="shared" si="375"/>
        <v>0</v>
      </c>
      <c r="AW260" s="578">
        <f t="shared" si="327"/>
        <v>0</v>
      </c>
      <c r="AX260" s="578">
        <v>0</v>
      </c>
      <c r="AY260" s="578">
        <f t="shared" si="376"/>
        <v>0</v>
      </c>
      <c r="AZ260" s="578">
        <f t="shared" si="329"/>
        <v>0</v>
      </c>
      <c r="BA260" s="578">
        <v>0</v>
      </c>
      <c r="BB260" s="578">
        <v>0</v>
      </c>
      <c r="BC260" s="576">
        <f>'[67]Дир_по экон'!AT34</f>
        <v>0</v>
      </c>
      <c r="BD260" s="576">
        <f t="shared" si="389"/>
        <v>0</v>
      </c>
      <c r="BE260" s="576">
        <f t="shared" si="331"/>
        <v>0</v>
      </c>
      <c r="BF260" s="576">
        <f t="shared" si="332"/>
        <v>0</v>
      </c>
      <c r="BG260" s="576">
        <f t="shared" si="312"/>
        <v>0</v>
      </c>
      <c r="BH260" s="578">
        <f t="shared" si="312"/>
        <v>0</v>
      </c>
      <c r="BI260" s="578"/>
      <c r="BJ260" s="578">
        <f t="shared" si="333"/>
        <v>0</v>
      </c>
      <c r="BK260" s="578">
        <f t="shared" si="334"/>
        <v>0</v>
      </c>
      <c r="BL260" s="576">
        <v>0</v>
      </c>
      <c r="BM260" s="578">
        <f>'[67]Дир_по экон'!AW34</f>
        <v>0</v>
      </c>
      <c r="BN260" s="522">
        <f t="shared" si="390"/>
        <v>0</v>
      </c>
      <c r="BO260" s="578">
        <f t="shared" si="339"/>
        <v>0</v>
      </c>
      <c r="BP260" s="578">
        <f t="shared" si="335"/>
        <v>0</v>
      </c>
      <c r="BQ260" s="576">
        <v>0</v>
      </c>
      <c r="BR260" s="578">
        <f>'[67]Дир_по экон'!BB34</f>
        <v>0</v>
      </c>
      <c r="BS260" s="578">
        <f>'[67]Дир_по экон'!BC34</f>
        <v>0</v>
      </c>
      <c r="BT260" s="536"/>
      <c r="BU260" s="578"/>
      <c r="BV260" s="578"/>
      <c r="BW260" s="578"/>
      <c r="BX260" s="574"/>
      <c r="BY260" s="522"/>
      <c r="BZ260" s="522"/>
      <c r="CA260" s="522"/>
      <c r="CB260" s="522">
        <f t="shared" si="391"/>
        <v>0</v>
      </c>
      <c r="CC260" s="522">
        <f t="shared" si="336"/>
        <v>0</v>
      </c>
      <c r="CD260" s="578"/>
      <c r="CE260" s="578"/>
      <c r="CF260" s="578"/>
      <c r="CG260" s="578"/>
      <c r="CH260" s="578"/>
      <c r="CI260" s="578"/>
      <c r="CJ260" s="578"/>
      <c r="CK260" s="543" t="s">
        <v>77</v>
      </c>
      <c r="CL260" s="542" t="s">
        <v>1800</v>
      </c>
      <c r="CM260" s="528" t="s">
        <v>1959</v>
      </c>
      <c r="CN260" s="528"/>
      <c r="CO260" s="528"/>
      <c r="CP260" s="544">
        <f t="shared" si="394"/>
        <v>0</v>
      </c>
      <c r="CQ260" s="544">
        <f t="shared" si="395"/>
        <v>0</v>
      </c>
      <c r="CR260" s="544">
        <f t="shared" si="396"/>
        <v>0</v>
      </c>
      <c r="CS260" s="1709" t="s">
        <v>1826</v>
      </c>
      <c r="CT260" s="1710"/>
      <c r="CU260" s="1710"/>
      <c r="CV260" s="1710"/>
      <c r="CW260" s="1711"/>
      <c r="CX260" s="528"/>
      <c r="CY260" s="528"/>
      <c r="CZ260" s="528"/>
      <c r="DA260" s="528"/>
      <c r="DB260" s="579"/>
      <c r="DC260" s="628" t="e">
        <f>P260-#REF!</f>
        <v>#REF!</v>
      </c>
      <c r="DD260" s="575"/>
      <c r="DE260" s="575"/>
      <c r="DF260" s="522">
        <f t="shared" si="350"/>
        <v>0</v>
      </c>
      <c r="DG260" s="522">
        <f t="shared" si="350"/>
        <v>0</v>
      </c>
      <c r="DH260" s="522">
        <f t="shared" si="350"/>
        <v>0</v>
      </c>
      <c r="DI260" s="522">
        <f t="shared" si="348"/>
        <v>0</v>
      </c>
      <c r="DJ260" s="536"/>
      <c r="DK260" s="536"/>
      <c r="DL260" s="536"/>
      <c r="DM260" s="536"/>
      <c r="DN260" s="536"/>
      <c r="DO260" s="536"/>
      <c r="DP260" s="536"/>
      <c r="DQ260" s="536"/>
      <c r="DR260" s="536"/>
      <c r="DS260" s="536"/>
    </row>
    <row r="261" spans="1:123" s="534" customFormat="1" ht="77.25" customHeight="1">
      <c r="A261" s="537" t="s">
        <v>1309</v>
      </c>
      <c r="B261" s="538" t="s">
        <v>1310</v>
      </c>
      <c r="C261" s="576">
        <v>44762676.909999996</v>
      </c>
      <c r="D261" s="576"/>
      <c r="E261" s="576">
        <v>65123559.950000003</v>
      </c>
      <c r="F261" s="576">
        <v>34638240.049999997</v>
      </c>
      <c r="G261" s="577">
        <v>4964441.683004261</v>
      </c>
      <c r="H261" s="577">
        <v>0</v>
      </c>
      <c r="I261" s="578">
        <f t="shared" si="385"/>
        <v>14901779.721999994</v>
      </c>
      <c r="J261" s="578">
        <v>2421917.7099999934</v>
      </c>
      <c r="K261" s="578">
        <v>6220863</v>
      </c>
      <c r="L261" s="578">
        <v>6258999.0120000001</v>
      </c>
      <c r="M261" s="578">
        <f t="shared" si="386"/>
        <v>8642780.7099999934</v>
      </c>
      <c r="N261" s="578">
        <v>4029110.24</v>
      </c>
      <c r="O261" s="522">
        <f t="shared" si="387"/>
        <v>2354190.3099999996</v>
      </c>
      <c r="P261" s="522">
        <v>6383300.5499999998</v>
      </c>
      <c r="Q261" s="576">
        <f t="shared" si="313"/>
        <v>-8518479.1719999947</v>
      </c>
      <c r="R261" s="576">
        <f t="shared" si="314"/>
        <v>-57.164173212303488</v>
      </c>
      <c r="S261" s="576">
        <v>35620</v>
      </c>
      <c r="T261" s="576"/>
      <c r="U261" s="522">
        <f t="shared" si="388"/>
        <v>18166620.272000004</v>
      </c>
      <c r="V261" s="522">
        <f t="shared" ref="V261:V324" si="397">U261-T261</f>
        <v>18166620.272000004</v>
      </c>
      <c r="W261" s="522">
        <v>0</v>
      </c>
      <c r="X261" s="522">
        <f t="shared" si="315"/>
        <v>11783319.722000003</v>
      </c>
      <c r="Y261" s="522">
        <f t="shared" si="316"/>
        <v>184.5960350715431</v>
      </c>
      <c r="Z261" s="524">
        <f t="shared" si="317"/>
        <v>13078788.198399998</v>
      </c>
      <c r="AA261" s="522">
        <f t="shared" si="318"/>
        <v>13078788.198399998</v>
      </c>
      <c r="AB261" s="522">
        <v>0</v>
      </c>
      <c r="AC261" s="522">
        <f t="shared" si="319"/>
        <v>-5087832.0736000054</v>
      </c>
      <c r="AD261" s="522">
        <f t="shared" si="320"/>
        <v>-28.006486607978601</v>
      </c>
      <c r="AE261" s="522">
        <f t="shared" si="321"/>
        <v>6695487.6483999984</v>
      </c>
      <c r="AF261" s="522">
        <f t="shared" si="322"/>
        <v>104.89068462239334</v>
      </c>
      <c r="AG261" s="522">
        <f t="shared" si="337"/>
        <v>7019071.9900000002</v>
      </c>
      <c r="AH261" s="522">
        <f t="shared" si="323"/>
        <v>-11147548.282000003</v>
      </c>
      <c r="AI261" s="522">
        <f t="shared" si="324"/>
        <v>-61.362807804055812</v>
      </c>
      <c r="AJ261" s="522">
        <f t="shared" si="325"/>
        <v>-6059716.208399998</v>
      </c>
      <c r="AK261" s="522">
        <f>AG261/Z261*100-100</f>
        <v>-46.332398051535975</v>
      </c>
      <c r="AL261" s="522">
        <f t="shared" si="392"/>
        <v>7019071.9900000002</v>
      </c>
      <c r="AM261" s="522">
        <f t="shared" si="342"/>
        <v>10056903.668000003</v>
      </c>
      <c r="AN261" s="522">
        <f t="shared" si="342"/>
        <v>2826826.46</v>
      </c>
      <c r="AO261" s="522">
        <f t="shared" si="326"/>
        <v>-7230077.2080000034</v>
      </c>
      <c r="AP261" s="522">
        <f t="shared" si="338"/>
        <v>-71.891682039327264</v>
      </c>
      <c r="AQ261" s="578">
        <v>127184.64</v>
      </c>
      <c r="AR261" s="578">
        <v>931199.53999999992</v>
      </c>
      <c r="AS261" s="578">
        <v>9929719.0280000027</v>
      </c>
      <c r="AT261" s="578">
        <v>1895626.92</v>
      </c>
      <c r="AU261" s="578">
        <f t="shared" si="375"/>
        <v>8109716.6040000003</v>
      </c>
      <c r="AV261" s="578">
        <f t="shared" si="375"/>
        <v>10251961.738399999</v>
      </c>
      <c r="AW261" s="578">
        <f t="shared" si="327"/>
        <v>2142245.1343999989</v>
      </c>
      <c r="AX261" s="578">
        <f t="shared" si="328"/>
        <v>26.415782930606582</v>
      </c>
      <c r="AY261" s="578">
        <f t="shared" si="376"/>
        <v>4192245.5300000003</v>
      </c>
      <c r="AZ261" s="578">
        <f t="shared" si="329"/>
        <v>6059716.208399999</v>
      </c>
      <c r="BA261" s="578">
        <f t="shared" si="330"/>
        <v>144.54583265785007</v>
      </c>
      <c r="BB261" s="578">
        <v>4068608.3420000006</v>
      </c>
      <c r="BC261" s="576">
        <f>'[67]Дир_по экон'!AT35</f>
        <v>5782715.5051999995</v>
      </c>
      <c r="BD261" s="576">
        <f t="shared" si="389"/>
        <v>1697980.7700000005</v>
      </c>
      <c r="BE261" s="576">
        <f t="shared" si="331"/>
        <v>-2370627.5720000002</v>
      </c>
      <c r="BF261" s="576">
        <f t="shared" si="332"/>
        <v>-4084734.7351999991</v>
      </c>
      <c r="BG261" s="576">
        <f t="shared" ref="BG261:BH325" si="398">AM261+BB261</f>
        <v>14125512.010000004</v>
      </c>
      <c r="BH261" s="578">
        <f t="shared" si="398"/>
        <v>8609541.9651999995</v>
      </c>
      <c r="BI261" s="578">
        <f>1846286.4+258969.77+160371.55+6072.91+2252.71+23183.33+41624.15+5826.27+397760.74+1782459.4</f>
        <v>4524807.2300000004</v>
      </c>
      <c r="BJ261" s="578">
        <f t="shared" si="333"/>
        <v>-9600704.7800000031</v>
      </c>
      <c r="BK261" s="578">
        <f t="shared" si="334"/>
        <v>-4084734.7351999991</v>
      </c>
      <c r="BL261" s="576">
        <v>4041108.2620000001</v>
      </c>
      <c r="BM261" s="578">
        <f>'[67]Дир_по экон'!AW35</f>
        <v>4469246.2331999997</v>
      </c>
      <c r="BN261" s="522">
        <f t="shared" si="390"/>
        <v>2494264.7599999998</v>
      </c>
      <c r="BO261" s="578">
        <f t="shared" si="339"/>
        <v>-1546843.5020000003</v>
      </c>
      <c r="BP261" s="578">
        <f t="shared" si="335"/>
        <v>-1974981.4731999999</v>
      </c>
      <c r="BQ261" s="576">
        <v>4041108.2620000001</v>
      </c>
      <c r="BR261" s="578">
        <f>'[67]Дир_по экон'!BB35</f>
        <v>0</v>
      </c>
      <c r="BS261" s="578">
        <f>'[67]Дир_по экон'!BC35</f>
        <v>0</v>
      </c>
      <c r="BT261" s="536"/>
      <c r="BU261" s="578"/>
      <c r="BV261" s="578"/>
      <c r="BW261" s="578">
        <f>2208011.46+1347977.83+132299+425331.33+91235.58+21664.43+24158.33+103089.99+75741.52+428637.87+2160924.65</f>
        <v>7019071.9900000002</v>
      </c>
      <c r="BX261" s="574"/>
      <c r="BY261" s="522">
        <f>3384071.78+202.12+91235.58+21664.432275749+96981.3+72584.68+394875.45+1768771.6+22757.49</f>
        <v>5853144.4322757497</v>
      </c>
      <c r="BZ261" s="522">
        <f>22439.65+11537.5+16.25+262.75+1078.79+155.89+580.13+2666.92+32007.02+13913.53+8.63+867.07+3889.53+2099.7+8455.25+3116.09</f>
        <v>103094.7</v>
      </c>
      <c r="CA261" s="522">
        <f>15213.97+76805.84+132299+425104.33+271.02+1140.37+901.25+24727.04+386370.04</f>
        <v>1062832.8600000001</v>
      </c>
      <c r="CB261" s="522">
        <f t="shared" si="391"/>
        <v>7019071.9922757503</v>
      </c>
      <c r="CC261" s="522">
        <f t="shared" si="336"/>
        <v>-2.2757500410079956E-3</v>
      </c>
      <c r="CD261" s="578"/>
      <c r="CE261" s="578"/>
      <c r="CF261" s="578"/>
      <c r="CG261" s="578"/>
      <c r="CH261" s="578"/>
      <c r="CI261" s="578"/>
      <c r="CJ261" s="578"/>
      <c r="CK261" s="543" t="s">
        <v>77</v>
      </c>
      <c r="CL261" s="542" t="s">
        <v>1800</v>
      </c>
      <c r="CM261" s="528" t="s">
        <v>1959</v>
      </c>
      <c r="CN261" s="528"/>
      <c r="CO261" s="528"/>
      <c r="CP261" s="544">
        <f t="shared" si="394"/>
        <v>16760895.37539872</v>
      </c>
      <c r="CQ261" s="544">
        <f t="shared" si="395"/>
        <v>1231142.4463145293</v>
      </c>
      <c r="CR261" s="544">
        <f t="shared" si="396"/>
        <v>174582.45028675534</v>
      </c>
      <c r="CS261" s="1709" t="s">
        <v>1826</v>
      </c>
      <c r="CT261" s="1710"/>
      <c r="CU261" s="1710"/>
      <c r="CV261" s="1710"/>
      <c r="CW261" s="1711"/>
      <c r="CX261" s="528"/>
      <c r="CY261" s="528"/>
      <c r="CZ261" s="528"/>
      <c r="DA261" s="528"/>
      <c r="DB261" s="579">
        <f>20900.19+120485.01+48557+89682.38+1441.69+8379+15108.48+171854.69+454791.1</f>
        <v>931199.53999999992</v>
      </c>
      <c r="DC261" s="628" t="e">
        <f>P261-#REF!</f>
        <v>#REF!</v>
      </c>
      <c r="DD261" s="575"/>
      <c r="DE261" s="575"/>
      <c r="DF261" s="522">
        <f t="shared" si="350"/>
        <v>5853.1444322757498</v>
      </c>
      <c r="DG261" s="522">
        <f t="shared" si="350"/>
        <v>103.0947</v>
      </c>
      <c r="DH261" s="522">
        <f t="shared" si="350"/>
        <v>1062.8328600000002</v>
      </c>
      <c r="DI261" s="522">
        <f t="shared" si="348"/>
        <v>7019.0719922757498</v>
      </c>
      <c r="DJ261" s="674" t="s">
        <v>1963</v>
      </c>
      <c r="DK261" s="536"/>
      <c r="DL261" s="536"/>
      <c r="DM261" s="536"/>
      <c r="DN261" s="536"/>
      <c r="DO261" s="536"/>
      <c r="DP261" s="536"/>
      <c r="DQ261" s="536"/>
      <c r="DR261" s="536"/>
      <c r="DS261" s="536"/>
    </row>
    <row r="262" spans="1:123" s="534" customFormat="1" ht="61.5" customHeight="1">
      <c r="A262" s="520" t="s">
        <v>1370</v>
      </c>
      <c r="B262" s="521" t="s">
        <v>1371</v>
      </c>
      <c r="C262" s="578">
        <v>8964041.4399999995</v>
      </c>
      <c r="D262" s="578"/>
      <c r="E262" s="578">
        <v>1864900</v>
      </c>
      <c r="F262" s="578">
        <v>11596027.9</v>
      </c>
      <c r="G262" s="593">
        <v>0</v>
      </c>
      <c r="H262" s="593">
        <v>0</v>
      </c>
      <c r="I262" s="578">
        <f t="shared" si="385"/>
        <v>1040466.02</v>
      </c>
      <c r="J262" s="578">
        <v>1040466.02</v>
      </c>
      <c r="K262" s="578">
        <v>0</v>
      </c>
      <c r="L262" s="578">
        <v>0</v>
      </c>
      <c r="M262" s="578">
        <f t="shared" si="386"/>
        <v>1040466.02</v>
      </c>
      <c r="N262" s="578">
        <v>5430787.8099999996</v>
      </c>
      <c r="O262" s="522">
        <f t="shared" si="387"/>
        <v>2873173.4200000009</v>
      </c>
      <c r="P262" s="522">
        <v>8303961.2300000004</v>
      </c>
      <c r="Q262" s="578">
        <f t="shared" ref="Q262:Q325" si="399">P262-I262</f>
        <v>7263495.2100000009</v>
      </c>
      <c r="R262" s="578">
        <f t="shared" ref="R262:R325" si="400">P262/I262*100-100</f>
        <v>698.10018495366148</v>
      </c>
      <c r="S262" s="578"/>
      <c r="T262" s="578"/>
      <c r="U262" s="522">
        <f t="shared" si="388"/>
        <v>0</v>
      </c>
      <c r="V262" s="522">
        <f t="shared" si="397"/>
        <v>0</v>
      </c>
      <c r="W262" s="522">
        <v>0</v>
      </c>
      <c r="X262" s="522">
        <f t="shared" ref="X262:X325" si="401">U262-P262</f>
        <v>-8303961.2300000004</v>
      </c>
      <c r="Y262" s="522">
        <f t="shared" ref="Y262:Y325" si="402">U262/P262*100-100</f>
        <v>-100</v>
      </c>
      <c r="Z262" s="524">
        <f t="shared" ref="Z262:Z323" si="403">AN262+AV262</f>
        <v>8373289.7000000002</v>
      </c>
      <c r="AA262" s="522">
        <f t="shared" ref="AA262:AA325" si="404">Z262-T262</f>
        <v>8373289.7000000002</v>
      </c>
      <c r="AB262" s="522">
        <v>0</v>
      </c>
      <c r="AC262" s="522">
        <f t="shared" ref="AC262:AC325" si="405">Z262-U262</f>
        <v>8373289.7000000002</v>
      </c>
      <c r="AD262" s="522">
        <v>0</v>
      </c>
      <c r="AE262" s="522">
        <f t="shared" ref="AE262:AE325" si="406">Z262-P262</f>
        <v>69328.469999999739</v>
      </c>
      <c r="AF262" s="522">
        <f t="shared" ref="AF262:AF325" si="407">Z262/P262*100-100</f>
        <v>0.83488431701167087</v>
      </c>
      <c r="AG262" s="522">
        <f t="shared" si="337"/>
        <v>5595766.0199999996</v>
      </c>
      <c r="AH262" s="522">
        <f t="shared" ref="AH262:AH325" si="408">AG262-U262</f>
        <v>5595766.0199999996</v>
      </c>
      <c r="AI262" s="522">
        <v>0</v>
      </c>
      <c r="AJ262" s="522">
        <f t="shared" ref="AJ262:AJ325" si="409">AG262-Z262</f>
        <v>-2777523.6800000006</v>
      </c>
      <c r="AK262" s="522">
        <f>AG262/Z262*100-100</f>
        <v>-33.171235912212623</v>
      </c>
      <c r="AL262" s="522">
        <f t="shared" si="392"/>
        <v>5595766.0199999996</v>
      </c>
      <c r="AM262" s="522">
        <f t="shared" si="342"/>
        <v>0</v>
      </c>
      <c r="AN262" s="522">
        <f t="shared" si="342"/>
        <v>5373289.7000000002</v>
      </c>
      <c r="AO262" s="522">
        <f t="shared" ref="AO262:AO325" si="410">AN262-AM262</f>
        <v>5373289.7000000002</v>
      </c>
      <c r="AP262" s="522">
        <v>0</v>
      </c>
      <c r="AQ262" s="578">
        <v>0</v>
      </c>
      <c r="AR262" s="578">
        <v>2997078.79</v>
      </c>
      <c r="AS262" s="578">
        <v>0</v>
      </c>
      <c r="AT262" s="578">
        <v>2376210.91</v>
      </c>
      <c r="AU262" s="578">
        <f t="shared" si="375"/>
        <v>0</v>
      </c>
      <c r="AV262" s="578">
        <f t="shared" si="375"/>
        <v>3000000</v>
      </c>
      <c r="AW262" s="578">
        <f t="shared" ref="AW262:AW325" si="411">AV262-AU262</f>
        <v>3000000</v>
      </c>
      <c r="AX262" s="578">
        <v>0</v>
      </c>
      <c r="AY262" s="578">
        <f t="shared" si="376"/>
        <v>222476.31999999937</v>
      </c>
      <c r="AZ262" s="578">
        <f t="shared" ref="AZ262:AZ325" si="412">AV262-AY262</f>
        <v>2777523.6800000006</v>
      </c>
      <c r="BA262" s="578">
        <v>0</v>
      </c>
      <c r="BB262" s="578">
        <v>0</v>
      </c>
      <c r="BC262" s="576">
        <f>'[67]Гл бух'!AT10</f>
        <v>1500000</v>
      </c>
      <c r="BD262" s="576">
        <f t="shared" si="389"/>
        <v>15078.009999999776</v>
      </c>
      <c r="BE262" s="576">
        <f t="shared" ref="BE262:BE325" si="413">BD262-BB262</f>
        <v>15078.009999999776</v>
      </c>
      <c r="BF262" s="576">
        <f t="shared" ref="BF262:BF325" si="414">BD262-BC262</f>
        <v>-1484921.9900000002</v>
      </c>
      <c r="BG262" s="576">
        <f t="shared" si="398"/>
        <v>0</v>
      </c>
      <c r="BH262" s="578">
        <f t="shared" si="398"/>
        <v>6873289.7000000002</v>
      </c>
      <c r="BI262" s="578">
        <v>5388367.71</v>
      </c>
      <c r="BJ262" s="578">
        <f t="shared" ref="BJ262:BJ325" si="415">BI262-BG262</f>
        <v>5388367.71</v>
      </c>
      <c r="BK262" s="578">
        <f t="shared" ref="BK262:BK325" si="416">BI262-BH262</f>
        <v>-1484921.9900000002</v>
      </c>
      <c r="BL262" s="576">
        <v>0</v>
      </c>
      <c r="BM262" s="578">
        <f>'[67]Гл бух'!AW10</f>
        <v>1500000</v>
      </c>
      <c r="BN262" s="522">
        <f t="shared" si="390"/>
        <v>207398.30999999959</v>
      </c>
      <c r="BO262" s="578">
        <f t="shared" si="339"/>
        <v>207398.30999999959</v>
      </c>
      <c r="BP262" s="578">
        <f t="shared" ref="BP262:BP325" si="417">BN262-BM262</f>
        <v>-1292601.6900000004</v>
      </c>
      <c r="BQ262" s="576">
        <v>0</v>
      </c>
      <c r="BR262" s="578">
        <f>'[67]Гл бух'!BB10</f>
        <v>0</v>
      </c>
      <c r="BS262" s="578">
        <f>'[67]Гл бух'!BC10</f>
        <v>0</v>
      </c>
      <c r="BT262" s="536"/>
      <c r="BU262" s="578"/>
      <c r="BV262" s="578"/>
      <c r="BW262" s="586">
        <v>5595766.0199999996</v>
      </c>
      <c r="BX262" s="629"/>
      <c r="BY262" s="522">
        <v>35558.959999999999</v>
      </c>
      <c r="BZ262" s="522">
        <f>1898.83+479.56</f>
        <v>2378.39</v>
      </c>
      <c r="CA262" s="522">
        <v>5557828.6699999999</v>
      </c>
      <c r="CB262" s="522">
        <f t="shared" si="391"/>
        <v>5595766.0199999996</v>
      </c>
      <c r="CC262" s="522">
        <f t="shared" ref="CC262:CC323" si="418">AL262-CB262</f>
        <v>0</v>
      </c>
      <c r="CD262" s="578"/>
      <c r="CE262" s="578"/>
      <c r="CF262" s="578"/>
      <c r="CG262" s="578"/>
      <c r="CH262" s="578"/>
      <c r="CI262" s="578"/>
      <c r="CJ262" s="578"/>
      <c r="CK262" s="605" t="s">
        <v>1645</v>
      </c>
      <c r="CL262" s="605" t="s">
        <v>1935</v>
      </c>
      <c r="CM262" s="528" t="s">
        <v>1959</v>
      </c>
      <c r="CN262" s="528"/>
      <c r="CO262" s="528"/>
      <c r="CP262" s="529">
        <f t="shared" si="394"/>
        <v>0</v>
      </c>
      <c r="CQ262" s="529">
        <f t="shared" si="395"/>
        <v>0</v>
      </c>
      <c r="CR262" s="529">
        <f t="shared" si="396"/>
        <v>0</v>
      </c>
      <c r="CS262" s="1730" t="s">
        <v>1826</v>
      </c>
      <c r="CT262" s="1731"/>
      <c r="CU262" s="1731"/>
      <c r="CV262" s="1731"/>
      <c r="CW262" s="1732"/>
      <c r="CX262" s="528"/>
      <c r="CY262" s="528"/>
      <c r="CZ262" s="528"/>
      <c r="DA262" s="528"/>
      <c r="DB262" s="630">
        <v>2997078.79</v>
      </c>
      <c r="DC262" s="571" t="e">
        <f>P262-#REF!</f>
        <v>#REF!</v>
      </c>
      <c r="DD262" s="575"/>
      <c r="DE262" s="575"/>
      <c r="DF262" s="522">
        <f t="shared" si="350"/>
        <v>35.558959999999999</v>
      </c>
      <c r="DG262" s="522">
        <f t="shared" si="350"/>
        <v>2.37839</v>
      </c>
      <c r="DH262" s="522">
        <f t="shared" si="350"/>
        <v>5557.8286699999999</v>
      </c>
      <c r="DI262" s="522">
        <f t="shared" si="348"/>
        <v>5595.7660199999991</v>
      </c>
      <c r="DJ262" s="536"/>
      <c r="DK262" s="536"/>
      <c r="DL262" s="536"/>
      <c r="DM262" s="536"/>
      <c r="DN262" s="536"/>
      <c r="DO262" s="536"/>
      <c r="DP262" s="536"/>
      <c r="DQ262" s="536"/>
      <c r="DR262" s="536"/>
      <c r="DS262" s="536"/>
    </row>
    <row r="263" spans="1:123" s="534" customFormat="1" ht="56.4">
      <c r="A263" s="537" t="s">
        <v>1964</v>
      </c>
      <c r="B263" s="538" t="s">
        <v>1965</v>
      </c>
      <c r="C263" s="576"/>
      <c r="D263" s="576"/>
      <c r="E263" s="576">
        <v>15810</v>
      </c>
      <c r="F263" s="576">
        <v>0</v>
      </c>
      <c r="G263" s="577">
        <v>0</v>
      </c>
      <c r="H263" s="577">
        <v>0</v>
      </c>
      <c r="I263" s="578">
        <f t="shared" si="385"/>
        <v>0</v>
      </c>
      <c r="J263" s="578">
        <v>0</v>
      </c>
      <c r="K263" s="578">
        <v>0</v>
      </c>
      <c r="L263" s="578">
        <v>0</v>
      </c>
      <c r="M263" s="578">
        <f t="shared" si="386"/>
        <v>0</v>
      </c>
      <c r="N263" s="578"/>
      <c r="O263" s="522">
        <f t="shared" si="387"/>
        <v>0</v>
      </c>
      <c r="P263" s="522">
        <v>0</v>
      </c>
      <c r="Q263" s="576">
        <f t="shared" si="399"/>
        <v>0</v>
      </c>
      <c r="R263" s="576">
        <v>0</v>
      </c>
      <c r="S263" s="576"/>
      <c r="T263" s="576"/>
      <c r="U263" s="522">
        <f t="shared" si="388"/>
        <v>0</v>
      </c>
      <c r="V263" s="522">
        <f t="shared" si="397"/>
        <v>0</v>
      </c>
      <c r="W263" s="522">
        <v>0</v>
      </c>
      <c r="X263" s="522">
        <f t="shared" si="401"/>
        <v>0</v>
      </c>
      <c r="Y263" s="522">
        <v>0</v>
      </c>
      <c r="Z263" s="524">
        <f t="shared" si="403"/>
        <v>0</v>
      </c>
      <c r="AA263" s="522">
        <f t="shared" si="404"/>
        <v>0</v>
      </c>
      <c r="AB263" s="522">
        <v>0</v>
      </c>
      <c r="AC263" s="522">
        <f t="shared" si="405"/>
        <v>0</v>
      </c>
      <c r="AD263" s="522">
        <v>0</v>
      </c>
      <c r="AE263" s="522">
        <f t="shared" si="406"/>
        <v>0</v>
      </c>
      <c r="AF263" s="522">
        <v>0</v>
      </c>
      <c r="AG263" s="522">
        <f t="shared" ref="AG263:AG325" si="419">AN263+AY263</f>
        <v>0</v>
      </c>
      <c r="AH263" s="522">
        <f t="shared" si="408"/>
        <v>0</v>
      </c>
      <c r="AI263" s="522">
        <v>0</v>
      </c>
      <c r="AJ263" s="522">
        <f t="shared" si="409"/>
        <v>0</v>
      </c>
      <c r="AK263" s="522">
        <v>0</v>
      </c>
      <c r="AL263" s="522">
        <f t="shared" si="392"/>
        <v>0</v>
      </c>
      <c r="AM263" s="522">
        <f t="shared" si="342"/>
        <v>0</v>
      </c>
      <c r="AN263" s="522">
        <f t="shared" si="342"/>
        <v>0</v>
      </c>
      <c r="AO263" s="522">
        <f t="shared" si="410"/>
        <v>0</v>
      </c>
      <c r="AP263" s="522">
        <v>0</v>
      </c>
      <c r="AQ263" s="578">
        <v>0</v>
      </c>
      <c r="AR263" s="578">
        <v>0</v>
      </c>
      <c r="AS263" s="578">
        <v>0</v>
      </c>
      <c r="AT263" s="578">
        <v>0</v>
      </c>
      <c r="AU263" s="578">
        <f t="shared" si="375"/>
        <v>0</v>
      </c>
      <c r="AV263" s="578">
        <f t="shared" si="375"/>
        <v>0</v>
      </c>
      <c r="AW263" s="578">
        <f t="shared" si="411"/>
        <v>0</v>
      </c>
      <c r="AX263" s="578">
        <v>0</v>
      </c>
      <c r="AY263" s="578">
        <f t="shared" si="376"/>
        <v>0</v>
      </c>
      <c r="AZ263" s="578">
        <f t="shared" si="412"/>
        <v>0</v>
      </c>
      <c r="BA263" s="578">
        <v>0</v>
      </c>
      <c r="BB263" s="578">
        <v>0</v>
      </c>
      <c r="BC263" s="576">
        <f>'[67]Гл инж_Тех дир'!AT59</f>
        <v>0</v>
      </c>
      <c r="BD263" s="576">
        <f t="shared" si="389"/>
        <v>0</v>
      </c>
      <c r="BE263" s="576">
        <f t="shared" si="413"/>
        <v>0</v>
      </c>
      <c r="BF263" s="576">
        <f t="shared" si="414"/>
        <v>0</v>
      </c>
      <c r="BG263" s="576">
        <f t="shared" si="398"/>
        <v>0</v>
      </c>
      <c r="BH263" s="578">
        <f t="shared" si="398"/>
        <v>0</v>
      </c>
      <c r="BI263" s="578"/>
      <c r="BJ263" s="578">
        <f t="shared" si="415"/>
        <v>0</v>
      </c>
      <c r="BK263" s="578">
        <f t="shared" si="416"/>
        <v>0</v>
      </c>
      <c r="BL263" s="576">
        <v>0</v>
      </c>
      <c r="BM263" s="578">
        <f>'[67]Гл инж_Тех дир'!AW59</f>
        <v>0</v>
      </c>
      <c r="BN263" s="522">
        <f t="shared" si="390"/>
        <v>0</v>
      </c>
      <c r="BO263" s="578">
        <f t="shared" si="339"/>
        <v>0</v>
      </c>
      <c r="BP263" s="578">
        <f t="shared" si="417"/>
        <v>0</v>
      </c>
      <c r="BQ263" s="576">
        <v>0</v>
      </c>
      <c r="BR263" s="578">
        <f>'[67]Гл инж_Тех дир'!BB59</f>
        <v>0</v>
      </c>
      <c r="BS263" s="578">
        <f>'[67]Гл инж_Тех дир'!BC59</f>
        <v>0</v>
      </c>
      <c r="BT263" s="536"/>
      <c r="BU263" s="578"/>
      <c r="BV263" s="578"/>
      <c r="BW263" s="578"/>
      <c r="BX263" s="574"/>
      <c r="BY263" s="522"/>
      <c r="BZ263" s="522"/>
      <c r="CA263" s="522"/>
      <c r="CB263" s="522">
        <f t="shared" si="391"/>
        <v>0</v>
      </c>
      <c r="CC263" s="522">
        <f t="shared" si="418"/>
        <v>0</v>
      </c>
      <c r="CD263" s="578"/>
      <c r="CE263" s="578"/>
      <c r="CF263" s="578"/>
      <c r="CG263" s="578"/>
      <c r="CH263" s="578"/>
      <c r="CI263" s="578"/>
      <c r="CJ263" s="578"/>
      <c r="CK263" s="542" t="s">
        <v>79</v>
      </c>
      <c r="CL263" s="543" t="s">
        <v>1903</v>
      </c>
      <c r="CM263" s="528" t="s">
        <v>1959</v>
      </c>
      <c r="CN263" s="528"/>
      <c r="CO263" s="528"/>
      <c r="CP263" s="544">
        <f t="shared" si="394"/>
        <v>0</v>
      </c>
      <c r="CQ263" s="544">
        <f t="shared" si="395"/>
        <v>0</v>
      </c>
      <c r="CR263" s="544">
        <f t="shared" si="396"/>
        <v>0</v>
      </c>
      <c r="CS263" s="1709" t="s">
        <v>1826</v>
      </c>
      <c r="CT263" s="1710"/>
      <c r="CU263" s="1710"/>
      <c r="CV263" s="1710"/>
      <c r="CW263" s="1711"/>
      <c r="CX263" s="528"/>
      <c r="CY263" s="528"/>
      <c r="CZ263" s="528"/>
      <c r="DA263" s="528"/>
      <c r="DB263" s="579"/>
      <c r="DC263" s="628" t="e">
        <f>P263-#REF!</f>
        <v>#REF!</v>
      </c>
      <c r="DD263" s="575"/>
      <c r="DE263" s="575"/>
      <c r="DF263" s="522">
        <f t="shared" si="350"/>
        <v>0</v>
      </c>
      <c r="DG263" s="522">
        <f t="shared" si="350"/>
        <v>0</v>
      </c>
      <c r="DH263" s="522">
        <f t="shared" si="350"/>
        <v>0</v>
      </c>
      <c r="DI263" s="522">
        <f t="shared" si="348"/>
        <v>0</v>
      </c>
      <c r="DJ263" s="536"/>
      <c r="DK263" s="536"/>
      <c r="DL263" s="536"/>
      <c r="DM263" s="536"/>
      <c r="DN263" s="536"/>
      <c r="DO263" s="536"/>
      <c r="DP263" s="536"/>
      <c r="DQ263" s="536"/>
      <c r="DR263" s="536"/>
      <c r="DS263" s="536"/>
    </row>
    <row r="264" spans="1:123" s="534" customFormat="1" ht="58.5" customHeight="1">
      <c r="A264" s="537" t="s">
        <v>1374</v>
      </c>
      <c r="B264" s="538" t="s">
        <v>1375</v>
      </c>
      <c r="C264" s="576">
        <v>6302762.8799999999</v>
      </c>
      <c r="D264" s="576"/>
      <c r="E264" s="576">
        <v>3500000</v>
      </c>
      <c r="F264" s="576">
        <v>6336855.1399999997</v>
      </c>
      <c r="G264" s="626">
        <v>0</v>
      </c>
      <c r="H264" s="626">
        <v>0</v>
      </c>
      <c r="I264" s="578">
        <f t="shared" si="385"/>
        <v>4333203.55</v>
      </c>
      <c r="J264" s="578">
        <v>86032.66</v>
      </c>
      <c r="K264" s="578">
        <v>0</v>
      </c>
      <c r="L264" s="578">
        <v>4247170.8899999997</v>
      </c>
      <c r="M264" s="578">
        <f t="shared" si="386"/>
        <v>86032.66</v>
      </c>
      <c r="N264" s="578">
        <v>134032.66</v>
      </c>
      <c r="O264" s="522">
        <f t="shared" si="387"/>
        <v>5141927.26</v>
      </c>
      <c r="P264" s="522">
        <v>5275959.92</v>
      </c>
      <c r="Q264" s="576">
        <f t="shared" si="399"/>
        <v>942756.37000000011</v>
      </c>
      <c r="R264" s="576">
        <f t="shared" si="400"/>
        <v>21.756567839976043</v>
      </c>
      <c r="S264" s="576"/>
      <c r="T264" s="576"/>
      <c r="U264" s="522">
        <f t="shared" si="388"/>
        <v>4554196.93</v>
      </c>
      <c r="V264" s="522">
        <f t="shared" si="397"/>
        <v>4554196.93</v>
      </c>
      <c r="W264" s="522">
        <v>0</v>
      </c>
      <c r="X264" s="522">
        <f t="shared" si="401"/>
        <v>-721762.99000000022</v>
      </c>
      <c r="Y264" s="522">
        <f t="shared" si="402"/>
        <v>-13.680221247776274</v>
      </c>
      <c r="Z264" s="524">
        <f t="shared" si="403"/>
        <v>4538526.93</v>
      </c>
      <c r="AA264" s="522">
        <f t="shared" si="404"/>
        <v>4538526.93</v>
      </c>
      <c r="AB264" s="522">
        <v>0</v>
      </c>
      <c r="AC264" s="522">
        <f t="shared" si="405"/>
        <v>-15670</v>
      </c>
      <c r="AD264" s="522">
        <f t="shared" ref="AD264:AD325" si="420">Z264/U264*100-100</f>
        <v>-0.34407822588383397</v>
      </c>
      <c r="AE264" s="522">
        <f t="shared" si="406"/>
        <v>-737432.99000000022</v>
      </c>
      <c r="AF264" s="522">
        <f t="shared" si="407"/>
        <v>-13.977228811093781</v>
      </c>
      <c r="AG264" s="522">
        <f t="shared" si="419"/>
        <v>2542047.41</v>
      </c>
      <c r="AH264" s="522">
        <f t="shared" si="408"/>
        <v>-2012149.5199999996</v>
      </c>
      <c r="AI264" s="522">
        <f t="shared" ref="AI264:AI325" si="421">AG264/U264*100-100</f>
        <v>-44.182312511461809</v>
      </c>
      <c r="AJ264" s="522">
        <f t="shared" si="409"/>
        <v>-1996479.5199999996</v>
      </c>
      <c r="AK264" s="522">
        <f t="shared" ref="AK264:AK269" si="422">AG264/Z264*100-100</f>
        <v>-43.989592896389397</v>
      </c>
      <c r="AL264" s="522">
        <f t="shared" si="392"/>
        <v>2542047.41</v>
      </c>
      <c r="AM264" s="522">
        <f t="shared" si="342"/>
        <v>37000</v>
      </c>
      <c r="AN264" s="522">
        <f t="shared" si="342"/>
        <v>21330</v>
      </c>
      <c r="AO264" s="522">
        <f t="shared" si="410"/>
        <v>-15670</v>
      </c>
      <c r="AP264" s="522">
        <f t="shared" ref="AP264:AP325" si="423">AN264/AM264*100-100</f>
        <v>-42.351351351351354</v>
      </c>
      <c r="AQ264" s="578">
        <v>16000</v>
      </c>
      <c r="AR264" s="578">
        <v>7180</v>
      </c>
      <c r="AS264" s="578">
        <v>21000</v>
      </c>
      <c r="AT264" s="578">
        <v>14150</v>
      </c>
      <c r="AU264" s="578">
        <f t="shared" si="375"/>
        <v>4517196.93</v>
      </c>
      <c r="AV264" s="578">
        <f t="shared" si="375"/>
        <v>4517196.93</v>
      </c>
      <c r="AW264" s="578">
        <f t="shared" si="411"/>
        <v>0</v>
      </c>
      <c r="AX264" s="578">
        <f t="shared" ref="AX264:AX325" si="424">AV264/AU264*100-100</f>
        <v>0</v>
      </c>
      <c r="AY264" s="578">
        <f t="shared" si="376"/>
        <v>2520717.41</v>
      </c>
      <c r="AZ264" s="578">
        <f t="shared" si="412"/>
        <v>1996479.5199999996</v>
      </c>
      <c r="BA264" s="578">
        <f t="shared" ref="BA264:BA325" si="425">AV264/AY264*100-100</f>
        <v>79.202829800743103</v>
      </c>
      <c r="BB264" s="578">
        <v>0</v>
      </c>
      <c r="BC264" s="576">
        <f>'[67]Дир_ имущ'!AT59</f>
        <v>0</v>
      </c>
      <c r="BD264" s="576">
        <f t="shared" si="389"/>
        <v>0</v>
      </c>
      <c r="BE264" s="576">
        <f t="shared" si="413"/>
        <v>0</v>
      </c>
      <c r="BF264" s="576">
        <f t="shared" si="414"/>
        <v>0</v>
      </c>
      <c r="BG264" s="576">
        <f t="shared" si="398"/>
        <v>37000</v>
      </c>
      <c r="BH264" s="578">
        <f t="shared" si="398"/>
        <v>21330</v>
      </c>
      <c r="BI264" s="578">
        <v>21330</v>
      </c>
      <c r="BJ264" s="578">
        <f t="shared" si="415"/>
        <v>-15670</v>
      </c>
      <c r="BK264" s="578">
        <f t="shared" si="416"/>
        <v>0</v>
      </c>
      <c r="BL264" s="576">
        <v>4517196.93</v>
      </c>
      <c r="BM264" s="578">
        <f>'[67]Дир_ имущ'!AW59</f>
        <v>4517196.93</v>
      </c>
      <c r="BN264" s="522">
        <f t="shared" si="390"/>
        <v>2520717.41</v>
      </c>
      <c r="BO264" s="578">
        <f t="shared" ref="BO264:BO325" si="426">BN264-BL264</f>
        <v>-1996479.5199999996</v>
      </c>
      <c r="BP264" s="578">
        <f t="shared" si="417"/>
        <v>-1996479.5199999996</v>
      </c>
      <c r="BQ264" s="576">
        <v>4517196.93</v>
      </c>
      <c r="BR264" s="578">
        <f>'[67]Дир_ имущ'!BB59</f>
        <v>0</v>
      </c>
      <c r="BS264" s="578">
        <f>'[67]Дир_ имущ'!BC59</f>
        <v>0</v>
      </c>
      <c r="BT264" s="536"/>
      <c r="BU264" s="578"/>
      <c r="BV264" s="578"/>
      <c r="BW264" s="586">
        <v>2542047.41</v>
      </c>
      <c r="BX264" s="574"/>
      <c r="BY264" s="522">
        <v>2016914.08</v>
      </c>
      <c r="BZ264" s="522">
        <f>93624.91+339019.88</f>
        <v>432644.79000000004</v>
      </c>
      <c r="CA264" s="522">
        <f>92488.54</f>
        <v>92488.54</v>
      </c>
      <c r="CB264" s="522">
        <f t="shared" si="391"/>
        <v>2542047.41</v>
      </c>
      <c r="CC264" s="522">
        <f t="shared" si="418"/>
        <v>0</v>
      </c>
      <c r="CD264" s="578"/>
      <c r="CE264" s="578"/>
      <c r="CF264" s="578"/>
      <c r="CG264" s="578"/>
      <c r="CH264" s="578"/>
      <c r="CI264" s="578"/>
      <c r="CJ264" s="578"/>
      <c r="CK264" s="543" t="s">
        <v>1815</v>
      </c>
      <c r="CL264" s="543" t="s">
        <v>1897</v>
      </c>
      <c r="CM264" s="528" t="s">
        <v>1959</v>
      </c>
      <c r="CN264" s="528"/>
      <c r="CO264" s="528"/>
      <c r="CP264" s="544">
        <f t="shared" si="394"/>
        <v>4201795.222215455</v>
      </c>
      <c r="CQ264" s="544">
        <f t="shared" si="395"/>
        <v>308635.5670702334</v>
      </c>
      <c r="CR264" s="544">
        <f t="shared" si="396"/>
        <v>43766.140714311645</v>
      </c>
      <c r="CS264" s="1709" t="s">
        <v>1826</v>
      </c>
      <c r="CT264" s="1710"/>
      <c r="CU264" s="1710"/>
      <c r="CV264" s="1710"/>
      <c r="CW264" s="1711"/>
      <c r="CX264" s="528"/>
      <c r="CY264" s="528"/>
      <c r="CZ264" s="528"/>
      <c r="DA264" s="528"/>
      <c r="DB264" s="579">
        <v>7180</v>
      </c>
      <c r="DC264" s="628" t="e">
        <f>P264-#REF!</f>
        <v>#REF!</v>
      </c>
      <c r="DD264" s="575"/>
      <c r="DE264" s="575"/>
      <c r="DF264" s="522">
        <f t="shared" si="350"/>
        <v>2016.91408</v>
      </c>
      <c r="DG264" s="522">
        <f t="shared" si="350"/>
        <v>432.64479000000006</v>
      </c>
      <c r="DH264" s="522">
        <f t="shared" si="350"/>
        <v>92.48854</v>
      </c>
      <c r="DI264" s="522">
        <f t="shared" si="348"/>
        <v>2542.0474100000001</v>
      </c>
      <c r="DJ264" s="536"/>
      <c r="DK264" s="536"/>
      <c r="DL264" s="536"/>
      <c r="DM264" s="536"/>
      <c r="DN264" s="536"/>
      <c r="DO264" s="536"/>
      <c r="DP264" s="536"/>
      <c r="DQ264" s="536"/>
      <c r="DR264" s="536"/>
      <c r="DS264" s="536"/>
    </row>
    <row r="265" spans="1:123" s="534" customFormat="1" ht="66" customHeight="1">
      <c r="A265" s="537" t="s">
        <v>1379</v>
      </c>
      <c r="B265" s="538" t="s">
        <v>1380</v>
      </c>
      <c r="C265" s="576"/>
      <c r="D265" s="576"/>
      <c r="E265" s="576"/>
      <c r="F265" s="576"/>
      <c r="G265" s="626">
        <v>0</v>
      </c>
      <c r="H265" s="626">
        <v>0</v>
      </c>
      <c r="I265" s="578">
        <f t="shared" si="385"/>
        <v>1180278.18</v>
      </c>
      <c r="J265" s="578">
        <v>803521.1</v>
      </c>
      <c r="K265" s="578">
        <v>176757.08</v>
      </c>
      <c r="L265" s="578">
        <v>200000</v>
      </c>
      <c r="M265" s="578">
        <f t="shared" si="386"/>
        <v>980278.17999999993</v>
      </c>
      <c r="N265" s="578">
        <v>906845.35</v>
      </c>
      <c r="O265" s="522">
        <f t="shared" si="387"/>
        <v>657510.49000000011</v>
      </c>
      <c r="P265" s="522">
        <v>1564355.84</v>
      </c>
      <c r="Q265" s="576">
        <f t="shared" si="399"/>
        <v>384077.66000000015</v>
      </c>
      <c r="R265" s="576">
        <f t="shared" si="400"/>
        <v>32.541282767762453</v>
      </c>
      <c r="S265" s="576"/>
      <c r="T265" s="576"/>
      <c r="U265" s="522">
        <f t="shared" si="388"/>
        <v>1162953.6800000002</v>
      </c>
      <c r="V265" s="522">
        <f t="shared" si="397"/>
        <v>1162953.6800000002</v>
      </c>
      <c r="W265" s="522">
        <v>0</v>
      </c>
      <c r="X265" s="522">
        <f t="shared" si="401"/>
        <v>-401402.15999999992</v>
      </c>
      <c r="Y265" s="522">
        <f t="shared" si="402"/>
        <v>-25.659261770007518</v>
      </c>
      <c r="Z265" s="524">
        <f t="shared" si="403"/>
        <v>1343318.29</v>
      </c>
      <c r="AA265" s="522">
        <f t="shared" si="404"/>
        <v>1343318.29</v>
      </c>
      <c r="AB265" s="522">
        <v>0</v>
      </c>
      <c r="AC265" s="522">
        <f t="shared" si="405"/>
        <v>180364.60999999987</v>
      </c>
      <c r="AD265" s="522">
        <f t="shared" si="420"/>
        <v>15.5091826185201</v>
      </c>
      <c r="AE265" s="522">
        <f t="shared" si="406"/>
        <v>-221037.55000000005</v>
      </c>
      <c r="AF265" s="522">
        <f t="shared" si="407"/>
        <v>-14.129620917962001</v>
      </c>
      <c r="AG265" s="522">
        <f t="shared" si="419"/>
        <v>1341539.24</v>
      </c>
      <c r="AH265" s="522">
        <f t="shared" si="408"/>
        <v>178585.55999999982</v>
      </c>
      <c r="AI265" s="522">
        <f t="shared" si="421"/>
        <v>15.356205760490809</v>
      </c>
      <c r="AJ265" s="522">
        <f t="shared" si="409"/>
        <v>-1779.0500000000466</v>
      </c>
      <c r="AK265" s="522">
        <f t="shared" si="422"/>
        <v>-0.13243696696781626</v>
      </c>
      <c r="AL265" s="522">
        <f t="shared" si="392"/>
        <v>1341539.24</v>
      </c>
      <c r="AM265" s="522">
        <f t="shared" si="342"/>
        <v>490000</v>
      </c>
      <c r="AN265" s="522">
        <f t="shared" si="342"/>
        <v>670364.61</v>
      </c>
      <c r="AO265" s="522">
        <f t="shared" si="410"/>
        <v>180364.61</v>
      </c>
      <c r="AP265" s="522">
        <f t="shared" si="423"/>
        <v>36.809104081632654</v>
      </c>
      <c r="AQ265" s="578">
        <v>380000</v>
      </c>
      <c r="AR265" s="578">
        <v>498255.43</v>
      </c>
      <c r="AS265" s="578">
        <v>110000</v>
      </c>
      <c r="AT265" s="578">
        <v>172109.18</v>
      </c>
      <c r="AU265" s="578">
        <f t="shared" si="375"/>
        <v>672953.68</v>
      </c>
      <c r="AV265" s="578">
        <f t="shared" si="375"/>
        <v>672953.68</v>
      </c>
      <c r="AW265" s="578">
        <f t="shared" si="411"/>
        <v>0</v>
      </c>
      <c r="AX265" s="578">
        <f t="shared" si="424"/>
        <v>0</v>
      </c>
      <c r="AY265" s="578">
        <f t="shared" si="376"/>
        <v>671174.63</v>
      </c>
      <c r="AZ265" s="578">
        <f t="shared" si="412"/>
        <v>1779.0500000000466</v>
      </c>
      <c r="BA265" s="578">
        <f t="shared" si="425"/>
        <v>0.26506514407435589</v>
      </c>
      <c r="BB265" s="578">
        <v>90000</v>
      </c>
      <c r="BC265" s="576">
        <f>'[67]Дир_ имущ'!AT60</f>
        <v>90000</v>
      </c>
      <c r="BD265" s="576">
        <f t="shared" si="389"/>
        <v>220298.02000000002</v>
      </c>
      <c r="BE265" s="576">
        <f t="shared" si="413"/>
        <v>130298.02000000002</v>
      </c>
      <c r="BF265" s="576">
        <f t="shared" si="414"/>
        <v>130298.02000000002</v>
      </c>
      <c r="BG265" s="576">
        <f t="shared" si="398"/>
        <v>580000</v>
      </c>
      <c r="BH265" s="578">
        <f t="shared" si="398"/>
        <v>760364.61</v>
      </c>
      <c r="BI265" s="578">
        <v>890662.63</v>
      </c>
      <c r="BJ265" s="578">
        <f t="shared" si="415"/>
        <v>310662.63</v>
      </c>
      <c r="BK265" s="578">
        <f t="shared" si="416"/>
        <v>130298.02000000002</v>
      </c>
      <c r="BL265" s="576">
        <v>582953.68000000005</v>
      </c>
      <c r="BM265" s="578">
        <f>'[67]Дир_ имущ'!AW60</f>
        <v>582953.68000000005</v>
      </c>
      <c r="BN265" s="522">
        <f t="shared" si="390"/>
        <v>450876.61</v>
      </c>
      <c r="BO265" s="578">
        <f t="shared" si="426"/>
        <v>-132077.07000000007</v>
      </c>
      <c r="BP265" s="578">
        <f t="shared" si="417"/>
        <v>-132077.07000000007</v>
      </c>
      <c r="BQ265" s="576">
        <v>582953.68000000005</v>
      </c>
      <c r="BR265" s="578">
        <f>'[67]Дир_ имущ'!BB60</f>
        <v>0</v>
      </c>
      <c r="BS265" s="578">
        <f>'[67]Дир_ имущ'!BC60</f>
        <v>0</v>
      </c>
      <c r="BT265" s="536"/>
      <c r="BU265" s="578"/>
      <c r="BV265" s="578"/>
      <c r="BW265" s="586">
        <v>1341539.24</v>
      </c>
      <c r="BX265" s="574"/>
      <c r="BY265" s="522">
        <v>1215160.57</v>
      </c>
      <c r="BZ265" s="522">
        <f>81145.45+30627.41</f>
        <v>111772.86</v>
      </c>
      <c r="CA265" s="522">
        <v>14605.81</v>
      </c>
      <c r="CB265" s="522">
        <f t="shared" si="391"/>
        <v>1341539.2400000002</v>
      </c>
      <c r="CC265" s="522">
        <f t="shared" si="418"/>
        <v>0</v>
      </c>
      <c r="CD265" s="578"/>
      <c r="CE265" s="578"/>
      <c r="CF265" s="578"/>
      <c r="CG265" s="578"/>
      <c r="CH265" s="578"/>
      <c r="CI265" s="578"/>
      <c r="CJ265" s="578"/>
      <c r="CK265" s="543" t="s">
        <v>1815</v>
      </c>
      <c r="CL265" s="543" t="s">
        <v>1897</v>
      </c>
      <c r="CM265" s="528" t="s">
        <v>1959</v>
      </c>
      <c r="CN265" s="528"/>
      <c r="CO265" s="528"/>
      <c r="CP265" s="544">
        <f t="shared" si="394"/>
        <v>1072964.8478951221</v>
      </c>
      <c r="CQ265" s="544">
        <f t="shared" si="395"/>
        <v>78812.768534191346</v>
      </c>
      <c r="CR265" s="544">
        <f t="shared" si="396"/>
        <v>11176.06357068678</v>
      </c>
      <c r="CS265" s="1709" t="s">
        <v>1826</v>
      </c>
      <c r="CT265" s="1710"/>
      <c r="CU265" s="1710"/>
      <c r="CV265" s="1710"/>
      <c r="CW265" s="1711"/>
      <c r="CX265" s="528"/>
      <c r="CY265" s="528"/>
      <c r="CZ265" s="528"/>
      <c r="DA265" s="528"/>
      <c r="DB265" s="579">
        <v>498255.43</v>
      </c>
      <c r="DC265" s="628" t="e">
        <f>P265-#REF!</f>
        <v>#REF!</v>
      </c>
      <c r="DD265" s="575"/>
      <c r="DE265" s="575"/>
      <c r="DF265" s="522">
        <f t="shared" si="350"/>
        <v>1215.16057</v>
      </c>
      <c r="DG265" s="522">
        <f t="shared" si="350"/>
        <v>111.77285999999999</v>
      </c>
      <c r="DH265" s="522">
        <f t="shared" si="350"/>
        <v>14.60581</v>
      </c>
      <c r="DI265" s="522">
        <f t="shared" si="348"/>
        <v>1341.5392400000003</v>
      </c>
      <c r="DJ265" s="536"/>
      <c r="DK265" s="536"/>
      <c r="DL265" s="536"/>
      <c r="DM265" s="536"/>
      <c r="DN265" s="536"/>
      <c r="DO265" s="536"/>
      <c r="DP265" s="536"/>
      <c r="DQ265" s="536"/>
      <c r="DR265" s="536"/>
      <c r="DS265" s="536"/>
    </row>
    <row r="266" spans="1:123" s="534" customFormat="1" ht="63" customHeight="1">
      <c r="A266" s="537" t="s">
        <v>1383</v>
      </c>
      <c r="B266" s="538" t="s">
        <v>1384</v>
      </c>
      <c r="C266" s="576">
        <v>463340.46</v>
      </c>
      <c r="D266" s="576"/>
      <c r="E266" s="576">
        <v>400000</v>
      </c>
      <c r="F266" s="576">
        <v>946900</v>
      </c>
      <c r="G266" s="577">
        <v>0</v>
      </c>
      <c r="H266" s="577">
        <v>0</v>
      </c>
      <c r="I266" s="578">
        <f t="shared" si="385"/>
        <v>964305</v>
      </c>
      <c r="J266" s="578">
        <v>0</v>
      </c>
      <c r="K266" s="578">
        <v>0</v>
      </c>
      <c r="L266" s="578">
        <v>964305</v>
      </c>
      <c r="M266" s="578">
        <f t="shared" si="386"/>
        <v>0</v>
      </c>
      <c r="N266" s="578"/>
      <c r="O266" s="522">
        <f t="shared" si="387"/>
        <v>957344.92</v>
      </c>
      <c r="P266" s="522">
        <v>957344.92</v>
      </c>
      <c r="Q266" s="576">
        <f t="shared" si="399"/>
        <v>-6960.0799999999581</v>
      </c>
      <c r="R266" s="576">
        <f t="shared" si="400"/>
        <v>-0.72177163864130023</v>
      </c>
      <c r="S266" s="576"/>
      <c r="T266" s="576"/>
      <c r="U266" s="522">
        <f t="shared" si="388"/>
        <v>1013484.5549999999</v>
      </c>
      <c r="V266" s="522">
        <f t="shared" si="397"/>
        <v>1013484.5549999999</v>
      </c>
      <c r="W266" s="522">
        <v>0</v>
      </c>
      <c r="X266" s="522">
        <f t="shared" si="401"/>
        <v>56139.634999999893</v>
      </c>
      <c r="Y266" s="522">
        <f t="shared" si="402"/>
        <v>5.8640970278507325</v>
      </c>
      <c r="Z266" s="524">
        <f t="shared" si="403"/>
        <v>1013484.56</v>
      </c>
      <c r="AA266" s="522">
        <f t="shared" si="404"/>
        <v>1013484.56</v>
      </c>
      <c r="AB266" s="522">
        <v>0</v>
      </c>
      <c r="AC266" s="522">
        <f t="shared" si="405"/>
        <v>5.0000001210719347E-3</v>
      </c>
      <c r="AD266" s="522">
        <f t="shared" si="420"/>
        <v>4.9334745710893912E-7</v>
      </c>
      <c r="AE266" s="522">
        <f t="shared" si="406"/>
        <v>56139.640000000014</v>
      </c>
      <c r="AF266" s="522">
        <f t="shared" si="407"/>
        <v>5.864097550128534</v>
      </c>
      <c r="AG266" s="522">
        <f t="shared" si="419"/>
        <v>1016400</v>
      </c>
      <c r="AH266" s="522">
        <f t="shared" si="408"/>
        <v>2915.4450000000652</v>
      </c>
      <c r="AI266" s="522">
        <f t="shared" si="421"/>
        <v>0.28766545929256893</v>
      </c>
      <c r="AJ266" s="522">
        <f t="shared" si="409"/>
        <v>2915.4399999999441</v>
      </c>
      <c r="AK266" s="522">
        <f t="shared" si="422"/>
        <v>0.28766496452594481</v>
      </c>
      <c r="AL266" s="522">
        <f t="shared" si="392"/>
        <v>1016400</v>
      </c>
      <c r="AM266" s="522">
        <f t="shared" si="342"/>
        <v>0</v>
      </c>
      <c r="AN266" s="522">
        <f t="shared" si="342"/>
        <v>0</v>
      </c>
      <c r="AO266" s="522">
        <f t="shared" si="410"/>
        <v>0</v>
      </c>
      <c r="AP266" s="522">
        <v>0</v>
      </c>
      <c r="AQ266" s="578">
        <v>0</v>
      </c>
      <c r="AR266" s="578">
        <v>0</v>
      </c>
      <c r="AS266" s="578">
        <v>0</v>
      </c>
      <c r="AT266" s="578">
        <v>0</v>
      </c>
      <c r="AU266" s="578">
        <f t="shared" si="375"/>
        <v>1013484.5549999999</v>
      </c>
      <c r="AV266" s="578">
        <f t="shared" si="375"/>
        <v>1013484.56</v>
      </c>
      <c r="AW266" s="578">
        <f t="shared" si="411"/>
        <v>5.0000001210719347E-3</v>
      </c>
      <c r="AX266" s="578">
        <f t="shared" si="424"/>
        <v>4.9334745710893912E-7</v>
      </c>
      <c r="AY266" s="578">
        <f t="shared" si="376"/>
        <v>1016400</v>
      </c>
      <c r="AZ266" s="578">
        <f t="shared" si="412"/>
        <v>-2915.4399999999441</v>
      </c>
      <c r="BA266" s="578">
        <f t="shared" si="425"/>
        <v>-0.28683982683982379</v>
      </c>
      <c r="BB266" s="578">
        <v>0</v>
      </c>
      <c r="BC266" s="576">
        <f>'[67]Дир_по корп'!AT54</f>
        <v>0</v>
      </c>
      <c r="BD266" s="576">
        <f t="shared" si="389"/>
        <v>0</v>
      </c>
      <c r="BE266" s="576">
        <f t="shared" si="413"/>
        <v>0</v>
      </c>
      <c r="BF266" s="576">
        <f t="shared" si="414"/>
        <v>0</v>
      </c>
      <c r="BG266" s="576">
        <f t="shared" si="398"/>
        <v>0</v>
      </c>
      <c r="BH266" s="578">
        <f t="shared" si="398"/>
        <v>0</v>
      </c>
      <c r="BI266" s="578"/>
      <c r="BJ266" s="578">
        <f t="shared" si="415"/>
        <v>0</v>
      </c>
      <c r="BK266" s="578">
        <f t="shared" si="416"/>
        <v>0</v>
      </c>
      <c r="BL266" s="576">
        <v>1013484.5549999999</v>
      </c>
      <c r="BM266" s="578">
        <f>'[67]Дир_по корп'!AW54</f>
        <v>1013484.56</v>
      </c>
      <c r="BN266" s="522">
        <f t="shared" si="390"/>
        <v>1016400</v>
      </c>
      <c r="BO266" s="578">
        <f t="shared" si="426"/>
        <v>2915.4450000000652</v>
      </c>
      <c r="BP266" s="578">
        <f t="shared" si="417"/>
        <v>2915.4399999999441</v>
      </c>
      <c r="BQ266" s="576">
        <v>1013484.5549999999</v>
      </c>
      <c r="BR266" s="578">
        <f>'[67]Дир_по корп'!BB54</f>
        <v>0</v>
      </c>
      <c r="BS266" s="578">
        <f>'[67]Дир_по корп'!BC54</f>
        <v>0</v>
      </c>
      <c r="BT266" s="536"/>
      <c r="BU266" s="578"/>
      <c r="BV266" s="578"/>
      <c r="BW266" s="586">
        <v>1016400</v>
      </c>
      <c r="BX266" s="574"/>
      <c r="BY266" s="522">
        <v>802298.07</v>
      </c>
      <c r="BZ266" s="522">
        <f>43670.86+159318.64</f>
        <v>202989.5</v>
      </c>
      <c r="CA266" s="522">
        <v>11112.43</v>
      </c>
      <c r="CB266" s="522">
        <f t="shared" si="391"/>
        <v>1016400</v>
      </c>
      <c r="CC266" s="522">
        <f t="shared" si="418"/>
        <v>0</v>
      </c>
      <c r="CD266" s="578"/>
      <c r="CE266" s="578"/>
      <c r="CF266" s="578"/>
      <c r="CG266" s="578"/>
      <c r="CH266" s="578"/>
      <c r="CI266" s="578"/>
      <c r="CJ266" s="578"/>
      <c r="CK266" s="543" t="s">
        <v>80</v>
      </c>
      <c r="CL266" s="543" t="s">
        <v>1897</v>
      </c>
      <c r="CM266" s="528" t="s">
        <v>1959</v>
      </c>
      <c r="CN266" s="528"/>
      <c r="CO266" s="528"/>
      <c r="CP266" s="544">
        <f t="shared" si="394"/>
        <v>935061.57648482639</v>
      </c>
      <c r="CQ266" s="544">
        <f t="shared" si="395"/>
        <v>68683.323351444997</v>
      </c>
      <c r="CR266" s="544">
        <f t="shared" si="396"/>
        <v>9739.6551637286175</v>
      </c>
      <c r="CS266" s="1709" t="s">
        <v>1826</v>
      </c>
      <c r="CT266" s="1710"/>
      <c r="CU266" s="1710"/>
      <c r="CV266" s="1710"/>
      <c r="CW266" s="1711"/>
      <c r="CX266" s="528"/>
      <c r="CY266" s="528"/>
      <c r="CZ266" s="528"/>
      <c r="DA266" s="528"/>
      <c r="DB266" s="579"/>
      <c r="DC266" s="628" t="e">
        <f>P266-#REF!</f>
        <v>#REF!</v>
      </c>
      <c r="DD266" s="575"/>
      <c r="DE266" s="575"/>
      <c r="DF266" s="522">
        <f t="shared" si="350"/>
        <v>802.29806999999994</v>
      </c>
      <c r="DG266" s="522">
        <f t="shared" si="350"/>
        <v>202.98949999999999</v>
      </c>
      <c r="DH266" s="522">
        <f t="shared" si="350"/>
        <v>11.11243</v>
      </c>
      <c r="DI266" s="522">
        <f t="shared" si="348"/>
        <v>1016.4</v>
      </c>
      <c r="DJ266" s="536"/>
      <c r="DK266" s="536"/>
      <c r="DL266" s="536"/>
      <c r="DM266" s="536"/>
      <c r="DN266" s="536"/>
      <c r="DO266" s="536"/>
      <c r="DP266" s="536"/>
      <c r="DQ266" s="536"/>
      <c r="DR266" s="536"/>
      <c r="DS266" s="536"/>
    </row>
    <row r="267" spans="1:123" s="534" customFormat="1" ht="84.6">
      <c r="A267" s="537" t="s">
        <v>1387</v>
      </c>
      <c r="B267" s="538" t="s">
        <v>1388</v>
      </c>
      <c r="C267" s="576">
        <v>1751498.73</v>
      </c>
      <c r="D267" s="576"/>
      <c r="E267" s="649">
        <v>1155000</v>
      </c>
      <c r="F267" s="649">
        <v>3370360.43</v>
      </c>
      <c r="G267" s="577">
        <v>0</v>
      </c>
      <c r="H267" s="577">
        <v>0</v>
      </c>
      <c r="I267" s="578">
        <f t="shared" si="385"/>
        <v>3484280.2</v>
      </c>
      <c r="J267" s="578">
        <v>2362519.54</v>
      </c>
      <c r="K267" s="578">
        <v>556889.32999999996</v>
      </c>
      <c r="L267" s="578">
        <v>564871.32999999996</v>
      </c>
      <c r="M267" s="578">
        <f t="shared" si="386"/>
        <v>2919408.87</v>
      </c>
      <c r="N267" s="578">
        <v>3220943.32</v>
      </c>
      <c r="O267" s="522">
        <f t="shared" si="387"/>
        <v>387166.5700000003</v>
      </c>
      <c r="P267" s="522">
        <v>3608109.89</v>
      </c>
      <c r="Q267" s="576">
        <f t="shared" si="399"/>
        <v>123829.68999999994</v>
      </c>
      <c r="R267" s="576">
        <f t="shared" si="400"/>
        <v>3.5539532670191107</v>
      </c>
      <c r="S267" s="576"/>
      <c r="T267" s="576"/>
      <c r="U267" s="522">
        <f t="shared" si="388"/>
        <v>4513615.24</v>
      </c>
      <c r="V267" s="522">
        <f t="shared" si="397"/>
        <v>4513615.24</v>
      </c>
      <c r="W267" s="522">
        <v>0</v>
      </c>
      <c r="X267" s="522">
        <f t="shared" si="401"/>
        <v>905505.35000000009</v>
      </c>
      <c r="Y267" s="522">
        <f t="shared" si="402"/>
        <v>25.096390564756319</v>
      </c>
      <c r="Z267" s="524">
        <f t="shared" si="403"/>
        <v>5349713.0600000005</v>
      </c>
      <c r="AA267" s="522">
        <f t="shared" si="404"/>
        <v>5349713.0600000005</v>
      </c>
      <c r="AB267" s="522">
        <v>0</v>
      </c>
      <c r="AC267" s="522">
        <f t="shared" si="405"/>
        <v>836097.8200000003</v>
      </c>
      <c r="AD267" s="522">
        <f t="shared" si="420"/>
        <v>18.523905462531204</v>
      </c>
      <c r="AE267" s="522">
        <f t="shared" si="406"/>
        <v>1741603.1700000004</v>
      </c>
      <c r="AF267" s="522">
        <f t="shared" si="407"/>
        <v>48.269127690010578</v>
      </c>
      <c r="AG267" s="522">
        <f t="shared" si="419"/>
        <v>5956767.7699999996</v>
      </c>
      <c r="AH267" s="522">
        <f t="shared" si="408"/>
        <v>1443152.5299999993</v>
      </c>
      <c r="AI267" s="522">
        <f t="shared" si="421"/>
        <v>31.973317468681699</v>
      </c>
      <c r="AJ267" s="522">
        <f t="shared" si="409"/>
        <v>607054.70999999903</v>
      </c>
      <c r="AK267" s="522">
        <f t="shared" si="422"/>
        <v>11.347425613141198</v>
      </c>
      <c r="AL267" s="522">
        <f t="shared" si="392"/>
        <v>5956767.7699999996</v>
      </c>
      <c r="AM267" s="522">
        <f t="shared" si="342"/>
        <v>2349388.7199999997</v>
      </c>
      <c r="AN267" s="522">
        <f t="shared" si="342"/>
        <v>2525886.54</v>
      </c>
      <c r="AO267" s="522">
        <f t="shared" si="410"/>
        <v>176497.8200000003</v>
      </c>
      <c r="AP267" s="522">
        <f t="shared" si="423"/>
        <v>7.512499676937253</v>
      </c>
      <c r="AQ267" s="578">
        <v>1258746.71</v>
      </c>
      <c r="AR267" s="578">
        <v>1484949.64</v>
      </c>
      <c r="AS267" s="578">
        <v>1090642.01</v>
      </c>
      <c r="AT267" s="578">
        <v>1040936.9000000001</v>
      </c>
      <c r="AU267" s="578">
        <f t="shared" si="375"/>
        <v>2164226.52</v>
      </c>
      <c r="AV267" s="578">
        <f t="shared" si="375"/>
        <v>2823826.52</v>
      </c>
      <c r="AW267" s="578">
        <f t="shared" si="411"/>
        <v>659600</v>
      </c>
      <c r="AX267" s="578">
        <f t="shared" si="424"/>
        <v>30.477401228777126</v>
      </c>
      <c r="AY267" s="578">
        <f t="shared" si="376"/>
        <v>3430881.2299999995</v>
      </c>
      <c r="AZ267" s="578">
        <f t="shared" si="412"/>
        <v>-607054.7099999995</v>
      </c>
      <c r="BA267" s="578">
        <f t="shared" si="425"/>
        <v>-17.693842173603883</v>
      </c>
      <c r="BB267" s="578">
        <v>1097897.21</v>
      </c>
      <c r="BC267" s="576">
        <f>'[67]Дир_по корп'!AT32</f>
        <v>1597897.21</v>
      </c>
      <c r="BD267" s="576">
        <f t="shared" si="389"/>
        <v>950519.75999999978</v>
      </c>
      <c r="BE267" s="576">
        <f t="shared" si="413"/>
        <v>-147377.45000000019</v>
      </c>
      <c r="BF267" s="576">
        <f t="shared" si="414"/>
        <v>-647377.45000000019</v>
      </c>
      <c r="BG267" s="576">
        <f t="shared" si="398"/>
        <v>3447285.9299999997</v>
      </c>
      <c r="BH267" s="578">
        <f t="shared" si="398"/>
        <v>4123783.75</v>
      </c>
      <c r="BI267" s="578">
        <v>3476406.3</v>
      </c>
      <c r="BJ267" s="578">
        <f t="shared" si="415"/>
        <v>29120.370000000112</v>
      </c>
      <c r="BK267" s="578">
        <f t="shared" si="416"/>
        <v>-647377.45000000019</v>
      </c>
      <c r="BL267" s="576">
        <v>1066329.31</v>
      </c>
      <c r="BM267" s="578">
        <f>'[67]Дир_по корп'!AW32</f>
        <v>1225929.31</v>
      </c>
      <c r="BN267" s="522">
        <f t="shared" si="390"/>
        <v>2480361.4699999997</v>
      </c>
      <c r="BO267" s="578">
        <f t="shared" si="426"/>
        <v>1414032.1599999997</v>
      </c>
      <c r="BP267" s="578">
        <f t="shared" si="417"/>
        <v>1254432.1599999997</v>
      </c>
      <c r="BQ267" s="576">
        <v>1066329.31</v>
      </c>
      <c r="BR267" s="578">
        <f>'[67]Дир_по корп'!BB32</f>
        <v>0</v>
      </c>
      <c r="BS267" s="578">
        <f>'[67]Дир_по корп'!BC32</f>
        <v>0</v>
      </c>
      <c r="BT267" s="536"/>
      <c r="BU267" s="578"/>
      <c r="BV267" s="578"/>
      <c r="BW267" s="586">
        <v>5956767.7699999996</v>
      </c>
      <c r="BX267" s="574"/>
      <c r="BY267" s="522">
        <v>2887389.06</v>
      </c>
      <c r="BZ267" s="522">
        <f>57054.23+129804.02</f>
        <v>186858.25</v>
      </c>
      <c r="CA267" s="522">
        <v>2882520.46</v>
      </c>
      <c r="CB267" s="522">
        <f t="shared" si="391"/>
        <v>5956767.7699999996</v>
      </c>
      <c r="CC267" s="522">
        <f t="shared" si="418"/>
        <v>0</v>
      </c>
      <c r="CD267" s="578"/>
      <c r="CE267" s="578"/>
      <c r="CF267" s="578"/>
      <c r="CG267" s="578"/>
      <c r="CH267" s="578"/>
      <c r="CI267" s="578"/>
      <c r="CJ267" s="578"/>
      <c r="CK267" s="543" t="s">
        <v>80</v>
      </c>
      <c r="CL267" s="543" t="s">
        <v>1936</v>
      </c>
      <c r="CM267" s="528" t="s">
        <v>1959</v>
      </c>
      <c r="CN267" s="528" t="s">
        <v>1849</v>
      </c>
      <c r="CO267" s="528"/>
      <c r="CP267" s="544">
        <f t="shared" si="394"/>
        <v>4164353.7251145756</v>
      </c>
      <c r="CQ267" s="544">
        <f t="shared" si="395"/>
        <v>305885.36695848324</v>
      </c>
      <c r="CR267" s="544">
        <f t="shared" si="396"/>
        <v>43376.147926941216</v>
      </c>
      <c r="CS267" s="1709" t="s">
        <v>1826</v>
      </c>
      <c r="CT267" s="1710"/>
      <c r="CU267" s="1710"/>
      <c r="CV267" s="1710"/>
      <c r="CW267" s="1711"/>
      <c r="CX267" s="528"/>
      <c r="CY267" s="528"/>
      <c r="CZ267" s="528"/>
      <c r="DA267" s="528"/>
      <c r="DB267" s="579">
        <v>1484949.64</v>
      </c>
      <c r="DC267" s="628" t="e">
        <f>P267-#REF!</f>
        <v>#REF!</v>
      </c>
      <c r="DD267" s="575"/>
      <c r="DE267" s="575"/>
      <c r="DF267" s="522">
        <f t="shared" si="350"/>
        <v>2887.38906</v>
      </c>
      <c r="DG267" s="522">
        <f t="shared" si="350"/>
        <v>186.85825</v>
      </c>
      <c r="DH267" s="522">
        <f t="shared" si="350"/>
        <v>2882.5204600000002</v>
      </c>
      <c r="DI267" s="522">
        <f t="shared" si="348"/>
        <v>5956.7677699999995</v>
      </c>
      <c r="DJ267" s="536"/>
      <c r="DK267" s="536"/>
      <c r="DL267" s="536"/>
      <c r="DM267" s="536"/>
      <c r="DN267" s="536"/>
      <c r="DO267" s="536"/>
      <c r="DP267" s="536"/>
      <c r="DQ267" s="536"/>
      <c r="DR267" s="536"/>
      <c r="DS267" s="536"/>
    </row>
    <row r="268" spans="1:123" s="534" customFormat="1" ht="60.75" customHeight="1">
      <c r="A268" s="537" t="s">
        <v>1392</v>
      </c>
      <c r="B268" s="672" t="s">
        <v>1393</v>
      </c>
      <c r="C268" s="576">
        <v>22253257.16</v>
      </c>
      <c r="D268" s="576"/>
      <c r="E268" s="649">
        <v>1200000</v>
      </c>
      <c r="F268" s="649">
        <v>1865191.94</v>
      </c>
      <c r="G268" s="577">
        <v>0</v>
      </c>
      <c r="H268" s="577">
        <v>0</v>
      </c>
      <c r="I268" s="578">
        <f t="shared" si="385"/>
        <v>10889186.210000001</v>
      </c>
      <c r="J268" s="578">
        <v>7539186.21</v>
      </c>
      <c r="K268" s="578">
        <v>1350000</v>
      </c>
      <c r="L268" s="578">
        <v>2000000</v>
      </c>
      <c r="M268" s="578">
        <f t="shared" si="386"/>
        <v>8889186.2100000009</v>
      </c>
      <c r="N268" s="578">
        <v>8889486.2100000009</v>
      </c>
      <c r="O268" s="522">
        <f t="shared" si="387"/>
        <v>3590500</v>
      </c>
      <c r="P268" s="522">
        <v>12479986.210000001</v>
      </c>
      <c r="Q268" s="576">
        <f t="shared" si="399"/>
        <v>1590800</v>
      </c>
      <c r="R268" s="576">
        <f t="shared" si="400"/>
        <v>14.608988856661313</v>
      </c>
      <c r="S268" s="576"/>
      <c r="T268" s="576"/>
      <c r="U268" s="522">
        <f t="shared" si="388"/>
        <v>8483543.1999999993</v>
      </c>
      <c r="V268" s="522">
        <f t="shared" si="397"/>
        <v>8483543.1999999993</v>
      </c>
      <c r="W268" s="522">
        <v>0</v>
      </c>
      <c r="X268" s="522">
        <f t="shared" si="401"/>
        <v>-3996443.0100000016</v>
      </c>
      <c r="Y268" s="522">
        <f t="shared" si="402"/>
        <v>-32.02281591303138</v>
      </c>
      <c r="Z268" s="524">
        <f t="shared" si="403"/>
        <v>17359862.059999999</v>
      </c>
      <c r="AA268" s="522">
        <f t="shared" si="404"/>
        <v>17359862.059999999</v>
      </c>
      <c r="AB268" s="522">
        <v>0</v>
      </c>
      <c r="AC268" s="522">
        <f t="shared" si="405"/>
        <v>8876318.8599999994</v>
      </c>
      <c r="AD268" s="522">
        <f t="shared" si="420"/>
        <v>104.62985395064646</v>
      </c>
      <c r="AE268" s="522">
        <f t="shared" si="406"/>
        <v>4879875.8499999978</v>
      </c>
      <c r="AF268" s="522">
        <f t="shared" si="407"/>
        <v>39.101612516925996</v>
      </c>
      <c r="AG268" s="522">
        <f t="shared" si="419"/>
        <v>20329774.300000001</v>
      </c>
      <c r="AH268" s="522">
        <f t="shared" si="408"/>
        <v>11846231.100000001</v>
      </c>
      <c r="AI268" s="522">
        <f t="shared" si="421"/>
        <v>139.63777658372746</v>
      </c>
      <c r="AJ268" s="522">
        <f t="shared" si="409"/>
        <v>2969912.2400000021</v>
      </c>
      <c r="AK268" s="522">
        <f t="shared" si="422"/>
        <v>17.107925337973583</v>
      </c>
      <c r="AL268" s="522">
        <f t="shared" si="392"/>
        <v>20329774.300000001</v>
      </c>
      <c r="AM268" s="522">
        <f t="shared" si="342"/>
        <v>6483543.2000000002</v>
      </c>
      <c r="AN268" s="522">
        <f t="shared" si="342"/>
        <v>5959862.0599999996</v>
      </c>
      <c r="AO268" s="522">
        <f t="shared" si="410"/>
        <v>-523681.1400000006</v>
      </c>
      <c r="AP268" s="522">
        <f t="shared" si="423"/>
        <v>-8.0770826050792834</v>
      </c>
      <c r="AQ268" s="578">
        <f>800000+1500000+3183543.2</f>
        <v>5483543.2000000002</v>
      </c>
      <c r="AR268" s="578">
        <v>4959362.0599999996</v>
      </c>
      <c r="AS268" s="578">
        <f>1500000-500000</f>
        <v>1000000</v>
      </c>
      <c r="AT268" s="578">
        <v>1000500</v>
      </c>
      <c r="AU268" s="578">
        <f t="shared" si="375"/>
        <v>2000000</v>
      </c>
      <c r="AV268" s="578">
        <f t="shared" si="375"/>
        <v>11400000</v>
      </c>
      <c r="AW268" s="578">
        <f t="shared" si="411"/>
        <v>9400000</v>
      </c>
      <c r="AX268" s="578">
        <f t="shared" si="424"/>
        <v>470</v>
      </c>
      <c r="AY268" s="578">
        <f t="shared" si="376"/>
        <v>14369912.240000002</v>
      </c>
      <c r="AZ268" s="578">
        <f t="shared" si="412"/>
        <v>-2969912.2400000021</v>
      </c>
      <c r="BA268" s="578">
        <f t="shared" si="425"/>
        <v>-20.667573958684116</v>
      </c>
      <c r="BB268" s="578">
        <f>1200000-200000</f>
        <v>1000000</v>
      </c>
      <c r="BC268" s="576">
        <f>'[67]Дир_по корп'!AT33</f>
        <v>6400000</v>
      </c>
      <c r="BD268" s="576">
        <f t="shared" si="389"/>
        <v>330000</v>
      </c>
      <c r="BE268" s="576">
        <f t="shared" si="413"/>
        <v>-670000</v>
      </c>
      <c r="BF268" s="576">
        <f t="shared" si="414"/>
        <v>-6070000</v>
      </c>
      <c r="BG268" s="576">
        <f t="shared" si="398"/>
        <v>7483543.2000000002</v>
      </c>
      <c r="BH268" s="578">
        <f t="shared" si="398"/>
        <v>12359862.059999999</v>
      </c>
      <c r="BI268" s="578">
        <v>6289862.0599999996</v>
      </c>
      <c r="BJ268" s="578">
        <f t="shared" si="415"/>
        <v>-1193681.1400000006</v>
      </c>
      <c r="BK268" s="578">
        <f t="shared" si="416"/>
        <v>-6069999.9999999991</v>
      </c>
      <c r="BL268" s="576">
        <f>1200000-200000</f>
        <v>1000000</v>
      </c>
      <c r="BM268" s="578">
        <f>'[67]Дир_по корп'!AW33</f>
        <v>5000000</v>
      </c>
      <c r="BN268" s="522">
        <f t="shared" si="390"/>
        <v>14039912.240000002</v>
      </c>
      <c r="BO268" s="578">
        <f t="shared" si="426"/>
        <v>13039912.240000002</v>
      </c>
      <c r="BP268" s="578">
        <f t="shared" si="417"/>
        <v>9039912.2400000021</v>
      </c>
      <c r="BQ268" s="576">
        <f>1200000-200000</f>
        <v>1000000</v>
      </c>
      <c r="BR268" s="578">
        <f>'[67]Дир_по корп'!BB33</f>
        <v>0</v>
      </c>
      <c r="BS268" s="578">
        <f>'[67]Дир_по корп'!BC33</f>
        <v>0</v>
      </c>
      <c r="BT268" s="536"/>
      <c r="BU268" s="578"/>
      <c r="BV268" s="578"/>
      <c r="BW268" s="586">
        <v>20329774.300000001</v>
      </c>
      <c r="BX268" s="629"/>
      <c r="BY268" s="522">
        <v>2429274.2999999998</v>
      </c>
      <c r="BZ268" s="522">
        <v>17900000</v>
      </c>
      <c r="CA268" s="522">
        <v>500</v>
      </c>
      <c r="CB268" s="522">
        <f t="shared" si="391"/>
        <v>20329774.300000001</v>
      </c>
      <c r="CC268" s="522">
        <f t="shared" si="418"/>
        <v>0</v>
      </c>
      <c r="CD268" s="578"/>
      <c r="CE268" s="578"/>
      <c r="CF268" s="578"/>
      <c r="CG268" s="578"/>
      <c r="CH268" s="578"/>
      <c r="CI268" s="578"/>
      <c r="CJ268" s="578"/>
      <c r="CK268" s="543" t="s">
        <v>80</v>
      </c>
      <c r="CL268" s="542" t="s">
        <v>1936</v>
      </c>
      <c r="CM268" s="528" t="s">
        <v>1959</v>
      </c>
      <c r="CN268" s="528" t="s">
        <v>1849</v>
      </c>
      <c r="CO268" s="528"/>
      <c r="CP268" s="544">
        <f t="shared" si="394"/>
        <v>7827090.4471446322</v>
      </c>
      <c r="CQ268" s="544">
        <f t="shared" si="395"/>
        <v>574925.32855772274</v>
      </c>
      <c r="CR268" s="544">
        <f t="shared" si="396"/>
        <v>81527.424297644873</v>
      </c>
      <c r="CS268" s="1709" t="s">
        <v>1826</v>
      </c>
      <c r="CT268" s="1710"/>
      <c r="CU268" s="1710"/>
      <c r="CV268" s="1710"/>
      <c r="CW268" s="1711"/>
      <c r="CX268" s="528"/>
      <c r="CY268" s="528"/>
      <c r="CZ268" s="528"/>
      <c r="DA268" s="528"/>
      <c r="DB268" s="660">
        <v>4959362.0599999996</v>
      </c>
      <c r="DC268" s="628" t="e">
        <f>P268-#REF!</f>
        <v>#REF!</v>
      </c>
      <c r="DD268" s="575"/>
      <c r="DE268" s="575"/>
      <c r="DF268" s="522">
        <f t="shared" si="350"/>
        <v>2429.2743</v>
      </c>
      <c r="DG268" s="522">
        <f t="shared" si="350"/>
        <v>17900</v>
      </c>
      <c r="DH268" s="522">
        <f t="shared" si="350"/>
        <v>0.5</v>
      </c>
      <c r="DI268" s="522">
        <f t="shared" si="348"/>
        <v>20329.774300000001</v>
      </c>
      <c r="DJ268" s="536"/>
      <c r="DK268" s="536"/>
      <c r="DL268" s="536"/>
      <c r="DM268" s="536"/>
      <c r="DN268" s="536"/>
      <c r="DO268" s="536"/>
      <c r="DP268" s="536"/>
      <c r="DQ268" s="536"/>
      <c r="DR268" s="536"/>
      <c r="DS268" s="536"/>
    </row>
    <row r="269" spans="1:123" s="534" customFormat="1" ht="46.5" customHeight="1">
      <c r="A269" s="537" t="s">
        <v>1966</v>
      </c>
      <c r="B269" s="538" t="s">
        <v>1438</v>
      </c>
      <c r="C269" s="576"/>
      <c r="D269" s="576"/>
      <c r="E269" s="576">
        <v>891000</v>
      </c>
      <c r="F269" s="576">
        <v>0</v>
      </c>
      <c r="G269" s="577">
        <v>0</v>
      </c>
      <c r="H269" s="577">
        <v>0</v>
      </c>
      <c r="I269" s="578">
        <f t="shared" si="385"/>
        <v>0</v>
      </c>
      <c r="J269" s="578">
        <v>0</v>
      </c>
      <c r="K269" s="578">
        <v>0</v>
      </c>
      <c r="L269" s="578">
        <v>0</v>
      </c>
      <c r="M269" s="578">
        <f t="shared" si="386"/>
        <v>0</v>
      </c>
      <c r="N269" s="578"/>
      <c r="O269" s="522">
        <f t="shared" si="387"/>
        <v>276444</v>
      </c>
      <c r="P269" s="522">
        <v>276444</v>
      </c>
      <c r="Q269" s="576">
        <f t="shared" si="399"/>
        <v>276444</v>
      </c>
      <c r="R269" s="576">
        <v>0</v>
      </c>
      <c r="S269" s="576"/>
      <c r="T269" s="576"/>
      <c r="U269" s="522">
        <f t="shared" si="388"/>
        <v>0</v>
      </c>
      <c r="V269" s="522">
        <f t="shared" si="397"/>
        <v>0</v>
      </c>
      <c r="W269" s="522">
        <v>0</v>
      </c>
      <c r="X269" s="522">
        <f t="shared" si="401"/>
        <v>-276444</v>
      </c>
      <c r="Y269" s="522">
        <f t="shared" si="402"/>
        <v>-100</v>
      </c>
      <c r="Z269" s="524">
        <f t="shared" si="403"/>
        <v>450000</v>
      </c>
      <c r="AA269" s="522">
        <f t="shared" si="404"/>
        <v>450000</v>
      </c>
      <c r="AB269" s="522">
        <v>0</v>
      </c>
      <c r="AC269" s="522">
        <f t="shared" si="405"/>
        <v>450000</v>
      </c>
      <c r="AD269" s="522">
        <v>0</v>
      </c>
      <c r="AE269" s="522">
        <f t="shared" si="406"/>
        <v>173556</v>
      </c>
      <c r="AF269" s="522">
        <f t="shared" si="407"/>
        <v>62.781612189087099</v>
      </c>
      <c r="AG269" s="522">
        <f t="shared" si="419"/>
        <v>450000</v>
      </c>
      <c r="AH269" s="522">
        <f t="shared" si="408"/>
        <v>450000</v>
      </c>
      <c r="AI269" s="522">
        <v>0</v>
      </c>
      <c r="AJ269" s="522">
        <f t="shared" si="409"/>
        <v>0</v>
      </c>
      <c r="AK269" s="522">
        <f t="shared" si="422"/>
        <v>0</v>
      </c>
      <c r="AL269" s="522">
        <f t="shared" si="392"/>
        <v>450000</v>
      </c>
      <c r="AM269" s="522">
        <f t="shared" si="342"/>
        <v>0</v>
      </c>
      <c r="AN269" s="522">
        <f t="shared" si="342"/>
        <v>450000</v>
      </c>
      <c r="AO269" s="522">
        <f t="shared" si="410"/>
        <v>450000</v>
      </c>
      <c r="AP269" s="522">
        <v>0</v>
      </c>
      <c r="AQ269" s="578">
        <v>0</v>
      </c>
      <c r="AR269" s="578">
        <v>0</v>
      </c>
      <c r="AS269" s="578">
        <v>0</v>
      </c>
      <c r="AT269" s="578">
        <v>450000</v>
      </c>
      <c r="AU269" s="578">
        <f t="shared" si="375"/>
        <v>0</v>
      </c>
      <c r="AV269" s="578">
        <f t="shared" si="375"/>
        <v>0</v>
      </c>
      <c r="AW269" s="578">
        <f t="shared" si="411"/>
        <v>0</v>
      </c>
      <c r="AX269" s="578">
        <v>0</v>
      </c>
      <c r="AY269" s="578">
        <f t="shared" si="376"/>
        <v>0</v>
      </c>
      <c r="AZ269" s="578">
        <f t="shared" si="412"/>
        <v>0</v>
      </c>
      <c r="BA269" s="578">
        <v>0</v>
      </c>
      <c r="BB269" s="578">
        <v>0</v>
      </c>
      <c r="BC269" s="576">
        <f>'[67]Гл инж_Тех дир'!AT19</f>
        <v>0</v>
      </c>
      <c r="BD269" s="576">
        <f t="shared" si="389"/>
        <v>0</v>
      </c>
      <c r="BE269" s="576">
        <f t="shared" si="413"/>
        <v>0</v>
      </c>
      <c r="BF269" s="576">
        <f t="shared" si="414"/>
        <v>0</v>
      </c>
      <c r="BG269" s="576">
        <f t="shared" si="398"/>
        <v>0</v>
      </c>
      <c r="BH269" s="578">
        <f t="shared" si="398"/>
        <v>450000</v>
      </c>
      <c r="BI269" s="578">
        <v>450000</v>
      </c>
      <c r="BJ269" s="578">
        <f t="shared" si="415"/>
        <v>450000</v>
      </c>
      <c r="BK269" s="578">
        <f t="shared" si="416"/>
        <v>0</v>
      </c>
      <c r="BL269" s="576">
        <v>0</v>
      </c>
      <c r="BM269" s="578">
        <f>'[67]Гл инж_Тех дир'!AW19</f>
        <v>0</v>
      </c>
      <c r="BN269" s="522">
        <f t="shared" si="390"/>
        <v>0</v>
      </c>
      <c r="BO269" s="578">
        <f t="shared" si="426"/>
        <v>0</v>
      </c>
      <c r="BP269" s="578">
        <f t="shared" si="417"/>
        <v>0</v>
      </c>
      <c r="BQ269" s="576">
        <v>0</v>
      </c>
      <c r="BR269" s="578">
        <f>'[67]Гл инж_Тех дир'!BB19</f>
        <v>0</v>
      </c>
      <c r="BS269" s="578">
        <f>'[67]Гл инж_Тех дир'!BC19</f>
        <v>0</v>
      </c>
      <c r="BT269" s="536"/>
      <c r="BU269" s="578"/>
      <c r="BV269" s="578"/>
      <c r="BW269" s="586">
        <v>450000</v>
      </c>
      <c r="BX269" s="629"/>
      <c r="BY269" s="522">
        <v>374732.7</v>
      </c>
      <c r="BZ269" s="522">
        <f>4090.45+65807.8</f>
        <v>69898.25</v>
      </c>
      <c r="CA269" s="522">
        <v>5369.05</v>
      </c>
      <c r="CB269" s="522">
        <f t="shared" si="391"/>
        <v>450000</v>
      </c>
      <c r="CC269" s="522">
        <f t="shared" si="418"/>
        <v>0</v>
      </c>
      <c r="CD269" s="578"/>
      <c r="CE269" s="578"/>
      <c r="CF269" s="578"/>
      <c r="CG269" s="578"/>
      <c r="CH269" s="578"/>
      <c r="CI269" s="578"/>
      <c r="CJ269" s="578"/>
      <c r="CK269" s="542" t="s">
        <v>79</v>
      </c>
      <c r="CL269" s="543" t="s">
        <v>1803</v>
      </c>
      <c r="CM269" s="528" t="s">
        <v>1959</v>
      </c>
      <c r="CN269" s="528"/>
      <c r="CO269" s="528"/>
      <c r="CP269" s="544">
        <f t="shared" si="394"/>
        <v>0</v>
      </c>
      <c r="CQ269" s="544">
        <f t="shared" si="395"/>
        <v>0</v>
      </c>
      <c r="CR269" s="544">
        <f t="shared" si="396"/>
        <v>0</v>
      </c>
      <c r="CS269" s="1709" t="s">
        <v>1826</v>
      </c>
      <c r="CT269" s="1710"/>
      <c r="CU269" s="1710"/>
      <c r="CV269" s="1710"/>
      <c r="CW269" s="1711"/>
      <c r="CX269" s="528"/>
      <c r="CY269" s="528"/>
      <c r="CZ269" s="528"/>
      <c r="DA269" s="528"/>
      <c r="DB269" s="579"/>
      <c r="DC269" s="628" t="e">
        <f>P269-#REF!</f>
        <v>#REF!</v>
      </c>
      <c r="DD269" s="575"/>
      <c r="DE269" s="575"/>
      <c r="DF269" s="522">
        <f t="shared" si="350"/>
        <v>374.73270000000002</v>
      </c>
      <c r="DG269" s="522">
        <f t="shared" si="350"/>
        <v>69.898250000000004</v>
      </c>
      <c r="DH269" s="522">
        <f t="shared" si="350"/>
        <v>5.3690500000000005</v>
      </c>
      <c r="DI269" s="522">
        <f t="shared" si="348"/>
        <v>450</v>
      </c>
      <c r="DJ269" s="536"/>
      <c r="DK269" s="536"/>
      <c r="DL269" s="536"/>
      <c r="DM269" s="536"/>
      <c r="DN269" s="536"/>
      <c r="DO269" s="536"/>
      <c r="DP269" s="536"/>
      <c r="DQ269" s="536"/>
      <c r="DR269" s="536"/>
      <c r="DS269" s="536"/>
    </row>
    <row r="270" spans="1:123" s="534" customFormat="1" ht="88.5" customHeight="1">
      <c r="A270" s="537" t="s">
        <v>1967</v>
      </c>
      <c r="B270" s="538" t="s">
        <v>1968</v>
      </c>
      <c r="C270" s="576">
        <v>1736.38</v>
      </c>
      <c r="D270" s="576"/>
      <c r="E270" s="576">
        <v>0</v>
      </c>
      <c r="F270" s="576"/>
      <c r="G270" s="577">
        <v>0</v>
      </c>
      <c r="H270" s="577">
        <v>0</v>
      </c>
      <c r="I270" s="578">
        <f t="shared" si="385"/>
        <v>0</v>
      </c>
      <c r="J270" s="578">
        <v>0</v>
      </c>
      <c r="K270" s="578">
        <v>0</v>
      </c>
      <c r="L270" s="578">
        <v>0</v>
      </c>
      <c r="M270" s="578">
        <f t="shared" si="386"/>
        <v>0</v>
      </c>
      <c r="N270" s="578"/>
      <c r="O270" s="522">
        <f t="shared" si="387"/>
        <v>0</v>
      </c>
      <c r="P270" s="522">
        <v>0</v>
      </c>
      <c r="Q270" s="576">
        <f t="shared" si="399"/>
        <v>0</v>
      </c>
      <c r="R270" s="576">
        <v>0</v>
      </c>
      <c r="S270" s="576"/>
      <c r="T270" s="576"/>
      <c r="U270" s="522">
        <f t="shared" si="388"/>
        <v>0</v>
      </c>
      <c r="V270" s="522">
        <f t="shared" si="397"/>
        <v>0</v>
      </c>
      <c r="W270" s="522">
        <v>0</v>
      </c>
      <c r="X270" s="522">
        <f t="shared" si="401"/>
        <v>0</v>
      </c>
      <c r="Y270" s="522">
        <v>0</v>
      </c>
      <c r="Z270" s="524">
        <f t="shared" si="403"/>
        <v>0</v>
      </c>
      <c r="AA270" s="522">
        <f t="shared" si="404"/>
        <v>0</v>
      </c>
      <c r="AB270" s="522">
        <v>0</v>
      </c>
      <c r="AC270" s="522">
        <f t="shared" si="405"/>
        <v>0</v>
      </c>
      <c r="AD270" s="522">
        <v>0</v>
      </c>
      <c r="AE270" s="522">
        <f t="shared" si="406"/>
        <v>0</v>
      </c>
      <c r="AF270" s="522">
        <v>0</v>
      </c>
      <c r="AG270" s="522">
        <f t="shared" si="419"/>
        <v>0</v>
      </c>
      <c r="AH270" s="522">
        <f t="shared" si="408"/>
        <v>0</v>
      </c>
      <c r="AI270" s="522">
        <v>0</v>
      </c>
      <c r="AJ270" s="522">
        <f t="shared" si="409"/>
        <v>0</v>
      </c>
      <c r="AK270" s="522">
        <v>0</v>
      </c>
      <c r="AL270" s="522">
        <f t="shared" si="392"/>
        <v>0</v>
      </c>
      <c r="AM270" s="522">
        <f t="shared" si="342"/>
        <v>0</v>
      </c>
      <c r="AN270" s="522">
        <f t="shared" si="342"/>
        <v>0</v>
      </c>
      <c r="AO270" s="522">
        <f t="shared" si="410"/>
        <v>0</v>
      </c>
      <c r="AP270" s="522">
        <v>0</v>
      </c>
      <c r="AQ270" s="578">
        <v>0</v>
      </c>
      <c r="AR270" s="578">
        <v>0</v>
      </c>
      <c r="AS270" s="578">
        <v>0</v>
      </c>
      <c r="AT270" s="578">
        <v>0</v>
      </c>
      <c r="AU270" s="578">
        <f t="shared" si="375"/>
        <v>0</v>
      </c>
      <c r="AV270" s="578">
        <f t="shared" si="375"/>
        <v>0</v>
      </c>
      <c r="AW270" s="578">
        <f t="shared" si="411"/>
        <v>0</v>
      </c>
      <c r="AX270" s="578">
        <v>0</v>
      </c>
      <c r="AY270" s="578">
        <f t="shared" si="376"/>
        <v>0</v>
      </c>
      <c r="AZ270" s="578">
        <f t="shared" si="412"/>
        <v>0</v>
      </c>
      <c r="BA270" s="578">
        <v>0</v>
      </c>
      <c r="BB270" s="578">
        <v>0</v>
      </c>
      <c r="BC270" s="576">
        <f>'[67]Дир_по экон'!AT36</f>
        <v>0</v>
      </c>
      <c r="BD270" s="576">
        <f t="shared" si="389"/>
        <v>0</v>
      </c>
      <c r="BE270" s="576">
        <f t="shared" si="413"/>
        <v>0</v>
      </c>
      <c r="BF270" s="576">
        <f t="shared" si="414"/>
        <v>0</v>
      </c>
      <c r="BG270" s="576">
        <f t="shared" si="398"/>
        <v>0</v>
      </c>
      <c r="BH270" s="578">
        <f t="shared" si="398"/>
        <v>0</v>
      </c>
      <c r="BI270" s="578"/>
      <c r="BJ270" s="578">
        <f t="shared" si="415"/>
        <v>0</v>
      </c>
      <c r="BK270" s="578">
        <f t="shared" si="416"/>
        <v>0</v>
      </c>
      <c r="BL270" s="576">
        <v>0</v>
      </c>
      <c r="BM270" s="578">
        <f>'[67]Дир_по экон'!AW36</f>
        <v>0</v>
      </c>
      <c r="BN270" s="522">
        <f t="shared" si="390"/>
        <v>0</v>
      </c>
      <c r="BO270" s="578">
        <f t="shared" si="426"/>
        <v>0</v>
      </c>
      <c r="BP270" s="578">
        <f t="shared" si="417"/>
        <v>0</v>
      </c>
      <c r="BQ270" s="576">
        <v>0</v>
      </c>
      <c r="BR270" s="578">
        <f>'[67]Дир_по экон'!BB36</f>
        <v>0</v>
      </c>
      <c r="BS270" s="578">
        <f>'[67]Дир_по экон'!BC36</f>
        <v>0</v>
      </c>
      <c r="BT270" s="536"/>
      <c r="BU270" s="578"/>
      <c r="BV270" s="578"/>
      <c r="BW270" s="578"/>
      <c r="BX270" s="574"/>
      <c r="BY270" s="522"/>
      <c r="BZ270" s="522"/>
      <c r="CA270" s="522"/>
      <c r="CB270" s="522">
        <f t="shared" si="391"/>
        <v>0</v>
      </c>
      <c r="CC270" s="522">
        <f t="shared" si="418"/>
        <v>0</v>
      </c>
      <c r="CD270" s="578"/>
      <c r="CE270" s="578"/>
      <c r="CF270" s="578"/>
      <c r="CG270" s="578"/>
      <c r="CH270" s="578"/>
      <c r="CI270" s="578"/>
      <c r="CJ270" s="578"/>
      <c r="CK270" s="543" t="s">
        <v>77</v>
      </c>
      <c r="CL270" s="542" t="s">
        <v>1800</v>
      </c>
      <c r="CM270" s="528" t="s">
        <v>1959</v>
      </c>
      <c r="CN270" s="528"/>
      <c r="CO270" s="528"/>
      <c r="CP270" s="544">
        <f t="shared" si="394"/>
        <v>0</v>
      </c>
      <c r="CQ270" s="544">
        <f t="shared" si="395"/>
        <v>0</v>
      </c>
      <c r="CR270" s="544">
        <f t="shared" si="396"/>
        <v>0</v>
      </c>
      <c r="CS270" s="1709" t="s">
        <v>1826</v>
      </c>
      <c r="CT270" s="1710"/>
      <c r="CU270" s="1710"/>
      <c r="CV270" s="1710"/>
      <c r="CW270" s="1711"/>
      <c r="CX270" s="528"/>
      <c r="CY270" s="528"/>
      <c r="CZ270" s="528"/>
      <c r="DA270" s="528"/>
      <c r="DB270" s="579"/>
      <c r="DC270" s="628" t="e">
        <f>P270-#REF!</f>
        <v>#REF!</v>
      </c>
      <c r="DD270" s="575"/>
      <c r="DE270" s="575"/>
      <c r="DF270" s="522">
        <f t="shared" si="350"/>
        <v>0</v>
      </c>
      <c r="DG270" s="522">
        <f t="shared" si="350"/>
        <v>0</v>
      </c>
      <c r="DH270" s="522">
        <f t="shared" si="350"/>
        <v>0</v>
      </c>
      <c r="DI270" s="522">
        <f t="shared" si="348"/>
        <v>0</v>
      </c>
      <c r="DJ270" s="536"/>
      <c r="DK270" s="536"/>
      <c r="DL270" s="536"/>
      <c r="DM270" s="536"/>
      <c r="DN270" s="536"/>
      <c r="DO270" s="536"/>
      <c r="DP270" s="536"/>
      <c r="DQ270" s="536"/>
      <c r="DR270" s="536"/>
      <c r="DS270" s="536"/>
    </row>
    <row r="271" spans="1:123" s="534" customFormat="1" ht="33.75" customHeight="1">
      <c r="A271" s="537" t="s">
        <v>1396</v>
      </c>
      <c r="B271" s="538" t="s">
        <v>1397</v>
      </c>
      <c r="C271" s="576"/>
      <c r="D271" s="576"/>
      <c r="E271" s="576">
        <v>750000</v>
      </c>
      <c r="F271" s="576">
        <v>0</v>
      </c>
      <c r="G271" s="577">
        <v>0</v>
      </c>
      <c r="H271" s="577">
        <v>0</v>
      </c>
      <c r="I271" s="578">
        <f t="shared" si="385"/>
        <v>750000</v>
      </c>
      <c r="J271" s="578">
        <v>0</v>
      </c>
      <c r="K271" s="578">
        <v>0</v>
      </c>
      <c r="L271" s="578">
        <v>750000</v>
      </c>
      <c r="M271" s="578">
        <f t="shared" si="386"/>
        <v>0</v>
      </c>
      <c r="N271" s="578"/>
      <c r="O271" s="522">
        <f t="shared" si="387"/>
        <v>0</v>
      </c>
      <c r="P271" s="522">
        <v>0</v>
      </c>
      <c r="Q271" s="576">
        <f t="shared" si="399"/>
        <v>-750000</v>
      </c>
      <c r="R271" s="576">
        <f t="shared" si="400"/>
        <v>-100</v>
      </c>
      <c r="S271" s="576"/>
      <c r="T271" s="576"/>
      <c r="U271" s="522">
        <f t="shared" si="388"/>
        <v>750000</v>
      </c>
      <c r="V271" s="522">
        <f t="shared" si="397"/>
        <v>750000</v>
      </c>
      <c r="W271" s="522">
        <v>0</v>
      </c>
      <c r="X271" s="522">
        <f t="shared" si="401"/>
        <v>750000</v>
      </c>
      <c r="Y271" s="522">
        <v>0</v>
      </c>
      <c r="Z271" s="524">
        <f t="shared" si="403"/>
        <v>750000</v>
      </c>
      <c r="AA271" s="522">
        <f t="shared" si="404"/>
        <v>750000</v>
      </c>
      <c r="AB271" s="522">
        <v>0</v>
      </c>
      <c r="AC271" s="522">
        <f t="shared" si="405"/>
        <v>0</v>
      </c>
      <c r="AD271" s="522">
        <f t="shared" si="420"/>
        <v>0</v>
      </c>
      <c r="AE271" s="522">
        <f t="shared" si="406"/>
        <v>750000</v>
      </c>
      <c r="AF271" s="522">
        <v>0</v>
      </c>
      <c r="AG271" s="522">
        <f t="shared" si="419"/>
        <v>0</v>
      </c>
      <c r="AH271" s="522">
        <f t="shared" si="408"/>
        <v>-750000</v>
      </c>
      <c r="AI271" s="522">
        <f t="shared" si="421"/>
        <v>-100</v>
      </c>
      <c r="AJ271" s="522">
        <f t="shared" si="409"/>
        <v>-750000</v>
      </c>
      <c r="AK271" s="522">
        <f>AG271/Z271*100-100</f>
        <v>-100</v>
      </c>
      <c r="AL271" s="522">
        <f t="shared" si="392"/>
        <v>0</v>
      </c>
      <c r="AM271" s="522">
        <f t="shared" si="342"/>
        <v>0</v>
      </c>
      <c r="AN271" s="522">
        <f t="shared" si="342"/>
        <v>0</v>
      </c>
      <c r="AO271" s="522">
        <f t="shared" si="410"/>
        <v>0</v>
      </c>
      <c r="AP271" s="522">
        <v>0</v>
      </c>
      <c r="AQ271" s="578">
        <v>0</v>
      </c>
      <c r="AR271" s="578">
        <v>0</v>
      </c>
      <c r="AS271" s="578">
        <v>0</v>
      </c>
      <c r="AT271" s="578">
        <v>0</v>
      </c>
      <c r="AU271" s="578">
        <f t="shared" si="375"/>
        <v>750000</v>
      </c>
      <c r="AV271" s="578">
        <f t="shared" si="375"/>
        <v>750000</v>
      </c>
      <c r="AW271" s="578">
        <f t="shared" si="411"/>
        <v>0</v>
      </c>
      <c r="AX271" s="578">
        <f t="shared" si="424"/>
        <v>0</v>
      </c>
      <c r="AY271" s="578">
        <f t="shared" si="376"/>
        <v>0</v>
      </c>
      <c r="AZ271" s="578">
        <f t="shared" si="412"/>
        <v>750000</v>
      </c>
      <c r="BA271" s="578" t="e">
        <f t="shared" si="425"/>
        <v>#DIV/0!</v>
      </c>
      <c r="BB271" s="578">
        <v>0</v>
      </c>
      <c r="BC271" s="576">
        <f>'[67]Дир_по экон'!AT37</f>
        <v>0</v>
      </c>
      <c r="BD271" s="576">
        <f t="shared" si="389"/>
        <v>0</v>
      </c>
      <c r="BE271" s="576">
        <f t="shared" si="413"/>
        <v>0</v>
      </c>
      <c r="BF271" s="576">
        <f t="shared" si="414"/>
        <v>0</v>
      </c>
      <c r="BG271" s="576">
        <f t="shared" si="398"/>
        <v>0</v>
      </c>
      <c r="BH271" s="578">
        <f t="shared" si="398"/>
        <v>0</v>
      </c>
      <c r="BI271" s="578"/>
      <c r="BJ271" s="578">
        <f t="shared" si="415"/>
        <v>0</v>
      </c>
      <c r="BK271" s="578">
        <f t="shared" si="416"/>
        <v>0</v>
      </c>
      <c r="BL271" s="576">
        <v>750000</v>
      </c>
      <c r="BM271" s="578">
        <f>'[67]Дир_по экон'!AW37</f>
        <v>750000</v>
      </c>
      <c r="BN271" s="522">
        <f t="shared" si="390"/>
        <v>0</v>
      </c>
      <c r="BO271" s="578">
        <f t="shared" si="426"/>
        <v>-750000</v>
      </c>
      <c r="BP271" s="578">
        <f t="shared" si="417"/>
        <v>-750000</v>
      </c>
      <c r="BQ271" s="576">
        <v>750000</v>
      </c>
      <c r="BR271" s="578">
        <f>'[67]Дир_по экон'!BB37</f>
        <v>0</v>
      </c>
      <c r="BS271" s="578">
        <f>'[67]Дир_по экон'!BC37</f>
        <v>0</v>
      </c>
      <c r="BT271" s="536"/>
      <c r="BU271" s="578"/>
      <c r="BV271" s="578"/>
      <c r="BW271" s="578"/>
      <c r="BX271" s="574"/>
      <c r="BY271" s="522"/>
      <c r="BZ271" s="522"/>
      <c r="CA271" s="522"/>
      <c r="CB271" s="522">
        <f t="shared" si="391"/>
        <v>0</v>
      </c>
      <c r="CC271" s="522">
        <f t="shared" si="418"/>
        <v>0</v>
      </c>
      <c r="CD271" s="578"/>
      <c r="CE271" s="578"/>
      <c r="CF271" s="578"/>
      <c r="CG271" s="578"/>
      <c r="CH271" s="578"/>
      <c r="CI271" s="578"/>
      <c r="CJ271" s="578"/>
      <c r="CK271" s="543" t="s">
        <v>77</v>
      </c>
      <c r="CL271" s="542" t="s">
        <v>1800</v>
      </c>
      <c r="CM271" s="528" t="s">
        <v>1959</v>
      </c>
      <c r="CN271" s="528"/>
      <c r="CO271" s="528"/>
      <c r="CP271" s="544">
        <f t="shared" si="394"/>
        <v>691965.33770918672</v>
      </c>
      <c r="CQ271" s="544">
        <f t="shared" si="395"/>
        <v>50827.111532630865</v>
      </c>
      <c r="CR271" s="544">
        <f t="shared" si="396"/>
        <v>7207.5507581824613</v>
      </c>
      <c r="CS271" s="1709" t="s">
        <v>1826</v>
      </c>
      <c r="CT271" s="1710"/>
      <c r="CU271" s="1710"/>
      <c r="CV271" s="1710"/>
      <c r="CW271" s="1711"/>
      <c r="CX271" s="528"/>
      <c r="CY271" s="528"/>
      <c r="CZ271" s="528"/>
      <c r="DA271" s="528"/>
      <c r="DB271" s="579"/>
      <c r="DC271" s="628" t="e">
        <f>P271-#REF!</f>
        <v>#REF!</v>
      </c>
      <c r="DD271" s="575"/>
      <c r="DE271" s="575"/>
      <c r="DF271" s="522">
        <f t="shared" si="350"/>
        <v>0</v>
      </c>
      <c r="DG271" s="522">
        <f t="shared" si="350"/>
        <v>0</v>
      </c>
      <c r="DH271" s="522">
        <f t="shared" si="350"/>
        <v>0</v>
      </c>
      <c r="DI271" s="522">
        <f t="shared" si="348"/>
        <v>0</v>
      </c>
      <c r="DJ271" s="536"/>
      <c r="DK271" s="536"/>
      <c r="DL271" s="536"/>
      <c r="DM271" s="536"/>
      <c r="DN271" s="536"/>
      <c r="DO271" s="536"/>
      <c r="DP271" s="536"/>
      <c r="DQ271" s="536"/>
      <c r="DR271" s="536"/>
      <c r="DS271" s="536"/>
    </row>
    <row r="272" spans="1:123" s="534" customFormat="1" ht="75" customHeight="1">
      <c r="A272" s="537" t="s">
        <v>1969</v>
      </c>
      <c r="B272" s="538" t="s">
        <v>1294</v>
      </c>
      <c r="C272" s="576">
        <v>339587383.10000002</v>
      </c>
      <c r="D272" s="576"/>
      <c r="E272" s="576"/>
      <c r="F272" s="576">
        <v>113480607.59</v>
      </c>
      <c r="G272" s="577">
        <v>0</v>
      </c>
      <c r="H272" s="577">
        <v>0</v>
      </c>
      <c r="I272" s="578">
        <f t="shared" si="385"/>
        <v>263220631.38</v>
      </c>
      <c r="J272" s="578">
        <v>232600631.38</v>
      </c>
      <c r="K272" s="578">
        <v>30620000</v>
      </c>
      <c r="L272" s="578">
        <v>0</v>
      </c>
      <c r="M272" s="578">
        <f t="shared" si="386"/>
        <v>263220631.38</v>
      </c>
      <c r="N272" s="578">
        <v>278724617.06</v>
      </c>
      <c r="O272" s="522">
        <f t="shared" si="387"/>
        <v>86843956.920000017</v>
      </c>
      <c r="P272" s="522">
        <v>365568573.98000002</v>
      </c>
      <c r="Q272" s="576">
        <f t="shared" si="399"/>
        <v>102347942.60000002</v>
      </c>
      <c r="R272" s="576">
        <f t="shared" si="400"/>
        <v>38.882948522467757</v>
      </c>
      <c r="S272" s="576"/>
      <c r="T272" s="576"/>
      <c r="U272" s="522">
        <f t="shared" si="388"/>
        <v>119820000</v>
      </c>
      <c r="V272" s="522">
        <f t="shared" si="397"/>
        <v>119820000</v>
      </c>
      <c r="W272" s="522">
        <v>0</v>
      </c>
      <c r="X272" s="522">
        <f t="shared" si="401"/>
        <v>-245748573.98000002</v>
      </c>
      <c r="Y272" s="522">
        <f t="shared" si="402"/>
        <v>-67.223659655560198</v>
      </c>
      <c r="Z272" s="524">
        <f t="shared" si="403"/>
        <v>309386975.51999998</v>
      </c>
      <c r="AA272" s="522">
        <f t="shared" si="404"/>
        <v>309386975.51999998</v>
      </c>
      <c r="AB272" s="522">
        <v>0</v>
      </c>
      <c r="AC272" s="522">
        <f t="shared" si="405"/>
        <v>189566975.51999998</v>
      </c>
      <c r="AD272" s="522">
        <f t="shared" si="420"/>
        <v>158.20979429143716</v>
      </c>
      <c r="AE272" s="522">
        <f t="shared" si="406"/>
        <v>-56181598.460000038</v>
      </c>
      <c r="AF272" s="522">
        <f t="shared" si="407"/>
        <v>-15.368279020360674</v>
      </c>
      <c r="AG272" s="522">
        <f t="shared" si="419"/>
        <v>561436366.48000002</v>
      </c>
      <c r="AH272" s="522">
        <f t="shared" si="408"/>
        <v>441616366.48000002</v>
      </c>
      <c r="AI272" s="522">
        <f t="shared" si="421"/>
        <v>368.56648846603235</v>
      </c>
      <c r="AJ272" s="522">
        <f t="shared" si="409"/>
        <v>252049390.96000004</v>
      </c>
      <c r="AK272" s="522">
        <f>AG272/Z272*100-100</f>
        <v>81.467356709625477</v>
      </c>
      <c r="AL272" s="522">
        <f t="shared" si="392"/>
        <v>561436366.48000002</v>
      </c>
      <c r="AM272" s="522">
        <f t="shared" si="342"/>
        <v>18920000</v>
      </c>
      <c r="AN272" s="522">
        <f t="shared" si="342"/>
        <v>287386975.51999998</v>
      </c>
      <c r="AO272" s="522">
        <f t="shared" si="410"/>
        <v>268466975.51999998</v>
      </c>
      <c r="AP272" s="522">
        <f t="shared" si="423"/>
        <v>1418.9586443974629</v>
      </c>
      <c r="AQ272" s="578">
        <v>9720000</v>
      </c>
      <c r="AR272" s="578">
        <v>4321692.58</v>
      </c>
      <c r="AS272" s="578">
        <v>9200000</v>
      </c>
      <c r="AT272" s="578">
        <v>283065282.94</v>
      </c>
      <c r="AU272" s="578">
        <f t="shared" si="375"/>
        <v>100900000</v>
      </c>
      <c r="AV272" s="578">
        <f t="shared" si="375"/>
        <v>22000000</v>
      </c>
      <c r="AW272" s="578">
        <f t="shared" si="411"/>
        <v>-78900000</v>
      </c>
      <c r="AX272" s="578">
        <f t="shared" si="424"/>
        <v>-78.196233894945493</v>
      </c>
      <c r="AY272" s="578">
        <f t="shared" si="376"/>
        <v>274049390.96000004</v>
      </c>
      <c r="AZ272" s="578">
        <f t="shared" si="412"/>
        <v>-252049390.96000004</v>
      </c>
      <c r="BA272" s="578">
        <v>0</v>
      </c>
      <c r="BB272" s="578">
        <f>69400000+8500000</f>
        <v>77900000</v>
      </c>
      <c r="BC272" s="576">
        <f>'[67]Дир_по экон'!AT38</f>
        <v>10500000</v>
      </c>
      <c r="BD272" s="576">
        <f t="shared" si="389"/>
        <v>217424819.45000005</v>
      </c>
      <c r="BE272" s="576">
        <f t="shared" si="413"/>
        <v>139524819.45000005</v>
      </c>
      <c r="BF272" s="576">
        <f t="shared" si="414"/>
        <v>206924819.45000005</v>
      </c>
      <c r="BG272" s="576">
        <f t="shared" si="398"/>
        <v>96820000</v>
      </c>
      <c r="BH272" s="578">
        <f t="shared" si="398"/>
        <v>297886975.51999998</v>
      </c>
      <c r="BI272" s="578">
        <v>504811794.97000003</v>
      </c>
      <c r="BJ272" s="578">
        <f t="shared" si="415"/>
        <v>407991794.97000003</v>
      </c>
      <c r="BK272" s="578">
        <f t="shared" si="416"/>
        <v>206924819.45000005</v>
      </c>
      <c r="BL272" s="576">
        <v>23000000</v>
      </c>
      <c r="BM272" s="578">
        <f>'[67]Дир_по экон'!AW38</f>
        <v>11500000</v>
      </c>
      <c r="BN272" s="522">
        <f t="shared" si="390"/>
        <v>56624571.50999999</v>
      </c>
      <c r="BO272" s="578">
        <f t="shared" si="426"/>
        <v>33624571.50999999</v>
      </c>
      <c r="BP272" s="578">
        <f t="shared" si="417"/>
        <v>45124571.50999999</v>
      </c>
      <c r="BQ272" s="576">
        <v>23000000</v>
      </c>
      <c r="BR272" s="578">
        <f>'[67]Дир_по экон'!BB38</f>
        <v>0</v>
      </c>
      <c r="BS272" s="578">
        <f>'[67]Дир_по экон'!BC38</f>
        <v>0</v>
      </c>
      <c r="BT272" s="536"/>
      <c r="BU272" s="578"/>
      <c r="BV272" s="578"/>
      <c r="BW272" s="586">
        <v>561436366.48000002</v>
      </c>
      <c r="BX272" s="574"/>
      <c r="BY272" s="522">
        <v>556178095.29999995</v>
      </c>
      <c r="BZ272" s="522">
        <f>4492.36+3784406.02</f>
        <v>3788898.38</v>
      </c>
      <c r="CA272" s="522">
        <v>1469372.8</v>
      </c>
      <c r="CB272" s="522">
        <f t="shared" si="391"/>
        <v>561436366.4799999</v>
      </c>
      <c r="CC272" s="522">
        <f t="shared" si="418"/>
        <v>0</v>
      </c>
      <c r="CD272" s="578"/>
      <c r="CE272" s="578"/>
      <c r="CF272" s="578"/>
      <c r="CG272" s="578"/>
      <c r="CH272" s="578"/>
      <c r="CI272" s="578"/>
      <c r="CJ272" s="578"/>
      <c r="CK272" s="543" t="s">
        <v>77</v>
      </c>
      <c r="CL272" s="542" t="s">
        <v>1800</v>
      </c>
      <c r="CM272" s="528" t="s">
        <v>1959</v>
      </c>
      <c r="CN272" s="528"/>
      <c r="CO272" s="528"/>
      <c r="CP272" s="544">
        <f t="shared" si="394"/>
        <v>110548382.35241966</v>
      </c>
      <c r="CQ272" s="544">
        <f t="shared" si="395"/>
        <v>8120139.3384531066</v>
      </c>
      <c r="CR272" s="544">
        <f t="shared" si="396"/>
        <v>1151478.30912723</v>
      </c>
      <c r="CS272" s="1709" t="s">
        <v>1826</v>
      </c>
      <c r="CT272" s="1710"/>
      <c r="CU272" s="1710"/>
      <c r="CV272" s="1710"/>
      <c r="CW272" s="1711"/>
      <c r="CX272" s="528"/>
      <c r="CY272" s="528"/>
      <c r="CZ272" s="528"/>
      <c r="DA272" s="528"/>
      <c r="DB272" s="579">
        <v>4321692.58</v>
      </c>
      <c r="DC272" s="628" t="e">
        <f>P272-#REF!</f>
        <v>#REF!</v>
      </c>
      <c r="DD272" s="575"/>
      <c r="DE272" s="575"/>
      <c r="DF272" s="522">
        <f t="shared" si="350"/>
        <v>556178.09529999993</v>
      </c>
      <c r="DG272" s="522">
        <f t="shared" si="350"/>
        <v>3788.8983800000001</v>
      </c>
      <c r="DH272" s="522">
        <f t="shared" si="350"/>
        <v>1469.3728000000001</v>
      </c>
      <c r="DI272" s="522">
        <f t="shared" si="348"/>
        <v>561436.36647999985</v>
      </c>
      <c r="DJ272" s="536"/>
      <c r="DK272" s="536"/>
      <c r="DL272" s="536"/>
      <c r="DM272" s="536"/>
      <c r="DN272" s="536"/>
      <c r="DO272" s="536"/>
      <c r="DP272" s="536"/>
      <c r="DQ272" s="536"/>
      <c r="DR272" s="536"/>
      <c r="DS272" s="536"/>
    </row>
    <row r="273" spans="1:123" s="534" customFormat="1" ht="75" customHeight="1">
      <c r="A273" s="537" t="s">
        <v>1402</v>
      </c>
      <c r="B273" s="538" t="s">
        <v>1403</v>
      </c>
      <c r="C273" s="576"/>
      <c r="D273" s="576"/>
      <c r="E273" s="576">
        <v>100000</v>
      </c>
      <c r="F273" s="576">
        <v>0</v>
      </c>
      <c r="G273" s="577">
        <v>0</v>
      </c>
      <c r="H273" s="577">
        <v>0</v>
      </c>
      <c r="I273" s="578">
        <f t="shared" si="385"/>
        <v>100000</v>
      </c>
      <c r="J273" s="578">
        <v>0</v>
      </c>
      <c r="K273" s="578">
        <v>0</v>
      </c>
      <c r="L273" s="578">
        <v>100000</v>
      </c>
      <c r="M273" s="578">
        <f t="shared" si="386"/>
        <v>0</v>
      </c>
      <c r="N273" s="578"/>
      <c r="O273" s="522">
        <f t="shared" si="387"/>
        <v>0</v>
      </c>
      <c r="P273" s="522">
        <v>0</v>
      </c>
      <c r="Q273" s="576">
        <f t="shared" si="399"/>
        <v>-100000</v>
      </c>
      <c r="R273" s="576">
        <f t="shared" si="400"/>
        <v>-100</v>
      </c>
      <c r="S273" s="576"/>
      <c r="T273" s="576"/>
      <c r="U273" s="522">
        <f t="shared" si="388"/>
        <v>0</v>
      </c>
      <c r="V273" s="522">
        <f t="shared" si="397"/>
        <v>0</v>
      </c>
      <c r="W273" s="522">
        <v>0</v>
      </c>
      <c r="X273" s="522">
        <f t="shared" si="401"/>
        <v>0</v>
      </c>
      <c r="Y273" s="522">
        <v>0</v>
      </c>
      <c r="Z273" s="524">
        <f t="shared" si="403"/>
        <v>0</v>
      </c>
      <c r="AA273" s="522">
        <f t="shared" si="404"/>
        <v>0</v>
      </c>
      <c r="AB273" s="522">
        <v>0</v>
      </c>
      <c r="AC273" s="522">
        <f t="shared" si="405"/>
        <v>0</v>
      </c>
      <c r="AD273" s="522">
        <v>0</v>
      </c>
      <c r="AE273" s="522">
        <f t="shared" si="406"/>
        <v>0</v>
      </c>
      <c r="AF273" s="522">
        <v>0</v>
      </c>
      <c r="AG273" s="522">
        <f t="shared" si="419"/>
        <v>0</v>
      </c>
      <c r="AH273" s="522">
        <f t="shared" si="408"/>
        <v>0</v>
      </c>
      <c r="AI273" s="522">
        <v>0</v>
      </c>
      <c r="AJ273" s="522">
        <f t="shared" si="409"/>
        <v>0</v>
      </c>
      <c r="AK273" s="522">
        <v>0</v>
      </c>
      <c r="AL273" s="522">
        <f t="shared" si="392"/>
        <v>0</v>
      </c>
      <c r="AM273" s="522">
        <f t="shared" si="342"/>
        <v>0</v>
      </c>
      <c r="AN273" s="522">
        <f t="shared" si="342"/>
        <v>0</v>
      </c>
      <c r="AO273" s="522">
        <f t="shared" si="410"/>
        <v>0</v>
      </c>
      <c r="AP273" s="522">
        <v>0</v>
      </c>
      <c r="AQ273" s="578">
        <v>0</v>
      </c>
      <c r="AR273" s="578">
        <v>0</v>
      </c>
      <c r="AS273" s="578">
        <v>0</v>
      </c>
      <c r="AT273" s="578">
        <v>0</v>
      </c>
      <c r="AU273" s="578">
        <f t="shared" ref="AU273:AV301" si="427">BB273+BL273</f>
        <v>0</v>
      </c>
      <c r="AV273" s="578">
        <f t="shared" si="427"/>
        <v>0</v>
      </c>
      <c r="AW273" s="578">
        <f t="shared" si="411"/>
        <v>0</v>
      </c>
      <c r="AX273" s="578">
        <v>0</v>
      </c>
      <c r="AY273" s="578">
        <f t="shared" si="376"/>
        <v>0</v>
      </c>
      <c r="AZ273" s="578">
        <f t="shared" si="412"/>
        <v>0</v>
      </c>
      <c r="BA273" s="578">
        <v>0</v>
      </c>
      <c r="BB273" s="578">
        <v>0</v>
      </c>
      <c r="BC273" s="576">
        <f>'[67]Дир_по корп'!AT15</f>
        <v>0</v>
      </c>
      <c r="BD273" s="576">
        <f t="shared" si="389"/>
        <v>0</v>
      </c>
      <c r="BE273" s="576">
        <f t="shared" si="413"/>
        <v>0</v>
      </c>
      <c r="BF273" s="576">
        <f t="shared" si="414"/>
        <v>0</v>
      </c>
      <c r="BG273" s="576">
        <f t="shared" si="398"/>
        <v>0</v>
      </c>
      <c r="BH273" s="578">
        <f t="shared" si="398"/>
        <v>0</v>
      </c>
      <c r="BI273" s="578"/>
      <c r="BJ273" s="578">
        <f t="shared" si="415"/>
        <v>0</v>
      </c>
      <c r="BK273" s="578">
        <f t="shared" si="416"/>
        <v>0</v>
      </c>
      <c r="BL273" s="576">
        <v>0</v>
      </c>
      <c r="BM273" s="578">
        <f>'[67]Дир_по корп'!AW15</f>
        <v>0</v>
      </c>
      <c r="BN273" s="522">
        <f t="shared" si="390"/>
        <v>0</v>
      </c>
      <c r="BO273" s="578">
        <f t="shared" si="426"/>
        <v>0</v>
      </c>
      <c r="BP273" s="578">
        <f t="shared" si="417"/>
        <v>0</v>
      </c>
      <c r="BQ273" s="576">
        <v>0</v>
      </c>
      <c r="BR273" s="578">
        <f>'[67]Дир_по корп'!BB15</f>
        <v>0</v>
      </c>
      <c r="BS273" s="578">
        <f>'[67]Дир_по корп'!BC15</f>
        <v>0</v>
      </c>
      <c r="BT273" s="536"/>
      <c r="BU273" s="578"/>
      <c r="BV273" s="578"/>
      <c r="BW273" s="578"/>
      <c r="BX273" s="574"/>
      <c r="BY273" s="522"/>
      <c r="BZ273" s="522"/>
      <c r="CA273" s="522"/>
      <c r="CB273" s="522">
        <f t="shared" si="391"/>
        <v>0</v>
      </c>
      <c r="CC273" s="522">
        <f t="shared" si="418"/>
        <v>0</v>
      </c>
      <c r="CD273" s="578"/>
      <c r="CE273" s="578"/>
      <c r="CF273" s="578"/>
      <c r="CG273" s="578"/>
      <c r="CH273" s="578"/>
      <c r="CI273" s="578"/>
      <c r="CJ273" s="578"/>
      <c r="CK273" s="543" t="s">
        <v>80</v>
      </c>
      <c r="CL273" s="543" t="s">
        <v>1901</v>
      </c>
      <c r="CM273" s="528" t="s">
        <v>1959</v>
      </c>
      <c r="CN273" s="528"/>
      <c r="CO273" s="528"/>
      <c r="CP273" s="544">
        <f t="shared" si="394"/>
        <v>0</v>
      </c>
      <c r="CQ273" s="544">
        <f t="shared" si="395"/>
        <v>0</v>
      </c>
      <c r="CR273" s="544">
        <f t="shared" si="396"/>
        <v>0</v>
      </c>
      <c r="CS273" s="1709" t="s">
        <v>1826</v>
      </c>
      <c r="CT273" s="1710"/>
      <c r="CU273" s="1710"/>
      <c r="CV273" s="1710"/>
      <c r="CW273" s="1711"/>
      <c r="CX273" s="528"/>
      <c r="CY273" s="528"/>
      <c r="CZ273" s="528"/>
      <c r="DA273" s="528"/>
      <c r="DB273" s="579"/>
      <c r="DC273" s="628" t="e">
        <f>P273-#REF!</f>
        <v>#REF!</v>
      </c>
      <c r="DD273" s="575"/>
      <c r="DE273" s="575"/>
      <c r="DF273" s="522">
        <f t="shared" si="350"/>
        <v>0</v>
      </c>
      <c r="DG273" s="522">
        <f t="shared" si="350"/>
        <v>0</v>
      </c>
      <c r="DH273" s="522">
        <f t="shared" si="350"/>
        <v>0</v>
      </c>
      <c r="DI273" s="522">
        <f t="shared" si="348"/>
        <v>0</v>
      </c>
      <c r="DJ273" s="536"/>
      <c r="DK273" s="536"/>
      <c r="DL273" s="536"/>
      <c r="DM273" s="536"/>
      <c r="DN273" s="536"/>
      <c r="DO273" s="536"/>
      <c r="DP273" s="536"/>
      <c r="DQ273" s="536"/>
      <c r="DR273" s="536"/>
      <c r="DS273" s="536"/>
    </row>
    <row r="274" spans="1:123" s="534" customFormat="1" ht="96" customHeight="1">
      <c r="A274" s="537" t="s">
        <v>1970</v>
      </c>
      <c r="B274" s="538" t="s">
        <v>1971</v>
      </c>
      <c r="C274" s="576"/>
      <c r="D274" s="576"/>
      <c r="E274" s="576"/>
      <c r="F274" s="576"/>
      <c r="G274" s="577">
        <v>0</v>
      </c>
      <c r="H274" s="577">
        <v>0</v>
      </c>
      <c r="I274" s="578">
        <f t="shared" si="385"/>
        <v>0</v>
      </c>
      <c r="J274" s="578">
        <v>0</v>
      </c>
      <c r="K274" s="578">
        <v>0</v>
      </c>
      <c r="L274" s="578">
        <v>0</v>
      </c>
      <c r="M274" s="578">
        <f t="shared" si="386"/>
        <v>0</v>
      </c>
      <c r="N274" s="578"/>
      <c r="O274" s="522">
        <f t="shared" si="387"/>
        <v>0</v>
      </c>
      <c r="P274" s="522">
        <v>0</v>
      </c>
      <c r="Q274" s="576">
        <f t="shared" si="399"/>
        <v>0</v>
      </c>
      <c r="R274" s="576">
        <v>0</v>
      </c>
      <c r="S274" s="576"/>
      <c r="T274" s="576"/>
      <c r="U274" s="522">
        <f t="shared" si="388"/>
        <v>0</v>
      </c>
      <c r="V274" s="522">
        <f t="shared" si="397"/>
        <v>0</v>
      </c>
      <c r="W274" s="522">
        <v>0</v>
      </c>
      <c r="X274" s="522">
        <f t="shared" si="401"/>
        <v>0</v>
      </c>
      <c r="Y274" s="522">
        <v>0</v>
      </c>
      <c r="Z274" s="524">
        <f t="shared" si="403"/>
        <v>0</v>
      </c>
      <c r="AA274" s="522">
        <f t="shared" si="404"/>
        <v>0</v>
      </c>
      <c r="AB274" s="522">
        <v>0</v>
      </c>
      <c r="AC274" s="522">
        <f t="shared" si="405"/>
        <v>0</v>
      </c>
      <c r="AD274" s="522">
        <v>0</v>
      </c>
      <c r="AE274" s="522">
        <f t="shared" si="406"/>
        <v>0</v>
      </c>
      <c r="AF274" s="522">
        <v>0</v>
      </c>
      <c r="AG274" s="522">
        <f t="shared" si="419"/>
        <v>0</v>
      </c>
      <c r="AH274" s="522">
        <f t="shared" si="408"/>
        <v>0</v>
      </c>
      <c r="AI274" s="522">
        <v>0</v>
      </c>
      <c r="AJ274" s="522">
        <f t="shared" si="409"/>
        <v>0</v>
      </c>
      <c r="AK274" s="522">
        <v>0</v>
      </c>
      <c r="AL274" s="522">
        <f t="shared" si="392"/>
        <v>0</v>
      </c>
      <c r="AM274" s="522">
        <f t="shared" si="342"/>
        <v>0</v>
      </c>
      <c r="AN274" s="522">
        <f t="shared" si="342"/>
        <v>0</v>
      </c>
      <c r="AO274" s="522">
        <f t="shared" si="410"/>
        <v>0</v>
      </c>
      <c r="AP274" s="522">
        <v>0</v>
      </c>
      <c r="AQ274" s="578">
        <v>0</v>
      </c>
      <c r="AR274" s="578">
        <v>0</v>
      </c>
      <c r="AS274" s="578">
        <v>0</v>
      </c>
      <c r="AT274" s="578">
        <v>0</v>
      </c>
      <c r="AU274" s="578">
        <f t="shared" si="427"/>
        <v>0</v>
      </c>
      <c r="AV274" s="578">
        <f t="shared" si="427"/>
        <v>0</v>
      </c>
      <c r="AW274" s="578">
        <f t="shared" si="411"/>
        <v>0</v>
      </c>
      <c r="AX274" s="578">
        <v>0</v>
      </c>
      <c r="AY274" s="578">
        <f t="shared" si="376"/>
        <v>0</v>
      </c>
      <c r="AZ274" s="578">
        <f t="shared" si="412"/>
        <v>0</v>
      </c>
      <c r="BA274" s="578">
        <v>0</v>
      </c>
      <c r="BB274" s="578">
        <v>0</v>
      </c>
      <c r="BC274" s="576">
        <f>'[67]Дир_по экон'!AT39</f>
        <v>0</v>
      </c>
      <c r="BD274" s="576">
        <f t="shared" si="389"/>
        <v>0</v>
      </c>
      <c r="BE274" s="576">
        <f t="shared" si="413"/>
        <v>0</v>
      </c>
      <c r="BF274" s="576">
        <f t="shared" si="414"/>
        <v>0</v>
      </c>
      <c r="BG274" s="576">
        <f t="shared" si="398"/>
        <v>0</v>
      </c>
      <c r="BH274" s="578">
        <f t="shared" si="398"/>
        <v>0</v>
      </c>
      <c r="BI274" s="578"/>
      <c r="BJ274" s="578">
        <f t="shared" si="415"/>
        <v>0</v>
      </c>
      <c r="BK274" s="578">
        <f t="shared" si="416"/>
        <v>0</v>
      </c>
      <c r="BL274" s="576">
        <v>0</v>
      </c>
      <c r="BM274" s="578">
        <f>'[67]Дир_по экон'!AW39</f>
        <v>0</v>
      </c>
      <c r="BN274" s="522">
        <f t="shared" si="390"/>
        <v>0</v>
      </c>
      <c r="BO274" s="578">
        <f t="shared" si="426"/>
        <v>0</v>
      </c>
      <c r="BP274" s="578">
        <f t="shared" si="417"/>
        <v>0</v>
      </c>
      <c r="BQ274" s="576">
        <v>0</v>
      </c>
      <c r="BR274" s="578">
        <f>'[67]Дир_по экон'!BB39</f>
        <v>0</v>
      </c>
      <c r="BS274" s="578">
        <f>'[67]Дир_по экон'!BC39</f>
        <v>0</v>
      </c>
      <c r="BT274" s="536"/>
      <c r="BU274" s="578"/>
      <c r="BV274" s="578"/>
      <c r="BW274" s="578"/>
      <c r="BX274" s="574"/>
      <c r="BY274" s="522"/>
      <c r="BZ274" s="522"/>
      <c r="CA274" s="522"/>
      <c r="CB274" s="522">
        <f t="shared" si="391"/>
        <v>0</v>
      </c>
      <c r="CC274" s="522">
        <f t="shared" si="418"/>
        <v>0</v>
      </c>
      <c r="CD274" s="578"/>
      <c r="CE274" s="578"/>
      <c r="CF274" s="578"/>
      <c r="CG274" s="578"/>
      <c r="CH274" s="578"/>
      <c r="CI274" s="578"/>
      <c r="CJ274" s="578"/>
      <c r="CK274" s="543" t="s">
        <v>77</v>
      </c>
      <c r="CL274" s="542" t="s">
        <v>1800</v>
      </c>
      <c r="CM274" s="528" t="s">
        <v>1959</v>
      </c>
      <c r="CN274" s="528"/>
      <c r="CO274" s="528"/>
      <c r="CP274" s="579"/>
      <c r="CQ274" s="579"/>
      <c r="CR274" s="579">
        <f>U274</f>
        <v>0</v>
      </c>
      <c r="CS274" s="1727"/>
      <c r="CT274" s="1728"/>
      <c r="CU274" s="1728"/>
      <c r="CV274" s="1728"/>
      <c r="CW274" s="1729"/>
      <c r="CX274" s="528"/>
      <c r="CY274" s="528"/>
      <c r="CZ274" s="528"/>
      <c r="DA274" s="528"/>
      <c r="DB274" s="579"/>
      <c r="DC274" s="628" t="e">
        <f>P274-#REF!</f>
        <v>#REF!</v>
      </c>
      <c r="DD274" s="575"/>
      <c r="DE274" s="575"/>
      <c r="DF274" s="522">
        <f t="shared" si="350"/>
        <v>0</v>
      </c>
      <c r="DG274" s="522">
        <f t="shared" si="350"/>
        <v>0</v>
      </c>
      <c r="DH274" s="522">
        <f t="shared" si="350"/>
        <v>0</v>
      </c>
      <c r="DI274" s="522">
        <f t="shared" si="348"/>
        <v>0</v>
      </c>
      <c r="DJ274" s="536"/>
      <c r="DK274" s="536"/>
      <c r="DL274" s="536"/>
      <c r="DM274" s="536"/>
      <c r="DN274" s="536"/>
      <c r="DO274" s="536"/>
      <c r="DP274" s="536"/>
      <c r="DQ274" s="536"/>
      <c r="DR274" s="536"/>
      <c r="DS274" s="536"/>
    </row>
    <row r="275" spans="1:123" s="534" customFormat="1" ht="56.4">
      <c r="A275" s="537" t="s">
        <v>1406</v>
      </c>
      <c r="B275" s="538" t="s">
        <v>1407</v>
      </c>
      <c r="C275" s="576"/>
      <c r="D275" s="576"/>
      <c r="E275" s="576"/>
      <c r="F275" s="576">
        <v>616968.56000000006</v>
      </c>
      <c r="G275" s="577">
        <v>0</v>
      </c>
      <c r="H275" s="577">
        <v>0</v>
      </c>
      <c r="I275" s="578">
        <f t="shared" si="385"/>
        <v>39262.71</v>
      </c>
      <c r="J275" s="578">
        <v>39262.71</v>
      </c>
      <c r="K275" s="578">
        <v>0</v>
      </c>
      <c r="L275" s="578">
        <v>0</v>
      </c>
      <c r="M275" s="578">
        <f t="shared" si="386"/>
        <v>39262.71</v>
      </c>
      <c r="N275" s="578">
        <v>63142.71</v>
      </c>
      <c r="O275" s="522">
        <f t="shared" si="387"/>
        <v>0</v>
      </c>
      <c r="P275" s="522">
        <v>63142.71</v>
      </c>
      <c r="Q275" s="576">
        <f t="shared" si="399"/>
        <v>23880</v>
      </c>
      <c r="R275" s="576">
        <f t="shared" si="400"/>
        <v>60.821069151874639</v>
      </c>
      <c r="S275" s="576"/>
      <c r="T275" s="576"/>
      <c r="U275" s="522">
        <f t="shared" si="388"/>
        <v>0</v>
      </c>
      <c r="V275" s="522">
        <f t="shared" si="397"/>
        <v>0</v>
      </c>
      <c r="W275" s="522">
        <v>0</v>
      </c>
      <c r="X275" s="522">
        <f t="shared" si="401"/>
        <v>-63142.71</v>
      </c>
      <c r="Y275" s="522">
        <f t="shared" si="402"/>
        <v>-100</v>
      </c>
      <c r="Z275" s="524">
        <f t="shared" si="403"/>
        <v>0</v>
      </c>
      <c r="AA275" s="522">
        <f t="shared" si="404"/>
        <v>0</v>
      </c>
      <c r="AB275" s="522">
        <v>0</v>
      </c>
      <c r="AC275" s="522">
        <f t="shared" si="405"/>
        <v>0</v>
      </c>
      <c r="AD275" s="522">
        <v>0</v>
      </c>
      <c r="AE275" s="522">
        <f t="shared" si="406"/>
        <v>-63142.71</v>
      </c>
      <c r="AF275" s="522">
        <f t="shared" si="407"/>
        <v>-100</v>
      </c>
      <c r="AG275" s="522">
        <f t="shared" si="419"/>
        <v>102800</v>
      </c>
      <c r="AH275" s="522">
        <f t="shared" si="408"/>
        <v>102800</v>
      </c>
      <c r="AI275" s="522">
        <v>0</v>
      </c>
      <c r="AJ275" s="522">
        <f t="shared" si="409"/>
        <v>102800</v>
      </c>
      <c r="AK275" s="522">
        <v>0</v>
      </c>
      <c r="AL275" s="522">
        <f t="shared" si="392"/>
        <v>102800</v>
      </c>
      <c r="AM275" s="522">
        <f t="shared" ref="AM275:AN325" si="428">AQ275+AS275</f>
        <v>0</v>
      </c>
      <c r="AN275" s="522">
        <f t="shared" si="428"/>
        <v>0</v>
      </c>
      <c r="AO275" s="522">
        <f t="shared" si="410"/>
        <v>0</v>
      </c>
      <c r="AP275" s="522">
        <v>0</v>
      </c>
      <c r="AQ275" s="578">
        <v>0</v>
      </c>
      <c r="AR275" s="578">
        <v>0</v>
      </c>
      <c r="AS275" s="578">
        <v>0</v>
      </c>
      <c r="AT275" s="578">
        <v>0</v>
      </c>
      <c r="AU275" s="578">
        <f t="shared" si="427"/>
        <v>0</v>
      </c>
      <c r="AV275" s="578">
        <f t="shared" si="427"/>
        <v>0</v>
      </c>
      <c r="AW275" s="578">
        <f t="shared" si="411"/>
        <v>0</v>
      </c>
      <c r="AX275" s="578">
        <v>0</v>
      </c>
      <c r="AY275" s="578">
        <f t="shared" si="376"/>
        <v>102800</v>
      </c>
      <c r="AZ275" s="578">
        <f t="shared" si="412"/>
        <v>-102800</v>
      </c>
      <c r="BA275" s="578">
        <v>0</v>
      </c>
      <c r="BB275" s="578">
        <v>0</v>
      </c>
      <c r="BC275" s="576">
        <f>'[67]Дир_ имущ'!AT35</f>
        <v>0</v>
      </c>
      <c r="BD275" s="576">
        <f t="shared" si="389"/>
        <v>102800</v>
      </c>
      <c r="BE275" s="576">
        <f t="shared" si="413"/>
        <v>102800</v>
      </c>
      <c r="BF275" s="576">
        <f t="shared" si="414"/>
        <v>102800</v>
      </c>
      <c r="BG275" s="576">
        <f t="shared" si="398"/>
        <v>0</v>
      </c>
      <c r="BH275" s="578">
        <f t="shared" si="398"/>
        <v>0</v>
      </c>
      <c r="BI275" s="578">
        <v>102800</v>
      </c>
      <c r="BJ275" s="578">
        <f t="shared" si="415"/>
        <v>102800</v>
      </c>
      <c r="BK275" s="578">
        <f t="shared" si="416"/>
        <v>102800</v>
      </c>
      <c r="BL275" s="576">
        <v>0</v>
      </c>
      <c r="BM275" s="578">
        <f>'[67]Дир_ имущ'!AW35</f>
        <v>0</v>
      </c>
      <c r="BN275" s="522">
        <f t="shared" si="390"/>
        <v>0</v>
      </c>
      <c r="BO275" s="578">
        <f t="shared" si="426"/>
        <v>0</v>
      </c>
      <c r="BP275" s="578">
        <f t="shared" si="417"/>
        <v>0</v>
      </c>
      <c r="BQ275" s="576">
        <v>0</v>
      </c>
      <c r="BR275" s="578">
        <f>'[67]Дир_ имущ'!BB35</f>
        <v>0</v>
      </c>
      <c r="BS275" s="578">
        <f>'[67]Дир_ имущ'!BC35</f>
        <v>0</v>
      </c>
      <c r="BT275" s="536"/>
      <c r="BU275" s="578"/>
      <c r="BV275" s="578"/>
      <c r="BW275" s="586">
        <v>102800</v>
      </c>
      <c r="BX275" s="629"/>
      <c r="BY275" s="522">
        <v>99511.77</v>
      </c>
      <c r="BZ275" s="522">
        <f>484.77+1969.44</f>
        <v>2454.21</v>
      </c>
      <c r="CA275" s="522">
        <f>834.02</f>
        <v>834.02</v>
      </c>
      <c r="CB275" s="522">
        <f t="shared" si="391"/>
        <v>102800.00000000001</v>
      </c>
      <c r="CC275" s="522">
        <f t="shared" si="418"/>
        <v>0</v>
      </c>
      <c r="CD275" s="578"/>
      <c r="CE275" s="578"/>
      <c r="CF275" s="578"/>
      <c r="CG275" s="578"/>
      <c r="CH275" s="578"/>
      <c r="CI275" s="578"/>
      <c r="CJ275" s="578"/>
      <c r="CK275" s="543" t="s">
        <v>1815</v>
      </c>
      <c r="CL275" s="543" t="s">
        <v>1816</v>
      </c>
      <c r="CM275" s="528" t="s">
        <v>1959</v>
      </c>
      <c r="CN275" s="528"/>
      <c r="CO275" s="528"/>
      <c r="CP275" s="544">
        <f>U275*$CU$7/100</f>
        <v>0</v>
      </c>
      <c r="CQ275" s="544">
        <f>U275*$CU$8/100</f>
        <v>0</v>
      </c>
      <c r="CR275" s="544">
        <f>U275*$CU$9/100</f>
        <v>0</v>
      </c>
      <c r="CS275" s="1709" t="s">
        <v>1826</v>
      </c>
      <c r="CT275" s="1710"/>
      <c r="CU275" s="1710"/>
      <c r="CV275" s="1710"/>
      <c r="CW275" s="1711"/>
      <c r="CX275" s="528"/>
      <c r="CY275" s="528"/>
      <c r="CZ275" s="528"/>
      <c r="DA275" s="528"/>
      <c r="DB275" s="579"/>
      <c r="DC275" s="628" t="e">
        <f>P275-#REF!</f>
        <v>#REF!</v>
      </c>
      <c r="DD275" s="575"/>
      <c r="DE275" s="575"/>
      <c r="DF275" s="522">
        <f t="shared" si="350"/>
        <v>99.511769999999999</v>
      </c>
      <c r="DG275" s="522">
        <f t="shared" si="350"/>
        <v>2.4542100000000002</v>
      </c>
      <c r="DH275" s="522">
        <f t="shared" si="350"/>
        <v>0.83401999999999998</v>
      </c>
      <c r="DI275" s="522">
        <f t="shared" si="348"/>
        <v>102.80000000000001</v>
      </c>
      <c r="DJ275" s="536"/>
      <c r="DK275" s="536"/>
      <c r="DL275" s="536"/>
      <c r="DM275" s="536"/>
      <c r="DN275" s="536"/>
      <c r="DO275" s="536"/>
      <c r="DP275" s="536"/>
      <c r="DQ275" s="536"/>
      <c r="DR275" s="536"/>
      <c r="DS275" s="536"/>
    </row>
    <row r="276" spans="1:123" s="534" customFormat="1" ht="74.25" customHeight="1">
      <c r="A276" s="537" t="s">
        <v>1410</v>
      </c>
      <c r="B276" s="538" t="s">
        <v>1411</v>
      </c>
      <c r="C276" s="576"/>
      <c r="D276" s="576"/>
      <c r="E276" s="576"/>
      <c r="F276" s="576">
        <v>101742.62</v>
      </c>
      <c r="G276" s="577">
        <v>0</v>
      </c>
      <c r="H276" s="577">
        <v>0</v>
      </c>
      <c r="I276" s="578">
        <f t="shared" si="385"/>
        <v>0</v>
      </c>
      <c r="J276" s="578">
        <v>0</v>
      </c>
      <c r="K276" s="578">
        <v>0</v>
      </c>
      <c r="L276" s="578">
        <v>0</v>
      </c>
      <c r="M276" s="578">
        <f t="shared" si="386"/>
        <v>0</v>
      </c>
      <c r="N276" s="578">
        <v>0</v>
      </c>
      <c r="O276" s="522">
        <f t="shared" si="387"/>
        <v>0</v>
      </c>
      <c r="P276" s="522">
        <v>0</v>
      </c>
      <c r="Q276" s="576">
        <f t="shared" si="399"/>
        <v>0</v>
      </c>
      <c r="R276" s="576">
        <v>0</v>
      </c>
      <c r="S276" s="576"/>
      <c r="T276" s="576"/>
      <c r="U276" s="522">
        <f t="shared" si="388"/>
        <v>550000</v>
      </c>
      <c r="V276" s="522">
        <f t="shared" si="397"/>
        <v>550000</v>
      </c>
      <c r="W276" s="522">
        <v>0</v>
      </c>
      <c r="X276" s="522">
        <f t="shared" si="401"/>
        <v>550000</v>
      </c>
      <c r="Y276" s="522">
        <v>0</v>
      </c>
      <c r="Z276" s="524">
        <f t="shared" si="403"/>
        <v>31201.759999999998</v>
      </c>
      <c r="AA276" s="522">
        <f t="shared" si="404"/>
        <v>31201.759999999998</v>
      </c>
      <c r="AB276" s="522">
        <v>0</v>
      </c>
      <c r="AC276" s="522">
        <f t="shared" si="405"/>
        <v>-518798.24</v>
      </c>
      <c r="AD276" s="522">
        <f t="shared" si="420"/>
        <v>-94.326952727272726</v>
      </c>
      <c r="AE276" s="522">
        <f t="shared" si="406"/>
        <v>31201.759999999998</v>
      </c>
      <c r="AF276" s="522">
        <v>0</v>
      </c>
      <c r="AG276" s="522">
        <f t="shared" si="419"/>
        <v>31201.759999999998</v>
      </c>
      <c r="AH276" s="522">
        <f t="shared" si="408"/>
        <v>-518798.24</v>
      </c>
      <c r="AI276" s="522">
        <f t="shared" si="421"/>
        <v>-94.326952727272726</v>
      </c>
      <c r="AJ276" s="522">
        <f t="shared" si="409"/>
        <v>0</v>
      </c>
      <c r="AK276" s="522">
        <f>AG276/Z276*100-100</f>
        <v>0</v>
      </c>
      <c r="AL276" s="522">
        <f t="shared" si="392"/>
        <v>31201.759999999998</v>
      </c>
      <c r="AM276" s="522">
        <f t="shared" si="428"/>
        <v>550000</v>
      </c>
      <c r="AN276" s="522">
        <f t="shared" si="428"/>
        <v>31201.759999999998</v>
      </c>
      <c r="AO276" s="522">
        <f t="shared" si="410"/>
        <v>-518798.24</v>
      </c>
      <c r="AP276" s="522">
        <f t="shared" si="423"/>
        <v>-94.326952727272726</v>
      </c>
      <c r="AQ276" s="578">
        <v>0</v>
      </c>
      <c r="AR276" s="578">
        <v>0</v>
      </c>
      <c r="AS276" s="578">
        <v>550000</v>
      </c>
      <c r="AT276" s="578">
        <v>31201.759999999998</v>
      </c>
      <c r="AU276" s="578">
        <f t="shared" si="427"/>
        <v>0</v>
      </c>
      <c r="AV276" s="578">
        <f t="shared" si="427"/>
        <v>0</v>
      </c>
      <c r="AW276" s="578">
        <f t="shared" si="411"/>
        <v>0</v>
      </c>
      <c r="AX276" s="578">
        <v>0</v>
      </c>
      <c r="AY276" s="578">
        <f t="shared" si="376"/>
        <v>0</v>
      </c>
      <c r="AZ276" s="578">
        <f t="shared" si="412"/>
        <v>0</v>
      </c>
      <c r="BA276" s="578">
        <v>0</v>
      </c>
      <c r="BB276" s="578">
        <v>0</v>
      </c>
      <c r="BC276" s="576">
        <f>'[67]Дир_по экон'!AT40</f>
        <v>0</v>
      </c>
      <c r="BD276" s="576">
        <f t="shared" si="389"/>
        <v>0</v>
      </c>
      <c r="BE276" s="576">
        <f t="shared" si="413"/>
        <v>0</v>
      </c>
      <c r="BF276" s="576">
        <f t="shared" si="414"/>
        <v>0</v>
      </c>
      <c r="BG276" s="576">
        <f t="shared" si="398"/>
        <v>550000</v>
      </c>
      <c r="BH276" s="578">
        <f t="shared" si="398"/>
        <v>31201.759999999998</v>
      </c>
      <c r="BI276" s="578">
        <v>31201.759999999998</v>
      </c>
      <c r="BJ276" s="578">
        <f t="shared" si="415"/>
        <v>-518798.24</v>
      </c>
      <c r="BK276" s="578">
        <f t="shared" si="416"/>
        <v>0</v>
      </c>
      <c r="BL276" s="576">
        <v>0</v>
      </c>
      <c r="BM276" s="578">
        <f>'[67]Дир_по экон'!AW40</f>
        <v>0</v>
      </c>
      <c r="BN276" s="522">
        <f t="shared" si="390"/>
        <v>0</v>
      </c>
      <c r="BO276" s="578">
        <f t="shared" si="426"/>
        <v>0</v>
      </c>
      <c r="BP276" s="578">
        <f t="shared" si="417"/>
        <v>0</v>
      </c>
      <c r="BQ276" s="576">
        <v>0</v>
      </c>
      <c r="BR276" s="578">
        <f>'[67]Дир_по экон'!BB40</f>
        <v>0</v>
      </c>
      <c r="BS276" s="578">
        <f>'[67]Дир_по экон'!BC40</f>
        <v>0</v>
      </c>
      <c r="BT276" s="536"/>
      <c r="BU276" s="578"/>
      <c r="BV276" s="578"/>
      <c r="BW276" s="586">
        <v>31201.759999999998</v>
      </c>
      <c r="BX276" s="629"/>
      <c r="BY276" s="522">
        <v>30130.46</v>
      </c>
      <c r="BZ276" s="522">
        <f>587.9+173.31</f>
        <v>761.21</v>
      </c>
      <c r="CA276" s="522">
        <v>310.08999999999997</v>
      </c>
      <c r="CB276" s="522">
        <f t="shared" si="391"/>
        <v>31201.759999999998</v>
      </c>
      <c r="CC276" s="522">
        <f t="shared" si="418"/>
        <v>0</v>
      </c>
      <c r="CD276" s="578"/>
      <c r="CE276" s="578"/>
      <c r="CF276" s="578"/>
      <c r="CG276" s="578"/>
      <c r="CH276" s="578"/>
      <c r="CI276" s="578"/>
      <c r="CJ276" s="578"/>
      <c r="CK276" s="543" t="s">
        <v>77</v>
      </c>
      <c r="CL276" s="542" t="s">
        <v>1800</v>
      </c>
      <c r="CM276" s="528" t="s">
        <v>1959</v>
      </c>
      <c r="CN276" s="528"/>
      <c r="CO276" s="528"/>
      <c r="CP276" s="544">
        <f>U276*$CU$7/100</f>
        <v>507441.24765340355</v>
      </c>
      <c r="CQ276" s="544">
        <f>U276*$CU$8/100</f>
        <v>37273.215123929294</v>
      </c>
      <c r="CR276" s="544">
        <f>U276*$CU$9/100</f>
        <v>5285.5372226671388</v>
      </c>
      <c r="CS276" s="1709" t="s">
        <v>1826</v>
      </c>
      <c r="CT276" s="1710"/>
      <c r="CU276" s="1710"/>
      <c r="CV276" s="1710"/>
      <c r="CW276" s="1711"/>
      <c r="CX276" s="528"/>
      <c r="CY276" s="528"/>
      <c r="CZ276" s="528"/>
      <c r="DA276" s="528"/>
      <c r="DB276" s="579"/>
      <c r="DC276" s="628" t="e">
        <f>P276-#REF!</f>
        <v>#REF!</v>
      </c>
      <c r="DD276" s="575"/>
      <c r="DE276" s="575"/>
      <c r="DF276" s="522">
        <f t="shared" si="350"/>
        <v>30.130459999999999</v>
      </c>
      <c r="DG276" s="522">
        <f t="shared" si="350"/>
        <v>0.76121000000000005</v>
      </c>
      <c r="DH276" s="522">
        <f t="shared" si="350"/>
        <v>0.31008999999999998</v>
      </c>
      <c r="DI276" s="522">
        <f t="shared" si="348"/>
        <v>31.20176</v>
      </c>
      <c r="DJ276" s="536"/>
      <c r="DK276" s="536"/>
      <c r="DL276" s="536"/>
      <c r="DM276" s="536"/>
      <c r="DN276" s="536"/>
      <c r="DO276" s="536"/>
      <c r="DP276" s="536"/>
      <c r="DQ276" s="536"/>
      <c r="DR276" s="536"/>
      <c r="DS276" s="536"/>
    </row>
    <row r="277" spans="1:123" s="534" customFormat="1" ht="88.5" customHeight="1">
      <c r="A277" s="537" t="s">
        <v>1425</v>
      </c>
      <c r="B277" s="538" t="s">
        <v>1972</v>
      </c>
      <c r="C277" s="576">
        <v>8177322</v>
      </c>
      <c r="D277" s="576"/>
      <c r="E277" s="576">
        <v>15000440</v>
      </c>
      <c r="F277" s="576">
        <v>6601374.7599999998</v>
      </c>
      <c r="G277" s="577">
        <v>0</v>
      </c>
      <c r="H277" s="577">
        <v>0</v>
      </c>
      <c r="I277" s="578">
        <f t="shared" si="385"/>
        <v>7646791.7300000004</v>
      </c>
      <c r="J277" s="578">
        <v>3286548.33</v>
      </c>
      <c r="K277" s="578">
        <v>2135549.4300000002</v>
      </c>
      <c r="L277" s="578">
        <v>2224693.9700000002</v>
      </c>
      <c r="M277" s="578">
        <f t="shared" si="386"/>
        <v>5422097.7599999998</v>
      </c>
      <c r="N277" s="578">
        <v>4965388.38</v>
      </c>
      <c r="O277" s="522">
        <f t="shared" si="387"/>
        <v>3525088.9799999995</v>
      </c>
      <c r="P277" s="522">
        <v>8490477.3599999994</v>
      </c>
      <c r="Q277" s="576">
        <f t="shared" si="399"/>
        <v>843685.62999999896</v>
      </c>
      <c r="R277" s="576">
        <f t="shared" si="400"/>
        <v>11.033197447892292</v>
      </c>
      <c r="S277" s="576"/>
      <c r="T277" s="576"/>
      <c r="U277" s="522">
        <f t="shared" si="388"/>
        <v>8177322</v>
      </c>
      <c r="V277" s="522">
        <f t="shared" si="397"/>
        <v>8177322</v>
      </c>
      <c r="W277" s="522">
        <v>0</v>
      </c>
      <c r="X277" s="522">
        <f t="shared" si="401"/>
        <v>-313155.3599999994</v>
      </c>
      <c r="Y277" s="522">
        <f t="shared" si="402"/>
        <v>-3.6883127617220168</v>
      </c>
      <c r="Z277" s="524">
        <f t="shared" si="403"/>
        <v>10844541.130000001</v>
      </c>
      <c r="AA277" s="522">
        <f t="shared" si="404"/>
        <v>10844541.130000001</v>
      </c>
      <c r="AB277" s="522">
        <v>0</v>
      </c>
      <c r="AC277" s="522">
        <f t="shared" si="405"/>
        <v>2667219.1300000008</v>
      </c>
      <c r="AD277" s="522">
        <f t="shared" si="420"/>
        <v>32.617269198889318</v>
      </c>
      <c r="AE277" s="522">
        <f t="shared" si="406"/>
        <v>2354063.7700000014</v>
      </c>
      <c r="AF277" s="522">
        <f t="shared" si="407"/>
        <v>27.725929534779439</v>
      </c>
      <c r="AG277" s="522">
        <f t="shared" si="419"/>
        <v>13968786.73</v>
      </c>
      <c r="AH277" s="522">
        <f t="shared" si="408"/>
        <v>5791464.7300000004</v>
      </c>
      <c r="AI277" s="522">
        <f t="shared" si="421"/>
        <v>70.823488790095354</v>
      </c>
      <c r="AJ277" s="522">
        <f t="shared" si="409"/>
        <v>3124245.5999999996</v>
      </c>
      <c r="AK277" s="522">
        <f>AG277/Z277*100-100</f>
        <v>28.809384948130116</v>
      </c>
      <c r="AL277" s="522">
        <f t="shared" si="392"/>
        <v>13968786.73</v>
      </c>
      <c r="AM277" s="522">
        <f t="shared" si="428"/>
        <v>3817079</v>
      </c>
      <c r="AN277" s="522">
        <f t="shared" si="428"/>
        <v>6484297.7300000004</v>
      </c>
      <c r="AO277" s="522">
        <f t="shared" si="410"/>
        <v>2667218.7300000004</v>
      </c>
      <c r="AP277" s="522">
        <f t="shared" si="423"/>
        <v>69.875911135190023</v>
      </c>
      <c r="AQ277" s="578">
        <v>1441578</v>
      </c>
      <c r="AR277" s="578">
        <v>3193981.33</v>
      </c>
      <c r="AS277" s="578">
        <v>2375501</v>
      </c>
      <c r="AT277" s="578">
        <v>3290316.4000000004</v>
      </c>
      <c r="AU277" s="578">
        <f t="shared" si="427"/>
        <v>4360243</v>
      </c>
      <c r="AV277" s="578">
        <f t="shared" si="427"/>
        <v>4360243.4000000004</v>
      </c>
      <c r="AW277" s="578">
        <f t="shared" si="411"/>
        <v>0.40000000037252903</v>
      </c>
      <c r="AX277" s="578">
        <f t="shared" si="424"/>
        <v>9.1738006489094914E-6</v>
      </c>
      <c r="AY277" s="578">
        <f t="shared" si="376"/>
        <v>7484489</v>
      </c>
      <c r="AZ277" s="578">
        <f t="shared" si="412"/>
        <v>-3124245.5999999996</v>
      </c>
      <c r="BA277" s="578">
        <f t="shared" si="425"/>
        <v>-41.742937961429291</v>
      </c>
      <c r="BB277" s="578">
        <v>2135549</v>
      </c>
      <c r="BC277" s="576">
        <f>'[67]Дир_по экон'!AT63</f>
        <v>2135549.4300000002</v>
      </c>
      <c r="BD277" s="576">
        <f t="shared" si="389"/>
        <v>4500440.5</v>
      </c>
      <c r="BE277" s="576">
        <f t="shared" si="413"/>
        <v>2364891.5</v>
      </c>
      <c r="BF277" s="576">
        <f t="shared" si="414"/>
        <v>2364891.0699999998</v>
      </c>
      <c r="BG277" s="576">
        <f t="shared" si="398"/>
        <v>5952628</v>
      </c>
      <c r="BH277" s="578">
        <f t="shared" si="398"/>
        <v>8619847.1600000001</v>
      </c>
      <c r="BI277" s="578">
        <v>10984738.23</v>
      </c>
      <c r="BJ277" s="578">
        <f t="shared" si="415"/>
        <v>5032110.2300000004</v>
      </c>
      <c r="BK277" s="578">
        <f t="shared" si="416"/>
        <v>2364891.0700000003</v>
      </c>
      <c r="BL277" s="576">
        <v>2224694</v>
      </c>
      <c r="BM277" s="578">
        <f>'[67]Дир_по экон'!AW63</f>
        <v>2224693.9699999997</v>
      </c>
      <c r="BN277" s="522">
        <f t="shared" si="390"/>
        <v>2984048.5</v>
      </c>
      <c r="BO277" s="578">
        <f t="shared" si="426"/>
        <v>759354.5</v>
      </c>
      <c r="BP277" s="578">
        <f t="shared" si="417"/>
        <v>759354.53000000026</v>
      </c>
      <c r="BQ277" s="576">
        <v>2224694</v>
      </c>
      <c r="BR277" s="578">
        <f>'[67]Дир_по экон'!BB63</f>
        <v>0</v>
      </c>
      <c r="BS277" s="578">
        <f>'[67]Дир_по экон'!BC63</f>
        <v>0</v>
      </c>
      <c r="BT277" s="536"/>
      <c r="BU277" s="578"/>
      <c r="BV277" s="578"/>
      <c r="BW277" s="586">
        <v>13968786.73</v>
      </c>
      <c r="BX277" s="629"/>
      <c r="BY277" s="522">
        <v>13968786.73</v>
      </c>
      <c r="BZ277" s="522"/>
      <c r="CA277" s="522"/>
      <c r="CB277" s="522">
        <f t="shared" si="391"/>
        <v>13968786.73</v>
      </c>
      <c r="CC277" s="522">
        <f t="shared" si="418"/>
        <v>0</v>
      </c>
      <c r="CD277" s="578"/>
      <c r="CE277" s="578"/>
      <c r="CF277" s="578"/>
      <c r="CG277" s="578"/>
      <c r="CH277" s="578"/>
      <c r="CI277" s="578"/>
      <c r="CJ277" s="578"/>
      <c r="CK277" s="675" t="s">
        <v>77</v>
      </c>
      <c r="CL277" s="675" t="s">
        <v>1856</v>
      </c>
      <c r="CM277" s="528" t="s">
        <v>1959</v>
      </c>
      <c r="CN277" s="528" t="s">
        <v>1849</v>
      </c>
      <c r="CO277" s="528"/>
      <c r="CP277" s="579">
        <f>U277</f>
        <v>8177322</v>
      </c>
      <c r="CQ277" s="579"/>
      <c r="CR277" s="579"/>
      <c r="CS277" s="1727"/>
      <c r="CT277" s="1728"/>
      <c r="CU277" s="1728"/>
      <c r="CV277" s="1728"/>
      <c r="CW277" s="1729"/>
      <c r="CX277" s="528"/>
      <c r="CY277" s="528"/>
      <c r="CZ277" s="528"/>
      <c r="DA277" s="528"/>
      <c r="DB277" s="579">
        <v>3193981.33</v>
      </c>
      <c r="DC277" s="628" t="e">
        <f>P277-#REF!</f>
        <v>#REF!</v>
      </c>
      <c r="DD277" s="575"/>
      <c r="DE277" s="575"/>
      <c r="DF277" s="522">
        <f t="shared" si="350"/>
        <v>13968.78673</v>
      </c>
      <c r="DG277" s="522">
        <f t="shared" si="350"/>
        <v>0</v>
      </c>
      <c r="DH277" s="522">
        <f t="shared" si="350"/>
        <v>0</v>
      </c>
      <c r="DI277" s="522">
        <f t="shared" si="348"/>
        <v>13968.78673</v>
      </c>
      <c r="DJ277" s="536"/>
      <c r="DK277" s="536"/>
      <c r="DL277" s="536"/>
      <c r="DM277" s="536"/>
      <c r="DN277" s="536"/>
      <c r="DO277" s="536"/>
      <c r="DP277" s="536"/>
      <c r="DQ277" s="536"/>
      <c r="DR277" s="536"/>
      <c r="DS277" s="536"/>
    </row>
    <row r="278" spans="1:123" s="534" customFormat="1" ht="67.5" customHeight="1">
      <c r="A278" s="537" t="s">
        <v>1414</v>
      </c>
      <c r="B278" s="538" t="s">
        <v>1415</v>
      </c>
      <c r="C278" s="576">
        <v>1669748</v>
      </c>
      <c r="D278" s="576"/>
      <c r="E278" s="525">
        <v>0</v>
      </c>
      <c r="F278" s="525">
        <v>3205415</v>
      </c>
      <c r="G278" s="596">
        <v>0</v>
      </c>
      <c r="H278" s="596">
        <v>0</v>
      </c>
      <c r="I278" s="522">
        <f t="shared" si="385"/>
        <v>6550184</v>
      </c>
      <c r="J278" s="522">
        <v>4802644</v>
      </c>
      <c r="K278" s="522">
        <v>1495540</v>
      </c>
      <c r="L278" s="522">
        <v>252000</v>
      </c>
      <c r="M278" s="522">
        <f t="shared" si="386"/>
        <v>6298184</v>
      </c>
      <c r="N278" s="522">
        <v>5510956.5</v>
      </c>
      <c r="O278" s="522">
        <f t="shared" si="387"/>
        <v>661415</v>
      </c>
      <c r="P278" s="522">
        <v>6172371.5</v>
      </c>
      <c r="Q278" s="525">
        <f t="shared" si="399"/>
        <v>-377812.5</v>
      </c>
      <c r="R278" s="525">
        <f t="shared" si="400"/>
        <v>-5.767967739532196</v>
      </c>
      <c r="S278" s="576"/>
      <c r="T278" s="576"/>
      <c r="U278" s="522">
        <f t="shared" si="388"/>
        <v>3205415</v>
      </c>
      <c r="V278" s="522">
        <f t="shared" si="397"/>
        <v>3205415</v>
      </c>
      <c r="W278" s="522">
        <v>0</v>
      </c>
      <c r="X278" s="522">
        <f t="shared" si="401"/>
        <v>-2966956.5</v>
      </c>
      <c r="Y278" s="522">
        <f t="shared" si="402"/>
        <v>-48.068339697310833</v>
      </c>
      <c r="Z278" s="524">
        <f t="shared" si="403"/>
        <v>2969562.2</v>
      </c>
      <c r="AA278" s="522">
        <f t="shared" si="404"/>
        <v>2969562.2</v>
      </c>
      <c r="AB278" s="522">
        <v>0</v>
      </c>
      <c r="AC278" s="522">
        <f t="shared" si="405"/>
        <v>-235852.79999999981</v>
      </c>
      <c r="AD278" s="522">
        <f t="shared" si="420"/>
        <v>-7.3579489707260848</v>
      </c>
      <c r="AE278" s="522">
        <f t="shared" si="406"/>
        <v>-3202809.3</v>
      </c>
      <c r="AF278" s="522">
        <f t="shared" si="407"/>
        <v>-51.88944476203352</v>
      </c>
      <c r="AG278" s="522">
        <f t="shared" si="419"/>
        <v>4374472.7</v>
      </c>
      <c r="AH278" s="522">
        <f t="shared" si="408"/>
        <v>1169057.7000000002</v>
      </c>
      <c r="AI278" s="522">
        <f t="shared" si="421"/>
        <v>36.471336784784512</v>
      </c>
      <c r="AJ278" s="522">
        <f t="shared" si="409"/>
        <v>1404910.5</v>
      </c>
      <c r="AK278" s="522">
        <f>AG278/Z278*100-100</f>
        <v>47.310357735561155</v>
      </c>
      <c r="AL278" s="522">
        <f t="shared" si="392"/>
        <v>4374472.7</v>
      </c>
      <c r="AM278" s="522">
        <f t="shared" si="428"/>
        <v>1457875</v>
      </c>
      <c r="AN278" s="522">
        <f t="shared" si="428"/>
        <v>1222022.2</v>
      </c>
      <c r="AO278" s="522">
        <f t="shared" si="410"/>
        <v>-235852.80000000005</v>
      </c>
      <c r="AP278" s="522">
        <f t="shared" si="423"/>
        <v>-16.177847895052736</v>
      </c>
      <c r="AQ278" s="578">
        <v>0</v>
      </c>
      <c r="AR278" s="578">
        <v>569401.19999999995</v>
      </c>
      <c r="AS278" s="578">
        <v>1457875</v>
      </c>
      <c r="AT278" s="578">
        <v>652621</v>
      </c>
      <c r="AU278" s="578">
        <f t="shared" si="427"/>
        <v>1747540</v>
      </c>
      <c r="AV278" s="578">
        <f t="shared" si="427"/>
        <v>1747540</v>
      </c>
      <c r="AW278" s="578">
        <f t="shared" si="411"/>
        <v>0</v>
      </c>
      <c r="AX278" s="578">
        <f t="shared" si="424"/>
        <v>0</v>
      </c>
      <c r="AY278" s="578">
        <f t="shared" si="376"/>
        <v>3152450.5</v>
      </c>
      <c r="AZ278" s="578">
        <f t="shared" si="412"/>
        <v>-1404910.5</v>
      </c>
      <c r="BA278" s="578">
        <f t="shared" si="425"/>
        <v>-44.565664076247991</v>
      </c>
      <c r="BB278" s="578">
        <v>1495540</v>
      </c>
      <c r="BC278" s="576">
        <f>'[67]Дир_по экон'!AT64</f>
        <v>1495540</v>
      </c>
      <c r="BD278" s="576">
        <f t="shared" si="389"/>
        <v>2925215.5</v>
      </c>
      <c r="BE278" s="576">
        <f t="shared" si="413"/>
        <v>1429675.5</v>
      </c>
      <c r="BF278" s="576">
        <f t="shared" si="414"/>
        <v>1429675.5</v>
      </c>
      <c r="BG278" s="576">
        <f t="shared" si="398"/>
        <v>2953415</v>
      </c>
      <c r="BH278" s="578">
        <f t="shared" si="398"/>
        <v>2717562.2</v>
      </c>
      <c r="BI278" s="578">
        <v>4147237.7</v>
      </c>
      <c r="BJ278" s="578">
        <f t="shared" si="415"/>
        <v>1193822.7000000002</v>
      </c>
      <c r="BK278" s="578">
        <f t="shared" si="416"/>
        <v>1429675.5</v>
      </c>
      <c r="BL278" s="576">
        <v>252000</v>
      </c>
      <c r="BM278" s="578">
        <f>'[67]Дир_по экон'!AW64</f>
        <v>252000</v>
      </c>
      <c r="BN278" s="522">
        <f t="shared" si="390"/>
        <v>227235</v>
      </c>
      <c r="BO278" s="578">
        <f t="shared" si="426"/>
        <v>-24765</v>
      </c>
      <c r="BP278" s="578">
        <f t="shared" si="417"/>
        <v>-24765</v>
      </c>
      <c r="BQ278" s="576">
        <v>252000</v>
      </c>
      <c r="BR278" s="578">
        <f>'[67]Дир_по экон'!BB64</f>
        <v>0</v>
      </c>
      <c r="BS278" s="578">
        <f>'[67]Дир_по экон'!BC64</f>
        <v>0</v>
      </c>
      <c r="BT278" s="536"/>
      <c r="BU278" s="578"/>
      <c r="BV278" s="578"/>
      <c r="BW278" s="586">
        <v>4374472.7</v>
      </c>
      <c r="BX278" s="629"/>
      <c r="BY278" s="522">
        <v>4307410.58</v>
      </c>
      <c r="BZ278" s="522">
        <f>23445.07+27435.33</f>
        <v>50880.4</v>
      </c>
      <c r="CA278" s="522">
        <v>16181.72</v>
      </c>
      <c r="CB278" s="522">
        <f t="shared" si="391"/>
        <v>4374472.7</v>
      </c>
      <c r="CC278" s="522">
        <f t="shared" si="418"/>
        <v>0</v>
      </c>
      <c r="CD278" s="578"/>
      <c r="CE278" s="578"/>
      <c r="CF278" s="578"/>
      <c r="CG278" s="578"/>
      <c r="CH278" s="578"/>
      <c r="CI278" s="578"/>
      <c r="CJ278" s="578"/>
      <c r="CK278" s="543" t="s">
        <v>77</v>
      </c>
      <c r="CL278" s="543" t="s">
        <v>1856</v>
      </c>
      <c r="CM278" s="528" t="s">
        <v>1959</v>
      </c>
      <c r="CN278" s="528" t="s">
        <v>1849</v>
      </c>
      <c r="CO278" s="528"/>
      <c r="CP278" s="544">
        <f>U278*$CU$7/100</f>
        <v>2957381.4306307901</v>
      </c>
      <c r="CQ278" s="544">
        <f>U278*$CU$8/100</f>
        <v>217229.3142844906</v>
      </c>
      <c r="CR278" s="544">
        <f>U278*$CU$9/100</f>
        <v>30804.255084719243</v>
      </c>
      <c r="CS278" s="1709" t="s">
        <v>1826</v>
      </c>
      <c r="CT278" s="1710"/>
      <c r="CU278" s="1710"/>
      <c r="CV278" s="1710"/>
      <c r="CW278" s="1711"/>
      <c r="CX278" s="528"/>
      <c r="CY278" s="528"/>
      <c r="CZ278" s="528"/>
      <c r="DA278" s="528"/>
      <c r="DB278" s="579">
        <v>569401.19999999995</v>
      </c>
      <c r="DC278" s="628" t="e">
        <f>P278-#REF!</f>
        <v>#REF!</v>
      </c>
      <c r="DD278" s="575"/>
      <c r="DE278" s="575"/>
      <c r="DF278" s="522">
        <f t="shared" si="350"/>
        <v>4307.4105799999998</v>
      </c>
      <c r="DG278" s="522">
        <f t="shared" si="350"/>
        <v>50.880400000000002</v>
      </c>
      <c r="DH278" s="522">
        <f t="shared" si="350"/>
        <v>16.181719999999999</v>
      </c>
      <c r="DI278" s="522">
        <f t="shared" si="348"/>
        <v>4374.4727000000003</v>
      </c>
      <c r="DJ278" s="536"/>
      <c r="DK278" s="536"/>
      <c r="DL278" s="536"/>
      <c r="DM278" s="536"/>
      <c r="DN278" s="536"/>
      <c r="DO278" s="536"/>
      <c r="DP278" s="536"/>
      <c r="DQ278" s="536"/>
      <c r="DR278" s="536"/>
      <c r="DS278" s="536"/>
    </row>
    <row r="279" spans="1:123" s="534" customFormat="1" ht="64.5" customHeight="1">
      <c r="A279" s="537" t="s">
        <v>550</v>
      </c>
      <c r="B279" s="538" t="s">
        <v>551</v>
      </c>
      <c r="C279" s="576">
        <v>3550000</v>
      </c>
      <c r="D279" s="576"/>
      <c r="E279" s="525">
        <v>0</v>
      </c>
      <c r="F279" s="525"/>
      <c r="G279" s="596">
        <v>0</v>
      </c>
      <c r="H279" s="596">
        <v>0</v>
      </c>
      <c r="I279" s="522">
        <f t="shared" si="385"/>
        <v>0</v>
      </c>
      <c r="J279" s="522">
        <v>0</v>
      </c>
      <c r="K279" s="522">
        <v>0</v>
      </c>
      <c r="L279" s="522">
        <v>0</v>
      </c>
      <c r="M279" s="522">
        <f t="shared" si="386"/>
        <v>0</v>
      </c>
      <c r="N279" s="522"/>
      <c r="O279" s="522">
        <f t="shared" si="387"/>
        <v>90000</v>
      </c>
      <c r="P279" s="522">
        <v>90000</v>
      </c>
      <c r="Q279" s="525">
        <f t="shared" si="399"/>
        <v>90000</v>
      </c>
      <c r="R279" s="525">
        <v>0</v>
      </c>
      <c r="S279" s="576"/>
      <c r="T279" s="576"/>
      <c r="U279" s="522">
        <f t="shared" si="388"/>
        <v>0</v>
      </c>
      <c r="V279" s="522">
        <f t="shared" si="397"/>
        <v>0</v>
      </c>
      <c r="W279" s="522">
        <v>0</v>
      </c>
      <c r="X279" s="522">
        <f t="shared" si="401"/>
        <v>-90000</v>
      </c>
      <c r="Y279" s="522">
        <f t="shared" si="402"/>
        <v>-100</v>
      </c>
      <c r="Z279" s="524">
        <f t="shared" si="403"/>
        <v>0</v>
      </c>
      <c r="AA279" s="522">
        <f t="shared" si="404"/>
        <v>0</v>
      </c>
      <c r="AB279" s="522">
        <v>0</v>
      </c>
      <c r="AC279" s="522">
        <f t="shared" si="405"/>
        <v>0</v>
      </c>
      <c r="AD279" s="522">
        <v>0</v>
      </c>
      <c r="AE279" s="522">
        <f t="shared" si="406"/>
        <v>-90000</v>
      </c>
      <c r="AF279" s="522">
        <f t="shared" si="407"/>
        <v>-100</v>
      </c>
      <c r="AG279" s="522">
        <f t="shared" si="419"/>
        <v>0</v>
      </c>
      <c r="AH279" s="522">
        <f t="shared" si="408"/>
        <v>0</v>
      </c>
      <c r="AI279" s="522">
        <v>0</v>
      </c>
      <c r="AJ279" s="522">
        <f t="shared" si="409"/>
        <v>0</v>
      </c>
      <c r="AK279" s="522">
        <v>0</v>
      </c>
      <c r="AL279" s="522">
        <f t="shared" si="392"/>
        <v>0</v>
      </c>
      <c r="AM279" s="522">
        <f t="shared" si="428"/>
        <v>0</v>
      </c>
      <c r="AN279" s="522">
        <f t="shared" si="428"/>
        <v>0</v>
      </c>
      <c r="AO279" s="522">
        <f t="shared" si="410"/>
        <v>0</v>
      </c>
      <c r="AP279" s="522">
        <v>0</v>
      </c>
      <c r="AQ279" s="578">
        <v>0</v>
      </c>
      <c r="AR279" s="578">
        <v>0</v>
      </c>
      <c r="AS279" s="578">
        <v>0</v>
      </c>
      <c r="AT279" s="578">
        <v>0</v>
      </c>
      <c r="AU279" s="578">
        <f t="shared" si="427"/>
        <v>0</v>
      </c>
      <c r="AV279" s="578">
        <f t="shared" si="427"/>
        <v>0</v>
      </c>
      <c r="AW279" s="578">
        <f t="shared" si="411"/>
        <v>0</v>
      </c>
      <c r="AX279" s="578">
        <v>0</v>
      </c>
      <c r="AY279" s="578">
        <f t="shared" si="376"/>
        <v>0</v>
      </c>
      <c r="AZ279" s="578">
        <f t="shared" si="412"/>
        <v>0</v>
      </c>
      <c r="BA279" s="578">
        <v>0</v>
      </c>
      <c r="BB279" s="578">
        <v>0</v>
      </c>
      <c r="BC279" s="576">
        <f>'[67]Дир_по экон'!AT65</f>
        <v>0</v>
      </c>
      <c r="BD279" s="576">
        <f t="shared" si="389"/>
        <v>0</v>
      </c>
      <c r="BE279" s="576">
        <f t="shared" si="413"/>
        <v>0</v>
      </c>
      <c r="BF279" s="576">
        <f t="shared" si="414"/>
        <v>0</v>
      </c>
      <c r="BG279" s="576">
        <f t="shared" si="398"/>
        <v>0</v>
      </c>
      <c r="BH279" s="578">
        <f t="shared" si="398"/>
        <v>0</v>
      </c>
      <c r="BI279" s="578"/>
      <c r="BJ279" s="578">
        <f t="shared" si="415"/>
        <v>0</v>
      </c>
      <c r="BK279" s="578">
        <f t="shared" si="416"/>
        <v>0</v>
      </c>
      <c r="BL279" s="576">
        <v>0</v>
      </c>
      <c r="BM279" s="578">
        <f>'[67]Дир_по экон'!AW65</f>
        <v>0</v>
      </c>
      <c r="BN279" s="522">
        <f t="shared" si="390"/>
        <v>0</v>
      </c>
      <c r="BO279" s="578">
        <f t="shared" si="426"/>
        <v>0</v>
      </c>
      <c r="BP279" s="578">
        <f t="shared" si="417"/>
        <v>0</v>
      </c>
      <c r="BQ279" s="576">
        <v>0</v>
      </c>
      <c r="BR279" s="578">
        <f>'[67]Дир_по экон'!BB65</f>
        <v>0</v>
      </c>
      <c r="BS279" s="578">
        <f>'[67]Дир_по экон'!BC65</f>
        <v>0</v>
      </c>
      <c r="BT279" s="536"/>
      <c r="BU279" s="578"/>
      <c r="BV279" s="578"/>
      <c r="BW279" s="578"/>
      <c r="BX279" s="629"/>
      <c r="BY279" s="522">
        <f t="shared" ref="BY279:BY282" si="429">BW279*0.861495</f>
        <v>0</v>
      </c>
      <c r="BZ279" s="522"/>
      <c r="CA279" s="522"/>
      <c r="CB279" s="522">
        <f t="shared" si="391"/>
        <v>0</v>
      </c>
      <c r="CC279" s="522">
        <f t="shared" si="418"/>
        <v>0</v>
      </c>
      <c r="CD279" s="578"/>
      <c r="CE279" s="578"/>
      <c r="CF279" s="578"/>
      <c r="CG279" s="578"/>
      <c r="CH279" s="578"/>
      <c r="CI279" s="578"/>
      <c r="CJ279" s="578"/>
      <c r="CK279" s="543" t="s">
        <v>77</v>
      </c>
      <c r="CL279" s="543" t="s">
        <v>1856</v>
      </c>
      <c r="CM279" s="528" t="s">
        <v>1959</v>
      </c>
      <c r="CN279" s="528" t="s">
        <v>1849</v>
      </c>
      <c r="CO279" s="528"/>
      <c r="CP279" s="544">
        <f>U279*$CU$7/100</f>
        <v>0</v>
      </c>
      <c r="CQ279" s="544">
        <f>U279*$CU$8/100</f>
        <v>0</v>
      </c>
      <c r="CR279" s="544">
        <f>U279*$CU$9/100</f>
        <v>0</v>
      </c>
      <c r="CS279" s="1709" t="s">
        <v>1826</v>
      </c>
      <c r="CT279" s="1710"/>
      <c r="CU279" s="1710"/>
      <c r="CV279" s="1710"/>
      <c r="CW279" s="1711"/>
      <c r="CX279" s="528"/>
      <c r="CY279" s="528"/>
      <c r="CZ279" s="528"/>
      <c r="DA279" s="528"/>
      <c r="DB279" s="579"/>
      <c r="DC279" s="628" t="e">
        <f>P279-#REF!</f>
        <v>#REF!</v>
      </c>
      <c r="DD279" s="575"/>
      <c r="DE279" s="575"/>
      <c r="DF279" s="522">
        <f t="shared" si="350"/>
        <v>0</v>
      </c>
      <c r="DG279" s="522">
        <f t="shared" si="350"/>
        <v>0</v>
      </c>
      <c r="DH279" s="522">
        <f t="shared" si="350"/>
        <v>0</v>
      </c>
      <c r="DI279" s="522">
        <f t="shared" si="348"/>
        <v>0</v>
      </c>
      <c r="DJ279" s="536"/>
      <c r="DK279" s="536"/>
      <c r="DL279" s="536"/>
      <c r="DM279" s="536"/>
      <c r="DN279" s="536"/>
      <c r="DO279" s="536"/>
      <c r="DP279" s="536"/>
      <c r="DQ279" s="536"/>
      <c r="DR279" s="536"/>
      <c r="DS279" s="536"/>
    </row>
    <row r="280" spans="1:123" s="534" customFormat="1" ht="56.4">
      <c r="A280" s="537" t="s">
        <v>1418</v>
      </c>
      <c r="B280" s="538" t="s">
        <v>1419</v>
      </c>
      <c r="C280" s="576"/>
      <c r="D280" s="576"/>
      <c r="E280" s="676">
        <v>1998270</v>
      </c>
      <c r="F280" s="576">
        <v>1337517</v>
      </c>
      <c r="G280" s="577">
        <v>0</v>
      </c>
      <c r="H280" s="577">
        <v>0</v>
      </c>
      <c r="I280" s="578">
        <f t="shared" si="385"/>
        <v>2309400</v>
      </c>
      <c r="J280" s="578">
        <v>599400</v>
      </c>
      <c r="K280" s="578">
        <v>1026000</v>
      </c>
      <c r="L280" s="578">
        <v>684000</v>
      </c>
      <c r="M280" s="578">
        <f t="shared" si="386"/>
        <v>1625400</v>
      </c>
      <c r="N280" s="578">
        <v>1241400</v>
      </c>
      <c r="O280" s="522">
        <f t="shared" si="387"/>
        <v>246000</v>
      </c>
      <c r="P280" s="522">
        <v>1487400</v>
      </c>
      <c r="Q280" s="576">
        <f t="shared" si="399"/>
        <v>-822000</v>
      </c>
      <c r="R280" s="576">
        <f t="shared" si="400"/>
        <v>-35.593660691088587</v>
      </c>
      <c r="S280" s="576"/>
      <c r="T280" s="576"/>
      <c r="U280" s="522">
        <f t="shared" si="388"/>
        <v>3592290</v>
      </c>
      <c r="V280" s="522">
        <f t="shared" si="397"/>
        <v>3592290</v>
      </c>
      <c r="W280" s="522">
        <v>0</v>
      </c>
      <c r="X280" s="522">
        <f t="shared" si="401"/>
        <v>2104890</v>
      </c>
      <c r="Y280" s="522">
        <f t="shared" si="402"/>
        <v>141.51472367890275</v>
      </c>
      <c r="Z280" s="524">
        <f t="shared" si="403"/>
        <v>2850342</v>
      </c>
      <c r="AA280" s="522">
        <f t="shared" si="404"/>
        <v>2850342</v>
      </c>
      <c r="AB280" s="522">
        <v>0</v>
      </c>
      <c r="AC280" s="522">
        <f t="shared" si="405"/>
        <v>-741948</v>
      </c>
      <c r="AD280" s="522">
        <f t="shared" si="420"/>
        <v>-20.653900436768751</v>
      </c>
      <c r="AE280" s="522">
        <f t="shared" si="406"/>
        <v>1362942</v>
      </c>
      <c r="AF280" s="522">
        <f t="shared" si="407"/>
        <v>91.632513110125046</v>
      </c>
      <c r="AG280" s="522">
        <f t="shared" si="419"/>
        <v>1617699</v>
      </c>
      <c r="AH280" s="522">
        <f t="shared" si="408"/>
        <v>-1974591</v>
      </c>
      <c r="AI280" s="522">
        <f t="shared" si="421"/>
        <v>-54.96747200253877</v>
      </c>
      <c r="AJ280" s="522">
        <f t="shared" si="409"/>
        <v>-1232643</v>
      </c>
      <c r="AK280" s="522">
        <f>AG280/Z280*100-100</f>
        <v>-43.245442125892261</v>
      </c>
      <c r="AL280" s="522">
        <f t="shared" si="392"/>
        <v>1617699</v>
      </c>
      <c r="AM280" s="522">
        <f t="shared" si="428"/>
        <v>1353660</v>
      </c>
      <c r="AN280" s="522">
        <f t="shared" si="428"/>
        <v>611712</v>
      </c>
      <c r="AO280" s="522">
        <f t="shared" si="410"/>
        <v>-741948</v>
      </c>
      <c r="AP280" s="522">
        <f t="shared" si="423"/>
        <v>-54.810513718363545</v>
      </c>
      <c r="AQ280" s="578">
        <v>541464</v>
      </c>
      <c r="AR280" s="578">
        <v>101952</v>
      </c>
      <c r="AS280" s="578">
        <v>812196</v>
      </c>
      <c r="AT280" s="578">
        <v>509760</v>
      </c>
      <c r="AU280" s="578">
        <f t="shared" si="427"/>
        <v>2238630</v>
      </c>
      <c r="AV280" s="578">
        <f t="shared" si="427"/>
        <v>2238630</v>
      </c>
      <c r="AW280" s="578">
        <f t="shared" si="411"/>
        <v>0</v>
      </c>
      <c r="AX280" s="578">
        <f t="shared" si="424"/>
        <v>0</v>
      </c>
      <c r="AY280" s="578">
        <f t="shared" si="376"/>
        <v>1005987</v>
      </c>
      <c r="AZ280" s="578">
        <f t="shared" si="412"/>
        <v>1232643</v>
      </c>
      <c r="BA280" s="578">
        <f t="shared" si="425"/>
        <v>122.53070864732845</v>
      </c>
      <c r="BB280" s="578">
        <v>1343178</v>
      </c>
      <c r="BC280" s="576">
        <f>'[67]Дир_по корп'!AT49</f>
        <v>1343178</v>
      </c>
      <c r="BD280" s="576">
        <f t="shared" si="389"/>
        <v>425211</v>
      </c>
      <c r="BE280" s="576">
        <f t="shared" si="413"/>
        <v>-917967</v>
      </c>
      <c r="BF280" s="576">
        <f t="shared" si="414"/>
        <v>-917967</v>
      </c>
      <c r="BG280" s="576">
        <f t="shared" si="398"/>
        <v>2696838</v>
      </c>
      <c r="BH280" s="578">
        <f t="shared" si="398"/>
        <v>1954890</v>
      </c>
      <c r="BI280" s="578">
        <v>1036923</v>
      </c>
      <c r="BJ280" s="578">
        <f t="shared" si="415"/>
        <v>-1659915</v>
      </c>
      <c r="BK280" s="578">
        <f t="shared" si="416"/>
        <v>-917967</v>
      </c>
      <c r="BL280" s="576">
        <v>895452</v>
      </c>
      <c r="BM280" s="578">
        <f>'[67]Дир_по корп'!AW49</f>
        <v>895452</v>
      </c>
      <c r="BN280" s="522">
        <f t="shared" si="390"/>
        <v>580776</v>
      </c>
      <c r="BO280" s="578">
        <f t="shared" si="426"/>
        <v>-314676</v>
      </c>
      <c r="BP280" s="578">
        <f t="shared" si="417"/>
        <v>-314676</v>
      </c>
      <c r="BQ280" s="576">
        <v>895452</v>
      </c>
      <c r="BR280" s="578">
        <f>'[67]Дир_по корп'!BB49</f>
        <v>0</v>
      </c>
      <c r="BS280" s="578">
        <f>'[67]Дир_по корп'!BC49</f>
        <v>0</v>
      </c>
      <c r="BT280" s="536"/>
      <c r="BU280" s="578"/>
      <c r="BV280" s="578"/>
      <c r="BW280" s="586">
        <v>1617699</v>
      </c>
      <c r="BX280" s="629"/>
      <c r="BY280" s="522">
        <v>1470443.81</v>
      </c>
      <c r="BZ280" s="522">
        <f>33685.23+95156.13</f>
        <v>128841.36000000002</v>
      </c>
      <c r="CA280" s="522">
        <v>18413.830000000002</v>
      </c>
      <c r="CB280" s="522">
        <f t="shared" si="391"/>
        <v>1617699.0000000002</v>
      </c>
      <c r="CC280" s="522">
        <f t="shared" si="418"/>
        <v>0</v>
      </c>
      <c r="CD280" s="578"/>
      <c r="CE280" s="578"/>
      <c r="CF280" s="578"/>
      <c r="CG280" s="578"/>
      <c r="CH280" s="578"/>
      <c r="CI280" s="578"/>
      <c r="CJ280" s="578"/>
      <c r="CK280" s="543" t="s">
        <v>80</v>
      </c>
      <c r="CL280" s="543" t="s">
        <v>1821</v>
      </c>
      <c r="CM280" s="528" t="s">
        <v>1959</v>
      </c>
      <c r="CN280" s="528" t="s">
        <v>1849</v>
      </c>
      <c r="CO280" s="528"/>
      <c r="CP280" s="579"/>
      <c r="CQ280" s="579"/>
      <c r="CR280" s="579">
        <f>U280</f>
        <v>3592290</v>
      </c>
      <c r="CS280" s="1727"/>
      <c r="CT280" s="1728"/>
      <c r="CU280" s="1728"/>
      <c r="CV280" s="1728"/>
      <c r="CW280" s="1729"/>
      <c r="CX280" s="528"/>
      <c r="CY280" s="528"/>
      <c r="CZ280" s="528"/>
      <c r="DA280" s="528"/>
      <c r="DB280" s="579">
        <v>101952</v>
      </c>
      <c r="DC280" s="628" t="e">
        <f>P280-#REF!</f>
        <v>#REF!</v>
      </c>
      <c r="DD280" s="575"/>
      <c r="DE280" s="575"/>
      <c r="DF280" s="522">
        <f t="shared" si="350"/>
        <v>1470.44381</v>
      </c>
      <c r="DG280" s="522">
        <f t="shared" si="350"/>
        <v>128.84136000000001</v>
      </c>
      <c r="DH280" s="522">
        <f t="shared" si="350"/>
        <v>18.413830000000001</v>
      </c>
      <c r="DI280" s="522">
        <f t="shared" si="348"/>
        <v>1617.6990000000003</v>
      </c>
      <c r="DJ280" s="536"/>
      <c r="DK280" s="536"/>
      <c r="DL280" s="536"/>
      <c r="DM280" s="536"/>
      <c r="DN280" s="536"/>
      <c r="DO280" s="536"/>
      <c r="DP280" s="536"/>
      <c r="DQ280" s="536"/>
      <c r="DR280" s="536"/>
      <c r="DS280" s="536"/>
    </row>
    <row r="281" spans="1:123" s="623" customFormat="1" ht="61.5" customHeight="1">
      <c r="A281" s="537" t="s">
        <v>1422</v>
      </c>
      <c r="B281" s="538" t="s">
        <v>1423</v>
      </c>
      <c r="C281" s="576"/>
      <c r="D281" s="576"/>
      <c r="E281" s="576">
        <v>81411</v>
      </c>
      <c r="F281" s="576">
        <v>78523.5</v>
      </c>
      <c r="G281" s="577">
        <v>0</v>
      </c>
      <c r="H281" s="577">
        <v>0</v>
      </c>
      <c r="I281" s="578">
        <f t="shared" si="385"/>
        <v>99000</v>
      </c>
      <c r="J281" s="578">
        <v>0</v>
      </c>
      <c r="K281" s="578">
        <v>99000</v>
      </c>
      <c r="L281" s="578">
        <v>0</v>
      </c>
      <c r="M281" s="578">
        <f t="shared" si="386"/>
        <v>99000</v>
      </c>
      <c r="N281" s="578">
        <v>267300</v>
      </c>
      <c r="O281" s="522">
        <f t="shared" si="387"/>
        <v>0</v>
      </c>
      <c r="P281" s="522">
        <v>267300</v>
      </c>
      <c r="Q281" s="576">
        <f t="shared" si="399"/>
        <v>168300</v>
      </c>
      <c r="R281" s="576">
        <f t="shared" si="400"/>
        <v>170</v>
      </c>
      <c r="S281" s="576"/>
      <c r="T281" s="576"/>
      <c r="U281" s="522">
        <f t="shared" si="388"/>
        <v>408622.5</v>
      </c>
      <c r="V281" s="522">
        <f t="shared" si="397"/>
        <v>408622.5</v>
      </c>
      <c r="W281" s="522">
        <v>0</v>
      </c>
      <c r="X281" s="522">
        <f t="shared" si="401"/>
        <v>141322.5</v>
      </c>
      <c r="Y281" s="522">
        <f t="shared" si="402"/>
        <v>52.870370370370381</v>
      </c>
      <c r="Z281" s="524">
        <f t="shared" si="403"/>
        <v>276093</v>
      </c>
      <c r="AA281" s="522">
        <f t="shared" si="404"/>
        <v>276093</v>
      </c>
      <c r="AB281" s="522">
        <v>0</v>
      </c>
      <c r="AC281" s="522">
        <f t="shared" si="405"/>
        <v>-132529.5</v>
      </c>
      <c r="AD281" s="522">
        <f t="shared" si="420"/>
        <v>-32.433236055283302</v>
      </c>
      <c r="AE281" s="522">
        <f t="shared" si="406"/>
        <v>8793</v>
      </c>
      <c r="AF281" s="522">
        <f t="shared" si="407"/>
        <v>3.2895622895622978</v>
      </c>
      <c r="AG281" s="522">
        <f t="shared" si="419"/>
        <v>172044</v>
      </c>
      <c r="AH281" s="522">
        <f t="shared" si="408"/>
        <v>-236578.5</v>
      </c>
      <c r="AI281" s="522">
        <f t="shared" si="421"/>
        <v>-57.896591597379</v>
      </c>
      <c r="AJ281" s="522">
        <f t="shared" si="409"/>
        <v>-104049</v>
      </c>
      <c r="AK281" s="522">
        <f>AG281/Z281*100-100</f>
        <v>-37.686214427747167</v>
      </c>
      <c r="AL281" s="522">
        <f t="shared" si="392"/>
        <v>172044</v>
      </c>
      <c r="AM281" s="522">
        <f t="shared" si="428"/>
        <v>304573.5</v>
      </c>
      <c r="AN281" s="522">
        <f t="shared" si="428"/>
        <v>172044</v>
      </c>
      <c r="AO281" s="522">
        <f t="shared" si="410"/>
        <v>-132529.5</v>
      </c>
      <c r="AP281" s="522">
        <f t="shared" si="423"/>
        <v>-43.513142147954433</v>
      </c>
      <c r="AQ281" s="578">
        <v>0</v>
      </c>
      <c r="AR281" s="578">
        <v>0</v>
      </c>
      <c r="AS281" s="578">
        <v>304573.5</v>
      </c>
      <c r="AT281" s="578">
        <v>172044</v>
      </c>
      <c r="AU281" s="578">
        <f t="shared" si="427"/>
        <v>104049</v>
      </c>
      <c r="AV281" s="578">
        <f t="shared" si="427"/>
        <v>104049</v>
      </c>
      <c r="AW281" s="578">
        <f t="shared" si="411"/>
        <v>0</v>
      </c>
      <c r="AX281" s="578">
        <f t="shared" si="424"/>
        <v>0</v>
      </c>
      <c r="AY281" s="578">
        <f t="shared" si="376"/>
        <v>0</v>
      </c>
      <c r="AZ281" s="578">
        <f t="shared" si="412"/>
        <v>104049</v>
      </c>
      <c r="BA281" s="578" t="e">
        <f t="shared" si="425"/>
        <v>#DIV/0!</v>
      </c>
      <c r="BB281" s="578">
        <v>104049</v>
      </c>
      <c r="BC281" s="576">
        <f>'[67]Дир_по корп'!AT50</f>
        <v>104049</v>
      </c>
      <c r="BD281" s="576">
        <f t="shared" si="389"/>
        <v>0</v>
      </c>
      <c r="BE281" s="576">
        <f t="shared" si="413"/>
        <v>-104049</v>
      </c>
      <c r="BF281" s="576">
        <f t="shared" si="414"/>
        <v>-104049</v>
      </c>
      <c r="BG281" s="576">
        <f t="shared" si="398"/>
        <v>408622.5</v>
      </c>
      <c r="BH281" s="578">
        <f t="shared" si="398"/>
        <v>276093</v>
      </c>
      <c r="BI281" s="578">
        <v>172044</v>
      </c>
      <c r="BJ281" s="578">
        <f t="shared" si="415"/>
        <v>-236578.5</v>
      </c>
      <c r="BK281" s="578">
        <f t="shared" si="416"/>
        <v>-104049</v>
      </c>
      <c r="BL281" s="576">
        <v>0</v>
      </c>
      <c r="BM281" s="578">
        <f>'[67]Дир_по корп'!AW50</f>
        <v>0</v>
      </c>
      <c r="BN281" s="522">
        <f t="shared" si="390"/>
        <v>0</v>
      </c>
      <c r="BO281" s="578">
        <f t="shared" si="426"/>
        <v>0</v>
      </c>
      <c r="BP281" s="578">
        <f t="shared" si="417"/>
        <v>0</v>
      </c>
      <c r="BQ281" s="576">
        <v>0</v>
      </c>
      <c r="BR281" s="578">
        <f>'[67]Дир_по корп'!BB50</f>
        <v>0</v>
      </c>
      <c r="BS281" s="578">
        <f>'[67]Дир_по корп'!BC50</f>
        <v>0</v>
      </c>
      <c r="BT281" s="621"/>
      <c r="BU281" s="578"/>
      <c r="BV281" s="578"/>
      <c r="BW281" s="586">
        <v>172044</v>
      </c>
      <c r="BX281" s="629"/>
      <c r="BY281" s="522">
        <v>154542.42000000001</v>
      </c>
      <c r="BZ281" s="522">
        <f>2484.15+13252.09</f>
        <v>15736.24</v>
      </c>
      <c r="CA281" s="522">
        <v>1765.34</v>
      </c>
      <c r="CB281" s="522">
        <f t="shared" si="391"/>
        <v>172044</v>
      </c>
      <c r="CC281" s="522">
        <f t="shared" si="418"/>
        <v>0</v>
      </c>
      <c r="CD281" s="578"/>
      <c r="CE281" s="578"/>
      <c r="CF281" s="578"/>
      <c r="CG281" s="578"/>
      <c r="CH281" s="578"/>
      <c r="CI281" s="578"/>
      <c r="CJ281" s="578"/>
      <c r="CK281" s="543" t="s">
        <v>80</v>
      </c>
      <c r="CL281" s="543" t="s">
        <v>1821</v>
      </c>
      <c r="CM281" s="528" t="s">
        <v>1959</v>
      </c>
      <c r="CN281" s="528" t="s">
        <v>1849</v>
      </c>
      <c r="CO281" s="622"/>
      <c r="CP281" s="544">
        <f t="shared" ref="CP281:CP299" si="430">U281*$CU$7/100</f>
        <v>377003.47494409623</v>
      </c>
      <c r="CQ281" s="544">
        <f t="shared" ref="CQ281:CQ299" si="431">U281*$CU$8/100</f>
        <v>27692.135176323271</v>
      </c>
      <c r="CR281" s="544">
        <f t="shared" ref="CR281:CR299" si="432">U281*$CU$9/100</f>
        <v>3926.8898795805503</v>
      </c>
      <c r="CS281" s="1709" t="s">
        <v>1826</v>
      </c>
      <c r="CT281" s="1710"/>
      <c r="CU281" s="1710"/>
      <c r="CV281" s="1710"/>
      <c r="CW281" s="1711"/>
      <c r="CX281" s="622"/>
      <c r="CY281" s="622"/>
      <c r="CZ281" s="622"/>
      <c r="DA281" s="622"/>
      <c r="DB281" s="579"/>
      <c r="DC281" s="628" t="e">
        <f>P281-#REF!</f>
        <v>#REF!</v>
      </c>
      <c r="DD281" s="575"/>
      <c r="DE281" s="575"/>
      <c r="DF281" s="522">
        <f t="shared" si="350"/>
        <v>154.54242000000002</v>
      </c>
      <c r="DG281" s="522">
        <f t="shared" si="350"/>
        <v>15.73624</v>
      </c>
      <c r="DH281" s="522">
        <f t="shared" si="350"/>
        <v>1.7653399999999999</v>
      </c>
      <c r="DI281" s="522">
        <f t="shared" si="348"/>
        <v>172.04400000000001</v>
      </c>
      <c r="DJ281" s="1062">
        <f>DF277+DF279+DF280+DF281+DF282+DF283+DF284+DF285+DF286+DF287+DF288+DF289+DF290+DF291+DF292+DF293+DF294+DF295</f>
        <v>71512.675900000002</v>
      </c>
      <c r="DK281" s="621"/>
      <c r="DL281" s="621"/>
      <c r="DM281" s="621"/>
      <c r="DN281" s="621"/>
      <c r="DO281" s="621"/>
      <c r="DP281" s="621"/>
      <c r="DQ281" s="621"/>
      <c r="DR281" s="621"/>
      <c r="DS281" s="621"/>
    </row>
    <row r="282" spans="1:123" s="602" customFormat="1" ht="53.25" customHeight="1">
      <c r="A282" s="598" t="s">
        <v>555</v>
      </c>
      <c r="B282" s="610" t="s">
        <v>556</v>
      </c>
      <c r="C282" s="525"/>
      <c r="D282" s="525"/>
      <c r="E282" s="525">
        <v>0</v>
      </c>
      <c r="F282" s="525"/>
      <c r="G282" s="596">
        <v>0</v>
      </c>
      <c r="H282" s="596">
        <v>0</v>
      </c>
      <c r="I282" s="522">
        <f t="shared" si="385"/>
        <v>165650</v>
      </c>
      <c r="J282" s="522">
        <v>165650</v>
      </c>
      <c r="K282" s="522">
        <v>0</v>
      </c>
      <c r="L282" s="522">
        <v>0</v>
      </c>
      <c r="M282" s="522">
        <f t="shared" si="386"/>
        <v>165650</v>
      </c>
      <c r="N282" s="522">
        <v>165650</v>
      </c>
      <c r="O282" s="522">
        <f t="shared" si="387"/>
        <v>0</v>
      </c>
      <c r="P282" s="522">
        <v>165650</v>
      </c>
      <c r="Q282" s="525">
        <f t="shared" si="399"/>
        <v>0</v>
      </c>
      <c r="R282" s="525">
        <f t="shared" si="400"/>
        <v>0</v>
      </c>
      <c r="S282" s="525"/>
      <c r="T282" s="525"/>
      <c r="U282" s="522">
        <f t="shared" si="388"/>
        <v>0</v>
      </c>
      <c r="V282" s="522">
        <f t="shared" si="397"/>
        <v>0</v>
      </c>
      <c r="W282" s="522">
        <v>0</v>
      </c>
      <c r="X282" s="522">
        <f t="shared" si="401"/>
        <v>-165650</v>
      </c>
      <c r="Y282" s="522">
        <f t="shared" si="402"/>
        <v>-100</v>
      </c>
      <c r="Z282" s="524">
        <f t="shared" si="403"/>
        <v>0</v>
      </c>
      <c r="AA282" s="522">
        <f t="shared" si="404"/>
        <v>0</v>
      </c>
      <c r="AB282" s="522">
        <v>0</v>
      </c>
      <c r="AC282" s="522">
        <f t="shared" si="405"/>
        <v>0</v>
      </c>
      <c r="AD282" s="522">
        <v>0</v>
      </c>
      <c r="AE282" s="522">
        <f t="shared" si="406"/>
        <v>-165650</v>
      </c>
      <c r="AF282" s="522">
        <f t="shared" si="407"/>
        <v>-100</v>
      </c>
      <c r="AG282" s="522">
        <f t="shared" si="419"/>
        <v>0</v>
      </c>
      <c r="AH282" s="522">
        <f t="shared" si="408"/>
        <v>0</v>
      </c>
      <c r="AI282" s="522">
        <v>0</v>
      </c>
      <c r="AJ282" s="522">
        <f t="shared" si="409"/>
        <v>0</v>
      </c>
      <c r="AK282" s="522">
        <v>0</v>
      </c>
      <c r="AL282" s="522">
        <f t="shared" si="392"/>
        <v>0</v>
      </c>
      <c r="AM282" s="522">
        <f t="shared" si="428"/>
        <v>0</v>
      </c>
      <c r="AN282" s="522">
        <f t="shared" si="428"/>
        <v>0</v>
      </c>
      <c r="AO282" s="522">
        <f t="shared" si="410"/>
        <v>0</v>
      </c>
      <c r="AP282" s="522">
        <v>0</v>
      </c>
      <c r="AQ282" s="522">
        <v>0</v>
      </c>
      <c r="AR282" s="522">
        <v>0</v>
      </c>
      <c r="AS282" s="522">
        <v>0</v>
      </c>
      <c r="AT282" s="522">
        <v>0</v>
      </c>
      <c r="AU282" s="522">
        <f t="shared" si="427"/>
        <v>0</v>
      </c>
      <c r="AV282" s="522">
        <f t="shared" si="427"/>
        <v>0</v>
      </c>
      <c r="AW282" s="522">
        <f t="shared" si="411"/>
        <v>0</v>
      </c>
      <c r="AX282" s="522">
        <v>0</v>
      </c>
      <c r="AY282" s="522">
        <f t="shared" si="376"/>
        <v>0</v>
      </c>
      <c r="AZ282" s="522">
        <f t="shared" si="412"/>
        <v>0</v>
      </c>
      <c r="BA282" s="522">
        <v>0</v>
      </c>
      <c r="BB282" s="522">
        <v>0</v>
      </c>
      <c r="BC282" s="525">
        <f>'[67]Дир_по экон'!AT66</f>
        <v>0</v>
      </c>
      <c r="BD282" s="525">
        <f t="shared" si="389"/>
        <v>0</v>
      </c>
      <c r="BE282" s="525">
        <f t="shared" si="413"/>
        <v>0</v>
      </c>
      <c r="BF282" s="525">
        <f t="shared" si="414"/>
        <v>0</v>
      </c>
      <c r="BG282" s="525">
        <f t="shared" si="398"/>
        <v>0</v>
      </c>
      <c r="BH282" s="522">
        <f t="shared" si="398"/>
        <v>0</v>
      </c>
      <c r="BI282" s="522"/>
      <c r="BJ282" s="522">
        <f t="shared" si="415"/>
        <v>0</v>
      </c>
      <c r="BK282" s="522">
        <f t="shared" si="416"/>
        <v>0</v>
      </c>
      <c r="BL282" s="525">
        <v>0</v>
      </c>
      <c r="BM282" s="522">
        <f>'[67]Дир_по экон'!AW66</f>
        <v>0</v>
      </c>
      <c r="BN282" s="522">
        <f t="shared" si="390"/>
        <v>0</v>
      </c>
      <c r="BO282" s="522">
        <f t="shared" si="426"/>
        <v>0</v>
      </c>
      <c r="BP282" s="522">
        <f t="shared" si="417"/>
        <v>0</v>
      </c>
      <c r="BQ282" s="525">
        <v>0</v>
      </c>
      <c r="BR282" s="522">
        <f>'[67]Дир_по экон'!BB66</f>
        <v>0</v>
      </c>
      <c r="BS282" s="522">
        <f>'[67]Дир_по экон'!BC66</f>
        <v>0</v>
      </c>
      <c r="BT282" s="600"/>
      <c r="BU282" s="522"/>
      <c r="BV282" s="522"/>
      <c r="BW282" s="522"/>
      <c r="BX282" s="629"/>
      <c r="BY282" s="522">
        <f t="shared" si="429"/>
        <v>0</v>
      </c>
      <c r="BZ282" s="522"/>
      <c r="CA282" s="522"/>
      <c r="CB282" s="522">
        <f t="shared" si="391"/>
        <v>0</v>
      </c>
      <c r="CC282" s="522">
        <f t="shared" si="418"/>
        <v>0</v>
      </c>
      <c r="CD282" s="522"/>
      <c r="CE282" s="522"/>
      <c r="CF282" s="522"/>
      <c r="CG282" s="522"/>
      <c r="CH282" s="522"/>
      <c r="CI282" s="522"/>
      <c r="CJ282" s="522"/>
      <c r="CK282" s="675" t="s">
        <v>77</v>
      </c>
      <c r="CL282" s="675" t="s">
        <v>1856</v>
      </c>
      <c r="CM282" s="528" t="s">
        <v>1959</v>
      </c>
      <c r="CN282" s="528" t="s">
        <v>1849</v>
      </c>
      <c r="CO282" s="601"/>
      <c r="CP282" s="544">
        <f t="shared" si="430"/>
        <v>0</v>
      </c>
      <c r="CQ282" s="544">
        <f t="shared" si="431"/>
        <v>0</v>
      </c>
      <c r="CR282" s="544">
        <f t="shared" si="432"/>
        <v>0</v>
      </c>
      <c r="CS282" s="1709" t="s">
        <v>1826</v>
      </c>
      <c r="CT282" s="1710"/>
      <c r="CU282" s="1710"/>
      <c r="CV282" s="1710"/>
      <c r="CW282" s="1711"/>
      <c r="CX282" s="601"/>
      <c r="CY282" s="601"/>
      <c r="CZ282" s="601"/>
      <c r="DA282" s="601"/>
      <c r="DB282" s="579"/>
      <c r="DC282" s="628" t="e">
        <f>P282-#REF!</f>
        <v>#REF!</v>
      </c>
      <c r="DD282" s="575"/>
      <c r="DE282" s="575"/>
      <c r="DF282" s="522">
        <f t="shared" si="350"/>
        <v>0</v>
      </c>
      <c r="DG282" s="522">
        <f t="shared" si="350"/>
        <v>0</v>
      </c>
      <c r="DH282" s="522">
        <f t="shared" si="350"/>
        <v>0</v>
      </c>
      <c r="DI282" s="522">
        <f t="shared" si="348"/>
        <v>0</v>
      </c>
      <c r="DJ282" s="600"/>
      <c r="DK282" s="600"/>
      <c r="DL282" s="600"/>
      <c r="DM282" s="600"/>
      <c r="DN282" s="600"/>
      <c r="DO282" s="600"/>
      <c r="DP282" s="600"/>
      <c r="DQ282" s="600"/>
      <c r="DR282" s="600"/>
      <c r="DS282" s="600"/>
    </row>
    <row r="283" spans="1:123" s="534" customFormat="1" ht="53.25" customHeight="1">
      <c r="A283" s="537" t="s">
        <v>558</v>
      </c>
      <c r="B283" s="538" t="s">
        <v>559</v>
      </c>
      <c r="C283" s="576">
        <v>577940</v>
      </c>
      <c r="D283" s="576"/>
      <c r="E283" s="525">
        <v>587372</v>
      </c>
      <c r="F283" s="525">
        <v>548012</v>
      </c>
      <c r="G283" s="677">
        <v>40740057.969238497</v>
      </c>
      <c r="H283" s="677">
        <v>0</v>
      </c>
      <c r="I283" s="522">
        <f t="shared" si="385"/>
        <v>640026</v>
      </c>
      <c r="J283" s="522">
        <v>276006</v>
      </c>
      <c r="K283" s="522">
        <v>191350</v>
      </c>
      <c r="L283" s="522">
        <v>172670</v>
      </c>
      <c r="M283" s="522">
        <f t="shared" si="386"/>
        <v>467356</v>
      </c>
      <c r="N283" s="522">
        <v>463126</v>
      </c>
      <c r="O283" s="522">
        <f t="shared" si="387"/>
        <v>172670</v>
      </c>
      <c r="P283" s="522">
        <v>635796</v>
      </c>
      <c r="Q283" s="525">
        <f t="shared" si="399"/>
        <v>-4230</v>
      </c>
      <c r="R283" s="525">
        <f t="shared" si="400"/>
        <v>-0.66091065050481745</v>
      </c>
      <c r="S283" s="525">
        <v>436090</v>
      </c>
      <c r="T283" s="525">
        <v>436090</v>
      </c>
      <c r="U283" s="522">
        <f t="shared" si="388"/>
        <v>865992.47</v>
      </c>
      <c r="V283" s="522">
        <f t="shared" si="397"/>
        <v>429902.47</v>
      </c>
      <c r="W283" s="522">
        <f t="shared" ref="W283:W325" si="433">U283/T283*100-100</f>
        <v>98.581134628173089</v>
      </c>
      <c r="X283" s="522">
        <f t="shared" si="401"/>
        <v>230196.46999999997</v>
      </c>
      <c r="Y283" s="522">
        <f t="shared" si="402"/>
        <v>36.206026775884084</v>
      </c>
      <c r="Z283" s="524">
        <f t="shared" si="403"/>
        <v>796060</v>
      </c>
      <c r="AA283" s="522">
        <f t="shared" si="404"/>
        <v>359970</v>
      </c>
      <c r="AB283" s="522">
        <f t="shared" ref="AB283:AB325" si="434">Z283/T283*100-100</f>
        <v>82.544887523217682</v>
      </c>
      <c r="AC283" s="522">
        <f t="shared" si="405"/>
        <v>-69932.469999999972</v>
      </c>
      <c r="AD283" s="522">
        <f t="shared" si="420"/>
        <v>-8.0754131730498671</v>
      </c>
      <c r="AE283" s="522">
        <f t="shared" si="406"/>
        <v>160264</v>
      </c>
      <c r="AF283" s="522">
        <f t="shared" si="407"/>
        <v>25.20682734713651</v>
      </c>
      <c r="AG283" s="522">
        <f t="shared" si="419"/>
        <v>557610</v>
      </c>
      <c r="AH283" s="522">
        <f t="shared" si="408"/>
        <v>-308382.46999999997</v>
      </c>
      <c r="AI283" s="522">
        <f t="shared" si="421"/>
        <v>-35.610294625310075</v>
      </c>
      <c r="AJ283" s="522">
        <f t="shared" si="409"/>
        <v>-238450</v>
      </c>
      <c r="AK283" s="522">
        <f t="shared" ref="AK283:AK301" si="435">AG283/Z283*100-100</f>
        <v>-29.953772328718941</v>
      </c>
      <c r="AL283" s="522">
        <f t="shared" si="392"/>
        <v>557610</v>
      </c>
      <c r="AM283" s="522">
        <f t="shared" si="428"/>
        <v>378696.31999999995</v>
      </c>
      <c r="AN283" s="522">
        <f t="shared" si="428"/>
        <v>342850</v>
      </c>
      <c r="AO283" s="522">
        <f t="shared" si="410"/>
        <v>-35846.319999999949</v>
      </c>
      <c r="AP283" s="522">
        <f t="shared" si="423"/>
        <v>-9.4657164875539195</v>
      </c>
      <c r="AQ283" s="522">
        <v>159489.25</v>
      </c>
      <c r="AR283" s="522">
        <v>143670</v>
      </c>
      <c r="AS283" s="522">
        <v>219207.06999999998</v>
      </c>
      <c r="AT283" s="522">
        <v>199180</v>
      </c>
      <c r="AU283" s="522">
        <f t="shared" si="427"/>
        <v>487296.15</v>
      </c>
      <c r="AV283" s="522">
        <f t="shared" si="427"/>
        <v>453210</v>
      </c>
      <c r="AW283" s="522">
        <f t="shared" si="411"/>
        <v>-34086.150000000023</v>
      </c>
      <c r="AX283" s="522">
        <f t="shared" si="424"/>
        <v>-6.9949557368758235</v>
      </c>
      <c r="AY283" s="522">
        <f t="shared" si="376"/>
        <v>214760</v>
      </c>
      <c r="AZ283" s="522">
        <f t="shared" si="412"/>
        <v>238450</v>
      </c>
      <c r="BA283" s="522">
        <f t="shared" si="425"/>
        <v>111.03091823430807</v>
      </c>
      <c r="BB283" s="522">
        <v>154927.91</v>
      </c>
      <c r="BC283" s="525">
        <f>'[67]Дир_по экон'!AT67</f>
        <v>128239.99999999999</v>
      </c>
      <c r="BD283" s="525">
        <f t="shared" si="389"/>
        <v>160590</v>
      </c>
      <c r="BE283" s="525">
        <f t="shared" si="413"/>
        <v>5662.0899999999965</v>
      </c>
      <c r="BF283" s="525">
        <f t="shared" si="414"/>
        <v>32350.000000000015</v>
      </c>
      <c r="BG283" s="525">
        <f t="shared" si="398"/>
        <v>533624.23</v>
      </c>
      <c r="BH283" s="522">
        <f t="shared" si="398"/>
        <v>471090</v>
      </c>
      <c r="BI283" s="522">
        <v>503440</v>
      </c>
      <c r="BJ283" s="522">
        <f t="shared" si="415"/>
        <v>-30184.229999999981</v>
      </c>
      <c r="BK283" s="522">
        <f t="shared" si="416"/>
        <v>32350</v>
      </c>
      <c r="BL283" s="525">
        <v>332368.24</v>
      </c>
      <c r="BM283" s="522">
        <f>'[67]Дир_по экон'!AW67</f>
        <v>324970</v>
      </c>
      <c r="BN283" s="522">
        <f t="shared" si="390"/>
        <v>54170</v>
      </c>
      <c r="BO283" s="522">
        <f t="shared" si="426"/>
        <v>-278198.24</v>
      </c>
      <c r="BP283" s="522">
        <f t="shared" si="417"/>
        <v>-270800</v>
      </c>
      <c r="BQ283" s="525">
        <v>332368.24</v>
      </c>
      <c r="BR283" s="522">
        <f>'[67]Дир_по экон'!BB67</f>
        <v>0</v>
      </c>
      <c r="BS283" s="522">
        <f>'[67]Дир_по экон'!BC67</f>
        <v>0</v>
      </c>
      <c r="BT283" s="536"/>
      <c r="BU283" s="522"/>
      <c r="BV283" s="522"/>
      <c r="BW283" s="524">
        <v>557610</v>
      </c>
      <c r="BX283" s="629"/>
      <c r="BY283" s="522">
        <v>550364.1</v>
      </c>
      <c r="BZ283" s="522">
        <f>1500.41+4340.77</f>
        <v>5841.18</v>
      </c>
      <c r="CA283" s="522">
        <f>1404.72</f>
        <v>1404.72</v>
      </c>
      <c r="CB283" s="522">
        <f t="shared" si="391"/>
        <v>557610</v>
      </c>
      <c r="CC283" s="522">
        <f t="shared" si="418"/>
        <v>0</v>
      </c>
      <c r="CD283" s="522"/>
      <c r="CE283" s="522"/>
      <c r="CF283" s="522"/>
      <c r="CG283" s="522"/>
      <c r="CH283" s="522"/>
      <c r="CI283" s="522"/>
      <c r="CJ283" s="522"/>
      <c r="CK283" s="543" t="s">
        <v>77</v>
      </c>
      <c r="CL283" s="543" t="s">
        <v>1856</v>
      </c>
      <c r="CM283" s="528" t="s">
        <v>1959</v>
      </c>
      <c r="CN283" s="528" t="s">
        <v>1849</v>
      </c>
      <c r="CO283" s="528"/>
      <c r="CP283" s="544">
        <f t="shared" si="430"/>
        <v>798982.36260955024</v>
      </c>
      <c r="CQ283" s="544">
        <f t="shared" si="431"/>
        <v>58687.861145477975</v>
      </c>
      <c r="CR283" s="544">
        <f t="shared" si="432"/>
        <v>8322.246244971735</v>
      </c>
      <c r="CS283" s="1709" t="s">
        <v>1826</v>
      </c>
      <c r="CT283" s="1710"/>
      <c r="CU283" s="1710"/>
      <c r="CV283" s="1710"/>
      <c r="CW283" s="1711"/>
      <c r="CX283" s="528"/>
      <c r="CY283" s="528"/>
      <c r="CZ283" s="528"/>
      <c r="DA283" s="528"/>
      <c r="DB283" s="579">
        <v>143670</v>
      </c>
      <c r="DC283" s="628" t="e">
        <f>P283-#REF!</f>
        <v>#REF!</v>
      </c>
      <c r="DD283" s="575"/>
      <c r="DE283" s="575"/>
      <c r="DF283" s="522">
        <f t="shared" si="350"/>
        <v>550.36410000000001</v>
      </c>
      <c r="DG283" s="522">
        <f t="shared" si="350"/>
        <v>5.8411800000000005</v>
      </c>
      <c r="DH283" s="522">
        <f t="shared" si="350"/>
        <v>1.40472</v>
      </c>
      <c r="DI283" s="522">
        <f t="shared" si="350"/>
        <v>557.61</v>
      </c>
      <c r="DJ283" s="536"/>
      <c r="DK283" s="536"/>
      <c r="DL283" s="536"/>
      <c r="DM283" s="536"/>
      <c r="DN283" s="536"/>
      <c r="DO283" s="536"/>
      <c r="DP283" s="536"/>
      <c r="DQ283" s="536"/>
      <c r="DR283" s="536"/>
      <c r="DS283" s="536"/>
    </row>
    <row r="284" spans="1:123" s="534" customFormat="1" ht="84.75" customHeight="1">
      <c r="A284" s="537" t="s">
        <v>561</v>
      </c>
      <c r="B284" s="538" t="s">
        <v>562</v>
      </c>
      <c r="C284" s="576">
        <v>970060</v>
      </c>
      <c r="D284" s="576"/>
      <c r="E284" s="525">
        <v>2655108</v>
      </c>
      <c r="F284" s="525">
        <v>997982</v>
      </c>
      <c r="G284" s="678"/>
      <c r="H284" s="678"/>
      <c r="I284" s="522">
        <f t="shared" si="385"/>
        <v>1235760</v>
      </c>
      <c r="J284" s="522">
        <v>592140</v>
      </c>
      <c r="K284" s="522">
        <v>420040</v>
      </c>
      <c r="L284" s="522">
        <v>223580</v>
      </c>
      <c r="M284" s="522">
        <f t="shared" si="386"/>
        <v>1012180</v>
      </c>
      <c r="N284" s="522">
        <v>950760</v>
      </c>
      <c r="O284" s="522">
        <f t="shared" si="387"/>
        <v>216790</v>
      </c>
      <c r="P284" s="522">
        <v>1167550</v>
      </c>
      <c r="Q284" s="525">
        <f t="shared" si="399"/>
        <v>-68210</v>
      </c>
      <c r="R284" s="525">
        <f t="shared" si="400"/>
        <v>-5.5196801968019713</v>
      </c>
      <c r="S284" s="525">
        <v>994650</v>
      </c>
      <c r="T284" s="525">
        <v>994650</v>
      </c>
      <c r="U284" s="522">
        <f t="shared" si="388"/>
        <v>1810862.49</v>
      </c>
      <c r="V284" s="522">
        <f t="shared" si="397"/>
        <v>816212.49</v>
      </c>
      <c r="W284" s="522">
        <f t="shared" si="433"/>
        <v>82.060271452269632</v>
      </c>
      <c r="X284" s="522">
        <f t="shared" si="401"/>
        <v>643312.49</v>
      </c>
      <c r="Y284" s="522">
        <f t="shared" si="402"/>
        <v>55.09935249025736</v>
      </c>
      <c r="Z284" s="524">
        <f t="shared" si="403"/>
        <v>1297030</v>
      </c>
      <c r="AA284" s="522">
        <f t="shared" si="404"/>
        <v>302380</v>
      </c>
      <c r="AB284" s="522">
        <f t="shared" si="434"/>
        <v>30.400643442416936</v>
      </c>
      <c r="AC284" s="522">
        <f t="shared" si="405"/>
        <v>-513832.49</v>
      </c>
      <c r="AD284" s="522">
        <f t="shared" si="420"/>
        <v>-28.375014272894902</v>
      </c>
      <c r="AE284" s="522">
        <f t="shared" si="406"/>
        <v>129480</v>
      </c>
      <c r="AF284" s="522">
        <f t="shared" si="407"/>
        <v>11.089889083979273</v>
      </c>
      <c r="AG284" s="522">
        <f t="shared" si="419"/>
        <v>782750</v>
      </c>
      <c r="AH284" s="522">
        <f t="shared" si="408"/>
        <v>-1028112.49</v>
      </c>
      <c r="AI284" s="522">
        <f t="shared" si="421"/>
        <v>-56.77474107931851</v>
      </c>
      <c r="AJ284" s="522">
        <f t="shared" si="409"/>
        <v>-514280</v>
      </c>
      <c r="AK284" s="522">
        <f t="shared" si="435"/>
        <v>-39.650586339560377</v>
      </c>
      <c r="AL284" s="522">
        <f t="shared" si="392"/>
        <v>782750</v>
      </c>
      <c r="AM284" s="522">
        <f t="shared" si="428"/>
        <v>843395.97</v>
      </c>
      <c r="AN284" s="522">
        <f t="shared" si="428"/>
        <v>305560</v>
      </c>
      <c r="AO284" s="522">
        <f t="shared" si="410"/>
        <v>-537835.97</v>
      </c>
      <c r="AP284" s="522">
        <f t="shared" si="423"/>
        <v>-63.770279812932948</v>
      </c>
      <c r="AQ284" s="522">
        <v>456964.29</v>
      </c>
      <c r="AR284" s="522">
        <v>149680</v>
      </c>
      <c r="AS284" s="522">
        <v>386431.68</v>
      </c>
      <c r="AT284" s="522">
        <v>155880</v>
      </c>
      <c r="AU284" s="522">
        <f t="shared" si="427"/>
        <v>967466.52</v>
      </c>
      <c r="AV284" s="522">
        <f t="shared" si="427"/>
        <v>991470</v>
      </c>
      <c r="AW284" s="522">
        <f t="shared" si="411"/>
        <v>24003.479999999981</v>
      </c>
      <c r="AX284" s="522">
        <f t="shared" si="424"/>
        <v>2.481065701374348</v>
      </c>
      <c r="AY284" s="522">
        <f t="shared" si="376"/>
        <v>477190</v>
      </c>
      <c r="AZ284" s="522">
        <f t="shared" si="412"/>
        <v>514280</v>
      </c>
      <c r="BA284" s="522">
        <f t="shared" si="425"/>
        <v>107.77258534336428</v>
      </c>
      <c r="BB284" s="522">
        <v>535505.52</v>
      </c>
      <c r="BC284" s="525">
        <f>'[67]Дир_по экон'!AT68</f>
        <v>530040</v>
      </c>
      <c r="BD284" s="525">
        <f t="shared" si="389"/>
        <v>266120</v>
      </c>
      <c r="BE284" s="525">
        <f t="shared" si="413"/>
        <v>-269385.52</v>
      </c>
      <c r="BF284" s="525">
        <f t="shared" si="414"/>
        <v>-263920</v>
      </c>
      <c r="BG284" s="525">
        <f t="shared" si="398"/>
        <v>1378901.49</v>
      </c>
      <c r="BH284" s="522">
        <f t="shared" si="398"/>
        <v>835600</v>
      </c>
      <c r="BI284" s="522">
        <v>571680</v>
      </c>
      <c r="BJ284" s="522">
        <f t="shared" si="415"/>
        <v>-807221.49</v>
      </c>
      <c r="BK284" s="522">
        <f t="shared" si="416"/>
        <v>-263920</v>
      </c>
      <c r="BL284" s="525">
        <v>431961</v>
      </c>
      <c r="BM284" s="522">
        <f>'[67]Дир_по экон'!AW68</f>
        <v>461430</v>
      </c>
      <c r="BN284" s="522">
        <f t="shared" si="390"/>
        <v>211070</v>
      </c>
      <c r="BO284" s="522">
        <f t="shared" si="426"/>
        <v>-220891</v>
      </c>
      <c r="BP284" s="522">
        <f t="shared" si="417"/>
        <v>-250360</v>
      </c>
      <c r="BQ284" s="525">
        <v>431961</v>
      </c>
      <c r="BR284" s="522">
        <f>'[67]Дир_по экон'!BB68</f>
        <v>0</v>
      </c>
      <c r="BS284" s="522">
        <f>'[67]Дир_по экон'!BC68</f>
        <v>0</v>
      </c>
      <c r="BT284" s="536"/>
      <c r="BU284" s="522"/>
      <c r="BV284" s="522"/>
      <c r="BW284" s="524">
        <v>782750</v>
      </c>
      <c r="BX284" s="629"/>
      <c r="BY284" s="522">
        <v>778924.47</v>
      </c>
      <c r="BZ284" s="522">
        <f>1019.72+1800.41</f>
        <v>2820.13</v>
      </c>
      <c r="CA284" s="522">
        <f>1005.4</f>
        <v>1005.4</v>
      </c>
      <c r="CB284" s="522">
        <f t="shared" si="391"/>
        <v>782750</v>
      </c>
      <c r="CC284" s="522">
        <f t="shared" si="418"/>
        <v>0</v>
      </c>
      <c r="CD284" s="522"/>
      <c r="CE284" s="522"/>
      <c r="CF284" s="522"/>
      <c r="CG284" s="522"/>
      <c r="CH284" s="522"/>
      <c r="CI284" s="522"/>
      <c r="CJ284" s="522"/>
      <c r="CK284" s="543" t="s">
        <v>77</v>
      </c>
      <c r="CL284" s="543" t="s">
        <v>1856</v>
      </c>
      <c r="CM284" s="528" t="s">
        <v>1959</v>
      </c>
      <c r="CN284" s="528" t="s">
        <v>1849</v>
      </c>
      <c r="CO284" s="528"/>
      <c r="CP284" s="544">
        <f t="shared" si="430"/>
        <v>1670738.7659169985</v>
      </c>
      <c r="CQ284" s="544">
        <f t="shared" si="431"/>
        <v>122721.21299931685</v>
      </c>
      <c r="CR284" s="544">
        <f t="shared" si="432"/>
        <v>17402.511083684905</v>
      </c>
      <c r="CS284" s="1709" t="s">
        <v>1826</v>
      </c>
      <c r="CT284" s="1710"/>
      <c r="CU284" s="1710"/>
      <c r="CV284" s="1710"/>
      <c r="CW284" s="1711"/>
      <c r="CX284" s="528"/>
      <c r="CY284" s="528"/>
      <c r="CZ284" s="528"/>
      <c r="DA284" s="528"/>
      <c r="DB284" s="579">
        <v>149680</v>
      </c>
      <c r="DC284" s="628" t="e">
        <f>P284-#REF!</f>
        <v>#REF!</v>
      </c>
      <c r="DD284" s="575"/>
      <c r="DE284" s="575"/>
      <c r="DF284" s="522">
        <f t="shared" ref="DF284:DI325" si="436">BY284/1000</f>
        <v>778.92446999999993</v>
      </c>
      <c r="DG284" s="522">
        <f t="shared" si="436"/>
        <v>2.8201300000000002</v>
      </c>
      <c r="DH284" s="522">
        <f t="shared" si="436"/>
        <v>1.0054000000000001</v>
      </c>
      <c r="DI284" s="522">
        <f t="shared" si="436"/>
        <v>782.75</v>
      </c>
      <c r="DJ284" s="536"/>
      <c r="DK284" s="536"/>
      <c r="DL284" s="536"/>
      <c r="DM284" s="536"/>
      <c r="DN284" s="536"/>
      <c r="DO284" s="536"/>
      <c r="DP284" s="536"/>
      <c r="DQ284" s="536"/>
      <c r="DR284" s="536"/>
      <c r="DS284" s="536"/>
    </row>
    <row r="285" spans="1:123" s="534" customFormat="1" ht="53.25" customHeight="1">
      <c r="A285" s="537" t="s">
        <v>564</v>
      </c>
      <c r="B285" s="538" t="s">
        <v>1973</v>
      </c>
      <c r="C285" s="576">
        <v>34885613</v>
      </c>
      <c r="D285" s="576"/>
      <c r="E285" s="525">
        <v>21369486</v>
      </c>
      <c r="F285" s="525">
        <v>36628979.520000003</v>
      </c>
      <c r="G285" s="678"/>
      <c r="H285" s="678"/>
      <c r="I285" s="522">
        <f t="shared" si="385"/>
        <v>36653695.950000003</v>
      </c>
      <c r="J285" s="522">
        <v>0</v>
      </c>
      <c r="K285" s="522">
        <v>0</v>
      </c>
      <c r="L285" s="522">
        <v>36653695.950000003</v>
      </c>
      <c r="M285" s="522">
        <f t="shared" si="386"/>
        <v>0</v>
      </c>
      <c r="N285" s="522"/>
      <c r="O285" s="522">
        <f t="shared" si="387"/>
        <v>38626426.479999997</v>
      </c>
      <c r="P285" s="522">
        <v>38626426.479999997</v>
      </c>
      <c r="Q285" s="525">
        <f t="shared" si="399"/>
        <v>1972730.5299999937</v>
      </c>
      <c r="R285" s="525">
        <f t="shared" si="400"/>
        <v>5.3820780657182041</v>
      </c>
      <c r="S285" s="525">
        <v>37214330</v>
      </c>
      <c r="T285" s="525">
        <v>37214330</v>
      </c>
      <c r="U285" s="522">
        <f t="shared" si="388"/>
        <v>38523034.438268602</v>
      </c>
      <c r="V285" s="522">
        <f t="shared" si="397"/>
        <v>1308704.4382686019</v>
      </c>
      <c r="W285" s="522">
        <f t="shared" si="433"/>
        <v>3.5166680100611813</v>
      </c>
      <c r="X285" s="522">
        <f t="shared" si="401"/>
        <v>-103392.04173139483</v>
      </c>
      <c r="Y285" s="522">
        <f t="shared" si="402"/>
        <v>-0.26767177591467828</v>
      </c>
      <c r="Z285" s="524">
        <f t="shared" si="403"/>
        <v>40420243.555469997</v>
      </c>
      <c r="AA285" s="522">
        <f t="shared" si="404"/>
        <v>3205913.5554699972</v>
      </c>
      <c r="AB285" s="522">
        <f t="shared" si="434"/>
        <v>8.6147286689562748</v>
      </c>
      <c r="AC285" s="522">
        <f t="shared" si="405"/>
        <v>1897209.1172013953</v>
      </c>
      <c r="AD285" s="522">
        <f t="shared" si="420"/>
        <v>4.9248693537929427</v>
      </c>
      <c r="AE285" s="522">
        <f t="shared" si="406"/>
        <v>1793817.0754700005</v>
      </c>
      <c r="AF285" s="522">
        <f t="shared" si="407"/>
        <v>4.6440150926174937</v>
      </c>
      <c r="AG285" s="522">
        <f t="shared" si="419"/>
        <v>42561468.079999998</v>
      </c>
      <c r="AH285" s="522">
        <f t="shared" si="408"/>
        <v>4038433.6417313963</v>
      </c>
      <c r="AI285" s="522">
        <f t="shared" si="421"/>
        <v>10.483165982687055</v>
      </c>
      <c r="AJ285" s="522">
        <f t="shared" si="409"/>
        <v>2141224.524530001</v>
      </c>
      <c r="AK285" s="522">
        <f t="shared" si="435"/>
        <v>5.2974062899733099</v>
      </c>
      <c r="AL285" s="522">
        <f t="shared" si="392"/>
        <v>42561468.079999998</v>
      </c>
      <c r="AM285" s="522">
        <f t="shared" si="428"/>
        <v>0</v>
      </c>
      <c r="AN285" s="522">
        <f t="shared" si="428"/>
        <v>0</v>
      </c>
      <c r="AO285" s="522">
        <f t="shared" si="410"/>
        <v>0</v>
      </c>
      <c r="AP285" s="522">
        <v>0</v>
      </c>
      <c r="AQ285" s="522">
        <v>0</v>
      </c>
      <c r="AR285" s="522">
        <v>0</v>
      </c>
      <c r="AS285" s="522">
        <v>0</v>
      </c>
      <c r="AT285" s="522">
        <v>0</v>
      </c>
      <c r="AU285" s="522">
        <f t="shared" si="427"/>
        <v>38523034.438268602</v>
      </c>
      <c r="AV285" s="522">
        <f t="shared" si="427"/>
        <v>40420243.555469997</v>
      </c>
      <c r="AW285" s="522">
        <f t="shared" si="411"/>
        <v>1897209.1172013953</v>
      </c>
      <c r="AX285" s="522">
        <f t="shared" si="424"/>
        <v>4.9248693537929427</v>
      </c>
      <c r="AY285" s="522">
        <f t="shared" si="376"/>
        <v>42561468.079999998</v>
      </c>
      <c r="AZ285" s="522">
        <f t="shared" si="412"/>
        <v>-2141224.524530001</v>
      </c>
      <c r="BA285" s="522">
        <f t="shared" si="425"/>
        <v>-5.0308991233697213</v>
      </c>
      <c r="BB285" s="522">
        <v>0</v>
      </c>
      <c r="BC285" s="525">
        <f>'[67]Дир_по экон'!AT69</f>
        <v>0</v>
      </c>
      <c r="BD285" s="525">
        <f t="shared" si="389"/>
        <v>0</v>
      </c>
      <c r="BE285" s="525">
        <f t="shared" si="413"/>
        <v>0</v>
      </c>
      <c r="BF285" s="525">
        <f t="shared" si="414"/>
        <v>0</v>
      </c>
      <c r="BG285" s="525">
        <f t="shared" si="398"/>
        <v>0</v>
      </c>
      <c r="BH285" s="522">
        <f t="shared" si="398"/>
        <v>0</v>
      </c>
      <c r="BI285" s="522"/>
      <c r="BJ285" s="522">
        <f t="shared" si="415"/>
        <v>0</v>
      </c>
      <c r="BK285" s="522">
        <f t="shared" si="416"/>
        <v>0</v>
      </c>
      <c r="BL285" s="525">
        <v>38523034.438268602</v>
      </c>
      <c r="BM285" s="522">
        <f>'[67]Дир_по экон'!AW69</f>
        <v>40420243.555469997</v>
      </c>
      <c r="BN285" s="522">
        <f t="shared" si="390"/>
        <v>42561468.079999998</v>
      </c>
      <c r="BO285" s="522">
        <f t="shared" si="426"/>
        <v>4038433.6417313963</v>
      </c>
      <c r="BP285" s="522">
        <f t="shared" si="417"/>
        <v>2141224.524530001</v>
      </c>
      <c r="BQ285" s="525">
        <v>38523034.438268602</v>
      </c>
      <c r="BR285" s="522">
        <f>'[67]Дир_по экон'!BB69</f>
        <v>0</v>
      </c>
      <c r="BS285" s="522">
        <f>'[67]Дир_по экон'!BC69</f>
        <v>0</v>
      </c>
      <c r="BT285" s="536"/>
      <c r="BU285" s="522"/>
      <c r="BV285" s="522"/>
      <c r="BW285" s="524">
        <f>42421968.08+139500</f>
        <v>42561468.079999998</v>
      </c>
      <c r="BX285" s="629"/>
      <c r="BY285" s="522">
        <f>110115.72+33485893.79</f>
        <v>33596009.509999998</v>
      </c>
      <c r="BZ285" s="522">
        <f>1822713.81+5992.92+6649553.89+21865.23</f>
        <v>8500125.8499999996</v>
      </c>
      <c r="CA285" s="522">
        <f>463806.59+1526.13</f>
        <v>465332.72000000003</v>
      </c>
      <c r="CB285" s="522">
        <f t="shared" si="391"/>
        <v>42561468.079999998</v>
      </c>
      <c r="CC285" s="522">
        <f t="shared" si="418"/>
        <v>0</v>
      </c>
      <c r="CD285" s="522"/>
      <c r="CE285" s="522"/>
      <c r="CF285" s="522"/>
      <c r="CG285" s="522"/>
      <c r="CH285" s="522"/>
      <c r="CI285" s="522"/>
      <c r="CJ285" s="522"/>
      <c r="CK285" s="543" t="s">
        <v>77</v>
      </c>
      <c r="CL285" s="543" t="s">
        <v>1856</v>
      </c>
      <c r="CM285" s="528" t="s">
        <v>1959</v>
      </c>
      <c r="CN285" s="528" t="s">
        <v>1849</v>
      </c>
      <c r="CO285" s="528"/>
      <c r="CP285" s="544">
        <f t="shared" si="430"/>
        <v>35542139.379545547</v>
      </c>
      <c r="CQ285" s="544">
        <f t="shared" si="431"/>
        <v>2610686.0906256773</v>
      </c>
      <c r="CR285" s="544">
        <f t="shared" si="432"/>
        <v>370208.96809737588</v>
      </c>
      <c r="CS285" s="1709" t="s">
        <v>1826</v>
      </c>
      <c r="CT285" s="1710"/>
      <c r="CU285" s="1710"/>
      <c r="CV285" s="1710"/>
      <c r="CW285" s="1711"/>
      <c r="CX285" s="528"/>
      <c r="CY285" s="528"/>
      <c r="CZ285" s="528"/>
      <c r="DA285" s="528"/>
      <c r="DB285" s="579"/>
      <c r="DC285" s="628" t="e">
        <f>P285-#REF!</f>
        <v>#REF!</v>
      </c>
      <c r="DD285" s="575"/>
      <c r="DE285" s="575"/>
      <c r="DF285" s="522">
        <f t="shared" si="436"/>
        <v>33596.009509999996</v>
      </c>
      <c r="DG285" s="522">
        <f t="shared" si="436"/>
        <v>8500.1258500000004</v>
      </c>
      <c r="DH285" s="522">
        <f t="shared" si="436"/>
        <v>465.33272000000005</v>
      </c>
      <c r="DI285" s="522">
        <f t="shared" si="436"/>
        <v>42561.468079999999</v>
      </c>
      <c r="DJ285" s="536"/>
      <c r="DK285" s="536"/>
      <c r="DL285" s="536"/>
      <c r="DM285" s="536"/>
      <c r="DN285" s="536"/>
      <c r="DO285" s="536"/>
      <c r="DP285" s="536"/>
      <c r="DQ285" s="536"/>
      <c r="DR285" s="536"/>
      <c r="DS285" s="536"/>
    </row>
    <row r="286" spans="1:123" s="602" customFormat="1" ht="89.25" customHeight="1">
      <c r="A286" s="598" t="s">
        <v>569</v>
      </c>
      <c r="B286" s="610" t="s">
        <v>1974</v>
      </c>
      <c r="C286" s="525"/>
      <c r="D286" s="525"/>
      <c r="E286" s="525">
        <v>0</v>
      </c>
      <c r="F286" s="525">
        <v>527000</v>
      </c>
      <c r="G286" s="678"/>
      <c r="H286" s="678"/>
      <c r="I286" s="522">
        <f t="shared" si="385"/>
        <v>527000</v>
      </c>
      <c r="J286" s="522">
        <v>0</v>
      </c>
      <c r="K286" s="522">
        <v>0</v>
      </c>
      <c r="L286" s="522">
        <v>527000</v>
      </c>
      <c r="M286" s="522">
        <f t="shared" si="386"/>
        <v>0</v>
      </c>
      <c r="N286" s="522"/>
      <c r="O286" s="522">
        <f t="shared" si="387"/>
        <v>564500</v>
      </c>
      <c r="P286" s="522">
        <v>564500</v>
      </c>
      <c r="Q286" s="525">
        <f t="shared" si="399"/>
        <v>37500</v>
      </c>
      <c r="R286" s="525">
        <f t="shared" si="400"/>
        <v>7.1157495256166925</v>
      </c>
      <c r="S286" s="525">
        <v>0</v>
      </c>
      <c r="T286" s="525">
        <v>0</v>
      </c>
      <c r="U286" s="522">
        <f t="shared" si="388"/>
        <v>555000</v>
      </c>
      <c r="V286" s="522">
        <f t="shared" si="397"/>
        <v>555000</v>
      </c>
      <c r="W286" s="522">
        <v>0</v>
      </c>
      <c r="X286" s="522">
        <f t="shared" si="401"/>
        <v>-9500</v>
      </c>
      <c r="Y286" s="522">
        <f t="shared" si="402"/>
        <v>-1.6829052258635926</v>
      </c>
      <c r="Z286" s="524">
        <f t="shared" si="403"/>
        <v>555000</v>
      </c>
      <c r="AA286" s="522">
        <f t="shared" si="404"/>
        <v>555000</v>
      </c>
      <c r="AB286" s="522">
        <v>0</v>
      </c>
      <c r="AC286" s="522">
        <f t="shared" si="405"/>
        <v>0</v>
      </c>
      <c r="AD286" s="522">
        <f t="shared" si="420"/>
        <v>0</v>
      </c>
      <c r="AE286" s="522">
        <f t="shared" si="406"/>
        <v>-9500</v>
      </c>
      <c r="AF286" s="522">
        <f t="shared" si="407"/>
        <v>-1.6829052258635926</v>
      </c>
      <c r="AG286" s="522">
        <f t="shared" si="419"/>
        <v>567000</v>
      </c>
      <c r="AH286" s="522">
        <f t="shared" si="408"/>
        <v>12000</v>
      </c>
      <c r="AI286" s="522">
        <f t="shared" si="421"/>
        <v>2.1621621621621614</v>
      </c>
      <c r="AJ286" s="522">
        <f t="shared" si="409"/>
        <v>12000</v>
      </c>
      <c r="AK286" s="522">
        <f t="shared" si="435"/>
        <v>2.1621621621621614</v>
      </c>
      <c r="AL286" s="522">
        <f t="shared" si="392"/>
        <v>567000</v>
      </c>
      <c r="AM286" s="522">
        <f t="shared" si="428"/>
        <v>0</v>
      </c>
      <c r="AN286" s="522">
        <f t="shared" si="428"/>
        <v>0</v>
      </c>
      <c r="AO286" s="522">
        <f t="shared" si="410"/>
        <v>0</v>
      </c>
      <c r="AP286" s="522">
        <v>0</v>
      </c>
      <c r="AQ286" s="522">
        <v>0</v>
      </c>
      <c r="AR286" s="522">
        <v>0</v>
      </c>
      <c r="AS286" s="522">
        <v>0</v>
      </c>
      <c r="AT286" s="522">
        <v>0</v>
      </c>
      <c r="AU286" s="522">
        <f t="shared" si="427"/>
        <v>555000</v>
      </c>
      <c r="AV286" s="522">
        <f t="shared" si="427"/>
        <v>555000</v>
      </c>
      <c r="AW286" s="522">
        <f t="shared" si="411"/>
        <v>0</v>
      </c>
      <c r="AX286" s="522">
        <f t="shared" si="424"/>
        <v>0</v>
      </c>
      <c r="AY286" s="522">
        <f t="shared" si="376"/>
        <v>567000</v>
      </c>
      <c r="AZ286" s="522">
        <f t="shared" si="412"/>
        <v>-12000</v>
      </c>
      <c r="BA286" s="522">
        <f t="shared" si="425"/>
        <v>-2.1164021164021136</v>
      </c>
      <c r="BB286" s="522">
        <v>0</v>
      </c>
      <c r="BC286" s="525">
        <f>'[67]Дир_по экон'!AT70</f>
        <v>0</v>
      </c>
      <c r="BD286" s="525">
        <f t="shared" si="389"/>
        <v>0</v>
      </c>
      <c r="BE286" s="525">
        <f t="shared" si="413"/>
        <v>0</v>
      </c>
      <c r="BF286" s="525">
        <f t="shared" si="414"/>
        <v>0</v>
      </c>
      <c r="BG286" s="525">
        <f t="shared" si="398"/>
        <v>0</v>
      </c>
      <c r="BH286" s="522">
        <f t="shared" si="398"/>
        <v>0</v>
      </c>
      <c r="BI286" s="522"/>
      <c r="BJ286" s="522">
        <f t="shared" si="415"/>
        <v>0</v>
      </c>
      <c r="BK286" s="522">
        <f t="shared" si="416"/>
        <v>0</v>
      </c>
      <c r="BL286" s="525">
        <v>555000</v>
      </c>
      <c r="BM286" s="522">
        <f>'[67]Дир_по экон'!AW70</f>
        <v>555000</v>
      </c>
      <c r="BN286" s="522">
        <f t="shared" si="390"/>
        <v>567000</v>
      </c>
      <c r="BO286" s="522">
        <f t="shared" si="426"/>
        <v>12000</v>
      </c>
      <c r="BP286" s="522">
        <f t="shared" si="417"/>
        <v>12000</v>
      </c>
      <c r="BQ286" s="525">
        <v>555000</v>
      </c>
      <c r="BR286" s="522">
        <f>'[67]Дир_по экон'!BB70</f>
        <v>0</v>
      </c>
      <c r="BS286" s="522">
        <f>'[67]Дир_по экон'!BC70</f>
        <v>0</v>
      </c>
      <c r="BT286" s="600"/>
      <c r="BU286" s="522"/>
      <c r="BV286" s="522"/>
      <c r="BW286" s="524">
        <v>567000</v>
      </c>
      <c r="BX286" s="629"/>
      <c r="BY286" s="522">
        <v>510502.48</v>
      </c>
      <c r="BZ286" s="522">
        <f>15000+8464.38+30879.34</f>
        <v>54343.72</v>
      </c>
      <c r="CA286" s="522">
        <f>2153.8</f>
        <v>2153.8000000000002</v>
      </c>
      <c r="CB286" s="522">
        <f t="shared" si="391"/>
        <v>567000</v>
      </c>
      <c r="CC286" s="522">
        <f t="shared" si="418"/>
        <v>0</v>
      </c>
      <c r="CD286" s="522"/>
      <c r="CE286" s="522"/>
      <c r="CF286" s="522"/>
      <c r="CG286" s="522"/>
      <c r="CH286" s="522"/>
      <c r="CI286" s="522"/>
      <c r="CJ286" s="522"/>
      <c r="CK286" s="675" t="s">
        <v>77</v>
      </c>
      <c r="CL286" s="675" t="s">
        <v>1856</v>
      </c>
      <c r="CM286" s="528" t="s">
        <v>1959</v>
      </c>
      <c r="CN286" s="528" t="s">
        <v>1849</v>
      </c>
      <c r="CO286" s="601"/>
      <c r="CP286" s="544">
        <f t="shared" si="430"/>
        <v>512054.34990479815</v>
      </c>
      <c r="CQ286" s="544">
        <f t="shared" si="431"/>
        <v>37612.06253414684</v>
      </c>
      <c r="CR286" s="544">
        <f t="shared" si="432"/>
        <v>5333.5875610550211</v>
      </c>
      <c r="CS286" s="1709" t="s">
        <v>1826</v>
      </c>
      <c r="CT286" s="1710"/>
      <c r="CU286" s="1710"/>
      <c r="CV286" s="1710"/>
      <c r="CW286" s="1711"/>
      <c r="CX286" s="601"/>
      <c r="CY286" s="601"/>
      <c r="CZ286" s="601"/>
      <c r="DA286" s="601"/>
      <c r="DB286" s="579"/>
      <c r="DC286" s="628" t="e">
        <f>P286-#REF!</f>
        <v>#REF!</v>
      </c>
      <c r="DD286" s="575"/>
      <c r="DE286" s="575"/>
      <c r="DF286" s="522">
        <f t="shared" si="436"/>
        <v>510.50247999999999</v>
      </c>
      <c r="DG286" s="522">
        <f t="shared" si="436"/>
        <v>54.343720000000005</v>
      </c>
      <c r="DH286" s="522">
        <f t="shared" si="436"/>
        <v>2.1538000000000004</v>
      </c>
      <c r="DI286" s="522">
        <f t="shared" si="436"/>
        <v>567</v>
      </c>
      <c r="DJ286" s="600"/>
      <c r="DK286" s="600"/>
      <c r="DL286" s="600"/>
      <c r="DM286" s="600"/>
      <c r="DN286" s="600"/>
      <c r="DO286" s="600"/>
      <c r="DP286" s="600"/>
      <c r="DQ286" s="600"/>
      <c r="DR286" s="600"/>
      <c r="DS286" s="600"/>
    </row>
    <row r="287" spans="1:123" s="534" customFormat="1" ht="60.75" customHeight="1">
      <c r="A287" s="537" t="s">
        <v>571</v>
      </c>
      <c r="B287" s="538" t="s">
        <v>572</v>
      </c>
      <c r="C287" s="576">
        <v>1687935</v>
      </c>
      <c r="D287" s="576"/>
      <c r="E287" s="576">
        <v>1743831.9</v>
      </c>
      <c r="F287" s="576">
        <v>1781099.32</v>
      </c>
      <c r="G287" s="577">
        <v>0</v>
      </c>
      <c r="H287" s="577">
        <v>0</v>
      </c>
      <c r="I287" s="578">
        <f t="shared" si="385"/>
        <v>2241282.5499999998</v>
      </c>
      <c r="J287" s="578">
        <v>904865.85</v>
      </c>
      <c r="K287" s="578">
        <v>668208.35</v>
      </c>
      <c r="L287" s="578">
        <v>668208.35</v>
      </c>
      <c r="M287" s="578">
        <f t="shared" si="386"/>
        <v>1573074.2</v>
      </c>
      <c r="N287" s="578">
        <v>1357672.83</v>
      </c>
      <c r="O287" s="522">
        <f t="shared" si="387"/>
        <v>450995.54000000004</v>
      </c>
      <c r="P287" s="522">
        <v>1808668.37</v>
      </c>
      <c r="Q287" s="576">
        <f t="shared" si="399"/>
        <v>-432614.1799999997</v>
      </c>
      <c r="R287" s="576">
        <f t="shared" si="400"/>
        <v>-19.302081301619012</v>
      </c>
      <c r="S287" s="576">
        <v>954120</v>
      </c>
      <c r="T287" s="576">
        <v>954120</v>
      </c>
      <c r="U287" s="522">
        <f t="shared" si="388"/>
        <v>1902028.02</v>
      </c>
      <c r="V287" s="522">
        <f t="shared" si="397"/>
        <v>947908.02</v>
      </c>
      <c r="W287" s="522">
        <f t="shared" si="433"/>
        <v>99.348930952081503</v>
      </c>
      <c r="X287" s="522">
        <f t="shared" si="401"/>
        <v>93359.649999999907</v>
      </c>
      <c r="Y287" s="522">
        <f t="shared" si="402"/>
        <v>5.1617892781527388</v>
      </c>
      <c r="Z287" s="524">
        <f t="shared" si="403"/>
        <v>1897098.82</v>
      </c>
      <c r="AA287" s="522">
        <f t="shared" si="404"/>
        <v>942978.82000000007</v>
      </c>
      <c r="AB287" s="522">
        <f t="shared" si="434"/>
        <v>98.832308305035014</v>
      </c>
      <c r="AC287" s="522">
        <f t="shared" si="405"/>
        <v>-4929.1999999999534</v>
      </c>
      <c r="AD287" s="522">
        <f t="shared" si="420"/>
        <v>-0.25915496239640845</v>
      </c>
      <c r="AE287" s="522">
        <f t="shared" si="406"/>
        <v>88430.449999999953</v>
      </c>
      <c r="AF287" s="522">
        <f t="shared" si="407"/>
        <v>4.8892572826935634</v>
      </c>
      <c r="AG287" s="522">
        <f t="shared" si="419"/>
        <v>1899286.8</v>
      </c>
      <c r="AH287" s="522">
        <f t="shared" si="408"/>
        <v>-2741.2199999999721</v>
      </c>
      <c r="AI287" s="522">
        <f t="shared" si="421"/>
        <v>-0.14412090522199605</v>
      </c>
      <c r="AJ287" s="522">
        <f t="shared" si="409"/>
        <v>2187.9799999999814</v>
      </c>
      <c r="AK287" s="522">
        <f t="shared" si="435"/>
        <v>0.11533294823303208</v>
      </c>
      <c r="AL287" s="522">
        <f t="shared" si="392"/>
        <v>1899286.8</v>
      </c>
      <c r="AM287" s="522">
        <f t="shared" si="428"/>
        <v>951014</v>
      </c>
      <c r="AN287" s="522">
        <f t="shared" si="428"/>
        <v>946084.8</v>
      </c>
      <c r="AO287" s="522">
        <f t="shared" si="410"/>
        <v>-4929.1999999999534</v>
      </c>
      <c r="AP287" s="522">
        <f t="shared" si="423"/>
        <v>-0.51830993024287864</v>
      </c>
      <c r="AQ287" s="578">
        <v>475507</v>
      </c>
      <c r="AR287" s="578">
        <v>471467.52000000002</v>
      </c>
      <c r="AS287" s="578">
        <v>475507</v>
      </c>
      <c r="AT287" s="578">
        <v>474617.28</v>
      </c>
      <c r="AU287" s="578">
        <f t="shared" si="427"/>
        <v>951014.02</v>
      </c>
      <c r="AV287" s="578">
        <f t="shared" si="427"/>
        <v>951014.02</v>
      </c>
      <c r="AW287" s="578">
        <f t="shared" si="411"/>
        <v>0</v>
      </c>
      <c r="AX287" s="578">
        <f t="shared" si="424"/>
        <v>0</v>
      </c>
      <c r="AY287" s="578">
        <f t="shared" si="376"/>
        <v>953202</v>
      </c>
      <c r="AZ287" s="578">
        <f t="shared" si="412"/>
        <v>-2187.9799999999814</v>
      </c>
      <c r="BA287" s="578">
        <f t="shared" si="425"/>
        <v>-0.2295400135543133</v>
      </c>
      <c r="BB287" s="578">
        <v>475507</v>
      </c>
      <c r="BC287" s="576">
        <f>'[67]Дир_по корп'!AT16</f>
        <v>475507</v>
      </c>
      <c r="BD287" s="576">
        <f t="shared" si="389"/>
        <v>476367</v>
      </c>
      <c r="BE287" s="576">
        <f t="shared" si="413"/>
        <v>860</v>
      </c>
      <c r="BF287" s="576">
        <f t="shared" si="414"/>
        <v>860</v>
      </c>
      <c r="BG287" s="576">
        <f t="shared" si="398"/>
        <v>1426521</v>
      </c>
      <c r="BH287" s="578">
        <f t="shared" si="398"/>
        <v>1421591.8</v>
      </c>
      <c r="BI287" s="578">
        <v>1422451.8</v>
      </c>
      <c r="BJ287" s="578">
        <f t="shared" si="415"/>
        <v>-4069.1999999999534</v>
      </c>
      <c r="BK287" s="578">
        <f t="shared" si="416"/>
        <v>860</v>
      </c>
      <c r="BL287" s="576">
        <v>475507.02</v>
      </c>
      <c r="BM287" s="578">
        <f>'[67]Дир_по корп'!AW16</f>
        <v>475507.02</v>
      </c>
      <c r="BN287" s="522">
        <f t="shared" si="390"/>
        <v>476835</v>
      </c>
      <c r="BO287" s="578">
        <f t="shared" si="426"/>
        <v>1327.9799999999814</v>
      </c>
      <c r="BP287" s="578">
        <f t="shared" si="417"/>
        <v>1327.9799999999814</v>
      </c>
      <c r="BQ287" s="576">
        <v>475507.02</v>
      </c>
      <c r="BR287" s="578">
        <f>'[67]Дир_по корп'!BB16</f>
        <v>0</v>
      </c>
      <c r="BS287" s="578">
        <f>'[67]Дир_по корп'!BC16</f>
        <v>0</v>
      </c>
      <c r="BT287" s="536"/>
      <c r="BU287" s="578"/>
      <c r="BV287" s="578"/>
      <c r="BW287" s="586">
        <v>1899286.8</v>
      </c>
      <c r="BX287" s="629"/>
      <c r="BY287" s="522">
        <v>1806487.99</v>
      </c>
      <c r="BZ287" s="522">
        <f>19032+18786.09+43497.84</f>
        <v>81315.929999999993</v>
      </c>
      <c r="CA287" s="522">
        <f>11482.88</f>
        <v>11482.88</v>
      </c>
      <c r="CB287" s="522">
        <f t="shared" si="391"/>
        <v>1899286.7999999998</v>
      </c>
      <c r="CC287" s="522">
        <f t="shared" si="418"/>
        <v>0</v>
      </c>
      <c r="CD287" s="578"/>
      <c r="CE287" s="578"/>
      <c r="CF287" s="578"/>
      <c r="CG287" s="578"/>
      <c r="CH287" s="578"/>
      <c r="CI287" s="578"/>
      <c r="CJ287" s="578"/>
      <c r="CK287" s="543" t="s">
        <v>80</v>
      </c>
      <c r="CL287" s="543" t="s">
        <v>1901</v>
      </c>
      <c r="CM287" s="528" t="s">
        <v>1959</v>
      </c>
      <c r="CN287" s="528" t="s">
        <v>1849</v>
      </c>
      <c r="CO287" s="528"/>
      <c r="CP287" s="544">
        <f t="shared" si="430"/>
        <v>1754849.9482555143</v>
      </c>
      <c r="CQ287" s="544">
        <f t="shared" si="431"/>
        <v>128899.45374763872</v>
      </c>
      <c r="CR287" s="544">
        <f t="shared" si="432"/>
        <v>18278.617996847046</v>
      </c>
      <c r="CS287" s="1709" t="s">
        <v>1826</v>
      </c>
      <c r="CT287" s="1710"/>
      <c r="CU287" s="1710"/>
      <c r="CV287" s="1710"/>
      <c r="CW287" s="1711"/>
      <c r="CX287" s="528"/>
      <c r="CY287" s="528"/>
      <c r="CZ287" s="528"/>
      <c r="DA287" s="528"/>
      <c r="DB287" s="579">
        <v>471467.52000000002</v>
      </c>
      <c r="DC287" s="628" t="e">
        <f>P287-#REF!</f>
        <v>#REF!</v>
      </c>
      <c r="DD287" s="575"/>
      <c r="DE287" s="575"/>
      <c r="DF287" s="522">
        <f t="shared" si="436"/>
        <v>1806.4879900000001</v>
      </c>
      <c r="DG287" s="522">
        <f t="shared" si="436"/>
        <v>81.315929999999994</v>
      </c>
      <c r="DH287" s="522">
        <f t="shared" si="436"/>
        <v>11.48288</v>
      </c>
      <c r="DI287" s="522">
        <f t="shared" si="436"/>
        <v>1899.2867999999999</v>
      </c>
      <c r="DJ287" s="536"/>
      <c r="DK287" s="536"/>
      <c r="DL287" s="536"/>
      <c r="DM287" s="536"/>
      <c r="DN287" s="536"/>
      <c r="DO287" s="536"/>
      <c r="DP287" s="536"/>
      <c r="DQ287" s="536"/>
      <c r="DR287" s="536"/>
      <c r="DS287" s="536"/>
    </row>
    <row r="288" spans="1:123" s="534" customFormat="1" ht="123" customHeight="1">
      <c r="A288" s="537" t="s">
        <v>574</v>
      </c>
      <c r="B288" s="538" t="s">
        <v>575</v>
      </c>
      <c r="C288" s="576">
        <v>239995</v>
      </c>
      <c r="D288" s="576"/>
      <c r="E288" s="525">
        <v>295200</v>
      </c>
      <c r="F288" s="525">
        <v>264137.32</v>
      </c>
      <c r="G288" s="577">
        <v>0</v>
      </c>
      <c r="H288" s="577">
        <v>0</v>
      </c>
      <c r="I288" s="522">
        <f t="shared" si="385"/>
        <v>234900</v>
      </c>
      <c r="J288" s="522">
        <v>123900</v>
      </c>
      <c r="K288" s="522">
        <v>56400</v>
      </c>
      <c r="L288" s="522">
        <v>54600</v>
      </c>
      <c r="M288" s="522">
        <f t="shared" si="386"/>
        <v>180300</v>
      </c>
      <c r="N288" s="522">
        <v>183600</v>
      </c>
      <c r="O288" s="522">
        <f t="shared" si="387"/>
        <v>58500</v>
      </c>
      <c r="P288" s="522">
        <v>242100</v>
      </c>
      <c r="Q288" s="525">
        <f t="shared" si="399"/>
        <v>7200</v>
      </c>
      <c r="R288" s="525">
        <f t="shared" si="400"/>
        <v>3.0651340996168557</v>
      </c>
      <c r="S288" s="525">
        <v>145520</v>
      </c>
      <c r="T288" s="525">
        <v>145520</v>
      </c>
      <c r="U288" s="522">
        <f t="shared" si="388"/>
        <v>215100</v>
      </c>
      <c r="V288" s="522">
        <f t="shared" si="397"/>
        <v>69580</v>
      </c>
      <c r="W288" s="522">
        <f t="shared" si="433"/>
        <v>47.814733369983486</v>
      </c>
      <c r="X288" s="522">
        <f t="shared" si="401"/>
        <v>-27000</v>
      </c>
      <c r="Y288" s="522">
        <f t="shared" si="402"/>
        <v>-11.152416356877325</v>
      </c>
      <c r="Z288" s="524">
        <f t="shared" si="403"/>
        <v>239700</v>
      </c>
      <c r="AA288" s="522">
        <f t="shared" si="404"/>
        <v>94180</v>
      </c>
      <c r="AB288" s="522">
        <f t="shared" si="434"/>
        <v>64.719626168224295</v>
      </c>
      <c r="AC288" s="522">
        <f t="shared" si="405"/>
        <v>24600</v>
      </c>
      <c r="AD288" s="522">
        <f t="shared" si="420"/>
        <v>11.436541143654111</v>
      </c>
      <c r="AE288" s="522">
        <f t="shared" si="406"/>
        <v>-2400</v>
      </c>
      <c r="AF288" s="522">
        <f t="shared" si="407"/>
        <v>-0.99132589838909269</v>
      </c>
      <c r="AG288" s="522">
        <f t="shared" si="419"/>
        <v>242400</v>
      </c>
      <c r="AH288" s="522">
        <f t="shared" si="408"/>
        <v>27300</v>
      </c>
      <c r="AI288" s="522">
        <f t="shared" si="421"/>
        <v>12.691771269177138</v>
      </c>
      <c r="AJ288" s="522">
        <f t="shared" si="409"/>
        <v>2700</v>
      </c>
      <c r="AK288" s="522">
        <f t="shared" si="435"/>
        <v>1.1264080100125113</v>
      </c>
      <c r="AL288" s="522">
        <f t="shared" si="392"/>
        <v>242400</v>
      </c>
      <c r="AM288" s="522">
        <f t="shared" si="428"/>
        <v>120900</v>
      </c>
      <c r="AN288" s="522">
        <f t="shared" si="428"/>
        <v>121800</v>
      </c>
      <c r="AO288" s="522">
        <f t="shared" si="410"/>
        <v>900</v>
      </c>
      <c r="AP288" s="522">
        <f t="shared" si="423"/>
        <v>0.74441687344912566</v>
      </c>
      <c r="AQ288" s="522">
        <v>62700</v>
      </c>
      <c r="AR288" s="522">
        <v>60600</v>
      </c>
      <c r="AS288" s="522">
        <v>58200</v>
      </c>
      <c r="AT288" s="522">
        <v>61200</v>
      </c>
      <c r="AU288" s="522">
        <f t="shared" si="427"/>
        <v>94200</v>
      </c>
      <c r="AV288" s="522">
        <f t="shared" si="427"/>
        <v>117900</v>
      </c>
      <c r="AW288" s="522">
        <f t="shared" si="411"/>
        <v>23700</v>
      </c>
      <c r="AX288" s="522">
        <f t="shared" si="424"/>
        <v>25.159235668789819</v>
      </c>
      <c r="AY288" s="522">
        <f t="shared" si="376"/>
        <v>120600</v>
      </c>
      <c r="AZ288" s="522">
        <f t="shared" si="412"/>
        <v>-2700</v>
      </c>
      <c r="BA288" s="522">
        <f t="shared" si="425"/>
        <v>-2.2388059701492438</v>
      </c>
      <c r="BB288" s="522">
        <v>51300</v>
      </c>
      <c r="BC288" s="525">
        <f>'[67]Дир_по экон'!AT71</f>
        <v>57000</v>
      </c>
      <c r="BD288" s="525">
        <f t="shared" si="389"/>
        <v>61800</v>
      </c>
      <c r="BE288" s="525">
        <f t="shared" si="413"/>
        <v>10500</v>
      </c>
      <c r="BF288" s="525">
        <f t="shared" si="414"/>
        <v>4800</v>
      </c>
      <c r="BG288" s="525">
        <f t="shared" si="398"/>
        <v>172200</v>
      </c>
      <c r="BH288" s="522">
        <f t="shared" si="398"/>
        <v>178800</v>
      </c>
      <c r="BI288" s="522">
        <v>183600</v>
      </c>
      <c r="BJ288" s="522">
        <f t="shared" si="415"/>
        <v>11400</v>
      </c>
      <c r="BK288" s="522">
        <f t="shared" si="416"/>
        <v>4800</v>
      </c>
      <c r="BL288" s="525">
        <v>42900</v>
      </c>
      <c r="BM288" s="522">
        <f>'[67]Дир_по экон'!AW71</f>
        <v>60900.000000000007</v>
      </c>
      <c r="BN288" s="522">
        <f t="shared" si="390"/>
        <v>58800</v>
      </c>
      <c r="BO288" s="522">
        <f t="shared" si="426"/>
        <v>15900</v>
      </c>
      <c r="BP288" s="522">
        <f t="shared" si="417"/>
        <v>-2100.0000000000073</v>
      </c>
      <c r="BQ288" s="525">
        <v>42900</v>
      </c>
      <c r="BR288" s="522">
        <f>'[67]Дир_по экон'!BB71</f>
        <v>0</v>
      </c>
      <c r="BS288" s="522">
        <f>'[67]Дир_по экон'!BC71</f>
        <v>0</v>
      </c>
      <c r="BT288" s="536"/>
      <c r="BU288" s="522"/>
      <c r="BV288" s="522"/>
      <c r="BW288" s="524">
        <v>242400</v>
      </c>
      <c r="BX288" s="629"/>
      <c r="BY288" s="522">
        <v>218760.86</v>
      </c>
      <c r="BZ288" s="522">
        <f>14700+2238.26+5305.01</f>
        <v>22243.270000000004</v>
      </c>
      <c r="CA288" s="522">
        <f>1395.87</f>
        <v>1395.87</v>
      </c>
      <c r="CB288" s="522">
        <f t="shared" si="391"/>
        <v>242400</v>
      </c>
      <c r="CC288" s="522">
        <f t="shared" si="418"/>
        <v>0</v>
      </c>
      <c r="CD288" s="522"/>
      <c r="CE288" s="522"/>
      <c r="CF288" s="522"/>
      <c r="CG288" s="522"/>
      <c r="CH288" s="522"/>
      <c r="CI288" s="522"/>
      <c r="CJ288" s="522"/>
      <c r="CK288" s="543" t="s">
        <v>77</v>
      </c>
      <c r="CL288" s="543" t="s">
        <v>1856</v>
      </c>
      <c r="CM288" s="528" t="s">
        <v>1959</v>
      </c>
      <c r="CN288" s="528" t="s">
        <v>1849</v>
      </c>
      <c r="CO288" s="528"/>
      <c r="CP288" s="544">
        <f t="shared" si="430"/>
        <v>198455.65885499475</v>
      </c>
      <c r="CQ288" s="544">
        <f t="shared" si="431"/>
        <v>14577.215587558532</v>
      </c>
      <c r="CR288" s="544">
        <f t="shared" si="432"/>
        <v>2067.12555744673</v>
      </c>
      <c r="CS288" s="1709" t="s">
        <v>1826</v>
      </c>
      <c r="CT288" s="1710"/>
      <c r="CU288" s="1710"/>
      <c r="CV288" s="1710"/>
      <c r="CW288" s="1711"/>
      <c r="CX288" s="528"/>
      <c r="CY288" s="528"/>
      <c r="CZ288" s="528"/>
      <c r="DA288" s="528"/>
      <c r="DB288" s="579">
        <v>60600</v>
      </c>
      <c r="DC288" s="628" t="e">
        <f>P288-#REF!</f>
        <v>#REF!</v>
      </c>
      <c r="DD288" s="575"/>
      <c r="DE288" s="575"/>
      <c r="DF288" s="522">
        <f t="shared" si="436"/>
        <v>218.76085999999998</v>
      </c>
      <c r="DG288" s="522">
        <f t="shared" si="436"/>
        <v>22.243270000000003</v>
      </c>
      <c r="DH288" s="522">
        <f t="shared" si="436"/>
        <v>1.3958699999999999</v>
      </c>
      <c r="DI288" s="522">
        <f t="shared" si="436"/>
        <v>242.4</v>
      </c>
      <c r="DJ288" s="536"/>
      <c r="DK288" s="536"/>
      <c r="DL288" s="536"/>
      <c r="DM288" s="536"/>
      <c r="DN288" s="536"/>
      <c r="DO288" s="536"/>
      <c r="DP288" s="536"/>
      <c r="DQ288" s="536"/>
      <c r="DR288" s="536"/>
      <c r="DS288" s="536"/>
    </row>
    <row r="289" spans="1:123" s="534" customFormat="1" ht="89.25" customHeight="1">
      <c r="A289" s="537" t="s">
        <v>577</v>
      </c>
      <c r="B289" s="538" t="s">
        <v>578</v>
      </c>
      <c r="C289" s="576">
        <v>1212000</v>
      </c>
      <c r="D289" s="576"/>
      <c r="E289" s="576">
        <v>1300000</v>
      </c>
      <c r="F289" s="576">
        <v>1224000</v>
      </c>
      <c r="G289" s="577">
        <v>0</v>
      </c>
      <c r="H289" s="577">
        <v>0</v>
      </c>
      <c r="I289" s="578">
        <f t="shared" si="385"/>
        <v>1178000</v>
      </c>
      <c r="J289" s="578">
        <v>528000</v>
      </c>
      <c r="K289" s="578">
        <v>325000</v>
      </c>
      <c r="L289" s="578">
        <v>325000</v>
      </c>
      <c r="M289" s="578">
        <f t="shared" si="386"/>
        <v>853000</v>
      </c>
      <c r="N289" s="578">
        <v>888000</v>
      </c>
      <c r="O289" s="522">
        <f t="shared" si="387"/>
        <v>240000</v>
      </c>
      <c r="P289" s="522">
        <v>1128000</v>
      </c>
      <c r="Q289" s="576">
        <f t="shared" si="399"/>
        <v>-50000</v>
      </c>
      <c r="R289" s="576">
        <f t="shared" si="400"/>
        <v>-4.2444821731748732</v>
      </c>
      <c r="S289" s="576">
        <v>655660</v>
      </c>
      <c r="T289" s="576">
        <v>655660</v>
      </c>
      <c r="U289" s="522">
        <f t="shared" si="388"/>
        <v>1238078</v>
      </c>
      <c r="V289" s="522">
        <f t="shared" si="397"/>
        <v>582418</v>
      </c>
      <c r="W289" s="522">
        <f t="shared" si="433"/>
        <v>88.829271268645329</v>
      </c>
      <c r="X289" s="522">
        <f t="shared" si="401"/>
        <v>110078</v>
      </c>
      <c r="Y289" s="522">
        <f t="shared" si="402"/>
        <v>9.7586879432624016</v>
      </c>
      <c r="Z289" s="524">
        <f t="shared" si="403"/>
        <v>1159039</v>
      </c>
      <c r="AA289" s="522">
        <f t="shared" si="404"/>
        <v>503379</v>
      </c>
      <c r="AB289" s="522">
        <f t="shared" si="434"/>
        <v>76.77439526583899</v>
      </c>
      <c r="AC289" s="522">
        <f t="shared" si="405"/>
        <v>-79039</v>
      </c>
      <c r="AD289" s="522">
        <f t="shared" si="420"/>
        <v>-6.384008115805301</v>
      </c>
      <c r="AE289" s="522">
        <f t="shared" si="406"/>
        <v>31039</v>
      </c>
      <c r="AF289" s="522">
        <f t="shared" si="407"/>
        <v>2.7516843971631175</v>
      </c>
      <c r="AG289" s="522">
        <f t="shared" si="419"/>
        <v>1188000</v>
      </c>
      <c r="AH289" s="522">
        <f t="shared" si="408"/>
        <v>-50078</v>
      </c>
      <c r="AI289" s="522">
        <f t="shared" si="421"/>
        <v>-4.0448178547716651</v>
      </c>
      <c r="AJ289" s="522">
        <f t="shared" si="409"/>
        <v>28961</v>
      </c>
      <c r="AK289" s="522">
        <f t="shared" si="435"/>
        <v>2.4987079813535189</v>
      </c>
      <c r="AL289" s="522">
        <f t="shared" si="392"/>
        <v>1188000</v>
      </c>
      <c r="AM289" s="522">
        <f t="shared" si="428"/>
        <v>619039</v>
      </c>
      <c r="AN289" s="522">
        <f t="shared" si="428"/>
        <v>540000</v>
      </c>
      <c r="AO289" s="522">
        <f t="shared" si="410"/>
        <v>-79039</v>
      </c>
      <c r="AP289" s="522">
        <f t="shared" si="423"/>
        <v>-12.768016231610616</v>
      </c>
      <c r="AQ289" s="578">
        <v>309519.5</v>
      </c>
      <c r="AR289" s="578">
        <v>252000</v>
      </c>
      <c r="AS289" s="578">
        <v>309519.5</v>
      </c>
      <c r="AT289" s="578">
        <v>288000</v>
      </c>
      <c r="AU289" s="578">
        <f t="shared" si="427"/>
        <v>619039</v>
      </c>
      <c r="AV289" s="578">
        <f t="shared" si="427"/>
        <v>619039</v>
      </c>
      <c r="AW289" s="578">
        <f t="shared" si="411"/>
        <v>0</v>
      </c>
      <c r="AX289" s="578">
        <f t="shared" si="424"/>
        <v>0</v>
      </c>
      <c r="AY289" s="578">
        <f t="shared" si="376"/>
        <v>648000</v>
      </c>
      <c r="AZ289" s="578">
        <f t="shared" si="412"/>
        <v>-28961</v>
      </c>
      <c r="BA289" s="578">
        <f t="shared" si="425"/>
        <v>-4.469290123456787</v>
      </c>
      <c r="BB289" s="578">
        <v>309519.5</v>
      </c>
      <c r="BC289" s="576">
        <f>'[67]Дир_по корп'!AT17</f>
        <v>309519.5</v>
      </c>
      <c r="BD289" s="576">
        <f t="shared" si="389"/>
        <v>276000</v>
      </c>
      <c r="BE289" s="576">
        <f t="shared" si="413"/>
        <v>-33519.5</v>
      </c>
      <c r="BF289" s="576">
        <f t="shared" si="414"/>
        <v>-33519.5</v>
      </c>
      <c r="BG289" s="576">
        <f t="shared" si="398"/>
        <v>928558.5</v>
      </c>
      <c r="BH289" s="578">
        <f t="shared" si="398"/>
        <v>849519.5</v>
      </c>
      <c r="BI289" s="578">
        <v>816000</v>
      </c>
      <c r="BJ289" s="578">
        <f t="shared" si="415"/>
        <v>-112558.5</v>
      </c>
      <c r="BK289" s="578">
        <f t="shared" si="416"/>
        <v>-33519.5</v>
      </c>
      <c r="BL289" s="576">
        <v>309519.5</v>
      </c>
      <c r="BM289" s="578">
        <f>'[67]Дир_по корп'!AW17</f>
        <v>309519.5</v>
      </c>
      <c r="BN289" s="522">
        <f t="shared" si="390"/>
        <v>372000</v>
      </c>
      <c r="BO289" s="578">
        <f t="shared" si="426"/>
        <v>62480.5</v>
      </c>
      <c r="BP289" s="578">
        <f t="shared" si="417"/>
        <v>62480.5</v>
      </c>
      <c r="BQ289" s="576">
        <v>309519.5</v>
      </c>
      <c r="BR289" s="578">
        <f>'[67]Дир_по корп'!BB17</f>
        <v>0</v>
      </c>
      <c r="BS289" s="578">
        <f>'[67]Дир_по корп'!BC17</f>
        <v>0</v>
      </c>
      <c r="BT289" s="536"/>
      <c r="BU289" s="578"/>
      <c r="BV289" s="578"/>
      <c r="BW289" s="586">
        <v>1188000</v>
      </c>
      <c r="BX289" s="629"/>
      <c r="BY289" s="522">
        <v>1102040.6000000001</v>
      </c>
      <c r="BZ289" s="522">
        <f>60000+4601.78+17968.99</f>
        <v>82570.77</v>
      </c>
      <c r="CA289" s="522">
        <f>3388.63</f>
        <v>3388.63</v>
      </c>
      <c r="CB289" s="522">
        <f t="shared" si="391"/>
        <v>1188000</v>
      </c>
      <c r="CC289" s="522">
        <f t="shared" si="418"/>
        <v>0</v>
      </c>
      <c r="CD289" s="578"/>
      <c r="CE289" s="578"/>
      <c r="CF289" s="578"/>
      <c r="CG289" s="578"/>
      <c r="CH289" s="578"/>
      <c r="CI289" s="578"/>
      <c r="CJ289" s="578"/>
      <c r="CK289" s="543" t="s">
        <v>80</v>
      </c>
      <c r="CL289" s="543" t="s">
        <v>1901</v>
      </c>
      <c r="CM289" s="528" t="s">
        <v>1959</v>
      </c>
      <c r="CN289" s="528" t="s">
        <v>1849</v>
      </c>
      <c r="CO289" s="528"/>
      <c r="CP289" s="544">
        <f t="shared" si="430"/>
        <v>1142276.0818404192</v>
      </c>
      <c r="CQ289" s="544">
        <f t="shared" si="431"/>
        <v>83903.904789462074</v>
      </c>
      <c r="CR289" s="544">
        <f t="shared" si="432"/>
        <v>11898.013370118701</v>
      </c>
      <c r="CS289" s="1709" t="s">
        <v>1826</v>
      </c>
      <c r="CT289" s="1710"/>
      <c r="CU289" s="1710"/>
      <c r="CV289" s="1710"/>
      <c r="CW289" s="1711"/>
      <c r="CX289" s="528"/>
      <c r="CY289" s="528"/>
      <c r="CZ289" s="528"/>
      <c r="DA289" s="528"/>
      <c r="DB289" s="579">
        <v>252000</v>
      </c>
      <c r="DC289" s="628" t="e">
        <f>P289-#REF!</f>
        <v>#REF!</v>
      </c>
      <c r="DD289" s="575"/>
      <c r="DE289" s="575"/>
      <c r="DF289" s="522">
        <f t="shared" si="436"/>
        <v>1102.0406</v>
      </c>
      <c r="DG289" s="522">
        <f t="shared" si="436"/>
        <v>82.57077000000001</v>
      </c>
      <c r="DH289" s="522">
        <f t="shared" si="436"/>
        <v>3.38863</v>
      </c>
      <c r="DI289" s="522">
        <f t="shared" si="436"/>
        <v>1188</v>
      </c>
      <c r="DJ289" s="536"/>
      <c r="DK289" s="536"/>
      <c r="DL289" s="536"/>
      <c r="DM289" s="536"/>
      <c r="DN289" s="536"/>
      <c r="DO289" s="536"/>
      <c r="DP289" s="536"/>
      <c r="DQ289" s="536"/>
      <c r="DR289" s="536"/>
      <c r="DS289" s="536"/>
    </row>
    <row r="290" spans="1:123" s="534" customFormat="1" ht="89.25" customHeight="1">
      <c r="A290" s="537" t="s">
        <v>580</v>
      </c>
      <c r="B290" s="538" t="s">
        <v>581</v>
      </c>
      <c r="C290" s="576"/>
      <c r="D290" s="576"/>
      <c r="E290" s="576">
        <v>0</v>
      </c>
      <c r="F290" s="576">
        <v>1500</v>
      </c>
      <c r="G290" s="577">
        <v>0</v>
      </c>
      <c r="H290" s="577">
        <v>0</v>
      </c>
      <c r="I290" s="578">
        <f t="shared" si="385"/>
        <v>6000</v>
      </c>
      <c r="J290" s="578">
        <v>3000</v>
      </c>
      <c r="K290" s="578">
        <v>0</v>
      </c>
      <c r="L290" s="578">
        <v>3000</v>
      </c>
      <c r="M290" s="578">
        <f t="shared" si="386"/>
        <v>3000</v>
      </c>
      <c r="N290" s="578">
        <v>3000</v>
      </c>
      <c r="O290" s="522">
        <f t="shared" si="387"/>
        <v>0</v>
      </c>
      <c r="P290" s="522">
        <v>3000</v>
      </c>
      <c r="Q290" s="576">
        <f t="shared" si="399"/>
        <v>-3000</v>
      </c>
      <c r="R290" s="576">
        <f t="shared" si="400"/>
        <v>-50</v>
      </c>
      <c r="S290" s="576">
        <v>790</v>
      </c>
      <c r="T290" s="576">
        <v>790</v>
      </c>
      <c r="U290" s="522">
        <f t="shared" si="388"/>
        <v>4500</v>
      </c>
      <c r="V290" s="522">
        <f t="shared" si="397"/>
        <v>3710</v>
      </c>
      <c r="W290" s="522">
        <f t="shared" si="433"/>
        <v>469.62025316455697</v>
      </c>
      <c r="X290" s="522">
        <f t="shared" si="401"/>
        <v>1500</v>
      </c>
      <c r="Y290" s="522">
        <f t="shared" si="402"/>
        <v>50</v>
      </c>
      <c r="Z290" s="524">
        <f t="shared" si="403"/>
        <v>10500</v>
      </c>
      <c r="AA290" s="522">
        <f t="shared" si="404"/>
        <v>9710</v>
      </c>
      <c r="AB290" s="522">
        <f t="shared" si="434"/>
        <v>1229.1139240506329</v>
      </c>
      <c r="AC290" s="522">
        <f t="shared" si="405"/>
        <v>6000</v>
      </c>
      <c r="AD290" s="522">
        <f t="shared" si="420"/>
        <v>133.33333333333334</v>
      </c>
      <c r="AE290" s="522">
        <f t="shared" si="406"/>
        <v>7500</v>
      </c>
      <c r="AF290" s="522">
        <f t="shared" si="407"/>
        <v>250</v>
      </c>
      <c r="AG290" s="522">
        <f t="shared" si="419"/>
        <v>7500</v>
      </c>
      <c r="AH290" s="522">
        <f t="shared" si="408"/>
        <v>3000</v>
      </c>
      <c r="AI290" s="522">
        <f t="shared" si="421"/>
        <v>66.666666666666686</v>
      </c>
      <c r="AJ290" s="522">
        <f t="shared" si="409"/>
        <v>-3000</v>
      </c>
      <c r="AK290" s="522">
        <f t="shared" si="435"/>
        <v>-28.571428571428569</v>
      </c>
      <c r="AL290" s="522">
        <f t="shared" si="392"/>
        <v>7500</v>
      </c>
      <c r="AM290" s="522">
        <f t="shared" si="428"/>
        <v>1500</v>
      </c>
      <c r="AN290" s="522">
        <f t="shared" si="428"/>
        <v>7500</v>
      </c>
      <c r="AO290" s="522">
        <f t="shared" si="410"/>
        <v>6000</v>
      </c>
      <c r="AP290" s="522">
        <f t="shared" si="423"/>
        <v>400</v>
      </c>
      <c r="AQ290" s="578">
        <v>0</v>
      </c>
      <c r="AR290" s="578">
        <v>0</v>
      </c>
      <c r="AS290" s="578">
        <v>1500</v>
      </c>
      <c r="AT290" s="578">
        <v>7500</v>
      </c>
      <c r="AU290" s="578">
        <f t="shared" si="427"/>
        <v>3000</v>
      </c>
      <c r="AV290" s="578">
        <f t="shared" si="427"/>
        <v>3000</v>
      </c>
      <c r="AW290" s="578">
        <f t="shared" si="411"/>
        <v>0</v>
      </c>
      <c r="AX290" s="578">
        <f t="shared" si="424"/>
        <v>0</v>
      </c>
      <c r="AY290" s="578">
        <f t="shared" si="376"/>
        <v>0</v>
      </c>
      <c r="AZ290" s="578">
        <f t="shared" si="412"/>
        <v>3000</v>
      </c>
      <c r="BA290" s="578" t="e">
        <f t="shared" si="425"/>
        <v>#DIV/0!</v>
      </c>
      <c r="BB290" s="578">
        <v>0</v>
      </c>
      <c r="BC290" s="576">
        <f>'[67]Дир_по корп'!AT18</f>
        <v>0</v>
      </c>
      <c r="BD290" s="576">
        <f t="shared" si="389"/>
        <v>0</v>
      </c>
      <c r="BE290" s="576">
        <f t="shared" si="413"/>
        <v>0</v>
      </c>
      <c r="BF290" s="576">
        <f t="shared" si="414"/>
        <v>0</v>
      </c>
      <c r="BG290" s="576">
        <f t="shared" si="398"/>
        <v>1500</v>
      </c>
      <c r="BH290" s="578">
        <f t="shared" si="398"/>
        <v>7500</v>
      </c>
      <c r="BI290" s="578">
        <v>7500</v>
      </c>
      <c r="BJ290" s="578">
        <f t="shared" si="415"/>
        <v>6000</v>
      </c>
      <c r="BK290" s="578">
        <f t="shared" si="416"/>
        <v>0</v>
      </c>
      <c r="BL290" s="576">
        <v>3000</v>
      </c>
      <c r="BM290" s="578">
        <f>'[67]Дир_по корп'!AW18</f>
        <v>3000</v>
      </c>
      <c r="BN290" s="522">
        <f t="shared" si="390"/>
        <v>0</v>
      </c>
      <c r="BO290" s="578">
        <f t="shared" si="426"/>
        <v>-3000</v>
      </c>
      <c r="BP290" s="578">
        <f t="shared" si="417"/>
        <v>-3000</v>
      </c>
      <c r="BQ290" s="576">
        <v>3000</v>
      </c>
      <c r="BR290" s="578">
        <f>'[67]Дир_по корп'!BB18</f>
        <v>0</v>
      </c>
      <c r="BS290" s="578">
        <f>'[67]Дир_по корп'!BC18</f>
        <v>0</v>
      </c>
      <c r="BT290" s="536"/>
      <c r="BU290" s="578"/>
      <c r="BV290" s="578"/>
      <c r="BW290" s="586">
        <v>7500</v>
      </c>
      <c r="BX290" s="629"/>
      <c r="BY290" s="522">
        <v>7500</v>
      </c>
      <c r="BZ290" s="522"/>
      <c r="CA290" s="522"/>
      <c r="CB290" s="522">
        <f t="shared" si="391"/>
        <v>7500</v>
      </c>
      <c r="CC290" s="522">
        <f t="shared" si="418"/>
        <v>0</v>
      </c>
      <c r="CD290" s="578"/>
      <c r="CE290" s="578"/>
      <c r="CF290" s="578"/>
      <c r="CG290" s="578"/>
      <c r="CH290" s="578"/>
      <c r="CI290" s="578"/>
      <c r="CJ290" s="578"/>
      <c r="CK290" s="543" t="s">
        <v>80</v>
      </c>
      <c r="CL290" s="543" t="s">
        <v>1901</v>
      </c>
      <c r="CM290" s="528" t="s">
        <v>1959</v>
      </c>
      <c r="CN290" s="528" t="s">
        <v>1849</v>
      </c>
      <c r="CO290" s="528"/>
      <c r="CP290" s="544">
        <f t="shared" si="430"/>
        <v>4151.7920262551206</v>
      </c>
      <c r="CQ290" s="544">
        <f t="shared" si="431"/>
        <v>304.96266919578517</v>
      </c>
      <c r="CR290" s="544">
        <f t="shared" si="432"/>
        <v>43.245304549094762</v>
      </c>
      <c r="CS290" s="1709" t="s">
        <v>1826</v>
      </c>
      <c r="CT290" s="1710"/>
      <c r="CU290" s="1710"/>
      <c r="CV290" s="1710"/>
      <c r="CW290" s="1711"/>
      <c r="CX290" s="528"/>
      <c r="CY290" s="528"/>
      <c r="CZ290" s="528"/>
      <c r="DA290" s="528"/>
      <c r="DB290" s="579"/>
      <c r="DC290" s="628" t="e">
        <f>P290-#REF!</f>
        <v>#REF!</v>
      </c>
      <c r="DD290" s="575"/>
      <c r="DE290" s="575"/>
      <c r="DF290" s="522">
        <f t="shared" si="436"/>
        <v>7.5</v>
      </c>
      <c r="DG290" s="522">
        <f t="shared" si="436"/>
        <v>0</v>
      </c>
      <c r="DH290" s="522">
        <f t="shared" si="436"/>
        <v>0</v>
      </c>
      <c r="DI290" s="522">
        <f t="shared" si="436"/>
        <v>7.5</v>
      </c>
      <c r="DJ290" s="536"/>
      <c r="DK290" s="536"/>
      <c r="DL290" s="536"/>
      <c r="DM290" s="536"/>
      <c r="DN290" s="536"/>
      <c r="DO290" s="536"/>
      <c r="DP290" s="536"/>
      <c r="DQ290" s="536"/>
      <c r="DR290" s="536"/>
      <c r="DS290" s="536"/>
    </row>
    <row r="291" spans="1:123" s="534" customFormat="1" ht="84.75" customHeight="1">
      <c r="A291" s="537" t="s">
        <v>583</v>
      </c>
      <c r="B291" s="538" t="s">
        <v>584</v>
      </c>
      <c r="C291" s="576">
        <v>880307</v>
      </c>
      <c r="D291" s="576"/>
      <c r="E291" s="525">
        <v>950400</v>
      </c>
      <c r="F291" s="525">
        <v>1064710.46</v>
      </c>
      <c r="G291" s="577">
        <v>0</v>
      </c>
      <c r="H291" s="577">
        <v>0</v>
      </c>
      <c r="I291" s="522">
        <f t="shared" si="385"/>
        <v>1234000</v>
      </c>
      <c r="J291" s="522">
        <v>574400</v>
      </c>
      <c r="K291" s="522">
        <v>327600</v>
      </c>
      <c r="L291" s="522">
        <v>332000</v>
      </c>
      <c r="M291" s="522">
        <f t="shared" si="386"/>
        <v>902000</v>
      </c>
      <c r="N291" s="522">
        <v>870000</v>
      </c>
      <c r="O291" s="522">
        <f t="shared" si="387"/>
        <v>302800</v>
      </c>
      <c r="P291" s="522">
        <v>1172800</v>
      </c>
      <c r="Q291" s="525">
        <f t="shared" si="399"/>
        <v>-61200</v>
      </c>
      <c r="R291" s="525">
        <f t="shared" si="400"/>
        <v>-4.9594813614262563</v>
      </c>
      <c r="S291" s="525">
        <v>879750</v>
      </c>
      <c r="T291" s="525">
        <v>879750</v>
      </c>
      <c r="U291" s="522">
        <f t="shared" si="388"/>
        <v>1297600</v>
      </c>
      <c r="V291" s="522">
        <f t="shared" si="397"/>
        <v>417850</v>
      </c>
      <c r="W291" s="522">
        <f t="shared" si="433"/>
        <v>47.49644785450414</v>
      </c>
      <c r="X291" s="522">
        <f t="shared" si="401"/>
        <v>124800</v>
      </c>
      <c r="Y291" s="522">
        <f t="shared" si="402"/>
        <v>10.641200545702588</v>
      </c>
      <c r="Z291" s="524">
        <f t="shared" si="403"/>
        <v>1281673</v>
      </c>
      <c r="AA291" s="522">
        <f t="shared" si="404"/>
        <v>401923</v>
      </c>
      <c r="AB291" s="522">
        <f t="shared" si="434"/>
        <v>45.686047172492181</v>
      </c>
      <c r="AC291" s="522">
        <f t="shared" si="405"/>
        <v>-15927</v>
      </c>
      <c r="AD291" s="522">
        <f t="shared" si="420"/>
        <v>-1.2274198520345294</v>
      </c>
      <c r="AE291" s="522">
        <f t="shared" si="406"/>
        <v>108873</v>
      </c>
      <c r="AF291" s="522">
        <f t="shared" si="407"/>
        <v>9.2831684856753043</v>
      </c>
      <c r="AG291" s="522">
        <f t="shared" si="419"/>
        <v>1268073</v>
      </c>
      <c r="AH291" s="522">
        <f t="shared" si="408"/>
        <v>-29527</v>
      </c>
      <c r="AI291" s="522">
        <f t="shared" si="421"/>
        <v>-2.2755086313193544</v>
      </c>
      <c r="AJ291" s="522">
        <f t="shared" si="409"/>
        <v>-13600</v>
      </c>
      <c r="AK291" s="522">
        <f t="shared" si="435"/>
        <v>-1.0611130920289327</v>
      </c>
      <c r="AL291" s="522">
        <f t="shared" si="392"/>
        <v>1268073</v>
      </c>
      <c r="AM291" s="522">
        <f t="shared" si="428"/>
        <v>635600</v>
      </c>
      <c r="AN291" s="522">
        <f t="shared" si="428"/>
        <v>615273</v>
      </c>
      <c r="AO291" s="522">
        <f t="shared" si="410"/>
        <v>-20327</v>
      </c>
      <c r="AP291" s="522">
        <f t="shared" si="423"/>
        <v>-3.1980805538074293</v>
      </c>
      <c r="AQ291" s="522">
        <v>313200</v>
      </c>
      <c r="AR291" s="522">
        <v>305583</v>
      </c>
      <c r="AS291" s="522">
        <v>322400</v>
      </c>
      <c r="AT291" s="522">
        <v>309690</v>
      </c>
      <c r="AU291" s="522">
        <f t="shared" si="427"/>
        <v>662000</v>
      </c>
      <c r="AV291" s="522">
        <f t="shared" si="427"/>
        <v>666400</v>
      </c>
      <c r="AW291" s="522">
        <f t="shared" si="411"/>
        <v>4400</v>
      </c>
      <c r="AX291" s="522">
        <f t="shared" si="424"/>
        <v>0.6646525679758355</v>
      </c>
      <c r="AY291" s="522">
        <f t="shared" si="376"/>
        <v>652800</v>
      </c>
      <c r="AZ291" s="522">
        <f t="shared" si="412"/>
        <v>13600</v>
      </c>
      <c r="BA291" s="522">
        <f t="shared" si="425"/>
        <v>2.0833333333333286</v>
      </c>
      <c r="BB291" s="522">
        <v>328400</v>
      </c>
      <c r="BC291" s="525">
        <f>'[67]Дир_по экон'!AT72</f>
        <v>325600</v>
      </c>
      <c r="BD291" s="525">
        <f t="shared" si="389"/>
        <v>319858</v>
      </c>
      <c r="BE291" s="525">
        <f t="shared" si="413"/>
        <v>-8542</v>
      </c>
      <c r="BF291" s="525">
        <f t="shared" si="414"/>
        <v>-5742</v>
      </c>
      <c r="BG291" s="525">
        <f t="shared" si="398"/>
        <v>964000</v>
      </c>
      <c r="BH291" s="522">
        <f t="shared" si="398"/>
        <v>940873</v>
      </c>
      <c r="BI291" s="522">
        <v>935131</v>
      </c>
      <c r="BJ291" s="522">
        <f t="shared" si="415"/>
        <v>-28869</v>
      </c>
      <c r="BK291" s="522">
        <f t="shared" si="416"/>
        <v>-5742</v>
      </c>
      <c r="BL291" s="525">
        <v>333600</v>
      </c>
      <c r="BM291" s="522">
        <f>'[67]Дир_по экон'!AW72</f>
        <v>340800.00000000006</v>
      </c>
      <c r="BN291" s="522">
        <f t="shared" si="390"/>
        <v>332942</v>
      </c>
      <c r="BO291" s="522">
        <f t="shared" si="426"/>
        <v>-658</v>
      </c>
      <c r="BP291" s="522">
        <f t="shared" si="417"/>
        <v>-7858.0000000000582</v>
      </c>
      <c r="BQ291" s="525">
        <v>333600</v>
      </c>
      <c r="BR291" s="522">
        <f>'[67]Дир_по экон'!BB72</f>
        <v>0</v>
      </c>
      <c r="BS291" s="522">
        <f>'[67]Дир_по экон'!BC72</f>
        <v>0</v>
      </c>
      <c r="BT291" s="536"/>
      <c r="BU291" s="522"/>
      <c r="BV291" s="522"/>
      <c r="BW291" s="524">
        <v>1268073</v>
      </c>
      <c r="BX291" s="629"/>
      <c r="BY291" s="522">
        <v>1179311.31</v>
      </c>
      <c r="BZ291" s="522">
        <f>22682.98+52398.58</f>
        <v>75081.56</v>
      </c>
      <c r="CA291" s="522">
        <f>13680.13</f>
        <v>13680.13</v>
      </c>
      <c r="CB291" s="522">
        <f t="shared" si="391"/>
        <v>1268073</v>
      </c>
      <c r="CC291" s="522">
        <f t="shared" si="418"/>
        <v>0</v>
      </c>
      <c r="CD291" s="522"/>
      <c r="CE291" s="522"/>
      <c r="CF291" s="522"/>
      <c r="CG291" s="522"/>
      <c r="CH291" s="522"/>
      <c r="CI291" s="522"/>
      <c r="CJ291" s="522"/>
      <c r="CK291" s="543" t="s">
        <v>77</v>
      </c>
      <c r="CL291" s="543" t="s">
        <v>1856</v>
      </c>
      <c r="CM291" s="528" t="s">
        <v>1959</v>
      </c>
      <c r="CN291" s="528" t="s">
        <v>1849</v>
      </c>
      <c r="CO291" s="528"/>
      <c r="CP291" s="544">
        <f t="shared" si="430"/>
        <v>1197192.2962819207</v>
      </c>
      <c r="CQ291" s="544">
        <f t="shared" si="431"/>
        <v>87937.679899655748</v>
      </c>
      <c r="CR291" s="544">
        <f t="shared" si="432"/>
        <v>12470.023818423415</v>
      </c>
      <c r="CS291" s="1709" t="s">
        <v>1826</v>
      </c>
      <c r="CT291" s="1710"/>
      <c r="CU291" s="1710"/>
      <c r="CV291" s="1710"/>
      <c r="CW291" s="1711"/>
      <c r="CX291" s="528"/>
      <c r="CY291" s="528"/>
      <c r="CZ291" s="528"/>
      <c r="DA291" s="528"/>
      <c r="DB291" s="579">
        <v>305583</v>
      </c>
      <c r="DC291" s="628" t="e">
        <f>P291-#REF!</f>
        <v>#REF!</v>
      </c>
      <c r="DD291" s="575"/>
      <c r="DE291" s="575"/>
      <c r="DF291" s="522">
        <f t="shared" si="436"/>
        <v>1179.31131</v>
      </c>
      <c r="DG291" s="522">
        <f t="shared" si="436"/>
        <v>75.081559999999996</v>
      </c>
      <c r="DH291" s="522">
        <f t="shared" si="436"/>
        <v>13.680129999999998</v>
      </c>
      <c r="DI291" s="522">
        <f t="shared" si="436"/>
        <v>1268.0730000000001</v>
      </c>
      <c r="DJ291" s="536"/>
      <c r="DK291" s="536"/>
      <c r="DL291" s="536"/>
      <c r="DM291" s="536"/>
      <c r="DN291" s="536"/>
      <c r="DO291" s="536"/>
      <c r="DP291" s="536"/>
      <c r="DQ291" s="536"/>
      <c r="DR291" s="536"/>
      <c r="DS291" s="536"/>
    </row>
    <row r="292" spans="1:123" s="534" customFormat="1" ht="53.25" customHeight="1">
      <c r="A292" s="537" t="s">
        <v>586</v>
      </c>
      <c r="B292" s="538" t="s">
        <v>587</v>
      </c>
      <c r="C292" s="576">
        <v>353425</v>
      </c>
      <c r="D292" s="576"/>
      <c r="E292" s="525">
        <v>630000</v>
      </c>
      <c r="F292" s="525">
        <v>326277.77</v>
      </c>
      <c r="G292" s="577">
        <v>0</v>
      </c>
      <c r="H292" s="577">
        <v>0</v>
      </c>
      <c r="I292" s="522">
        <f t="shared" si="385"/>
        <v>357014.91</v>
      </c>
      <c r="J292" s="522">
        <v>121988</v>
      </c>
      <c r="K292" s="522">
        <v>189620.59</v>
      </c>
      <c r="L292" s="522">
        <v>45406.32</v>
      </c>
      <c r="M292" s="522">
        <f t="shared" si="386"/>
        <v>311608.58999999997</v>
      </c>
      <c r="N292" s="522">
        <v>224828</v>
      </c>
      <c r="O292" s="522">
        <f t="shared" si="387"/>
        <v>93931.530000000028</v>
      </c>
      <c r="P292" s="522">
        <v>318759.53000000003</v>
      </c>
      <c r="Q292" s="525">
        <f t="shared" si="399"/>
        <v>-38255.379999999946</v>
      </c>
      <c r="R292" s="525">
        <f t="shared" si="400"/>
        <v>-10.715345193846375</v>
      </c>
      <c r="S292" s="525">
        <v>1541560</v>
      </c>
      <c r="T292" s="525">
        <v>1541560</v>
      </c>
      <c r="U292" s="522">
        <f t="shared" si="388"/>
        <v>375222.76500000001</v>
      </c>
      <c r="V292" s="522">
        <f t="shared" si="397"/>
        <v>-1166337.2349999999</v>
      </c>
      <c r="W292" s="522">
        <f t="shared" si="433"/>
        <v>-75.659541957497595</v>
      </c>
      <c r="X292" s="522">
        <f t="shared" si="401"/>
        <v>56463.234999999986</v>
      </c>
      <c r="Y292" s="522">
        <f t="shared" si="402"/>
        <v>17.713426481711764</v>
      </c>
      <c r="Z292" s="524">
        <f t="shared" si="403"/>
        <v>375222.576</v>
      </c>
      <c r="AA292" s="522">
        <f t="shared" si="404"/>
        <v>-1166337.4240000001</v>
      </c>
      <c r="AB292" s="522">
        <f t="shared" si="434"/>
        <v>-75.659554217805336</v>
      </c>
      <c r="AC292" s="522">
        <f t="shared" si="405"/>
        <v>-0.18900000001303852</v>
      </c>
      <c r="AD292" s="522">
        <f t="shared" si="420"/>
        <v>-5.0370078170658417E-5</v>
      </c>
      <c r="AE292" s="522">
        <f t="shared" si="406"/>
        <v>56463.045999999973</v>
      </c>
      <c r="AF292" s="522">
        <f t="shared" si="407"/>
        <v>17.713367189366849</v>
      </c>
      <c r="AG292" s="522">
        <f t="shared" si="419"/>
        <v>70922.05</v>
      </c>
      <c r="AH292" s="522">
        <f t="shared" si="408"/>
        <v>-304300.71500000003</v>
      </c>
      <c r="AI292" s="522">
        <f t="shared" si="421"/>
        <v>-81.098681472591352</v>
      </c>
      <c r="AJ292" s="522">
        <f t="shared" si="409"/>
        <v>-304300.52600000001</v>
      </c>
      <c r="AK292" s="522">
        <f t="shared" si="435"/>
        <v>-81.09867195197765</v>
      </c>
      <c r="AL292" s="522">
        <f t="shared" si="392"/>
        <v>70922.05</v>
      </c>
      <c r="AM292" s="522">
        <f t="shared" si="428"/>
        <v>128210.439</v>
      </c>
      <c r="AN292" s="522">
        <f t="shared" si="428"/>
        <v>30614.25</v>
      </c>
      <c r="AO292" s="522">
        <f t="shared" si="410"/>
        <v>-97596.188999999998</v>
      </c>
      <c r="AP292" s="522">
        <f t="shared" si="423"/>
        <v>-76.121874132261567</v>
      </c>
      <c r="AQ292" s="522">
        <v>15765</v>
      </c>
      <c r="AR292" s="522">
        <v>7947</v>
      </c>
      <c r="AS292" s="522">
        <v>112445.439</v>
      </c>
      <c r="AT292" s="522">
        <v>22667.25</v>
      </c>
      <c r="AU292" s="522">
        <f t="shared" si="427"/>
        <v>247012.326</v>
      </c>
      <c r="AV292" s="522">
        <f t="shared" si="427"/>
        <v>344608.326</v>
      </c>
      <c r="AW292" s="522">
        <f t="shared" si="411"/>
        <v>97596</v>
      </c>
      <c r="AX292" s="522">
        <f t="shared" si="424"/>
        <v>39.510578917426187</v>
      </c>
      <c r="AY292" s="522">
        <f t="shared" si="376"/>
        <v>40307.800000000003</v>
      </c>
      <c r="AZ292" s="522">
        <f t="shared" si="412"/>
        <v>304300.52600000001</v>
      </c>
      <c r="BA292" s="522">
        <f t="shared" si="425"/>
        <v>754.94203603272808</v>
      </c>
      <c r="BB292" s="522">
        <v>199290.62</v>
      </c>
      <c r="BC292" s="525">
        <f>'[67]Дир_по экон'!AT73</f>
        <v>296886.62</v>
      </c>
      <c r="BD292" s="525">
        <f t="shared" si="389"/>
        <v>17375.75</v>
      </c>
      <c r="BE292" s="525">
        <f t="shared" si="413"/>
        <v>-181914.87</v>
      </c>
      <c r="BF292" s="525">
        <f t="shared" si="414"/>
        <v>-279510.87</v>
      </c>
      <c r="BG292" s="525">
        <f t="shared" si="398"/>
        <v>327501.05900000001</v>
      </c>
      <c r="BH292" s="522">
        <f t="shared" si="398"/>
        <v>327500.87</v>
      </c>
      <c r="BI292" s="522">
        <v>47990</v>
      </c>
      <c r="BJ292" s="522">
        <f t="shared" si="415"/>
        <v>-279511.05900000001</v>
      </c>
      <c r="BK292" s="522">
        <f t="shared" si="416"/>
        <v>-279510.87</v>
      </c>
      <c r="BL292" s="525">
        <v>47721.705999999998</v>
      </c>
      <c r="BM292" s="522">
        <f>'[67]Дир_по экон'!AW73</f>
        <v>47721.705999999998</v>
      </c>
      <c r="BN292" s="522">
        <f t="shared" si="390"/>
        <v>22932.050000000003</v>
      </c>
      <c r="BO292" s="522">
        <f t="shared" si="426"/>
        <v>-24789.655999999995</v>
      </c>
      <c r="BP292" s="522">
        <f t="shared" si="417"/>
        <v>-24789.655999999995</v>
      </c>
      <c r="BQ292" s="525">
        <v>47721.705999999998</v>
      </c>
      <c r="BR292" s="522">
        <f>'[67]Дир_по экон'!BB73</f>
        <v>0</v>
      </c>
      <c r="BS292" s="522">
        <f>'[67]Дир_по экон'!BC73</f>
        <v>0</v>
      </c>
      <c r="BT292" s="536"/>
      <c r="BU292" s="522"/>
      <c r="BV292" s="522"/>
      <c r="BW292" s="524">
        <v>70922.05</v>
      </c>
      <c r="BX292" s="629"/>
      <c r="BY292" s="522">
        <v>68318.710000000006</v>
      </c>
      <c r="BZ292" s="522">
        <f>511.11+1715.23</f>
        <v>2226.34</v>
      </c>
      <c r="CA292" s="522">
        <f>377</f>
        <v>377</v>
      </c>
      <c r="CB292" s="522">
        <f t="shared" si="391"/>
        <v>70922.05</v>
      </c>
      <c r="CC292" s="522">
        <f t="shared" si="418"/>
        <v>0</v>
      </c>
      <c r="CD292" s="522"/>
      <c r="CE292" s="522"/>
      <c r="CF292" s="522"/>
      <c r="CG292" s="522"/>
      <c r="CH292" s="522"/>
      <c r="CI292" s="522"/>
      <c r="CJ292" s="522"/>
      <c r="CK292" s="543" t="s">
        <v>77</v>
      </c>
      <c r="CL292" s="543" t="s">
        <v>1856</v>
      </c>
      <c r="CM292" s="528" t="s">
        <v>1959</v>
      </c>
      <c r="CN292" s="528" t="s">
        <v>1849</v>
      </c>
      <c r="CO292" s="528"/>
      <c r="CP292" s="544">
        <f t="shared" si="430"/>
        <v>346188.19639919972</v>
      </c>
      <c r="CQ292" s="544">
        <f t="shared" si="431"/>
        <v>25428.652434982854</v>
      </c>
      <c r="CR292" s="544">
        <f t="shared" si="432"/>
        <v>3605.9161658174257</v>
      </c>
      <c r="CS292" s="1709" t="s">
        <v>1826</v>
      </c>
      <c r="CT292" s="1710"/>
      <c r="CU292" s="1710"/>
      <c r="CV292" s="1710"/>
      <c r="CW292" s="1711"/>
      <c r="CX292" s="528"/>
      <c r="CY292" s="528"/>
      <c r="CZ292" s="528"/>
      <c r="DA292" s="528"/>
      <c r="DB292" s="579">
        <v>7947</v>
      </c>
      <c r="DC292" s="628" t="e">
        <f>P292-#REF!</f>
        <v>#REF!</v>
      </c>
      <c r="DD292" s="575"/>
      <c r="DE292" s="575"/>
      <c r="DF292" s="522">
        <f t="shared" si="436"/>
        <v>68.31871000000001</v>
      </c>
      <c r="DG292" s="522">
        <f t="shared" si="436"/>
        <v>2.22634</v>
      </c>
      <c r="DH292" s="522">
        <f t="shared" si="436"/>
        <v>0.377</v>
      </c>
      <c r="DI292" s="522">
        <f t="shared" si="436"/>
        <v>70.922049999999999</v>
      </c>
      <c r="DJ292" s="536"/>
      <c r="DK292" s="536"/>
      <c r="DL292" s="536"/>
      <c r="DM292" s="536"/>
      <c r="DN292" s="536"/>
      <c r="DO292" s="536"/>
      <c r="DP292" s="536"/>
      <c r="DQ292" s="536"/>
      <c r="DR292" s="536"/>
      <c r="DS292" s="536"/>
    </row>
    <row r="293" spans="1:123" s="534" customFormat="1" ht="65.25" customHeight="1">
      <c r="A293" s="537" t="s">
        <v>589</v>
      </c>
      <c r="B293" s="538" t="s">
        <v>590</v>
      </c>
      <c r="C293" s="576">
        <v>306100</v>
      </c>
      <c r="D293" s="576"/>
      <c r="E293" s="525">
        <v>800000</v>
      </c>
      <c r="F293" s="525">
        <v>195000</v>
      </c>
      <c r="G293" s="577">
        <v>0</v>
      </c>
      <c r="H293" s="577">
        <v>0</v>
      </c>
      <c r="I293" s="522">
        <f t="shared" si="385"/>
        <v>251779</v>
      </c>
      <c r="J293" s="522">
        <v>148779</v>
      </c>
      <c r="K293" s="522">
        <v>51500</v>
      </c>
      <c r="L293" s="522">
        <v>51500</v>
      </c>
      <c r="M293" s="522">
        <f t="shared" si="386"/>
        <v>200279</v>
      </c>
      <c r="N293" s="522">
        <v>198779</v>
      </c>
      <c r="O293" s="522">
        <f t="shared" si="387"/>
        <v>15000</v>
      </c>
      <c r="P293" s="522">
        <v>213779</v>
      </c>
      <c r="Q293" s="525">
        <f t="shared" si="399"/>
        <v>-38000</v>
      </c>
      <c r="R293" s="525">
        <f t="shared" si="400"/>
        <v>-15.092601050921644</v>
      </c>
      <c r="S293" s="525">
        <v>0</v>
      </c>
      <c r="T293" s="525">
        <v>0</v>
      </c>
      <c r="U293" s="522">
        <f t="shared" si="388"/>
        <v>260000</v>
      </c>
      <c r="V293" s="522">
        <f t="shared" si="397"/>
        <v>260000</v>
      </c>
      <c r="W293" s="522">
        <v>0</v>
      </c>
      <c r="X293" s="522">
        <f t="shared" si="401"/>
        <v>46221</v>
      </c>
      <c r="Y293" s="522">
        <f t="shared" si="402"/>
        <v>21.620926283685478</v>
      </c>
      <c r="Z293" s="524">
        <f t="shared" si="403"/>
        <v>270000</v>
      </c>
      <c r="AA293" s="522">
        <f t="shared" si="404"/>
        <v>270000</v>
      </c>
      <c r="AB293" s="522">
        <v>0</v>
      </c>
      <c r="AC293" s="522">
        <f t="shared" si="405"/>
        <v>10000</v>
      </c>
      <c r="AD293" s="522">
        <f t="shared" si="420"/>
        <v>3.8461538461538538</v>
      </c>
      <c r="AE293" s="522">
        <f t="shared" si="406"/>
        <v>56221</v>
      </c>
      <c r="AF293" s="522">
        <f t="shared" si="407"/>
        <v>26.298654217673388</v>
      </c>
      <c r="AG293" s="522">
        <f t="shared" si="419"/>
        <v>147910</v>
      </c>
      <c r="AH293" s="522">
        <f t="shared" si="408"/>
        <v>-112090</v>
      </c>
      <c r="AI293" s="522">
        <f t="shared" si="421"/>
        <v>-43.111538461538458</v>
      </c>
      <c r="AJ293" s="522">
        <f t="shared" si="409"/>
        <v>-122090</v>
      </c>
      <c r="AK293" s="522">
        <f t="shared" si="435"/>
        <v>-45.218518518518515</v>
      </c>
      <c r="AL293" s="522">
        <f t="shared" si="392"/>
        <v>147910</v>
      </c>
      <c r="AM293" s="522">
        <f t="shared" si="428"/>
        <v>125000</v>
      </c>
      <c r="AN293" s="522">
        <f t="shared" si="428"/>
        <v>68000</v>
      </c>
      <c r="AO293" s="522">
        <f t="shared" si="410"/>
        <v>-57000</v>
      </c>
      <c r="AP293" s="522">
        <f t="shared" si="423"/>
        <v>-45.599999999999994</v>
      </c>
      <c r="AQ293" s="522">
        <v>40000</v>
      </c>
      <c r="AR293" s="522">
        <v>43000</v>
      </c>
      <c r="AS293" s="522">
        <v>85000</v>
      </c>
      <c r="AT293" s="522">
        <v>25000</v>
      </c>
      <c r="AU293" s="522">
        <f t="shared" si="427"/>
        <v>135000</v>
      </c>
      <c r="AV293" s="522">
        <f t="shared" si="427"/>
        <v>202000</v>
      </c>
      <c r="AW293" s="522">
        <f t="shared" si="411"/>
        <v>67000</v>
      </c>
      <c r="AX293" s="522">
        <f t="shared" si="424"/>
        <v>49.629629629629619</v>
      </c>
      <c r="AY293" s="522">
        <f t="shared" si="376"/>
        <v>79910</v>
      </c>
      <c r="AZ293" s="522">
        <f t="shared" si="412"/>
        <v>122090</v>
      </c>
      <c r="BA293" s="522">
        <f t="shared" si="425"/>
        <v>152.78438243023399</v>
      </c>
      <c r="BB293" s="522">
        <v>80000</v>
      </c>
      <c r="BC293" s="525">
        <f>'[67]Дир_по экон'!AT74</f>
        <v>109500</v>
      </c>
      <c r="BD293" s="525">
        <f t="shared" si="389"/>
        <v>29910</v>
      </c>
      <c r="BE293" s="525">
        <f t="shared" si="413"/>
        <v>-50090</v>
      </c>
      <c r="BF293" s="525">
        <f t="shared" si="414"/>
        <v>-79590</v>
      </c>
      <c r="BG293" s="525">
        <f t="shared" si="398"/>
        <v>205000</v>
      </c>
      <c r="BH293" s="522">
        <f t="shared" si="398"/>
        <v>177500</v>
      </c>
      <c r="BI293" s="522">
        <v>97910</v>
      </c>
      <c r="BJ293" s="522">
        <f t="shared" si="415"/>
        <v>-107090</v>
      </c>
      <c r="BK293" s="522">
        <f t="shared" si="416"/>
        <v>-79590</v>
      </c>
      <c r="BL293" s="525">
        <v>55000</v>
      </c>
      <c r="BM293" s="522">
        <f>'[67]Дир_по экон'!AW74</f>
        <v>92500</v>
      </c>
      <c r="BN293" s="522">
        <f t="shared" si="390"/>
        <v>50000</v>
      </c>
      <c r="BO293" s="522">
        <f t="shared" si="426"/>
        <v>-5000</v>
      </c>
      <c r="BP293" s="522">
        <f t="shared" si="417"/>
        <v>-42500</v>
      </c>
      <c r="BQ293" s="525">
        <v>55000</v>
      </c>
      <c r="BR293" s="522">
        <f>'[67]Дир_по экон'!BB74</f>
        <v>0</v>
      </c>
      <c r="BS293" s="522">
        <f>'[67]Дир_по экон'!BC74</f>
        <v>0</v>
      </c>
      <c r="BT293" s="536"/>
      <c r="BU293" s="522"/>
      <c r="BV293" s="522"/>
      <c r="BW293" s="524">
        <v>147910</v>
      </c>
      <c r="BX293" s="629"/>
      <c r="BY293" s="522">
        <v>143217.06</v>
      </c>
      <c r="BZ293" s="522">
        <f>1334.02+2598.81</f>
        <v>3932.83</v>
      </c>
      <c r="CA293" s="522">
        <f>760.11</f>
        <v>760.11</v>
      </c>
      <c r="CB293" s="522">
        <f t="shared" si="391"/>
        <v>147909.99999999997</v>
      </c>
      <c r="CC293" s="522">
        <f t="shared" si="418"/>
        <v>0</v>
      </c>
      <c r="CD293" s="522"/>
      <c r="CE293" s="522"/>
      <c r="CF293" s="522"/>
      <c r="CG293" s="522"/>
      <c r="CH293" s="522"/>
      <c r="CI293" s="522"/>
      <c r="CJ293" s="522"/>
      <c r="CK293" s="543" t="s">
        <v>77</v>
      </c>
      <c r="CL293" s="543" t="s">
        <v>1856</v>
      </c>
      <c r="CM293" s="528" t="s">
        <v>1959</v>
      </c>
      <c r="CN293" s="528" t="s">
        <v>1849</v>
      </c>
      <c r="CO293" s="528"/>
      <c r="CP293" s="544">
        <f t="shared" si="430"/>
        <v>239881.31707251805</v>
      </c>
      <c r="CQ293" s="544">
        <f t="shared" si="431"/>
        <v>17620.065331312031</v>
      </c>
      <c r="CR293" s="544">
        <f t="shared" si="432"/>
        <v>2498.6175961699196</v>
      </c>
      <c r="CS293" s="1709" t="s">
        <v>1826</v>
      </c>
      <c r="CT293" s="1710"/>
      <c r="CU293" s="1710"/>
      <c r="CV293" s="1710"/>
      <c r="CW293" s="1711"/>
      <c r="CX293" s="528"/>
      <c r="CY293" s="528"/>
      <c r="CZ293" s="528"/>
      <c r="DA293" s="528"/>
      <c r="DB293" s="579">
        <v>43000</v>
      </c>
      <c r="DC293" s="628" t="e">
        <f>P293-#REF!</f>
        <v>#REF!</v>
      </c>
      <c r="DD293" s="575"/>
      <c r="DE293" s="575"/>
      <c r="DF293" s="522">
        <f t="shared" si="436"/>
        <v>143.21706</v>
      </c>
      <c r="DG293" s="522">
        <f t="shared" si="436"/>
        <v>3.93283</v>
      </c>
      <c r="DH293" s="522">
        <f t="shared" si="436"/>
        <v>0.76011000000000006</v>
      </c>
      <c r="DI293" s="522">
        <f t="shared" si="436"/>
        <v>147.90999999999997</v>
      </c>
      <c r="DJ293" s="536"/>
      <c r="DK293" s="536"/>
      <c r="DL293" s="536"/>
      <c r="DM293" s="536"/>
      <c r="DN293" s="536"/>
      <c r="DO293" s="536"/>
      <c r="DP293" s="536"/>
      <c r="DQ293" s="536"/>
      <c r="DR293" s="536"/>
      <c r="DS293" s="536"/>
    </row>
    <row r="294" spans="1:123" s="534" customFormat="1" ht="53.25" customHeight="1">
      <c r="A294" s="537" t="s">
        <v>592</v>
      </c>
      <c r="B294" s="538" t="s">
        <v>593</v>
      </c>
      <c r="C294" s="576">
        <v>371000</v>
      </c>
      <c r="D294" s="576"/>
      <c r="E294" s="576">
        <v>484840</v>
      </c>
      <c r="F294" s="576">
        <v>295530</v>
      </c>
      <c r="G294" s="577">
        <v>0</v>
      </c>
      <c r="H294" s="577">
        <v>0</v>
      </c>
      <c r="I294" s="578">
        <f t="shared" si="385"/>
        <v>332000</v>
      </c>
      <c r="J294" s="578">
        <v>132000</v>
      </c>
      <c r="K294" s="578">
        <v>100000</v>
      </c>
      <c r="L294" s="578">
        <v>100000</v>
      </c>
      <c r="M294" s="578">
        <f t="shared" si="386"/>
        <v>232000</v>
      </c>
      <c r="N294" s="578">
        <v>224000</v>
      </c>
      <c r="O294" s="522">
        <f t="shared" si="387"/>
        <v>68000</v>
      </c>
      <c r="P294" s="522">
        <v>292000</v>
      </c>
      <c r="Q294" s="576">
        <f t="shared" si="399"/>
        <v>-40000</v>
      </c>
      <c r="R294" s="576">
        <f t="shared" si="400"/>
        <v>-12.048192771084345</v>
      </c>
      <c r="S294" s="576">
        <v>158290</v>
      </c>
      <c r="T294" s="576">
        <v>158290</v>
      </c>
      <c r="U294" s="522">
        <f t="shared" si="388"/>
        <v>348932</v>
      </c>
      <c r="V294" s="522">
        <f t="shared" si="397"/>
        <v>190642</v>
      </c>
      <c r="W294" s="522">
        <f t="shared" si="433"/>
        <v>120.43843578242468</v>
      </c>
      <c r="X294" s="522">
        <f t="shared" si="401"/>
        <v>56932</v>
      </c>
      <c r="Y294" s="522">
        <f t="shared" si="402"/>
        <v>19.4972602739726</v>
      </c>
      <c r="Z294" s="524">
        <f t="shared" si="403"/>
        <v>346466</v>
      </c>
      <c r="AA294" s="522">
        <f t="shared" si="404"/>
        <v>188176</v>
      </c>
      <c r="AB294" s="522">
        <f t="shared" si="434"/>
        <v>118.88053572556697</v>
      </c>
      <c r="AC294" s="522">
        <f t="shared" si="405"/>
        <v>-2466</v>
      </c>
      <c r="AD294" s="522">
        <f t="shared" si="420"/>
        <v>-0.70672795845608505</v>
      </c>
      <c r="AE294" s="522">
        <f t="shared" si="406"/>
        <v>54466</v>
      </c>
      <c r="AF294" s="522">
        <f t="shared" si="407"/>
        <v>18.652739726027391</v>
      </c>
      <c r="AG294" s="522">
        <f t="shared" si="419"/>
        <v>310000</v>
      </c>
      <c r="AH294" s="522">
        <f t="shared" si="408"/>
        <v>-38932</v>
      </c>
      <c r="AI294" s="522">
        <f t="shared" si="421"/>
        <v>-11.157474808845279</v>
      </c>
      <c r="AJ294" s="522">
        <f t="shared" si="409"/>
        <v>-36466</v>
      </c>
      <c r="AK294" s="522">
        <f t="shared" si="435"/>
        <v>-10.525130893074646</v>
      </c>
      <c r="AL294" s="522">
        <f t="shared" si="392"/>
        <v>310000</v>
      </c>
      <c r="AM294" s="522">
        <f t="shared" si="428"/>
        <v>174466</v>
      </c>
      <c r="AN294" s="522">
        <f t="shared" si="428"/>
        <v>172000</v>
      </c>
      <c r="AO294" s="522">
        <f t="shared" si="410"/>
        <v>-2466</v>
      </c>
      <c r="AP294" s="522">
        <f t="shared" si="423"/>
        <v>-1.4134559169121701</v>
      </c>
      <c r="AQ294" s="578">
        <v>87233</v>
      </c>
      <c r="AR294" s="578">
        <v>107000</v>
      </c>
      <c r="AS294" s="578">
        <v>87233</v>
      </c>
      <c r="AT294" s="578">
        <v>65000</v>
      </c>
      <c r="AU294" s="578">
        <f t="shared" si="427"/>
        <v>174466</v>
      </c>
      <c r="AV294" s="578">
        <f t="shared" si="427"/>
        <v>174466</v>
      </c>
      <c r="AW294" s="578">
        <f t="shared" si="411"/>
        <v>0</v>
      </c>
      <c r="AX294" s="578">
        <f t="shared" si="424"/>
        <v>0</v>
      </c>
      <c r="AY294" s="578">
        <f t="shared" si="376"/>
        <v>138000</v>
      </c>
      <c r="AZ294" s="578">
        <f t="shared" si="412"/>
        <v>36466</v>
      </c>
      <c r="BA294" s="578">
        <f t="shared" si="425"/>
        <v>26.42463768115941</v>
      </c>
      <c r="BB294" s="578">
        <v>87233</v>
      </c>
      <c r="BC294" s="576">
        <f>'[67]Дир_по корп'!AT19</f>
        <v>87233</v>
      </c>
      <c r="BD294" s="576">
        <f t="shared" si="389"/>
        <v>60000</v>
      </c>
      <c r="BE294" s="576">
        <f t="shared" si="413"/>
        <v>-27233</v>
      </c>
      <c r="BF294" s="576">
        <f t="shared" si="414"/>
        <v>-27233</v>
      </c>
      <c r="BG294" s="576">
        <f t="shared" si="398"/>
        <v>261699</v>
      </c>
      <c r="BH294" s="578">
        <f t="shared" si="398"/>
        <v>259233</v>
      </c>
      <c r="BI294" s="578">
        <v>232000</v>
      </c>
      <c r="BJ294" s="578">
        <f t="shared" si="415"/>
        <v>-29699</v>
      </c>
      <c r="BK294" s="578">
        <f t="shared" si="416"/>
        <v>-27233</v>
      </c>
      <c r="BL294" s="576">
        <v>87233</v>
      </c>
      <c r="BM294" s="578">
        <f>'[67]Дир_по корп'!AW19</f>
        <v>87233</v>
      </c>
      <c r="BN294" s="522">
        <f t="shared" si="390"/>
        <v>78000</v>
      </c>
      <c r="BO294" s="578">
        <f t="shared" si="426"/>
        <v>-9233</v>
      </c>
      <c r="BP294" s="578">
        <f t="shared" si="417"/>
        <v>-9233</v>
      </c>
      <c r="BQ294" s="576">
        <v>87233</v>
      </c>
      <c r="BR294" s="578">
        <f>'[67]Дир_по корп'!BB19</f>
        <v>0</v>
      </c>
      <c r="BS294" s="578">
        <f>'[67]Дир_по корп'!BC19</f>
        <v>0</v>
      </c>
      <c r="BT294" s="536"/>
      <c r="BU294" s="578"/>
      <c r="BV294" s="578"/>
      <c r="BW294" s="586">
        <v>310000</v>
      </c>
      <c r="BX294" s="629"/>
      <c r="BY294" s="522">
        <v>289714.19</v>
      </c>
      <c r="BZ294" s="522">
        <f>5147.72+12108.95</f>
        <v>17256.670000000002</v>
      </c>
      <c r="CA294" s="522">
        <f>3029.14</f>
        <v>3029.14</v>
      </c>
      <c r="CB294" s="522">
        <f t="shared" si="391"/>
        <v>310000</v>
      </c>
      <c r="CC294" s="522">
        <f t="shared" si="418"/>
        <v>0</v>
      </c>
      <c r="CD294" s="578"/>
      <c r="CE294" s="578"/>
      <c r="CF294" s="578"/>
      <c r="CG294" s="578"/>
      <c r="CH294" s="578"/>
      <c r="CI294" s="578"/>
      <c r="CJ294" s="578"/>
      <c r="CK294" s="543" t="s">
        <v>80</v>
      </c>
      <c r="CL294" s="543" t="s">
        <v>1901</v>
      </c>
      <c r="CM294" s="528" t="s">
        <v>1959</v>
      </c>
      <c r="CN294" s="528" t="s">
        <v>1849</v>
      </c>
      <c r="CO294" s="528"/>
      <c r="CP294" s="544">
        <f t="shared" si="430"/>
        <v>321931.7989567226</v>
      </c>
      <c r="CQ294" s="544">
        <f t="shared" si="431"/>
        <v>23646.940908405268</v>
      </c>
      <c r="CR294" s="544">
        <f t="shared" si="432"/>
        <v>3353.2601348721632</v>
      </c>
      <c r="CS294" s="1709" t="s">
        <v>1826</v>
      </c>
      <c r="CT294" s="1710"/>
      <c r="CU294" s="1710"/>
      <c r="CV294" s="1710"/>
      <c r="CW294" s="1711"/>
      <c r="CX294" s="528"/>
      <c r="CY294" s="528"/>
      <c r="CZ294" s="528"/>
      <c r="DA294" s="528"/>
      <c r="DB294" s="579">
        <v>107000</v>
      </c>
      <c r="DC294" s="628" t="e">
        <f>P294-#REF!</f>
        <v>#REF!</v>
      </c>
      <c r="DD294" s="575"/>
      <c r="DE294" s="575"/>
      <c r="DF294" s="522">
        <f t="shared" si="436"/>
        <v>289.71419000000003</v>
      </c>
      <c r="DG294" s="522">
        <f t="shared" si="436"/>
        <v>17.256670000000003</v>
      </c>
      <c r="DH294" s="522">
        <f t="shared" si="436"/>
        <v>3.0291399999999999</v>
      </c>
      <c r="DI294" s="522">
        <f t="shared" si="436"/>
        <v>310</v>
      </c>
      <c r="DJ294" s="536"/>
      <c r="DK294" s="536"/>
      <c r="DL294" s="536"/>
      <c r="DM294" s="536"/>
      <c r="DN294" s="536"/>
      <c r="DO294" s="536"/>
      <c r="DP294" s="536"/>
      <c r="DQ294" s="536"/>
      <c r="DR294" s="536"/>
      <c r="DS294" s="536"/>
    </row>
    <row r="295" spans="1:123" s="534" customFormat="1" ht="95.25" customHeight="1">
      <c r="A295" s="537" t="s">
        <v>595</v>
      </c>
      <c r="B295" s="538" t="s">
        <v>1975</v>
      </c>
      <c r="C295" s="576"/>
      <c r="D295" s="576"/>
      <c r="E295" s="576"/>
      <c r="F295" s="576"/>
      <c r="G295" s="661">
        <v>0</v>
      </c>
      <c r="H295" s="661">
        <v>0</v>
      </c>
      <c r="I295" s="578">
        <f t="shared" si="385"/>
        <v>17993936.66</v>
      </c>
      <c r="J295" s="578">
        <v>3858303.5099999993</v>
      </c>
      <c r="K295" s="578">
        <v>1959880.3</v>
      </c>
      <c r="L295" s="578">
        <v>12175752.85</v>
      </c>
      <c r="M295" s="578">
        <f t="shared" si="386"/>
        <v>5818183.8099999996</v>
      </c>
      <c r="N295" s="578">
        <v>4873491.42</v>
      </c>
      <c r="O295" s="522">
        <f t="shared" si="387"/>
        <v>12495211.33</v>
      </c>
      <c r="P295" s="522">
        <v>17368702.75</v>
      </c>
      <c r="Q295" s="576">
        <f t="shared" si="399"/>
        <v>-625233.91000000015</v>
      </c>
      <c r="R295" s="576">
        <f t="shared" si="400"/>
        <v>-3.4746921800045953</v>
      </c>
      <c r="S295" s="576"/>
      <c r="T295" s="576"/>
      <c r="U295" s="522">
        <f t="shared" si="388"/>
        <v>17829895.9023479</v>
      </c>
      <c r="V295" s="522">
        <f t="shared" si="397"/>
        <v>17829895.9023479</v>
      </c>
      <c r="W295" s="522">
        <v>0</v>
      </c>
      <c r="X295" s="522">
        <f t="shared" si="401"/>
        <v>461193.15234789997</v>
      </c>
      <c r="Y295" s="522">
        <f t="shared" si="402"/>
        <v>2.6553114471827826</v>
      </c>
      <c r="Z295" s="524">
        <f t="shared" si="403"/>
        <v>18283722.861626297</v>
      </c>
      <c r="AA295" s="522">
        <f t="shared" si="404"/>
        <v>18283722.861626297</v>
      </c>
      <c r="AB295" s="522">
        <v>0</v>
      </c>
      <c r="AC295" s="522">
        <f t="shared" si="405"/>
        <v>453826.95927839726</v>
      </c>
      <c r="AD295" s="522">
        <f t="shared" si="420"/>
        <v>2.5453146881168038</v>
      </c>
      <c r="AE295" s="522">
        <f t="shared" si="406"/>
        <v>915020.11162629724</v>
      </c>
      <c r="AF295" s="522">
        <f t="shared" si="407"/>
        <v>5.2682121675799749</v>
      </c>
      <c r="AG295" s="522">
        <f t="shared" si="419"/>
        <v>18165390.399999999</v>
      </c>
      <c r="AH295" s="522">
        <f t="shared" si="408"/>
        <v>335494.49765209854</v>
      </c>
      <c r="AI295" s="522">
        <f t="shared" si="421"/>
        <v>1.8816402489928237</v>
      </c>
      <c r="AJ295" s="522">
        <f t="shared" si="409"/>
        <v>-118332.46162629873</v>
      </c>
      <c r="AK295" s="522">
        <f t="shared" si="435"/>
        <v>-0.64720113360858988</v>
      </c>
      <c r="AL295" s="522">
        <f t="shared" si="392"/>
        <v>18165390.399999999</v>
      </c>
      <c r="AM295" s="522">
        <f t="shared" si="428"/>
        <v>2979868.6764099998</v>
      </c>
      <c r="AN295" s="522">
        <f t="shared" si="428"/>
        <v>2831823.12</v>
      </c>
      <c r="AO295" s="522">
        <f t="shared" si="410"/>
        <v>-148045.55640999973</v>
      </c>
      <c r="AP295" s="522">
        <f t="shared" si="423"/>
        <v>-4.9681906314192901</v>
      </c>
      <c r="AQ295" s="578">
        <v>1041163.8115999999</v>
      </c>
      <c r="AR295" s="578">
        <v>1375904.17</v>
      </c>
      <c r="AS295" s="578">
        <v>1938704.8648099999</v>
      </c>
      <c r="AT295" s="578">
        <v>1455918.9500000002</v>
      </c>
      <c r="AU295" s="578">
        <f t="shared" si="427"/>
        <v>14850027.225937899</v>
      </c>
      <c r="AV295" s="578">
        <f t="shared" si="427"/>
        <v>15451899.741626298</v>
      </c>
      <c r="AW295" s="578">
        <f t="shared" si="411"/>
        <v>601872.51568839885</v>
      </c>
      <c r="AX295" s="578">
        <f t="shared" si="424"/>
        <v>4.0530061428920163</v>
      </c>
      <c r="AY295" s="578">
        <f t="shared" si="376"/>
        <v>15333567.279999997</v>
      </c>
      <c r="AZ295" s="578">
        <f t="shared" si="412"/>
        <v>118332.46162630059</v>
      </c>
      <c r="BA295" s="578">
        <f t="shared" si="425"/>
        <v>0.77172167092940924</v>
      </c>
      <c r="BB295" s="578">
        <v>2021763.8695</v>
      </c>
      <c r="BC295" s="576">
        <f>'[67]Дир_по экон'!AT75</f>
        <v>2050950.2194999999</v>
      </c>
      <c r="BD295" s="576">
        <f t="shared" si="389"/>
        <v>2469889.16</v>
      </c>
      <c r="BE295" s="576">
        <f t="shared" si="413"/>
        <v>448125.29050000012</v>
      </c>
      <c r="BF295" s="576">
        <f t="shared" si="414"/>
        <v>418938.94050000026</v>
      </c>
      <c r="BG295" s="576">
        <f t="shared" si="398"/>
        <v>5001632.5459099999</v>
      </c>
      <c r="BH295" s="578">
        <f t="shared" si="398"/>
        <v>4882773.3394999998</v>
      </c>
      <c r="BI295" s="578">
        <v>5301712.28</v>
      </c>
      <c r="BJ295" s="578">
        <f t="shared" si="415"/>
        <v>300079.73409000039</v>
      </c>
      <c r="BK295" s="578">
        <f t="shared" si="416"/>
        <v>418938.94050000049</v>
      </c>
      <c r="BL295" s="576">
        <v>12828263.356437899</v>
      </c>
      <c r="BM295" s="578">
        <f>'[67]Дир_по экон'!AW75</f>
        <v>13400949.522126298</v>
      </c>
      <c r="BN295" s="522">
        <f t="shared" si="390"/>
        <v>12863678.119999997</v>
      </c>
      <c r="BO295" s="578">
        <f t="shared" si="426"/>
        <v>35414.763562098145</v>
      </c>
      <c r="BP295" s="578">
        <f t="shared" si="417"/>
        <v>-537271.40212630108</v>
      </c>
      <c r="BQ295" s="576">
        <v>12828263.356437899</v>
      </c>
      <c r="BR295" s="578">
        <f>'[67]Дир_по экон'!BB75</f>
        <v>0</v>
      </c>
      <c r="BS295" s="578">
        <f>'[67]Дир_по экон'!BC75</f>
        <v>0</v>
      </c>
      <c r="BT295" s="536"/>
      <c r="BU295" s="578"/>
      <c r="BV295" s="578"/>
      <c r="BW295" s="586">
        <v>18165390.399999999</v>
      </c>
      <c r="BX295" s="629"/>
      <c r="BY295" s="522">
        <v>15667751.66</v>
      </c>
      <c r="BZ295" s="522">
        <f>14814.54+510545.08+1837239.39</f>
        <v>2362599.0099999998</v>
      </c>
      <c r="CA295" s="522">
        <v>135039.73000000001</v>
      </c>
      <c r="CB295" s="522">
        <f t="shared" si="391"/>
        <v>18165390.400000002</v>
      </c>
      <c r="CC295" s="522">
        <f t="shared" si="418"/>
        <v>0</v>
      </c>
      <c r="CD295" s="578"/>
      <c r="CE295" s="578"/>
      <c r="CF295" s="578"/>
      <c r="CG295" s="578"/>
      <c r="CH295" s="578"/>
      <c r="CI295" s="578"/>
      <c r="CJ295" s="578"/>
      <c r="CK295" s="543" t="s">
        <v>77</v>
      </c>
      <c r="CL295" s="543" t="s">
        <v>1856</v>
      </c>
      <c r="CM295" s="528" t="s">
        <v>1959</v>
      </c>
      <c r="CN295" s="528" t="s">
        <v>1849</v>
      </c>
      <c r="CO295" s="528"/>
      <c r="CP295" s="544">
        <f t="shared" si="430"/>
        <v>16450226.58585041</v>
      </c>
      <c r="CQ295" s="544">
        <f t="shared" si="431"/>
        <v>1208322.8101917796</v>
      </c>
      <c r="CR295" s="544">
        <f t="shared" si="432"/>
        <v>171346.50630570931</v>
      </c>
      <c r="CS295" s="1709" t="s">
        <v>1826</v>
      </c>
      <c r="CT295" s="1710"/>
      <c r="CU295" s="1710"/>
      <c r="CV295" s="1710"/>
      <c r="CW295" s="1711"/>
      <c r="CX295" s="528"/>
      <c r="CY295" s="528"/>
      <c r="CZ295" s="528"/>
      <c r="DA295" s="528"/>
      <c r="DB295" s="579">
        <v>1375904.17</v>
      </c>
      <c r="DC295" s="628" t="e">
        <f>P295-#REF!</f>
        <v>#REF!</v>
      </c>
      <c r="DD295" s="575"/>
      <c r="DE295" s="575"/>
      <c r="DF295" s="522">
        <f t="shared" si="436"/>
        <v>15667.75166</v>
      </c>
      <c r="DG295" s="522">
        <f t="shared" si="436"/>
        <v>2362.5990099999999</v>
      </c>
      <c r="DH295" s="522">
        <f t="shared" si="436"/>
        <v>135.03973000000002</v>
      </c>
      <c r="DI295" s="522">
        <f t="shared" si="436"/>
        <v>18165.390400000004</v>
      </c>
      <c r="DJ295" s="536"/>
      <c r="DK295" s="536"/>
      <c r="DL295" s="536"/>
      <c r="DM295" s="536"/>
      <c r="DN295" s="536"/>
      <c r="DO295" s="536"/>
      <c r="DP295" s="536"/>
      <c r="DQ295" s="536"/>
      <c r="DR295" s="536"/>
      <c r="DS295" s="536"/>
    </row>
    <row r="296" spans="1:123" s="534" customFormat="1" ht="53.25" customHeight="1">
      <c r="A296" s="537" t="s">
        <v>1976</v>
      </c>
      <c r="B296" s="538" t="s">
        <v>1440</v>
      </c>
      <c r="C296" s="576"/>
      <c r="D296" s="576"/>
      <c r="E296" s="576"/>
      <c r="F296" s="576"/>
      <c r="G296" s="577">
        <v>0</v>
      </c>
      <c r="H296" s="577">
        <v>0</v>
      </c>
      <c r="I296" s="578">
        <f t="shared" si="385"/>
        <v>0</v>
      </c>
      <c r="J296" s="578"/>
      <c r="K296" s="578">
        <v>0</v>
      </c>
      <c r="L296" s="578">
        <v>0</v>
      </c>
      <c r="M296" s="578">
        <f t="shared" si="386"/>
        <v>0</v>
      </c>
      <c r="N296" s="578"/>
      <c r="O296" s="522">
        <f t="shared" si="387"/>
        <v>224579</v>
      </c>
      <c r="P296" s="522">
        <v>224579</v>
      </c>
      <c r="Q296" s="576">
        <f t="shared" si="399"/>
        <v>224579</v>
      </c>
      <c r="R296" s="576">
        <v>0</v>
      </c>
      <c r="S296" s="576"/>
      <c r="T296" s="576"/>
      <c r="U296" s="522">
        <f t="shared" si="388"/>
        <v>26829.78</v>
      </c>
      <c r="V296" s="522">
        <f t="shared" si="397"/>
        <v>26829.78</v>
      </c>
      <c r="W296" s="522">
        <v>0</v>
      </c>
      <c r="X296" s="522">
        <f t="shared" si="401"/>
        <v>-197749.22</v>
      </c>
      <c r="Y296" s="522">
        <f t="shared" si="402"/>
        <v>-88.053299729716485</v>
      </c>
      <c r="Z296" s="524">
        <f t="shared" si="403"/>
        <v>223256.03</v>
      </c>
      <c r="AA296" s="522">
        <f t="shared" si="404"/>
        <v>223256.03</v>
      </c>
      <c r="AB296" s="522">
        <v>0</v>
      </c>
      <c r="AC296" s="522">
        <f t="shared" si="405"/>
        <v>196426.25</v>
      </c>
      <c r="AD296" s="522">
        <f t="shared" si="420"/>
        <v>732.12024101576696</v>
      </c>
      <c r="AE296" s="522">
        <f t="shared" si="406"/>
        <v>-1322.9700000000012</v>
      </c>
      <c r="AF296" s="522">
        <f t="shared" si="407"/>
        <v>-0.58908891748559711</v>
      </c>
      <c r="AG296" s="522">
        <f t="shared" si="419"/>
        <v>409645.93</v>
      </c>
      <c r="AH296" s="522">
        <f t="shared" si="408"/>
        <v>382816.15</v>
      </c>
      <c r="AI296" s="522">
        <f t="shared" si="421"/>
        <v>1426.8329818582188</v>
      </c>
      <c r="AJ296" s="522">
        <f t="shared" si="409"/>
        <v>186389.9</v>
      </c>
      <c r="AK296" s="522">
        <f t="shared" si="435"/>
        <v>83.487061917207797</v>
      </c>
      <c r="AL296" s="522">
        <f t="shared" si="392"/>
        <v>409645.93</v>
      </c>
      <c r="AM296" s="522">
        <f t="shared" si="428"/>
        <v>24727.78</v>
      </c>
      <c r="AN296" s="522">
        <f t="shared" si="428"/>
        <v>141014.57</v>
      </c>
      <c r="AO296" s="522">
        <f t="shared" si="410"/>
        <v>116286.79000000001</v>
      </c>
      <c r="AP296" s="522">
        <f t="shared" si="423"/>
        <v>470.26781215297126</v>
      </c>
      <c r="AQ296" s="578">
        <v>15765</v>
      </c>
      <c r="AR296" s="578">
        <v>31880</v>
      </c>
      <c r="AS296" s="578">
        <v>8962.7800000000007</v>
      </c>
      <c r="AT296" s="578">
        <v>109134.57</v>
      </c>
      <c r="AU296" s="578">
        <f t="shared" si="427"/>
        <v>2102</v>
      </c>
      <c r="AV296" s="578">
        <f t="shared" si="427"/>
        <v>82241.459999999992</v>
      </c>
      <c r="AW296" s="578">
        <f t="shared" si="411"/>
        <v>80139.459999999992</v>
      </c>
      <c r="AX296" s="578">
        <f t="shared" si="424"/>
        <v>3812.5337773548999</v>
      </c>
      <c r="AY296" s="578">
        <f t="shared" si="376"/>
        <v>268631.36</v>
      </c>
      <c r="AZ296" s="578">
        <f t="shared" si="412"/>
        <v>-186389.9</v>
      </c>
      <c r="BA296" s="578">
        <f t="shared" si="425"/>
        <v>-69.385011489351058</v>
      </c>
      <c r="BB296" s="578">
        <v>0</v>
      </c>
      <c r="BC296" s="576">
        <f>'[67]Дир_по корп'!AT39</f>
        <v>30000</v>
      </c>
      <c r="BD296" s="576">
        <f t="shared" si="389"/>
        <v>180840.26</v>
      </c>
      <c r="BE296" s="576">
        <f t="shared" si="413"/>
        <v>180840.26</v>
      </c>
      <c r="BF296" s="576">
        <f t="shared" si="414"/>
        <v>150840.26</v>
      </c>
      <c r="BG296" s="576">
        <f t="shared" si="398"/>
        <v>24727.78</v>
      </c>
      <c r="BH296" s="578">
        <f t="shared" si="398"/>
        <v>171014.57</v>
      </c>
      <c r="BI296" s="578">
        <v>321854.83</v>
      </c>
      <c r="BJ296" s="578">
        <f t="shared" si="415"/>
        <v>297127.05000000005</v>
      </c>
      <c r="BK296" s="578">
        <f t="shared" si="416"/>
        <v>150840.26</v>
      </c>
      <c r="BL296" s="576">
        <v>2102</v>
      </c>
      <c r="BM296" s="578">
        <f>'[67]Дир_по корп'!AW39</f>
        <v>52241.46</v>
      </c>
      <c r="BN296" s="522">
        <f t="shared" si="390"/>
        <v>87791.099999999977</v>
      </c>
      <c r="BO296" s="578">
        <f t="shared" si="426"/>
        <v>85689.099999999977</v>
      </c>
      <c r="BP296" s="578">
        <f t="shared" si="417"/>
        <v>35549.639999999978</v>
      </c>
      <c r="BQ296" s="576">
        <v>2102</v>
      </c>
      <c r="BR296" s="578">
        <f>'[67]Дир_по корп'!BB39</f>
        <v>0</v>
      </c>
      <c r="BS296" s="578">
        <f>'[67]Дир_по корп'!BC39</f>
        <v>0</v>
      </c>
      <c r="BT296" s="536"/>
      <c r="BU296" s="578"/>
      <c r="BV296" s="578"/>
      <c r="BW296" s="586">
        <f>290729.24+118916.69</f>
        <v>409645.93</v>
      </c>
      <c r="BX296" s="629"/>
      <c r="BY296" s="522">
        <f>266576.75+96709.63</f>
        <v>363286.38</v>
      </c>
      <c r="BZ296" s="522">
        <f>14758.52+6153.16+4843.28+15821.9</f>
        <v>41576.86</v>
      </c>
      <c r="CA296" s="522">
        <f>3240.81+1541.88</f>
        <v>4782.6900000000005</v>
      </c>
      <c r="CB296" s="522">
        <f t="shared" si="391"/>
        <v>409645.93</v>
      </c>
      <c r="CC296" s="522">
        <f t="shared" si="418"/>
        <v>0</v>
      </c>
      <c r="CD296" s="578"/>
      <c r="CE296" s="578"/>
      <c r="CF296" s="578"/>
      <c r="CG296" s="578"/>
      <c r="CH296" s="578"/>
      <c r="CI296" s="578"/>
      <c r="CJ296" s="578"/>
      <c r="CK296" s="543" t="s">
        <v>80</v>
      </c>
      <c r="CL296" s="543" t="s">
        <v>1942</v>
      </c>
      <c r="CM296" s="528" t="s">
        <v>1959</v>
      </c>
      <c r="CN296" s="528"/>
      <c r="CO296" s="528"/>
      <c r="CP296" s="544">
        <f t="shared" si="430"/>
        <v>24753.703704484244</v>
      </c>
      <c r="CQ296" s="544">
        <f t="shared" si="431"/>
        <v>1818.240293941265</v>
      </c>
      <c r="CR296" s="544">
        <f t="shared" si="432"/>
        <v>257.83600157449149</v>
      </c>
      <c r="CS296" s="1709" t="s">
        <v>1826</v>
      </c>
      <c r="CT296" s="1710"/>
      <c r="CU296" s="1710"/>
      <c r="CV296" s="1710"/>
      <c r="CW296" s="1711"/>
      <c r="CX296" s="528"/>
      <c r="CY296" s="528"/>
      <c r="CZ296" s="528"/>
      <c r="DA296" s="528"/>
      <c r="DB296" s="579">
        <v>31880</v>
      </c>
      <c r="DC296" s="628" t="e">
        <f>P296-#REF!</f>
        <v>#REF!</v>
      </c>
      <c r="DD296" s="575"/>
      <c r="DE296" s="575"/>
      <c r="DF296" s="522">
        <f t="shared" si="436"/>
        <v>363.28638000000001</v>
      </c>
      <c r="DG296" s="522">
        <f t="shared" si="436"/>
        <v>41.576860000000003</v>
      </c>
      <c r="DH296" s="522">
        <f t="shared" si="436"/>
        <v>4.7826900000000006</v>
      </c>
      <c r="DI296" s="522">
        <f t="shared" si="436"/>
        <v>409.64593000000002</v>
      </c>
      <c r="DJ296" s="536"/>
      <c r="DK296" s="536"/>
      <c r="DL296" s="536"/>
      <c r="DM296" s="536"/>
      <c r="DN296" s="536"/>
      <c r="DO296" s="536"/>
      <c r="DP296" s="536"/>
      <c r="DQ296" s="536"/>
      <c r="DR296" s="536"/>
      <c r="DS296" s="536"/>
    </row>
    <row r="297" spans="1:123" s="534" customFormat="1" ht="53.25" customHeight="1">
      <c r="A297" s="537" t="s">
        <v>1977</v>
      </c>
      <c r="B297" s="538" t="s">
        <v>1978</v>
      </c>
      <c r="C297" s="576"/>
      <c r="D297" s="576"/>
      <c r="E297" s="576"/>
      <c r="F297" s="576"/>
      <c r="G297" s="577"/>
      <c r="H297" s="577"/>
      <c r="I297" s="578">
        <f t="shared" si="385"/>
        <v>105200</v>
      </c>
      <c r="J297" s="578">
        <v>0</v>
      </c>
      <c r="K297" s="578">
        <v>52600</v>
      </c>
      <c r="L297" s="578">
        <v>52600</v>
      </c>
      <c r="M297" s="578">
        <f t="shared" si="386"/>
        <v>52600</v>
      </c>
      <c r="N297" s="578"/>
      <c r="O297" s="522">
        <f t="shared" si="387"/>
        <v>213359.77</v>
      </c>
      <c r="P297" s="522">
        <v>213359.77</v>
      </c>
      <c r="Q297" s="576">
        <f t="shared" si="399"/>
        <v>108159.76999999999</v>
      </c>
      <c r="R297" s="576">
        <f t="shared" si="400"/>
        <v>102.81346958174905</v>
      </c>
      <c r="S297" s="576"/>
      <c r="T297" s="576"/>
      <c r="U297" s="522">
        <f t="shared" si="388"/>
        <v>110565.2</v>
      </c>
      <c r="V297" s="522">
        <f t="shared" si="397"/>
        <v>110565.2</v>
      </c>
      <c r="W297" s="522">
        <v>0</v>
      </c>
      <c r="X297" s="522">
        <f t="shared" si="401"/>
        <v>-102794.56999999999</v>
      </c>
      <c r="Y297" s="522">
        <f t="shared" si="402"/>
        <v>-48.178984257435218</v>
      </c>
      <c r="Z297" s="524">
        <f t="shared" si="403"/>
        <v>106562.47</v>
      </c>
      <c r="AA297" s="522">
        <f t="shared" si="404"/>
        <v>106562.47</v>
      </c>
      <c r="AB297" s="522">
        <v>0</v>
      </c>
      <c r="AC297" s="522">
        <f t="shared" si="405"/>
        <v>-4002.7299999999959</v>
      </c>
      <c r="AD297" s="522">
        <f t="shared" si="420"/>
        <v>-3.6202439827359711</v>
      </c>
      <c r="AE297" s="522">
        <f t="shared" si="406"/>
        <v>-106797.29999999999</v>
      </c>
      <c r="AF297" s="522">
        <f t="shared" si="407"/>
        <v>-50.055031461648085</v>
      </c>
      <c r="AG297" s="522">
        <f t="shared" si="419"/>
        <v>97961.01</v>
      </c>
      <c r="AH297" s="522">
        <f t="shared" si="408"/>
        <v>-12604.190000000002</v>
      </c>
      <c r="AI297" s="522">
        <f t="shared" si="421"/>
        <v>-11.399780401066522</v>
      </c>
      <c r="AJ297" s="522">
        <f t="shared" si="409"/>
        <v>-8601.4600000000064</v>
      </c>
      <c r="AK297" s="522">
        <f t="shared" si="435"/>
        <v>-8.0717535920479406</v>
      </c>
      <c r="AL297" s="522">
        <f t="shared" si="392"/>
        <v>97961.01</v>
      </c>
      <c r="AM297" s="522">
        <f t="shared" si="428"/>
        <v>55282.6</v>
      </c>
      <c r="AN297" s="522">
        <f t="shared" si="428"/>
        <v>51279.87</v>
      </c>
      <c r="AO297" s="522">
        <f t="shared" si="410"/>
        <v>-4002.7299999999959</v>
      </c>
      <c r="AP297" s="522">
        <f t="shared" si="423"/>
        <v>-7.2404879654719565</v>
      </c>
      <c r="AQ297" s="578">
        <v>27641.3</v>
      </c>
      <c r="AR297" s="578">
        <v>21924.09</v>
      </c>
      <c r="AS297" s="578">
        <v>27641.3</v>
      </c>
      <c r="AT297" s="578">
        <v>29355.780000000002</v>
      </c>
      <c r="AU297" s="578">
        <f t="shared" si="427"/>
        <v>55282.6</v>
      </c>
      <c r="AV297" s="578">
        <f t="shared" si="427"/>
        <v>55282.6</v>
      </c>
      <c r="AW297" s="578">
        <f t="shared" si="411"/>
        <v>0</v>
      </c>
      <c r="AX297" s="578">
        <f t="shared" si="424"/>
        <v>0</v>
      </c>
      <c r="AY297" s="578">
        <f t="shared" si="376"/>
        <v>46681.139999999992</v>
      </c>
      <c r="AZ297" s="578">
        <f t="shared" si="412"/>
        <v>8601.4600000000064</v>
      </c>
      <c r="BA297" s="578">
        <f t="shared" si="425"/>
        <v>18.425985312269603</v>
      </c>
      <c r="BB297" s="578">
        <v>27641.3</v>
      </c>
      <c r="BC297" s="576">
        <f>'[67]Дир_ имущ'!AT61</f>
        <v>27641.3</v>
      </c>
      <c r="BD297" s="576">
        <f t="shared" si="389"/>
        <v>17622.799999999996</v>
      </c>
      <c r="BE297" s="576">
        <f t="shared" si="413"/>
        <v>-10018.500000000004</v>
      </c>
      <c r="BF297" s="576">
        <f t="shared" si="414"/>
        <v>-10018.500000000004</v>
      </c>
      <c r="BG297" s="576">
        <f t="shared" si="398"/>
        <v>82923.899999999994</v>
      </c>
      <c r="BH297" s="578">
        <f t="shared" si="398"/>
        <v>78921.17</v>
      </c>
      <c r="BI297" s="578">
        <v>68902.67</v>
      </c>
      <c r="BJ297" s="578">
        <f t="shared" si="415"/>
        <v>-14021.229999999996</v>
      </c>
      <c r="BK297" s="578">
        <f t="shared" si="416"/>
        <v>-10018.5</v>
      </c>
      <c r="BL297" s="576">
        <v>27641.3</v>
      </c>
      <c r="BM297" s="578">
        <f>'[67]Дир_ имущ'!AW61</f>
        <v>27641.3</v>
      </c>
      <c r="BN297" s="522">
        <f t="shared" si="390"/>
        <v>29058.339999999997</v>
      </c>
      <c r="BO297" s="578">
        <f t="shared" si="426"/>
        <v>1417.0399999999972</v>
      </c>
      <c r="BP297" s="578">
        <f t="shared" si="417"/>
        <v>1417.0399999999972</v>
      </c>
      <c r="BQ297" s="576">
        <v>27641.3</v>
      </c>
      <c r="BR297" s="578">
        <f>'[67]Дир_ имущ'!BB61</f>
        <v>0</v>
      </c>
      <c r="BS297" s="578">
        <f>'[67]Дир_ имущ'!BC61</f>
        <v>0</v>
      </c>
      <c r="BT297" s="536"/>
      <c r="BU297" s="578"/>
      <c r="BV297" s="578"/>
      <c r="BW297" s="586">
        <v>97961.01</v>
      </c>
      <c r="BX297" s="629"/>
      <c r="BY297" s="522">
        <v>89019.14</v>
      </c>
      <c r="BZ297" s="522">
        <f>1917.14+5934.58</f>
        <v>7851.72</v>
      </c>
      <c r="CA297" s="522">
        <v>1090.1500000000001</v>
      </c>
      <c r="CB297" s="522">
        <f t="shared" si="391"/>
        <v>97961.01</v>
      </c>
      <c r="CC297" s="522">
        <f t="shared" si="418"/>
        <v>0</v>
      </c>
      <c r="CD297" s="578"/>
      <c r="CE297" s="578"/>
      <c r="CF297" s="578"/>
      <c r="CG297" s="578"/>
      <c r="CH297" s="578"/>
      <c r="CI297" s="578"/>
      <c r="CJ297" s="578"/>
      <c r="CK297" s="543" t="s">
        <v>1815</v>
      </c>
      <c r="CL297" s="543" t="s">
        <v>1897</v>
      </c>
      <c r="CM297" s="528" t="s">
        <v>1959</v>
      </c>
      <c r="CN297" s="528"/>
      <c r="CO297" s="528"/>
      <c r="CP297" s="544">
        <f t="shared" si="430"/>
        <v>102009.71460917837</v>
      </c>
      <c r="CQ297" s="544">
        <f t="shared" si="431"/>
        <v>7492.9463360368509</v>
      </c>
      <c r="CR297" s="544">
        <f t="shared" si="432"/>
        <v>1062.5390547847937</v>
      </c>
      <c r="CS297" s="1709" t="s">
        <v>1826</v>
      </c>
      <c r="CT297" s="1710"/>
      <c r="CU297" s="1710"/>
      <c r="CV297" s="1710"/>
      <c r="CW297" s="1711"/>
      <c r="CX297" s="528"/>
      <c r="CY297" s="528"/>
      <c r="CZ297" s="528"/>
      <c r="DA297" s="528"/>
      <c r="DB297" s="579">
        <v>21924.09</v>
      </c>
      <c r="DC297" s="628" t="e">
        <f>P297-#REF!</f>
        <v>#REF!</v>
      </c>
      <c r="DD297" s="575"/>
      <c r="DE297" s="575"/>
      <c r="DF297" s="522">
        <f t="shared" si="436"/>
        <v>89.019139999999993</v>
      </c>
      <c r="DG297" s="522">
        <f t="shared" si="436"/>
        <v>7.8517200000000003</v>
      </c>
      <c r="DH297" s="522">
        <f t="shared" si="436"/>
        <v>1.0901500000000002</v>
      </c>
      <c r="DI297" s="522">
        <f t="shared" si="436"/>
        <v>97.961010000000002</v>
      </c>
      <c r="DJ297" s="536"/>
      <c r="DK297" s="536"/>
      <c r="DL297" s="536"/>
      <c r="DM297" s="536"/>
      <c r="DN297" s="536"/>
      <c r="DO297" s="536"/>
      <c r="DP297" s="536"/>
      <c r="DQ297" s="536"/>
      <c r="DR297" s="536"/>
      <c r="DS297" s="536"/>
    </row>
    <row r="298" spans="1:123" s="534" customFormat="1" ht="84.75" customHeight="1">
      <c r="A298" s="537" t="s">
        <v>1979</v>
      </c>
      <c r="B298" s="538" t="s">
        <v>1444</v>
      </c>
      <c r="C298" s="576"/>
      <c r="D298" s="576"/>
      <c r="E298" s="576"/>
      <c r="F298" s="576"/>
      <c r="G298" s="577"/>
      <c r="H298" s="577"/>
      <c r="I298" s="578">
        <f t="shared" si="385"/>
        <v>0</v>
      </c>
      <c r="J298" s="578"/>
      <c r="K298" s="578"/>
      <c r="L298" s="578"/>
      <c r="M298" s="578"/>
      <c r="N298" s="578"/>
      <c r="O298" s="522">
        <f t="shared" si="387"/>
        <v>0</v>
      </c>
      <c r="P298" s="522">
        <v>0</v>
      </c>
      <c r="Q298" s="576">
        <f t="shared" si="399"/>
        <v>0</v>
      </c>
      <c r="R298" s="576">
        <v>0</v>
      </c>
      <c r="S298" s="576"/>
      <c r="T298" s="576"/>
      <c r="U298" s="522">
        <f t="shared" si="388"/>
        <v>1647867.31</v>
      </c>
      <c r="V298" s="522">
        <f t="shared" si="397"/>
        <v>1647867.31</v>
      </c>
      <c r="W298" s="522">
        <v>0</v>
      </c>
      <c r="X298" s="522">
        <f t="shared" si="401"/>
        <v>1647867.31</v>
      </c>
      <c r="Y298" s="522">
        <v>0</v>
      </c>
      <c r="Z298" s="524">
        <f t="shared" si="403"/>
        <v>1610856.28</v>
      </c>
      <c r="AA298" s="522">
        <f t="shared" si="404"/>
        <v>1610856.28</v>
      </c>
      <c r="AB298" s="522">
        <v>0</v>
      </c>
      <c r="AC298" s="522">
        <f t="shared" si="405"/>
        <v>-37011.030000000028</v>
      </c>
      <c r="AD298" s="522">
        <f t="shared" si="420"/>
        <v>-2.2459957652779678</v>
      </c>
      <c r="AE298" s="522">
        <f t="shared" si="406"/>
        <v>1610856.28</v>
      </c>
      <c r="AF298" s="522">
        <v>0</v>
      </c>
      <c r="AG298" s="522">
        <f t="shared" si="419"/>
        <v>1208356</v>
      </c>
      <c r="AH298" s="522">
        <f t="shared" si="408"/>
        <v>-439511.31000000006</v>
      </c>
      <c r="AI298" s="522">
        <f t="shared" si="421"/>
        <v>-26.671523085193073</v>
      </c>
      <c r="AJ298" s="522">
        <f t="shared" si="409"/>
        <v>-402500.28</v>
      </c>
      <c r="AK298" s="522">
        <f t="shared" si="435"/>
        <v>-24.986728176644036</v>
      </c>
      <c r="AL298" s="522">
        <f t="shared" si="392"/>
        <v>1208356</v>
      </c>
      <c r="AM298" s="522">
        <f t="shared" si="428"/>
        <v>663817.03</v>
      </c>
      <c r="AN298" s="522">
        <f t="shared" si="428"/>
        <v>626806</v>
      </c>
      <c r="AO298" s="522">
        <f t="shared" si="410"/>
        <v>-37011.030000000028</v>
      </c>
      <c r="AP298" s="522">
        <f t="shared" si="423"/>
        <v>-5.5754866668605985</v>
      </c>
      <c r="AQ298" s="578">
        <f>333817.03+287500</f>
        <v>621317.03</v>
      </c>
      <c r="AR298" s="578">
        <v>414191</v>
      </c>
      <c r="AS298" s="578">
        <f>0+42500</f>
        <v>42500</v>
      </c>
      <c r="AT298" s="578">
        <v>212615</v>
      </c>
      <c r="AU298" s="578">
        <f t="shared" si="427"/>
        <v>984050.28</v>
      </c>
      <c r="AV298" s="578">
        <f t="shared" si="427"/>
        <v>984050.28</v>
      </c>
      <c r="AW298" s="578">
        <f t="shared" si="411"/>
        <v>0</v>
      </c>
      <c r="AX298" s="578">
        <f t="shared" si="424"/>
        <v>0</v>
      </c>
      <c r="AY298" s="578">
        <f t="shared" si="376"/>
        <v>581550</v>
      </c>
      <c r="AZ298" s="578">
        <f t="shared" si="412"/>
        <v>402500.28</v>
      </c>
      <c r="BA298" s="578">
        <f t="shared" si="425"/>
        <v>69.211637864328083</v>
      </c>
      <c r="BB298" s="578">
        <f>235233.24+287500</f>
        <v>522733.24</v>
      </c>
      <c r="BC298" s="576">
        <f>'[67]Дир_по корп'!AT55</f>
        <v>522733.24</v>
      </c>
      <c r="BD298" s="576">
        <f t="shared" si="389"/>
        <v>481550</v>
      </c>
      <c r="BE298" s="576">
        <f t="shared" si="413"/>
        <v>-41183.239999999991</v>
      </c>
      <c r="BF298" s="576">
        <f t="shared" si="414"/>
        <v>-41183.239999999991</v>
      </c>
      <c r="BG298" s="576">
        <f t="shared" si="398"/>
        <v>1186550.27</v>
      </c>
      <c r="BH298" s="578">
        <f t="shared" si="398"/>
        <v>1149539.24</v>
      </c>
      <c r="BI298" s="578">
        <v>1108356</v>
      </c>
      <c r="BJ298" s="578">
        <f t="shared" si="415"/>
        <v>-78194.270000000019</v>
      </c>
      <c r="BK298" s="578">
        <f t="shared" si="416"/>
        <v>-41183.239999999991</v>
      </c>
      <c r="BL298" s="576">
        <f>333817.04+127500</f>
        <v>461317.04</v>
      </c>
      <c r="BM298" s="578">
        <f>'[67]Дир_по корп'!AW55</f>
        <v>461317.04</v>
      </c>
      <c r="BN298" s="522">
        <f t="shared" si="390"/>
        <v>100000</v>
      </c>
      <c r="BO298" s="578">
        <f t="shared" si="426"/>
        <v>-361317.04</v>
      </c>
      <c r="BP298" s="578">
        <f t="shared" si="417"/>
        <v>-361317.04</v>
      </c>
      <c r="BQ298" s="576">
        <f>333817.04+127500</f>
        <v>461317.04</v>
      </c>
      <c r="BR298" s="578">
        <f>'[67]Дир_по корп'!BB55</f>
        <v>0</v>
      </c>
      <c r="BS298" s="578">
        <f>'[67]Дир_по корп'!BC55</f>
        <v>0</v>
      </c>
      <c r="BT298" s="536"/>
      <c r="BU298" s="578"/>
      <c r="BV298" s="578"/>
      <c r="BW298" s="586">
        <v>1208356</v>
      </c>
      <c r="BX298" s="629"/>
      <c r="BY298" s="522">
        <v>1164748.24</v>
      </c>
      <c r="BZ298" s="522">
        <f>9090.85+19439.42</f>
        <v>28530.269999999997</v>
      </c>
      <c r="CA298" s="522">
        <v>15077.49</v>
      </c>
      <c r="CB298" s="522">
        <f t="shared" si="391"/>
        <v>1208356</v>
      </c>
      <c r="CC298" s="522">
        <f t="shared" si="418"/>
        <v>0</v>
      </c>
      <c r="CD298" s="578"/>
      <c r="CE298" s="578"/>
      <c r="CF298" s="578"/>
      <c r="CG298" s="578"/>
      <c r="CH298" s="578"/>
      <c r="CI298" s="578"/>
      <c r="CJ298" s="578"/>
      <c r="CK298" s="630" t="str">
        <f>'[67]Дир_по корп'!AY55</f>
        <v>Директор по корпоративному управлению</v>
      </c>
      <c r="CL298" s="543" t="s">
        <v>1897</v>
      </c>
      <c r="CM298" s="528" t="s">
        <v>1959</v>
      </c>
      <c r="CN298" s="528"/>
      <c r="CO298" s="528"/>
      <c r="CP298" s="544">
        <f t="shared" si="430"/>
        <v>1520356.0795521054</v>
      </c>
      <c r="CQ298" s="544">
        <f t="shared" si="431"/>
        <v>111675.11407512853</v>
      </c>
      <c r="CR298" s="544">
        <f t="shared" si="432"/>
        <v>15836.116372766124</v>
      </c>
      <c r="CS298" s="1709" t="s">
        <v>1826</v>
      </c>
      <c r="CT298" s="1710"/>
      <c r="CU298" s="1710"/>
      <c r="CV298" s="1710"/>
      <c r="CW298" s="1711"/>
      <c r="CX298" s="528"/>
      <c r="CY298" s="528"/>
      <c r="CZ298" s="528"/>
      <c r="DA298" s="528"/>
      <c r="DB298" s="579">
        <v>414191</v>
      </c>
      <c r="DC298" s="628" t="e">
        <f>P298-#REF!</f>
        <v>#REF!</v>
      </c>
      <c r="DD298" s="575"/>
      <c r="DE298" s="575"/>
      <c r="DF298" s="522">
        <f t="shared" si="436"/>
        <v>1164.7482399999999</v>
      </c>
      <c r="DG298" s="522">
        <f t="shared" si="436"/>
        <v>28.530269999999998</v>
      </c>
      <c r="DH298" s="522">
        <f t="shared" si="436"/>
        <v>15.077489999999999</v>
      </c>
      <c r="DI298" s="522">
        <f t="shared" si="436"/>
        <v>1208.356</v>
      </c>
      <c r="DJ298" s="536"/>
      <c r="DK298" s="536"/>
      <c r="DL298" s="536"/>
      <c r="DM298" s="536"/>
      <c r="DN298" s="536"/>
      <c r="DO298" s="536"/>
      <c r="DP298" s="536"/>
      <c r="DQ298" s="536"/>
      <c r="DR298" s="536"/>
      <c r="DS298" s="536"/>
    </row>
    <row r="299" spans="1:123" s="534" customFormat="1" ht="141">
      <c r="A299" s="537" t="s">
        <v>1980</v>
      </c>
      <c r="B299" s="672" t="s">
        <v>1981</v>
      </c>
      <c r="C299" s="576"/>
      <c r="D299" s="576"/>
      <c r="E299" s="649"/>
      <c r="F299" s="649"/>
      <c r="G299" s="577"/>
      <c r="H299" s="577"/>
      <c r="I299" s="578">
        <f t="shared" si="385"/>
        <v>0</v>
      </c>
      <c r="J299" s="578"/>
      <c r="K299" s="578"/>
      <c r="L299" s="578"/>
      <c r="M299" s="578"/>
      <c r="N299" s="578"/>
      <c r="O299" s="522">
        <f t="shared" si="387"/>
        <v>0</v>
      </c>
      <c r="P299" s="522">
        <v>0</v>
      </c>
      <c r="Q299" s="576">
        <f t="shared" si="399"/>
        <v>0</v>
      </c>
      <c r="R299" s="576">
        <v>0</v>
      </c>
      <c r="S299" s="576"/>
      <c r="T299" s="576"/>
      <c r="U299" s="573">
        <f t="shared" si="388"/>
        <v>0</v>
      </c>
      <c r="V299" s="522">
        <f t="shared" si="397"/>
        <v>0</v>
      </c>
      <c r="W299" s="522">
        <v>0</v>
      </c>
      <c r="X299" s="522">
        <f t="shared" si="401"/>
        <v>0</v>
      </c>
      <c r="Y299" s="522">
        <v>0</v>
      </c>
      <c r="Z299" s="524">
        <f t="shared" si="403"/>
        <v>8584.7000000000007</v>
      </c>
      <c r="AA299" s="522">
        <f t="shared" si="404"/>
        <v>8584.7000000000007</v>
      </c>
      <c r="AB299" s="522">
        <v>0</v>
      </c>
      <c r="AC299" s="522">
        <f t="shared" si="405"/>
        <v>8584.7000000000007</v>
      </c>
      <c r="AD299" s="522">
        <v>0</v>
      </c>
      <c r="AE299" s="522">
        <f t="shared" si="406"/>
        <v>8584.7000000000007</v>
      </c>
      <c r="AF299" s="522">
        <v>0</v>
      </c>
      <c r="AG299" s="522">
        <f t="shared" si="419"/>
        <v>19859.88</v>
      </c>
      <c r="AH299" s="522">
        <f t="shared" si="408"/>
        <v>19859.88</v>
      </c>
      <c r="AI299" s="522">
        <v>0</v>
      </c>
      <c r="AJ299" s="522">
        <f t="shared" si="409"/>
        <v>11275.18</v>
      </c>
      <c r="AK299" s="522">
        <f t="shared" si="435"/>
        <v>131.34040793504721</v>
      </c>
      <c r="AL299" s="522">
        <f t="shared" si="392"/>
        <v>19859.88</v>
      </c>
      <c r="AM299" s="522">
        <f t="shared" si="428"/>
        <v>0</v>
      </c>
      <c r="AN299" s="522">
        <f t="shared" si="428"/>
        <v>8584.7000000000007</v>
      </c>
      <c r="AO299" s="522">
        <f t="shared" si="410"/>
        <v>8584.7000000000007</v>
      </c>
      <c r="AP299" s="522">
        <v>0</v>
      </c>
      <c r="AQ299" s="578">
        <v>0</v>
      </c>
      <c r="AR299" s="578">
        <v>6086.68</v>
      </c>
      <c r="AS299" s="578">
        <v>0</v>
      </c>
      <c r="AT299" s="578">
        <v>2498.0200000000004</v>
      </c>
      <c r="AU299" s="578">
        <f t="shared" si="427"/>
        <v>0</v>
      </c>
      <c r="AV299" s="578">
        <f t="shared" si="427"/>
        <v>0</v>
      </c>
      <c r="AW299" s="578">
        <f t="shared" si="411"/>
        <v>0</v>
      </c>
      <c r="AX299" s="578">
        <v>0</v>
      </c>
      <c r="AY299" s="578">
        <f t="shared" si="376"/>
        <v>11275.18</v>
      </c>
      <c r="AZ299" s="578">
        <f t="shared" si="412"/>
        <v>-11275.18</v>
      </c>
      <c r="BA299" s="578">
        <v>0</v>
      </c>
      <c r="BB299" s="578">
        <v>0</v>
      </c>
      <c r="BC299" s="576">
        <f>'[67]Дир_по экон'!AT41</f>
        <v>0</v>
      </c>
      <c r="BD299" s="576">
        <f t="shared" si="389"/>
        <v>9686.2799999999988</v>
      </c>
      <c r="BE299" s="576">
        <f t="shared" si="413"/>
        <v>9686.2799999999988</v>
      </c>
      <c r="BF299" s="576">
        <f t="shared" si="414"/>
        <v>9686.2799999999988</v>
      </c>
      <c r="BG299" s="576">
        <f t="shared" si="398"/>
        <v>0</v>
      </c>
      <c r="BH299" s="578">
        <f t="shared" si="398"/>
        <v>8584.7000000000007</v>
      </c>
      <c r="BI299" s="578">
        <v>18270.98</v>
      </c>
      <c r="BJ299" s="578">
        <f t="shared" si="415"/>
        <v>18270.98</v>
      </c>
      <c r="BK299" s="578">
        <f t="shared" si="416"/>
        <v>9686.2799999999988</v>
      </c>
      <c r="BL299" s="576">
        <v>0</v>
      </c>
      <c r="BM299" s="578">
        <f>'[67]Дир_по экон'!AW41</f>
        <v>0</v>
      </c>
      <c r="BN299" s="522">
        <f t="shared" si="390"/>
        <v>1588.9000000000015</v>
      </c>
      <c r="BO299" s="578">
        <f t="shared" si="426"/>
        <v>1588.9000000000015</v>
      </c>
      <c r="BP299" s="578">
        <f t="shared" si="417"/>
        <v>1588.9000000000015</v>
      </c>
      <c r="BQ299" s="576">
        <v>0</v>
      </c>
      <c r="BR299" s="578">
        <f>'[67]Дир_по экон'!BB41</f>
        <v>0</v>
      </c>
      <c r="BS299" s="578">
        <f>'[67]Дир_по экон'!BC41</f>
        <v>0</v>
      </c>
      <c r="BT299" s="536"/>
      <c r="BU299" s="578"/>
      <c r="BV299" s="578"/>
      <c r="BW299" s="586">
        <f>5684.52+14175.36</f>
        <v>19859.88</v>
      </c>
      <c r="BX299" s="629"/>
      <c r="BY299" s="522">
        <f>19200.69</f>
        <v>19200.689999999999</v>
      </c>
      <c r="BZ299" s="522">
        <f>7.95+152.59+10.1+241.88</f>
        <v>412.52</v>
      </c>
      <c r="CA299" s="522">
        <f>7.4+239.27</f>
        <v>246.67000000000002</v>
      </c>
      <c r="CB299" s="522">
        <f t="shared" si="391"/>
        <v>19859.879999999997</v>
      </c>
      <c r="CC299" s="522">
        <f t="shared" si="418"/>
        <v>0</v>
      </c>
      <c r="CD299" s="578"/>
      <c r="CE299" s="578"/>
      <c r="CF299" s="578"/>
      <c r="CG299" s="578"/>
      <c r="CH299" s="578"/>
      <c r="CI299" s="578"/>
      <c r="CJ299" s="578"/>
      <c r="CK299" s="543" t="s">
        <v>77</v>
      </c>
      <c r="CL299" s="542" t="s">
        <v>1800</v>
      </c>
      <c r="CM299" s="528" t="s">
        <v>1959</v>
      </c>
      <c r="CN299" s="528"/>
      <c r="CO299" s="528"/>
      <c r="CP299" s="544">
        <f t="shared" si="430"/>
        <v>0</v>
      </c>
      <c r="CQ299" s="544">
        <f t="shared" si="431"/>
        <v>0</v>
      </c>
      <c r="CR299" s="544">
        <f t="shared" si="432"/>
        <v>0</v>
      </c>
      <c r="CS299" s="1709" t="s">
        <v>1826</v>
      </c>
      <c r="CT299" s="1710"/>
      <c r="CU299" s="1710"/>
      <c r="CV299" s="1710"/>
      <c r="CW299" s="1711"/>
      <c r="CX299" s="528"/>
      <c r="CY299" s="528"/>
      <c r="CZ299" s="528"/>
      <c r="DA299" s="528"/>
      <c r="DB299" s="660">
        <f>586.68+5500</f>
        <v>6086.68</v>
      </c>
      <c r="DC299" s="628" t="e">
        <f>P299-#REF!</f>
        <v>#REF!</v>
      </c>
      <c r="DD299" s="575">
        <f>BI256+BI268+BI299</f>
        <v>14628133.039999999</v>
      </c>
      <c r="DE299" s="575"/>
      <c r="DF299" s="522">
        <f t="shared" si="436"/>
        <v>19.200689999999998</v>
      </c>
      <c r="DG299" s="522">
        <f t="shared" si="436"/>
        <v>0.41252</v>
      </c>
      <c r="DH299" s="522">
        <f t="shared" si="436"/>
        <v>0.24667000000000003</v>
      </c>
      <c r="DI299" s="522">
        <f t="shared" si="436"/>
        <v>19.859879999999997</v>
      </c>
      <c r="DJ299" s="536"/>
      <c r="DK299" s="536"/>
      <c r="DL299" s="536"/>
      <c r="DM299" s="536"/>
      <c r="DN299" s="536"/>
      <c r="DO299" s="536"/>
      <c r="DP299" s="536"/>
      <c r="DQ299" s="536"/>
      <c r="DR299" s="536"/>
      <c r="DS299" s="536"/>
    </row>
    <row r="300" spans="1:123" s="534" customFormat="1" ht="84.6">
      <c r="A300" s="537" t="s">
        <v>1982</v>
      </c>
      <c r="B300" s="538" t="s">
        <v>1446</v>
      </c>
      <c r="C300" s="576"/>
      <c r="D300" s="576"/>
      <c r="E300" s="649"/>
      <c r="F300" s="649"/>
      <c r="G300" s="577"/>
      <c r="H300" s="577"/>
      <c r="I300" s="578"/>
      <c r="J300" s="578"/>
      <c r="K300" s="578"/>
      <c r="L300" s="578"/>
      <c r="M300" s="578"/>
      <c r="N300" s="578"/>
      <c r="O300" s="522"/>
      <c r="P300" s="522"/>
      <c r="Q300" s="576">
        <f t="shared" si="399"/>
        <v>0</v>
      </c>
      <c r="R300" s="576">
        <v>0</v>
      </c>
      <c r="S300" s="576"/>
      <c r="T300" s="576"/>
      <c r="U300" s="522"/>
      <c r="V300" s="522">
        <f t="shared" si="397"/>
        <v>0</v>
      </c>
      <c r="W300" s="522">
        <v>0</v>
      </c>
      <c r="X300" s="522">
        <f t="shared" si="401"/>
        <v>0</v>
      </c>
      <c r="Y300" s="522">
        <v>0</v>
      </c>
      <c r="Z300" s="524">
        <f t="shared" si="403"/>
        <v>1012896.66</v>
      </c>
      <c r="AA300" s="522">
        <f t="shared" si="404"/>
        <v>1012896.66</v>
      </c>
      <c r="AB300" s="522">
        <v>0</v>
      </c>
      <c r="AC300" s="522">
        <f t="shared" si="405"/>
        <v>1012896.66</v>
      </c>
      <c r="AD300" s="522">
        <v>0</v>
      </c>
      <c r="AE300" s="522">
        <f t="shared" si="406"/>
        <v>1012896.66</v>
      </c>
      <c r="AF300" s="522">
        <v>0</v>
      </c>
      <c r="AG300" s="522">
        <f t="shared" si="419"/>
        <v>885670</v>
      </c>
      <c r="AH300" s="522">
        <f t="shared" si="408"/>
        <v>885670</v>
      </c>
      <c r="AI300" s="522">
        <v>0</v>
      </c>
      <c r="AJ300" s="522">
        <f t="shared" si="409"/>
        <v>-127226.66000000003</v>
      </c>
      <c r="AK300" s="522">
        <f t="shared" si="435"/>
        <v>-12.560675242033085</v>
      </c>
      <c r="AL300" s="522">
        <f t="shared" si="392"/>
        <v>885670</v>
      </c>
      <c r="AM300" s="522">
        <f t="shared" si="428"/>
        <v>0</v>
      </c>
      <c r="AN300" s="522">
        <f t="shared" si="428"/>
        <v>72100</v>
      </c>
      <c r="AO300" s="522">
        <f t="shared" si="410"/>
        <v>72100</v>
      </c>
      <c r="AP300" s="522">
        <v>0</v>
      </c>
      <c r="AQ300" s="578"/>
      <c r="AR300" s="578">
        <v>36000</v>
      </c>
      <c r="AS300" s="578"/>
      <c r="AT300" s="578">
        <v>36100</v>
      </c>
      <c r="AU300" s="578">
        <f t="shared" si="427"/>
        <v>0</v>
      </c>
      <c r="AV300" s="578">
        <f t="shared" si="427"/>
        <v>940796.66</v>
      </c>
      <c r="AW300" s="578">
        <f t="shared" si="411"/>
        <v>940796.66</v>
      </c>
      <c r="AX300" s="578">
        <v>0</v>
      </c>
      <c r="AY300" s="578">
        <f t="shared" si="376"/>
        <v>813570</v>
      </c>
      <c r="AZ300" s="578">
        <f t="shared" si="412"/>
        <v>127226.66000000003</v>
      </c>
      <c r="BA300" s="578">
        <f t="shared" si="425"/>
        <v>15.638071708642158</v>
      </c>
      <c r="BB300" s="578"/>
      <c r="BC300" s="576">
        <f>'[67]Дир_по корп'!AT40</f>
        <v>190313.98</v>
      </c>
      <c r="BD300" s="576">
        <f t="shared" si="389"/>
        <v>457650</v>
      </c>
      <c r="BE300" s="576">
        <f t="shared" si="413"/>
        <v>457650</v>
      </c>
      <c r="BF300" s="576">
        <f t="shared" si="414"/>
        <v>267336.02</v>
      </c>
      <c r="BG300" s="576">
        <f t="shared" si="398"/>
        <v>0</v>
      </c>
      <c r="BH300" s="578">
        <f t="shared" si="398"/>
        <v>262413.98</v>
      </c>
      <c r="BI300" s="578">
        <v>529750</v>
      </c>
      <c r="BJ300" s="578">
        <f t="shared" si="415"/>
        <v>529750</v>
      </c>
      <c r="BK300" s="578">
        <f t="shared" si="416"/>
        <v>267336.02</v>
      </c>
      <c r="BL300" s="576">
        <v>0</v>
      </c>
      <c r="BM300" s="578">
        <f>'[67]Дир_по корп'!AW40</f>
        <v>750482.68</v>
      </c>
      <c r="BN300" s="522">
        <f t="shared" si="390"/>
        <v>355920</v>
      </c>
      <c r="BO300" s="578">
        <f t="shared" si="426"/>
        <v>355920</v>
      </c>
      <c r="BP300" s="578">
        <f t="shared" si="417"/>
        <v>-394562.68000000005</v>
      </c>
      <c r="BQ300" s="576">
        <v>0</v>
      </c>
      <c r="BR300" s="578">
        <f>'[67]Дир_по корп'!BB40</f>
        <v>0</v>
      </c>
      <c r="BS300" s="578">
        <f>'[67]Дир_по корп'!BC40</f>
        <v>0</v>
      </c>
      <c r="BT300" s="536"/>
      <c r="BU300" s="578"/>
      <c r="BV300" s="578"/>
      <c r="BW300" s="586">
        <f>885670</f>
        <v>885670</v>
      </c>
      <c r="BX300" s="629"/>
      <c r="BY300" s="522">
        <v>806187.64</v>
      </c>
      <c r="BZ300" s="522">
        <f>21553.55+47351.98</f>
        <v>68905.53</v>
      </c>
      <c r="CA300" s="522">
        <v>10576.83</v>
      </c>
      <c r="CB300" s="522">
        <f t="shared" si="391"/>
        <v>885670</v>
      </c>
      <c r="CC300" s="522">
        <f t="shared" si="418"/>
        <v>0</v>
      </c>
      <c r="CD300" s="578"/>
      <c r="CE300" s="578"/>
      <c r="CF300" s="578"/>
      <c r="CG300" s="578"/>
      <c r="CH300" s="578"/>
      <c r="CI300" s="578"/>
      <c r="CJ300" s="578"/>
      <c r="CK300" s="543" t="s">
        <v>80</v>
      </c>
      <c r="CL300" s="543" t="s">
        <v>1942</v>
      </c>
      <c r="CM300" s="528"/>
      <c r="CN300" s="528"/>
      <c r="CO300" s="528"/>
      <c r="CP300" s="544"/>
      <c r="CQ300" s="544"/>
      <c r="CR300" s="544"/>
      <c r="CS300" s="664"/>
      <c r="CT300" s="665"/>
      <c r="CU300" s="665"/>
      <c r="CV300" s="665"/>
      <c r="CW300" s="666"/>
      <c r="CX300" s="528"/>
      <c r="CY300" s="528"/>
      <c r="CZ300" s="528"/>
      <c r="DA300" s="528"/>
      <c r="DB300" s="579">
        <v>36000</v>
      </c>
      <c r="DC300" s="571"/>
      <c r="DD300" s="575"/>
      <c r="DE300" s="575"/>
      <c r="DF300" s="522">
        <f t="shared" si="436"/>
        <v>806.18763999999999</v>
      </c>
      <c r="DG300" s="522">
        <f t="shared" si="436"/>
        <v>68.905529999999999</v>
      </c>
      <c r="DH300" s="522">
        <f t="shared" si="436"/>
        <v>10.576829999999999</v>
      </c>
      <c r="DI300" s="522">
        <f t="shared" si="436"/>
        <v>885.67</v>
      </c>
      <c r="DJ300" s="536"/>
      <c r="DK300" s="536"/>
      <c r="DL300" s="536"/>
      <c r="DM300" s="536"/>
      <c r="DN300" s="536"/>
      <c r="DO300" s="536"/>
      <c r="DP300" s="536"/>
      <c r="DQ300" s="536"/>
      <c r="DR300" s="536"/>
      <c r="DS300" s="536"/>
    </row>
    <row r="301" spans="1:123">
      <c r="A301" s="1743" t="s">
        <v>1983</v>
      </c>
      <c r="B301" s="1743"/>
      <c r="C301" s="580">
        <f t="shared" ref="C301:P301" si="437">C241</f>
        <v>1165224921.02</v>
      </c>
      <c r="D301" s="580">
        <f t="shared" si="437"/>
        <v>140167232.40000001</v>
      </c>
      <c r="E301" s="580">
        <f t="shared" si="437"/>
        <v>663072456.45000005</v>
      </c>
      <c r="F301" s="580">
        <f t="shared" si="437"/>
        <v>708362095.12000012</v>
      </c>
      <c r="G301" s="580">
        <f t="shared" si="437"/>
        <v>190167995.25791135</v>
      </c>
      <c r="H301" s="580">
        <f t="shared" si="437"/>
        <v>0</v>
      </c>
      <c r="I301" s="580">
        <f t="shared" si="437"/>
        <v>954090196.852</v>
      </c>
      <c r="J301" s="580">
        <f t="shared" si="437"/>
        <v>488996137.26999998</v>
      </c>
      <c r="K301" s="580">
        <f t="shared" si="437"/>
        <v>184515379.33000004</v>
      </c>
      <c r="L301" s="580">
        <f t="shared" si="437"/>
        <v>280578680.25199997</v>
      </c>
      <c r="M301" s="580">
        <f t="shared" si="437"/>
        <v>673511516.60000002</v>
      </c>
      <c r="N301" s="580">
        <f t="shared" si="437"/>
        <v>709521927.88</v>
      </c>
      <c r="O301" s="580">
        <f t="shared" si="437"/>
        <v>395955838.72000003</v>
      </c>
      <c r="P301" s="580">
        <f t="shared" si="437"/>
        <v>1105477766.5999997</v>
      </c>
      <c r="Q301" s="580">
        <f t="shared" si="399"/>
        <v>151387569.74799967</v>
      </c>
      <c r="R301" s="580">
        <f t="shared" si="400"/>
        <v>15.867217821491053</v>
      </c>
      <c r="S301" s="580">
        <f>S241</f>
        <v>193468837.09999999</v>
      </c>
      <c r="T301" s="580">
        <f>T241</f>
        <v>193433217.09999999</v>
      </c>
      <c r="U301" s="580">
        <f>U241</f>
        <v>981835031.71448755</v>
      </c>
      <c r="V301" s="580">
        <f t="shared" si="397"/>
        <v>788401814.61448753</v>
      </c>
      <c r="W301" s="580">
        <f t="shared" si="433"/>
        <v>407.58346804877056</v>
      </c>
      <c r="X301" s="580">
        <f t="shared" si="401"/>
        <v>-123642734.88551211</v>
      </c>
      <c r="Y301" s="580">
        <f t="shared" si="402"/>
        <v>-11.184551930500319</v>
      </c>
      <c r="Z301" s="580">
        <f t="shared" si="403"/>
        <v>1244195350.0014963</v>
      </c>
      <c r="AA301" s="580">
        <f t="shared" si="404"/>
        <v>1050762132.9014963</v>
      </c>
      <c r="AB301" s="580">
        <f t="shared" si="434"/>
        <v>543.21700722078117</v>
      </c>
      <c r="AC301" s="580">
        <f t="shared" si="405"/>
        <v>262360318.28700876</v>
      </c>
      <c r="AD301" s="580">
        <f t="shared" si="420"/>
        <v>26.721425678698111</v>
      </c>
      <c r="AE301" s="580">
        <f t="shared" si="406"/>
        <v>138717583.40149665</v>
      </c>
      <c r="AF301" s="580">
        <f t="shared" si="407"/>
        <v>12.548202016593748</v>
      </c>
      <c r="AG301" s="580">
        <f t="shared" si="419"/>
        <v>1505009448.03</v>
      </c>
      <c r="AH301" s="580">
        <f t="shared" si="408"/>
        <v>523174416.31551242</v>
      </c>
      <c r="AI301" s="580">
        <f t="shared" si="421"/>
        <v>53.285368663403801</v>
      </c>
      <c r="AJ301" s="580">
        <f t="shared" si="409"/>
        <v>260814098.02850366</v>
      </c>
      <c r="AK301" s="580">
        <f t="shared" si="435"/>
        <v>20.962471691297509</v>
      </c>
      <c r="AL301" s="580">
        <f>AL241</f>
        <v>1505009448.0300002</v>
      </c>
      <c r="AM301" s="580">
        <f t="shared" si="428"/>
        <v>398051963.19322622</v>
      </c>
      <c r="AN301" s="580">
        <f t="shared" si="428"/>
        <v>726441521.69999993</v>
      </c>
      <c r="AO301" s="580">
        <f t="shared" si="410"/>
        <v>328389558.50677371</v>
      </c>
      <c r="AP301" s="580">
        <f t="shared" si="423"/>
        <v>82.499168166987204</v>
      </c>
      <c r="AQ301" s="580">
        <f>AQ241</f>
        <v>179620355.6285395</v>
      </c>
      <c r="AR301" s="580">
        <f>AR241</f>
        <v>221836476.57000002</v>
      </c>
      <c r="AS301" s="580">
        <f>AS241</f>
        <v>218431607.56468672</v>
      </c>
      <c r="AT301" s="580">
        <f>AT241</f>
        <v>504605045.12999988</v>
      </c>
      <c r="AU301" s="580">
        <f t="shared" si="427"/>
        <v>583783068.52126157</v>
      </c>
      <c r="AV301" s="580">
        <f t="shared" si="427"/>
        <v>517753828.30149639</v>
      </c>
      <c r="AW301" s="580">
        <f t="shared" si="411"/>
        <v>-66029240.219765186</v>
      </c>
      <c r="AX301" s="580">
        <f t="shared" si="424"/>
        <v>-11.310578154830537</v>
      </c>
      <c r="AY301" s="580">
        <f t="shared" si="376"/>
        <v>778567926.33000004</v>
      </c>
      <c r="AZ301" s="580">
        <f t="shared" si="412"/>
        <v>-260814098.02850366</v>
      </c>
      <c r="BA301" s="580">
        <f t="shared" si="425"/>
        <v>-33.499209151592552</v>
      </c>
      <c r="BB301" s="580">
        <f t="shared" ref="BB301:BN301" si="438">BB241</f>
        <v>297212845.60752755</v>
      </c>
      <c r="BC301" s="580">
        <f t="shared" si="438"/>
        <v>227706969.14470005</v>
      </c>
      <c r="BD301" s="580">
        <f t="shared" si="438"/>
        <v>444365072.6500001</v>
      </c>
      <c r="BE301" s="580">
        <f t="shared" si="413"/>
        <v>147152227.04247254</v>
      </c>
      <c r="BF301" s="580">
        <f t="shared" si="414"/>
        <v>216658103.50530005</v>
      </c>
      <c r="BG301" s="580">
        <f t="shared" si="398"/>
        <v>695264808.80075383</v>
      </c>
      <c r="BH301" s="580">
        <f t="shared" si="438"/>
        <v>954148490.84469998</v>
      </c>
      <c r="BI301" s="580">
        <f t="shared" si="438"/>
        <v>1170806594.3499999</v>
      </c>
      <c r="BJ301" s="580">
        <f t="shared" si="415"/>
        <v>475541785.54924607</v>
      </c>
      <c r="BK301" s="580">
        <f t="shared" si="416"/>
        <v>216658103.50529993</v>
      </c>
      <c r="BL301" s="580">
        <f t="shared" si="438"/>
        <v>286570222.91373402</v>
      </c>
      <c r="BM301" s="580">
        <f t="shared" si="438"/>
        <v>290046859.15679634</v>
      </c>
      <c r="BN301" s="580">
        <f t="shared" si="438"/>
        <v>334202853.67999995</v>
      </c>
      <c r="BO301" s="580">
        <f t="shared" si="426"/>
        <v>47632630.766265929</v>
      </c>
      <c r="BP301" s="580">
        <f t="shared" si="417"/>
        <v>44155994.523203611</v>
      </c>
      <c r="BQ301" s="580">
        <f t="shared" ref="BQ301:BS301" si="439">BQ241</f>
        <v>286570222.91373402</v>
      </c>
      <c r="BR301" s="580">
        <f t="shared" si="439"/>
        <v>0</v>
      </c>
      <c r="BS301" s="580">
        <f t="shared" si="439"/>
        <v>0</v>
      </c>
      <c r="BU301" s="580">
        <f t="shared" ref="BU301:BV301" si="440">BU241</f>
        <v>0</v>
      </c>
      <c r="BV301" s="580">
        <f t="shared" si="440"/>
        <v>0</v>
      </c>
      <c r="BW301" s="580">
        <f>BW241</f>
        <v>1505009448.0300002</v>
      </c>
      <c r="BX301" s="581"/>
      <c r="BY301" s="580">
        <f t="shared" ref="BY301:CB301" si="441">BY241</f>
        <v>1404286282.8822761</v>
      </c>
      <c r="BZ301" s="580">
        <f t="shared" si="441"/>
        <v>70884749.760000005</v>
      </c>
      <c r="CA301" s="580">
        <f t="shared" si="441"/>
        <v>29838415.389999986</v>
      </c>
      <c r="CB301" s="580">
        <f t="shared" si="441"/>
        <v>1505009448.0322757</v>
      </c>
      <c r="CC301" s="580">
        <f t="shared" si="418"/>
        <v>-2.2754669189453125E-3</v>
      </c>
      <c r="CD301" s="580"/>
      <c r="CE301" s="580"/>
      <c r="CF301" s="580"/>
      <c r="CG301" s="580"/>
      <c r="CH301" s="580"/>
      <c r="CI301" s="580"/>
      <c r="CJ301" s="580"/>
      <c r="CK301" s="508"/>
      <c r="CL301" s="508"/>
      <c r="CM301" s="528"/>
      <c r="CN301" s="510"/>
      <c r="CO301" s="510"/>
      <c r="CP301" s="582">
        <f>CP241</f>
        <v>900637464.80414701</v>
      </c>
      <c r="CQ301" s="582">
        <f>CQ241</f>
        <v>65554109.064055525</v>
      </c>
      <c r="CR301" s="582">
        <f>CR241</f>
        <v>15643457.846284993</v>
      </c>
      <c r="CS301" s="1715"/>
      <c r="CT301" s="1716"/>
      <c r="CU301" s="1716"/>
      <c r="CV301" s="1716"/>
      <c r="CW301" s="1717"/>
      <c r="CX301" s="510"/>
      <c r="CY301" s="510"/>
      <c r="CZ301" s="510"/>
      <c r="DA301" s="510"/>
      <c r="DB301" s="582">
        <f>DB241</f>
        <v>221836476.57000002</v>
      </c>
      <c r="DD301" s="575"/>
      <c r="DE301" s="575"/>
      <c r="DF301" s="580">
        <f t="shared" si="436"/>
        <v>1404286.282882276</v>
      </c>
      <c r="DG301" s="580">
        <f t="shared" si="436"/>
        <v>70884.749760000006</v>
      </c>
      <c r="DH301" s="580">
        <f t="shared" si="436"/>
        <v>29838.415389999987</v>
      </c>
      <c r="DI301" s="580">
        <f t="shared" si="436"/>
        <v>1505009.4480322758</v>
      </c>
    </row>
    <row r="302" spans="1:123" s="534" customFormat="1">
      <c r="A302" s="583" t="s">
        <v>1984</v>
      </c>
      <c r="B302" s="679"/>
      <c r="C302" s="578"/>
      <c r="D302" s="578"/>
      <c r="E302" s="578"/>
      <c r="F302" s="578"/>
      <c r="G302" s="593"/>
      <c r="H302" s="593"/>
      <c r="I302" s="578"/>
      <c r="J302" s="578"/>
      <c r="K302" s="578"/>
      <c r="L302" s="578"/>
      <c r="M302" s="578"/>
      <c r="N302" s="578"/>
      <c r="O302" s="578"/>
      <c r="P302" s="576"/>
      <c r="Q302" s="578"/>
      <c r="R302" s="578"/>
      <c r="S302" s="578"/>
      <c r="T302" s="578"/>
      <c r="U302" s="578"/>
      <c r="V302" s="578"/>
      <c r="W302" s="578"/>
      <c r="X302" s="578"/>
      <c r="Y302" s="578"/>
      <c r="Z302" s="586"/>
      <c r="AA302" s="578"/>
      <c r="AB302" s="578"/>
      <c r="AC302" s="578"/>
      <c r="AD302" s="578"/>
      <c r="AE302" s="578"/>
      <c r="AF302" s="578"/>
      <c r="AG302" s="578"/>
      <c r="AH302" s="578"/>
      <c r="AI302" s="578"/>
      <c r="AJ302" s="578"/>
      <c r="AK302" s="578"/>
      <c r="AL302" s="578"/>
      <c r="AM302" s="578"/>
      <c r="AN302" s="578"/>
      <c r="AO302" s="578"/>
      <c r="AP302" s="578"/>
      <c r="AQ302" s="578"/>
      <c r="AR302" s="578"/>
      <c r="AS302" s="578"/>
      <c r="AT302" s="578"/>
      <c r="AU302" s="578"/>
      <c r="AV302" s="578"/>
      <c r="AW302" s="578"/>
      <c r="AX302" s="578"/>
      <c r="AY302" s="578"/>
      <c r="AZ302" s="578"/>
      <c r="BA302" s="578"/>
      <c r="BB302" s="578"/>
      <c r="BC302" s="576"/>
      <c r="BD302" s="576"/>
      <c r="BE302" s="576">
        <f t="shared" si="413"/>
        <v>0</v>
      </c>
      <c r="BF302" s="576">
        <f t="shared" si="414"/>
        <v>0</v>
      </c>
      <c r="BG302" s="576">
        <f t="shared" si="398"/>
        <v>0</v>
      </c>
      <c r="BH302" s="578"/>
      <c r="BI302" s="578"/>
      <c r="BJ302" s="578">
        <f t="shared" si="415"/>
        <v>0</v>
      </c>
      <c r="BK302" s="578">
        <f t="shared" si="416"/>
        <v>0</v>
      </c>
      <c r="BL302" s="576"/>
      <c r="BM302" s="578"/>
      <c r="BN302" s="578"/>
      <c r="BO302" s="578">
        <f t="shared" si="426"/>
        <v>0</v>
      </c>
      <c r="BP302" s="578">
        <f t="shared" si="417"/>
        <v>0</v>
      </c>
      <c r="BQ302" s="576"/>
      <c r="BR302" s="578"/>
      <c r="BS302" s="578"/>
      <c r="BT302" s="536"/>
      <c r="BU302" s="578"/>
      <c r="BV302" s="578"/>
      <c r="BW302" s="578"/>
      <c r="BX302" s="574"/>
      <c r="BY302" s="578"/>
      <c r="BZ302" s="578"/>
      <c r="CA302" s="578"/>
      <c r="CB302" s="578"/>
      <c r="CC302" s="578">
        <f t="shared" si="418"/>
        <v>0</v>
      </c>
      <c r="CD302" s="578"/>
      <c r="CE302" s="578"/>
      <c r="CF302" s="578"/>
      <c r="CG302" s="578"/>
      <c r="CH302" s="578"/>
      <c r="CI302" s="578"/>
      <c r="CJ302" s="578"/>
      <c r="CK302" s="587"/>
      <c r="CL302" s="587"/>
      <c r="CM302" s="528"/>
      <c r="CN302" s="528"/>
      <c r="CO302" s="528"/>
      <c r="CP302" s="592"/>
      <c r="CQ302" s="592"/>
      <c r="CR302" s="592"/>
      <c r="CS302" s="1722"/>
      <c r="CT302" s="1723"/>
      <c r="CU302" s="1723"/>
      <c r="CV302" s="1723"/>
      <c r="CW302" s="1724"/>
      <c r="CX302" s="528"/>
      <c r="CY302" s="528"/>
      <c r="CZ302" s="528"/>
      <c r="DA302" s="528"/>
      <c r="DB302" s="588"/>
      <c r="DD302" s="535"/>
      <c r="DE302" s="535"/>
      <c r="DF302" s="578">
        <f t="shared" si="436"/>
        <v>0</v>
      </c>
      <c r="DG302" s="578">
        <f t="shared" si="436"/>
        <v>0</v>
      </c>
      <c r="DH302" s="578">
        <f t="shared" si="436"/>
        <v>0</v>
      </c>
      <c r="DI302" s="578">
        <f t="shared" si="436"/>
        <v>0</v>
      </c>
      <c r="DJ302" s="536"/>
      <c r="DK302" s="536"/>
      <c r="DL302" s="536"/>
      <c r="DM302" s="536"/>
      <c r="DN302" s="536"/>
      <c r="DO302" s="536"/>
      <c r="DP302" s="536"/>
      <c r="DQ302" s="536"/>
      <c r="DR302" s="536"/>
      <c r="DS302" s="536"/>
    </row>
    <row r="303" spans="1:123">
      <c r="A303" s="505" t="s">
        <v>1839</v>
      </c>
      <c r="B303" s="680" t="s">
        <v>1840</v>
      </c>
      <c r="C303" s="580">
        <f t="shared" ref="C303:U303" si="442">C304</f>
        <v>22945008.289999999</v>
      </c>
      <c r="D303" s="580">
        <f t="shared" si="442"/>
        <v>0</v>
      </c>
      <c r="E303" s="580">
        <f t="shared" si="442"/>
        <v>0</v>
      </c>
      <c r="F303" s="580">
        <f t="shared" si="442"/>
        <v>0</v>
      </c>
      <c r="G303" s="580">
        <f t="shared" si="442"/>
        <v>0</v>
      </c>
      <c r="H303" s="580">
        <f t="shared" si="442"/>
        <v>0</v>
      </c>
      <c r="I303" s="580">
        <f t="shared" si="442"/>
        <v>5777676.8399999999</v>
      </c>
      <c r="J303" s="580">
        <f t="shared" si="442"/>
        <v>5777676.8399999999</v>
      </c>
      <c r="K303" s="580">
        <f t="shared" si="442"/>
        <v>0</v>
      </c>
      <c r="L303" s="580">
        <f t="shared" si="442"/>
        <v>0</v>
      </c>
      <c r="M303" s="580">
        <f t="shared" si="442"/>
        <v>5777676.8399999999</v>
      </c>
      <c r="N303" s="580">
        <f t="shared" si="442"/>
        <v>6515346.5499999998</v>
      </c>
      <c r="O303" s="580">
        <f t="shared" si="442"/>
        <v>2810336.5100000007</v>
      </c>
      <c r="P303" s="580">
        <f>P304</f>
        <v>9325683.0600000005</v>
      </c>
      <c r="Q303" s="580">
        <f t="shared" si="399"/>
        <v>3548006.2200000007</v>
      </c>
      <c r="R303" s="580">
        <f t="shared" si="400"/>
        <v>61.408872774545841</v>
      </c>
      <c r="S303" s="580">
        <f t="shared" si="442"/>
        <v>0</v>
      </c>
      <c r="T303" s="580">
        <f t="shared" si="442"/>
        <v>0</v>
      </c>
      <c r="U303" s="580">
        <f t="shared" si="442"/>
        <v>0</v>
      </c>
      <c r="V303" s="580">
        <f t="shared" si="397"/>
        <v>0</v>
      </c>
      <c r="W303" s="580">
        <v>0</v>
      </c>
      <c r="X303" s="580">
        <f t="shared" si="401"/>
        <v>-9325683.0600000005</v>
      </c>
      <c r="Y303" s="580">
        <f t="shared" si="402"/>
        <v>-100</v>
      </c>
      <c r="Z303" s="580">
        <f t="shared" si="403"/>
        <v>0</v>
      </c>
      <c r="AA303" s="580">
        <f t="shared" si="404"/>
        <v>0</v>
      </c>
      <c r="AB303" s="580">
        <v>0</v>
      </c>
      <c r="AC303" s="580">
        <f t="shared" si="405"/>
        <v>0</v>
      </c>
      <c r="AD303" s="580">
        <v>0</v>
      </c>
      <c r="AE303" s="580">
        <f t="shared" si="406"/>
        <v>-9325683.0600000005</v>
      </c>
      <c r="AF303" s="580">
        <f t="shared" si="407"/>
        <v>-100</v>
      </c>
      <c r="AG303" s="580">
        <f t="shared" si="419"/>
        <v>0</v>
      </c>
      <c r="AH303" s="580">
        <f t="shared" si="408"/>
        <v>0</v>
      </c>
      <c r="AI303" s="580">
        <v>0</v>
      </c>
      <c r="AJ303" s="580">
        <f t="shared" si="409"/>
        <v>0</v>
      </c>
      <c r="AK303" s="580">
        <v>0</v>
      </c>
      <c r="AL303" s="580">
        <f t="shared" ref="AL303" si="443">AL304</f>
        <v>0</v>
      </c>
      <c r="AM303" s="580">
        <f t="shared" si="428"/>
        <v>0</v>
      </c>
      <c r="AN303" s="580">
        <f t="shared" si="428"/>
        <v>0</v>
      </c>
      <c r="AO303" s="580">
        <f t="shared" si="410"/>
        <v>0</v>
      </c>
      <c r="AP303" s="580">
        <v>0</v>
      </c>
      <c r="AQ303" s="580">
        <f>AQ304</f>
        <v>0</v>
      </c>
      <c r="AR303" s="580">
        <f>AR304</f>
        <v>0</v>
      </c>
      <c r="AS303" s="580">
        <f>AS304</f>
        <v>0</v>
      </c>
      <c r="AT303" s="580">
        <f>AT304</f>
        <v>0</v>
      </c>
      <c r="AU303" s="580">
        <f t="shared" ref="AU303:AV307" si="444">BB303+BL303</f>
        <v>0</v>
      </c>
      <c r="AV303" s="580">
        <f t="shared" si="444"/>
        <v>0</v>
      </c>
      <c r="AW303" s="580">
        <f t="shared" si="411"/>
        <v>0</v>
      </c>
      <c r="AX303" s="580">
        <v>0</v>
      </c>
      <c r="AY303" s="580">
        <f>BD303+BN303</f>
        <v>0</v>
      </c>
      <c r="AZ303" s="580">
        <f t="shared" si="412"/>
        <v>0</v>
      </c>
      <c r="BA303" s="580">
        <v>0</v>
      </c>
      <c r="BB303" s="580">
        <f t="shared" ref="BB303:BN303" si="445">BB304</f>
        <v>0</v>
      </c>
      <c r="BC303" s="580">
        <f t="shared" si="445"/>
        <v>0</v>
      </c>
      <c r="BD303" s="580">
        <f t="shared" si="445"/>
        <v>0</v>
      </c>
      <c r="BE303" s="580">
        <f t="shared" si="413"/>
        <v>0</v>
      </c>
      <c r="BF303" s="580">
        <f t="shared" si="414"/>
        <v>0</v>
      </c>
      <c r="BG303" s="580">
        <f t="shared" si="398"/>
        <v>0</v>
      </c>
      <c r="BH303" s="580">
        <f t="shared" si="445"/>
        <v>0</v>
      </c>
      <c r="BI303" s="580">
        <f t="shared" si="445"/>
        <v>0</v>
      </c>
      <c r="BJ303" s="580">
        <f t="shared" si="415"/>
        <v>0</v>
      </c>
      <c r="BK303" s="580">
        <f t="shared" si="416"/>
        <v>0</v>
      </c>
      <c r="BL303" s="580">
        <f t="shared" si="445"/>
        <v>0</v>
      </c>
      <c r="BM303" s="580">
        <f t="shared" si="445"/>
        <v>0</v>
      </c>
      <c r="BN303" s="580">
        <f t="shared" si="445"/>
        <v>0</v>
      </c>
      <c r="BO303" s="580">
        <f t="shared" si="426"/>
        <v>0</v>
      </c>
      <c r="BP303" s="580">
        <f t="shared" si="417"/>
        <v>0</v>
      </c>
      <c r="BQ303" s="580">
        <f t="shared" ref="BQ303:BS303" si="446">BQ304</f>
        <v>0</v>
      </c>
      <c r="BR303" s="580">
        <f t="shared" si="446"/>
        <v>0</v>
      </c>
      <c r="BS303" s="580">
        <f t="shared" si="446"/>
        <v>0</v>
      </c>
      <c r="BU303" s="580">
        <f t="shared" ref="BU303:BW303" si="447">BU304</f>
        <v>0</v>
      </c>
      <c r="BV303" s="580">
        <f t="shared" si="447"/>
        <v>0</v>
      </c>
      <c r="BW303" s="580">
        <f t="shared" si="447"/>
        <v>0</v>
      </c>
      <c r="BX303" s="581"/>
      <c r="BY303" s="580">
        <f>BY304</f>
        <v>0</v>
      </c>
      <c r="BZ303" s="580">
        <f t="shared" ref="BZ303:CB303" si="448">BZ304</f>
        <v>0</v>
      </c>
      <c r="CA303" s="580">
        <f t="shared" si="448"/>
        <v>0</v>
      </c>
      <c r="CB303" s="580">
        <f t="shared" si="448"/>
        <v>0</v>
      </c>
      <c r="CC303" s="580">
        <f t="shared" si="418"/>
        <v>0</v>
      </c>
      <c r="CD303" s="580"/>
      <c r="CE303" s="580"/>
      <c r="CF303" s="580"/>
      <c r="CG303" s="580"/>
      <c r="CH303" s="580"/>
      <c r="CI303" s="580"/>
      <c r="CJ303" s="580"/>
      <c r="CK303" s="508"/>
      <c r="CL303" s="508"/>
      <c r="CM303" s="528"/>
      <c r="CN303" s="510"/>
      <c r="CO303" s="510"/>
      <c r="CP303" s="582">
        <f>BL303+CO303</f>
        <v>0</v>
      </c>
      <c r="CQ303" s="582" t="e">
        <f>#REF!+CP303</f>
        <v>#REF!</v>
      </c>
      <c r="CR303" s="582" t="e">
        <f>#REF!+CQ303</f>
        <v>#REF!</v>
      </c>
      <c r="CS303" s="1715"/>
      <c r="CT303" s="1716"/>
      <c r="CU303" s="1716"/>
      <c r="CV303" s="1716"/>
      <c r="CW303" s="1717"/>
      <c r="CX303" s="510"/>
      <c r="CY303" s="510"/>
      <c r="CZ303" s="510"/>
      <c r="DA303" s="510"/>
      <c r="DB303" s="582">
        <f>CT303+DA303</f>
        <v>0</v>
      </c>
      <c r="DD303" s="517"/>
      <c r="DE303" s="517"/>
      <c r="DF303" s="580">
        <f t="shared" si="436"/>
        <v>0</v>
      </c>
      <c r="DG303" s="580">
        <f t="shared" si="436"/>
        <v>0</v>
      </c>
      <c r="DH303" s="580">
        <f t="shared" si="436"/>
        <v>0</v>
      </c>
      <c r="DI303" s="580">
        <f t="shared" si="436"/>
        <v>0</v>
      </c>
    </row>
    <row r="304" spans="1:123">
      <c r="A304" s="505" t="s">
        <v>1985</v>
      </c>
      <c r="B304" s="680" t="s">
        <v>1986</v>
      </c>
      <c r="C304" s="580">
        <f>C305+C306</f>
        <v>22945008.289999999</v>
      </c>
      <c r="D304" s="580">
        <f t="shared" ref="D304:S304" si="449">D305+D306</f>
        <v>0</v>
      </c>
      <c r="E304" s="580">
        <f t="shared" si="449"/>
        <v>0</v>
      </c>
      <c r="F304" s="580">
        <f t="shared" si="449"/>
        <v>0</v>
      </c>
      <c r="G304" s="580">
        <f t="shared" si="449"/>
        <v>0</v>
      </c>
      <c r="H304" s="580">
        <f t="shared" si="449"/>
        <v>0</v>
      </c>
      <c r="I304" s="580">
        <f t="shared" si="449"/>
        <v>5777676.8399999999</v>
      </c>
      <c r="J304" s="580">
        <f>J305+J306</f>
        <v>5777676.8399999999</v>
      </c>
      <c r="K304" s="580">
        <f t="shared" si="449"/>
        <v>0</v>
      </c>
      <c r="L304" s="580">
        <f t="shared" si="449"/>
        <v>0</v>
      </c>
      <c r="M304" s="580">
        <f t="shared" si="449"/>
        <v>5777676.8399999999</v>
      </c>
      <c r="N304" s="580">
        <f t="shared" si="449"/>
        <v>6515346.5499999998</v>
      </c>
      <c r="O304" s="580">
        <f>O305+O306</f>
        <v>2810336.5100000007</v>
      </c>
      <c r="P304" s="580">
        <f>P305+P306</f>
        <v>9325683.0600000005</v>
      </c>
      <c r="Q304" s="580">
        <f t="shared" si="399"/>
        <v>3548006.2200000007</v>
      </c>
      <c r="R304" s="580">
        <f t="shared" si="400"/>
        <v>61.408872774545841</v>
      </c>
      <c r="S304" s="580">
        <f t="shared" si="449"/>
        <v>0</v>
      </c>
      <c r="T304" s="580">
        <f>T305+T306</f>
        <v>0</v>
      </c>
      <c r="U304" s="580">
        <f>U305+U306</f>
        <v>0</v>
      </c>
      <c r="V304" s="580">
        <f t="shared" si="397"/>
        <v>0</v>
      </c>
      <c r="W304" s="580">
        <v>0</v>
      </c>
      <c r="X304" s="580">
        <f t="shared" si="401"/>
        <v>-9325683.0600000005</v>
      </c>
      <c r="Y304" s="580">
        <f t="shared" si="402"/>
        <v>-100</v>
      </c>
      <c r="Z304" s="580">
        <f t="shared" si="403"/>
        <v>0</v>
      </c>
      <c r="AA304" s="580">
        <f t="shared" si="404"/>
        <v>0</v>
      </c>
      <c r="AB304" s="580">
        <v>0</v>
      </c>
      <c r="AC304" s="580">
        <f t="shared" si="405"/>
        <v>0</v>
      </c>
      <c r="AD304" s="580">
        <v>0</v>
      </c>
      <c r="AE304" s="580">
        <f t="shared" si="406"/>
        <v>-9325683.0600000005</v>
      </c>
      <c r="AF304" s="580">
        <f t="shared" si="407"/>
        <v>-100</v>
      </c>
      <c r="AG304" s="580">
        <f t="shared" si="419"/>
        <v>0</v>
      </c>
      <c r="AH304" s="580">
        <f t="shared" si="408"/>
        <v>0</v>
      </c>
      <c r="AI304" s="580">
        <v>0</v>
      </c>
      <c r="AJ304" s="580">
        <f t="shared" si="409"/>
        <v>0</v>
      </c>
      <c r="AK304" s="580">
        <v>0</v>
      </c>
      <c r="AL304" s="580">
        <f>AL305+AL306</f>
        <v>0</v>
      </c>
      <c r="AM304" s="580">
        <f>AQ304+AS304</f>
        <v>0</v>
      </c>
      <c r="AN304" s="580">
        <f>AR304+AT304</f>
        <v>0</v>
      </c>
      <c r="AO304" s="580">
        <f t="shared" si="410"/>
        <v>0</v>
      </c>
      <c r="AP304" s="580">
        <v>0</v>
      </c>
      <c r="AQ304" s="580">
        <f>AQ305+AQ306</f>
        <v>0</v>
      </c>
      <c r="AR304" s="580">
        <f>AR305+AR306</f>
        <v>0</v>
      </c>
      <c r="AS304" s="580">
        <f>AS305+AS306</f>
        <v>0</v>
      </c>
      <c r="AT304" s="580">
        <f>AT305+AT306</f>
        <v>0</v>
      </c>
      <c r="AU304" s="580">
        <f t="shared" si="444"/>
        <v>0</v>
      </c>
      <c r="AV304" s="580">
        <f t="shared" si="444"/>
        <v>0</v>
      </c>
      <c r="AW304" s="580">
        <f t="shared" si="411"/>
        <v>0</v>
      </c>
      <c r="AX304" s="580">
        <v>0</v>
      </c>
      <c r="AY304" s="580">
        <f>BD304+BN304</f>
        <v>0</v>
      </c>
      <c r="AZ304" s="580">
        <f t="shared" si="412"/>
        <v>0</v>
      </c>
      <c r="BA304" s="580">
        <v>0</v>
      </c>
      <c r="BB304" s="580">
        <f t="shared" ref="BB304:BN304" si="450">BB305+BB306</f>
        <v>0</v>
      </c>
      <c r="BC304" s="580">
        <f t="shared" si="450"/>
        <v>0</v>
      </c>
      <c r="BD304" s="580">
        <f t="shared" si="450"/>
        <v>0</v>
      </c>
      <c r="BE304" s="580">
        <f t="shared" si="413"/>
        <v>0</v>
      </c>
      <c r="BF304" s="580">
        <f t="shared" si="414"/>
        <v>0</v>
      </c>
      <c r="BG304" s="580">
        <f t="shared" si="398"/>
        <v>0</v>
      </c>
      <c r="BH304" s="580">
        <f t="shared" ref="BH304:BI304" si="451">BH305+BH306</f>
        <v>0</v>
      </c>
      <c r="BI304" s="580">
        <f t="shared" si="451"/>
        <v>0</v>
      </c>
      <c r="BJ304" s="580">
        <f t="shared" si="415"/>
        <v>0</v>
      </c>
      <c r="BK304" s="580">
        <f t="shared" si="416"/>
        <v>0</v>
      </c>
      <c r="BL304" s="580">
        <f t="shared" si="450"/>
        <v>0</v>
      </c>
      <c r="BM304" s="580">
        <f t="shared" si="450"/>
        <v>0</v>
      </c>
      <c r="BN304" s="580">
        <f t="shared" si="450"/>
        <v>0</v>
      </c>
      <c r="BO304" s="580">
        <f t="shared" si="426"/>
        <v>0</v>
      </c>
      <c r="BP304" s="580">
        <f t="shared" si="417"/>
        <v>0</v>
      </c>
      <c r="BQ304" s="580">
        <f t="shared" ref="BQ304:BS304" si="452">BQ305+BQ306</f>
        <v>0</v>
      </c>
      <c r="BR304" s="580">
        <f t="shared" si="452"/>
        <v>0</v>
      </c>
      <c r="BS304" s="580">
        <f t="shared" si="452"/>
        <v>0</v>
      </c>
      <c r="BU304" s="580">
        <f t="shared" ref="BU304:BW304" si="453">BU305+BU306</f>
        <v>0</v>
      </c>
      <c r="BV304" s="580">
        <f t="shared" si="453"/>
        <v>0</v>
      </c>
      <c r="BW304" s="580">
        <f t="shared" si="453"/>
        <v>0</v>
      </c>
      <c r="BX304" s="581"/>
      <c r="BY304" s="580">
        <f>BY305+BY306</f>
        <v>0</v>
      </c>
      <c r="BZ304" s="580">
        <f t="shared" ref="BZ304:CB304" si="454">BZ305+BZ306</f>
        <v>0</v>
      </c>
      <c r="CA304" s="580">
        <f t="shared" si="454"/>
        <v>0</v>
      </c>
      <c r="CB304" s="580">
        <f t="shared" si="454"/>
        <v>0</v>
      </c>
      <c r="CC304" s="580">
        <f t="shared" si="418"/>
        <v>0</v>
      </c>
      <c r="CD304" s="580"/>
      <c r="CE304" s="580"/>
      <c r="CF304" s="580"/>
      <c r="CG304" s="580"/>
      <c r="CH304" s="580"/>
      <c r="CI304" s="580"/>
      <c r="CJ304" s="580"/>
      <c r="CK304" s="508"/>
      <c r="CL304" s="508"/>
      <c r="CM304" s="528"/>
      <c r="CN304" s="510"/>
      <c r="CO304" s="510"/>
      <c r="CP304" s="582">
        <f>BL304+CO304</f>
        <v>0</v>
      </c>
      <c r="CQ304" s="582" t="e">
        <f>#REF!+CP304</f>
        <v>#REF!</v>
      </c>
      <c r="CR304" s="582" t="e">
        <f>#REF!+CQ304</f>
        <v>#REF!</v>
      </c>
      <c r="CS304" s="1715"/>
      <c r="CT304" s="1716"/>
      <c r="CU304" s="1716"/>
      <c r="CV304" s="1716"/>
      <c r="CW304" s="1717"/>
      <c r="CX304" s="510"/>
      <c r="CY304" s="510"/>
      <c r="CZ304" s="510"/>
      <c r="DA304" s="510"/>
      <c r="DB304" s="582">
        <f>CT304+DA304</f>
        <v>0</v>
      </c>
      <c r="DD304" s="517"/>
      <c r="DE304" s="517"/>
      <c r="DF304" s="580">
        <f t="shared" si="436"/>
        <v>0</v>
      </c>
      <c r="DG304" s="580">
        <f t="shared" si="436"/>
        <v>0</v>
      </c>
      <c r="DH304" s="580">
        <f t="shared" si="436"/>
        <v>0</v>
      </c>
      <c r="DI304" s="580">
        <f t="shared" si="436"/>
        <v>0</v>
      </c>
    </row>
    <row r="305" spans="1:123" s="534" customFormat="1" ht="35.25" customHeight="1">
      <c r="A305" s="537" t="s">
        <v>1430</v>
      </c>
      <c r="B305" s="681" t="s">
        <v>1431</v>
      </c>
      <c r="C305" s="578">
        <v>22945008.289999999</v>
      </c>
      <c r="D305" s="578"/>
      <c r="E305" s="578"/>
      <c r="F305" s="576">
        <v>0</v>
      </c>
      <c r="G305" s="577">
        <v>0</v>
      </c>
      <c r="H305" s="577">
        <v>0</v>
      </c>
      <c r="I305" s="578">
        <f>J305+K305+L305</f>
        <v>5777676.8399999999</v>
      </c>
      <c r="J305" s="578">
        <v>5777676.8399999999</v>
      </c>
      <c r="K305" s="578"/>
      <c r="L305" s="578"/>
      <c r="M305" s="578">
        <f>J305+K305</f>
        <v>5777676.8399999999</v>
      </c>
      <c r="N305" s="578">
        <v>6515346.5499999998</v>
      </c>
      <c r="O305" s="522">
        <f>P305-N305</f>
        <v>2810336.5100000007</v>
      </c>
      <c r="P305" s="578">
        <v>9325683.0600000005</v>
      </c>
      <c r="Q305" s="578">
        <f t="shared" si="399"/>
        <v>3548006.2200000007</v>
      </c>
      <c r="R305" s="578">
        <f t="shared" si="400"/>
        <v>61.408872774545841</v>
      </c>
      <c r="S305" s="578"/>
      <c r="T305" s="578"/>
      <c r="U305" s="578">
        <f>AQ305+AS305+BB305+BL305</f>
        <v>0</v>
      </c>
      <c r="V305" s="578">
        <f t="shared" si="397"/>
        <v>0</v>
      </c>
      <c r="W305" s="578">
        <v>0</v>
      </c>
      <c r="X305" s="578">
        <f t="shared" si="401"/>
        <v>-9325683.0600000005</v>
      </c>
      <c r="Y305" s="578">
        <f t="shared" si="402"/>
        <v>-100</v>
      </c>
      <c r="Z305" s="586">
        <f t="shared" si="403"/>
        <v>0</v>
      </c>
      <c r="AA305" s="578">
        <f t="shared" si="404"/>
        <v>0</v>
      </c>
      <c r="AB305" s="578">
        <v>0</v>
      </c>
      <c r="AC305" s="578">
        <f t="shared" si="405"/>
        <v>0</v>
      </c>
      <c r="AD305" s="578">
        <v>0</v>
      </c>
      <c r="AE305" s="578">
        <f t="shared" si="406"/>
        <v>-9325683.0600000005</v>
      </c>
      <c r="AF305" s="578">
        <f t="shared" si="407"/>
        <v>-100</v>
      </c>
      <c r="AG305" s="578">
        <f t="shared" si="419"/>
        <v>0</v>
      </c>
      <c r="AH305" s="578">
        <f t="shared" si="408"/>
        <v>0</v>
      </c>
      <c r="AI305" s="578">
        <v>0</v>
      </c>
      <c r="AJ305" s="578">
        <f t="shared" si="409"/>
        <v>0</v>
      </c>
      <c r="AK305" s="578">
        <v>0</v>
      </c>
      <c r="AL305" s="522">
        <f t="shared" ref="AL305:AL306" si="455">BW305</f>
        <v>0</v>
      </c>
      <c r="AM305" s="578">
        <f t="shared" si="428"/>
        <v>0</v>
      </c>
      <c r="AN305" s="578">
        <f t="shared" si="428"/>
        <v>0</v>
      </c>
      <c r="AO305" s="578">
        <f t="shared" si="410"/>
        <v>0</v>
      </c>
      <c r="AP305" s="578">
        <v>0</v>
      </c>
      <c r="AQ305" s="578">
        <v>0</v>
      </c>
      <c r="AR305" s="578">
        <v>0</v>
      </c>
      <c r="AS305" s="578">
        <v>0</v>
      </c>
      <c r="AT305" s="578">
        <v>0</v>
      </c>
      <c r="AU305" s="578">
        <f t="shared" si="444"/>
        <v>0</v>
      </c>
      <c r="AV305" s="578">
        <f t="shared" si="444"/>
        <v>0</v>
      </c>
      <c r="AW305" s="578">
        <f t="shared" si="411"/>
        <v>0</v>
      </c>
      <c r="AX305" s="578">
        <v>0</v>
      </c>
      <c r="AY305" s="578">
        <f>BD305+BN305</f>
        <v>0</v>
      </c>
      <c r="AZ305" s="578">
        <f t="shared" si="412"/>
        <v>0</v>
      </c>
      <c r="BA305" s="578">
        <v>0</v>
      </c>
      <c r="BB305" s="578">
        <v>0</v>
      </c>
      <c r="BC305" s="576">
        <f>'[67]Дир_по экон'!AT42</f>
        <v>0</v>
      </c>
      <c r="BD305" s="576">
        <f>BI305-AN305</f>
        <v>0</v>
      </c>
      <c r="BE305" s="576">
        <f t="shared" si="413"/>
        <v>0</v>
      </c>
      <c r="BF305" s="576">
        <f t="shared" si="414"/>
        <v>0</v>
      </c>
      <c r="BG305" s="576">
        <f t="shared" si="398"/>
        <v>0</v>
      </c>
      <c r="BH305" s="578">
        <f>AN305+BC305</f>
        <v>0</v>
      </c>
      <c r="BI305" s="578"/>
      <c r="BJ305" s="578">
        <f t="shared" si="415"/>
        <v>0</v>
      </c>
      <c r="BK305" s="578">
        <f t="shared" si="416"/>
        <v>0</v>
      </c>
      <c r="BL305" s="576">
        <v>0</v>
      </c>
      <c r="BM305" s="578">
        <f>'[67]Дир_по экон'!AW42</f>
        <v>0</v>
      </c>
      <c r="BN305" s="522">
        <f t="shared" ref="BN305:BN306" si="456">AL305-BI305</f>
        <v>0</v>
      </c>
      <c r="BO305" s="578">
        <f t="shared" si="426"/>
        <v>0</v>
      </c>
      <c r="BP305" s="578">
        <f t="shared" si="417"/>
        <v>0</v>
      </c>
      <c r="BQ305" s="576">
        <v>0</v>
      </c>
      <c r="BR305" s="578">
        <f>'[67]Дир_по экон'!BB42</f>
        <v>0</v>
      </c>
      <c r="BS305" s="578">
        <f>'[67]Дир_по экон'!BC42</f>
        <v>0</v>
      </c>
      <c r="BT305" s="536"/>
      <c r="BU305" s="578"/>
      <c r="BV305" s="578"/>
      <c r="BW305" s="578"/>
      <c r="BX305" s="574"/>
      <c r="BY305" s="578">
        <f>AI305</f>
        <v>0</v>
      </c>
      <c r="BZ305" s="578"/>
      <c r="CA305" s="578"/>
      <c r="CB305" s="578"/>
      <c r="CC305" s="578">
        <f t="shared" si="418"/>
        <v>0</v>
      </c>
      <c r="CD305" s="578"/>
      <c r="CE305" s="578"/>
      <c r="CF305" s="578"/>
      <c r="CG305" s="578"/>
      <c r="CH305" s="578"/>
      <c r="CI305" s="578"/>
      <c r="CJ305" s="578"/>
      <c r="CK305" s="543" t="s">
        <v>77</v>
      </c>
      <c r="CL305" s="542" t="s">
        <v>1800</v>
      </c>
      <c r="CM305" s="528"/>
      <c r="CN305" s="528"/>
      <c r="CO305" s="528"/>
      <c r="CP305" s="630">
        <f>U305</f>
        <v>0</v>
      </c>
      <c r="CQ305" s="630"/>
      <c r="CR305" s="630"/>
      <c r="CS305" s="1722"/>
      <c r="CT305" s="1723"/>
      <c r="CU305" s="1723"/>
      <c r="CV305" s="1723"/>
      <c r="CW305" s="1724"/>
      <c r="CX305" s="528"/>
      <c r="CY305" s="528"/>
      <c r="CZ305" s="528"/>
      <c r="DA305" s="528"/>
      <c r="DB305" s="579"/>
      <c r="DD305" s="535"/>
      <c r="DE305" s="535"/>
      <c r="DF305" s="578">
        <f t="shared" si="436"/>
        <v>0</v>
      </c>
      <c r="DG305" s="578">
        <f t="shared" si="436"/>
        <v>0</v>
      </c>
      <c r="DH305" s="578">
        <f t="shared" si="436"/>
        <v>0</v>
      </c>
      <c r="DI305" s="578">
        <f t="shared" si="436"/>
        <v>0</v>
      </c>
      <c r="DJ305" s="536"/>
      <c r="DK305" s="536"/>
      <c r="DL305" s="536"/>
      <c r="DM305" s="536"/>
      <c r="DN305" s="536"/>
      <c r="DO305" s="536"/>
      <c r="DP305" s="536"/>
      <c r="DQ305" s="536"/>
      <c r="DR305" s="536"/>
      <c r="DS305" s="536"/>
    </row>
    <row r="306" spans="1:123" s="534" customFormat="1" ht="55.5" customHeight="1">
      <c r="A306" s="537" t="s">
        <v>1435</v>
      </c>
      <c r="B306" s="681" t="s">
        <v>1436</v>
      </c>
      <c r="C306" s="578"/>
      <c r="D306" s="578"/>
      <c r="E306" s="578"/>
      <c r="F306" s="576">
        <v>0</v>
      </c>
      <c r="G306" s="577">
        <v>0</v>
      </c>
      <c r="H306" s="577">
        <v>0</v>
      </c>
      <c r="I306" s="578">
        <f>J306+K306+L306</f>
        <v>0</v>
      </c>
      <c r="J306" s="578">
        <v>0</v>
      </c>
      <c r="K306" s="578"/>
      <c r="L306" s="578"/>
      <c r="M306" s="578">
        <f>J306+K306</f>
        <v>0</v>
      </c>
      <c r="N306" s="578"/>
      <c r="O306" s="522">
        <f>P306-N306</f>
        <v>0</v>
      </c>
      <c r="P306" s="578"/>
      <c r="Q306" s="578">
        <f t="shared" si="399"/>
        <v>0</v>
      </c>
      <c r="R306" s="578">
        <v>0</v>
      </c>
      <c r="S306" s="578"/>
      <c r="T306" s="578"/>
      <c r="U306" s="578">
        <f>AQ306+AS306+BB306+BL306</f>
        <v>0</v>
      </c>
      <c r="V306" s="578">
        <f t="shared" si="397"/>
        <v>0</v>
      </c>
      <c r="W306" s="578">
        <v>0</v>
      </c>
      <c r="X306" s="578">
        <f t="shared" si="401"/>
        <v>0</v>
      </c>
      <c r="Y306" s="578">
        <v>0</v>
      </c>
      <c r="Z306" s="586">
        <f t="shared" si="403"/>
        <v>0</v>
      </c>
      <c r="AA306" s="578">
        <f t="shared" si="404"/>
        <v>0</v>
      </c>
      <c r="AB306" s="578">
        <v>0</v>
      </c>
      <c r="AC306" s="578">
        <f t="shared" si="405"/>
        <v>0</v>
      </c>
      <c r="AD306" s="578">
        <v>0</v>
      </c>
      <c r="AE306" s="578">
        <f t="shared" si="406"/>
        <v>0</v>
      </c>
      <c r="AF306" s="578">
        <v>0</v>
      </c>
      <c r="AG306" s="578">
        <f t="shared" si="419"/>
        <v>0</v>
      </c>
      <c r="AH306" s="578">
        <f t="shared" si="408"/>
        <v>0</v>
      </c>
      <c r="AI306" s="578">
        <v>0</v>
      </c>
      <c r="AJ306" s="578">
        <f t="shared" si="409"/>
        <v>0</v>
      </c>
      <c r="AK306" s="578">
        <v>0</v>
      </c>
      <c r="AL306" s="522">
        <f t="shared" si="455"/>
        <v>0</v>
      </c>
      <c r="AM306" s="578">
        <f t="shared" si="428"/>
        <v>0</v>
      </c>
      <c r="AN306" s="578">
        <f t="shared" si="428"/>
        <v>0</v>
      </c>
      <c r="AO306" s="578">
        <f t="shared" si="410"/>
        <v>0</v>
      </c>
      <c r="AP306" s="578">
        <v>0</v>
      </c>
      <c r="AQ306" s="578">
        <v>0</v>
      </c>
      <c r="AR306" s="578">
        <v>0</v>
      </c>
      <c r="AS306" s="578">
        <v>0</v>
      </c>
      <c r="AT306" s="578">
        <v>0</v>
      </c>
      <c r="AU306" s="578">
        <f t="shared" si="444"/>
        <v>0</v>
      </c>
      <c r="AV306" s="578">
        <f t="shared" si="444"/>
        <v>0</v>
      </c>
      <c r="AW306" s="578">
        <f t="shared" si="411"/>
        <v>0</v>
      </c>
      <c r="AX306" s="578">
        <v>0</v>
      </c>
      <c r="AY306" s="578">
        <f>BD306+BN306</f>
        <v>0</v>
      </c>
      <c r="AZ306" s="578">
        <f t="shared" si="412"/>
        <v>0</v>
      </c>
      <c r="BA306" s="578">
        <v>0</v>
      </c>
      <c r="BB306" s="578">
        <v>0</v>
      </c>
      <c r="BC306" s="576">
        <f>'[67]Дир_по экон'!AT43</f>
        <v>0</v>
      </c>
      <c r="BD306" s="576">
        <f>BI306-AN306</f>
        <v>0</v>
      </c>
      <c r="BE306" s="576">
        <f t="shared" si="413"/>
        <v>0</v>
      </c>
      <c r="BF306" s="576">
        <f t="shared" si="414"/>
        <v>0</v>
      </c>
      <c r="BG306" s="576">
        <f t="shared" si="398"/>
        <v>0</v>
      </c>
      <c r="BH306" s="578">
        <f>AN306+BC306</f>
        <v>0</v>
      </c>
      <c r="BI306" s="578"/>
      <c r="BJ306" s="578">
        <f t="shared" si="415"/>
        <v>0</v>
      </c>
      <c r="BK306" s="578">
        <f t="shared" si="416"/>
        <v>0</v>
      </c>
      <c r="BL306" s="576">
        <v>0</v>
      </c>
      <c r="BM306" s="578">
        <f>'[67]Дир_по экон'!AW43</f>
        <v>0</v>
      </c>
      <c r="BN306" s="522">
        <f t="shared" si="456"/>
        <v>0</v>
      </c>
      <c r="BO306" s="578">
        <f t="shared" si="426"/>
        <v>0</v>
      </c>
      <c r="BP306" s="578">
        <f t="shared" si="417"/>
        <v>0</v>
      </c>
      <c r="BQ306" s="576">
        <v>0</v>
      </c>
      <c r="BR306" s="578">
        <f>'[67]Дир_по экон'!BB43</f>
        <v>0</v>
      </c>
      <c r="BS306" s="578">
        <f>'[67]Дир_по экон'!BC43</f>
        <v>0</v>
      </c>
      <c r="BT306" s="536"/>
      <c r="BU306" s="578"/>
      <c r="BV306" s="578"/>
      <c r="BW306" s="578"/>
      <c r="BX306" s="574"/>
      <c r="BY306" s="522">
        <f>AI306*$BZ$7/100</f>
        <v>0</v>
      </c>
      <c r="BZ306" s="522">
        <f>AI306*$BZ$8/100</f>
        <v>0</v>
      </c>
      <c r="CA306" s="522">
        <f>AI306*$BZ$9/100</f>
        <v>0</v>
      </c>
      <c r="CB306" s="522"/>
      <c r="CC306" s="522">
        <f t="shared" si="418"/>
        <v>0</v>
      </c>
      <c r="CD306" s="578"/>
      <c r="CE306" s="578"/>
      <c r="CF306" s="578"/>
      <c r="CG306" s="578"/>
      <c r="CH306" s="578"/>
      <c r="CI306" s="578"/>
      <c r="CJ306" s="578"/>
      <c r="CK306" s="543" t="s">
        <v>77</v>
      </c>
      <c r="CL306" s="542" t="s">
        <v>1800</v>
      </c>
      <c r="CM306" s="528"/>
      <c r="CN306" s="528"/>
      <c r="CO306" s="528"/>
      <c r="CP306" s="544">
        <f>U306*$CU$7/100</f>
        <v>0</v>
      </c>
      <c r="CQ306" s="544">
        <f>U306*$CU$8/100</f>
        <v>0</v>
      </c>
      <c r="CR306" s="544">
        <f>U306*$CU$9/100</f>
        <v>0</v>
      </c>
      <c r="CS306" s="1709" t="s">
        <v>1826</v>
      </c>
      <c r="CT306" s="1710"/>
      <c r="CU306" s="1710"/>
      <c r="CV306" s="1710"/>
      <c r="CW306" s="1711"/>
      <c r="CX306" s="528"/>
      <c r="CY306" s="528"/>
      <c r="CZ306" s="528"/>
      <c r="DA306" s="528"/>
      <c r="DB306" s="579"/>
      <c r="DD306" s="535"/>
      <c r="DE306" s="535"/>
      <c r="DF306" s="522">
        <f t="shared" si="436"/>
        <v>0</v>
      </c>
      <c r="DG306" s="522">
        <f t="shared" si="436"/>
        <v>0</v>
      </c>
      <c r="DH306" s="522">
        <f t="shared" si="436"/>
        <v>0</v>
      </c>
      <c r="DI306" s="522">
        <f t="shared" si="436"/>
        <v>0</v>
      </c>
      <c r="DJ306" s="536"/>
      <c r="DK306" s="536"/>
      <c r="DL306" s="536"/>
      <c r="DM306" s="536"/>
      <c r="DN306" s="536"/>
      <c r="DO306" s="536"/>
      <c r="DP306" s="536"/>
      <c r="DQ306" s="536"/>
      <c r="DR306" s="536"/>
      <c r="DS306" s="536"/>
    </row>
    <row r="307" spans="1:123">
      <c r="A307" s="1721" t="s">
        <v>1987</v>
      </c>
      <c r="B307" s="1721"/>
      <c r="C307" s="580">
        <f t="shared" ref="C307:U307" si="457">C303</f>
        <v>22945008.289999999</v>
      </c>
      <c r="D307" s="580">
        <f t="shared" si="457"/>
        <v>0</v>
      </c>
      <c r="E307" s="580">
        <f t="shared" si="457"/>
        <v>0</v>
      </c>
      <c r="F307" s="580">
        <f t="shared" si="457"/>
        <v>0</v>
      </c>
      <c r="G307" s="580">
        <f t="shared" si="457"/>
        <v>0</v>
      </c>
      <c r="H307" s="580">
        <f t="shared" si="457"/>
        <v>0</v>
      </c>
      <c r="I307" s="580">
        <f t="shared" si="457"/>
        <v>5777676.8399999999</v>
      </c>
      <c r="J307" s="580">
        <f t="shared" si="457"/>
        <v>5777676.8399999999</v>
      </c>
      <c r="K307" s="580">
        <f t="shared" si="457"/>
        <v>0</v>
      </c>
      <c r="L307" s="580">
        <f t="shared" si="457"/>
        <v>0</v>
      </c>
      <c r="M307" s="580">
        <f t="shared" si="457"/>
        <v>5777676.8399999999</v>
      </c>
      <c r="N307" s="580">
        <f t="shared" si="457"/>
        <v>6515346.5499999998</v>
      </c>
      <c r="O307" s="580">
        <f>O303</f>
        <v>2810336.5100000007</v>
      </c>
      <c r="P307" s="580">
        <f>P303</f>
        <v>9325683.0600000005</v>
      </c>
      <c r="Q307" s="580">
        <f t="shared" si="399"/>
        <v>3548006.2200000007</v>
      </c>
      <c r="R307" s="580">
        <f t="shared" si="400"/>
        <v>61.408872774545841</v>
      </c>
      <c r="S307" s="580">
        <f t="shared" si="457"/>
        <v>0</v>
      </c>
      <c r="T307" s="580">
        <f t="shared" si="457"/>
        <v>0</v>
      </c>
      <c r="U307" s="580">
        <f t="shared" si="457"/>
        <v>0</v>
      </c>
      <c r="V307" s="580">
        <f t="shared" si="397"/>
        <v>0</v>
      </c>
      <c r="W307" s="580">
        <v>0</v>
      </c>
      <c r="X307" s="580">
        <f t="shared" si="401"/>
        <v>-9325683.0600000005</v>
      </c>
      <c r="Y307" s="580">
        <f t="shared" si="402"/>
        <v>-100</v>
      </c>
      <c r="Z307" s="580">
        <f t="shared" si="403"/>
        <v>0</v>
      </c>
      <c r="AA307" s="580">
        <f t="shared" si="404"/>
        <v>0</v>
      </c>
      <c r="AB307" s="580">
        <v>0</v>
      </c>
      <c r="AC307" s="580">
        <f t="shared" si="405"/>
        <v>0</v>
      </c>
      <c r="AD307" s="580">
        <v>0</v>
      </c>
      <c r="AE307" s="580">
        <f t="shared" si="406"/>
        <v>-9325683.0600000005</v>
      </c>
      <c r="AF307" s="580">
        <f t="shared" si="407"/>
        <v>-100</v>
      </c>
      <c r="AG307" s="580">
        <f t="shared" si="419"/>
        <v>0</v>
      </c>
      <c r="AH307" s="580">
        <f t="shared" si="408"/>
        <v>0</v>
      </c>
      <c r="AI307" s="580">
        <v>0</v>
      </c>
      <c r="AJ307" s="580">
        <f t="shared" si="409"/>
        <v>0</v>
      </c>
      <c r="AK307" s="580">
        <v>0</v>
      </c>
      <c r="AL307" s="580">
        <f t="shared" ref="AL307" si="458">AL303</f>
        <v>0</v>
      </c>
      <c r="AM307" s="580">
        <f t="shared" si="428"/>
        <v>0</v>
      </c>
      <c r="AN307" s="580">
        <f t="shared" si="428"/>
        <v>0</v>
      </c>
      <c r="AO307" s="580">
        <f t="shared" si="410"/>
        <v>0</v>
      </c>
      <c r="AP307" s="580">
        <v>0</v>
      </c>
      <c r="AQ307" s="580">
        <f>AQ303</f>
        <v>0</v>
      </c>
      <c r="AR307" s="580">
        <f>AR303</f>
        <v>0</v>
      </c>
      <c r="AS307" s="580">
        <f>AS303</f>
        <v>0</v>
      </c>
      <c r="AT307" s="580">
        <f>AT303</f>
        <v>0</v>
      </c>
      <c r="AU307" s="580">
        <f t="shared" si="444"/>
        <v>0</v>
      </c>
      <c r="AV307" s="580">
        <f t="shared" si="444"/>
        <v>0</v>
      </c>
      <c r="AW307" s="580">
        <f t="shared" si="411"/>
        <v>0</v>
      </c>
      <c r="AX307" s="580">
        <v>0</v>
      </c>
      <c r="AY307" s="580">
        <f>BD307+BN307</f>
        <v>0</v>
      </c>
      <c r="AZ307" s="580">
        <f t="shared" si="412"/>
        <v>0</v>
      </c>
      <c r="BA307" s="580">
        <v>0</v>
      </c>
      <c r="BB307" s="580">
        <f t="shared" ref="BB307:BN307" si="459">BB303</f>
        <v>0</v>
      </c>
      <c r="BC307" s="580">
        <f t="shared" si="459"/>
        <v>0</v>
      </c>
      <c r="BD307" s="580">
        <f t="shared" si="459"/>
        <v>0</v>
      </c>
      <c r="BE307" s="580">
        <f t="shared" si="413"/>
        <v>0</v>
      </c>
      <c r="BF307" s="580">
        <f t="shared" si="414"/>
        <v>0</v>
      </c>
      <c r="BG307" s="580">
        <f t="shared" si="398"/>
        <v>0</v>
      </c>
      <c r="BH307" s="580">
        <f t="shared" si="459"/>
        <v>0</v>
      </c>
      <c r="BI307" s="580">
        <f t="shared" si="459"/>
        <v>0</v>
      </c>
      <c r="BJ307" s="580">
        <f t="shared" si="415"/>
        <v>0</v>
      </c>
      <c r="BK307" s="580">
        <f t="shared" si="416"/>
        <v>0</v>
      </c>
      <c r="BL307" s="580">
        <f t="shared" si="459"/>
        <v>0</v>
      </c>
      <c r="BM307" s="580">
        <f t="shared" si="459"/>
        <v>0</v>
      </c>
      <c r="BN307" s="580">
        <f t="shared" si="459"/>
        <v>0</v>
      </c>
      <c r="BO307" s="580">
        <f t="shared" si="426"/>
        <v>0</v>
      </c>
      <c r="BP307" s="580">
        <f t="shared" si="417"/>
        <v>0</v>
      </c>
      <c r="BQ307" s="580">
        <f t="shared" ref="BQ307:BS307" si="460">BQ303</f>
        <v>0</v>
      </c>
      <c r="BR307" s="580">
        <f t="shared" si="460"/>
        <v>0</v>
      </c>
      <c r="BS307" s="580">
        <f t="shared" si="460"/>
        <v>0</v>
      </c>
      <c r="BU307" s="580">
        <f t="shared" ref="BU307:BW307" si="461">BU303</f>
        <v>0</v>
      </c>
      <c r="BV307" s="580">
        <f t="shared" si="461"/>
        <v>0</v>
      </c>
      <c r="BW307" s="580">
        <f t="shared" si="461"/>
        <v>0</v>
      </c>
      <c r="BX307" s="581"/>
      <c r="BY307" s="580">
        <f>BY303</f>
        <v>0</v>
      </c>
      <c r="BZ307" s="580">
        <f t="shared" ref="BZ307" si="462">BZ303</f>
        <v>0</v>
      </c>
      <c r="CA307" s="580">
        <f>CA303</f>
        <v>0</v>
      </c>
      <c r="CB307" s="580">
        <f>CB303</f>
        <v>0</v>
      </c>
      <c r="CC307" s="580">
        <f t="shared" si="418"/>
        <v>0</v>
      </c>
      <c r="CD307" s="580"/>
      <c r="CE307" s="580"/>
      <c r="CF307" s="580"/>
      <c r="CG307" s="580"/>
      <c r="CH307" s="580"/>
      <c r="CI307" s="580"/>
      <c r="CJ307" s="580"/>
      <c r="CK307" s="682"/>
      <c r="CL307" s="682"/>
      <c r="CM307" s="528"/>
      <c r="CN307" s="510"/>
      <c r="CO307" s="510"/>
      <c r="CP307" s="582">
        <f>BL307+CO307</f>
        <v>0</v>
      </c>
      <c r="CQ307" s="582" t="e">
        <f>#REF!+CP307</f>
        <v>#REF!</v>
      </c>
      <c r="CR307" s="582" t="e">
        <f>#REF!+CQ307</f>
        <v>#REF!</v>
      </c>
      <c r="CS307" s="1715"/>
      <c r="CT307" s="1716"/>
      <c r="CU307" s="1716"/>
      <c r="CV307" s="1716"/>
      <c r="CW307" s="1717"/>
      <c r="CX307" s="510"/>
      <c r="CY307" s="510"/>
      <c r="CZ307" s="510"/>
      <c r="DA307" s="510"/>
      <c r="DB307" s="582">
        <f>CT307+DA307</f>
        <v>0</v>
      </c>
      <c r="DD307" s="517"/>
      <c r="DE307" s="517"/>
      <c r="DF307" s="580">
        <f t="shared" si="436"/>
        <v>0</v>
      </c>
      <c r="DG307" s="580">
        <f t="shared" si="436"/>
        <v>0</v>
      </c>
      <c r="DH307" s="580">
        <f t="shared" si="436"/>
        <v>0</v>
      </c>
      <c r="DI307" s="580">
        <f t="shared" si="436"/>
        <v>0</v>
      </c>
    </row>
    <row r="308" spans="1:123" s="534" customFormat="1">
      <c r="A308" s="667" t="s">
        <v>1988</v>
      </c>
      <c r="B308" s="584"/>
      <c r="C308" s="578"/>
      <c r="D308" s="578"/>
      <c r="E308" s="578"/>
      <c r="F308" s="578"/>
      <c r="G308" s="593"/>
      <c r="H308" s="593"/>
      <c r="I308" s="578"/>
      <c r="J308" s="578"/>
      <c r="K308" s="578"/>
      <c r="L308" s="578"/>
      <c r="M308" s="578"/>
      <c r="N308" s="576"/>
      <c r="O308" s="576">
        <f>O5-O28-O34-O241-O303</f>
        <v>190234503.06999969</v>
      </c>
      <c r="P308" s="576">
        <f>P5-P28-P34-P241-P303</f>
        <v>276616280.03000182</v>
      </c>
      <c r="Q308" s="578">
        <f t="shared" si="399"/>
        <v>276616280.03000182</v>
      </c>
      <c r="R308" s="578"/>
      <c r="S308" s="578"/>
      <c r="T308" s="578"/>
      <c r="U308" s="576"/>
      <c r="V308" s="576">
        <f t="shared" si="397"/>
        <v>0</v>
      </c>
      <c r="W308" s="576"/>
      <c r="X308" s="576">
        <f t="shared" si="401"/>
        <v>-276616280.03000182</v>
      </c>
      <c r="Y308" s="576">
        <f t="shared" si="402"/>
        <v>-100</v>
      </c>
      <c r="Z308" s="586"/>
      <c r="AA308" s="578"/>
      <c r="AB308" s="578"/>
      <c r="AC308" s="578"/>
      <c r="AD308" s="578"/>
      <c r="AE308" s="578"/>
      <c r="AF308" s="578"/>
      <c r="AG308" s="578"/>
      <c r="AH308" s="578"/>
      <c r="AI308" s="578"/>
      <c r="AJ308" s="578"/>
      <c r="AK308" s="578"/>
      <c r="AL308" s="576"/>
      <c r="AM308" s="578"/>
      <c r="AN308" s="578"/>
      <c r="AO308" s="578"/>
      <c r="AP308" s="578"/>
      <c r="AQ308" s="578"/>
      <c r="AR308" s="578"/>
      <c r="AS308" s="578"/>
      <c r="AT308" s="578"/>
      <c r="AU308" s="578"/>
      <c r="AV308" s="578"/>
      <c r="AW308" s="578"/>
      <c r="AX308" s="578"/>
      <c r="AY308" s="578"/>
      <c r="AZ308" s="578"/>
      <c r="BA308" s="578"/>
      <c r="BB308" s="578"/>
      <c r="BC308" s="576"/>
      <c r="BD308" s="576"/>
      <c r="BE308" s="576">
        <f t="shared" si="413"/>
        <v>0</v>
      </c>
      <c r="BF308" s="576">
        <f t="shared" si="414"/>
        <v>0</v>
      </c>
      <c r="BG308" s="576">
        <f t="shared" si="398"/>
        <v>0</v>
      </c>
      <c r="BH308" s="578"/>
      <c r="BI308" s="578"/>
      <c r="BJ308" s="578">
        <f t="shared" si="415"/>
        <v>0</v>
      </c>
      <c r="BK308" s="578">
        <f t="shared" si="416"/>
        <v>0</v>
      </c>
      <c r="BL308" s="576"/>
      <c r="BM308" s="578"/>
      <c r="BN308" s="578"/>
      <c r="BO308" s="578">
        <f t="shared" si="426"/>
        <v>0</v>
      </c>
      <c r="BP308" s="578">
        <f t="shared" si="417"/>
        <v>0</v>
      </c>
      <c r="BQ308" s="576"/>
      <c r="BR308" s="578"/>
      <c r="BS308" s="578"/>
      <c r="BT308" s="536"/>
      <c r="BU308" s="578"/>
      <c r="BV308" s="578"/>
      <c r="BW308" s="578"/>
      <c r="BX308" s="574"/>
      <c r="BY308" s="578"/>
      <c r="BZ308" s="578"/>
      <c r="CA308" s="578"/>
      <c r="CB308" s="578"/>
      <c r="CC308" s="578">
        <f t="shared" si="418"/>
        <v>0</v>
      </c>
      <c r="CD308" s="578"/>
      <c r="CE308" s="578"/>
      <c r="CF308" s="578"/>
      <c r="CG308" s="578"/>
      <c r="CH308" s="578"/>
      <c r="CI308" s="578"/>
      <c r="CJ308" s="578"/>
      <c r="CK308" s="587"/>
      <c r="CL308" s="587"/>
      <c r="CM308" s="528"/>
      <c r="CN308" s="528"/>
      <c r="CO308" s="528"/>
      <c r="CP308" s="592"/>
      <c r="CQ308" s="592"/>
      <c r="CR308" s="592"/>
      <c r="CS308" s="1722"/>
      <c r="CT308" s="1723"/>
      <c r="CU308" s="1723"/>
      <c r="CV308" s="1723"/>
      <c r="CW308" s="1724"/>
      <c r="CX308" s="528"/>
      <c r="CY308" s="528"/>
      <c r="CZ308" s="528"/>
      <c r="DA308" s="528"/>
      <c r="DB308" s="588">
        <f>DB5-(DB31+DB34)-DB241</f>
        <v>113836376.53898349</v>
      </c>
      <c r="DD308" s="535"/>
      <c r="DE308" s="535"/>
      <c r="DF308" s="578">
        <f t="shared" si="436"/>
        <v>0</v>
      </c>
      <c r="DG308" s="578">
        <f t="shared" si="436"/>
        <v>0</v>
      </c>
      <c r="DH308" s="578">
        <f t="shared" si="436"/>
        <v>0</v>
      </c>
      <c r="DI308" s="578">
        <f t="shared" si="436"/>
        <v>0</v>
      </c>
      <c r="DJ308" s="536"/>
      <c r="DK308" s="536"/>
      <c r="DL308" s="536"/>
      <c r="DM308" s="536"/>
      <c r="DN308" s="536"/>
      <c r="DO308" s="536"/>
      <c r="DP308" s="536"/>
      <c r="DQ308" s="536"/>
      <c r="DR308" s="536"/>
      <c r="DS308" s="536"/>
    </row>
    <row r="309" spans="1:123">
      <c r="A309" s="505" t="s">
        <v>1839</v>
      </c>
      <c r="B309" s="506" t="s">
        <v>1840</v>
      </c>
      <c r="C309" s="580">
        <f t="shared" ref="C309:U309" si="463">C310</f>
        <v>147633000</v>
      </c>
      <c r="D309" s="580">
        <f t="shared" si="463"/>
        <v>120732581.28</v>
      </c>
      <c r="E309" s="580">
        <f t="shared" si="463"/>
        <v>120072339.49470405</v>
      </c>
      <c r="F309" s="580">
        <f t="shared" si="463"/>
        <v>95835064.179999992</v>
      </c>
      <c r="G309" s="580">
        <f t="shared" si="463"/>
        <v>33181132.5</v>
      </c>
      <c r="H309" s="580">
        <f t="shared" si="463"/>
        <v>0</v>
      </c>
      <c r="I309" s="580">
        <f t="shared" si="463"/>
        <v>50632265.682514772</v>
      </c>
      <c r="J309" s="580">
        <f t="shared" si="463"/>
        <v>20866745.34</v>
      </c>
      <c r="K309" s="580">
        <f t="shared" si="463"/>
        <v>14752865.216535646</v>
      </c>
      <c r="L309" s="580">
        <f t="shared" si="463"/>
        <v>15012655.125979125</v>
      </c>
      <c r="M309" s="580">
        <f t="shared" si="463"/>
        <v>35619610.556535646</v>
      </c>
      <c r="N309" s="580">
        <f t="shared" si="463"/>
        <v>17974109.34</v>
      </c>
      <c r="O309" s="580">
        <f t="shared" si="463"/>
        <v>-3671109.3399999994</v>
      </c>
      <c r="P309" s="580">
        <f t="shared" si="463"/>
        <v>14303000</v>
      </c>
      <c r="Q309" s="580">
        <f t="shared" si="399"/>
        <v>-36329265.682514772</v>
      </c>
      <c r="R309" s="580">
        <f t="shared" si="400"/>
        <v>-71.751214749729513</v>
      </c>
      <c r="S309" s="580">
        <f t="shared" si="463"/>
        <v>28008806.770054098</v>
      </c>
      <c r="T309" s="580">
        <f t="shared" si="463"/>
        <v>94894848.929851964</v>
      </c>
      <c r="U309" s="580">
        <f t="shared" si="463"/>
        <v>228059763.4919475</v>
      </c>
      <c r="V309" s="580">
        <f t="shared" si="397"/>
        <v>133164914.56209554</v>
      </c>
      <c r="W309" s="580">
        <f t="shared" si="433"/>
        <v>140.32891781147524</v>
      </c>
      <c r="X309" s="580">
        <f t="shared" si="401"/>
        <v>213756763.4919475</v>
      </c>
      <c r="Y309" s="580">
        <f t="shared" si="402"/>
        <v>1494.4890127382193</v>
      </c>
      <c r="Z309" s="580">
        <f t="shared" si="403"/>
        <v>183393081.09129608</v>
      </c>
      <c r="AA309" s="580">
        <f t="shared" si="404"/>
        <v>88498232.161444113</v>
      </c>
      <c r="AB309" s="580">
        <f t="shared" si="434"/>
        <v>93.259258178348176</v>
      </c>
      <c r="AC309" s="580">
        <f t="shared" si="405"/>
        <v>-44666682.400651425</v>
      </c>
      <c r="AD309" s="580">
        <f t="shared" si="420"/>
        <v>-19.585516408828752</v>
      </c>
      <c r="AE309" s="580">
        <f t="shared" si="406"/>
        <v>169090081.09129608</v>
      </c>
      <c r="AF309" s="580">
        <f t="shared" si="407"/>
        <v>1182.2001055114038</v>
      </c>
      <c r="AG309" s="580">
        <f t="shared" si="419"/>
        <v>0</v>
      </c>
      <c r="AH309" s="580">
        <f t="shared" si="408"/>
        <v>-228059763.4919475</v>
      </c>
      <c r="AI309" s="580">
        <f t="shared" si="421"/>
        <v>-100</v>
      </c>
      <c r="AJ309" s="580">
        <f t="shared" si="409"/>
        <v>-183393081.09129608</v>
      </c>
      <c r="AK309" s="580">
        <f t="shared" ref="AK309:AK315" si="464">AG309/Z309*100-100</f>
        <v>-100</v>
      </c>
      <c r="AL309" s="580">
        <f t="shared" ref="AL309" si="465">AL310</f>
        <v>0</v>
      </c>
      <c r="AM309" s="580">
        <f t="shared" si="428"/>
        <v>148390734.76748228</v>
      </c>
      <c r="AN309" s="580">
        <f t="shared" si="428"/>
        <v>125855269.94</v>
      </c>
      <c r="AO309" s="580">
        <f t="shared" si="410"/>
        <v>-22535464.827482283</v>
      </c>
      <c r="AP309" s="580">
        <f t="shared" si="423"/>
        <v>-15.186571360262988</v>
      </c>
      <c r="AQ309" s="580">
        <f t="shared" ref="AQ309:BN309" si="466">AQ310</f>
        <v>107505822.86040799</v>
      </c>
      <c r="AR309" s="580">
        <f t="shared" si="466"/>
        <v>105686119.89999999</v>
      </c>
      <c r="AS309" s="580">
        <f t="shared" si="466"/>
        <v>40884911.907074302</v>
      </c>
      <c r="AT309" s="580">
        <f t="shared" si="466"/>
        <v>20169150.040000003</v>
      </c>
      <c r="AU309" s="580">
        <f t="shared" ref="AU309:AV324" si="467">BB309+BL309</f>
        <v>79669028.724465042</v>
      </c>
      <c r="AV309" s="580">
        <f t="shared" si="467"/>
        <v>57537811.151296079</v>
      </c>
      <c r="AW309" s="580">
        <f t="shared" si="411"/>
        <v>-22131217.573168963</v>
      </c>
      <c r="AX309" s="580">
        <f t="shared" si="424"/>
        <v>-27.778947387082724</v>
      </c>
      <c r="AY309" s="580">
        <f t="shared" ref="AY309:AY319" si="468">BD309+BN309</f>
        <v>-125855269.94</v>
      </c>
      <c r="AZ309" s="580">
        <f t="shared" si="412"/>
        <v>183393081.09129608</v>
      </c>
      <c r="BA309" s="580">
        <f t="shared" si="425"/>
        <v>-145.71744288397821</v>
      </c>
      <c r="BB309" s="580">
        <f t="shared" si="466"/>
        <v>41434128.808756441</v>
      </c>
      <c r="BC309" s="580">
        <f t="shared" si="466"/>
        <v>25085090.615497839</v>
      </c>
      <c r="BD309" s="580">
        <f t="shared" si="466"/>
        <v>11452801.229999995</v>
      </c>
      <c r="BE309" s="580">
        <f t="shared" si="413"/>
        <v>-29981327.578756444</v>
      </c>
      <c r="BF309" s="580">
        <f t="shared" si="414"/>
        <v>-13632289.385497844</v>
      </c>
      <c r="BG309" s="580">
        <f t="shared" si="398"/>
        <v>189824863.57623872</v>
      </c>
      <c r="BH309" s="580">
        <f t="shared" si="466"/>
        <v>150940360.55549783</v>
      </c>
      <c r="BI309" s="580">
        <f t="shared" si="466"/>
        <v>137308071.16999999</v>
      </c>
      <c r="BJ309" s="580">
        <f t="shared" si="415"/>
        <v>-52516792.406238735</v>
      </c>
      <c r="BK309" s="580">
        <f t="shared" si="416"/>
        <v>-13632289.385497838</v>
      </c>
      <c r="BL309" s="580">
        <f t="shared" si="466"/>
        <v>38234899.915708601</v>
      </c>
      <c r="BM309" s="580">
        <f t="shared" si="466"/>
        <v>32452720.535798237</v>
      </c>
      <c r="BN309" s="580">
        <f t="shared" si="466"/>
        <v>-137308071.16999999</v>
      </c>
      <c r="BO309" s="580">
        <f t="shared" si="426"/>
        <v>-175542971.08570859</v>
      </c>
      <c r="BP309" s="580">
        <f t="shared" si="417"/>
        <v>-169760791.70579821</v>
      </c>
      <c r="BQ309" s="580">
        <f t="shared" ref="BQ309:BS309" si="469">BQ310</f>
        <v>38234899.915708601</v>
      </c>
      <c r="BR309" s="580">
        <f t="shared" si="469"/>
        <v>0</v>
      </c>
      <c r="BS309" s="580">
        <f t="shared" si="469"/>
        <v>0</v>
      </c>
      <c r="BU309" s="580">
        <f t="shared" ref="BU309:BW309" si="470">BU310</f>
        <v>0</v>
      </c>
      <c r="BV309" s="580">
        <f t="shared" si="470"/>
        <v>0</v>
      </c>
      <c r="BW309" s="580">
        <f t="shared" si="470"/>
        <v>0</v>
      </c>
      <c r="BX309" s="581"/>
      <c r="BY309" s="580">
        <f>BY310</f>
        <v>0</v>
      </c>
      <c r="BZ309" s="580">
        <f t="shared" ref="BZ309:CB309" si="471">BZ310</f>
        <v>0</v>
      </c>
      <c r="CA309" s="580">
        <f t="shared" si="471"/>
        <v>0</v>
      </c>
      <c r="CB309" s="580">
        <f t="shared" si="471"/>
        <v>0</v>
      </c>
      <c r="CC309" s="580">
        <f t="shared" si="418"/>
        <v>0</v>
      </c>
      <c r="CD309" s="580"/>
      <c r="CE309" s="580"/>
      <c r="CF309" s="580"/>
      <c r="CG309" s="580"/>
      <c r="CH309" s="580"/>
      <c r="CI309" s="580"/>
      <c r="CJ309" s="580"/>
      <c r="CK309" s="508"/>
      <c r="CL309" s="508"/>
      <c r="CM309" s="510"/>
      <c r="CN309" s="510"/>
      <c r="CO309" s="510"/>
      <c r="CP309" s="582">
        <f>CP310</f>
        <v>182955482.39043942</v>
      </c>
      <c r="CQ309" s="582" t="e">
        <f>CQ310</f>
        <v>#REF!</v>
      </c>
      <c r="CR309" s="582" t="e">
        <f>CR310</f>
        <v>#REF!</v>
      </c>
      <c r="CS309" s="1715"/>
      <c r="CT309" s="1716"/>
      <c r="CU309" s="1716"/>
      <c r="CV309" s="1716"/>
      <c r="CW309" s="1717"/>
      <c r="CX309" s="510"/>
      <c r="CY309" s="510"/>
      <c r="CZ309" s="510"/>
      <c r="DA309" s="510"/>
      <c r="DB309" s="582">
        <f>DB310</f>
        <v>105686119.89999999</v>
      </c>
      <c r="DD309" s="517"/>
      <c r="DE309" s="517"/>
      <c r="DF309" s="580">
        <f t="shared" si="436"/>
        <v>0</v>
      </c>
      <c r="DG309" s="580">
        <f t="shared" si="436"/>
        <v>0</v>
      </c>
      <c r="DH309" s="580">
        <f t="shared" si="436"/>
        <v>0</v>
      </c>
      <c r="DI309" s="580">
        <f t="shared" si="436"/>
        <v>0</v>
      </c>
    </row>
    <row r="310" spans="1:123" ht="82.8">
      <c r="A310" s="505" t="s">
        <v>1989</v>
      </c>
      <c r="B310" s="506" t="s">
        <v>1990</v>
      </c>
      <c r="C310" s="580">
        <f>SUM(C311:C317)</f>
        <v>147633000</v>
      </c>
      <c r="D310" s="580">
        <f t="shared" ref="D310:S310" si="472">SUM(D311:D317)</f>
        <v>120732581.28</v>
      </c>
      <c r="E310" s="580">
        <f t="shared" si="472"/>
        <v>120072339.49470405</v>
      </c>
      <c r="F310" s="580">
        <f t="shared" si="472"/>
        <v>95835064.179999992</v>
      </c>
      <c r="G310" s="580">
        <f t="shared" si="472"/>
        <v>33181132.5</v>
      </c>
      <c r="H310" s="580">
        <f t="shared" si="472"/>
        <v>0</v>
      </c>
      <c r="I310" s="580">
        <f t="shared" si="472"/>
        <v>50632265.682514772</v>
      </c>
      <c r="J310" s="580">
        <f>SUM(J311:J317)</f>
        <v>20866745.34</v>
      </c>
      <c r="K310" s="580">
        <f t="shared" si="472"/>
        <v>14752865.216535646</v>
      </c>
      <c r="L310" s="580">
        <f t="shared" si="472"/>
        <v>15012655.125979125</v>
      </c>
      <c r="M310" s="580">
        <f t="shared" si="472"/>
        <v>35619610.556535646</v>
      </c>
      <c r="N310" s="580">
        <f t="shared" si="472"/>
        <v>17974109.34</v>
      </c>
      <c r="O310" s="580">
        <f>SUM(O311:O317)</f>
        <v>-3671109.3399999994</v>
      </c>
      <c r="P310" s="580">
        <f>SUM(P311:P317)</f>
        <v>14303000</v>
      </c>
      <c r="Q310" s="580">
        <f t="shared" si="399"/>
        <v>-36329265.682514772</v>
      </c>
      <c r="R310" s="580">
        <f t="shared" si="400"/>
        <v>-71.751214749729513</v>
      </c>
      <c r="S310" s="580">
        <f t="shared" si="472"/>
        <v>28008806.770054098</v>
      </c>
      <c r="T310" s="580">
        <f>SUM(T311:T317)</f>
        <v>94894848.929851964</v>
      </c>
      <c r="U310" s="580">
        <f>SUM(U311:U317)</f>
        <v>228059763.4919475</v>
      </c>
      <c r="V310" s="580">
        <f t="shared" si="397"/>
        <v>133164914.56209554</v>
      </c>
      <c r="W310" s="580">
        <f t="shared" si="433"/>
        <v>140.32891781147524</v>
      </c>
      <c r="X310" s="580">
        <f t="shared" si="401"/>
        <v>213756763.4919475</v>
      </c>
      <c r="Y310" s="580">
        <f t="shared" si="402"/>
        <v>1494.4890127382193</v>
      </c>
      <c r="Z310" s="580">
        <f>AN310+AV310</f>
        <v>183393081.09129608</v>
      </c>
      <c r="AA310" s="580">
        <f t="shared" si="404"/>
        <v>88498232.161444113</v>
      </c>
      <c r="AB310" s="580">
        <f t="shared" si="434"/>
        <v>93.259258178348176</v>
      </c>
      <c r="AC310" s="580">
        <f t="shared" si="405"/>
        <v>-44666682.400651425</v>
      </c>
      <c r="AD310" s="580">
        <f t="shared" si="420"/>
        <v>-19.585516408828752</v>
      </c>
      <c r="AE310" s="580">
        <f t="shared" si="406"/>
        <v>169090081.09129608</v>
      </c>
      <c r="AF310" s="580">
        <f t="shared" si="407"/>
        <v>1182.2001055114038</v>
      </c>
      <c r="AG310" s="580">
        <f t="shared" si="419"/>
        <v>0</v>
      </c>
      <c r="AH310" s="580">
        <f t="shared" si="408"/>
        <v>-228059763.4919475</v>
      </c>
      <c r="AI310" s="580">
        <f t="shared" si="421"/>
        <v>-100</v>
      </c>
      <c r="AJ310" s="580">
        <f t="shared" si="409"/>
        <v>-183393081.09129608</v>
      </c>
      <c r="AK310" s="580">
        <f t="shared" si="464"/>
        <v>-100</v>
      </c>
      <c r="AL310" s="580">
        <f>SUM(AL311:AL317)</f>
        <v>0</v>
      </c>
      <c r="AM310" s="580">
        <f t="shared" si="428"/>
        <v>148390734.76748228</v>
      </c>
      <c r="AN310" s="580">
        <f t="shared" si="428"/>
        <v>125855269.94</v>
      </c>
      <c r="AO310" s="580">
        <f t="shared" si="410"/>
        <v>-22535464.827482283</v>
      </c>
      <c r="AP310" s="580">
        <f t="shared" si="423"/>
        <v>-15.186571360262988</v>
      </c>
      <c r="AQ310" s="580">
        <f>SUM(AQ311:AQ317)</f>
        <v>107505822.86040799</v>
      </c>
      <c r="AR310" s="580">
        <f>SUM(AR311:AR317)</f>
        <v>105686119.89999999</v>
      </c>
      <c r="AS310" s="580">
        <f>SUM(AS311:AS317)</f>
        <v>40884911.907074302</v>
      </c>
      <c r="AT310" s="580">
        <f>SUM(AT311:AT317)</f>
        <v>20169150.040000003</v>
      </c>
      <c r="AU310" s="580">
        <f t="shared" si="467"/>
        <v>79669028.724465042</v>
      </c>
      <c r="AV310" s="580">
        <f t="shared" si="467"/>
        <v>57537811.151296079</v>
      </c>
      <c r="AW310" s="580">
        <f t="shared" si="411"/>
        <v>-22131217.573168963</v>
      </c>
      <c r="AX310" s="580">
        <f t="shared" si="424"/>
        <v>-27.778947387082724</v>
      </c>
      <c r="AY310" s="580">
        <f t="shared" si="468"/>
        <v>-125855269.94</v>
      </c>
      <c r="AZ310" s="580">
        <f t="shared" si="412"/>
        <v>183393081.09129608</v>
      </c>
      <c r="BA310" s="580">
        <f t="shared" si="425"/>
        <v>-145.71744288397821</v>
      </c>
      <c r="BB310" s="580">
        <f t="shared" ref="BB310:BN310" si="473">SUM(BB311:BB317)</f>
        <v>41434128.808756441</v>
      </c>
      <c r="BC310" s="580">
        <f t="shared" si="473"/>
        <v>25085090.615497839</v>
      </c>
      <c r="BD310" s="580">
        <f t="shared" si="473"/>
        <v>11452801.229999995</v>
      </c>
      <c r="BE310" s="580">
        <f t="shared" si="413"/>
        <v>-29981327.578756444</v>
      </c>
      <c r="BF310" s="580">
        <f t="shared" si="414"/>
        <v>-13632289.385497844</v>
      </c>
      <c r="BG310" s="580">
        <f t="shared" si="398"/>
        <v>189824863.57623872</v>
      </c>
      <c r="BH310" s="580">
        <f t="shared" si="473"/>
        <v>150940360.55549783</v>
      </c>
      <c r="BI310" s="580">
        <f t="shared" si="473"/>
        <v>137308071.16999999</v>
      </c>
      <c r="BJ310" s="580">
        <f t="shared" si="415"/>
        <v>-52516792.406238735</v>
      </c>
      <c r="BK310" s="580">
        <f t="shared" si="416"/>
        <v>-13632289.385497838</v>
      </c>
      <c r="BL310" s="580">
        <f t="shared" si="473"/>
        <v>38234899.915708601</v>
      </c>
      <c r="BM310" s="580">
        <f t="shared" si="473"/>
        <v>32452720.535798237</v>
      </c>
      <c r="BN310" s="580">
        <f t="shared" si="473"/>
        <v>-137308071.16999999</v>
      </c>
      <c r="BO310" s="580">
        <f t="shared" si="426"/>
        <v>-175542971.08570859</v>
      </c>
      <c r="BP310" s="580">
        <f t="shared" si="417"/>
        <v>-169760791.70579821</v>
      </c>
      <c r="BQ310" s="580">
        <f t="shared" ref="BQ310:BS310" si="474">SUM(BQ311:BQ317)</f>
        <v>38234899.915708601</v>
      </c>
      <c r="BR310" s="580">
        <f t="shared" si="474"/>
        <v>0</v>
      </c>
      <c r="BS310" s="580">
        <f t="shared" si="474"/>
        <v>0</v>
      </c>
      <c r="BU310" s="580">
        <f t="shared" ref="BU310:BW310" si="475">SUM(BU311:BU317)</f>
        <v>0</v>
      </c>
      <c r="BV310" s="580">
        <f t="shared" si="475"/>
        <v>0</v>
      </c>
      <c r="BW310" s="580">
        <f t="shared" si="475"/>
        <v>0</v>
      </c>
      <c r="BX310" s="581"/>
      <c r="BY310" s="580">
        <f>SUM(BY311:BY317)</f>
        <v>0</v>
      </c>
      <c r="BZ310" s="580">
        <f t="shared" ref="BZ310:CB310" si="476">SUM(BZ311:BZ317)</f>
        <v>0</v>
      </c>
      <c r="CA310" s="580">
        <f t="shared" si="476"/>
        <v>0</v>
      </c>
      <c r="CB310" s="580">
        <f t="shared" si="476"/>
        <v>0</v>
      </c>
      <c r="CC310" s="580">
        <f t="shared" si="418"/>
        <v>0</v>
      </c>
      <c r="CD310" s="580"/>
      <c r="CE310" s="580"/>
      <c r="CF310" s="580"/>
      <c r="CG310" s="580"/>
      <c r="CH310" s="580"/>
      <c r="CI310" s="580"/>
      <c r="CJ310" s="580"/>
      <c r="CK310" s="508"/>
      <c r="CL310" s="508"/>
      <c r="CM310" s="510"/>
      <c r="CN310" s="510"/>
      <c r="CO310" s="510"/>
      <c r="CP310" s="582">
        <f>SUM(CP311:CP317)</f>
        <v>182955482.39043942</v>
      </c>
      <c r="CQ310" s="582" t="e">
        <f>SUM(CQ311:CQ317)</f>
        <v>#REF!</v>
      </c>
      <c r="CR310" s="582" t="e">
        <f>SUM(CR311:CR317)</f>
        <v>#REF!</v>
      </c>
      <c r="CS310" s="1715"/>
      <c r="CT310" s="1716"/>
      <c r="CU310" s="1716"/>
      <c r="CV310" s="1716"/>
      <c r="CW310" s="1717"/>
      <c r="CX310" s="510"/>
      <c r="CY310" s="510"/>
      <c r="CZ310" s="510"/>
      <c r="DA310" s="510"/>
      <c r="DB310" s="582">
        <f>SUM(DB311:DB317)</f>
        <v>105686119.89999999</v>
      </c>
      <c r="DD310" s="572"/>
      <c r="DE310" s="572"/>
      <c r="DF310" s="580">
        <f t="shared" si="436"/>
        <v>0</v>
      </c>
      <c r="DG310" s="580">
        <f t="shared" si="436"/>
        <v>0</v>
      </c>
      <c r="DH310" s="580">
        <f t="shared" si="436"/>
        <v>0</v>
      </c>
      <c r="DI310" s="580">
        <f t="shared" si="436"/>
        <v>0</v>
      </c>
    </row>
    <row r="311" spans="1:123" s="534" customFormat="1" ht="58.5" customHeight="1">
      <c r="A311" s="537" t="s">
        <v>1241</v>
      </c>
      <c r="B311" s="538" t="s">
        <v>1242</v>
      </c>
      <c r="C311" s="578">
        <v>35421000</v>
      </c>
      <c r="D311" s="576">
        <v>120732581.28</v>
      </c>
      <c r="E311" s="576">
        <v>87318886.204704046</v>
      </c>
      <c r="F311" s="576">
        <v>69266981.099999994</v>
      </c>
      <c r="G311" s="577">
        <v>33181132.5</v>
      </c>
      <c r="H311" s="577">
        <v>0</v>
      </c>
      <c r="I311" s="578">
        <f t="shared" ref="I311:I318" si="477">J311+K311+L311</f>
        <v>16793300.856114771</v>
      </c>
      <c r="J311" s="578">
        <v>0</v>
      </c>
      <c r="K311" s="578">
        <v>18246300.222535636</v>
      </c>
      <c r="L311" s="578">
        <v>-1452999.3664208651</v>
      </c>
      <c r="M311" s="578">
        <f t="shared" ref="M311:M317" si="478">J311+K311</f>
        <v>18246300.222535636</v>
      </c>
      <c r="N311" s="578">
        <v>12169433.539999999</v>
      </c>
      <c r="O311" s="522">
        <f t="shared" ref="O311:O318" si="479">P311-N311</f>
        <v>2591566.4600000009</v>
      </c>
      <c r="P311" s="578">
        <v>14761000</v>
      </c>
      <c r="Q311" s="576">
        <f t="shared" si="399"/>
        <v>-2032300.8561147712</v>
      </c>
      <c r="R311" s="576">
        <f t="shared" si="400"/>
        <v>-12.101854623623737</v>
      </c>
      <c r="S311" s="576">
        <f>28008.8067700541*1000</f>
        <v>28008806.770054098</v>
      </c>
      <c r="T311" s="576">
        <v>94894848.929851964</v>
      </c>
      <c r="U311" s="578">
        <f>(U26-U31-U239-U301-U307)*0.2</f>
        <v>88597255.901424229</v>
      </c>
      <c r="V311" s="578">
        <f t="shared" si="397"/>
        <v>-6297593.028427735</v>
      </c>
      <c r="W311" s="578">
        <f t="shared" si="433"/>
        <v>-6.6363908046084106</v>
      </c>
      <c r="X311" s="578">
        <f t="shared" si="401"/>
        <v>73836255.901424229</v>
      </c>
      <c r="Y311" s="578">
        <f t="shared" si="402"/>
        <v>500.21174650378862</v>
      </c>
      <c r="Z311" s="586">
        <f t="shared" si="403"/>
        <v>57905132.3769968</v>
      </c>
      <c r="AA311" s="578">
        <f t="shared" si="404"/>
        <v>-36989716.552855164</v>
      </c>
      <c r="AB311" s="578">
        <f t="shared" si="434"/>
        <v>-38.979688539468192</v>
      </c>
      <c r="AC311" s="578">
        <f t="shared" si="405"/>
        <v>-30692123.524427429</v>
      </c>
      <c r="AD311" s="578">
        <f t="shared" si="420"/>
        <v>-34.64229587265811</v>
      </c>
      <c r="AE311" s="578">
        <f t="shared" si="406"/>
        <v>43144132.3769968</v>
      </c>
      <c r="AF311" s="578">
        <f t="shared" si="407"/>
        <v>292.28461741749749</v>
      </c>
      <c r="AG311" s="578">
        <f t="shared" si="419"/>
        <v>0</v>
      </c>
      <c r="AH311" s="578">
        <f t="shared" si="408"/>
        <v>-88597255.901424229</v>
      </c>
      <c r="AI311" s="578">
        <f t="shared" si="421"/>
        <v>-100</v>
      </c>
      <c r="AJ311" s="578">
        <f t="shared" si="409"/>
        <v>-57905132.3769968</v>
      </c>
      <c r="AK311" s="578">
        <f t="shared" si="464"/>
        <v>-100</v>
      </c>
      <c r="AL311" s="578"/>
      <c r="AM311" s="578">
        <f>AQ311+AS311</f>
        <v>53753129.966800287</v>
      </c>
      <c r="AN311" s="578">
        <f>AR311+AT311</f>
        <v>36502119.340000004</v>
      </c>
      <c r="AO311" s="578">
        <f t="shared" si="410"/>
        <v>-17251010.626800284</v>
      </c>
      <c r="AP311" s="578">
        <f t="shared" si="423"/>
        <v>-32.093034652038085</v>
      </c>
      <c r="AQ311" s="578">
        <f>(AQ26-AQ31-AQ239-AQ301-AQ307)*0.2</f>
        <v>21553218.204087988</v>
      </c>
      <c r="AR311" s="578">
        <v>18433880.75</v>
      </c>
      <c r="AS311" s="578">
        <f>(AS26-AS31-AS239-AS301-AS307)*0.2</f>
        <v>32199911.7627123</v>
      </c>
      <c r="AT311" s="578">
        <v>18068238.590000004</v>
      </c>
      <c r="AU311" s="578">
        <f t="shared" si="467"/>
        <v>34844125.934623718</v>
      </c>
      <c r="AV311" s="578">
        <f t="shared" si="467"/>
        <v>21403013.036996797</v>
      </c>
      <c r="AW311" s="578">
        <f t="shared" si="411"/>
        <v>-13441112.897626922</v>
      </c>
      <c r="AX311" s="578">
        <f t="shared" si="424"/>
        <v>-38.574975084310637</v>
      </c>
      <c r="AY311" s="578">
        <f t="shared" si="468"/>
        <v>-36502119.340000004</v>
      </c>
      <c r="AZ311" s="578">
        <f t="shared" si="412"/>
        <v>57905132.3769968</v>
      </c>
      <c r="BA311" s="578">
        <f t="shared" si="425"/>
        <v>-158.634987293855</v>
      </c>
      <c r="BB311" s="578">
        <f t="shared" ref="BB311:BM311" si="480">(BB26-BB31-BB239-BB301-BB307)*0.2</f>
        <v>17968751.796456423</v>
      </c>
      <c r="BC311" s="576">
        <f t="shared" si="480"/>
        <v>12627423.504557826</v>
      </c>
      <c r="BD311" s="576">
        <f t="shared" ref="BD311:BD318" si="481">BI311-AN311</f>
        <v>6686518.4299999997</v>
      </c>
      <c r="BE311" s="576">
        <f t="shared" si="413"/>
        <v>-11282233.366456423</v>
      </c>
      <c r="BF311" s="576">
        <f t="shared" si="414"/>
        <v>-5940905.0745578259</v>
      </c>
      <c r="BG311" s="576">
        <f t="shared" si="398"/>
        <v>71721881.763256714</v>
      </c>
      <c r="BH311" s="578">
        <f t="shared" si="398"/>
        <v>49129542.844557829</v>
      </c>
      <c r="BI311" s="578">
        <f>79536000-36347362.23</f>
        <v>43188637.770000003</v>
      </c>
      <c r="BJ311" s="578">
        <f t="shared" si="415"/>
        <v>-28533243.99325671</v>
      </c>
      <c r="BK311" s="578">
        <f t="shared" si="416"/>
        <v>-5940905.0745578259</v>
      </c>
      <c r="BL311" s="576">
        <f t="shared" si="480"/>
        <v>16875374.138167299</v>
      </c>
      <c r="BM311" s="578">
        <f t="shared" si="480"/>
        <v>8775589.5324389692</v>
      </c>
      <c r="BN311" s="522">
        <f t="shared" ref="BN311:BN318" si="482">AL311-BI311</f>
        <v>-43188637.770000003</v>
      </c>
      <c r="BO311" s="578">
        <f t="shared" si="426"/>
        <v>-60064011.908167303</v>
      </c>
      <c r="BP311" s="578">
        <f t="shared" si="417"/>
        <v>-51964227.302438974</v>
      </c>
      <c r="BQ311" s="576">
        <f t="shared" ref="BQ311:BS311" si="483">(BQ26-BQ31-BQ239-BQ301-BQ307)*0.2</f>
        <v>16875374.138167299</v>
      </c>
      <c r="BR311" s="578">
        <f t="shared" si="483"/>
        <v>0</v>
      </c>
      <c r="BS311" s="578">
        <f t="shared" si="483"/>
        <v>0</v>
      </c>
      <c r="BT311" s="536"/>
      <c r="BU311" s="578"/>
      <c r="BV311" s="578"/>
      <c r="BW311" s="578"/>
      <c r="BX311" s="574"/>
      <c r="BY311" s="578"/>
      <c r="BZ311" s="578"/>
      <c r="CA311" s="578"/>
      <c r="CB311" s="578"/>
      <c r="CC311" s="578">
        <f t="shared" si="418"/>
        <v>0</v>
      </c>
      <c r="CD311" s="578"/>
      <c r="CE311" s="578"/>
      <c r="CF311" s="578"/>
      <c r="CG311" s="578"/>
      <c r="CH311" s="578"/>
      <c r="CI311" s="578"/>
      <c r="CJ311" s="578"/>
      <c r="CK311" s="542" t="s">
        <v>1881</v>
      </c>
      <c r="CL311" s="542" t="s">
        <v>1991</v>
      </c>
      <c r="CM311" s="528" t="s">
        <v>1990</v>
      </c>
      <c r="CN311" s="528" t="s">
        <v>1849</v>
      </c>
      <c r="CO311" s="528"/>
      <c r="CP311" s="579">
        <f>(CP26-CP31-CP239-CP301-CP307)*0.2</f>
        <v>56557054.114280753</v>
      </c>
      <c r="CQ311" s="579" t="e">
        <f>(CQ26-CQ31-CQ239-CQ301-CQ307)*0.2</f>
        <v>#REF!</v>
      </c>
      <c r="CR311" s="579" t="e">
        <f>(CR26-CR31-CR239-CR301-CR307)*0.2</f>
        <v>#REF!</v>
      </c>
      <c r="CS311" s="1709" t="s">
        <v>1992</v>
      </c>
      <c r="CT311" s="1710"/>
      <c r="CU311" s="1710"/>
      <c r="CV311" s="1710"/>
      <c r="CW311" s="1711"/>
      <c r="CX311" s="528"/>
      <c r="CY311" s="528"/>
      <c r="CZ311" s="528"/>
      <c r="DA311" s="528"/>
      <c r="DB311" s="579">
        <f>30811777.14-12377896.39</f>
        <v>18433880.75</v>
      </c>
      <c r="DD311" s="535"/>
      <c r="DE311" s="535"/>
      <c r="DF311" s="578">
        <f t="shared" si="436"/>
        <v>0</v>
      </c>
      <c r="DG311" s="578">
        <f t="shared" si="436"/>
        <v>0</v>
      </c>
      <c r="DH311" s="578">
        <f t="shared" si="436"/>
        <v>0</v>
      </c>
      <c r="DI311" s="578">
        <f t="shared" si="436"/>
        <v>0</v>
      </c>
      <c r="DJ311" s="536"/>
      <c r="DK311" s="536"/>
      <c r="DL311" s="536"/>
      <c r="DM311" s="536"/>
      <c r="DN311" s="536"/>
      <c r="DO311" s="536"/>
      <c r="DP311" s="536"/>
      <c r="DQ311" s="536"/>
      <c r="DR311" s="536"/>
      <c r="DS311" s="536"/>
    </row>
    <row r="312" spans="1:123" s="534" customFormat="1" ht="53.25" customHeight="1">
      <c r="A312" s="537" t="s">
        <v>1246</v>
      </c>
      <c r="B312" s="538" t="s">
        <v>1247</v>
      </c>
      <c r="C312" s="578">
        <v>83652000</v>
      </c>
      <c r="D312" s="578"/>
      <c r="E312" s="578">
        <v>0</v>
      </c>
      <c r="F312" s="576">
        <v>22993640.02</v>
      </c>
      <c r="G312" s="577">
        <v>0</v>
      </c>
      <c r="H312" s="577">
        <v>0</v>
      </c>
      <c r="I312" s="578">
        <f t="shared" si="477"/>
        <v>-699107.79</v>
      </c>
      <c r="J312" s="578">
        <v>-699107.79</v>
      </c>
      <c r="K312" s="578">
        <v>0</v>
      </c>
      <c r="L312" s="578">
        <v>0</v>
      </c>
      <c r="M312" s="578">
        <f t="shared" si="478"/>
        <v>-699107.79</v>
      </c>
      <c r="N312" s="578">
        <v>-2055526.54</v>
      </c>
      <c r="O312" s="522">
        <f t="shared" si="479"/>
        <v>-138473.45999999996</v>
      </c>
      <c r="P312" s="578">
        <v>-2194000</v>
      </c>
      <c r="Q312" s="578">
        <f t="shared" si="399"/>
        <v>-1494892.21</v>
      </c>
      <c r="R312" s="578">
        <f t="shared" si="400"/>
        <v>213.82857284425336</v>
      </c>
      <c r="S312" s="576"/>
      <c r="T312" s="576"/>
      <c r="U312" s="578">
        <v>0</v>
      </c>
      <c r="V312" s="578">
        <f t="shared" si="397"/>
        <v>0</v>
      </c>
      <c r="W312" s="578">
        <v>0</v>
      </c>
      <c r="X312" s="578">
        <f t="shared" si="401"/>
        <v>2194000</v>
      </c>
      <c r="Y312" s="578">
        <f t="shared" si="402"/>
        <v>-100</v>
      </c>
      <c r="Z312" s="586">
        <f t="shared" si="403"/>
        <v>2648243.7999999998</v>
      </c>
      <c r="AA312" s="578">
        <f t="shared" si="404"/>
        <v>2648243.7999999998</v>
      </c>
      <c r="AB312" s="578">
        <v>0</v>
      </c>
      <c r="AC312" s="578">
        <f t="shared" si="405"/>
        <v>2648243.7999999998</v>
      </c>
      <c r="AD312" s="578">
        <v>0</v>
      </c>
      <c r="AE312" s="578">
        <f t="shared" si="406"/>
        <v>4842243.8</v>
      </c>
      <c r="AF312" s="578">
        <f t="shared" si="407"/>
        <v>-220.70391066545125</v>
      </c>
      <c r="AG312" s="578">
        <f t="shared" si="419"/>
        <v>0</v>
      </c>
      <c r="AH312" s="578">
        <f t="shared" si="408"/>
        <v>0</v>
      </c>
      <c r="AI312" s="578">
        <v>0</v>
      </c>
      <c r="AJ312" s="578">
        <f t="shared" si="409"/>
        <v>-2648243.7999999998</v>
      </c>
      <c r="AK312" s="578">
        <f t="shared" si="464"/>
        <v>-100</v>
      </c>
      <c r="AL312" s="578"/>
      <c r="AM312" s="578">
        <f t="shared" si="428"/>
        <v>0</v>
      </c>
      <c r="AN312" s="578">
        <f t="shared" si="428"/>
        <v>2648243.7999999998</v>
      </c>
      <c r="AO312" s="578">
        <f t="shared" si="410"/>
        <v>2648243.7999999998</v>
      </c>
      <c r="AP312" s="578">
        <v>0</v>
      </c>
      <c r="AQ312" s="578">
        <v>0</v>
      </c>
      <c r="AR312" s="578">
        <v>4223707.51</v>
      </c>
      <c r="AS312" s="578">
        <v>0</v>
      </c>
      <c r="AT312" s="578">
        <v>-1575463.71</v>
      </c>
      <c r="AU312" s="578">
        <f t="shared" si="467"/>
        <v>0</v>
      </c>
      <c r="AV312" s="578">
        <f t="shared" si="467"/>
        <v>0</v>
      </c>
      <c r="AW312" s="578">
        <f t="shared" si="411"/>
        <v>0</v>
      </c>
      <c r="AX312" s="578">
        <v>0</v>
      </c>
      <c r="AY312" s="578">
        <f t="shared" si="468"/>
        <v>-2648243.7999999998</v>
      </c>
      <c r="AZ312" s="578">
        <f t="shared" si="412"/>
        <v>2648243.7999999998</v>
      </c>
      <c r="BA312" s="578">
        <v>0</v>
      </c>
      <c r="BB312" s="578">
        <v>0</v>
      </c>
      <c r="BC312" s="576">
        <f>'[67]Дир_по экон'!AT45</f>
        <v>0</v>
      </c>
      <c r="BD312" s="576">
        <f t="shared" si="481"/>
        <v>1123249.1900000004</v>
      </c>
      <c r="BE312" s="576">
        <f t="shared" si="413"/>
        <v>1123249.1900000004</v>
      </c>
      <c r="BF312" s="576">
        <f t="shared" si="414"/>
        <v>1123249.1900000004</v>
      </c>
      <c r="BG312" s="576">
        <f t="shared" si="398"/>
        <v>0</v>
      </c>
      <c r="BH312" s="578">
        <f t="shared" si="398"/>
        <v>2648243.7999999998</v>
      </c>
      <c r="BI312" s="578">
        <v>3771492.99</v>
      </c>
      <c r="BJ312" s="578">
        <f t="shared" si="415"/>
        <v>3771492.99</v>
      </c>
      <c r="BK312" s="578">
        <f t="shared" si="416"/>
        <v>1123249.1900000004</v>
      </c>
      <c r="BL312" s="576">
        <v>0</v>
      </c>
      <c r="BM312" s="578">
        <f>'[67]Дир_по экон'!AW45</f>
        <v>0</v>
      </c>
      <c r="BN312" s="522">
        <f t="shared" si="482"/>
        <v>-3771492.99</v>
      </c>
      <c r="BO312" s="578">
        <f t="shared" si="426"/>
        <v>-3771492.99</v>
      </c>
      <c r="BP312" s="578">
        <f t="shared" si="417"/>
        <v>-3771492.99</v>
      </c>
      <c r="BQ312" s="576">
        <v>0</v>
      </c>
      <c r="BR312" s="578">
        <f>'[67]Дир_по экон'!BB45</f>
        <v>0</v>
      </c>
      <c r="BS312" s="578">
        <f>'[67]Дир_по экон'!BC45</f>
        <v>0</v>
      </c>
      <c r="BT312" s="536"/>
      <c r="BU312" s="578"/>
      <c r="BV312" s="578"/>
      <c r="BW312" s="578"/>
      <c r="BX312" s="574"/>
      <c r="BY312" s="522"/>
      <c r="BZ312" s="522"/>
      <c r="CA312" s="522"/>
      <c r="CB312" s="522"/>
      <c r="CC312" s="522">
        <f t="shared" si="418"/>
        <v>0</v>
      </c>
      <c r="CD312" s="578"/>
      <c r="CE312" s="578"/>
      <c r="CF312" s="578"/>
      <c r="CG312" s="578"/>
      <c r="CH312" s="578"/>
      <c r="CI312" s="578"/>
      <c r="CJ312" s="578"/>
      <c r="CK312" s="543" t="s">
        <v>77</v>
      </c>
      <c r="CL312" s="542" t="s">
        <v>1800</v>
      </c>
      <c r="CM312" s="528" t="s">
        <v>1990</v>
      </c>
      <c r="CN312" s="528" t="s">
        <v>1849</v>
      </c>
      <c r="CO312" s="528"/>
      <c r="CP312" s="544">
        <f>U312*$CU$7/100</f>
        <v>0</v>
      </c>
      <c r="CQ312" s="544">
        <f>U312*$CU$8/100</f>
        <v>0</v>
      </c>
      <c r="CR312" s="544">
        <f>U312*$CU$9/100</f>
        <v>0</v>
      </c>
      <c r="CS312" s="1709" t="s">
        <v>1826</v>
      </c>
      <c r="CT312" s="1710"/>
      <c r="CU312" s="1710"/>
      <c r="CV312" s="1710"/>
      <c r="CW312" s="1711"/>
      <c r="CX312" s="528"/>
      <c r="CY312" s="528"/>
      <c r="CZ312" s="528"/>
      <c r="DA312" s="528"/>
      <c r="DB312" s="579">
        <v>4223707.51</v>
      </c>
      <c r="DD312" s="535"/>
      <c r="DE312" s="535"/>
      <c r="DF312" s="522">
        <f t="shared" si="436"/>
        <v>0</v>
      </c>
      <c r="DG312" s="522">
        <f t="shared" si="436"/>
        <v>0</v>
      </c>
      <c r="DH312" s="522">
        <f t="shared" si="436"/>
        <v>0</v>
      </c>
      <c r="DI312" s="522">
        <f t="shared" si="436"/>
        <v>0</v>
      </c>
      <c r="DJ312" s="536"/>
      <c r="DK312" s="536"/>
      <c r="DL312" s="536"/>
      <c r="DM312" s="536"/>
      <c r="DN312" s="536"/>
      <c r="DO312" s="536"/>
      <c r="DP312" s="536"/>
      <c r="DQ312" s="536"/>
      <c r="DR312" s="536"/>
      <c r="DS312" s="536"/>
    </row>
    <row r="313" spans="1:123" s="534" customFormat="1" ht="56.25" customHeight="1">
      <c r="A313" s="537" t="s">
        <v>1250</v>
      </c>
      <c r="B313" s="538" t="s">
        <v>1251</v>
      </c>
      <c r="C313" s="578">
        <v>-2050000</v>
      </c>
      <c r="D313" s="578"/>
      <c r="E313" s="578">
        <v>0</v>
      </c>
      <c r="F313" s="576">
        <v>-1906538.02</v>
      </c>
      <c r="G313" s="577">
        <v>0</v>
      </c>
      <c r="H313" s="577">
        <v>0</v>
      </c>
      <c r="I313" s="578">
        <f t="shared" si="477"/>
        <v>-10445774.49</v>
      </c>
      <c r="J313" s="578">
        <v>-10445774.49</v>
      </c>
      <c r="K313" s="578">
        <v>0</v>
      </c>
      <c r="L313" s="578">
        <v>0</v>
      </c>
      <c r="M313" s="578">
        <f t="shared" si="478"/>
        <v>-10445774.49</v>
      </c>
      <c r="N313" s="578">
        <v>-3273671.39</v>
      </c>
      <c r="O313" s="522">
        <f t="shared" si="479"/>
        <v>-2124328.61</v>
      </c>
      <c r="P313" s="578">
        <v>-5398000</v>
      </c>
      <c r="Q313" s="578">
        <f t="shared" si="399"/>
        <v>5047774.49</v>
      </c>
      <c r="R313" s="578">
        <f t="shared" si="400"/>
        <v>-48.323601996504514</v>
      </c>
      <c r="S313" s="576"/>
      <c r="T313" s="576"/>
      <c r="U313" s="578">
        <v>0</v>
      </c>
      <c r="V313" s="578">
        <f t="shared" si="397"/>
        <v>0</v>
      </c>
      <c r="W313" s="578">
        <v>0</v>
      </c>
      <c r="X313" s="578">
        <f t="shared" si="401"/>
        <v>5398000</v>
      </c>
      <c r="Y313" s="578">
        <f t="shared" si="402"/>
        <v>-100</v>
      </c>
      <c r="Z313" s="586">
        <f t="shared" si="403"/>
        <v>-979673.85999999987</v>
      </c>
      <c r="AA313" s="578">
        <f t="shared" si="404"/>
        <v>-979673.85999999987</v>
      </c>
      <c r="AB313" s="578">
        <v>0</v>
      </c>
      <c r="AC313" s="578">
        <f t="shared" si="405"/>
        <v>-979673.85999999987</v>
      </c>
      <c r="AD313" s="578">
        <v>0</v>
      </c>
      <c r="AE313" s="578">
        <f t="shared" si="406"/>
        <v>4418326.1400000006</v>
      </c>
      <c r="AF313" s="578">
        <f t="shared" si="407"/>
        <v>-81.851169692478692</v>
      </c>
      <c r="AG313" s="578">
        <f t="shared" si="419"/>
        <v>0</v>
      </c>
      <c r="AH313" s="578">
        <f t="shared" si="408"/>
        <v>0</v>
      </c>
      <c r="AI313" s="578">
        <v>0</v>
      </c>
      <c r="AJ313" s="578">
        <f t="shared" si="409"/>
        <v>979673.85999999987</v>
      </c>
      <c r="AK313" s="578">
        <f t="shared" si="464"/>
        <v>-100</v>
      </c>
      <c r="AL313" s="578"/>
      <c r="AM313" s="578">
        <f t="shared" si="428"/>
        <v>0</v>
      </c>
      <c r="AN313" s="578">
        <f t="shared" si="428"/>
        <v>-979673.85999999987</v>
      </c>
      <c r="AO313" s="578">
        <f t="shared" si="410"/>
        <v>-979673.85999999987</v>
      </c>
      <c r="AP313" s="578">
        <v>0</v>
      </c>
      <c r="AQ313" s="578">
        <v>0</v>
      </c>
      <c r="AR313" s="578">
        <v>109635.25</v>
      </c>
      <c r="AS313" s="578">
        <v>0</v>
      </c>
      <c r="AT313" s="578">
        <v>-1089309.1099999999</v>
      </c>
      <c r="AU313" s="578">
        <f t="shared" si="467"/>
        <v>0</v>
      </c>
      <c r="AV313" s="578">
        <f t="shared" si="467"/>
        <v>0</v>
      </c>
      <c r="AW313" s="578">
        <f t="shared" si="411"/>
        <v>0</v>
      </c>
      <c r="AX313" s="578">
        <v>0</v>
      </c>
      <c r="AY313" s="578">
        <f t="shared" si="468"/>
        <v>979673.85999999987</v>
      </c>
      <c r="AZ313" s="578">
        <f t="shared" si="412"/>
        <v>-979673.85999999987</v>
      </c>
      <c r="BA313" s="578">
        <v>0</v>
      </c>
      <c r="BB313" s="578">
        <v>0</v>
      </c>
      <c r="BC313" s="576">
        <f>'[67]Дир_по экон'!AT46</f>
        <v>0</v>
      </c>
      <c r="BD313" s="576">
        <f t="shared" si="481"/>
        <v>-1435747.96</v>
      </c>
      <c r="BE313" s="576">
        <f t="shared" si="413"/>
        <v>-1435747.96</v>
      </c>
      <c r="BF313" s="576">
        <f t="shared" si="414"/>
        <v>-1435747.96</v>
      </c>
      <c r="BG313" s="576">
        <f t="shared" si="398"/>
        <v>0</v>
      </c>
      <c r="BH313" s="578">
        <f t="shared" si="398"/>
        <v>-979673.85999999987</v>
      </c>
      <c r="BI313" s="578">
        <v>-2415421.8199999998</v>
      </c>
      <c r="BJ313" s="578">
        <f t="shared" si="415"/>
        <v>-2415421.8199999998</v>
      </c>
      <c r="BK313" s="578">
        <f t="shared" si="416"/>
        <v>-1435747.96</v>
      </c>
      <c r="BL313" s="576">
        <v>0</v>
      </c>
      <c r="BM313" s="578">
        <f>'[67]Дир_по экон'!AW46</f>
        <v>0</v>
      </c>
      <c r="BN313" s="522">
        <f t="shared" si="482"/>
        <v>2415421.8199999998</v>
      </c>
      <c r="BO313" s="578">
        <f t="shared" si="426"/>
        <v>2415421.8199999998</v>
      </c>
      <c r="BP313" s="578">
        <f t="shared" si="417"/>
        <v>2415421.8199999998</v>
      </c>
      <c r="BQ313" s="576">
        <v>0</v>
      </c>
      <c r="BR313" s="578">
        <f>'[67]Дир_по экон'!BB46</f>
        <v>0</v>
      </c>
      <c r="BS313" s="578">
        <f>'[67]Дир_по экон'!BC46</f>
        <v>0</v>
      </c>
      <c r="BT313" s="536"/>
      <c r="BU313" s="578"/>
      <c r="BV313" s="578"/>
      <c r="BW313" s="578"/>
      <c r="BX313" s="574"/>
      <c r="BY313" s="522"/>
      <c r="BZ313" s="522"/>
      <c r="CA313" s="522"/>
      <c r="CB313" s="522"/>
      <c r="CC313" s="522">
        <f t="shared" si="418"/>
        <v>0</v>
      </c>
      <c r="CD313" s="578"/>
      <c r="CE313" s="578"/>
      <c r="CF313" s="578"/>
      <c r="CG313" s="578"/>
      <c r="CH313" s="578"/>
      <c r="CI313" s="578"/>
      <c r="CJ313" s="578"/>
      <c r="CK313" s="543" t="s">
        <v>77</v>
      </c>
      <c r="CL313" s="542" t="s">
        <v>1800</v>
      </c>
      <c r="CM313" s="528" t="s">
        <v>1990</v>
      </c>
      <c r="CN313" s="528" t="s">
        <v>1849</v>
      </c>
      <c r="CO313" s="528"/>
      <c r="CP313" s="544">
        <f>U313*$CU$7/100</f>
        <v>0</v>
      </c>
      <c r="CQ313" s="544">
        <f>U313*$CU$8/100</f>
        <v>0</v>
      </c>
      <c r="CR313" s="544">
        <f>U313*$CU$9/100</f>
        <v>0</v>
      </c>
      <c r="CS313" s="1709" t="s">
        <v>1826</v>
      </c>
      <c r="CT313" s="1710"/>
      <c r="CU313" s="1710"/>
      <c r="CV313" s="1710"/>
      <c r="CW313" s="1711"/>
      <c r="CX313" s="528"/>
      <c r="CY313" s="528"/>
      <c r="CZ313" s="528"/>
      <c r="DA313" s="528"/>
      <c r="DB313" s="579">
        <v>109635.25</v>
      </c>
      <c r="DD313" s="535"/>
      <c r="DE313" s="535"/>
      <c r="DF313" s="522">
        <f t="shared" si="436"/>
        <v>0</v>
      </c>
      <c r="DG313" s="522">
        <f t="shared" si="436"/>
        <v>0</v>
      </c>
      <c r="DH313" s="522">
        <f t="shared" si="436"/>
        <v>0</v>
      </c>
      <c r="DI313" s="522">
        <f t="shared" si="436"/>
        <v>0</v>
      </c>
      <c r="DJ313" s="536"/>
      <c r="DK313" s="536"/>
      <c r="DL313" s="536"/>
      <c r="DM313" s="536"/>
      <c r="DN313" s="536"/>
      <c r="DO313" s="536"/>
      <c r="DP313" s="536"/>
      <c r="DQ313" s="536"/>
      <c r="DR313" s="536"/>
      <c r="DS313" s="536"/>
    </row>
    <row r="314" spans="1:123" s="534" customFormat="1" ht="36.75" customHeight="1">
      <c r="A314" s="537" t="s">
        <v>1254</v>
      </c>
      <c r="B314" s="538" t="s">
        <v>1255</v>
      </c>
      <c r="C314" s="578"/>
      <c r="D314" s="578"/>
      <c r="E314" s="578">
        <v>0</v>
      </c>
      <c r="F314" s="576">
        <v>5480981.0800000001</v>
      </c>
      <c r="G314" s="577">
        <v>0</v>
      </c>
      <c r="H314" s="577">
        <v>0</v>
      </c>
      <c r="I314" s="578">
        <f t="shared" si="477"/>
        <v>32011627.620000001</v>
      </c>
      <c r="J314" s="578">
        <v>32011627.620000001</v>
      </c>
      <c r="K314" s="578"/>
      <c r="L314" s="578">
        <v>0</v>
      </c>
      <c r="M314" s="578">
        <f t="shared" si="478"/>
        <v>32011627.620000001</v>
      </c>
      <c r="N314" s="578">
        <v>11133873.73</v>
      </c>
      <c r="O314" s="522">
        <f t="shared" si="479"/>
        <v>-3999873.7300000004</v>
      </c>
      <c r="P314" s="578">
        <v>7134000</v>
      </c>
      <c r="Q314" s="578">
        <f t="shared" si="399"/>
        <v>-24877627.620000001</v>
      </c>
      <c r="R314" s="578">
        <f t="shared" si="400"/>
        <v>-77.714347784231791</v>
      </c>
      <c r="S314" s="576"/>
      <c r="T314" s="576"/>
      <c r="U314" s="578">
        <f>AQ314+AS314+BB314+BL314</f>
        <v>11707000</v>
      </c>
      <c r="V314" s="578">
        <f t="shared" si="397"/>
        <v>11707000</v>
      </c>
      <c r="W314" s="578">
        <v>0</v>
      </c>
      <c r="X314" s="578">
        <f t="shared" si="401"/>
        <v>4573000</v>
      </c>
      <c r="Y314" s="578">
        <f t="shared" si="402"/>
        <v>64.101485842444646</v>
      </c>
      <c r="Z314" s="586">
        <f t="shared" si="403"/>
        <v>562901</v>
      </c>
      <c r="AA314" s="578">
        <f t="shared" si="404"/>
        <v>562901</v>
      </c>
      <c r="AB314" s="578">
        <v>0</v>
      </c>
      <c r="AC314" s="578">
        <f t="shared" si="405"/>
        <v>-11144099</v>
      </c>
      <c r="AD314" s="578">
        <f t="shared" si="420"/>
        <v>-95.1917570684206</v>
      </c>
      <c r="AE314" s="578">
        <f t="shared" si="406"/>
        <v>-6571099</v>
      </c>
      <c r="AF314" s="578">
        <f t="shared" si="407"/>
        <v>-92.109601906363892</v>
      </c>
      <c r="AG314" s="578">
        <f t="shared" si="419"/>
        <v>0</v>
      </c>
      <c r="AH314" s="578">
        <f t="shared" si="408"/>
        <v>-11707000</v>
      </c>
      <c r="AI314" s="578">
        <f t="shared" si="421"/>
        <v>-100</v>
      </c>
      <c r="AJ314" s="578">
        <f t="shared" si="409"/>
        <v>-562901</v>
      </c>
      <c r="AK314" s="578">
        <f t="shared" si="464"/>
        <v>-100</v>
      </c>
      <c r="AL314" s="578"/>
      <c r="AM314" s="578">
        <f t="shared" si="428"/>
        <v>11707000</v>
      </c>
      <c r="AN314" s="578">
        <f t="shared" si="428"/>
        <v>562901</v>
      </c>
      <c r="AO314" s="578">
        <f t="shared" si="410"/>
        <v>-11144099</v>
      </c>
      <c r="AP314" s="578">
        <f t="shared" si="423"/>
        <v>-95.1917570684206</v>
      </c>
      <c r="AQ314" s="578">
        <v>11707000</v>
      </c>
      <c r="AR314" s="578">
        <v>1312889</v>
      </c>
      <c r="AS314" s="578">
        <v>0</v>
      </c>
      <c r="AT314" s="578">
        <v>-749988</v>
      </c>
      <c r="AU314" s="578">
        <f t="shared" si="467"/>
        <v>0</v>
      </c>
      <c r="AV314" s="578">
        <f t="shared" si="467"/>
        <v>0</v>
      </c>
      <c r="AW314" s="578">
        <f t="shared" si="411"/>
        <v>0</v>
      </c>
      <c r="AX314" s="578">
        <v>0</v>
      </c>
      <c r="AY314" s="578">
        <f t="shared" si="468"/>
        <v>-562901</v>
      </c>
      <c r="AZ314" s="578">
        <f t="shared" si="412"/>
        <v>562901</v>
      </c>
      <c r="BA314" s="578">
        <v>0</v>
      </c>
      <c r="BB314" s="578">
        <v>0</v>
      </c>
      <c r="BC314" s="576">
        <f>'[67]Дир_по экон'!AT47</f>
        <v>0</v>
      </c>
      <c r="BD314" s="576">
        <f t="shared" si="481"/>
        <v>18018.560000000056</v>
      </c>
      <c r="BE314" s="576">
        <f t="shared" si="413"/>
        <v>18018.560000000056</v>
      </c>
      <c r="BF314" s="576">
        <f t="shared" si="414"/>
        <v>18018.560000000056</v>
      </c>
      <c r="BG314" s="576">
        <f t="shared" si="398"/>
        <v>11707000</v>
      </c>
      <c r="BH314" s="578">
        <f t="shared" si="398"/>
        <v>562901</v>
      </c>
      <c r="BI314" s="578">
        <v>580919.56000000006</v>
      </c>
      <c r="BJ314" s="578">
        <f t="shared" si="415"/>
        <v>-11126080.439999999</v>
      </c>
      <c r="BK314" s="578">
        <f t="shared" si="416"/>
        <v>18018.560000000056</v>
      </c>
      <c r="BL314" s="576">
        <v>0</v>
      </c>
      <c r="BM314" s="578">
        <f>'[67]Дир_по экон'!AW47</f>
        <v>0</v>
      </c>
      <c r="BN314" s="522">
        <f t="shared" si="482"/>
        <v>-580919.56000000006</v>
      </c>
      <c r="BO314" s="578">
        <f t="shared" si="426"/>
        <v>-580919.56000000006</v>
      </c>
      <c r="BP314" s="578">
        <f t="shared" si="417"/>
        <v>-580919.56000000006</v>
      </c>
      <c r="BQ314" s="576">
        <v>0</v>
      </c>
      <c r="BR314" s="578">
        <f>'[67]Дир_по экон'!BB47</f>
        <v>0</v>
      </c>
      <c r="BS314" s="578">
        <f>'[67]Дир_по экон'!BC47</f>
        <v>0</v>
      </c>
      <c r="BT314" s="536"/>
      <c r="BU314" s="578"/>
      <c r="BV314" s="578"/>
      <c r="BW314" s="578"/>
      <c r="BX314" s="574"/>
      <c r="BY314" s="522"/>
      <c r="BZ314" s="522"/>
      <c r="CA314" s="522"/>
      <c r="CB314" s="522"/>
      <c r="CC314" s="522">
        <f t="shared" si="418"/>
        <v>0</v>
      </c>
      <c r="CD314" s="578"/>
      <c r="CE314" s="578"/>
      <c r="CF314" s="578"/>
      <c r="CG314" s="578"/>
      <c r="CH314" s="578"/>
      <c r="CI314" s="578"/>
      <c r="CJ314" s="578"/>
      <c r="CK314" s="543" t="s">
        <v>77</v>
      </c>
      <c r="CL314" s="542" t="s">
        <v>1800</v>
      </c>
      <c r="CM314" s="528" t="s">
        <v>1990</v>
      </c>
      <c r="CN314" s="528" t="s">
        <v>1849</v>
      </c>
      <c r="CO314" s="528"/>
      <c r="CP314" s="544">
        <f>U314*$CU$7/100</f>
        <v>10801117.611415265</v>
      </c>
      <c r="CQ314" s="544">
        <f>U314*$CU$8/100</f>
        <v>793377.32628334593</v>
      </c>
      <c r="CR314" s="544">
        <f>U314*$CU$9/100</f>
        <v>112505.06230138942</v>
      </c>
      <c r="CS314" s="1709" t="s">
        <v>1826</v>
      </c>
      <c r="CT314" s="1710"/>
      <c r="CU314" s="1710"/>
      <c r="CV314" s="1710"/>
      <c r="CW314" s="1711"/>
      <c r="CX314" s="528"/>
      <c r="CY314" s="528"/>
      <c r="CZ314" s="528"/>
      <c r="DA314" s="528"/>
      <c r="DB314" s="579">
        <f>1312889</f>
        <v>1312889</v>
      </c>
      <c r="DD314" s="535"/>
      <c r="DE314" s="535"/>
      <c r="DF314" s="522">
        <f t="shared" si="436"/>
        <v>0</v>
      </c>
      <c r="DG314" s="522">
        <f t="shared" si="436"/>
        <v>0</v>
      </c>
      <c r="DH314" s="522">
        <f t="shared" si="436"/>
        <v>0</v>
      </c>
      <c r="DI314" s="522">
        <f t="shared" si="436"/>
        <v>0</v>
      </c>
      <c r="DJ314" s="536"/>
      <c r="DK314" s="536"/>
      <c r="DL314" s="536"/>
      <c r="DM314" s="536"/>
      <c r="DN314" s="536"/>
      <c r="DO314" s="536"/>
      <c r="DP314" s="536"/>
      <c r="DQ314" s="536"/>
      <c r="DR314" s="536"/>
      <c r="DS314" s="536"/>
    </row>
    <row r="315" spans="1:123" s="534" customFormat="1" ht="53.25" customHeight="1">
      <c r="A315" s="537" t="s">
        <v>1258</v>
      </c>
      <c r="B315" s="538" t="s">
        <v>1259</v>
      </c>
      <c r="C315" s="578"/>
      <c r="D315" s="578"/>
      <c r="E315" s="578">
        <v>0</v>
      </c>
      <c r="F315" s="576"/>
      <c r="G315" s="577">
        <v>0</v>
      </c>
      <c r="H315" s="577">
        <v>0</v>
      </c>
      <c r="I315" s="578">
        <f t="shared" si="477"/>
        <v>0</v>
      </c>
      <c r="J315" s="578">
        <v>0</v>
      </c>
      <c r="K315" s="578">
        <v>0</v>
      </c>
      <c r="L315" s="578">
        <v>0</v>
      </c>
      <c r="M315" s="578">
        <f t="shared" si="478"/>
        <v>0</v>
      </c>
      <c r="N315" s="578"/>
      <c r="O315" s="522">
        <f t="shared" si="479"/>
        <v>0</v>
      </c>
      <c r="P315" s="578"/>
      <c r="Q315" s="578">
        <f t="shared" si="399"/>
        <v>0</v>
      </c>
      <c r="R315" s="578">
        <v>0</v>
      </c>
      <c r="S315" s="576"/>
      <c r="T315" s="576"/>
      <c r="U315" s="578">
        <f>AQ315+AS315+BB315+BL315</f>
        <v>69227000</v>
      </c>
      <c r="V315" s="578">
        <f t="shared" si="397"/>
        <v>69227000</v>
      </c>
      <c r="W315" s="578">
        <v>0</v>
      </c>
      <c r="X315" s="578">
        <f t="shared" si="401"/>
        <v>69227000</v>
      </c>
      <c r="Y315" s="578">
        <v>0</v>
      </c>
      <c r="Z315" s="586">
        <f t="shared" si="403"/>
        <v>66030799</v>
      </c>
      <c r="AA315" s="578">
        <f t="shared" si="404"/>
        <v>66030799</v>
      </c>
      <c r="AB315" s="578">
        <v>0</v>
      </c>
      <c r="AC315" s="578">
        <f t="shared" si="405"/>
        <v>-3196201</v>
      </c>
      <c r="AD315" s="578">
        <f t="shared" si="420"/>
        <v>-4.6169861470235674</v>
      </c>
      <c r="AE315" s="578">
        <f t="shared" si="406"/>
        <v>66030799</v>
      </c>
      <c r="AF315" s="578">
        <v>0</v>
      </c>
      <c r="AG315" s="578">
        <f t="shared" si="419"/>
        <v>0</v>
      </c>
      <c r="AH315" s="578">
        <f t="shared" si="408"/>
        <v>-69227000</v>
      </c>
      <c r="AI315" s="578">
        <f t="shared" si="421"/>
        <v>-100</v>
      </c>
      <c r="AJ315" s="578">
        <f t="shared" si="409"/>
        <v>-66030799</v>
      </c>
      <c r="AK315" s="578">
        <f t="shared" si="464"/>
        <v>-100</v>
      </c>
      <c r="AL315" s="578"/>
      <c r="AM315" s="578">
        <f t="shared" si="428"/>
        <v>69227000</v>
      </c>
      <c r="AN315" s="578">
        <f t="shared" si="428"/>
        <v>66030799</v>
      </c>
      <c r="AO315" s="578">
        <f t="shared" si="410"/>
        <v>-3196201</v>
      </c>
      <c r="AP315" s="578">
        <f t="shared" si="423"/>
        <v>-4.6169861470235674</v>
      </c>
      <c r="AQ315" s="578">
        <v>69227000</v>
      </c>
      <c r="AR315" s="578">
        <v>69227111</v>
      </c>
      <c r="AS315" s="578">
        <v>0</v>
      </c>
      <c r="AT315" s="578">
        <v>-3196312</v>
      </c>
      <c r="AU315" s="578">
        <f t="shared" si="467"/>
        <v>0</v>
      </c>
      <c r="AV315" s="578">
        <f t="shared" si="467"/>
        <v>0</v>
      </c>
      <c r="AW315" s="578">
        <f t="shared" si="411"/>
        <v>0</v>
      </c>
      <c r="AX315" s="578">
        <v>0</v>
      </c>
      <c r="AY315" s="578">
        <f t="shared" si="468"/>
        <v>-66030799</v>
      </c>
      <c r="AZ315" s="578">
        <f t="shared" si="412"/>
        <v>66030799</v>
      </c>
      <c r="BA315" s="578">
        <v>0</v>
      </c>
      <c r="BB315" s="578">
        <v>0</v>
      </c>
      <c r="BC315" s="576">
        <f>'[67]Дир_по экон'!AT48</f>
        <v>0</v>
      </c>
      <c r="BD315" s="576">
        <f t="shared" si="481"/>
        <v>-10195718.560000002</v>
      </c>
      <c r="BE315" s="576">
        <f t="shared" si="413"/>
        <v>-10195718.560000002</v>
      </c>
      <c r="BF315" s="576">
        <f t="shared" si="414"/>
        <v>-10195718.560000002</v>
      </c>
      <c r="BG315" s="576">
        <f t="shared" si="398"/>
        <v>69227000</v>
      </c>
      <c r="BH315" s="578">
        <f t="shared" si="398"/>
        <v>66030799</v>
      </c>
      <c r="BI315" s="578">
        <f>56416000-580919.56</f>
        <v>55835080.439999998</v>
      </c>
      <c r="BJ315" s="578">
        <f t="shared" si="415"/>
        <v>-13391919.560000002</v>
      </c>
      <c r="BK315" s="578">
        <f t="shared" si="416"/>
        <v>-10195718.560000002</v>
      </c>
      <c r="BL315" s="576">
        <v>0</v>
      </c>
      <c r="BM315" s="578">
        <f>'[67]Дир_по экон'!AW48</f>
        <v>0</v>
      </c>
      <c r="BN315" s="522">
        <f t="shared" si="482"/>
        <v>-55835080.439999998</v>
      </c>
      <c r="BO315" s="578">
        <f t="shared" si="426"/>
        <v>-55835080.439999998</v>
      </c>
      <c r="BP315" s="578">
        <f t="shared" si="417"/>
        <v>-55835080.439999998</v>
      </c>
      <c r="BQ315" s="576">
        <v>0</v>
      </c>
      <c r="BR315" s="578">
        <f>'[67]Дир_по экон'!BB48</f>
        <v>0</v>
      </c>
      <c r="BS315" s="578">
        <f>'[67]Дир_по экон'!BC48</f>
        <v>0</v>
      </c>
      <c r="BT315" s="536"/>
      <c r="BU315" s="578"/>
      <c r="BV315" s="578"/>
      <c r="BW315" s="578"/>
      <c r="BX315" s="574"/>
      <c r="BY315" s="522"/>
      <c r="BZ315" s="522"/>
      <c r="CA315" s="522"/>
      <c r="CB315" s="522"/>
      <c r="CC315" s="522">
        <f t="shared" si="418"/>
        <v>0</v>
      </c>
      <c r="CD315" s="578"/>
      <c r="CE315" s="578"/>
      <c r="CF315" s="578"/>
      <c r="CG315" s="578"/>
      <c r="CH315" s="578"/>
      <c r="CI315" s="578"/>
      <c r="CJ315" s="578"/>
      <c r="CK315" s="543" t="s">
        <v>77</v>
      </c>
      <c r="CL315" s="542" t="s">
        <v>1800</v>
      </c>
      <c r="CM315" s="528" t="s">
        <v>1990</v>
      </c>
      <c r="CN315" s="528" t="s">
        <v>1849</v>
      </c>
      <c r="CO315" s="528"/>
      <c r="CP315" s="544">
        <f>U315*$CU$7/100</f>
        <v>63870245.911458492</v>
      </c>
      <c r="CQ315" s="544">
        <f>U315*$CU$8/100</f>
        <v>4691477.9334259154</v>
      </c>
      <c r="CR315" s="544">
        <f>U315*$CU$9/100</f>
        <v>665276.15511559625</v>
      </c>
      <c r="CS315" s="1709" t="s">
        <v>1826</v>
      </c>
      <c r="CT315" s="1710"/>
      <c r="CU315" s="1710"/>
      <c r="CV315" s="1710"/>
      <c r="CW315" s="1711"/>
      <c r="CX315" s="528"/>
      <c r="CY315" s="528"/>
      <c r="CZ315" s="528"/>
      <c r="DA315" s="528"/>
      <c r="DB315" s="579">
        <v>69227111</v>
      </c>
      <c r="DD315" s="575"/>
      <c r="DE315" s="575"/>
      <c r="DF315" s="522">
        <f t="shared" si="436"/>
        <v>0</v>
      </c>
      <c r="DG315" s="522">
        <f t="shared" si="436"/>
        <v>0</v>
      </c>
      <c r="DH315" s="522">
        <f t="shared" si="436"/>
        <v>0</v>
      </c>
      <c r="DI315" s="522">
        <f t="shared" si="436"/>
        <v>0</v>
      </c>
      <c r="DJ315" s="536"/>
      <c r="DK315" s="536"/>
      <c r="DL315" s="536"/>
      <c r="DM315" s="536"/>
      <c r="DN315" s="536"/>
      <c r="DO315" s="536"/>
      <c r="DP315" s="536"/>
      <c r="DQ315" s="536"/>
      <c r="DR315" s="536"/>
      <c r="DS315" s="536"/>
    </row>
    <row r="316" spans="1:123" s="534" customFormat="1" ht="41.25" customHeight="1">
      <c r="A316" s="537" t="s">
        <v>1262</v>
      </c>
      <c r="B316" s="538" t="s">
        <v>1263</v>
      </c>
      <c r="C316" s="578"/>
      <c r="D316" s="578"/>
      <c r="E316" s="578"/>
      <c r="F316" s="576"/>
      <c r="G316" s="577">
        <v>0</v>
      </c>
      <c r="H316" s="577">
        <v>0</v>
      </c>
      <c r="I316" s="578">
        <f t="shared" si="477"/>
        <v>0</v>
      </c>
      <c r="J316" s="522">
        <v>0</v>
      </c>
      <c r="K316" s="522">
        <v>0</v>
      </c>
      <c r="L316" s="522">
        <v>0</v>
      </c>
      <c r="M316" s="578">
        <f t="shared" si="478"/>
        <v>0</v>
      </c>
      <c r="N316" s="578"/>
      <c r="O316" s="522">
        <f t="shared" si="479"/>
        <v>0</v>
      </c>
      <c r="P316" s="578"/>
      <c r="Q316" s="576">
        <f t="shared" si="399"/>
        <v>0</v>
      </c>
      <c r="R316" s="576">
        <v>0</v>
      </c>
      <c r="S316" s="576"/>
      <c r="T316" s="576"/>
      <c r="U316" s="578">
        <v>0</v>
      </c>
      <c r="V316" s="578">
        <f t="shared" si="397"/>
        <v>0</v>
      </c>
      <c r="W316" s="578">
        <v>0</v>
      </c>
      <c r="X316" s="578">
        <f t="shared" si="401"/>
        <v>0</v>
      </c>
      <c r="Y316" s="578">
        <v>0</v>
      </c>
      <c r="Z316" s="586">
        <f t="shared" si="403"/>
        <v>0</v>
      </c>
      <c r="AA316" s="578">
        <f t="shared" si="404"/>
        <v>0</v>
      </c>
      <c r="AB316" s="578">
        <v>0</v>
      </c>
      <c r="AC316" s="578">
        <f t="shared" si="405"/>
        <v>0</v>
      </c>
      <c r="AD316" s="578">
        <v>0</v>
      </c>
      <c r="AE316" s="578">
        <f t="shared" si="406"/>
        <v>0</v>
      </c>
      <c r="AF316" s="578">
        <v>0</v>
      </c>
      <c r="AG316" s="578">
        <f t="shared" si="419"/>
        <v>0</v>
      </c>
      <c r="AH316" s="578">
        <f t="shared" si="408"/>
        <v>0</v>
      </c>
      <c r="AI316" s="578">
        <v>0</v>
      </c>
      <c r="AJ316" s="578">
        <f t="shared" si="409"/>
        <v>0</v>
      </c>
      <c r="AK316" s="578">
        <v>0</v>
      </c>
      <c r="AL316" s="578"/>
      <c r="AM316" s="578">
        <f t="shared" si="428"/>
        <v>0</v>
      </c>
      <c r="AN316" s="578">
        <f t="shared" si="428"/>
        <v>0</v>
      </c>
      <c r="AO316" s="578">
        <f t="shared" si="410"/>
        <v>0</v>
      </c>
      <c r="AP316" s="578">
        <v>0</v>
      </c>
      <c r="AQ316" s="578">
        <v>0</v>
      </c>
      <c r="AR316" s="578">
        <v>0</v>
      </c>
      <c r="AS316" s="578">
        <v>0</v>
      </c>
      <c r="AT316" s="578">
        <v>0</v>
      </c>
      <c r="AU316" s="578">
        <f t="shared" si="467"/>
        <v>0</v>
      </c>
      <c r="AV316" s="578">
        <f t="shared" si="467"/>
        <v>0</v>
      </c>
      <c r="AW316" s="578">
        <f t="shared" si="411"/>
        <v>0</v>
      </c>
      <c r="AX316" s="578">
        <v>0</v>
      </c>
      <c r="AY316" s="578">
        <f t="shared" si="468"/>
        <v>0</v>
      </c>
      <c r="AZ316" s="578">
        <f t="shared" si="412"/>
        <v>0</v>
      </c>
      <c r="BA316" s="578">
        <v>0</v>
      </c>
      <c r="BB316" s="578">
        <v>0</v>
      </c>
      <c r="BC316" s="576">
        <f>'[67]Дир_по фин'!AT14</f>
        <v>0</v>
      </c>
      <c r="BD316" s="576">
        <f t="shared" si="481"/>
        <v>0</v>
      </c>
      <c r="BE316" s="576">
        <f t="shared" si="413"/>
        <v>0</v>
      </c>
      <c r="BF316" s="576">
        <f t="shared" si="414"/>
        <v>0</v>
      </c>
      <c r="BG316" s="576">
        <f t="shared" si="398"/>
        <v>0</v>
      </c>
      <c r="BH316" s="578">
        <f t="shared" si="398"/>
        <v>0</v>
      </c>
      <c r="BI316" s="578">
        <v>0</v>
      </c>
      <c r="BJ316" s="578">
        <f t="shared" si="415"/>
        <v>0</v>
      </c>
      <c r="BK316" s="578">
        <f t="shared" si="416"/>
        <v>0</v>
      </c>
      <c r="BL316" s="576">
        <v>0</v>
      </c>
      <c r="BM316" s="578">
        <f>'[67]Дир_по фин'!AW14</f>
        <v>0</v>
      </c>
      <c r="BN316" s="522">
        <f t="shared" si="482"/>
        <v>0</v>
      </c>
      <c r="BO316" s="578">
        <f t="shared" si="426"/>
        <v>0</v>
      </c>
      <c r="BP316" s="578">
        <f t="shared" si="417"/>
        <v>0</v>
      </c>
      <c r="BQ316" s="576">
        <v>0</v>
      </c>
      <c r="BR316" s="578">
        <f>'[67]Дир_по фин'!BB14</f>
        <v>0</v>
      </c>
      <c r="BS316" s="578">
        <f>'[67]Дир_по фин'!BC14</f>
        <v>0</v>
      </c>
      <c r="BT316" s="536"/>
      <c r="BU316" s="578"/>
      <c r="BV316" s="578"/>
      <c r="BW316" s="578"/>
      <c r="BX316" s="574"/>
      <c r="BY316" s="522"/>
      <c r="BZ316" s="522"/>
      <c r="CA316" s="522"/>
      <c r="CB316" s="522"/>
      <c r="CC316" s="522">
        <f t="shared" si="418"/>
        <v>0</v>
      </c>
      <c r="CD316" s="578"/>
      <c r="CE316" s="578"/>
      <c r="CF316" s="578"/>
      <c r="CG316" s="578"/>
      <c r="CH316" s="578"/>
      <c r="CI316" s="578"/>
      <c r="CJ316" s="578"/>
      <c r="CK316" s="542" t="s">
        <v>1993</v>
      </c>
      <c r="CL316" s="542" t="s">
        <v>1994</v>
      </c>
      <c r="CM316" s="528" t="s">
        <v>1990</v>
      </c>
      <c r="CN316" s="528" t="s">
        <v>1849</v>
      </c>
      <c r="CO316" s="528"/>
      <c r="CP316" s="544">
        <f>U316*$CU$7/100</f>
        <v>0</v>
      </c>
      <c r="CQ316" s="544">
        <f>U316*$CU$8/100</f>
        <v>0</v>
      </c>
      <c r="CR316" s="544">
        <f>U316*$CU$9/100</f>
        <v>0</v>
      </c>
      <c r="CS316" s="1709" t="s">
        <v>1826</v>
      </c>
      <c r="CT316" s="1710"/>
      <c r="CU316" s="1710"/>
      <c r="CV316" s="1710"/>
      <c r="CW316" s="1711"/>
      <c r="CX316" s="528"/>
      <c r="CY316" s="528"/>
      <c r="CZ316" s="528"/>
      <c r="DA316" s="528"/>
      <c r="DB316" s="579"/>
      <c r="DD316" s="575"/>
      <c r="DE316" s="575"/>
      <c r="DF316" s="522">
        <f t="shared" si="436"/>
        <v>0</v>
      </c>
      <c r="DG316" s="522">
        <f t="shared" si="436"/>
        <v>0</v>
      </c>
      <c r="DH316" s="522">
        <f t="shared" si="436"/>
        <v>0</v>
      </c>
      <c r="DI316" s="522">
        <f t="shared" si="436"/>
        <v>0</v>
      </c>
      <c r="DJ316" s="536"/>
      <c r="DK316" s="536"/>
      <c r="DL316" s="536"/>
      <c r="DM316" s="536"/>
      <c r="DN316" s="536"/>
      <c r="DO316" s="536"/>
      <c r="DP316" s="536"/>
      <c r="DQ316" s="536"/>
      <c r="DR316" s="536"/>
      <c r="DS316" s="536"/>
    </row>
    <row r="317" spans="1:123" s="534" customFormat="1" ht="68.25" customHeight="1">
      <c r="A317" s="537" t="s">
        <v>1267</v>
      </c>
      <c r="B317" s="538" t="s">
        <v>1268</v>
      </c>
      <c r="C317" s="578">
        <v>30610000</v>
      </c>
      <c r="D317" s="578"/>
      <c r="E317" s="576">
        <v>32753453.29000001</v>
      </c>
      <c r="F317" s="576"/>
      <c r="G317" s="577">
        <v>0</v>
      </c>
      <c r="H317" s="577">
        <v>0</v>
      </c>
      <c r="I317" s="578">
        <f t="shared" si="477"/>
        <v>12972219.486400001</v>
      </c>
      <c r="J317" s="578">
        <v>0</v>
      </c>
      <c r="K317" s="578">
        <v>-3493435.0059999898</v>
      </c>
      <c r="L317" s="578">
        <v>16465654.492399991</v>
      </c>
      <c r="M317" s="578">
        <f t="shared" si="478"/>
        <v>-3493435.0059999898</v>
      </c>
      <c r="N317" s="578"/>
      <c r="O317" s="522">
        <f t="shared" si="479"/>
        <v>0</v>
      </c>
      <c r="P317" s="578"/>
      <c r="Q317" s="576">
        <f t="shared" si="399"/>
        <v>-12972219.486400001</v>
      </c>
      <c r="R317" s="576">
        <f t="shared" si="400"/>
        <v>-100</v>
      </c>
      <c r="S317" s="576"/>
      <c r="T317" s="576"/>
      <c r="U317" s="578">
        <f>(U301-U243-U244-U245-U246-U248-U250-U249)*0.2</f>
        <v>58528507.59052328</v>
      </c>
      <c r="V317" s="578">
        <f t="shared" si="397"/>
        <v>58528507.59052328</v>
      </c>
      <c r="W317" s="578">
        <v>0</v>
      </c>
      <c r="X317" s="578">
        <f t="shared" si="401"/>
        <v>58528507.59052328</v>
      </c>
      <c r="Y317" s="578">
        <v>0</v>
      </c>
      <c r="Z317" s="586">
        <f t="shared" si="403"/>
        <v>57225678.774299279</v>
      </c>
      <c r="AA317" s="578">
        <f t="shared" si="404"/>
        <v>57225678.774299279</v>
      </c>
      <c r="AB317" s="578">
        <v>0</v>
      </c>
      <c r="AC317" s="578">
        <f t="shared" si="405"/>
        <v>-1302828.8162240013</v>
      </c>
      <c r="AD317" s="578">
        <f t="shared" si="420"/>
        <v>-2.2259730682675922</v>
      </c>
      <c r="AE317" s="578">
        <f t="shared" si="406"/>
        <v>57225678.774299279</v>
      </c>
      <c r="AF317" s="578">
        <v>0</v>
      </c>
      <c r="AG317" s="578">
        <f t="shared" si="419"/>
        <v>0</v>
      </c>
      <c r="AH317" s="578">
        <f t="shared" si="408"/>
        <v>-58528507.59052328</v>
      </c>
      <c r="AI317" s="578">
        <f t="shared" si="421"/>
        <v>-100</v>
      </c>
      <c r="AJ317" s="578">
        <f t="shared" si="409"/>
        <v>-57225678.774299279</v>
      </c>
      <c r="AK317" s="578">
        <f>AG317/Z317*100-100</f>
        <v>-100</v>
      </c>
      <c r="AL317" s="578"/>
      <c r="AM317" s="578">
        <f t="shared" si="428"/>
        <v>13703604.800682005</v>
      </c>
      <c r="AN317" s="578">
        <f t="shared" si="428"/>
        <v>21090880.66</v>
      </c>
      <c r="AO317" s="578">
        <f t="shared" si="410"/>
        <v>7387275.8593179956</v>
      </c>
      <c r="AP317" s="578">
        <f t="shared" si="423"/>
        <v>53.907537226630637</v>
      </c>
      <c r="AQ317" s="578">
        <f>(AQ301-AQ243-AQ244-AQ245-AQ246-AQ248-AQ250-AQ249)*0.2</f>
        <v>5018604.656320001</v>
      </c>
      <c r="AR317" s="578">
        <v>12378896.390000001</v>
      </c>
      <c r="AS317" s="578">
        <f>(AS301-AS243-AS244-AS245-AS246-AS248-AS250-AS249)*0.2</f>
        <v>8685000.1443620026</v>
      </c>
      <c r="AT317" s="578">
        <v>8711984.2699999996</v>
      </c>
      <c r="AU317" s="578">
        <f t="shared" si="467"/>
        <v>44824902.789841324</v>
      </c>
      <c r="AV317" s="578">
        <f t="shared" si="467"/>
        <v>36134798.114299282</v>
      </c>
      <c r="AW317" s="578">
        <f t="shared" si="411"/>
        <v>-8690104.6755420417</v>
      </c>
      <c r="AX317" s="578">
        <f t="shared" si="424"/>
        <v>-19.386778631255581</v>
      </c>
      <c r="AY317" s="578">
        <f t="shared" si="468"/>
        <v>-21090880.66</v>
      </c>
      <c r="AZ317" s="578">
        <f t="shared" si="412"/>
        <v>57225678.774299279</v>
      </c>
      <c r="BA317" s="578">
        <f t="shared" si="425"/>
        <v>-271.32901511709224</v>
      </c>
      <c r="BB317" s="578">
        <f t="shared" ref="BB317:BM317" si="484">(BB301-BB243-BB244-BB245-BB246-BB248-BB250-BB249)*0.2</f>
        <v>23465377.012300014</v>
      </c>
      <c r="BC317" s="576">
        <f t="shared" si="484"/>
        <v>12457667.110940013</v>
      </c>
      <c r="BD317" s="576">
        <f>BI317-AN317</f>
        <v>15256481.569999997</v>
      </c>
      <c r="BE317" s="576">
        <f t="shared" si="413"/>
        <v>-8208895.4423000179</v>
      </c>
      <c r="BF317" s="576">
        <f t="shared" si="414"/>
        <v>2798814.4590599835</v>
      </c>
      <c r="BG317" s="576">
        <f t="shared" si="398"/>
        <v>37168981.812982023</v>
      </c>
      <c r="BH317" s="578">
        <f t="shared" si="398"/>
        <v>33548547.770940013</v>
      </c>
      <c r="BI317" s="578">
        <v>36347362.229999997</v>
      </c>
      <c r="BJ317" s="578">
        <f t="shared" si="415"/>
        <v>-821619.58298202604</v>
      </c>
      <c r="BK317" s="578">
        <f t="shared" si="416"/>
        <v>2798814.4590599835</v>
      </c>
      <c r="BL317" s="576">
        <f t="shared" si="484"/>
        <v>21359525.777541306</v>
      </c>
      <c r="BM317" s="578">
        <f t="shared" si="484"/>
        <v>23677131.003359269</v>
      </c>
      <c r="BN317" s="522">
        <f t="shared" si="482"/>
        <v>-36347362.229999997</v>
      </c>
      <c r="BO317" s="578">
        <f t="shared" si="426"/>
        <v>-57706888.007541299</v>
      </c>
      <c r="BP317" s="578">
        <f t="shared" si="417"/>
        <v>-60024493.233359262</v>
      </c>
      <c r="BQ317" s="576">
        <f t="shared" ref="BQ317:BS317" si="485">(BQ301-BQ243-BQ244-BQ245-BQ246-BQ248-BQ250-BQ249)*0.2</f>
        <v>21359525.777541306</v>
      </c>
      <c r="BR317" s="578">
        <f t="shared" si="485"/>
        <v>0</v>
      </c>
      <c r="BS317" s="578">
        <f t="shared" si="485"/>
        <v>0</v>
      </c>
      <c r="BT317" s="536"/>
      <c r="BU317" s="578"/>
      <c r="BV317" s="578"/>
      <c r="BW317" s="578"/>
      <c r="BX317" s="574"/>
      <c r="BY317" s="578"/>
      <c r="BZ317" s="578"/>
      <c r="CA317" s="578"/>
      <c r="CB317" s="578"/>
      <c r="CC317" s="578">
        <f t="shared" si="418"/>
        <v>0</v>
      </c>
      <c r="CD317" s="578"/>
      <c r="CE317" s="578"/>
      <c r="CF317" s="578"/>
      <c r="CG317" s="578"/>
      <c r="CH317" s="578"/>
      <c r="CI317" s="578"/>
      <c r="CJ317" s="578"/>
      <c r="CK317" s="543" t="s">
        <v>77</v>
      </c>
      <c r="CL317" s="542" t="s">
        <v>1800</v>
      </c>
      <c r="CM317" s="528" t="s">
        <v>1990</v>
      </c>
      <c r="CN317" s="528" t="s">
        <v>1849</v>
      </c>
      <c r="CO317" s="528"/>
      <c r="CP317" s="579">
        <f>(CP301-CP243-CP244-CP245-CP246-CP248-CP250-CP249)*0.2</f>
        <v>51727064.753284924</v>
      </c>
      <c r="CQ317" s="579">
        <f>(CQ301-CQ243-CQ244-CQ245-CQ246-CQ248-CQ250-CQ249)*0.2</f>
        <v>3679391.4655222218</v>
      </c>
      <c r="CR317" s="579">
        <f>(CR301-CR243-CR244-CR245-CR246-CR248-CR250-CR249)*0.2</f>
        <v>3122051.3717161231</v>
      </c>
      <c r="CS317" s="1709" t="s">
        <v>1992</v>
      </c>
      <c r="CT317" s="1710"/>
      <c r="CU317" s="1710"/>
      <c r="CV317" s="1710"/>
      <c r="CW317" s="1711"/>
      <c r="CX317" s="528"/>
      <c r="CY317" s="528"/>
      <c r="CZ317" s="528"/>
      <c r="DA317" s="528"/>
      <c r="DB317" s="579">
        <f>12377896.39+1000</f>
        <v>12378896.390000001</v>
      </c>
      <c r="DD317" s="535"/>
      <c r="DE317" s="535"/>
      <c r="DF317" s="578">
        <f t="shared" si="436"/>
        <v>0</v>
      </c>
      <c r="DG317" s="578">
        <f t="shared" si="436"/>
        <v>0</v>
      </c>
      <c r="DH317" s="578">
        <f t="shared" si="436"/>
        <v>0</v>
      </c>
      <c r="DI317" s="578">
        <f t="shared" si="436"/>
        <v>0</v>
      </c>
      <c r="DJ317" s="536"/>
      <c r="DK317" s="536"/>
      <c r="DL317" s="536"/>
      <c r="DM317" s="536"/>
      <c r="DN317" s="536"/>
      <c r="DO317" s="536"/>
      <c r="DP317" s="536"/>
      <c r="DQ317" s="536"/>
      <c r="DR317" s="536"/>
      <c r="DS317" s="536"/>
    </row>
    <row r="318" spans="1:123" s="534" customFormat="1" ht="210" customHeight="1">
      <c r="A318" s="520" t="s">
        <v>1995</v>
      </c>
      <c r="B318" s="521" t="s">
        <v>1996</v>
      </c>
      <c r="C318" s="578"/>
      <c r="D318" s="578"/>
      <c r="E318" s="576"/>
      <c r="F318" s="576"/>
      <c r="G318" s="577"/>
      <c r="H318" s="577"/>
      <c r="I318" s="578">
        <f t="shared" si="477"/>
        <v>0</v>
      </c>
      <c r="J318" s="578"/>
      <c r="K318" s="578"/>
      <c r="L318" s="578"/>
      <c r="M318" s="578"/>
      <c r="N318" s="578"/>
      <c r="O318" s="522">
        <f t="shared" si="479"/>
        <v>0</v>
      </c>
      <c r="P318" s="578"/>
      <c r="Q318" s="576">
        <f t="shared" si="399"/>
        <v>0</v>
      </c>
      <c r="R318" s="576">
        <v>0</v>
      </c>
      <c r="S318" s="576"/>
      <c r="T318" s="576"/>
      <c r="U318" s="578">
        <v>0</v>
      </c>
      <c r="V318" s="578">
        <f t="shared" si="397"/>
        <v>0</v>
      </c>
      <c r="W318" s="578">
        <v>0</v>
      </c>
      <c r="X318" s="578">
        <f t="shared" si="401"/>
        <v>0</v>
      </c>
      <c r="Y318" s="578">
        <v>0</v>
      </c>
      <c r="Z318" s="586">
        <f t="shared" si="403"/>
        <v>0</v>
      </c>
      <c r="AA318" s="578">
        <f t="shared" si="404"/>
        <v>0</v>
      </c>
      <c r="AB318" s="578">
        <v>0</v>
      </c>
      <c r="AC318" s="578">
        <f t="shared" si="405"/>
        <v>0</v>
      </c>
      <c r="AD318" s="578">
        <v>0</v>
      </c>
      <c r="AE318" s="578">
        <f t="shared" si="406"/>
        <v>0</v>
      </c>
      <c r="AF318" s="578">
        <v>0</v>
      </c>
      <c r="AG318" s="578">
        <f t="shared" si="419"/>
        <v>0</v>
      </c>
      <c r="AH318" s="578">
        <f t="shared" si="408"/>
        <v>0</v>
      </c>
      <c r="AI318" s="578">
        <v>0</v>
      </c>
      <c r="AJ318" s="578">
        <f t="shared" si="409"/>
        <v>0</v>
      </c>
      <c r="AK318" s="578">
        <v>0</v>
      </c>
      <c r="AL318" s="578"/>
      <c r="AM318" s="578">
        <f t="shared" si="428"/>
        <v>0</v>
      </c>
      <c r="AN318" s="578">
        <f t="shared" si="428"/>
        <v>0</v>
      </c>
      <c r="AO318" s="578">
        <f t="shared" si="410"/>
        <v>0</v>
      </c>
      <c r="AP318" s="578">
        <v>0</v>
      </c>
      <c r="AQ318" s="578">
        <v>0</v>
      </c>
      <c r="AR318" s="578">
        <v>0</v>
      </c>
      <c r="AS318" s="578">
        <v>0</v>
      </c>
      <c r="AT318" s="578">
        <v>0</v>
      </c>
      <c r="AU318" s="578">
        <f t="shared" si="467"/>
        <v>0</v>
      </c>
      <c r="AV318" s="578">
        <f t="shared" si="467"/>
        <v>0</v>
      </c>
      <c r="AW318" s="578">
        <f t="shared" si="411"/>
        <v>0</v>
      </c>
      <c r="AX318" s="578">
        <v>0</v>
      </c>
      <c r="AY318" s="578">
        <f t="shared" si="468"/>
        <v>0</v>
      </c>
      <c r="AZ318" s="578">
        <f t="shared" si="412"/>
        <v>0</v>
      </c>
      <c r="BA318" s="578">
        <v>0</v>
      </c>
      <c r="BB318" s="578">
        <v>0</v>
      </c>
      <c r="BC318" s="576"/>
      <c r="BD318" s="576">
        <f t="shared" si="481"/>
        <v>0</v>
      </c>
      <c r="BE318" s="576">
        <f t="shared" si="413"/>
        <v>0</v>
      </c>
      <c r="BF318" s="576">
        <f t="shared" si="414"/>
        <v>0</v>
      </c>
      <c r="BG318" s="576">
        <f t="shared" si="398"/>
        <v>0</v>
      </c>
      <c r="BH318" s="578">
        <f t="shared" si="398"/>
        <v>0</v>
      </c>
      <c r="BI318" s="578">
        <v>0</v>
      </c>
      <c r="BJ318" s="578">
        <f t="shared" si="415"/>
        <v>0</v>
      </c>
      <c r="BK318" s="578">
        <f t="shared" si="416"/>
        <v>0</v>
      </c>
      <c r="BL318" s="576">
        <v>0</v>
      </c>
      <c r="BM318" s="578"/>
      <c r="BN318" s="522">
        <f t="shared" si="482"/>
        <v>0</v>
      </c>
      <c r="BO318" s="578">
        <f t="shared" si="426"/>
        <v>0</v>
      </c>
      <c r="BP318" s="578">
        <f t="shared" si="417"/>
        <v>0</v>
      </c>
      <c r="BQ318" s="576">
        <v>0</v>
      </c>
      <c r="BR318" s="578"/>
      <c r="BS318" s="578"/>
      <c r="BT318" s="536"/>
      <c r="BU318" s="578"/>
      <c r="BV318" s="578"/>
      <c r="BW318" s="578"/>
      <c r="BX318" s="574"/>
      <c r="BY318" s="522"/>
      <c r="BZ318" s="522"/>
      <c r="CA318" s="522"/>
      <c r="CB318" s="522"/>
      <c r="CC318" s="522">
        <f t="shared" si="418"/>
        <v>0</v>
      </c>
      <c r="CD318" s="578"/>
      <c r="CE318" s="578"/>
      <c r="CF318" s="578"/>
      <c r="CG318" s="578"/>
      <c r="CH318" s="578"/>
      <c r="CI318" s="578"/>
      <c r="CJ318" s="578"/>
      <c r="CK318" s="543" t="s">
        <v>80</v>
      </c>
      <c r="CL318" s="542" t="s">
        <v>1821</v>
      </c>
      <c r="CM318" s="528"/>
      <c r="CN318" s="528"/>
      <c r="CO318" s="528"/>
      <c r="CP318" s="544">
        <f>U318*$CU$7/100</f>
        <v>0</v>
      </c>
      <c r="CQ318" s="544">
        <f>U318*$CU$8/100</f>
        <v>0</v>
      </c>
      <c r="CR318" s="544">
        <f>U318*$CU$9/100</f>
        <v>0</v>
      </c>
      <c r="CS318" s="1709" t="s">
        <v>1826</v>
      </c>
      <c r="CT318" s="1710"/>
      <c r="CU318" s="1710"/>
      <c r="CV318" s="1710"/>
      <c r="CW318" s="1711"/>
      <c r="CX318" s="528"/>
      <c r="CY318" s="528"/>
      <c r="CZ318" s="528"/>
      <c r="DA318" s="528"/>
      <c r="DB318" s="579"/>
      <c r="DD318" s="535"/>
      <c r="DE318" s="535"/>
      <c r="DF318" s="522">
        <f t="shared" si="436"/>
        <v>0</v>
      </c>
      <c r="DG318" s="522">
        <f t="shared" si="436"/>
        <v>0</v>
      </c>
      <c r="DH318" s="522">
        <f t="shared" si="436"/>
        <v>0</v>
      </c>
      <c r="DI318" s="522">
        <f t="shared" si="436"/>
        <v>0</v>
      </c>
      <c r="DJ318" s="536"/>
      <c r="DK318" s="536"/>
      <c r="DL318" s="536"/>
      <c r="DM318" s="536"/>
      <c r="DN318" s="536"/>
      <c r="DO318" s="536"/>
      <c r="DP318" s="536"/>
      <c r="DQ318" s="536"/>
      <c r="DR318" s="536"/>
      <c r="DS318" s="536"/>
    </row>
    <row r="319" spans="1:123">
      <c r="A319" s="1721" t="s">
        <v>1997</v>
      </c>
      <c r="B319" s="1721"/>
      <c r="C319" s="580">
        <f t="shared" ref="C319:T319" si="486">C309</f>
        <v>147633000</v>
      </c>
      <c r="D319" s="580">
        <f t="shared" si="486"/>
        <v>120732581.28</v>
      </c>
      <c r="E319" s="580">
        <f t="shared" si="486"/>
        <v>120072339.49470405</v>
      </c>
      <c r="F319" s="580">
        <f t="shared" si="486"/>
        <v>95835064.179999992</v>
      </c>
      <c r="G319" s="580">
        <f t="shared" si="486"/>
        <v>33181132.5</v>
      </c>
      <c r="H319" s="580">
        <f t="shared" si="486"/>
        <v>0</v>
      </c>
      <c r="I319" s="580">
        <f t="shared" si="486"/>
        <v>50632265.682514772</v>
      </c>
      <c r="J319" s="580">
        <f t="shared" si="486"/>
        <v>20866745.34</v>
      </c>
      <c r="K319" s="580">
        <f t="shared" si="486"/>
        <v>14752865.216535646</v>
      </c>
      <c r="L319" s="580">
        <f t="shared" si="486"/>
        <v>15012655.125979125</v>
      </c>
      <c r="M319" s="580">
        <f t="shared" si="486"/>
        <v>35619610.556535646</v>
      </c>
      <c r="N319" s="580">
        <f t="shared" si="486"/>
        <v>17974109.34</v>
      </c>
      <c r="O319" s="580">
        <f>O309</f>
        <v>-3671109.3399999994</v>
      </c>
      <c r="P319" s="580">
        <f>P309</f>
        <v>14303000</v>
      </c>
      <c r="Q319" s="580">
        <f t="shared" si="399"/>
        <v>-36329265.682514772</v>
      </c>
      <c r="R319" s="580">
        <f t="shared" si="400"/>
        <v>-71.751214749729513</v>
      </c>
      <c r="S319" s="580">
        <f t="shared" si="486"/>
        <v>28008806.770054098</v>
      </c>
      <c r="T319" s="580">
        <f t="shared" si="486"/>
        <v>94894848.929851964</v>
      </c>
      <c r="U319" s="580">
        <f>U309</f>
        <v>228059763.4919475</v>
      </c>
      <c r="V319" s="580">
        <f t="shared" si="397"/>
        <v>133164914.56209554</v>
      </c>
      <c r="W319" s="580">
        <f t="shared" si="433"/>
        <v>140.32891781147524</v>
      </c>
      <c r="X319" s="580">
        <f t="shared" si="401"/>
        <v>213756763.4919475</v>
      </c>
      <c r="Y319" s="580">
        <f t="shared" si="402"/>
        <v>1494.4890127382193</v>
      </c>
      <c r="Z319" s="580">
        <f t="shared" si="403"/>
        <v>183393081.09129608</v>
      </c>
      <c r="AA319" s="580">
        <f t="shared" si="404"/>
        <v>88498232.161444113</v>
      </c>
      <c r="AB319" s="580">
        <f t="shared" si="434"/>
        <v>93.259258178348176</v>
      </c>
      <c r="AC319" s="580">
        <f t="shared" si="405"/>
        <v>-44666682.400651425</v>
      </c>
      <c r="AD319" s="580">
        <f t="shared" si="420"/>
        <v>-19.585516408828752</v>
      </c>
      <c r="AE319" s="580">
        <f t="shared" si="406"/>
        <v>169090081.09129608</v>
      </c>
      <c r="AF319" s="580">
        <f t="shared" si="407"/>
        <v>1182.2001055114038</v>
      </c>
      <c r="AG319" s="580">
        <f t="shared" si="419"/>
        <v>0</v>
      </c>
      <c r="AH319" s="580">
        <f t="shared" si="408"/>
        <v>-228059763.4919475</v>
      </c>
      <c r="AI319" s="580">
        <f t="shared" si="421"/>
        <v>-100</v>
      </c>
      <c r="AJ319" s="580">
        <f t="shared" si="409"/>
        <v>-183393081.09129608</v>
      </c>
      <c r="AK319" s="580">
        <f>AG319/Z319*100-100</f>
        <v>-100</v>
      </c>
      <c r="AL319" s="580">
        <f>AL309</f>
        <v>0</v>
      </c>
      <c r="AM319" s="580">
        <f t="shared" si="428"/>
        <v>148390734.76748228</v>
      </c>
      <c r="AN319" s="580">
        <f t="shared" si="428"/>
        <v>125855269.94</v>
      </c>
      <c r="AO319" s="580">
        <f t="shared" si="410"/>
        <v>-22535464.827482283</v>
      </c>
      <c r="AP319" s="580">
        <f t="shared" si="423"/>
        <v>-15.186571360262988</v>
      </c>
      <c r="AQ319" s="580">
        <f>AQ309</f>
        <v>107505822.86040799</v>
      </c>
      <c r="AR319" s="580">
        <f>AR309</f>
        <v>105686119.89999999</v>
      </c>
      <c r="AS319" s="580">
        <f>AS309</f>
        <v>40884911.907074302</v>
      </c>
      <c r="AT319" s="580">
        <f>AT309</f>
        <v>20169150.040000003</v>
      </c>
      <c r="AU319" s="580">
        <f t="shared" si="467"/>
        <v>79669028.724465042</v>
      </c>
      <c r="AV319" s="580">
        <f t="shared" si="467"/>
        <v>57537811.151296079</v>
      </c>
      <c r="AW319" s="580">
        <f t="shared" si="411"/>
        <v>-22131217.573168963</v>
      </c>
      <c r="AX319" s="580">
        <f t="shared" si="424"/>
        <v>-27.778947387082724</v>
      </c>
      <c r="AY319" s="580">
        <f t="shared" si="468"/>
        <v>-125855269.94</v>
      </c>
      <c r="AZ319" s="580">
        <f t="shared" si="412"/>
        <v>183393081.09129608</v>
      </c>
      <c r="BA319" s="580">
        <f t="shared" si="425"/>
        <v>-145.71744288397821</v>
      </c>
      <c r="BB319" s="580">
        <f t="shared" ref="BB319:BN319" si="487">BB309</f>
        <v>41434128.808756441</v>
      </c>
      <c r="BC319" s="580">
        <f t="shared" si="487"/>
        <v>25085090.615497839</v>
      </c>
      <c r="BD319" s="580">
        <f t="shared" si="487"/>
        <v>11452801.229999995</v>
      </c>
      <c r="BE319" s="580">
        <f t="shared" si="413"/>
        <v>-29981327.578756444</v>
      </c>
      <c r="BF319" s="580">
        <f t="shared" si="414"/>
        <v>-13632289.385497844</v>
      </c>
      <c r="BG319" s="580">
        <f t="shared" si="398"/>
        <v>189824863.57623872</v>
      </c>
      <c r="BH319" s="580">
        <f t="shared" si="487"/>
        <v>150940360.55549783</v>
      </c>
      <c r="BI319" s="580">
        <f t="shared" si="487"/>
        <v>137308071.16999999</v>
      </c>
      <c r="BJ319" s="580">
        <f t="shared" si="415"/>
        <v>-52516792.406238735</v>
      </c>
      <c r="BK319" s="580">
        <f t="shared" si="416"/>
        <v>-13632289.385497838</v>
      </c>
      <c r="BL319" s="580">
        <f t="shared" si="487"/>
        <v>38234899.915708601</v>
      </c>
      <c r="BM319" s="580">
        <f t="shared" si="487"/>
        <v>32452720.535798237</v>
      </c>
      <c r="BN319" s="580">
        <f t="shared" si="487"/>
        <v>-137308071.16999999</v>
      </c>
      <c r="BO319" s="580">
        <f t="shared" si="426"/>
        <v>-175542971.08570859</v>
      </c>
      <c r="BP319" s="580">
        <f t="shared" si="417"/>
        <v>-169760791.70579821</v>
      </c>
      <c r="BQ319" s="580">
        <f t="shared" ref="BQ319:BS319" si="488">BQ309</f>
        <v>38234899.915708601</v>
      </c>
      <c r="BR319" s="580">
        <f t="shared" si="488"/>
        <v>0</v>
      </c>
      <c r="BS319" s="580">
        <f t="shared" si="488"/>
        <v>0</v>
      </c>
      <c r="BU319" s="580">
        <f t="shared" ref="BU319:BW319" si="489">BU309</f>
        <v>0</v>
      </c>
      <c r="BV319" s="580">
        <f t="shared" si="489"/>
        <v>0</v>
      </c>
      <c r="BW319" s="580">
        <f t="shared" si="489"/>
        <v>0</v>
      </c>
      <c r="BX319" s="581"/>
      <c r="BY319" s="580">
        <f>BY309</f>
        <v>0</v>
      </c>
      <c r="BZ319" s="580">
        <f t="shared" ref="BZ319:CB319" si="490">BZ309</f>
        <v>0</v>
      </c>
      <c r="CA319" s="580">
        <f t="shared" si="490"/>
        <v>0</v>
      </c>
      <c r="CB319" s="580">
        <f t="shared" si="490"/>
        <v>0</v>
      </c>
      <c r="CC319" s="580">
        <f t="shared" si="418"/>
        <v>0</v>
      </c>
      <c r="CD319" s="580"/>
      <c r="CE319" s="580"/>
      <c r="CF319" s="580"/>
      <c r="CG319" s="580"/>
      <c r="CH319" s="580"/>
      <c r="CI319" s="580"/>
      <c r="CJ319" s="580"/>
      <c r="CK319" s="508"/>
      <c r="CL319" s="508"/>
      <c r="CM319" s="510"/>
      <c r="CN319" s="510"/>
      <c r="CO319" s="510"/>
      <c r="CP319" s="582">
        <f>CP309</f>
        <v>182955482.39043942</v>
      </c>
      <c r="CQ319" s="582" t="e">
        <f>CQ309</f>
        <v>#REF!</v>
      </c>
      <c r="CR319" s="582" t="e">
        <f>CR309</f>
        <v>#REF!</v>
      </c>
      <c r="CS319" s="1715"/>
      <c r="CT319" s="1716"/>
      <c r="CU319" s="1716"/>
      <c r="CV319" s="1716"/>
      <c r="CW319" s="1717"/>
      <c r="CX319" s="510"/>
      <c r="CY319" s="510"/>
      <c r="CZ319" s="510"/>
      <c r="DA319" s="510"/>
      <c r="DB319" s="582">
        <f>DB309</f>
        <v>105686119.89999999</v>
      </c>
      <c r="DD319" s="517"/>
      <c r="DE319" s="517"/>
      <c r="DF319" s="580">
        <f t="shared" si="436"/>
        <v>0</v>
      </c>
      <c r="DG319" s="580">
        <f t="shared" si="436"/>
        <v>0</v>
      </c>
      <c r="DH319" s="580">
        <f t="shared" si="436"/>
        <v>0</v>
      </c>
      <c r="DI319" s="580">
        <f t="shared" si="436"/>
        <v>0</v>
      </c>
    </row>
    <row r="320" spans="1:123" s="623" customFormat="1" ht="24.75" customHeight="1">
      <c r="A320" s="683" t="s">
        <v>1270</v>
      </c>
      <c r="B320" s="684"/>
      <c r="C320" s="685"/>
      <c r="D320" s="686"/>
      <c r="E320" s="686"/>
      <c r="F320" s="686"/>
      <c r="G320" s="687">
        <v>341940252.76786846</v>
      </c>
      <c r="H320" s="687"/>
      <c r="I320" s="686"/>
      <c r="J320" s="686"/>
      <c r="K320" s="686"/>
      <c r="L320" s="686"/>
      <c r="M320" s="686"/>
      <c r="N320" s="686"/>
      <c r="O320" s="686"/>
      <c r="P320" s="686"/>
      <c r="Q320" s="686">
        <f t="shared" si="399"/>
        <v>0</v>
      </c>
      <c r="R320" s="686"/>
      <c r="S320" s="686">
        <v>287812533.32999998</v>
      </c>
      <c r="T320" s="686">
        <v>345140297.77159983</v>
      </c>
      <c r="U320" s="686"/>
      <c r="V320" s="686">
        <f t="shared" si="397"/>
        <v>-345140297.77159983</v>
      </c>
      <c r="W320" s="686">
        <f t="shared" si="433"/>
        <v>-100</v>
      </c>
      <c r="X320" s="686">
        <f t="shared" si="401"/>
        <v>0</v>
      </c>
      <c r="Y320" s="686"/>
      <c r="Z320" s="688"/>
      <c r="AA320" s="689">
        <f t="shared" si="404"/>
        <v>-345140297.77159983</v>
      </c>
      <c r="AB320" s="689">
        <f t="shared" si="434"/>
        <v>-100</v>
      </c>
      <c r="AC320" s="689"/>
      <c r="AD320" s="689"/>
      <c r="AE320" s="689">
        <f t="shared" si="406"/>
        <v>0</v>
      </c>
      <c r="AF320" s="689"/>
      <c r="AG320" s="689"/>
      <c r="AH320" s="689"/>
      <c r="AI320" s="689"/>
      <c r="AJ320" s="689"/>
      <c r="AK320" s="689"/>
      <c r="AL320" s="686"/>
      <c r="AM320" s="689"/>
      <c r="AN320" s="689"/>
      <c r="AO320" s="689"/>
      <c r="AP320" s="689"/>
      <c r="AQ320" s="689"/>
      <c r="AR320" s="689"/>
      <c r="AS320" s="689"/>
      <c r="AT320" s="689"/>
      <c r="AU320" s="689">
        <f t="shared" si="467"/>
        <v>0</v>
      </c>
      <c r="AV320" s="689"/>
      <c r="AW320" s="689"/>
      <c r="AX320" s="689"/>
      <c r="AY320" s="689"/>
      <c r="AZ320" s="689">
        <f t="shared" si="412"/>
        <v>0</v>
      </c>
      <c r="BA320" s="689"/>
      <c r="BB320" s="689"/>
      <c r="BC320" s="686"/>
      <c r="BD320" s="686"/>
      <c r="BE320" s="686">
        <f t="shared" si="413"/>
        <v>0</v>
      </c>
      <c r="BF320" s="686">
        <f t="shared" si="414"/>
        <v>0</v>
      </c>
      <c r="BG320" s="686">
        <f t="shared" si="398"/>
        <v>0</v>
      </c>
      <c r="BH320" s="689"/>
      <c r="BI320" s="689"/>
      <c r="BJ320" s="689">
        <f t="shared" si="415"/>
        <v>0</v>
      </c>
      <c r="BK320" s="689">
        <f t="shared" si="416"/>
        <v>0</v>
      </c>
      <c r="BL320" s="686"/>
      <c r="BM320" s="689"/>
      <c r="BN320" s="689"/>
      <c r="BO320" s="689">
        <f t="shared" si="426"/>
        <v>0</v>
      </c>
      <c r="BP320" s="689">
        <f t="shared" si="417"/>
        <v>0</v>
      </c>
      <c r="BQ320" s="686"/>
      <c r="BR320" s="689"/>
      <c r="BS320" s="689"/>
      <c r="BT320" s="621"/>
      <c r="BU320" s="689"/>
      <c r="BV320" s="689"/>
      <c r="BW320" s="689"/>
      <c r="BX320" s="625"/>
      <c r="BY320" s="689"/>
      <c r="BZ320" s="689"/>
      <c r="CA320" s="689"/>
      <c r="CB320" s="689"/>
      <c r="CC320" s="689">
        <f t="shared" si="418"/>
        <v>0</v>
      </c>
      <c r="CD320" s="689"/>
      <c r="CE320" s="689"/>
      <c r="CF320" s="689"/>
      <c r="CG320" s="689"/>
      <c r="CH320" s="689"/>
      <c r="CI320" s="689"/>
      <c r="CJ320" s="689"/>
      <c r="CK320" s="543"/>
      <c r="CL320" s="543"/>
      <c r="CM320" s="622"/>
      <c r="CN320" s="622"/>
      <c r="CO320" s="622"/>
      <c r="CP320" s="690"/>
      <c r="CQ320" s="690"/>
      <c r="CR320" s="690"/>
      <c r="CS320" s="1727"/>
      <c r="CT320" s="1728"/>
      <c r="CU320" s="1728"/>
      <c r="CV320" s="1728"/>
      <c r="CW320" s="1729"/>
      <c r="CX320" s="622"/>
      <c r="CY320" s="622"/>
      <c r="CZ320" s="622"/>
      <c r="DA320" s="622"/>
      <c r="DB320" s="690"/>
      <c r="DD320" s="624"/>
      <c r="DE320" s="624"/>
      <c r="DF320" s="689">
        <f t="shared" si="436"/>
        <v>0</v>
      </c>
      <c r="DG320" s="689">
        <f t="shared" si="436"/>
        <v>0</v>
      </c>
      <c r="DH320" s="689">
        <f t="shared" si="436"/>
        <v>0</v>
      </c>
      <c r="DI320" s="689">
        <f t="shared" si="436"/>
        <v>0</v>
      </c>
      <c r="DJ320" s="621"/>
      <c r="DK320" s="621"/>
      <c r="DL320" s="621"/>
      <c r="DM320" s="621"/>
      <c r="DN320" s="621"/>
      <c r="DO320" s="621"/>
      <c r="DP320" s="621"/>
      <c r="DQ320" s="621"/>
      <c r="DR320" s="621"/>
      <c r="DS320" s="621"/>
    </row>
    <row r="321" spans="1:123" ht="36" customHeight="1">
      <c r="A321" s="1721" t="s">
        <v>1998</v>
      </c>
      <c r="B321" s="1721"/>
      <c r="C321" s="580">
        <f t="shared" ref="C321:P321" si="491">C28+C34</f>
        <v>8147795124.3359995</v>
      </c>
      <c r="D321" s="580">
        <f t="shared" si="491"/>
        <v>7445164898.0980644</v>
      </c>
      <c r="E321" s="580">
        <f t="shared" si="491"/>
        <v>8288122904.1764793</v>
      </c>
      <c r="F321" s="580">
        <f t="shared" si="491"/>
        <v>7997322139.7600002</v>
      </c>
      <c r="G321" s="580">
        <f t="shared" si="491"/>
        <v>5837161755.5767145</v>
      </c>
      <c r="H321" s="580">
        <f t="shared" si="491"/>
        <v>0</v>
      </c>
      <c r="I321" s="580">
        <f t="shared" si="491"/>
        <v>6311854733.6400013</v>
      </c>
      <c r="J321" s="580">
        <f t="shared" si="491"/>
        <v>3014771139.2399998</v>
      </c>
      <c r="K321" s="580">
        <f t="shared" si="491"/>
        <v>1584452549.79</v>
      </c>
      <c r="L321" s="580">
        <f t="shared" si="491"/>
        <v>1712631044.6100001</v>
      </c>
      <c r="M321" s="580">
        <f t="shared" si="491"/>
        <v>4599223689.0300007</v>
      </c>
      <c r="N321" s="580">
        <f t="shared" si="491"/>
        <v>4522685602.5500002</v>
      </c>
      <c r="O321" s="580">
        <f t="shared" si="491"/>
        <v>1798596226.9299998</v>
      </c>
      <c r="P321" s="580">
        <f t="shared" si="491"/>
        <v>6321281829.4799995</v>
      </c>
      <c r="Q321" s="580">
        <f t="shared" si="399"/>
        <v>9427095.8399982452</v>
      </c>
      <c r="R321" s="580">
        <f t="shared" si="400"/>
        <v>0.14935539928946184</v>
      </c>
      <c r="S321" s="580">
        <f>S28+S34</f>
        <v>6167295517.3510056</v>
      </c>
      <c r="T321" s="580">
        <f>T28+T34</f>
        <v>6513347443.0355263</v>
      </c>
      <c r="U321" s="580">
        <f>U28+U34</f>
        <v>6743181123.6267624</v>
      </c>
      <c r="V321" s="580">
        <f t="shared" si="397"/>
        <v>229833680.59123611</v>
      </c>
      <c r="W321" s="580">
        <f t="shared" si="433"/>
        <v>3.5286568481309786</v>
      </c>
      <c r="X321" s="580">
        <f t="shared" si="401"/>
        <v>421899294.14676285</v>
      </c>
      <c r="Y321" s="580">
        <f t="shared" si="402"/>
        <v>6.6742680603036604</v>
      </c>
      <c r="Z321" s="580">
        <f t="shared" si="403"/>
        <v>6828596209.5517445</v>
      </c>
      <c r="AA321" s="580">
        <f t="shared" si="404"/>
        <v>315248766.51621819</v>
      </c>
      <c r="AB321" s="580">
        <f t="shared" si="434"/>
        <v>4.8400422251894781</v>
      </c>
      <c r="AC321" s="580">
        <f t="shared" si="405"/>
        <v>85415085.924982071</v>
      </c>
      <c r="AD321" s="580">
        <f t="shared" si="420"/>
        <v>1.266688293833667</v>
      </c>
      <c r="AE321" s="580">
        <f t="shared" si="406"/>
        <v>507314380.07174492</v>
      </c>
      <c r="AF321" s="580">
        <f t="shared" si="407"/>
        <v>8.025498526356273</v>
      </c>
      <c r="AG321" s="580">
        <f t="shared" si="419"/>
        <v>7005809026.2630005</v>
      </c>
      <c r="AH321" s="580">
        <f t="shared" si="408"/>
        <v>262627902.6362381</v>
      </c>
      <c r="AI321" s="580">
        <f t="shared" si="421"/>
        <v>3.8947182023042899</v>
      </c>
      <c r="AJ321" s="580">
        <f t="shared" si="409"/>
        <v>177212816.71125603</v>
      </c>
      <c r="AK321" s="580">
        <f>AG321/Z321*100-100</f>
        <v>2.5951573540601771</v>
      </c>
      <c r="AL321" s="580">
        <f>AL28+AL34</f>
        <v>7005809026.2630005</v>
      </c>
      <c r="AM321" s="580">
        <f t="shared" si="428"/>
        <v>3393029900.1568923</v>
      </c>
      <c r="AN321" s="580">
        <f t="shared" si="428"/>
        <v>3301002990.8099999</v>
      </c>
      <c r="AO321" s="580">
        <f t="shared" si="410"/>
        <v>-92026909.346892357</v>
      </c>
      <c r="AP321" s="580">
        <f t="shared" si="423"/>
        <v>-2.7122339635921549</v>
      </c>
      <c r="AQ321" s="580">
        <f>AQ28+AQ34</f>
        <v>1845448081.4108405</v>
      </c>
      <c r="AR321" s="580">
        <f>AR28+AR34</f>
        <v>1856660589.52</v>
      </c>
      <c r="AS321" s="580">
        <f>AS28+AS34</f>
        <v>1547581818.7460518</v>
      </c>
      <c r="AT321" s="580">
        <f>AT28+AT34</f>
        <v>1444342401.29</v>
      </c>
      <c r="AU321" s="580">
        <f t="shared" si="467"/>
        <v>3350151223.4698696</v>
      </c>
      <c r="AV321" s="580">
        <f>BC321+BM321</f>
        <v>3527593218.741744</v>
      </c>
      <c r="AW321" s="580">
        <f t="shared" si="411"/>
        <v>177441995.27187443</v>
      </c>
      <c r="AX321" s="580">
        <f t="shared" si="424"/>
        <v>5.2965368855227837</v>
      </c>
      <c r="AY321" s="580">
        <f>BD321+BN321</f>
        <v>3704806035.4530001</v>
      </c>
      <c r="AZ321" s="580">
        <f t="shared" si="412"/>
        <v>-177212816.71125603</v>
      </c>
      <c r="BA321" s="580">
        <f t="shared" si="425"/>
        <v>-4.7833223930058608</v>
      </c>
      <c r="BB321" s="580">
        <f t="shared" ref="BB321:BN321" si="492">BB28+BB34</f>
        <v>1625020889.3096802</v>
      </c>
      <c r="BC321" s="580">
        <f t="shared" si="492"/>
        <v>1739815513.04514</v>
      </c>
      <c r="BD321" s="580">
        <f t="shared" si="492"/>
        <v>1758844622.28</v>
      </c>
      <c r="BE321" s="580">
        <f t="shared" si="413"/>
        <v>133823732.97031975</v>
      </c>
      <c r="BF321" s="580">
        <f t="shared" si="414"/>
        <v>19029109.234859943</v>
      </c>
      <c r="BG321" s="580">
        <f t="shared" si="398"/>
        <v>5018050789.4665728</v>
      </c>
      <c r="BH321" s="580">
        <f t="shared" si="492"/>
        <v>5040818503.8551397</v>
      </c>
      <c r="BI321" s="580">
        <f t="shared" si="492"/>
        <v>5059847613.0900002</v>
      </c>
      <c r="BJ321" s="580">
        <f t="shared" si="415"/>
        <v>41796823.623427391</v>
      </c>
      <c r="BK321" s="580">
        <f t="shared" si="416"/>
        <v>19029109.23486042</v>
      </c>
      <c r="BL321" s="580">
        <f t="shared" si="492"/>
        <v>1725130334.1601896</v>
      </c>
      <c r="BM321" s="580">
        <f t="shared" si="492"/>
        <v>1787777705.6966043</v>
      </c>
      <c r="BN321" s="580">
        <f t="shared" si="492"/>
        <v>1945961413.1729999</v>
      </c>
      <c r="BO321" s="580">
        <f t="shared" si="426"/>
        <v>220831079.01281023</v>
      </c>
      <c r="BP321" s="580">
        <f t="shared" si="417"/>
        <v>158183707.47639561</v>
      </c>
      <c r="BQ321" s="580">
        <f t="shared" ref="BQ321:BS321" si="493">BQ28+BQ34</f>
        <v>1725130334.1601896</v>
      </c>
      <c r="BR321" s="580">
        <f t="shared" si="493"/>
        <v>0</v>
      </c>
      <c r="BS321" s="580">
        <f t="shared" si="493"/>
        <v>0</v>
      </c>
      <c r="BU321" s="580">
        <f>BU28+BU34</f>
        <v>6605350697.6800003</v>
      </c>
      <c r="BV321" s="580">
        <f>BV28+BV34</f>
        <v>400458328.58299994</v>
      </c>
      <c r="BW321" s="580">
        <f>BW307+BW301</f>
        <v>1505009448.0300002</v>
      </c>
      <c r="BX321" s="581"/>
      <c r="BY321" s="580">
        <f>BY28+BY34</f>
        <v>6900400455.54</v>
      </c>
      <c r="BZ321" s="580">
        <f t="shared" ref="BZ321:CB321" si="494">BZ28+BZ34</f>
        <v>71668869.850000009</v>
      </c>
      <c r="CA321" s="580">
        <f t="shared" si="494"/>
        <v>33739700.870000005</v>
      </c>
      <c r="CB321" s="580">
        <f t="shared" si="494"/>
        <v>7005809026.2600002</v>
      </c>
      <c r="CC321" s="580">
        <f t="shared" si="418"/>
        <v>3.0002593994140625E-3</v>
      </c>
      <c r="CD321" s="580"/>
      <c r="CE321" s="580"/>
      <c r="CF321" s="580"/>
      <c r="CG321" s="580"/>
      <c r="CH321" s="580"/>
      <c r="CI321" s="580"/>
      <c r="CJ321" s="580"/>
      <c r="CK321" s="682"/>
      <c r="CL321" s="682"/>
      <c r="CM321" s="510"/>
      <c r="CN321" s="510"/>
      <c r="CO321" s="510"/>
      <c r="CP321" s="582">
        <f>CP28+CP34</f>
        <v>6555924321.4213581</v>
      </c>
      <c r="CQ321" s="582">
        <f>CQ28+CQ34</f>
        <v>160817811.79253244</v>
      </c>
      <c r="CR321" s="582">
        <f>CR28+CR34</f>
        <v>26438990.412871424</v>
      </c>
      <c r="CS321" s="1715"/>
      <c r="CT321" s="1716"/>
      <c r="CU321" s="1716"/>
      <c r="CV321" s="1716"/>
      <c r="CW321" s="1717"/>
      <c r="CX321" s="510"/>
      <c r="CY321" s="510"/>
      <c r="CZ321" s="510"/>
      <c r="DA321" s="510"/>
      <c r="DB321" s="582">
        <f>DB28+DB34</f>
        <v>1856660589.52</v>
      </c>
      <c r="DD321" s="517"/>
      <c r="DE321" s="517"/>
      <c r="DF321" s="580">
        <f t="shared" si="436"/>
        <v>6900400.4555399995</v>
      </c>
      <c r="DG321" s="580">
        <f t="shared" si="436"/>
        <v>71668.869850000003</v>
      </c>
      <c r="DH321" s="580">
        <f t="shared" si="436"/>
        <v>33739.700870000008</v>
      </c>
      <c r="DI321" s="580">
        <f t="shared" si="436"/>
        <v>7005809.0262600007</v>
      </c>
    </row>
    <row r="322" spans="1:123" s="534" customFormat="1">
      <c r="A322" s="691"/>
      <c r="B322" s="679"/>
      <c r="C322" s="585"/>
      <c r="D322" s="585"/>
      <c r="E322" s="585"/>
      <c r="F322" s="692"/>
      <c r="G322" s="693"/>
      <c r="H322" s="693"/>
      <c r="I322" s="692"/>
      <c r="J322" s="692"/>
      <c r="K322" s="692"/>
      <c r="L322" s="692"/>
      <c r="M322" s="692"/>
      <c r="N322" s="692"/>
      <c r="O322" s="692"/>
      <c r="P322" s="692"/>
      <c r="Q322" s="692">
        <f t="shared" si="399"/>
        <v>0</v>
      </c>
      <c r="R322" s="692"/>
      <c r="S322" s="692"/>
      <c r="T322" s="692"/>
      <c r="U322" s="692"/>
      <c r="V322" s="692">
        <f t="shared" si="397"/>
        <v>0</v>
      </c>
      <c r="W322" s="692"/>
      <c r="X322" s="692">
        <f t="shared" si="401"/>
        <v>0</v>
      </c>
      <c r="Y322" s="692"/>
      <c r="Z322" s="694"/>
      <c r="AA322" s="692">
        <f t="shared" si="404"/>
        <v>0</v>
      </c>
      <c r="AB322" s="692" t="e">
        <f t="shared" si="434"/>
        <v>#DIV/0!</v>
      </c>
      <c r="AC322" s="692"/>
      <c r="AD322" s="692"/>
      <c r="AE322" s="692">
        <f t="shared" si="406"/>
        <v>0</v>
      </c>
      <c r="AF322" s="692"/>
      <c r="AG322" s="692"/>
      <c r="AH322" s="692"/>
      <c r="AI322" s="692"/>
      <c r="AJ322" s="692"/>
      <c r="AK322" s="692"/>
      <c r="AL322" s="692"/>
      <c r="AM322" s="692"/>
      <c r="AN322" s="692"/>
      <c r="AO322" s="692"/>
      <c r="AP322" s="692"/>
      <c r="AQ322" s="692"/>
      <c r="AR322" s="692"/>
      <c r="AS322" s="692"/>
      <c r="AT322" s="692"/>
      <c r="AU322" s="692">
        <f t="shared" si="467"/>
        <v>0</v>
      </c>
      <c r="AV322" s="692"/>
      <c r="AW322" s="692">
        <f t="shared" si="411"/>
        <v>0</v>
      </c>
      <c r="AX322" s="692"/>
      <c r="AY322" s="692"/>
      <c r="AZ322" s="692">
        <f t="shared" si="412"/>
        <v>0</v>
      </c>
      <c r="BA322" s="692"/>
      <c r="BB322" s="692"/>
      <c r="BC322" s="695"/>
      <c r="BD322" s="695"/>
      <c r="BE322" s="695">
        <f t="shared" si="413"/>
        <v>0</v>
      </c>
      <c r="BF322" s="695">
        <f t="shared" si="414"/>
        <v>0</v>
      </c>
      <c r="BG322" s="695">
        <f t="shared" si="398"/>
        <v>0</v>
      </c>
      <c r="BH322" s="692"/>
      <c r="BI322" s="692"/>
      <c r="BJ322" s="692">
        <f t="shared" si="415"/>
        <v>0</v>
      </c>
      <c r="BK322" s="692">
        <f t="shared" si="416"/>
        <v>0</v>
      </c>
      <c r="BL322" s="695"/>
      <c r="BM322" s="692"/>
      <c r="BN322" s="692"/>
      <c r="BO322" s="692">
        <f t="shared" si="426"/>
        <v>0</v>
      </c>
      <c r="BP322" s="692">
        <f t="shared" si="417"/>
        <v>0</v>
      </c>
      <c r="BQ322" s="695"/>
      <c r="BR322" s="692"/>
      <c r="BS322" s="692"/>
      <c r="BT322" s="536"/>
      <c r="BU322" s="692"/>
      <c r="BV322" s="692"/>
      <c r="BW322" s="692"/>
      <c r="BX322" s="574"/>
      <c r="BY322" s="692"/>
      <c r="BZ322" s="692"/>
      <c r="CA322" s="692"/>
      <c r="CB322" s="692"/>
      <c r="CC322" s="692">
        <f t="shared" si="418"/>
        <v>0</v>
      </c>
      <c r="CD322" s="692"/>
      <c r="CE322" s="692"/>
      <c r="CF322" s="692"/>
      <c r="CG322" s="692"/>
      <c r="CH322" s="692"/>
      <c r="CI322" s="692"/>
      <c r="CJ322" s="692"/>
      <c r="CK322" s="605"/>
      <c r="CL322" s="605"/>
      <c r="CM322" s="528"/>
      <c r="CN322" s="528"/>
      <c r="CO322" s="528"/>
      <c r="CP322" s="696"/>
      <c r="CQ322" s="696"/>
      <c r="CR322" s="696"/>
      <c r="CS322" s="1744"/>
      <c r="CT322" s="1745"/>
      <c r="CU322" s="1745"/>
      <c r="CV322" s="1745"/>
      <c r="CW322" s="1746"/>
      <c r="CX322" s="528"/>
      <c r="CY322" s="528"/>
      <c r="CZ322" s="528"/>
      <c r="DA322" s="528"/>
      <c r="DB322" s="696"/>
      <c r="DD322" s="535"/>
      <c r="DE322" s="535"/>
      <c r="DF322" s="692">
        <f t="shared" si="436"/>
        <v>0</v>
      </c>
      <c r="DG322" s="692">
        <f t="shared" si="436"/>
        <v>0</v>
      </c>
      <c r="DH322" s="692">
        <f t="shared" si="436"/>
        <v>0</v>
      </c>
      <c r="DI322" s="692">
        <f t="shared" si="436"/>
        <v>0</v>
      </c>
      <c r="DJ322" s="536"/>
      <c r="DK322" s="536"/>
      <c r="DL322" s="536"/>
      <c r="DM322" s="536"/>
      <c r="DN322" s="536"/>
      <c r="DO322" s="536"/>
      <c r="DP322" s="536"/>
      <c r="DQ322" s="536"/>
      <c r="DR322" s="536"/>
      <c r="DS322" s="536"/>
    </row>
    <row r="323" spans="1:123" ht="35.25" customHeight="1">
      <c r="A323" s="1721" t="s">
        <v>1999</v>
      </c>
      <c r="B323" s="1721"/>
      <c r="C323" s="580">
        <f t="shared" ref="C323:P323" si="495">C319+C307+C301+C239</f>
        <v>5238804821.3359995</v>
      </c>
      <c r="D323" s="580">
        <f t="shared" si="495"/>
        <v>3620325852.7041779</v>
      </c>
      <c r="E323" s="580">
        <f t="shared" si="495"/>
        <v>4962487590.1211834</v>
      </c>
      <c r="F323" s="580">
        <f t="shared" si="495"/>
        <v>4749429879.8499994</v>
      </c>
      <c r="G323" s="580">
        <f t="shared" si="495"/>
        <v>3589630233.7346258</v>
      </c>
      <c r="H323" s="580">
        <f t="shared" si="495"/>
        <v>0</v>
      </c>
      <c r="I323" s="580">
        <f t="shared" si="495"/>
        <v>4914270872.4545155</v>
      </c>
      <c r="J323" s="580">
        <f t="shared" si="495"/>
        <v>2388886683.25</v>
      </c>
      <c r="K323" s="580">
        <f t="shared" si="495"/>
        <v>1227347720.5665357</v>
      </c>
      <c r="L323" s="580">
        <f t="shared" si="495"/>
        <v>1298036468.6379793</v>
      </c>
      <c r="M323" s="580">
        <f t="shared" si="495"/>
        <v>3616234403.8165359</v>
      </c>
      <c r="N323" s="580">
        <f t="shared" si="495"/>
        <v>3523074836.0100002</v>
      </c>
      <c r="O323" s="580">
        <f t="shared" si="495"/>
        <v>1382510666.2800002</v>
      </c>
      <c r="P323" s="580">
        <f t="shared" si="495"/>
        <v>4905585502.29</v>
      </c>
      <c r="Q323" s="580">
        <f t="shared" si="399"/>
        <v>-8685370.1645154953</v>
      </c>
      <c r="R323" s="580">
        <f t="shared" si="400"/>
        <v>-0.17673771735292121</v>
      </c>
      <c r="S323" s="580">
        <f>S319+S307+S301+S239</f>
        <v>3800439661.2210593</v>
      </c>
      <c r="T323" s="580">
        <f>T319+T307+T301+T239</f>
        <v>3826951210.1849184</v>
      </c>
      <c r="U323" s="580">
        <f>U319+U307+U301+U239</f>
        <v>4978351619.9634867</v>
      </c>
      <c r="V323" s="580">
        <f t="shared" si="397"/>
        <v>1151400409.7785683</v>
      </c>
      <c r="W323" s="580">
        <f t="shared" si="433"/>
        <v>30.08662369967692</v>
      </c>
      <c r="X323" s="580">
        <f t="shared" si="401"/>
        <v>72766117.67348671</v>
      </c>
      <c r="Y323" s="580">
        <f t="shared" si="402"/>
        <v>1.4833319618936116</v>
      </c>
      <c r="Z323" s="580">
        <f t="shared" si="403"/>
        <v>5232784805.518281</v>
      </c>
      <c r="AA323" s="580">
        <f t="shared" si="404"/>
        <v>1405833595.3333626</v>
      </c>
      <c r="AB323" s="580">
        <f t="shared" si="434"/>
        <v>36.735080175360594</v>
      </c>
      <c r="AC323" s="580">
        <f t="shared" si="405"/>
        <v>254433185.55479431</v>
      </c>
      <c r="AD323" s="580">
        <f t="shared" si="420"/>
        <v>5.1107917836599199</v>
      </c>
      <c r="AE323" s="580">
        <f t="shared" si="406"/>
        <v>327199303.22828102</v>
      </c>
      <c r="AF323" s="580">
        <f t="shared" si="407"/>
        <v>6.6699337535863776</v>
      </c>
      <c r="AG323" s="580">
        <f t="shared" si="419"/>
        <v>5317356219.7530003</v>
      </c>
      <c r="AH323" s="580">
        <f t="shared" si="408"/>
        <v>339004599.78951359</v>
      </c>
      <c r="AI323" s="580">
        <f t="shared" si="421"/>
        <v>6.8095752503717364</v>
      </c>
      <c r="AJ323" s="580">
        <f t="shared" si="409"/>
        <v>84571414.234719276</v>
      </c>
      <c r="AK323" s="580">
        <f>AG323/Z323*100-100</f>
        <v>1.6161836837917321</v>
      </c>
      <c r="AL323" s="580">
        <f>AL319+AL307+AL301+AL239</f>
        <v>5317356219.7530003</v>
      </c>
      <c r="AM323" s="580">
        <f t="shared" si="428"/>
        <v>2501638473.0667157</v>
      </c>
      <c r="AN323" s="580">
        <f t="shared" si="428"/>
        <v>2694771768.4700003</v>
      </c>
      <c r="AO323" s="580">
        <f t="shared" si="410"/>
        <v>193133295.40328455</v>
      </c>
      <c r="AP323" s="580">
        <f t="shared" si="423"/>
        <v>7.7202720330138703</v>
      </c>
      <c r="AQ323" s="580">
        <f>AQ319+AQ307+AQ301+AQ239</f>
        <v>1170894917.8415389</v>
      </c>
      <c r="AR323" s="580">
        <f>AR319+AR307+AR301+AR239</f>
        <v>1228200321.3800001</v>
      </c>
      <c r="AS323" s="580">
        <f>AS319+AS307+AS301+AS239</f>
        <v>1330743555.2251768</v>
      </c>
      <c r="AT323" s="580">
        <f>AT319+AT307+AT301+AT239</f>
        <v>1466571447.0899999</v>
      </c>
      <c r="AU323" s="580">
        <f t="shared" si="467"/>
        <v>2476713146.8967714</v>
      </c>
      <c r="AV323" s="580">
        <f>BC323+BM323</f>
        <v>2538013037.0482807</v>
      </c>
      <c r="AW323" s="580">
        <f t="shared" si="411"/>
        <v>61299890.151509285</v>
      </c>
      <c r="AX323" s="580">
        <f t="shared" si="424"/>
        <v>2.475050056899633</v>
      </c>
      <c r="AY323" s="580">
        <f>BD323+BN323</f>
        <v>2622584451.283</v>
      </c>
      <c r="AZ323" s="580">
        <f t="shared" si="412"/>
        <v>-84571414.234719276</v>
      </c>
      <c r="BA323" s="580">
        <f t="shared" si="425"/>
        <v>-3.2247355921501679</v>
      </c>
      <c r="BB323" s="580">
        <f t="shared" ref="BB323:BN323" si="496">BB319+BB307+BB301+BB239</f>
        <v>1292091823.1495223</v>
      </c>
      <c r="BC323" s="580">
        <f t="shared" si="496"/>
        <v>1296866730.5125723</v>
      </c>
      <c r="BD323" s="580">
        <f t="shared" si="496"/>
        <v>1436108417.5400002</v>
      </c>
      <c r="BE323" s="580">
        <f t="shared" si="413"/>
        <v>144016594.3904779</v>
      </c>
      <c r="BF323" s="580">
        <f t="shared" si="414"/>
        <v>139241687.02742791</v>
      </c>
      <c r="BG323" s="580">
        <f t="shared" si="398"/>
        <v>3793730296.216238</v>
      </c>
      <c r="BH323" s="580">
        <f t="shared" si="496"/>
        <v>3991638498.9825716</v>
      </c>
      <c r="BI323" s="580">
        <f t="shared" si="496"/>
        <v>4130880186.0100007</v>
      </c>
      <c r="BJ323" s="580">
        <f t="shared" si="415"/>
        <v>337149889.79376268</v>
      </c>
      <c r="BK323" s="580">
        <f t="shared" si="416"/>
        <v>139241687.0274291</v>
      </c>
      <c r="BL323" s="580">
        <f t="shared" si="496"/>
        <v>1184621323.7472491</v>
      </c>
      <c r="BM323" s="580">
        <f t="shared" si="496"/>
        <v>1241146306.5357084</v>
      </c>
      <c r="BN323" s="580">
        <f t="shared" si="496"/>
        <v>1186476033.7429998</v>
      </c>
      <c r="BO323" s="580">
        <f t="shared" si="426"/>
        <v>1854709.9957506657</v>
      </c>
      <c r="BP323" s="580">
        <f t="shared" si="417"/>
        <v>-54670272.792708635</v>
      </c>
      <c r="BQ323" s="580">
        <f t="shared" ref="BQ323:BS323" si="497">BQ319+BQ307+BQ301+BQ239</f>
        <v>1184621323.7472491</v>
      </c>
      <c r="BR323" s="580">
        <f t="shared" si="497"/>
        <v>0</v>
      </c>
      <c r="BS323" s="580">
        <f t="shared" si="497"/>
        <v>0</v>
      </c>
      <c r="BU323" s="580"/>
      <c r="BV323" s="580">
        <f t="shared" ref="BV323:BW323" si="498">BV313</f>
        <v>0</v>
      </c>
      <c r="BW323" s="580">
        <f t="shared" si="498"/>
        <v>0</v>
      </c>
      <c r="BX323" s="581"/>
      <c r="BY323" s="580">
        <f>BY319+BY307+BY301+BY239</f>
        <v>5111224483.8822765</v>
      </c>
      <c r="BZ323" s="580">
        <f t="shared" ref="BZ323:CB323" si="499">BZ319+BZ307+BZ301+BZ239</f>
        <v>142553619.61000001</v>
      </c>
      <c r="CA323" s="580">
        <f t="shared" si="499"/>
        <v>63578116.25999999</v>
      </c>
      <c r="CB323" s="580">
        <f t="shared" si="499"/>
        <v>5317356219.7522755</v>
      </c>
      <c r="CC323" s="580">
        <f t="shared" si="418"/>
        <v>7.2479248046875E-4</v>
      </c>
      <c r="CD323" s="580"/>
      <c r="CE323" s="580"/>
      <c r="CF323" s="580"/>
      <c r="CG323" s="580"/>
      <c r="CH323" s="580"/>
      <c r="CI323" s="580"/>
      <c r="CJ323" s="580"/>
      <c r="CK323" s="682"/>
      <c r="CL323" s="682"/>
      <c r="CM323" s="510"/>
      <c r="CN323" s="510"/>
      <c r="CO323" s="510"/>
      <c r="CP323" s="582">
        <f>CP319+CP307+CP301+CP239</f>
        <v>4664792969.7462349</v>
      </c>
      <c r="CQ323" s="582" t="e">
        <f>CQ319+CQ307+CQ301+CQ239</f>
        <v>#REF!</v>
      </c>
      <c r="CR323" s="582" t="e">
        <f>CR319+CR307+CR301+CR239</f>
        <v>#REF!</v>
      </c>
      <c r="CS323" s="1715"/>
      <c r="CT323" s="1716"/>
      <c r="CU323" s="1716"/>
      <c r="CV323" s="1716"/>
      <c r="CW323" s="1717"/>
      <c r="CX323" s="510"/>
      <c r="CY323" s="510"/>
      <c r="CZ323" s="510"/>
      <c r="DA323" s="510"/>
      <c r="DB323" s="582">
        <f>DB319+DB307+DB301+DB239</f>
        <v>1228200321.3800001</v>
      </c>
      <c r="DD323" s="517"/>
      <c r="DE323" s="517"/>
      <c r="DF323" s="580">
        <f t="shared" si="436"/>
        <v>5111224.4838822763</v>
      </c>
      <c r="DG323" s="580">
        <f t="shared" si="436"/>
        <v>142553.61961000002</v>
      </c>
      <c r="DH323" s="580">
        <f t="shared" si="436"/>
        <v>63578.116259999988</v>
      </c>
      <c r="DI323" s="580">
        <f t="shared" si="436"/>
        <v>5317356.2197522754</v>
      </c>
    </row>
    <row r="324" spans="1:123" s="534" customFormat="1">
      <c r="A324" s="697"/>
      <c r="B324" s="698"/>
      <c r="C324" s="699"/>
      <c r="D324" s="689"/>
      <c r="E324" s="689"/>
      <c r="F324" s="689"/>
      <c r="G324" s="700"/>
      <c r="H324" s="700"/>
      <c r="I324" s="689"/>
      <c r="J324" s="689"/>
      <c r="K324" s="689"/>
      <c r="L324" s="689"/>
      <c r="M324" s="689"/>
      <c r="N324" s="689"/>
      <c r="O324" s="689"/>
      <c r="P324" s="689"/>
      <c r="Q324" s="689">
        <f t="shared" si="399"/>
        <v>0</v>
      </c>
      <c r="R324" s="689"/>
      <c r="S324" s="689"/>
      <c r="T324" s="689"/>
      <c r="U324" s="689"/>
      <c r="V324" s="689">
        <f t="shared" si="397"/>
        <v>0</v>
      </c>
      <c r="W324" s="689"/>
      <c r="X324" s="689">
        <f t="shared" si="401"/>
        <v>0</v>
      </c>
      <c r="Y324" s="689"/>
      <c r="Z324" s="688"/>
      <c r="AA324" s="689">
        <f t="shared" si="404"/>
        <v>0</v>
      </c>
      <c r="AB324" s="689" t="e">
        <f t="shared" si="434"/>
        <v>#DIV/0!</v>
      </c>
      <c r="AC324" s="689"/>
      <c r="AD324" s="689"/>
      <c r="AE324" s="689">
        <f t="shared" si="406"/>
        <v>0</v>
      </c>
      <c r="AF324" s="689"/>
      <c r="AG324" s="689"/>
      <c r="AH324" s="689"/>
      <c r="AI324" s="689"/>
      <c r="AJ324" s="689"/>
      <c r="AK324" s="689"/>
      <c r="AL324" s="689"/>
      <c r="AM324" s="689"/>
      <c r="AN324" s="689"/>
      <c r="AO324" s="689"/>
      <c r="AP324" s="689"/>
      <c r="AQ324" s="689"/>
      <c r="AR324" s="689"/>
      <c r="AS324" s="689"/>
      <c r="AT324" s="689"/>
      <c r="AU324" s="689">
        <f t="shared" si="467"/>
        <v>0</v>
      </c>
      <c r="AV324" s="689"/>
      <c r="AW324" s="689"/>
      <c r="AX324" s="689"/>
      <c r="AY324" s="689"/>
      <c r="AZ324" s="689">
        <f t="shared" si="412"/>
        <v>0</v>
      </c>
      <c r="BA324" s="689"/>
      <c r="BB324" s="689"/>
      <c r="BC324" s="686"/>
      <c r="BD324" s="686"/>
      <c r="BE324" s="686">
        <f t="shared" si="413"/>
        <v>0</v>
      </c>
      <c r="BF324" s="686">
        <f t="shared" si="414"/>
        <v>0</v>
      </c>
      <c r="BG324" s="686">
        <f t="shared" si="398"/>
        <v>0</v>
      </c>
      <c r="BH324" s="689"/>
      <c r="BI324" s="689"/>
      <c r="BJ324" s="689">
        <f t="shared" si="415"/>
        <v>0</v>
      </c>
      <c r="BK324" s="689">
        <f t="shared" si="416"/>
        <v>0</v>
      </c>
      <c r="BL324" s="686"/>
      <c r="BM324" s="689"/>
      <c r="BN324" s="689"/>
      <c r="BO324" s="689">
        <f t="shared" si="426"/>
        <v>0</v>
      </c>
      <c r="BP324" s="689">
        <f t="shared" si="417"/>
        <v>0</v>
      </c>
      <c r="BQ324" s="686"/>
      <c r="BR324" s="689"/>
      <c r="BS324" s="689"/>
      <c r="BT324" s="536"/>
      <c r="BU324" s="689"/>
      <c r="BV324" s="689"/>
      <c r="BW324" s="689"/>
      <c r="BX324" s="574"/>
      <c r="BY324" s="689"/>
      <c r="BZ324" s="689"/>
      <c r="CA324" s="689"/>
      <c r="CB324" s="689"/>
      <c r="CC324" s="689"/>
      <c r="CD324" s="689"/>
      <c r="CE324" s="689"/>
      <c r="CF324" s="689"/>
      <c r="CG324" s="689"/>
      <c r="CH324" s="689"/>
      <c r="CI324" s="689"/>
      <c r="CJ324" s="689"/>
      <c r="CK324" s="605"/>
      <c r="CL324" s="605"/>
      <c r="CM324" s="528"/>
      <c r="CN324" s="528"/>
      <c r="CO324" s="528"/>
      <c r="CP324" s="701"/>
      <c r="CQ324" s="701"/>
      <c r="CR324" s="701"/>
      <c r="CS324" s="1722"/>
      <c r="CT324" s="1723"/>
      <c r="CU324" s="1723"/>
      <c r="CV324" s="1723"/>
      <c r="CW324" s="1724"/>
      <c r="CX324" s="528"/>
      <c r="CY324" s="528"/>
      <c r="CZ324" s="528"/>
      <c r="DA324" s="528"/>
      <c r="DB324" s="701"/>
      <c r="DD324" s="535"/>
      <c r="DE324" s="535"/>
      <c r="DF324" s="689">
        <f t="shared" si="436"/>
        <v>0</v>
      </c>
      <c r="DG324" s="689">
        <f t="shared" si="436"/>
        <v>0</v>
      </c>
      <c r="DH324" s="689">
        <f t="shared" si="436"/>
        <v>0</v>
      </c>
      <c r="DI324" s="689">
        <f t="shared" si="436"/>
        <v>0</v>
      </c>
      <c r="DJ324" s="536"/>
      <c r="DK324" s="536"/>
      <c r="DL324" s="536"/>
      <c r="DM324" s="536"/>
      <c r="DN324" s="536"/>
      <c r="DO324" s="536"/>
      <c r="DP324" s="536"/>
      <c r="DQ324" s="536"/>
      <c r="DR324" s="536"/>
      <c r="DS324" s="536"/>
    </row>
    <row r="325" spans="1:123" ht="42" customHeight="1">
      <c r="A325" s="1721" t="s">
        <v>2000</v>
      </c>
      <c r="B325" s="1721"/>
      <c r="C325" s="580">
        <f>C5-C28-C34-C241-C303-C309</f>
        <v>226883861.33400053</v>
      </c>
      <c r="D325" s="580">
        <v>1059865060.2947531</v>
      </c>
      <c r="E325" s="580">
        <f>E5-E28-E34-E241-E303-E309</f>
        <v>316522091.52881664</v>
      </c>
      <c r="F325" s="580">
        <f>F5-F28-F34-F241-F303-F309</f>
        <v>294606233.59999996</v>
      </c>
      <c r="G325" s="580">
        <f>G5-G28-G34-G241-G303-G309-G320</f>
        <v>64196800.857505739</v>
      </c>
      <c r="H325" s="580">
        <f t="shared" ref="H325:P325" si="500">H5-H28-H34-H241-H303-H309</f>
        <v>0</v>
      </c>
      <c r="I325" s="580">
        <f t="shared" si="500"/>
        <v>91140747.608058736</v>
      </c>
      <c r="J325" s="702">
        <f t="shared" si="500"/>
        <v>36939763.670000613</v>
      </c>
      <c r="K325" s="580">
        <f t="shared" si="500"/>
        <v>76478635.896142527</v>
      </c>
      <c r="L325" s="580">
        <f t="shared" si="500"/>
        <v>-22277651.958083451</v>
      </c>
      <c r="M325" s="580">
        <f t="shared" si="500"/>
        <v>113418399.56614219</v>
      </c>
      <c r="N325" s="580">
        <f t="shared" si="500"/>
        <v>68407667.619999871</v>
      </c>
      <c r="O325" s="580">
        <f t="shared" si="500"/>
        <v>193905612.4099997</v>
      </c>
      <c r="P325" s="702">
        <f t="shared" si="500"/>
        <v>262313280.03000182</v>
      </c>
      <c r="Q325" s="580">
        <f t="shared" si="399"/>
        <v>171172532.42194307</v>
      </c>
      <c r="R325" s="580">
        <f t="shared" si="400"/>
        <v>187.81120071348624</v>
      </c>
      <c r="S325" s="580">
        <f>S5-S28-S34-S241-S303-S309-S320</f>
        <v>69018846.127390444</v>
      </c>
      <c r="T325" s="580">
        <f>T5-T28-T34-T241-T303-T309-T320</f>
        <v>336598640.83139211</v>
      </c>
      <c r="U325" s="594">
        <f>U5-U28-U34-U241-U303-U309</f>
        <v>214926516.01517358</v>
      </c>
      <c r="V325" s="702">
        <f>U325-T325</f>
        <v>-121672124.81621853</v>
      </c>
      <c r="W325" s="702">
        <f t="shared" si="433"/>
        <v>-36.147538954908057</v>
      </c>
      <c r="X325" s="702">
        <f t="shared" si="401"/>
        <v>-47386764.014828235</v>
      </c>
      <c r="Y325" s="702">
        <f t="shared" si="402"/>
        <v>-18.064950432325972</v>
      </c>
      <c r="Z325" s="580">
        <f>Z5-Z28-Z34-Z241-Z303-Z309</f>
        <v>114473944.73368847</v>
      </c>
      <c r="AA325" s="580">
        <f t="shared" si="404"/>
        <v>-222124696.09770364</v>
      </c>
      <c r="AB325" s="580">
        <f t="shared" si="434"/>
        <v>-65.990966436780596</v>
      </c>
      <c r="AC325" s="580">
        <f t="shared" si="405"/>
        <v>-100452571.28148511</v>
      </c>
      <c r="AD325" s="580">
        <f t="shared" si="420"/>
        <v>-46.738100604763567</v>
      </c>
      <c r="AE325" s="580">
        <f t="shared" si="406"/>
        <v>-147839335.29631335</v>
      </c>
      <c r="AF325" s="580">
        <f t="shared" si="407"/>
        <v>-56.359836329828347</v>
      </c>
      <c r="AG325" s="580">
        <f t="shared" si="419"/>
        <v>231014398.57699993</v>
      </c>
      <c r="AH325" s="580">
        <f t="shared" si="408"/>
        <v>16087882.561826348</v>
      </c>
      <c r="AI325" s="580">
        <f t="shared" si="421"/>
        <v>7.4852944439347482</v>
      </c>
      <c r="AJ325" s="580">
        <f t="shared" si="409"/>
        <v>116540453.84331146</v>
      </c>
      <c r="AK325" s="580">
        <f>AG325/Z325*100-100</f>
        <v>101.80522224024907</v>
      </c>
      <c r="AL325" s="594">
        <f>AL5-AL28-AL34-AL241-AL303-AL309</f>
        <v>231014398.57699823</v>
      </c>
      <c r="AM325" s="580">
        <f t="shared" si="428"/>
        <v>120374915.06651913</v>
      </c>
      <c r="AN325" s="580">
        <f t="shared" si="428"/>
        <v>64996690.700000137</v>
      </c>
      <c r="AO325" s="580">
        <f t="shared" si="410"/>
        <v>-55378224.366518989</v>
      </c>
      <c r="AP325" s="580">
        <f t="shared" si="423"/>
        <v>-46.004787904454183</v>
      </c>
      <c r="AQ325" s="580">
        <f>AQ5-AQ28-AQ34-AQ241-AQ303-AQ309</f>
        <v>260268.16003192961</v>
      </c>
      <c r="AR325" s="580">
        <f>AR5-AR28-AR34-AR241-AR303-AR309</f>
        <v>8150256.6389832646</v>
      </c>
      <c r="AS325" s="580">
        <f>AS5-AS28-AS34-AS241-AS303-AS309</f>
        <v>120114646.9064872</v>
      </c>
      <c r="AT325" s="580">
        <f>AT5-AT28-AT34-AT241-AT303-AT309</f>
        <v>56846434.061016873</v>
      </c>
      <c r="AU325" s="580">
        <f t="shared" ref="AU325" si="501">BB325+BL325</f>
        <v>94551600.948653549</v>
      </c>
      <c r="AV325" s="580">
        <f>BC325+BM325</f>
        <v>49477254.03368789</v>
      </c>
      <c r="AW325" s="580">
        <f t="shared" si="411"/>
        <v>-45074346.914965659</v>
      </c>
      <c r="AX325" s="580">
        <f t="shared" si="424"/>
        <v>-47.671690867977347</v>
      </c>
      <c r="AY325" s="580">
        <f>BD325+BN325</f>
        <v>166017707.8769998</v>
      </c>
      <c r="AZ325" s="580">
        <f t="shared" si="412"/>
        <v>-116540453.84331191</v>
      </c>
      <c r="BA325" s="580">
        <f t="shared" si="425"/>
        <v>-70.197604420400211</v>
      </c>
      <c r="BB325" s="580">
        <f t="shared" ref="BB325:BN325" si="502">BB5-BB28-BB34-BB241-BB303-BB309</f>
        <v>48409630.173525661</v>
      </c>
      <c r="BC325" s="580">
        <f t="shared" si="502"/>
        <v>38052026.907291278</v>
      </c>
      <c r="BD325" s="580">
        <f t="shared" si="502"/>
        <v>20417492.859999441</v>
      </c>
      <c r="BE325" s="580">
        <f t="shared" si="413"/>
        <v>-27992137.313526221</v>
      </c>
      <c r="BF325" s="580">
        <f t="shared" si="414"/>
        <v>-17634534.047291838</v>
      </c>
      <c r="BG325" s="580">
        <f t="shared" si="398"/>
        <v>168784545.24004477</v>
      </c>
      <c r="BH325" s="580">
        <f t="shared" si="502"/>
        <v>103048717.6072914</v>
      </c>
      <c r="BI325" s="580">
        <f>BI5-BI28-BI34-BI241-BI303-BI309</f>
        <v>85414183.559999555</v>
      </c>
      <c r="BJ325" s="580">
        <f t="shared" si="415"/>
        <v>-83370361.680045217</v>
      </c>
      <c r="BK325" s="580">
        <f t="shared" si="416"/>
        <v>-17634534.047291845</v>
      </c>
      <c r="BL325" s="580">
        <f t="shared" si="502"/>
        <v>46141970.775127888</v>
      </c>
      <c r="BM325" s="580">
        <f t="shared" si="502"/>
        <v>11425227.126396611</v>
      </c>
      <c r="BN325" s="580">
        <f t="shared" si="502"/>
        <v>145600215.01700035</v>
      </c>
      <c r="BO325" s="580">
        <f t="shared" si="426"/>
        <v>99458244.24187246</v>
      </c>
      <c r="BP325" s="580">
        <f t="shared" si="417"/>
        <v>134174987.89060374</v>
      </c>
      <c r="BQ325" s="580">
        <f t="shared" ref="BQ325:BS325" si="503">BQ5-BQ28-BQ34-BQ241-BQ303-BQ309</f>
        <v>46141970.775127888</v>
      </c>
      <c r="BR325" s="580">
        <f t="shared" si="503"/>
        <v>0</v>
      </c>
      <c r="BS325" s="580">
        <f t="shared" si="503"/>
        <v>0</v>
      </c>
      <c r="BU325" s="594"/>
      <c r="BV325" s="580"/>
      <c r="BW325" s="580"/>
      <c r="BX325" s="703"/>
      <c r="BY325" s="594">
        <f>BY5-BY28-BY34-BY241-BY303-BY309</f>
        <v>-61273425.802276134</v>
      </c>
      <c r="BZ325" s="594">
        <f t="shared" ref="BZ325:CB325" si="504">BZ5-BZ28-BZ34-BZ241-BZ303-BZ309</f>
        <v>226107900.55999994</v>
      </c>
      <c r="CA325" s="594">
        <f t="shared" si="504"/>
        <v>66179923.820000023</v>
      </c>
      <c r="CB325" s="594">
        <f t="shared" si="504"/>
        <v>231014398.57772303</v>
      </c>
      <c r="CC325" s="594"/>
      <c r="CD325" s="580"/>
      <c r="CE325" s="580"/>
      <c r="CF325" s="580"/>
      <c r="CG325" s="580"/>
      <c r="CH325" s="580"/>
      <c r="CI325" s="580"/>
      <c r="CJ325" s="580"/>
      <c r="CK325" s="682"/>
      <c r="CL325" s="682"/>
      <c r="CM325" s="510"/>
      <c r="CN325" s="510"/>
      <c r="CO325" s="510"/>
      <c r="CP325" s="704">
        <f>CP5-CP28-CP34-CP241-CP303-CP309</f>
        <v>99829788.180964321</v>
      </c>
      <c r="CQ325" s="704" t="e">
        <f>CQ5-CQ28-CQ34-CQ241-CQ303-CQ309</f>
        <v>#REF!</v>
      </c>
      <c r="CR325" s="704" t="e">
        <f>CR5-CR28-CR34-CR241-CR303-CR309</f>
        <v>#REF!</v>
      </c>
      <c r="CS325" s="1757"/>
      <c r="CT325" s="1758"/>
      <c r="CU325" s="1758"/>
      <c r="CV325" s="1758"/>
      <c r="CW325" s="1759"/>
      <c r="CX325" s="510"/>
      <c r="CY325" s="510"/>
      <c r="CZ325" s="510"/>
      <c r="DA325" s="510"/>
      <c r="DB325" s="704">
        <f>DB5-DB28-DB34-DB241-DB303-DB309</f>
        <v>8150256.6389832646</v>
      </c>
      <c r="DD325" s="517"/>
      <c r="DE325" s="517"/>
      <c r="DF325" s="594">
        <f t="shared" si="436"/>
        <v>-61273.425802276135</v>
      </c>
      <c r="DG325" s="594">
        <f t="shared" si="436"/>
        <v>226107.90055999995</v>
      </c>
      <c r="DH325" s="594">
        <f t="shared" si="436"/>
        <v>66179.923820000025</v>
      </c>
      <c r="DI325" s="594">
        <f t="shared" si="436"/>
        <v>231014.39857772301</v>
      </c>
    </row>
    <row r="326" spans="1:123" s="534" customFormat="1" ht="112.95" customHeight="1">
      <c r="A326" s="705"/>
      <c r="B326" s="706"/>
      <c r="C326" s="707"/>
      <c r="D326" s="708"/>
      <c r="E326" s="708"/>
      <c r="F326" s="708"/>
      <c r="G326" s="709"/>
      <c r="H326" s="709"/>
      <c r="I326" s="708"/>
      <c r="J326" s="708"/>
      <c r="K326" s="708"/>
      <c r="L326" s="708"/>
      <c r="M326" s="708"/>
      <c r="N326" s="708"/>
      <c r="O326" s="708"/>
      <c r="P326" s="708"/>
      <c r="Q326" s="708"/>
      <c r="R326" s="708"/>
      <c r="S326" s="708"/>
      <c r="T326" s="708"/>
      <c r="U326" s="710"/>
      <c r="V326" s="710"/>
      <c r="W326" s="710"/>
      <c r="X326" s="710"/>
      <c r="Y326" s="710"/>
      <c r="Z326" s="711">
        <f>AN326+AV326</f>
        <v>0</v>
      </c>
      <c r="AA326" s="710"/>
      <c r="AB326" s="710"/>
      <c r="AC326" s="710"/>
      <c r="AD326" s="710"/>
      <c r="AE326" s="710"/>
      <c r="AF326" s="710"/>
      <c r="AG326" s="708"/>
      <c r="AH326" s="710"/>
      <c r="AI326" s="710"/>
      <c r="AJ326" s="710"/>
      <c r="AK326" s="710"/>
      <c r="AL326" s="710"/>
      <c r="AM326" s="710"/>
      <c r="AN326" s="710"/>
      <c r="AO326" s="710"/>
      <c r="AP326" s="710"/>
      <c r="AQ326" s="710"/>
      <c r="AR326" s="710"/>
      <c r="AS326" s="710"/>
      <c r="AT326" s="710"/>
      <c r="AU326" s="710"/>
      <c r="AV326" s="710"/>
      <c r="AW326" s="710"/>
      <c r="AX326" s="710"/>
      <c r="AY326" s="710"/>
      <c r="AZ326" s="710"/>
      <c r="BA326" s="710"/>
      <c r="BB326" s="710"/>
      <c r="BC326" s="710"/>
      <c r="BD326" s="710"/>
      <c r="BE326" s="710"/>
      <c r="BF326" s="710"/>
      <c r="BG326" s="710"/>
      <c r="BH326" s="708"/>
      <c r="BI326" s="708"/>
      <c r="BJ326" s="708"/>
      <c r="BK326" s="708"/>
      <c r="BL326" s="708"/>
      <c r="BM326" s="708"/>
      <c r="BN326" s="710"/>
      <c r="BO326" s="708"/>
      <c r="BP326" s="708"/>
      <c r="BQ326" s="708"/>
      <c r="BR326" s="708"/>
      <c r="BS326" s="710"/>
      <c r="BT326" s="536"/>
      <c r="BU326" s="712"/>
      <c r="BV326" s="712"/>
      <c r="BW326" s="712"/>
      <c r="BX326" s="574"/>
      <c r="BY326" s="713"/>
      <c r="BZ326" s="713"/>
      <c r="CA326" s="713"/>
      <c r="CB326" s="713"/>
      <c r="CC326" s="713"/>
      <c r="CD326" s="710"/>
      <c r="CE326" s="710"/>
      <c r="CF326" s="710"/>
      <c r="CG326" s="710"/>
      <c r="CH326" s="710"/>
      <c r="CI326" s="710"/>
      <c r="CJ326" s="710"/>
      <c r="CK326" s="587"/>
      <c r="CL326" s="587"/>
      <c r="CS326" s="536"/>
      <c r="CT326" s="536"/>
      <c r="CU326" s="536"/>
      <c r="CV326" s="536"/>
      <c r="CW326" s="536"/>
      <c r="DD326" s="535"/>
      <c r="DE326" s="535"/>
      <c r="DF326" s="1078">
        <f>DF5-DF28-DF34-DF241</f>
        <v>-61273.425802276004</v>
      </c>
      <c r="DG326" s="713"/>
      <c r="DH326" s="713"/>
      <c r="DI326" s="713"/>
      <c r="DJ326" s="536"/>
      <c r="DK326" s="536"/>
      <c r="DL326" s="536"/>
      <c r="DM326" s="536"/>
      <c r="DN326" s="536"/>
      <c r="DO326" s="536"/>
      <c r="DP326" s="536"/>
      <c r="DQ326" s="536"/>
      <c r="DR326" s="536"/>
      <c r="DS326" s="536"/>
    </row>
    <row r="327" spans="1:123" ht="14.25" customHeight="1">
      <c r="A327" s="1760" t="s">
        <v>2001</v>
      </c>
      <c r="B327" s="1760"/>
      <c r="C327" s="714"/>
      <c r="D327" s="712"/>
      <c r="E327" s="712"/>
      <c r="F327" s="712"/>
      <c r="G327" s="715"/>
      <c r="H327" s="715"/>
      <c r="I327" s="712"/>
      <c r="J327" s="712"/>
      <c r="K327" s="712"/>
      <c r="L327" s="712"/>
      <c r="M327" s="712"/>
      <c r="N327" s="712"/>
      <c r="O327" s="712"/>
      <c r="P327" s="712">
        <f>P5-P28-P34-P241</f>
        <v>285941963.09000182</v>
      </c>
      <c r="Q327" s="712">
        <f>Q5-Q28-Q34-Q241</f>
        <v>138391272.95942736</v>
      </c>
      <c r="R327" s="712"/>
      <c r="S327" s="712">
        <f>S5-S28-S34-S241</f>
        <v>384840186.22744453</v>
      </c>
      <c r="T327" s="712">
        <f>T5-T28-T34-T241</f>
        <v>776633787.53284395</v>
      </c>
      <c r="U327" s="712">
        <f>U5-U28-U34-U241</f>
        <v>442986279.50712109</v>
      </c>
      <c r="V327" s="712"/>
      <c r="W327" s="712"/>
      <c r="X327" s="712"/>
      <c r="Y327" s="712"/>
      <c r="Z327" s="716">
        <f>AN327+AV327</f>
        <v>0</v>
      </c>
      <c r="AA327" s="712"/>
      <c r="AB327" s="712"/>
      <c r="AC327" s="712"/>
      <c r="AD327" s="712"/>
      <c r="AE327" s="712"/>
      <c r="AF327" s="712"/>
      <c r="AG327" s="712"/>
      <c r="AH327" s="712"/>
      <c r="AI327" s="712"/>
      <c r="AJ327" s="712"/>
      <c r="AK327" s="712"/>
      <c r="AL327" s="712"/>
      <c r="AM327" s="712"/>
      <c r="AN327" s="712"/>
      <c r="AO327" s="712"/>
      <c r="AP327" s="712"/>
      <c r="AQ327" s="712"/>
      <c r="AR327" s="712"/>
      <c r="AS327" s="712"/>
      <c r="AT327" s="712"/>
      <c r="AU327" s="712"/>
      <c r="AV327" s="712"/>
      <c r="AW327" s="712"/>
      <c r="AX327" s="712"/>
      <c r="AY327" s="712"/>
      <c r="AZ327" s="712"/>
      <c r="BA327" s="712"/>
      <c r="BB327" s="712"/>
      <c r="BC327" s="713"/>
      <c r="BD327" s="713"/>
      <c r="BE327" s="713"/>
      <c r="BF327" s="713"/>
      <c r="BG327" s="713"/>
      <c r="BH327" s="712"/>
      <c r="BI327" s="712"/>
      <c r="BJ327" s="712"/>
      <c r="BK327" s="712"/>
      <c r="BL327" s="712"/>
      <c r="BM327" s="712"/>
      <c r="BN327" s="712"/>
      <c r="BO327" s="712"/>
      <c r="BP327" s="712"/>
      <c r="BQ327" s="712"/>
      <c r="BR327" s="712"/>
      <c r="BS327" s="712"/>
      <c r="BU327" s="712"/>
      <c r="BV327" s="712"/>
      <c r="BW327" s="712"/>
      <c r="BY327" s="710"/>
      <c r="BZ327" s="710"/>
      <c r="CA327" s="710"/>
      <c r="CB327" s="710"/>
      <c r="CC327" s="710"/>
      <c r="CD327" s="712"/>
      <c r="CE327" s="712"/>
      <c r="CF327" s="712"/>
      <c r="CG327" s="712"/>
      <c r="CH327" s="712"/>
      <c r="CI327" s="712"/>
      <c r="CJ327" s="712"/>
      <c r="CK327" s="712">
        <f>CK5-CK28-CK34-CK241</f>
        <v>0</v>
      </c>
      <c r="CL327" s="712">
        <f>CL5-CL28-CL34-CL241</f>
        <v>0</v>
      </c>
      <c r="DD327" s="517"/>
      <c r="DE327" s="517"/>
      <c r="DF327" s="710"/>
      <c r="DG327" s="710"/>
      <c r="DH327" s="710"/>
      <c r="DI327" s="710"/>
    </row>
    <row r="328" spans="1:123" s="534" customFormat="1" ht="17.25" customHeight="1">
      <c r="A328" s="717"/>
      <c r="B328" s="528"/>
      <c r="C328" s="718"/>
      <c r="D328" s="712"/>
      <c r="E328" s="712"/>
      <c r="F328" s="712"/>
      <c r="G328" s="712"/>
      <c r="H328" s="712"/>
      <c r="I328" s="712"/>
      <c r="J328" s="712"/>
      <c r="K328" s="712"/>
      <c r="L328" s="712"/>
      <c r="M328" s="712"/>
      <c r="N328" s="712">
        <f>N5-N28-N34-N241</f>
        <v>92897123.509999871</v>
      </c>
      <c r="O328" s="712"/>
      <c r="P328" s="712">
        <f>P34+P28</f>
        <v>6321281829.4799995</v>
      </c>
      <c r="Q328" s="712">
        <f>Q34+Q28</f>
        <v>9427095.8399991989</v>
      </c>
      <c r="R328" s="712"/>
      <c r="S328" s="712">
        <f>S34+S28</f>
        <v>6167295517.3510056</v>
      </c>
      <c r="T328" s="712">
        <f>T34+T28</f>
        <v>6513347443.0355263</v>
      </c>
      <c r="U328" s="712">
        <f>U34+U28</f>
        <v>6743181123.6267624</v>
      </c>
      <c r="V328" s="712"/>
      <c r="W328" s="712"/>
      <c r="X328" s="712"/>
      <c r="Y328" s="712"/>
      <c r="Z328" s="716"/>
      <c r="AA328" s="712"/>
      <c r="AB328" s="712"/>
      <c r="AC328" s="712"/>
      <c r="AD328" s="712"/>
      <c r="AE328" s="712"/>
      <c r="AF328" s="712"/>
      <c r="AG328" s="712"/>
      <c r="AH328" s="712"/>
      <c r="AI328" s="712"/>
      <c r="AJ328" s="712"/>
      <c r="AK328" s="712"/>
      <c r="AL328" s="712"/>
      <c r="AM328" s="712"/>
      <c r="AN328" s="712"/>
      <c r="AO328" s="712"/>
      <c r="AP328" s="712"/>
      <c r="AQ328" s="712"/>
      <c r="AR328" s="712"/>
      <c r="AS328" s="712"/>
      <c r="AT328" s="712"/>
      <c r="AU328" s="712"/>
      <c r="AV328" s="712"/>
      <c r="AW328" s="712"/>
      <c r="AX328" s="712"/>
      <c r="AY328" s="712"/>
      <c r="AZ328" s="712"/>
      <c r="BA328" s="712"/>
      <c r="BB328" s="712"/>
      <c r="BC328" s="713"/>
      <c r="BD328" s="713"/>
      <c r="BE328" s="713"/>
      <c r="BF328" s="713"/>
      <c r="BG328" s="713"/>
      <c r="BH328" s="712"/>
      <c r="BI328" s="712"/>
      <c r="BJ328" s="712"/>
      <c r="BK328" s="712"/>
      <c r="BL328" s="712"/>
      <c r="BM328" s="712"/>
      <c r="BN328" s="712"/>
      <c r="BO328" s="712"/>
      <c r="BP328" s="712"/>
      <c r="BQ328" s="712"/>
      <c r="BR328" s="712"/>
      <c r="BS328" s="712"/>
      <c r="BT328" s="536"/>
      <c r="BU328" s="712"/>
      <c r="BV328" s="712"/>
      <c r="BW328" s="712"/>
      <c r="BX328" s="574"/>
      <c r="BY328" s="712"/>
      <c r="BZ328" s="712"/>
      <c r="CA328" s="712"/>
      <c r="CB328" s="712"/>
      <c r="CC328" s="712"/>
      <c r="CD328" s="712"/>
      <c r="CE328" s="712"/>
      <c r="CF328" s="712"/>
      <c r="CG328" s="712"/>
      <c r="CH328" s="712"/>
      <c r="CI328" s="712"/>
      <c r="CJ328" s="712"/>
      <c r="CK328" s="712">
        <f>CK34+CK28</f>
        <v>0</v>
      </c>
      <c r="CL328" s="712">
        <f>CL34+CL28</f>
        <v>0</v>
      </c>
      <c r="CS328" s="536"/>
      <c r="CT328" s="536"/>
      <c r="CU328" s="536"/>
      <c r="CV328" s="536"/>
      <c r="CW328" s="536"/>
      <c r="DD328" s="535"/>
      <c r="DE328" s="535"/>
      <c r="DF328" s="712"/>
      <c r="DG328" s="712"/>
      <c r="DH328" s="712"/>
      <c r="DI328" s="712"/>
      <c r="DJ328" s="536"/>
      <c r="DK328" s="536"/>
      <c r="DL328" s="536"/>
      <c r="DM328" s="536"/>
      <c r="DN328" s="536"/>
      <c r="DO328" s="536"/>
      <c r="DP328" s="536"/>
      <c r="DQ328" s="536"/>
      <c r="DR328" s="536"/>
      <c r="DS328" s="536"/>
    </row>
    <row r="329" spans="1:123" ht="16.5" customHeight="1">
      <c r="A329" s="1761" t="s">
        <v>2002</v>
      </c>
      <c r="B329" s="1761"/>
      <c r="C329" s="719"/>
      <c r="D329" s="713">
        <v>4530576792.5341778</v>
      </c>
      <c r="E329" s="712"/>
      <c r="F329" s="712"/>
      <c r="G329" s="712"/>
      <c r="H329" s="712"/>
      <c r="I329" s="712"/>
      <c r="J329" s="712"/>
      <c r="K329" s="712"/>
      <c r="L329" s="712"/>
      <c r="M329" s="712"/>
      <c r="N329" s="712"/>
      <c r="O329" s="712"/>
      <c r="P329" s="712">
        <f>P5-P28-P34-P241-P309</f>
        <v>271638963.09000182</v>
      </c>
      <c r="Q329" s="712">
        <f>Q5-Q28-Q34-Q241-Q309</f>
        <v>174720538.64194214</v>
      </c>
      <c r="R329" s="712"/>
      <c r="S329" s="712">
        <f>S5-S28-S34-S241-S309</f>
        <v>356831379.45739043</v>
      </c>
      <c r="T329" s="712">
        <f>T5-T28-T34-T241-T309</f>
        <v>681738938.60299194</v>
      </c>
      <c r="U329" s="712"/>
      <c r="V329" s="712"/>
      <c r="W329" s="712"/>
      <c r="X329" s="712"/>
      <c r="Y329" s="712"/>
      <c r="Z329" s="716"/>
      <c r="AA329" s="712"/>
      <c r="AB329" s="712"/>
      <c r="AC329" s="712"/>
      <c r="AD329" s="712"/>
      <c r="AE329" s="712"/>
      <c r="AF329" s="712"/>
      <c r="AG329" s="712"/>
      <c r="AH329" s="712"/>
      <c r="AI329" s="712"/>
      <c r="AJ329" s="712"/>
      <c r="AK329" s="712"/>
      <c r="AL329" s="712"/>
      <c r="AM329" s="712"/>
      <c r="AN329" s="712"/>
      <c r="AO329" s="712"/>
      <c r="AP329" s="712"/>
      <c r="AQ329" s="712"/>
      <c r="AR329" s="712"/>
      <c r="AS329" s="712"/>
      <c r="AT329" s="712"/>
      <c r="AU329" s="712"/>
      <c r="AV329" s="712"/>
      <c r="AW329" s="712"/>
      <c r="AX329" s="712"/>
      <c r="AY329" s="712"/>
      <c r="AZ329" s="712"/>
      <c r="BA329" s="712"/>
      <c r="BB329" s="712"/>
      <c r="BC329" s="713"/>
      <c r="BD329" s="713"/>
      <c r="BE329" s="713"/>
      <c r="BF329" s="713"/>
      <c r="BG329" s="713"/>
      <c r="BH329" s="712"/>
      <c r="BI329" s="712"/>
      <c r="BJ329" s="712"/>
      <c r="BK329" s="712"/>
      <c r="BL329" s="712"/>
      <c r="BM329" s="712"/>
      <c r="BN329" s="712"/>
      <c r="BO329" s="712"/>
      <c r="BP329" s="712"/>
      <c r="BQ329" s="712"/>
      <c r="BR329" s="712"/>
      <c r="BS329" s="712"/>
      <c r="BU329" s="720"/>
      <c r="BV329" s="720"/>
      <c r="BW329" s="720"/>
      <c r="BY329" s="712"/>
      <c r="BZ329" s="712"/>
      <c r="CA329" s="712"/>
      <c r="CB329" s="712"/>
      <c r="CC329" s="712"/>
      <c r="CD329" s="712"/>
      <c r="CE329" s="712"/>
      <c r="CF329" s="712"/>
      <c r="CG329" s="712"/>
      <c r="CH329" s="712"/>
      <c r="CI329" s="712"/>
      <c r="CJ329" s="712"/>
      <c r="CK329" s="712">
        <f>CK5-CK28-CK34-CK241-CK309</f>
        <v>0</v>
      </c>
      <c r="CL329" s="712">
        <f>CL5-CL28-CL34-CL241-CL309</f>
        <v>0</v>
      </c>
      <c r="DD329" s="517"/>
      <c r="DE329" s="517"/>
      <c r="DF329" s="712"/>
      <c r="DG329" s="712"/>
      <c r="DH329" s="712"/>
      <c r="DI329" s="712"/>
    </row>
    <row r="330" spans="1:123" ht="17.25" customHeight="1">
      <c r="A330" s="1762" t="s">
        <v>2003</v>
      </c>
      <c r="B330" s="1763"/>
      <c r="C330" s="509"/>
      <c r="D330" s="713">
        <v>414629919.19</v>
      </c>
      <c r="E330" s="721"/>
      <c r="F330" s="721"/>
      <c r="G330" s="713"/>
      <c r="H330" s="713"/>
      <c r="I330" s="721"/>
      <c r="J330" s="721"/>
      <c r="K330" s="721"/>
      <c r="L330" s="721"/>
      <c r="M330" s="721"/>
      <c r="N330" s="721"/>
      <c r="O330" s="721"/>
      <c r="P330" s="721"/>
      <c r="Q330" s="721"/>
      <c r="R330" s="721"/>
      <c r="S330" s="721"/>
      <c r="T330" s="721"/>
      <c r="U330" s="713"/>
      <c r="V330" s="713"/>
      <c r="W330" s="713"/>
      <c r="X330" s="713"/>
      <c r="Y330" s="713"/>
      <c r="Z330" s="716"/>
      <c r="AA330" s="713"/>
      <c r="AB330" s="713"/>
      <c r="AC330" s="713"/>
      <c r="AD330" s="713"/>
      <c r="AE330" s="713"/>
      <c r="AF330" s="713"/>
      <c r="AG330" s="712"/>
      <c r="AH330" s="713"/>
      <c r="AI330" s="713"/>
      <c r="AJ330" s="713"/>
      <c r="AK330" s="713"/>
      <c r="AL330" s="713"/>
      <c r="AM330" s="713"/>
      <c r="AN330" s="713"/>
      <c r="AO330" s="713"/>
      <c r="AP330" s="713"/>
      <c r="AQ330" s="713"/>
      <c r="AR330" s="713"/>
      <c r="AS330" s="713"/>
      <c r="AT330" s="713"/>
      <c r="AU330" s="713"/>
      <c r="AV330" s="713"/>
      <c r="AW330" s="713"/>
      <c r="AX330" s="713"/>
      <c r="AY330" s="713"/>
      <c r="AZ330" s="713"/>
      <c r="BA330" s="713"/>
      <c r="BB330" s="713"/>
      <c r="BC330" s="713"/>
      <c r="BD330" s="713"/>
      <c r="BE330" s="713"/>
      <c r="BF330" s="713"/>
      <c r="BG330" s="713"/>
      <c r="BH330" s="712"/>
      <c r="BI330" s="712"/>
      <c r="BJ330" s="712"/>
      <c r="BK330" s="712"/>
      <c r="BL330" s="712"/>
      <c r="BM330" s="712"/>
      <c r="BN330" s="713"/>
      <c r="BO330" s="712"/>
      <c r="BP330" s="712"/>
      <c r="BQ330" s="712"/>
      <c r="BR330" s="712"/>
      <c r="BS330" s="713"/>
      <c r="BU330" s="722"/>
      <c r="BV330" s="722"/>
      <c r="BW330" s="722"/>
      <c r="BY330" s="712"/>
      <c r="BZ330" s="712"/>
      <c r="CA330" s="712"/>
      <c r="CB330" s="712"/>
      <c r="CC330" s="712"/>
      <c r="CD330" s="713"/>
      <c r="CE330" s="713"/>
      <c r="CF330" s="713"/>
      <c r="CG330" s="713"/>
      <c r="CH330" s="713"/>
      <c r="CI330" s="713"/>
      <c r="CJ330" s="713"/>
      <c r="CK330" s="723"/>
      <c r="CL330" s="723"/>
      <c r="DD330" s="517"/>
      <c r="DE330" s="517"/>
      <c r="DF330" s="712"/>
      <c r="DG330" s="712"/>
      <c r="DH330" s="712"/>
      <c r="DI330" s="712"/>
    </row>
    <row r="331" spans="1:123" ht="27.75" customHeight="1">
      <c r="A331" s="1747" t="s">
        <v>2004</v>
      </c>
      <c r="B331" s="1748"/>
      <c r="C331" s="724"/>
      <c r="D331" s="725">
        <v>22823285.300000001</v>
      </c>
      <c r="E331" s="726"/>
      <c r="F331" s="726"/>
      <c r="G331" s="722"/>
      <c r="H331" s="722"/>
      <c r="I331" s="726"/>
      <c r="J331" s="726"/>
      <c r="K331" s="726"/>
      <c r="L331" s="726"/>
      <c r="M331" s="726"/>
      <c r="N331" s="726"/>
      <c r="O331" s="726"/>
      <c r="P331" s="726"/>
      <c r="Q331" s="726"/>
      <c r="R331" s="726"/>
      <c r="S331" s="726"/>
      <c r="T331" s="726"/>
      <c r="U331" s="722"/>
      <c r="V331" s="722"/>
      <c r="W331" s="722"/>
      <c r="X331" s="722"/>
      <c r="Y331" s="722"/>
      <c r="Z331" s="727"/>
      <c r="AA331" s="722"/>
      <c r="AB331" s="722"/>
      <c r="AC331" s="722"/>
      <c r="AD331" s="722"/>
      <c r="AE331" s="722"/>
      <c r="AF331" s="722"/>
      <c r="AG331" s="728"/>
      <c r="AH331" s="722"/>
      <c r="AI331" s="722"/>
      <c r="AJ331" s="722"/>
      <c r="AK331" s="722"/>
      <c r="AL331" s="722"/>
      <c r="AM331" s="722"/>
      <c r="AN331" s="722"/>
      <c r="AO331" s="722"/>
      <c r="AP331" s="722"/>
      <c r="AQ331" s="722"/>
      <c r="AR331" s="722"/>
      <c r="AS331" s="722"/>
      <c r="AT331" s="722"/>
      <c r="AU331" s="722"/>
      <c r="AV331" s="722"/>
      <c r="AW331" s="722"/>
      <c r="AX331" s="722"/>
      <c r="AY331" s="722"/>
      <c r="AZ331" s="722"/>
      <c r="BA331" s="722"/>
      <c r="BB331" s="722"/>
      <c r="BC331" s="722"/>
      <c r="BD331" s="722"/>
      <c r="BE331" s="722"/>
      <c r="BF331" s="722"/>
      <c r="BG331" s="722"/>
      <c r="BH331" s="728"/>
      <c r="BI331" s="728"/>
      <c r="BJ331" s="728"/>
      <c r="BK331" s="728"/>
      <c r="BL331" s="728"/>
      <c r="BM331" s="728"/>
      <c r="BN331" s="722"/>
      <c r="BO331" s="728"/>
      <c r="BP331" s="728"/>
      <c r="BQ331" s="728"/>
      <c r="BR331" s="728"/>
      <c r="BS331" s="722"/>
      <c r="BU331" s="710"/>
      <c r="BV331" s="710"/>
      <c r="BW331" s="710"/>
      <c r="BY331" s="713"/>
      <c r="BZ331" s="713"/>
      <c r="CA331" s="713"/>
      <c r="CB331" s="713"/>
      <c r="CC331" s="713"/>
      <c r="CD331" s="722"/>
      <c r="CE331" s="722"/>
      <c r="CF331" s="722"/>
      <c r="CG331" s="722"/>
      <c r="CH331" s="722"/>
      <c r="CI331" s="722"/>
      <c r="CJ331" s="722"/>
      <c r="CK331" s="729"/>
      <c r="CL331" s="729"/>
      <c r="DD331" s="517"/>
      <c r="DE331" s="517"/>
      <c r="DF331" s="713"/>
      <c r="DG331" s="713"/>
      <c r="DH331" s="713"/>
      <c r="DI331" s="713"/>
    </row>
    <row r="332" spans="1:123" ht="34.5" customHeight="1">
      <c r="A332" s="1747" t="s">
        <v>2005</v>
      </c>
      <c r="B332" s="1748"/>
      <c r="C332" s="724"/>
      <c r="D332" s="722">
        <v>40740057.969999999</v>
      </c>
      <c r="E332" s="726"/>
      <c r="F332" s="726"/>
      <c r="G332" s="722"/>
      <c r="H332" s="722"/>
      <c r="I332" s="726"/>
      <c r="J332" s="726"/>
      <c r="K332" s="726"/>
      <c r="L332" s="726"/>
      <c r="M332" s="726"/>
      <c r="N332" s="726"/>
      <c r="O332" s="726"/>
      <c r="P332" s="726"/>
      <c r="Q332" s="726"/>
      <c r="R332" s="726"/>
      <c r="S332" s="726"/>
      <c r="T332" s="726"/>
      <c r="U332" s="722"/>
      <c r="V332" s="722"/>
      <c r="W332" s="722"/>
      <c r="X332" s="722"/>
      <c r="Y332" s="722"/>
      <c r="Z332" s="727"/>
      <c r="AA332" s="722"/>
      <c r="AB332" s="722"/>
      <c r="AC332" s="722"/>
      <c r="AD332" s="722"/>
      <c r="AE332" s="722"/>
      <c r="AF332" s="722"/>
      <c r="AG332" s="728"/>
      <c r="AH332" s="722"/>
      <c r="AI332" s="722"/>
      <c r="AJ332" s="722"/>
      <c r="AK332" s="722"/>
      <c r="AL332" s="722"/>
      <c r="AM332" s="722"/>
      <c r="AN332" s="722"/>
      <c r="AO332" s="722"/>
      <c r="AP332" s="722"/>
      <c r="AQ332" s="722"/>
      <c r="AR332" s="722"/>
      <c r="AS332" s="722"/>
      <c r="AT332" s="722"/>
      <c r="AU332" s="722"/>
      <c r="AV332" s="722"/>
      <c r="AW332" s="722"/>
      <c r="AX332" s="722"/>
      <c r="AY332" s="722"/>
      <c r="AZ332" s="722"/>
      <c r="BA332" s="722"/>
      <c r="BB332" s="722"/>
      <c r="BC332" s="722"/>
      <c r="BD332" s="722"/>
      <c r="BE332" s="722"/>
      <c r="BF332" s="722"/>
      <c r="BG332" s="722"/>
      <c r="BH332" s="728"/>
      <c r="BI332" s="728"/>
      <c r="BJ332" s="728"/>
      <c r="BK332" s="728"/>
      <c r="BL332" s="728"/>
      <c r="BM332" s="728"/>
      <c r="BN332" s="722"/>
      <c r="BO332" s="728"/>
      <c r="BP332" s="728"/>
      <c r="BQ332" s="728"/>
      <c r="BR332" s="728"/>
      <c r="BS332" s="722"/>
      <c r="BU332" s="712"/>
      <c r="BV332" s="712"/>
      <c r="BW332" s="712"/>
      <c r="BY332" s="722"/>
      <c r="BZ332" s="722"/>
      <c r="CA332" s="722"/>
      <c r="CB332" s="722"/>
      <c r="CC332" s="722"/>
      <c r="CD332" s="722"/>
      <c r="CE332" s="722"/>
      <c r="CF332" s="722"/>
      <c r="CG332" s="722"/>
      <c r="CH332" s="722"/>
      <c r="CI332" s="722"/>
      <c r="CJ332" s="722"/>
      <c r="CK332" s="729"/>
      <c r="CL332" s="729"/>
      <c r="DD332" s="517"/>
      <c r="DE332" s="517"/>
      <c r="DF332" s="722"/>
      <c r="DG332" s="722"/>
      <c r="DH332" s="722"/>
      <c r="DI332" s="722"/>
    </row>
    <row r="333" spans="1:123" ht="17.25" customHeight="1">
      <c r="A333" s="1747" t="s">
        <v>2006</v>
      </c>
      <c r="B333" s="1748"/>
      <c r="C333" s="724"/>
      <c r="D333" s="722">
        <v>4737062.67</v>
      </c>
      <c r="E333" s="726"/>
      <c r="F333" s="726"/>
      <c r="G333" s="722"/>
      <c r="H333" s="722"/>
      <c r="I333" s="726"/>
      <c r="J333" s="726"/>
      <c r="K333" s="726"/>
      <c r="L333" s="726"/>
      <c r="M333" s="726"/>
      <c r="N333" s="726"/>
      <c r="O333" s="726"/>
      <c r="P333" s="726"/>
      <c r="Q333" s="726"/>
      <c r="R333" s="726"/>
      <c r="S333" s="726"/>
      <c r="T333" s="726"/>
      <c r="U333" s="722"/>
      <c r="V333" s="722"/>
      <c r="W333" s="722"/>
      <c r="X333" s="722"/>
      <c r="Y333" s="722"/>
      <c r="Z333" s="727"/>
      <c r="AA333" s="722"/>
      <c r="AB333" s="722"/>
      <c r="AC333" s="722"/>
      <c r="AD333" s="722"/>
      <c r="AE333" s="722"/>
      <c r="AF333" s="722"/>
      <c r="AG333" s="728"/>
      <c r="AH333" s="722"/>
      <c r="AI333" s="722"/>
      <c r="AJ333" s="722"/>
      <c r="AK333" s="722"/>
      <c r="AL333" s="722"/>
      <c r="AM333" s="722"/>
      <c r="AN333" s="730"/>
      <c r="AO333" s="722"/>
      <c r="AP333" s="722"/>
      <c r="AQ333" s="722"/>
      <c r="AR333" s="722"/>
      <c r="AS333" s="722"/>
      <c r="AT333" s="722"/>
      <c r="AU333" s="722"/>
      <c r="AV333" s="722"/>
      <c r="AW333" s="722"/>
      <c r="AX333" s="722"/>
      <c r="AY333" s="722"/>
      <c r="AZ333" s="722"/>
      <c r="BA333" s="722"/>
      <c r="BB333" s="722"/>
      <c r="BC333" s="722"/>
      <c r="BD333" s="722"/>
      <c r="BE333" s="722"/>
      <c r="BF333" s="722"/>
      <c r="BG333" s="722"/>
      <c r="BH333" s="728"/>
      <c r="BI333" s="728"/>
      <c r="BJ333" s="728"/>
      <c r="BK333" s="728"/>
      <c r="BL333" s="728"/>
      <c r="BM333" s="728"/>
      <c r="BN333" s="722"/>
      <c r="BO333" s="728"/>
      <c r="BP333" s="728"/>
      <c r="BQ333" s="728"/>
      <c r="BR333" s="728"/>
      <c r="BS333" s="722"/>
      <c r="BU333" s="712"/>
      <c r="BV333" s="712"/>
      <c r="BW333" s="712"/>
      <c r="BY333" s="722"/>
      <c r="BZ333" s="722"/>
      <c r="CA333" s="722"/>
      <c r="CB333" s="722"/>
      <c r="CC333" s="722"/>
      <c r="CD333" s="722"/>
      <c r="CE333" s="722"/>
      <c r="CF333" s="722"/>
      <c r="CG333" s="722"/>
      <c r="CH333" s="722"/>
      <c r="CI333" s="722"/>
      <c r="CJ333" s="722"/>
      <c r="CK333" s="731"/>
      <c r="CL333" s="731"/>
      <c r="DD333" s="517"/>
      <c r="DE333" s="517"/>
      <c r="DF333" s="722"/>
      <c r="DG333" s="722"/>
      <c r="DH333" s="722"/>
      <c r="DI333" s="722"/>
    </row>
    <row r="334" spans="1:123" ht="16.5" customHeight="1">
      <c r="A334" s="1749"/>
      <c r="B334" s="1750"/>
      <c r="C334" s="724"/>
      <c r="D334" s="726"/>
      <c r="E334" s="726"/>
      <c r="F334" s="726"/>
      <c r="G334" s="722"/>
      <c r="H334" s="722"/>
      <c r="I334" s="726"/>
      <c r="J334" s="726"/>
      <c r="K334" s="726"/>
      <c r="L334" s="726"/>
      <c r="M334" s="726"/>
      <c r="N334" s="726"/>
      <c r="O334" s="726"/>
      <c r="P334" s="726"/>
      <c r="Q334" s="726"/>
      <c r="R334" s="726"/>
      <c r="S334" s="726"/>
      <c r="T334" s="726"/>
      <c r="U334" s="722"/>
      <c r="V334" s="722"/>
      <c r="W334" s="722"/>
      <c r="X334" s="722"/>
      <c r="Y334" s="722"/>
      <c r="Z334" s="727"/>
      <c r="AA334" s="722"/>
      <c r="AB334" s="722"/>
      <c r="AC334" s="722"/>
      <c r="AD334" s="722"/>
      <c r="AE334" s="722"/>
      <c r="AF334" s="722"/>
      <c r="AG334" s="728"/>
      <c r="AH334" s="722"/>
      <c r="AI334" s="722"/>
      <c r="AJ334" s="722"/>
      <c r="AK334" s="722"/>
      <c r="AL334" s="722"/>
      <c r="AM334" s="722"/>
      <c r="AN334" s="722"/>
      <c r="AO334" s="722"/>
      <c r="AP334" s="722"/>
      <c r="AQ334" s="722"/>
      <c r="AR334" s="722"/>
      <c r="AS334" s="722"/>
      <c r="AT334" s="722"/>
      <c r="AU334" s="722"/>
      <c r="AV334" s="722"/>
      <c r="AW334" s="722"/>
      <c r="AX334" s="722"/>
      <c r="AY334" s="722"/>
      <c r="AZ334" s="722"/>
      <c r="BA334" s="722"/>
      <c r="BB334" s="722"/>
      <c r="BC334" s="722"/>
      <c r="BD334" s="722"/>
      <c r="BE334" s="722"/>
      <c r="BF334" s="722"/>
      <c r="BG334" s="722"/>
      <c r="BH334" s="728"/>
      <c r="BI334" s="728"/>
      <c r="BJ334" s="728"/>
      <c r="BK334" s="728"/>
      <c r="BL334" s="728"/>
      <c r="BM334" s="728"/>
      <c r="BN334" s="722"/>
      <c r="BO334" s="728"/>
      <c r="BP334" s="728"/>
      <c r="BQ334" s="728"/>
      <c r="BR334" s="728"/>
      <c r="BS334" s="722"/>
      <c r="BU334" s="712"/>
      <c r="BV334" s="712"/>
      <c r="BW334" s="712"/>
      <c r="BY334" s="722"/>
      <c r="BZ334" s="722"/>
      <c r="CA334" s="722"/>
      <c r="CB334" s="722"/>
      <c r="CC334" s="722"/>
      <c r="CD334" s="722"/>
      <c r="CE334" s="722"/>
      <c r="CF334" s="722"/>
      <c r="CG334" s="722"/>
      <c r="CH334" s="722"/>
      <c r="CI334" s="722"/>
      <c r="CJ334" s="722"/>
      <c r="CK334" s="732"/>
      <c r="CL334" s="732"/>
      <c r="DD334" s="517"/>
      <c r="DE334" s="517"/>
      <c r="DF334" s="722"/>
      <c r="DG334" s="722"/>
      <c r="DH334" s="722"/>
      <c r="DI334" s="722"/>
    </row>
    <row r="335" spans="1:123" ht="15.75" customHeight="1">
      <c r="A335" s="1751" t="s">
        <v>2007</v>
      </c>
      <c r="B335" s="1752"/>
      <c r="C335" s="510"/>
      <c r="D335" s="713">
        <v>1053806806.41</v>
      </c>
      <c r="E335" s="721"/>
      <c r="F335" s="721"/>
      <c r="G335" s="713"/>
      <c r="H335" s="713"/>
      <c r="I335" s="721"/>
      <c r="J335" s="721"/>
      <c r="K335" s="721"/>
      <c r="L335" s="721"/>
      <c r="M335" s="721"/>
      <c r="N335" s="721"/>
      <c r="O335" s="721"/>
      <c r="P335" s="721"/>
      <c r="Q335" s="721"/>
      <c r="R335" s="721"/>
      <c r="S335" s="721"/>
      <c r="T335" s="721"/>
      <c r="U335" s="713"/>
      <c r="V335" s="713"/>
      <c r="W335" s="713"/>
      <c r="X335" s="713"/>
      <c r="Y335" s="713"/>
      <c r="Z335" s="716"/>
      <c r="AA335" s="713"/>
      <c r="AB335" s="713"/>
      <c r="AC335" s="713"/>
      <c r="AD335" s="713"/>
      <c r="AE335" s="713"/>
      <c r="AF335" s="713"/>
      <c r="AG335" s="712"/>
      <c r="AH335" s="713"/>
      <c r="AI335" s="713"/>
      <c r="AJ335" s="713"/>
      <c r="AK335" s="713"/>
      <c r="AL335" s="713"/>
      <c r="AM335" s="713"/>
      <c r="AN335" s="713"/>
      <c r="AO335" s="713"/>
      <c r="AP335" s="713"/>
      <c r="AQ335" s="713"/>
      <c r="AR335" s="713"/>
      <c r="AS335" s="713"/>
      <c r="AT335" s="713"/>
      <c r="AU335" s="713"/>
      <c r="AV335" s="713"/>
      <c r="AW335" s="713"/>
      <c r="AX335" s="713"/>
      <c r="AY335" s="713"/>
      <c r="AZ335" s="713"/>
      <c r="BA335" s="713"/>
      <c r="BB335" s="713"/>
      <c r="BC335" s="713"/>
      <c r="BD335" s="713"/>
      <c r="BE335" s="713"/>
      <c r="BF335" s="713"/>
      <c r="BG335" s="713"/>
      <c r="BH335" s="712"/>
      <c r="BI335" s="712"/>
      <c r="BJ335" s="712"/>
      <c r="BK335" s="712"/>
      <c r="BL335" s="712"/>
      <c r="BM335" s="712"/>
      <c r="BN335" s="713"/>
      <c r="BO335" s="712"/>
      <c r="BP335" s="712"/>
      <c r="BQ335" s="712"/>
      <c r="BR335" s="712"/>
      <c r="BS335" s="713"/>
      <c r="BU335" s="720"/>
      <c r="BV335" s="720"/>
      <c r="BW335" s="720"/>
      <c r="BY335" s="722"/>
      <c r="BZ335" s="722"/>
      <c r="CA335" s="722"/>
      <c r="CB335" s="722"/>
      <c r="CC335" s="722"/>
      <c r="CD335" s="713"/>
      <c r="CE335" s="713"/>
      <c r="CF335" s="713"/>
      <c r="CG335" s="713"/>
      <c r="CH335" s="713"/>
      <c r="CI335" s="713"/>
      <c r="CJ335" s="713"/>
      <c r="CK335" s="543"/>
      <c r="CL335" s="543"/>
      <c r="DF335" s="722"/>
      <c r="DG335" s="722"/>
      <c r="DH335" s="722"/>
      <c r="DI335" s="722"/>
    </row>
    <row r="336" spans="1:123" ht="17.25" customHeight="1">
      <c r="A336" s="733"/>
      <c r="B336" s="734"/>
      <c r="C336" s="735"/>
      <c r="E336" s="736">
        <v>4962487590.1211834</v>
      </c>
      <c r="G336" s="736">
        <f>G28+G34</f>
        <v>5837161755.5767145</v>
      </c>
      <c r="I336" s="736">
        <f t="shared" ref="I336:Q336" si="505">I5</f>
        <v>7413495620.6225748</v>
      </c>
      <c r="J336" s="736">
        <f t="shared" si="505"/>
        <v>3567351462.3600006</v>
      </c>
      <c r="K336" s="736">
        <f t="shared" si="505"/>
        <v>1860199430.2326782</v>
      </c>
      <c r="L336" s="736">
        <f t="shared" si="505"/>
        <v>1985944728.029896</v>
      </c>
      <c r="M336" s="736">
        <f t="shared" si="505"/>
        <v>5427550892.5926781</v>
      </c>
      <c r="N336" s="736">
        <f t="shared" si="505"/>
        <v>5325104653.9400005</v>
      </c>
      <c r="O336" s="736">
        <f t="shared" si="505"/>
        <v>2387596905.2299995</v>
      </c>
      <c r="P336" s="736">
        <f t="shared" si="505"/>
        <v>7712701559.170001</v>
      </c>
      <c r="Q336" s="736">
        <f t="shared" si="505"/>
        <v>299205938.54742622</v>
      </c>
      <c r="S336" s="736">
        <f>S5</f>
        <v>6745604540.6784496</v>
      </c>
      <c r="BH336" s="738"/>
      <c r="BI336" s="738"/>
      <c r="BJ336" s="738"/>
      <c r="BK336" s="738"/>
      <c r="BO336" s="738"/>
      <c r="BP336" s="738"/>
      <c r="BU336" s="722"/>
      <c r="BV336" s="722"/>
      <c r="BW336" s="722"/>
      <c r="BY336" s="713"/>
      <c r="BZ336" s="713"/>
      <c r="CA336" s="713"/>
      <c r="CB336" s="713"/>
      <c r="CC336" s="713"/>
      <c r="CK336" s="740"/>
      <c r="CL336" s="740"/>
      <c r="DF336" s="713"/>
      <c r="DG336" s="713"/>
      <c r="DH336" s="713"/>
      <c r="DI336" s="713"/>
    </row>
    <row r="337" spans="1:123" ht="17.25" customHeight="1">
      <c r="A337" s="741" t="s">
        <v>2008</v>
      </c>
      <c r="C337" s="628"/>
      <c r="D337" s="628"/>
      <c r="E337" s="628"/>
      <c r="F337" s="628"/>
      <c r="G337" s="628"/>
      <c r="H337" s="628"/>
      <c r="I337" s="736">
        <f t="shared" ref="I337:Q337" si="506">I28+I34+I241+I303+I309</f>
        <v>7322354873.0145168</v>
      </c>
      <c r="J337" s="736">
        <f t="shared" si="506"/>
        <v>3530411698.6900001</v>
      </c>
      <c r="K337" s="736">
        <f t="shared" si="506"/>
        <v>1783720794.3365355</v>
      </c>
      <c r="L337" s="736">
        <f t="shared" si="506"/>
        <v>2008222379.9879792</v>
      </c>
      <c r="M337" s="736">
        <f t="shared" si="506"/>
        <v>5314132493.0265369</v>
      </c>
      <c r="N337" s="736">
        <f t="shared" si="506"/>
        <v>5256696986.3200006</v>
      </c>
      <c r="O337" s="736">
        <f t="shared" si="506"/>
        <v>2193691292.8199997</v>
      </c>
      <c r="P337" s="736">
        <f t="shared" si="506"/>
        <v>7450388279.1399994</v>
      </c>
      <c r="Q337" s="736">
        <f t="shared" si="506"/>
        <v>128033406.12548409</v>
      </c>
      <c r="S337" s="736">
        <f>S28+S34+S241+S303+S309</f>
        <v>6388773161.2210598</v>
      </c>
      <c r="BH337" s="738"/>
      <c r="BI337" s="738"/>
      <c r="BJ337" s="738"/>
      <c r="BK337" s="738"/>
      <c r="BO337" s="738"/>
      <c r="BP337" s="738"/>
      <c r="BU337" s="722"/>
      <c r="BV337" s="722"/>
      <c r="BW337" s="722"/>
      <c r="BY337" s="713"/>
      <c r="BZ337" s="713"/>
      <c r="CA337" s="713"/>
      <c r="CB337" s="713"/>
      <c r="CC337" s="713"/>
      <c r="DF337" s="713"/>
      <c r="DG337" s="713"/>
      <c r="DH337" s="713"/>
      <c r="DI337" s="713"/>
    </row>
    <row r="338" spans="1:123" s="743" customFormat="1" ht="17.25" customHeight="1">
      <c r="A338" s="742"/>
      <c r="C338" s="744">
        <f>C13-C14</f>
        <v>714459591.94000006</v>
      </c>
      <c r="D338" s="744">
        <f>D13-D14</f>
        <v>0</v>
      </c>
      <c r="E338" s="744">
        <f>E13-E14</f>
        <v>91154874.439999998</v>
      </c>
      <c r="F338" s="744">
        <f>F13-F14</f>
        <v>249230197.58000001</v>
      </c>
      <c r="G338" s="744">
        <f>G13-G14</f>
        <v>0</v>
      </c>
      <c r="H338" s="744"/>
      <c r="I338" s="744">
        <f t="shared" ref="I338:S338" si="507">I336-I337</f>
        <v>91140747.608057976</v>
      </c>
      <c r="J338" s="744">
        <f t="shared" si="507"/>
        <v>36939763.670000553</v>
      </c>
      <c r="K338" s="744">
        <f t="shared" si="507"/>
        <v>76478635.896142721</v>
      </c>
      <c r="L338" s="744">
        <f t="shared" si="507"/>
        <v>-22277651.958083153</v>
      </c>
      <c r="M338" s="744">
        <f t="shared" si="507"/>
        <v>113418399.56614113</v>
      </c>
      <c r="N338" s="744">
        <f t="shared" si="507"/>
        <v>68407667.619999886</v>
      </c>
      <c r="O338" s="744">
        <f t="shared" si="507"/>
        <v>193905612.40999985</v>
      </c>
      <c r="P338" s="744">
        <f t="shared" si="507"/>
        <v>262313280.03000164</v>
      </c>
      <c r="Q338" s="744">
        <f t="shared" si="507"/>
        <v>171172532.42194211</v>
      </c>
      <c r="R338" s="744"/>
      <c r="S338" s="744">
        <f t="shared" si="507"/>
        <v>356831379.45738983</v>
      </c>
      <c r="T338" s="744"/>
      <c r="U338" s="744"/>
      <c r="V338" s="744"/>
      <c r="W338" s="744"/>
      <c r="X338" s="744"/>
      <c r="Y338" s="744"/>
      <c r="Z338" s="745"/>
      <c r="AA338" s="744"/>
      <c r="AB338" s="744"/>
      <c r="AC338" s="744"/>
      <c r="AD338" s="744"/>
      <c r="AE338" s="744"/>
      <c r="AF338" s="744"/>
      <c r="AG338" s="571"/>
      <c r="AH338" s="744"/>
      <c r="AI338" s="744"/>
      <c r="AJ338" s="744"/>
      <c r="AK338" s="744"/>
      <c r="AL338" s="744"/>
      <c r="AM338" s="744"/>
      <c r="AN338" s="744"/>
      <c r="AO338" s="744"/>
      <c r="AP338" s="744"/>
      <c r="AQ338" s="744"/>
      <c r="AR338" s="744"/>
      <c r="AS338" s="744"/>
      <c r="AT338" s="744"/>
      <c r="AU338" s="744"/>
      <c r="AV338" s="744"/>
      <c r="AW338" s="744"/>
      <c r="AX338" s="744"/>
      <c r="AY338" s="744"/>
      <c r="AZ338" s="744"/>
      <c r="BA338" s="744"/>
      <c r="BB338" s="744"/>
      <c r="BC338" s="746"/>
      <c r="BD338" s="746"/>
      <c r="BE338" s="746"/>
      <c r="BF338" s="746"/>
      <c r="BG338" s="746"/>
      <c r="BH338" s="571"/>
      <c r="BI338" s="571"/>
      <c r="BJ338" s="571"/>
      <c r="BK338" s="571"/>
      <c r="BL338" s="571"/>
      <c r="BM338" s="571"/>
      <c r="BN338" s="744"/>
      <c r="BO338" s="571"/>
      <c r="BP338" s="571"/>
      <c r="BQ338" s="571"/>
      <c r="BR338" s="571"/>
      <c r="BS338" s="744"/>
      <c r="BT338" s="747"/>
      <c r="BU338" s="722"/>
      <c r="BV338" s="722"/>
      <c r="BW338" s="722"/>
      <c r="BX338" s="465"/>
      <c r="BY338" s="736"/>
      <c r="BZ338" s="736"/>
      <c r="CA338" s="736"/>
      <c r="CB338" s="736"/>
      <c r="CC338" s="736"/>
      <c r="CD338" s="744"/>
      <c r="CE338" s="744"/>
      <c r="CF338" s="744"/>
      <c r="CG338" s="744"/>
      <c r="CH338" s="744"/>
      <c r="CI338" s="744"/>
      <c r="CJ338" s="744"/>
      <c r="CK338" s="748"/>
      <c r="CL338" s="748"/>
      <c r="CS338" s="747"/>
      <c r="CT338" s="747"/>
      <c r="CU338" s="747"/>
      <c r="CV338" s="747"/>
      <c r="CW338" s="747"/>
      <c r="DF338" s="736"/>
      <c r="DG338" s="736"/>
      <c r="DH338" s="736"/>
      <c r="DI338" s="736"/>
      <c r="DJ338" s="747"/>
      <c r="DK338" s="747"/>
      <c r="DL338" s="747"/>
      <c r="DM338" s="747"/>
      <c r="DN338" s="747"/>
      <c r="DO338" s="747"/>
      <c r="DP338" s="747"/>
      <c r="DQ338" s="747"/>
      <c r="DR338" s="747"/>
      <c r="DS338" s="747"/>
    </row>
    <row r="339" spans="1:123" ht="17.25" customHeight="1">
      <c r="C339" s="628">
        <v>5091171821.3299999</v>
      </c>
      <c r="BH339" s="738"/>
      <c r="BI339" s="738"/>
      <c r="BJ339" s="738"/>
      <c r="BK339" s="738"/>
      <c r="BO339" s="738"/>
      <c r="BP339" s="738"/>
      <c r="BU339" s="722"/>
      <c r="BV339" s="722"/>
      <c r="BW339" s="722"/>
      <c r="BX339" s="749"/>
    </row>
    <row r="340" spans="1:123" ht="17.25" customHeight="1">
      <c r="C340" s="628"/>
      <c r="BH340" s="738"/>
      <c r="BI340" s="738"/>
      <c r="BJ340" s="738"/>
      <c r="BK340" s="738"/>
      <c r="BO340" s="738"/>
      <c r="BP340" s="738"/>
      <c r="BU340" s="713"/>
      <c r="BV340" s="713"/>
      <c r="BW340" s="713"/>
      <c r="BY340" s="571"/>
      <c r="BZ340" s="571"/>
      <c r="CA340" s="571"/>
      <c r="CB340" s="571"/>
      <c r="CC340" s="571"/>
      <c r="DF340" s="571"/>
      <c r="DG340" s="571"/>
      <c r="DH340" s="571"/>
      <c r="DI340" s="571"/>
    </row>
    <row r="341" spans="1:123" ht="17.25" customHeight="1">
      <c r="C341" s="628"/>
      <c r="BH341" s="738"/>
      <c r="BI341" s="738"/>
      <c r="BJ341" s="738"/>
      <c r="BK341" s="738"/>
      <c r="BO341" s="738"/>
      <c r="BP341" s="738"/>
    </row>
    <row r="342" spans="1:123" ht="17.25" customHeight="1">
      <c r="C342" s="628"/>
      <c r="BH342" s="738"/>
      <c r="BI342" s="738"/>
      <c r="BJ342" s="738"/>
      <c r="BK342" s="738"/>
      <c r="BO342" s="738"/>
      <c r="BP342" s="738"/>
      <c r="BY342" s="750"/>
      <c r="BZ342" s="750"/>
      <c r="CA342" s="750"/>
      <c r="CB342" s="750"/>
      <c r="CC342" s="750"/>
      <c r="DF342" s="750"/>
      <c r="DG342" s="750"/>
      <c r="DH342" s="750"/>
      <c r="DI342" s="750"/>
    </row>
    <row r="343" spans="1:123" ht="17.25" customHeight="1" outlineLevel="1">
      <c r="C343" s="628"/>
      <c r="D343" s="628"/>
      <c r="E343" s="628"/>
      <c r="BH343" s="738"/>
      <c r="BI343" s="738"/>
      <c r="BJ343" s="738"/>
      <c r="BK343" s="738"/>
      <c r="BO343" s="738"/>
      <c r="BP343" s="738"/>
      <c r="BU343" s="571"/>
      <c r="BV343" s="571"/>
      <c r="BW343" s="571"/>
      <c r="BY343" s="751"/>
      <c r="BZ343" s="751"/>
      <c r="CA343" s="751"/>
      <c r="CB343" s="751"/>
      <c r="CC343" s="751"/>
      <c r="DF343" s="751"/>
      <c r="DG343" s="751"/>
      <c r="DH343" s="751"/>
      <c r="DI343" s="751"/>
    </row>
    <row r="344" spans="1:123" ht="17.25" customHeight="1" outlineLevel="1">
      <c r="C344" s="628">
        <f>SUBTOTAL(9,C8:C317)</f>
        <v>49487807804.370049</v>
      </c>
      <c r="D344" s="628">
        <f>SUBTOTAL(9,D8:D317)</f>
        <v>39284076423.375084</v>
      </c>
      <c r="E344" s="628">
        <f>SUBTOTAL(9,E8:E317)</f>
        <v>56710358523.916496</v>
      </c>
      <c r="F344" s="628"/>
      <c r="BH344" s="738"/>
      <c r="BI344" s="738"/>
      <c r="BJ344" s="738"/>
      <c r="BK344" s="738"/>
      <c r="BO344" s="738"/>
      <c r="BP344" s="738"/>
      <c r="BU344" s="752"/>
      <c r="BV344" s="752"/>
      <c r="BW344" s="752"/>
      <c r="BY344" s="752"/>
      <c r="BZ344" s="752"/>
      <c r="CA344" s="752"/>
      <c r="CB344" s="752"/>
      <c r="CC344" s="752"/>
      <c r="DF344" s="752"/>
      <c r="DG344" s="752"/>
      <c r="DH344" s="752"/>
      <c r="DI344" s="752"/>
    </row>
    <row r="345" spans="1:123" ht="17.25" customHeight="1" outlineLevel="1">
      <c r="D345" s="464"/>
      <c r="E345" s="464"/>
      <c r="BH345" s="738"/>
      <c r="BI345" s="738"/>
      <c r="BJ345" s="738"/>
      <c r="BK345" s="738"/>
      <c r="BO345" s="738"/>
      <c r="BP345" s="738"/>
      <c r="BU345" s="752"/>
      <c r="BV345" s="752"/>
      <c r="BW345" s="752"/>
      <c r="BY345" s="752"/>
      <c r="BZ345" s="752"/>
      <c r="CA345" s="752"/>
      <c r="CB345" s="752"/>
      <c r="CC345" s="752"/>
      <c r="DF345" s="752"/>
      <c r="DG345" s="752"/>
      <c r="DH345" s="752"/>
      <c r="DI345" s="752"/>
    </row>
    <row r="346" spans="1:123" ht="17.25" customHeight="1" outlineLevel="1">
      <c r="C346" s="628"/>
      <c r="BH346" s="738"/>
      <c r="BI346" s="738"/>
      <c r="BJ346" s="738"/>
      <c r="BK346" s="738"/>
      <c r="BO346" s="738"/>
      <c r="BP346" s="738"/>
      <c r="BU346" s="752"/>
      <c r="BV346" s="752"/>
      <c r="BW346" s="752"/>
      <c r="BY346" s="752"/>
      <c r="BZ346" s="752"/>
      <c r="CA346" s="752"/>
      <c r="CB346" s="752"/>
      <c r="CC346" s="752"/>
      <c r="DF346" s="752"/>
      <c r="DG346" s="752"/>
      <c r="DH346" s="752"/>
      <c r="DI346" s="752"/>
    </row>
    <row r="347" spans="1:123" outlineLevel="1">
      <c r="B347" s="534" t="s">
        <v>1464</v>
      </c>
      <c r="C347" s="628">
        <f>C34-C35-C231-C232-C233-C234-C222</f>
        <v>3584477939.8959994</v>
      </c>
      <c r="D347" s="464"/>
      <c r="E347" s="464"/>
      <c r="F347" s="464"/>
      <c r="G347" s="736">
        <f>G320+G323+G325</f>
        <v>3995767287.3600001</v>
      </c>
      <c r="BH347" s="738"/>
      <c r="BI347" s="738"/>
      <c r="BJ347" s="738"/>
      <c r="BK347" s="738"/>
      <c r="BO347" s="738"/>
      <c r="BP347" s="738"/>
      <c r="BU347" s="752"/>
      <c r="BV347" s="752"/>
      <c r="BW347" s="752"/>
      <c r="BY347" s="752"/>
      <c r="BZ347" s="752"/>
      <c r="CA347" s="752"/>
      <c r="CB347" s="752"/>
      <c r="CC347" s="752"/>
      <c r="DF347" s="752"/>
      <c r="DG347" s="752"/>
      <c r="DH347" s="752"/>
      <c r="DI347" s="752"/>
    </row>
    <row r="348" spans="1:123" outlineLevel="1">
      <c r="B348" s="534" t="s">
        <v>2009</v>
      </c>
      <c r="C348" s="628">
        <f>C241-C243-C251-C258-C272-C259-C248-C260-C268-C262+C305</f>
        <v>144523456.23999995</v>
      </c>
      <c r="F348" s="736">
        <f>7996050*1000-F321</f>
        <v>-1272139.7600002289</v>
      </c>
      <c r="I348" s="753"/>
      <c r="M348" s="753"/>
      <c r="N348" s="753"/>
      <c r="O348" s="753"/>
      <c r="P348" s="753"/>
      <c r="Q348" s="753"/>
      <c r="R348" s="753"/>
      <c r="S348" s="754"/>
      <c r="BH348" s="738"/>
      <c r="BI348" s="738"/>
      <c r="BJ348" s="738"/>
      <c r="BK348" s="738"/>
      <c r="BO348" s="738"/>
      <c r="BP348" s="738"/>
      <c r="BU348" s="755"/>
      <c r="BV348" s="755"/>
      <c r="BW348" s="755"/>
      <c r="BY348" s="755"/>
      <c r="BZ348" s="755"/>
      <c r="CA348" s="755"/>
      <c r="CB348" s="755"/>
      <c r="CC348" s="755"/>
      <c r="DF348" s="755"/>
      <c r="DG348" s="755"/>
      <c r="DH348" s="755"/>
      <c r="DI348" s="755"/>
    </row>
    <row r="349" spans="1:123" ht="17.25" customHeight="1" outlineLevel="1">
      <c r="B349" s="534" t="s">
        <v>2010</v>
      </c>
      <c r="C349" s="628"/>
      <c r="G349" s="736">
        <v>0</v>
      </c>
      <c r="BH349" s="738"/>
      <c r="BI349" s="738"/>
      <c r="BJ349" s="738"/>
      <c r="BK349" s="738"/>
      <c r="BO349" s="738"/>
      <c r="BP349" s="738"/>
      <c r="BU349" s="755"/>
      <c r="BV349" s="755"/>
      <c r="BW349" s="755"/>
      <c r="BY349" s="755"/>
      <c r="BZ349" s="755"/>
      <c r="CA349" s="755"/>
      <c r="CB349" s="755"/>
      <c r="CC349" s="755"/>
      <c r="DF349" s="755"/>
      <c r="DG349" s="755"/>
      <c r="DH349" s="755"/>
      <c r="DI349" s="755"/>
    </row>
    <row r="350" spans="1:123" ht="17.25" customHeight="1" outlineLevel="1">
      <c r="B350" s="534" t="s">
        <v>2011</v>
      </c>
      <c r="G350" s="736">
        <v>0</v>
      </c>
      <c r="S350" s="756"/>
      <c r="BH350" s="738"/>
      <c r="BI350" s="738"/>
      <c r="BJ350" s="738"/>
      <c r="BK350" s="738"/>
      <c r="BO350" s="738"/>
      <c r="BP350" s="738"/>
      <c r="BU350" s="752"/>
      <c r="BV350" s="752"/>
      <c r="BW350" s="752"/>
      <c r="BY350" s="752"/>
      <c r="BZ350" s="752"/>
      <c r="CA350" s="752"/>
      <c r="CB350" s="752"/>
      <c r="CC350" s="752"/>
      <c r="DF350" s="752"/>
      <c r="DG350" s="752"/>
      <c r="DH350" s="752"/>
      <c r="DI350" s="752"/>
    </row>
    <row r="351" spans="1:123" outlineLevel="1">
      <c r="B351" s="534" t="s">
        <v>1465</v>
      </c>
      <c r="F351" s="464"/>
      <c r="G351" s="628">
        <f>G347+G349+G350</f>
        <v>3995767287.3600001</v>
      </c>
      <c r="H351" s="628"/>
      <c r="I351" s="757"/>
      <c r="J351" s="464"/>
      <c r="K351" s="464"/>
      <c r="L351" s="464"/>
      <c r="M351" s="758"/>
      <c r="N351" s="758"/>
      <c r="O351" s="758"/>
      <c r="P351" s="758"/>
      <c r="Q351" s="758"/>
      <c r="R351" s="758"/>
      <c r="S351" s="464"/>
      <c r="T351" s="464"/>
      <c r="U351" s="464"/>
      <c r="V351" s="464"/>
      <c r="W351" s="464"/>
      <c r="X351" s="464"/>
      <c r="Y351" s="464"/>
      <c r="Z351" s="759"/>
      <c r="AA351" s="464"/>
      <c r="AB351" s="464"/>
      <c r="AC351" s="464"/>
      <c r="AD351" s="464"/>
      <c r="AE351" s="464"/>
      <c r="AF351" s="464"/>
      <c r="AG351" s="534"/>
      <c r="AH351" s="464"/>
      <c r="AI351" s="464"/>
      <c r="AJ351" s="464"/>
      <c r="AK351" s="464"/>
      <c r="AL351" s="464"/>
      <c r="AM351" s="464"/>
      <c r="AN351" s="464"/>
      <c r="AO351" s="464"/>
      <c r="AP351" s="464"/>
      <c r="AQ351" s="464"/>
      <c r="AR351" s="464"/>
      <c r="AS351" s="464"/>
      <c r="AT351" s="464"/>
      <c r="AU351" s="464"/>
      <c r="AV351" s="464"/>
      <c r="AW351" s="464"/>
      <c r="AX351" s="464"/>
      <c r="AY351" s="464"/>
      <c r="AZ351" s="464"/>
      <c r="BA351" s="464"/>
      <c r="BB351" s="464"/>
      <c r="BC351" s="623"/>
      <c r="BD351" s="623"/>
      <c r="BE351" s="623"/>
      <c r="BF351" s="623"/>
      <c r="BG351" s="623"/>
      <c r="BH351" s="534"/>
      <c r="BI351" s="534"/>
      <c r="BJ351" s="534"/>
      <c r="BK351" s="534"/>
      <c r="BL351" s="534"/>
      <c r="BM351" s="534"/>
      <c r="BN351" s="464"/>
      <c r="BO351" s="534"/>
      <c r="BP351" s="534"/>
      <c r="BQ351" s="534"/>
      <c r="BR351" s="534"/>
      <c r="BS351" s="464"/>
      <c r="BU351" s="752"/>
      <c r="BV351" s="752"/>
      <c r="BW351" s="752"/>
      <c r="BY351" s="752"/>
      <c r="BZ351" s="752"/>
      <c r="CA351" s="752"/>
      <c r="CB351" s="752"/>
      <c r="CC351" s="752"/>
      <c r="CD351" s="464"/>
      <c r="CE351" s="464"/>
      <c r="CF351" s="464"/>
      <c r="CG351" s="464"/>
      <c r="CH351" s="464"/>
      <c r="CI351" s="464"/>
      <c r="CJ351" s="464"/>
      <c r="DF351" s="752"/>
      <c r="DG351" s="752"/>
      <c r="DH351" s="752"/>
      <c r="DI351" s="752"/>
    </row>
    <row r="352" spans="1:123" outlineLevel="1">
      <c r="B352" s="534" t="s">
        <v>2012</v>
      </c>
      <c r="C352" s="628">
        <f>C347+C348</f>
        <v>3729001396.1359992</v>
      </c>
      <c r="F352" s="464"/>
      <c r="G352" s="628">
        <f>3995767.27677093*1000</f>
        <v>3995767276.7709298</v>
      </c>
      <c r="H352" s="628"/>
      <c r="I352" s="757"/>
      <c r="J352" s="464"/>
      <c r="K352" s="464"/>
      <c r="L352" s="464"/>
      <c r="M352" s="758"/>
      <c r="N352" s="758"/>
      <c r="O352" s="758"/>
      <c r="P352" s="758"/>
      <c r="Q352" s="758"/>
      <c r="R352" s="758"/>
      <c r="S352" s="760"/>
      <c r="T352" s="464"/>
      <c r="U352" s="464"/>
      <c r="V352" s="464"/>
      <c r="W352" s="464"/>
      <c r="X352" s="464"/>
      <c r="Y352" s="464"/>
      <c r="Z352" s="759"/>
      <c r="AA352" s="464"/>
      <c r="AB352" s="464"/>
      <c r="AC352" s="464"/>
      <c r="AD352" s="464"/>
      <c r="AE352" s="464"/>
      <c r="AF352" s="464"/>
      <c r="AG352" s="534"/>
      <c r="AH352" s="464"/>
      <c r="AI352" s="464"/>
      <c r="AJ352" s="464"/>
      <c r="AK352" s="464"/>
      <c r="AL352" s="464"/>
      <c r="AM352" s="464"/>
      <c r="AN352" s="464"/>
      <c r="AO352" s="464"/>
      <c r="AP352" s="464"/>
      <c r="AQ352" s="464"/>
      <c r="AR352" s="464"/>
      <c r="AS352" s="464"/>
      <c r="AT352" s="464"/>
      <c r="AU352" s="464"/>
      <c r="AV352" s="464"/>
      <c r="AW352" s="464"/>
      <c r="AX352" s="464"/>
      <c r="AY352" s="464"/>
      <c r="AZ352" s="464"/>
      <c r="BA352" s="464"/>
      <c r="BB352" s="464"/>
      <c r="BC352" s="623"/>
      <c r="BD352" s="623"/>
      <c r="BE352" s="623"/>
      <c r="BF352" s="623"/>
      <c r="BG352" s="623"/>
      <c r="BH352" s="534"/>
      <c r="BI352" s="534"/>
      <c r="BJ352" s="534"/>
      <c r="BK352" s="534"/>
      <c r="BL352" s="534"/>
      <c r="BM352" s="534"/>
      <c r="BN352" s="464"/>
      <c r="BO352" s="534"/>
      <c r="BP352" s="534"/>
      <c r="BQ352" s="534"/>
      <c r="BR352" s="534"/>
      <c r="BS352" s="464"/>
      <c r="BU352" s="752"/>
      <c r="BV352" s="752"/>
      <c r="BW352" s="752"/>
      <c r="BY352" s="752"/>
      <c r="BZ352" s="752"/>
      <c r="CA352" s="752"/>
      <c r="CB352" s="752"/>
      <c r="CC352" s="752"/>
      <c r="CD352" s="464"/>
      <c r="CE352" s="464"/>
      <c r="CF352" s="464"/>
      <c r="CG352" s="464"/>
      <c r="CH352" s="464"/>
      <c r="CI352" s="464"/>
      <c r="CJ352" s="464"/>
      <c r="DF352" s="752"/>
      <c r="DG352" s="752"/>
      <c r="DH352" s="752"/>
      <c r="DI352" s="752"/>
    </row>
    <row r="353" spans="1:123" outlineLevel="1">
      <c r="B353" s="534" t="s">
        <v>2013</v>
      </c>
      <c r="C353" s="628" t="e">
        <f>#REF!</f>
        <v>#REF!</v>
      </c>
      <c r="F353" s="464"/>
      <c r="G353" s="761">
        <f>G352-G351</f>
        <v>-10.589070320129395</v>
      </c>
      <c r="H353" s="761"/>
      <c r="I353" s="757"/>
      <c r="J353" s="464"/>
      <c r="K353" s="464"/>
      <c r="L353" s="464"/>
      <c r="M353" s="758"/>
      <c r="N353" s="758"/>
      <c r="O353" s="758"/>
      <c r="P353" s="758"/>
      <c r="Q353" s="758"/>
      <c r="R353" s="758"/>
      <c r="S353" s="464"/>
      <c r="T353" s="464"/>
      <c r="U353" s="464"/>
      <c r="V353" s="464"/>
      <c r="W353" s="464"/>
      <c r="X353" s="464"/>
      <c r="Y353" s="464"/>
      <c r="Z353" s="759"/>
      <c r="AA353" s="464"/>
      <c r="AB353" s="464"/>
      <c r="AC353" s="464"/>
      <c r="AD353" s="464"/>
      <c r="AE353" s="464"/>
      <c r="AF353" s="464"/>
      <c r="AG353" s="534"/>
      <c r="AH353" s="464"/>
      <c r="AI353" s="464"/>
      <c r="AJ353" s="464"/>
      <c r="AK353" s="464"/>
      <c r="AL353" s="464"/>
      <c r="AM353" s="464"/>
      <c r="AN353" s="464"/>
      <c r="AO353" s="464"/>
      <c r="AP353" s="464"/>
      <c r="AQ353" s="464"/>
      <c r="AR353" s="464"/>
      <c r="AS353" s="464"/>
      <c r="AT353" s="464"/>
      <c r="AU353" s="464"/>
      <c r="AV353" s="464"/>
      <c r="AW353" s="464"/>
      <c r="AX353" s="464"/>
      <c r="AY353" s="464"/>
      <c r="AZ353" s="464"/>
      <c r="BA353" s="464"/>
      <c r="BB353" s="464"/>
      <c r="BC353" s="623"/>
      <c r="BD353" s="623"/>
      <c r="BE353" s="623"/>
      <c r="BF353" s="623"/>
      <c r="BG353" s="623"/>
      <c r="BH353" s="534"/>
      <c r="BI353" s="534"/>
      <c r="BJ353" s="534"/>
      <c r="BK353" s="534"/>
      <c r="BL353" s="534"/>
      <c r="BM353" s="534"/>
      <c r="BN353" s="464"/>
      <c r="BO353" s="534"/>
      <c r="BP353" s="534"/>
      <c r="BQ353" s="534"/>
      <c r="BR353" s="534"/>
      <c r="BS353" s="464"/>
      <c r="BU353" s="752"/>
      <c r="BV353" s="752"/>
      <c r="BW353" s="752"/>
      <c r="BY353" s="752"/>
      <c r="BZ353" s="752"/>
      <c r="CA353" s="752"/>
      <c r="CB353" s="752"/>
      <c r="CC353" s="752"/>
      <c r="CD353" s="464"/>
      <c r="CE353" s="464"/>
      <c r="CF353" s="464"/>
      <c r="CG353" s="464"/>
      <c r="CH353" s="464"/>
      <c r="CI353" s="464"/>
      <c r="CJ353" s="464"/>
      <c r="DF353" s="752"/>
      <c r="DG353" s="752"/>
      <c r="DH353" s="752"/>
      <c r="DI353" s="752"/>
    </row>
    <row r="354" spans="1:123" outlineLevel="1">
      <c r="C354" s="628"/>
      <c r="F354" s="464"/>
      <c r="G354" s="464"/>
      <c r="H354" s="464"/>
      <c r="I354" s="757"/>
      <c r="J354" s="464"/>
      <c r="K354" s="464"/>
      <c r="L354" s="464"/>
      <c r="M354" s="758"/>
      <c r="N354" s="758"/>
      <c r="O354" s="758"/>
      <c r="P354" s="758"/>
      <c r="Q354" s="758"/>
      <c r="R354" s="758"/>
      <c r="S354" s="464"/>
      <c r="T354" s="464"/>
      <c r="U354" s="464"/>
      <c r="V354" s="464"/>
      <c r="W354" s="464"/>
      <c r="X354" s="464"/>
      <c r="Y354" s="464"/>
      <c r="Z354" s="759"/>
      <c r="AA354" s="464"/>
      <c r="AB354" s="464"/>
      <c r="AC354" s="464"/>
      <c r="AD354" s="464"/>
      <c r="AE354" s="464"/>
      <c r="AF354" s="464"/>
      <c r="AG354" s="534"/>
      <c r="AH354" s="464"/>
      <c r="AI354" s="464"/>
      <c r="AJ354" s="464"/>
      <c r="AK354" s="464"/>
      <c r="AL354" s="464"/>
      <c r="AM354" s="464"/>
      <c r="AN354" s="464"/>
      <c r="AO354" s="464"/>
      <c r="AP354" s="464"/>
      <c r="AQ354" s="464"/>
      <c r="AR354" s="464"/>
      <c r="AS354" s="464"/>
      <c r="AT354" s="464"/>
      <c r="AU354" s="464"/>
      <c r="AV354" s="464"/>
      <c r="AW354" s="464"/>
      <c r="AX354" s="464"/>
      <c r="AY354" s="464"/>
      <c r="AZ354" s="464"/>
      <c r="BA354" s="464"/>
      <c r="BB354" s="464"/>
      <c r="BC354" s="623"/>
      <c r="BD354" s="623"/>
      <c r="BE354" s="623"/>
      <c r="BF354" s="623"/>
      <c r="BG354" s="623"/>
      <c r="BH354" s="534"/>
      <c r="BI354" s="534"/>
      <c r="BJ354" s="534"/>
      <c r="BK354" s="534"/>
      <c r="BL354" s="534"/>
      <c r="BM354" s="534"/>
      <c r="BN354" s="464"/>
      <c r="BO354" s="534"/>
      <c r="BP354" s="534"/>
      <c r="BQ354" s="534"/>
      <c r="BR354" s="534"/>
      <c r="BS354" s="464"/>
      <c r="BU354" s="752"/>
      <c r="BV354" s="752"/>
      <c r="BW354" s="752"/>
      <c r="BY354" s="752"/>
      <c r="BZ354" s="752"/>
      <c r="CA354" s="752"/>
      <c r="CB354" s="752"/>
      <c r="CC354" s="752"/>
      <c r="CD354" s="464"/>
      <c r="CE354" s="464"/>
      <c r="CF354" s="464"/>
      <c r="CG354" s="464"/>
      <c r="CH354" s="464"/>
      <c r="CI354" s="464"/>
      <c r="CJ354" s="464"/>
      <c r="DF354" s="752"/>
      <c r="DG354" s="752"/>
      <c r="DH354" s="752"/>
      <c r="DI354" s="752"/>
    </row>
    <row r="355" spans="1:123" outlineLevel="1">
      <c r="C355" s="628"/>
      <c r="F355" s="464"/>
      <c r="G355" s="464"/>
      <c r="H355" s="464"/>
      <c r="I355" s="757"/>
      <c r="J355" s="464"/>
      <c r="K355" s="464"/>
      <c r="L355" s="464"/>
      <c r="M355" s="758"/>
      <c r="N355" s="758"/>
      <c r="O355" s="758"/>
      <c r="P355" s="758"/>
      <c r="Q355" s="758"/>
      <c r="R355" s="758"/>
      <c r="S355" s="464"/>
      <c r="T355" s="464"/>
      <c r="U355" s="464"/>
      <c r="V355" s="464"/>
      <c r="W355" s="464"/>
      <c r="X355" s="464"/>
      <c r="Y355" s="464"/>
      <c r="Z355" s="759"/>
      <c r="AA355" s="464"/>
      <c r="AB355" s="464"/>
      <c r="AC355" s="464"/>
      <c r="AD355" s="464"/>
      <c r="AE355" s="464"/>
      <c r="AF355" s="464"/>
      <c r="AG355" s="534"/>
      <c r="AH355" s="464"/>
      <c r="AI355" s="464"/>
      <c r="AJ355" s="464"/>
      <c r="AK355" s="464"/>
      <c r="AL355" s="464"/>
      <c r="AM355" s="464"/>
      <c r="AN355" s="464"/>
      <c r="AO355" s="464"/>
      <c r="AP355" s="464"/>
      <c r="AQ355" s="464"/>
      <c r="AR355" s="464"/>
      <c r="AS355" s="464"/>
      <c r="AT355" s="464"/>
      <c r="AU355" s="464"/>
      <c r="AV355" s="464"/>
      <c r="AW355" s="464"/>
      <c r="AX355" s="464"/>
      <c r="AY355" s="464"/>
      <c r="AZ355" s="464"/>
      <c r="BA355" s="464"/>
      <c r="BB355" s="464"/>
      <c r="BC355" s="623"/>
      <c r="BD355" s="623"/>
      <c r="BE355" s="623"/>
      <c r="BF355" s="623"/>
      <c r="BG355" s="623"/>
      <c r="BH355" s="534"/>
      <c r="BI355" s="534"/>
      <c r="BJ355" s="534"/>
      <c r="BK355" s="534"/>
      <c r="BL355" s="534"/>
      <c r="BM355" s="534"/>
      <c r="BN355" s="464"/>
      <c r="BO355" s="534"/>
      <c r="BP355" s="534"/>
      <c r="BQ355" s="534"/>
      <c r="BR355" s="534"/>
      <c r="BS355" s="464"/>
      <c r="BU355" s="752"/>
      <c r="BV355" s="752"/>
      <c r="BW355" s="752"/>
      <c r="BY355" s="752"/>
      <c r="BZ355" s="752"/>
      <c r="CA355" s="752"/>
      <c r="CB355" s="752"/>
      <c r="CC355" s="752"/>
      <c r="CD355" s="464"/>
      <c r="CE355" s="464"/>
      <c r="CF355" s="464"/>
      <c r="CG355" s="464"/>
      <c r="CH355" s="464"/>
      <c r="CI355" s="464"/>
      <c r="CJ355" s="464"/>
      <c r="DF355" s="752"/>
      <c r="DG355" s="752"/>
      <c r="DH355" s="752"/>
      <c r="DI355" s="752"/>
    </row>
    <row r="356" spans="1:123" outlineLevel="1">
      <c r="F356" s="464"/>
      <c r="G356" s="464"/>
      <c r="H356" s="464"/>
      <c r="I356" s="757"/>
      <c r="J356" s="464"/>
      <c r="K356" s="464"/>
      <c r="L356" s="464"/>
      <c r="M356" s="758"/>
      <c r="N356" s="758"/>
      <c r="O356" s="758"/>
      <c r="P356" s="758"/>
      <c r="Q356" s="758"/>
      <c r="R356" s="758"/>
      <c r="S356" s="464"/>
      <c r="T356" s="464"/>
      <c r="U356" s="464"/>
      <c r="V356" s="464"/>
      <c r="W356" s="464"/>
      <c r="X356" s="464"/>
      <c r="Y356" s="464"/>
      <c r="Z356" s="759"/>
      <c r="AA356" s="464"/>
      <c r="AB356" s="464"/>
      <c r="AC356" s="464"/>
      <c r="AD356" s="464"/>
      <c r="AE356" s="464"/>
      <c r="AF356" s="464"/>
      <c r="AG356" s="534"/>
      <c r="AH356" s="464"/>
      <c r="AI356" s="464"/>
      <c r="AJ356" s="464"/>
      <c r="AK356" s="464"/>
      <c r="AL356" s="464"/>
      <c r="AM356" s="464"/>
      <c r="AN356" s="464"/>
      <c r="AO356" s="464"/>
      <c r="AP356" s="464"/>
      <c r="AQ356" s="464"/>
      <c r="AR356" s="464"/>
      <c r="AS356" s="464"/>
      <c r="AT356" s="464"/>
      <c r="AU356" s="464"/>
      <c r="AV356" s="464"/>
      <c r="AW356" s="464"/>
      <c r="AX356" s="464"/>
      <c r="AY356" s="464"/>
      <c r="AZ356" s="464"/>
      <c r="BA356" s="464"/>
      <c r="BB356" s="464"/>
      <c r="BC356" s="623"/>
      <c r="BD356" s="623"/>
      <c r="BE356" s="623"/>
      <c r="BF356" s="623"/>
      <c r="BG356" s="623"/>
      <c r="BH356" s="534"/>
      <c r="BI356" s="534"/>
      <c r="BJ356" s="534"/>
      <c r="BK356" s="534"/>
      <c r="BL356" s="534"/>
      <c r="BM356" s="534"/>
      <c r="BN356" s="464"/>
      <c r="BO356" s="534"/>
      <c r="BP356" s="534"/>
      <c r="BQ356" s="534"/>
      <c r="BR356" s="534"/>
      <c r="BS356" s="464"/>
      <c r="BU356" s="463"/>
      <c r="BV356" s="463"/>
      <c r="BW356" s="463"/>
      <c r="BY356" s="463"/>
      <c r="BZ356" s="463"/>
      <c r="CA356" s="463"/>
      <c r="CB356" s="463"/>
      <c r="CC356" s="463"/>
      <c r="CD356" s="464"/>
      <c r="CE356" s="464"/>
      <c r="CF356" s="464"/>
      <c r="CG356" s="464"/>
      <c r="CH356" s="464"/>
      <c r="CI356" s="464"/>
      <c r="CJ356" s="464"/>
      <c r="DF356" s="463"/>
      <c r="DG356" s="463"/>
      <c r="DH356" s="463"/>
      <c r="DI356" s="463"/>
    </row>
    <row r="357" spans="1:123" outlineLevel="1">
      <c r="F357" s="464"/>
      <c r="G357" s="464"/>
      <c r="H357" s="464"/>
      <c r="I357" s="757"/>
      <c r="J357" s="464"/>
      <c r="K357" s="464"/>
      <c r="L357" s="464"/>
      <c r="M357" s="758"/>
      <c r="N357" s="758"/>
      <c r="O357" s="758"/>
      <c r="P357" s="758"/>
      <c r="Q357" s="758"/>
      <c r="R357" s="758"/>
      <c r="S357" s="464"/>
      <c r="T357" s="464"/>
      <c r="U357" s="464"/>
      <c r="V357" s="464"/>
      <c r="W357" s="464"/>
      <c r="X357" s="464"/>
      <c r="Y357" s="464"/>
      <c r="Z357" s="759"/>
      <c r="AA357" s="464"/>
      <c r="AB357" s="464"/>
      <c r="AC357" s="464"/>
      <c r="AD357" s="464"/>
      <c r="AE357" s="464"/>
      <c r="AF357" s="464"/>
      <c r="AG357" s="534"/>
      <c r="AH357" s="464"/>
      <c r="AI357" s="464"/>
      <c r="AJ357" s="464"/>
      <c r="AK357" s="464"/>
      <c r="AL357" s="464"/>
      <c r="AM357" s="464"/>
      <c r="AN357" s="464"/>
      <c r="AO357" s="464"/>
      <c r="AP357" s="464"/>
      <c r="AQ357" s="464"/>
      <c r="AR357" s="464"/>
      <c r="AS357" s="464"/>
      <c r="AT357" s="464"/>
      <c r="AU357" s="464"/>
      <c r="AV357" s="464"/>
      <c r="AW357" s="464"/>
      <c r="AX357" s="464"/>
      <c r="AY357" s="464"/>
      <c r="AZ357" s="464"/>
      <c r="BA357" s="464"/>
      <c r="BB357" s="464"/>
      <c r="BC357" s="623"/>
      <c r="BD357" s="623"/>
      <c r="BE357" s="623"/>
      <c r="BF357" s="623"/>
      <c r="BG357" s="623"/>
      <c r="BH357" s="534"/>
      <c r="BI357" s="534"/>
      <c r="BJ357" s="534"/>
      <c r="BK357" s="534"/>
      <c r="BL357" s="534"/>
      <c r="BM357" s="534"/>
      <c r="BN357" s="464"/>
      <c r="BO357" s="534"/>
      <c r="BP357" s="534"/>
      <c r="BQ357" s="534"/>
      <c r="BR357" s="534"/>
      <c r="BS357" s="464"/>
      <c r="BU357" s="463"/>
      <c r="BV357" s="463"/>
      <c r="BW357" s="463"/>
      <c r="BY357" s="463"/>
      <c r="BZ357" s="463"/>
      <c r="CA357" s="463"/>
      <c r="CB357" s="463"/>
      <c r="CC357" s="463"/>
      <c r="CD357" s="464"/>
      <c r="CE357" s="464"/>
      <c r="CF357" s="464"/>
      <c r="CG357" s="464"/>
      <c r="CH357" s="464"/>
      <c r="CI357" s="464"/>
      <c r="CJ357" s="464"/>
      <c r="DF357" s="463"/>
      <c r="DG357" s="463"/>
      <c r="DH357" s="463"/>
      <c r="DI357" s="463"/>
    </row>
    <row r="358" spans="1:123" outlineLevel="1">
      <c r="F358" s="464"/>
      <c r="G358" s="464"/>
      <c r="H358" s="464"/>
      <c r="I358" s="762"/>
      <c r="J358" s="464"/>
      <c r="K358" s="464"/>
      <c r="L358" s="464"/>
      <c r="M358" s="763"/>
      <c r="N358" s="763"/>
      <c r="O358" s="763"/>
      <c r="P358" s="763"/>
      <c r="Q358" s="763"/>
      <c r="R358" s="763"/>
      <c r="S358" s="464"/>
      <c r="T358" s="464"/>
      <c r="U358" s="464"/>
      <c r="V358" s="464"/>
      <c r="W358" s="464"/>
      <c r="X358" s="464"/>
      <c r="Y358" s="464"/>
      <c r="Z358" s="759"/>
      <c r="AA358" s="464"/>
      <c r="AB358" s="464"/>
      <c r="AC358" s="464"/>
      <c r="AD358" s="464"/>
      <c r="AE358" s="464"/>
      <c r="AF358" s="464"/>
      <c r="AG358" s="534"/>
      <c r="AH358" s="464"/>
      <c r="AI358" s="464"/>
      <c r="AJ358" s="464"/>
      <c r="AK358" s="464"/>
      <c r="AL358" s="464"/>
      <c r="AM358" s="464"/>
      <c r="AN358" s="464"/>
      <c r="AO358" s="464"/>
      <c r="AP358" s="464"/>
      <c r="AQ358" s="464"/>
      <c r="AR358" s="464"/>
      <c r="AS358" s="464"/>
      <c r="AT358" s="464"/>
      <c r="AU358" s="464"/>
      <c r="AV358" s="464"/>
      <c r="AW358" s="464"/>
      <c r="AX358" s="464"/>
      <c r="AY358" s="464"/>
      <c r="AZ358" s="464"/>
      <c r="BA358" s="464"/>
      <c r="BB358" s="464"/>
      <c r="BC358" s="623"/>
      <c r="BD358" s="623"/>
      <c r="BE358" s="623"/>
      <c r="BF358" s="623"/>
      <c r="BG358" s="623"/>
      <c r="BH358" s="534"/>
      <c r="BI358" s="534"/>
      <c r="BJ358" s="534"/>
      <c r="BK358" s="534"/>
      <c r="BL358" s="534"/>
      <c r="BM358" s="534"/>
      <c r="BN358" s="464"/>
      <c r="BO358" s="534"/>
      <c r="BP358" s="534"/>
      <c r="BQ358" s="534"/>
      <c r="BR358" s="534"/>
      <c r="BS358" s="464"/>
      <c r="BU358" s="463"/>
      <c r="BV358" s="463"/>
      <c r="BW358" s="463"/>
      <c r="BY358" s="463"/>
      <c r="BZ358" s="463"/>
      <c r="CA358" s="463"/>
      <c r="CB358" s="463"/>
      <c r="CC358" s="463"/>
      <c r="CD358" s="464"/>
      <c r="CE358" s="464"/>
      <c r="CF358" s="464"/>
      <c r="CG358" s="464"/>
      <c r="CH358" s="464"/>
      <c r="CI358" s="464"/>
      <c r="CJ358" s="464"/>
      <c r="DF358" s="463"/>
      <c r="DG358" s="463"/>
      <c r="DH358" s="463"/>
      <c r="DI358" s="463"/>
    </row>
    <row r="359" spans="1:123" outlineLevel="1">
      <c r="F359" s="464"/>
      <c r="G359" s="764"/>
      <c r="H359" s="764"/>
      <c r="I359" s="464"/>
      <c r="J359" s="464"/>
      <c r="K359" s="464"/>
      <c r="L359" s="464"/>
      <c r="M359" s="464"/>
      <c r="N359" s="464"/>
      <c r="O359" s="464"/>
      <c r="P359" s="464"/>
      <c r="Q359" s="464"/>
      <c r="R359" s="464"/>
      <c r="S359" s="464"/>
      <c r="T359" s="464"/>
      <c r="U359" s="464"/>
      <c r="V359" s="464"/>
      <c r="W359" s="464"/>
      <c r="X359" s="464"/>
      <c r="Y359" s="464"/>
      <c r="Z359" s="759"/>
      <c r="AA359" s="464"/>
      <c r="AB359" s="464"/>
      <c r="AC359" s="464"/>
      <c r="AD359" s="464"/>
      <c r="AE359" s="464"/>
      <c r="AF359" s="464"/>
      <c r="AG359" s="534"/>
      <c r="AH359" s="464"/>
      <c r="AI359" s="464"/>
      <c r="AJ359" s="464"/>
      <c r="AK359" s="464"/>
      <c r="AL359" s="464"/>
      <c r="AM359" s="464"/>
      <c r="AN359" s="464"/>
      <c r="AO359" s="464"/>
      <c r="AP359" s="464"/>
      <c r="AQ359" s="464"/>
      <c r="AR359" s="464"/>
      <c r="AS359" s="464"/>
      <c r="AT359" s="464"/>
      <c r="AU359" s="464"/>
      <c r="AV359" s="464"/>
      <c r="AW359" s="464"/>
      <c r="AX359" s="464"/>
      <c r="AY359" s="464"/>
      <c r="AZ359" s="464"/>
      <c r="BA359" s="464"/>
      <c r="BB359" s="464"/>
      <c r="BC359" s="623"/>
      <c r="BD359" s="623"/>
      <c r="BE359" s="623"/>
      <c r="BF359" s="623"/>
      <c r="BG359" s="623"/>
      <c r="BH359" s="534"/>
      <c r="BI359" s="534"/>
      <c r="BJ359" s="534"/>
      <c r="BK359" s="534"/>
      <c r="BL359" s="534"/>
      <c r="BM359" s="534"/>
      <c r="BN359" s="464"/>
      <c r="BO359" s="534"/>
      <c r="BP359" s="534"/>
      <c r="BQ359" s="534"/>
      <c r="BR359" s="534"/>
      <c r="BS359" s="464"/>
      <c r="BU359" s="463"/>
      <c r="BV359" s="463"/>
      <c r="BW359" s="463"/>
      <c r="BY359" s="463"/>
      <c r="BZ359" s="463"/>
      <c r="CA359" s="463"/>
      <c r="CB359" s="463"/>
      <c r="CC359" s="463"/>
      <c r="CD359" s="464"/>
      <c r="CE359" s="464"/>
      <c r="CF359" s="464"/>
      <c r="CG359" s="464"/>
      <c r="CH359" s="464"/>
      <c r="CI359" s="464"/>
      <c r="CJ359" s="464"/>
      <c r="DF359" s="463"/>
      <c r="DG359" s="463"/>
      <c r="DH359" s="463"/>
      <c r="DI359" s="463"/>
    </row>
    <row r="360" spans="1:123" outlineLevel="1">
      <c r="C360" s="628"/>
      <c r="D360" s="628"/>
      <c r="E360" s="628"/>
      <c r="F360" s="628"/>
      <c r="G360" s="628"/>
      <c r="H360" s="628"/>
      <c r="I360" s="628"/>
      <c r="J360" s="628">
        <f t="shared" ref="J360:S360" si="508">J336+J337</f>
        <v>7097763161.0500011</v>
      </c>
      <c r="K360" s="628">
        <f t="shared" si="508"/>
        <v>3643920224.5692139</v>
      </c>
      <c r="L360" s="628">
        <f t="shared" si="508"/>
        <v>3994167108.0178752</v>
      </c>
      <c r="M360" s="628">
        <f t="shared" si="508"/>
        <v>10741683385.619215</v>
      </c>
      <c r="N360" s="628">
        <f t="shared" si="508"/>
        <v>10581801640.260002</v>
      </c>
      <c r="O360" s="628">
        <f t="shared" si="508"/>
        <v>4581288198.0499992</v>
      </c>
      <c r="P360" s="628">
        <f t="shared" si="508"/>
        <v>15163089838.310001</v>
      </c>
      <c r="Q360" s="628">
        <f t="shared" si="508"/>
        <v>427239344.67291033</v>
      </c>
      <c r="R360" s="628"/>
      <c r="S360" s="628">
        <f t="shared" si="508"/>
        <v>13134377701.899509</v>
      </c>
      <c r="T360" s="628"/>
      <c r="U360" s="628"/>
      <c r="V360" s="628"/>
      <c r="W360" s="628"/>
      <c r="X360" s="628"/>
      <c r="Y360" s="628"/>
      <c r="Z360" s="745"/>
      <c r="AA360" s="628"/>
      <c r="AB360" s="628"/>
      <c r="AC360" s="628"/>
      <c r="AD360" s="628"/>
      <c r="AE360" s="628"/>
      <c r="AF360" s="628"/>
      <c r="AG360" s="571"/>
      <c r="AH360" s="628"/>
      <c r="AI360" s="628"/>
      <c r="AJ360" s="628"/>
      <c r="AK360" s="628"/>
      <c r="AL360" s="628"/>
      <c r="AM360" s="628"/>
      <c r="AN360" s="628"/>
      <c r="AO360" s="628"/>
      <c r="AP360" s="628"/>
      <c r="AQ360" s="628"/>
      <c r="AR360" s="628"/>
      <c r="AS360" s="628"/>
      <c r="AT360" s="628"/>
      <c r="AU360" s="628"/>
      <c r="AV360" s="628"/>
      <c r="AW360" s="628"/>
      <c r="AX360" s="628"/>
      <c r="AY360" s="628"/>
      <c r="AZ360" s="628"/>
      <c r="BA360" s="628"/>
      <c r="BB360" s="628"/>
      <c r="BC360" s="746"/>
      <c r="BD360" s="746"/>
      <c r="BE360" s="746"/>
      <c r="BF360" s="746"/>
      <c r="BG360" s="746"/>
      <c r="BH360" s="571"/>
      <c r="BI360" s="571"/>
      <c r="BJ360" s="571"/>
      <c r="BK360" s="571"/>
      <c r="BL360" s="571"/>
      <c r="BM360" s="571"/>
      <c r="BN360" s="628"/>
      <c r="BO360" s="571"/>
      <c r="BP360" s="571"/>
      <c r="BQ360" s="571"/>
      <c r="BR360" s="571"/>
      <c r="BS360" s="628"/>
      <c r="BU360" s="463"/>
      <c r="BV360" s="463"/>
      <c r="BW360" s="463"/>
      <c r="BY360" s="463"/>
      <c r="BZ360" s="463"/>
      <c r="CA360" s="463"/>
      <c r="CB360" s="463"/>
      <c r="CC360" s="463"/>
      <c r="CD360" s="628"/>
      <c r="CE360" s="628"/>
      <c r="CF360" s="628"/>
      <c r="CG360" s="628"/>
      <c r="CH360" s="628"/>
      <c r="CI360" s="628"/>
      <c r="CJ360" s="628"/>
      <c r="DF360" s="463"/>
      <c r="DG360" s="463"/>
      <c r="DH360" s="463"/>
      <c r="DI360" s="463"/>
    </row>
    <row r="361" spans="1:123" s="766" customFormat="1" outlineLevel="1">
      <c r="A361" s="765"/>
      <c r="C361" s="767">
        <f>C241+C303-C243-C244</f>
        <v>823003435.93999994</v>
      </c>
      <c r="D361" s="767">
        <f>D241+D303-D243-D244</f>
        <v>5376145.6299999952</v>
      </c>
      <c r="E361" s="767">
        <f>E241+E303-E243-E244</f>
        <v>141259356.45000005</v>
      </c>
      <c r="F361" s="767">
        <f>F241+F303-F243-F244</f>
        <v>328645087.87000012</v>
      </c>
      <c r="G361" s="767">
        <f>G241+G303-G243-G244</f>
        <v>50494775.32008636</v>
      </c>
      <c r="H361" s="767"/>
      <c r="I361" s="767"/>
      <c r="J361" s="767">
        <f>J241+J303-J243-J244</f>
        <v>297567239.44999999</v>
      </c>
      <c r="K361" s="767">
        <f>K241+K303-K243-K244</f>
        <v>73015379.330000043</v>
      </c>
      <c r="L361" s="767">
        <f>L241+L303-L243-L244</f>
        <v>163267680.25199997</v>
      </c>
      <c r="M361" s="767"/>
      <c r="N361" s="767"/>
      <c r="O361" s="767"/>
      <c r="P361" s="767"/>
      <c r="Q361" s="767"/>
      <c r="R361" s="767"/>
      <c r="S361" s="767"/>
      <c r="T361" s="767"/>
      <c r="U361" s="767"/>
      <c r="V361" s="767"/>
      <c r="W361" s="767"/>
      <c r="X361" s="767"/>
      <c r="Y361" s="767"/>
      <c r="Z361" s="745"/>
      <c r="AA361" s="767"/>
      <c r="AB361" s="767"/>
      <c r="AC361" s="767"/>
      <c r="AD361" s="767"/>
      <c r="AE361" s="767"/>
      <c r="AF361" s="767"/>
      <c r="AG361" s="571"/>
      <c r="AH361" s="767"/>
      <c r="AI361" s="767"/>
      <c r="AJ361" s="767"/>
      <c r="AK361" s="767"/>
      <c r="AL361" s="767"/>
      <c r="AM361" s="767"/>
      <c r="AN361" s="767"/>
      <c r="AO361" s="767"/>
      <c r="AP361" s="767"/>
      <c r="AQ361" s="767"/>
      <c r="AR361" s="767"/>
      <c r="AS361" s="767"/>
      <c r="AT361" s="767"/>
      <c r="AU361" s="767"/>
      <c r="AV361" s="767"/>
      <c r="AW361" s="767"/>
      <c r="AX361" s="767"/>
      <c r="AY361" s="767"/>
      <c r="AZ361" s="767"/>
      <c r="BA361" s="767"/>
      <c r="BB361" s="767"/>
      <c r="BC361" s="746"/>
      <c r="BD361" s="746"/>
      <c r="BE361" s="746"/>
      <c r="BF361" s="746"/>
      <c r="BG361" s="746"/>
      <c r="BH361" s="571"/>
      <c r="BI361" s="571"/>
      <c r="BJ361" s="571"/>
      <c r="BK361" s="571"/>
      <c r="BL361" s="571"/>
      <c r="BM361" s="571"/>
      <c r="BN361" s="767"/>
      <c r="BO361" s="571"/>
      <c r="BP361" s="571"/>
      <c r="BQ361" s="571"/>
      <c r="BR361" s="571"/>
      <c r="BS361" s="767"/>
      <c r="BT361" s="768"/>
      <c r="BU361" s="463"/>
      <c r="BV361" s="463"/>
      <c r="BW361" s="463"/>
      <c r="BX361" s="465"/>
      <c r="BY361" s="463"/>
      <c r="BZ361" s="463"/>
      <c r="CA361" s="463"/>
      <c r="CB361" s="463"/>
      <c r="CC361" s="463"/>
      <c r="CD361" s="767"/>
      <c r="CE361" s="767"/>
      <c r="CF361" s="767"/>
      <c r="CG361" s="767"/>
      <c r="CH361" s="767"/>
      <c r="CI361" s="767"/>
      <c r="CJ361" s="767"/>
      <c r="CK361" s="769"/>
      <c r="CL361" s="769"/>
      <c r="CS361" s="768"/>
      <c r="CT361" s="768"/>
      <c r="CU361" s="768"/>
      <c r="CV361" s="768"/>
      <c r="CW361" s="768"/>
      <c r="DF361" s="463"/>
      <c r="DG361" s="463"/>
      <c r="DH361" s="463"/>
      <c r="DI361" s="463"/>
      <c r="DJ361" s="768"/>
      <c r="DK361" s="768"/>
      <c r="DL361" s="768"/>
      <c r="DM361" s="768"/>
      <c r="DN361" s="768"/>
      <c r="DO361" s="768"/>
      <c r="DP361" s="768"/>
      <c r="DQ361" s="768"/>
      <c r="DR361" s="768"/>
      <c r="DS361" s="768"/>
    </row>
    <row r="362" spans="1:123" outlineLevel="1">
      <c r="C362" s="628"/>
      <c r="D362" s="628"/>
      <c r="E362" s="628"/>
      <c r="F362" s="628"/>
      <c r="G362" s="628"/>
      <c r="H362" s="628"/>
      <c r="I362" s="628"/>
      <c r="J362" s="628"/>
      <c r="K362" s="628"/>
      <c r="L362" s="628"/>
      <c r="M362" s="628"/>
      <c r="N362" s="628"/>
      <c r="O362" s="628"/>
      <c r="P362" s="628"/>
      <c r="Q362" s="628"/>
      <c r="R362" s="628"/>
      <c r="S362" s="628"/>
      <c r="T362" s="628"/>
      <c r="U362" s="628"/>
      <c r="V362" s="628"/>
      <c r="W362" s="628"/>
      <c r="X362" s="628"/>
      <c r="Y362" s="628"/>
      <c r="Z362" s="745"/>
      <c r="AA362" s="628"/>
      <c r="AB362" s="628"/>
      <c r="AC362" s="628"/>
      <c r="AD362" s="628"/>
      <c r="AE362" s="628"/>
      <c r="AF362" s="628"/>
      <c r="AG362" s="571"/>
      <c r="AH362" s="628"/>
      <c r="AI362" s="628"/>
      <c r="AJ362" s="628"/>
      <c r="AK362" s="628"/>
      <c r="AL362" s="628"/>
      <c r="AM362" s="628"/>
      <c r="AN362" s="628"/>
      <c r="AO362" s="628"/>
      <c r="AP362" s="628"/>
      <c r="AQ362" s="628"/>
      <c r="AR362" s="628"/>
      <c r="AS362" s="628"/>
      <c r="AT362" s="628"/>
      <c r="AU362" s="628"/>
      <c r="AV362" s="628"/>
      <c r="AW362" s="628"/>
      <c r="AX362" s="628"/>
      <c r="AY362" s="628"/>
      <c r="AZ362" s="628"/>
      <c r="BA362" s="628"/>
      <c r="BB362" s="628"/>
      <c r="BC362" s="746"/>
      <c r="BD362" s="746"/>
      <c r="BE362" s="746"/>
      <c r="BF362" s="746"/>
      <c r="BG362" s="746"/>
      <c r="BH362" s="571"/>
      <c r="BI362" s="571"/>
      <c r="BJ362" s="571"/>
      <c r="BK362" s="571"/>
      <c r="BL362" s="571"/>
      <c r="BM362" s="571"/>
      <c r="BN362" s="628"/>
      <c r="BO362" s="571"/>
      <c r="BP362" s="571"/>
      <c r="BQ362" s="571"/>
      <c r="BR362" s="571"/>
      <c r="BS362" s="628"/>
      <c r="BU362" s="463"/>
      <c r="BV362" s="463"/>
      <c r="BW362" s="463"/>
      <c r="BY362" s="463"/>
      <c r="BZ362" s="463"/>
      <c r="CA362" s="463"/>
      <c r="CB362" s="463"/>
      <c r="CC362" s="463"/>
      <c r="CD362" s="628"/>
      <c r="CE362" s="628"/>
      <c r="CF362" s="628"/>
      <c r="CG362" s="628"/>
      <c r="CH362" s="628"/>
      <c r="CI362" s="628"/>
      <c r="CJ362" s="628"/>
      <c r="DF362" s="463"/>
      <c r="DG362" s="463"/>
      <c r="DH362" s="463"/>
      <c r="DI362" s="463"/>
    </row>
    <row r="363" spans="1:123" outlineLevel="1">
      <c r="C363" s="628"/>
      <c r="D363" s="628"/>
      <c r="E363" s="628"/>
      <c r="F363" s="628"/>
      <c r="G363" s="628"/>
      <c r="H363" s="628"/>
      <c r="I363" s="628"/>
      <c r="J363" s="628"/>
      <c r="K363" s="628"/>
      <c r="L363" s="628"/>
      <c r="M363" s="628"/>
      <c r="N363" s="628"/>
      <c r="O363" s="628"/>
      <c r="P363" s="628"/>
      <c r="Q363" s="628"/>
      <c r="R363" s="628"/>
      <c r="S363" s="628"/>
      <c r="T363" s="628"/>
      <c r="U363" s="628"/>
      <c r="V363" s="628"/>
      <c r="W363" s="628"/>
      <c r="X363" s="628"/>
      <c r="Y363" s="628"/>
      <c r="Z363" s="745"/>
      <c r="AA363" s="628"/>
      <c r="AB363" s="628"/>
      <c r="AC363" s="628"/>
      <c r="AD363" s="628"/>
      <c r="AE363" s="628"/>
      <c r="AF363" s="628"/>
      <c r="AG363" s="571"/>
      <c r="AH363" s="628"/>
      <c r="AI363" s="628"/>
      <c r="AJ363" s="628"/>
      <c r="AK363" s="628"/>
      <c r="AL363" s="628"/>
      <c r="AM363" s="628"/>
      <c r="AN363" s="628"/>
      <c r="AO363" s="628"/>
      <c r="AP363" s="628"/>
      <c r="AQ363" s="628"/>
      <c r="AR363" s="628"/>
      <c r="AS363" s="628"/>
      <c r="AT363" s="628"/>
      <c r="AU363" s="628"/>
      <c r="AV363" s="628"/>
      <c r="AW363" s="628"/>
      <c r="AX363" s="628"/>
      <c r="AY363" s="628"/>
      <c r="AZ363" s="628"/>
      <c r="BA363" s="628"/>
      <c r="BB363" s="628"/>
      <c r="BC363" s="746"/>
      <c r="BD363" s="746"/>
      <c r="BE363" s="746"/>
      <c r="BF363" s="746"/>
      <c r="BG363" s="746"/>
      <c r="BH363" s="571"/>
      <c r="BI363" s="571"/>
      <c r="BJ363" s="571"/>
      <c r="BK363" s="571"/>
      <c r="BL363" s="571"/>
      <c r="BM363" s="571"/>
      <c r="BN363" s="628"/>
      <c r="BO363" s="571"/>
      <c r="BP363" s="571"/>
      <c r="BQ363" s="571"/>
      <c r="BR363" s="571"/>
      <c r="BS363" s="628"/>
      <c r="BU363" s="463"/>
      <c r="BV363" s="463"/>
      <c r="BW363" s="463"/>
      <c r="BY363" s="463"/>
      <c r="BZ363" s="463"/>
      <c r="CA363" s="463"/>
      <c r="CB363" s="463"/>
      <c r="CC363" s="463"/>
      <c r="CD363" s="628"/>
      <c r="CE363" s="628"/>
      <c r="CF363" s="628"/>
      <c r="CG363" s="628"/>
      <c r="CH363" s="628"/>
      <c r="CI363" s="628"/>
      <c r="CJ363" s="628"/>
      <c r="DF363" s="463"/>
      <c r="DG363" s="463"/>
      <c r="DH363" s="463"/>
      <c r="DI363" s="463"/>
    </row>
    <row r="364" spans="1:123" outlineLevel="1">
      <c r="F364" s="464"/>
      <c r="G364" s="464"/>
      <c r="H364" s="464"/>
      <c r="I364" s="464"/>
      <c r="J364" s="464"/>
      <c r="K364" s="464"/>
      <c r="L364" s="464"/>
      <c r="M364" s="464"/>
      <c r="N364" s="464"/>
      <c r="O364" s="464"/>
      <c r="P364" s="464"/>
      <c r="Q364" s="464"/>
      <c r="R364" s="464"/>
      <c r="S364" s="464"/>
      <c r="T364" s="464"/>
      <c r="U364" s="464"/>
      <c r="V364" s="464"/>
      <c r="W364" s="464"/>
      <c r="X364" s="464"/>
      <c r="Y364" s="464"/>
      <c r="Z364" s="759"/>
      <c r="AA364" s="464"/>
      <c r="AB364" s="464"/>
      <c r="AC364" s="464"/>
      <c r="AD364" s="464"/>
      <c r="AE364" s="464"/>
      <c r="AF364" s="464"/>
      <c r="AG364" s="534"/>
      <c r="AH364" s="464"/>
      <c r="AI364" s="464"/>
      <c r="AJ364" s="464"/>
      <c r="AK364" s="464"/>
      <c r="AL364" s="464"/>
      <c r="AM364" s="464"/>
      <c r="AN364" s="464"/>
      <c r="AO364" s="464"/>
      <c r="AP364" s="464"/>
      <c r="AQ364" s="464"/>
      <c r="AR364" s="464"/>
      <c r="AS364" s="464"/>
      <c r="AT364" s="464"/>
      <c r="AU364" s="464"/>
      <c r="AV364" s="464"/>
      <c r="AW364" s="464"/>
      <c r="AX364" s="464"/>
      <c r="AY364" s="464"/>
      <c r="AZ364" s="464"/>
      <c r="BA364" s="464"/>
      <c r="BB364" s="464"/>
      <c r="BC364" s="623"/>
      <c r="BD364" s="623"/>
      <c r="BE364" s="623"/>
      <c r="BF364" s="623"/>
      <c r="BG364" s="623"/>
      <c r="BH364" s="534"/>
      <c r="BI364" s="534"/>
      <c r="BJ364" s="534"/>
      <c r="BK364" s="534"/>
      <c r="BL364" s="534"/>
      <c r="BM364" s="534"/>
      <c r="BN364" s="464"/>
      <c r="BO364" s="534"/>
      <c r="BP364" s="534"/>
      <c r="BQ364" s="534"/>
      <c r="BR364" s="534"/>
      <c r="BS364" s="464"/>
      <c r="BU364" s="463"/>
      <c r="BV364" s="463"/>
      <c r="BW364" s="463"/>
      <c r="BX364" s="770"/>
      <c r="BY364" s="463"/>
      <c r="BZ364" s="463"/>
      <c r="CA364" s="463"/>
      <c r="CB364" s="463"/>
      <c r="CC364" s="463"/>
      <c r="CD364" s="464"/>
      <c r="CE364" s="464"/>
      <c r="CF364" s="464"/>
      <c r="CG364" s="464"/>
      <c r="CH364" s="464"/>
      <c r="CI364" s="464"/>
      <c r="CJ364" s="464"/>
      <c r="DF364" s="463"/>
      <c r="DG364" s="463"/>
      <c r="DH364" s="463"/>
      <c r="DI364" s="463"/>
    </row>
    <row r="365" spans="1:123" outlineLevel="1">
      <c r="F365" s="464"/>
      <c r="G365" s="464"/>
      <c r="H365" s="464"/>
      <c r="I365" s="464"/>
      <c r="J365" s="464"/>
      <c r="K365" s="464"/>
      <c r="L365" s="464"/>
      <c r="M365" s="464"/>
      <c r="N365" s="464"/>
      <c r="O365" s="464"/>
      <c r="P365" s="464"/>
      <c r="Q365" s="464"/>
      <c r="R365" s="464"/>
      <c r="S365" s="464"/>
      <c r="T365" s="464"/>
      <c r="U365" s="464"/>
      <c r="V365" s="464"/>
      <c r="W365" s="464"/>
      <c r="X365" s="464"/>
      <c r="Y365" s="464"/>
      <c r="Z365" s="759"/>
      <c r="AA365" s="464"/>
      <c r="AB365" s="464"/>
      <c r="AC365" s="464"/>
      <c r="AD365" s="464"/>
      <c r="AE365" s="464"/>
      <c r="AF365" s="464"/>
      <c r="AG365" s="534"/>
      <c r="AH365" s="464"/>
      <c r="AI365" s="464"/>
      <c r="AJ365" s="464"/>
      <c r="AK365" s="464"/>
      <c r="AL365" s="464"/>
      <c r="AM365" s="464"/>
      <c r="AN365" s="464"/>
      <c r="AO365" s="464"/>
      <c r="AP365" s="464"/>
      <c r="AQ365" s="464"/>
      <c r="AR365" s="464"/>
      <c r="AS365" s="464"/>
      <c r="AT365" s="464"/>
      <c r="AU365" s="464"/>
      <c r="AV365" s="464"/>
      <c r="AW365" s="464"/>
      <c r="AX365" s="464"/>
      <c r="AY365" s="464"/>
      <c r="AZ365" s="464"/>
      <c r="BA365" s="464"/>
      <c r="BB365" s="464"/>
      <c r="BC365" s="623"/>
      <c r="BD365" s="623"/>
      <c r="BE365" s="623"/>
      <c r="BF365" s="623"/>
      <c r="BG365" s="623"/>
      <c r="BH365" s="534"/>
      <c r="BI365" s="534"/>
      <c r="BJ365" s="534"/>
      <c r="BK365" s="534"/>
      <c r="BL365" s="534"/>
      <c r="BM365" s="534"/>
      <c r="BN365" s="464"/>
      <c r="BO365" s="534"/>
      <c r="BP365" s="534"/>
      <c r="BQ365" s="534"/>
      <c r="BR365" s="534"/>
      <c r="BS365" s="464"/>
      <c r="BU365" s="569"/>
      <c r="BV365" s="569"/>
      <c r="BW365" s="569"/>
      <c r="BY365" s="569"/>
      <c r="BZ365" s="569"/>
      <c r="CA365" s="569"/>
      <c r="CB365" s="569"/>
      <c r="CC365" s="569"/>
      <c r="CD365" s="464"/>
      <c r="CE365" s="464"/>
      <c r="CF365" s="464"/>
      <c r="CG365" s="464"/>
      <c r="CH365" s="464"/>
      <c r="CI365" s="464"/>
      <c r="CJ365" s="464"/>
      <c r="DF365" s="569"/>
      <c r="DG365" s="569"/>
      <c r="DH365" s="569"/>
      <c r="DI365" s="569"/>
    </row>
    <row r="366" spans="1:123" s="772" customFormat="1" outlineLevel="1">
      <c r="A366" s="771"/>
      <c r="B366" s="772" t="s">
        <v>2014</v>
      </c>
      <c r="C366" s="773">
        <f t="shared" ref="C366:N366" si="509">C5+C28+C34+C241+C303+C309</f>
        <v>19194079968.625999</v>
      </c>
      <c r="D366" s="773">
        <f t="shared" si="509"/>
        <v>16322388949.390882</v>
      </c>
      <c r="E366" s="773">
        <f t="shared" si="509"/>
        <v>18459057491.771183</v>
      </c>
      <c r="F366" s="773">
        <f t="shared" si="509"/>
        <v>17897644831.719997</v>
      </c>
      <c r="G366" s="773">
        <f t="shared" si="509"/>
        <v>12527158820.294626</v>
      </c>
      <c r="H366" s="773">
        <f t="shared" si="509"/>
        <v>0</v>
      </c>
      <c r="I366" s="773">
        <f t="shared" si="509"/>
        <v>14735850493.637091</v>
      </c>
      <c r="J366" s="773">
        <f t="shared" si="509"/>
        <v>7097763161.0500011</v>
      </c>
      <c r="K366" s="773">
        <f t="shared" si="509"/>
        <v>3643920224.5692134</v>
      </c>
      <c r="L366" s="773">
        <f t="shared" si="509"/>
        <v>3994167108.0178752</v>
      </c>
      <c r="M366" s="773">
        <f t="shared" si="509"/>
        <v>10741683385.619215</v>
      </c>
      <c r="N366" s="773">
        <f t="shared" si="509"/>
        <v>10581801640.26</v>
      </c>
      <c r="O366" s="773"/>
      <c r="P366" s="773">
        <f>P5+P28+P34+P241+P303+P309</f>
        <v>15163089838.310001</v>
      </c>
      <c r="Q366" s="773">
        <f>Q5+Q28+Q34+Q241+Q303+Q309</f>
        <v>427239344.67291033</v>
      </c>
      <c r="R366" s="773"/>
      <c r="S366" s="773">
        <f>S5+S28+S34+S241+S303+S309</f>
        <v>13134377701.899509</v>
      </c>
      <c r="T366" s="773"/>
      <c r="U366" s="773"/>
      <c r="V366" s="773"/>
      <c r="W366" s="773"/>
      <c r="X366" s="773"/>
      <c r="Y366" s="773"/>
      <c r="Z366" s="745"/>
      <c r="AA366" s="773"/>
      <c r="AB366" s="773"/>
      <c r="AC366" s="773"/>
      <c r="AD366" s="773"/>
      <c r="AE366" s="773"/>
      <c r="AF366" s="773"/>
      <c r="AG366" s="571"/>
      <c r="AH366" s="773"/>
      <c r="AI366" s="773"/>
      <c r="AJ366" s="773"/>
      <c r="AK366" s="773"/>
      <c r="AL366" s="773"/>
      <c r="AM366" s="773"/>
      <c r="AN366" s="773"/>
      <c r="AO366" s="773"/>
      <c r="AP366" s="773"/>
      <c r="AQ366" s="773"/>
      <c r="AR366" s="773"/>
      <c r="AS366" s="773"/>
      <c r="AT366" s="773"/>
      <c r="AU366" s="773"/>
      <c r="AV366" s="773"/>
      <c r="AW366" s="773"/>
      <c r="AX366" s="773"/>
      <c r="AY366" s="773"/>
      <c r="AZ366" s="773"/>
      <c r="BA366" s="773"/>
      <c r="BB366" s="773"/>
      <c r="BC366" s="746"/>
      <c r="BD366" s="746"/>
      <c r="BE366" s="746"/>
      <c r="BF366" s="746"/>
      <c r="BG366" s="746"/>
      <c r="BH366" s="571"/>
      <c r="BI366" s="571"/>
      <c r="BJ366" s="571"/>
      <c r="BK366" s="571"/>
      <c r="BL366" s="571"/>
      <c r="BM366" s="571"/>
      <c r="BN366" s="773"/>
      <c r="BO366" s="571"/>
      <c r="BP366" s="571"/>
      <c r="BQ366" s="571"/>
      <c r="BR366" s="571"/>
      <c r="BS366" s="773"/>
      <c r="BT366" s="774"/>
      <c r="BU366" s="775"/>
      <c r="BV366" s="775"/>
      <c r="BW366" s="775"/>
      <c r="BX366" s="465"/>
      <c r="BY366" s="775"/>
      <c r="BZ366" s="775"/>
      <c r="CA366" s="775"/>
      <c r="CB366" s="775"/>
      <c r="CC366" s="775"/>
      <c r="CD366" s="773"/>
      <c r="CE366" s="773"/>
      <c r="CF366" s="773"/>
      <c r="CG366" s="773"/>
      <c r="CH366" s="773"/>
      <c r="CI366" s="773"/>
      <c r="CJ366" s="773"/>
      <c r="CK366" s="776"/>
      <c r="CL366" s="776"/>
      <c r="CS366" s="774"/>
      <c r="CT366" s="774"/>
      <c r="CU366" s="774"/>
      <c r="CV366" s="774"/>
      <c r="CW366" s="774"/>
      <c r="DF366" s="775"/>
      <c r="DG366" s="775"/>
      <c r="DH366" s="775"/>
      <c r="DI366" s="775"/>
      <c r="DJ366" s="774"/>
      <c r="DK366" s="774"/>
      <c r="DL366" s="774"/>
      <c r="DM366" s="774"/>
      <c r="DN366" s="774"/>
      <c r="DO366" s="774"/>
      <c r="DP366" s="774"/>
      <c r="DQ366" s="774"/>
      <c r="DR366" s="774"/>
      <c r="DS366" s="774"/>
    </row>
    <row r="367" spans="1:123" outlineLevel="1">
      <c r="J367" s="464"/>
      <c r="K367" s="464"/>
      <c r="L367" s="464"/>
      <c r="BH367" s="738"/>
      <c r="BI367" s="738"/>
      <c r="BJ367" s="738"/>
      <c r="BK367" s="738"/>
      <c r="BO367" s="738"/>
      <c r="BP367" s="738"/>
      <c r="BU367" s="569"/>
      <c r="BV367" s="569"/>
      <c r="BW367" s="569"/>
      <c r="BY367" s="569"/>
      <c r="BZ367" s="569"/>
      <c r="CA367" s="569"/>
      <c r="CB367" s="569"/>
      <c r="CC367" s="569"/>
      <c r="DF367" s="569"/>
      <c r="DG367" s="569"/>
      <c r="DH367" s="569"/>
      <c r="DI367" s="569"/>
    </row>
    <row r="368" spans="1:123" outlineLevel="1">
      <c r="B368" s="534" t="s">
        <v>2015</v>
      </c>
      <c r="C368" s="628">
        <f t="shared" ref="C368:N368" si="510">C51+C54+C180+C262+C311+C316</f>
        <v>47666341.439999998</v>
      </c>
      <c r="D368" s="628">
        <f t="shared" si="510"/>
        <v>121829854.58</v>
      </c>
      <c r="E368" s="628">
        <f t="shared" si="510"/>
        <v>92579932.204704046</v>
      </c>
      <c r="F368" s="628">
        <f t="shared" si="510"/>
        <v>176926223.24000001</v>
      </c>
      <c r="G368" s="628">
        <f t="shared" si="510"/>
        <v>34207802.5</v>
      </c>
      <c r="H368" s="628">
        <f t="shared" si="510"/>
        <v>0</v>
      </c>
      <c r="I368" s="628">
        <f t="shared" si="510"/>
        <v>86538728.746114776</v>
      </c>
      <c r="J368" s="628">
        <f t="shared" si="510"/>
        <v>69495427.890000001</v>
      </c>
      <c r="K368" s="628">
        <f t="shared" si="510"/>
        <v>18246300.222535636</v>
      </c>
      <c r="L368" s="628">
        <f t="shared" si="510"/>
        <v>-1202999.3664208651</v>
      </c>
      <c r="M368" s="628">
        <f t="shared" si="510"/>
        <v>87741728.112535641</v>
      </c>
      <c r="N368" s="628">
        <f t="shared" si="510"/>
        <v>113493794.15000001</v>
      </c>
      <c r="O368" s="628"/>
      <c r="P368" s="588" t="e">
        <f>#REF!-#REF!</f>
        <v>#REF!</v>
      </c>
      <c r="Q368" s="628">
        <f>Q51+Q54+Q180+Q262+Q311+Q316</f>
        <v>42126715.183885217</v>
      </c>
      <c r="R368" s="628"/>
      <c r="S368" s="628">
        <f>S51+S54+S180+S262+S311+S316</f>
        <v>29091943.6200541</v>
      </c>
      <c r="T368" s="628"/>
      <c r="U368" s="628"/>
      <c r="V368" s="628"/>
      <c r="W368" s="628"/>
      <c r="X368" s="628"/>
      <c r="Y368" s="628"/>
      <c r="Z368" s="745"/>
      <c r="AA368" s="628"/>
      <c r="AB368" s="628"/>
      <c r="AC368" s="628"/>
      <c r="AD368" s="628"/>
      <c r="AE368" s="628"/>
      <c r="AF368" s="628"/>
      <c r="AG368" s="571"/>
      <c r="AH368" s="628"/>
      <c r="AI368" s="628"/>
      <c r="AJ368" s="628"/>
      <c r="AK368" s="628"/>
      <c r="AL368" s="628"/>
      <c r="AM368" s="628"/>
      <c r="AN368" s="628"/>
      <c r="AO368" s="628"/>
      <c r="AP368" s="628"/>
      <c r="AQ368" s="628"/>
      <c r="AR368" s="628"/>
      <c r="AS368" s="628"/>
      <c r="AT368" s="628"/>
      <c r="AU368" s="628"/>
      <c r="AV368" s="628"/>
      <c r="AW368" s="628"/>
      <c r="AX368" s="628"/>
      <c r="AY368" s="628"/>
      <c r="AZ368" s="628"/>
      <c r="BA368" s="628"/>
      <c r="BB368" s="628"/>
      <c r="BC368" s="746"/>
      <c r="BD368" s="746"/>
      <c r="BE368" s="746"/>
      <c r="BF368" s="746"/>
      <c r="BG368" s="746"/>
      <c r="BH368" s="571"/>
      <c r="BI368" s="571"/>
      <c r="BJ368" s="571"/>
      <c r="BK368" s="571"/>
      <c r="BL368" s="571"/>
      <c r="BM368" s="571"/>
      <c r="BN368" s="628"/>
      <c r="BO368" s="571"/>
      <c r="BP368" s="571"/>
      <c r="BQ368" s="571"/>
      <c r="BR368" s="571"/>
      <c r="BS368" s="628"/>
      <c r="BU368" s="569"/>
      <c r="BV368" s="569"/>
      <c r="BW368" s="569"/>
      <c r="BY368" s="569"/>
      <c r="BZ368" s="569"/>
      <c r="CA368" s="569"/>
      <c r="CB368" s="569"/>
      <c r="CC368" s="569"/>
      <c r="CD368" s="628"/>
      <c r="CE368" s="628"/>
      <c r="CF368" s="628"/>
      <c r="CG368" s="628"/>
      <c r="CH368" s="628"/>
      <c r="CI368" s="628"/>
      <c r="CJ368" s="628"/>
      <c r="DF368" s="569"/>
      <c r="DG368" s="569"/>
      <c r="DH368" s="569"/>
      <c r="DI368" s="569"/>
    </row>
    <row r="369" spans="1:123" outlineLevel="1">
      <c r="B369" s="534" t="s">
        <v>2016</v>
      </c>
      <c r="C369" s="628">
        <f t="shared" ref="C369:N369" si="511">C14+C19+C243+C244+C245+C246+C251+C316</f>
        <v>679919724.98000002</v>
      </c>
      <c r="D369" s="628">
        <f t="shared" si="511"/>
        <v>139322331.96000001</v>
      </c>
      <c r="E369" s="628">
        <f t="shared" si="511"/>
        <v>528180451.89999998</v>
      </c>
      <c r="F369" s="628">
        <f t="shared" si="511"/>
        <v>390347889.87</v>
      </c>
      <c r="G369" s="628">
        <f t="shared" si="511"/>
        <v>144421959.93782499</v>
      </c>
      <c r="H369" s="628">
        <f t="shared" si="511"/>
        <v>0</v>
      </c>
      <c r="I369" s="628">
        <f t="shared" si="511"/>
        <v>430740108.09000003</v>
      </c>
      <c r="J369" s="628">
        <f t="shared" si="511"/>
        <v>199030181.31999999</v>
      </c>
      <c r="K369" s="628">
        <f t="shared" si="511"/>
        <v>112381036.67</v>
      </c>
      <c r="L369" s="628">
        <f t="shared" si="511"/>
        <v>119328890.10000001</v>
      </c>
      <c r="M369" s="628">
        <f t="shared" si="511"/>
        <v>311411217.98999995</v>
      </c>
      <c r="N369" s="628">
        <f t="shared" si="511"/>
        <v>309574776.62</v>
      </c>
      <c r="O369" s="628"/>
      <c r="P369" s="588" t="e">
        <f>#REF!-#REF!</f>
        <v>#REF!</v>
      </c>
      <c r="Q369" s="628">
        <f>Q14+Q19+Q243+Q244+Q245+Q246+Q251+Q316</f>
        <v>2496504.6599999731</v>
      </c>
      <c r="R369" s="628"/>
      <c r="S369" s="628">
        <f>S14+S19+S243+S244+S245+S246+S251+S316</f>
        <v>150452457.09999999</v>
      </c>
      <c r="T369" s="628"/>
      <c r="U369" s="628"/>
      <c r="V369" s="628"/>
      <c r="W369" s="628"/>
      <c r="X369" s="628"/>
      <c r="Y369" s="628"/>
      <c r="Z369" s="745"/>
      <c r="AA369" s="628"/>
      <c r="AB369" s="628"/>
      <c r="AC369" s="628"/>
      <c r="AD369" s="628"/>
      <c r="AE369" s="628"/>
      <c r="AF369" s="628"/>
      <c r="AG369" s="571"/>
      <c r="AH369" s="628"/>
      <c r="AI369" s="628"/>
      <c r="AJ369" s="628"/>
      <c r="AK369" s="628"/>
      <c r="AL369" s="628"/>
      <c r="AM369" s="628"/>
      <c r="AN369" s="628"/>
      <c r="AO369" s="628"/>
      <c r="AP369" s="628"/>
      <c r="AQ369" s="628"/>
      <c r="AR369" s="628"/>
      <c r="AS369" s="628"/>
      <c r="AT369" s="628"/>
      <c r="AU369" s="628"/>
      <c r="AV369" s="628"/>
      <c r="AW369" s="628"/>
      <c r="AX369" s="628"/>
      <c r="AY369" s="628"/>
      <c r="AZ369" s="628"/>
      <c r="BA369" s="628"/>
      <c r="BB369" s="628"/>
      <c r="BC369" s="746"/>
      <c r="BD369" s="746"/>
      <c r="BE369" s="746"/>
      <c r="BF369" s="746"/>
      <c r="BG369" s="746"/>
      <c r="BH369" s="571"/>
      <c r="BI369" s="571"/>
      <c r="BJ369" s="571"/>
      <c r="BK369" s="571"/>
      <c r="BL369" s="571"/>
      <c r="BM369" s="571"/>
      <c r="BN369" s="628"/>
      <c r="BO369" s="571"/>
      <c r="BP369" s="571"/>
      <c r="BQ369" s="571"/>
      <c r="BR369" s="571"/>
      <c r="BS369" s="628"/>
      <c r="BU369" s="463"/>
      <c r="BV369" s="463"/>
      <c r="BW369" s="463"/>
      <c r="BX369" s="777"/>
      <c r="BY369" s="463"/>
      <c r="BZ369" s="463"/>
      <c r="CA369" s="463"/>
      <c r="CB369" s="463"/>
      <c r="CC369" s="463"/>
      <c r="CD369" s="628"/>
      <c r="CE369" s="628"/>
      <c r="CF369" s="628"/>
      <c r="CG369" s="628"/>
      <c r="CH369" s="628"/>
      <c r="CI369" s="628"/>
      <c r="CJ369" s="628"/>
      <c r="DF369" s="463"/>
      <c r="DG369" s="463"/>
      <c r="DH369" s="463"/>
      <c r="DI369" s="463"/>
    </row>
    <row r="370" spans="1:123" outlineLevel="1">
      <c r="B370" s="534" t="s">
        <v>2017</v>
      </c>
      <c r="C370" s="628">
        <f t="shared" ref="C370:N370" si="512">C18+C61+C62+C71+C93+C98+C181+C182+C200+C201+C212+C225+C228+C250+C253+C255+C257+C267+C268+C273+C280+C281+C287+C289+C290+C294+C296+C318</f>
        <v>37502654.710000001</v>
      </c>
      <c r="D370" s="628">
        <f t="shared" si="512"/>
        <v>15387773.119999999</v>
      </c>
      <c r="E370" s="628">
        <f t="shared" si="512"/>
        <v>26427797.710000001</v>
      </c>
      <c r="F370" s="628">
        <f t="shared" si="512"/>
        <v>22352523.57</v>
      </c>
      <c r="G370" s="628">
        <f t="shared" si="512"/>
        <v>13009928.645450005</v>
      </c>
      <c r="H370" s="628">
        <f t="shared" si="512"/>
        <v>0</v>
      </c>
      <c r="I370" s="628">
        <f t="shared" si="512"/>
        <v>221936623.53999999</v>
      </c>
      <c r="J370" s="628">
        <f t="shared" si="512"/>
        <v>18165360.620000001</v>
      </c>
      <c r="K370" s="628">
        <f t="shared" si="512"/>
        <v>18456878.710000001</v>
      </c>
      <c r="L370" s="628">
        <f t="shared" si="512"/>
        <v>185314384.21000001</v>
      </c>
      <c r="M370" s="628">
        <f t="shared" si="512"/>
        <v>36622239.329999998</v>
      </c>
      <c r="N370" s="628">
        <f t="shared" si="512"/>
        <v>45912166.630000003</v>
      </c>
      <c r="O370" s="628"/>
      <c r="P370" s="588" t="e">
        <f>#REF!-#REF!</f>
        <v>#REF!</v>
      </c>
      <c r="Q370" s="628">
        <f>Q18+Q61+Q62+Q71+Q93+Q98+Q181+Q182+Q200+Q201+Q212+Q225+Q228+Q250+Q253+Q255+Q257+Q267+Q268+Q273+Q280+Q281+Q287+Q289+Q290+Q294+Q296+Q318</f>
        <v>5394115.6600000001</v>
      </c>
      <c r="R370" s="628"/>
      <c r="S370" s="628">
        <f>S18+S61+S62+S71+S93+S98+S181+S182+S200+S201+S212+S225+S228+S250+S253+S255+S257+S267+S268+S273+S280+S281+S287+S289+S290+S294+S296+S318</f>
        <v>10672578.962557748</v>
      </c>
      <c r="T370" s="628"/>
      <c r="U370" s="628"/>
      <c r="V370" s="628"/>
      <c r="W370" s="628"/>
      <c r="X370" s="628"/>
      <c r="Y370" s="628"/>
      <c r="Z370" s="745"/>
      <c r="AA370" s="628"/>
      <c r="AB370" s="628"/>
      <c r="AC370" s="628"/>
      <c r="AD370" s="628"/>
      <c r="AE370" s="628"/>
      <c r="AF370" s="628"/>
      <c r="AG370" s="571"/>
      <c r="AH370" s="628"/>
      <c r="AI370" s="628"/>
      <c r="AJ370" s="628"/>
      <c r="AK370" s="628"/>
      <c r="AL370" s="628"/>
      <c r="AM370" s="628"/>
      <c r="AN370" s="628"/>
      <c r="AO370" s="628"/>
      <c r="AP370" s="628"/>
      <c r="AQ370" s="628"/>
      <c r="AR370" s="628"/>
      <c r="AS370" s="628"/>
      <c r="AT370" s="628"/>
      <c r="AU370" s="628"/>
      <c r="AV370" s="628"/>
      <c r="AW370" s="628"/>
      <c r="AX370" s="628"/>
      <c r="AY370" s="628"/>
      <c r="AZ370" s="628"/>
      <c r="BA370" s="628"/>
      <c r="BB370" s="628"/>
      <c r="BC370" s="746"/>
      <c r="BD370" s="746"/>
      <c r="BE370" s="746"/>
      <c r="BF370" s="746"/>
      <c r="BG370" s="746"/>
      <c r="BH370" s="571"/>
      <c r="BI370" s="571"/>
      <c r="BJ370" s="571"/>
      <c r="BK370" s="571"/>
      <c r="BL370" s="571"/>
      <c r="BM370" s="571"/>
      <c r="BN370" s="628"/>
      <c r="BO370" s="571"/>
      <c r="BP370" s="571"/>
      <c r="BQ370" s="571"/>
      <c r="BR370" s="571"/>
      <c r="BS370" s="628"/>
      <c r="BU370" s="463"/>
      <c r="BV370" s="463"/>
      <c r="BW370" s="463"/>
      <c r="BY370" s="463"/>
      <c r="BZ370" s="463"/>
      <c r="CA370" s="463"/>
      <c r="CB370" s="463"/>
      <c r="CC370" s="463"/>
      <c r="CD370" s="628"/>
      <c r="CE370" s="628"/>
      <c r="CF370" s="628"/>
      <c r="CG370" s="628"/>
      <c r="CH370" s="628"/>
      <c r="CI370" s="628"/>
      <c r="CJ370" s="628"/>
      <c r="DF370" s="463"/>
      <c r="DG370" s="463"/>
      <c r="DH370" s="463"/>
      <c r="DI370" s="463"/>
    </row>
    <row r="371" spans="1:123" outlineLevel="1">
      <c r="B371" s="534" t="s">
        <v>2018</v>
      </c>
      <c r="C371" s="628">
        <f t="shared" ref="C371:N371" si="513">C7+C23+C30+C119+C120+C121+C122+C123+C124+C141+C156+C185+C195+C210+C211+C213+C215+C220+C237</f>
        <v>13107078760.320002</v>
      </c>
      <c r="D371" s="628">
        <f t="shared" si="513"/>
        <v>12840566767.086708</v>
      </c>
      <c r="E371" s="628">
        <f t="shared" si="513"/>
        <v>13003948210.370001</v>
      </c>
      <c r="F371" s="628">
        <f t="shared" si="513"/>
        <v>12799220022.949999</v>
      </c>
      <c r="G371" s="628">
        <f t="shared" si="513"/>
        <v>9043316624.7603512</v>
      </c>
      <c r="H371" s="628">
        <f t="shared" si="513"/>
        <v>0</v>
      </c>
      <c r="I371" s="628">
        <f t="shared" si="513"/>
        <v>9119566343.3937626</v>
      </c>
      <c r="J371" s="628">
        <f t="shared" si="513"/>
        <v>4448960809.460001</v>
      </c>
      <c r="K371" s="628">
        <f t="shared" si="513"/>
        <v>2267348838.7919993</v>
      </c>
      <c r="L371" s="628">
        <f t="shared" si="513"/>
        <v>2403256695.1417599</v>
      </c>
      <c r="M371" s="628">
        <f t="shared" si="513"/>
        <v>6716309648.2519999</v>
      </c>
      <c r="N371" s="628">
        <f t="shared" si="513"/>
        <v>6749698443.6000004</v>
      </c>
      <c r="O371" s="628"/>
      <c r="P371" s="588" t="e">
        <f>#REF!-#REF!</f>
        <v>#REF!</v>
      </c>
      <c r="Q371" s="628">
        <f>Q7+Q23+Q30+Q119+Q120+Q121+Q122+Q123+Q124+Q141+Q156+Q185+Q195+Q210+Q211+Q213+Q215+Q220+Q237</f>
        <v>242294379.56624025</v>
      </c>
      <c r="R371" s="628"/>
      <c r="S371" s="628">
        <f>S7+S23+S30+S119+S120+S121+S122+S123+S124+S141+S156+S185+S195+S210+S211+S213+S215+S220+S237</f>
        <v>9417243731.7123699</v>
      </c>
      <c r="T371" s="628"/>
      <c r="U371" s="628"/>
      <c r="V371" s="628"/>
      <c r="W371" s="628"/>
      <c r="X371" s="628"/>
      <c r="Y371" s="628"/>
      <c r="Z371" s="745"/>
      <c r="AA371" s="628"/>
      <c r="AB371" s="628"/>
      <c r="AC371" s="628"/>
      <c r="AD371" s="628"/>
      <c r="AE371" s="628"/>
      <c r="AF371" s="628"/>
      <c r="AG371" s="571"/>
      <c r="AH371" s="628"/>
      <c r="AI371" s="628"/>
      <c r="AJ371" s="628"/>
      <c r="AK371" s="628"/>
      <c r="AL371" s="628"/>
      <c r="AM371" s="628"/>
      <c r="AN371" s="628"/>
      <c r="AO371" s="628"/>
      <c r="AP371" s="628"/>
      <c r="AQ371" s="628"/>
      <c r="AR371" s="628"/>
      <c r="AS371" s="628"/>
      <c r="AT371" s="628"/>
      <c r="AU371" s="628"/>
      <c r="AV371" s="628"/>
      <c r="AW371" s="628"/>
      <c r="AX371" s="628"/>
      <c r="AY371" s="628"/>
      <c r="AZ371" s="628"/>
      <c r="BA371" s="628"/>
      <c r="BB371" s="628"/>
      <c r="BC371" s="746"/>
      <c r="BD371" s="746"/>
      <c r="BE371" s="746"/>
      <c r="BF371" s="746"/>
      <c r="BG371" s="746"/>
      <c r="BH371" s="571"/>
      <c r="BI371" s="571"/>
      <c r="BJ371" s="571"/>
      <c r="BK371" s="571"/>
      <c r="BL371" s="571"/>
      <c r="BM371" s="571"/>
      <c r="BN371" s="628"/>
      <c r="BO371" s="571"/>
      <c r="BP371" s="571"/>
      <c r="BQ371" s="571"/>
      <c r="BR371" s="571"/>
      <c r="BS371" s="628"/>
      <c r="BU371" s="778"/>
      <c r="BV371" s="778"/>
      <c r="BW371" s="778"/>
      <c r="BY371" s="778"/>
      <c r="BZ371" s="778"/>
      <c r="CA371" s="778"/>
      <c r="CB371" s="778"/>
      <c r="CC371" s="778"/>
      <c r="CD371" s="628"/>
      <c r="CE371" s="628"/>
      <c r="CF371" s="628"/>
      <c r="CG371" s="628"/>
      <c r="CH371" s="628"/>
      <c r="CI371" s="628"/>
      <c r="CJ371" s="628"/>
      <c r="DF371" s="778"/>
      <c r="DG371" s="778"/>
      <c r="DH371" s="778"/>
      <c r="DI371" s="778"/>
    </row>
    <row r="372" spans="1:123" outlineLevel="1">
      <c r="B372" s="534" t="s">
        <v>2019</v>
      </c>
      <c r="C372" s="628">
        <f t="shared" ref="C372:N372" si="514">C16+C17+C49+C73+C74+C75+C76+C77+C78+C79+C80+C81+C82+C83+C84+C171+C175+C176+C202+C203+C204+C205+C227+C247+C248+C249+C252+C275+C21</f>
        <v>1971547871.3099999</v>
      </c>
      <c r="D372" s="628">
        <f t="shared" si="514"/>
        <v>1147195663.0700002</v>
      </c>
      <c r="E372" s="628">
        <f t="shared" si="514"/>
        <v>1726964956.96</v>
      </c>
      <c r="F372" s="628">
        <f t="shared" si="514"/>
        <v>1694317484.6199996</v>
      </c>
      <c r="G372" s="628">
        <f t="shared" si="514"/>
        <v>1377038698.7072806</v>
      </c>
      <c r="H372" s="628">
        <f t="shared" si="514"/>
        <v>0</v>
      </c>
      <c r="I372" s="628">
        <f t="shared" si="514"/>
        <v>1429751852.2800004</v>
      </c>
      <c r="J372" s="628">
        <f t="shared" si="514"/>
        <v>734810843.70000005</v>
      </c>
      <c r="K372" s="628">
        <f t="shared" si="514"/>
        <v>347758355.70999998</v>
      </c>
      <c r="L372" s="628">
        <f t="shared" si="514"/>
        <v>347182652.87</v>
      </c>
      <c r="M372" s="628">
        <f t="shared" si="514"/>
        <v>1082569199.4099998</v>
      </c>
      <c r="N372" s="628">
        <f t="shared" si="514"/>
        <v>1079845787.8199999</v>
      </c>
      <c r="O372" s="628"/>
      <c r="P372" s="588" t="e">
        <f>#REF!-#REF!</f>
        <v>#REF!</v>
      </c>
      <c r="Q372" s="628">
        <f>Q16+Q17+Q49+Q73+Q74+Q75+Q76+Q77+Q78+Q79+Q80+Q81+Q82+Q83+Q84+Q171+Q175+Q176+Q202+Q203+Q204+Q205+Q227+Q247+Q248+Q249+Q252+Q275+Q21</f>
        <v>1764175.1899998952</v>
      </c>
      <c r="R372" s="628"/>
      <c r="S372" s="628">
        <f>S16+S17+S49+S73+S74+S75+S76+S77+S78+S79+S80+S81+S82+S83+S84+S171+S175+S176+S202+S203+S204+S205+S227+S247+S248+S249+S252+S275+S21</f>
        <v>1414508943.4205999</v>
      </c>
      <c r="T372" s="628"/>
      <c r="U372" s="628"/>
      <c r="V372" s="628"/>
      <c r="W372" s="628"/>
      <c r="X372" s="628"/>
      <c r="Y372" s="628"/>
      <c r="Z372" s="745"/>
      <c r="AA372" s="628"/>
      <c r="AB372" s="628"/>
      <c r="AC372" s="628"/>
      <c r="AD372" s="628"/>
      <c r="AE372" s="628"/>
      <c r="AF372" s="628"/>
      <c r="AG372" s="571"/>
      <c r="AH372" s="628"/>
      <c r="AI372" s="628"/>
      <c r="AJ372" s="628"/>
      <c r="AK372" s="628"/>
      <c r="AL372" s="628"/>
      <c r="AM372" s="628"/>
      <c r="AN372" s="628"/>
      <c r="AO372" s="628"/>
      <c r="AP372" s="628"/>
      <c r="AQ372" s="628"/>
      <c r="AR372" s="628"/>
      <c r="AS372" s="628"/>
      <c r="AT372" s="628"/>
      <c r="AU372" s="628"/>
      <c r="AV372" s="628"/>
      <c r="AW372" s="628"/>
      <c r="AX372" s="628"/>
      <c r="AY372" s="628"/>
      <c r="AZ372" s="628"/>
      <c r="BA372" s="628"/>
      <c r="BB372" s="628"/>
      <c r="BC372" s="746"/>
      <c r="BD372" s="746"/>
      <c r="BE372" s="746"/>
      <c r="BF372" s="746"/>
      <c r="BG372" s="746"/>
      <c r="BH372" s="571"/>
      <c r="BI372" s="571"/>
      <c r="BJ372" s="571"/>
      <c r="BK372" s="571"/>
      <c r="BL372" s="571"/>
      <c r="BM372" s="571"/>
      <c r="BN372" s="628"/>
      <c r="BO372" s="571"/>
      <c r="BP372" s="571"/>
      <c r="BQ372" s="571"/>
      <c r="BR372" s="571"/>
      <c r="BS372" s="628"/>
      <c r="BU372" s="752"/>
      <c r="BV372" s="752"/>
      <c r="BW372" s="752"/>
      <c r="BY372" s="752"/>
      <c r="BZ372" s="752"/>
      <c r="CA372" s="752"/>
      <c r="CB372" s="752"/>
      <c r="CC372" s="752"/>
      <c r="CD372" s="628"/>
      <c r="CE372" s="628"/>
      <c r="CF372" s="628"/>
      <c r="CG372" s="628"/>
      <c r="CH372" s="628"/>
      <c r="CI372" s="628"/>
      <c r="CJ372" s="628"/>
      <c r="DF372" s="752"/>
      <c r="DG372" s="752"/>
      <c r="DH372" s="752"/>
      <c r="DI372" s="752"/>
    </row>
    <row r="373" spans="1:123" outlineLevel="1">
      <c r="B373" s="534" t="s">
        <v>2020</v>
      </c>
      <c r="C373" s="628">
        <f t="shared" ref="C373:N373" si="515">C11+C12+C65+C67+C68+C69+C70+C86+C87+C88+C89+C90+C91+C104+C105+C106+C107+C108+C109+C110+C111+C113+C114+C115+C116+C117+C118+C125+C126+C127+C128+C129+C130+C131+C132+C133+C134+C147+C148+C149+C150+C151+C152+C153+C154+C155+C157+C159+C161+C162+C163+C164+C165+C166+C167+C168+C169+C172+C173+C174+C178+C179+C186+C187+C188+C189+C190+C191+C192+C194+C196+C197+C198+C199+C206+C207+C208+C214+C217+C218+C219+C221+C223+C224+C226+C229+C233+C236+C263+C269</f>
        <v>524248570.35999995</v>
      </c>
      <c r="D373" s="628">
        <f t="shared" si="515"/>
        <v>551006540.28217936</v>
      </c>
      <c r="E373" s="628">
        <f t="shared" si="515"/>
        <v>626623354.97628927</v>
      </c>
      <c r="F373" s="628">
        <f t="shared" si="515"/>
        <v>571947351.70000005</v>
      </c>
      <c r="G373" s="628">
        <f t="shared" si="515"/>
        <v>487144962.26967388</v>
      </c>
      <c r="H373" s="628">
        <f t="shared" si="515"/>
        <v>0</v>
      </c>
      <c r="I373" s="628">
        <f t="shared" si="515"/>
        <v>615004670.36999977</v>
      </c>
      <c r="J373" s="628">
        <f t="shared" si="515"/>
        <v>229009378.47999996</v>
      </c>
      <c r="K373" s="628">
        <f t="shared" si="515"/>
        <v>203307093.47999996</v>
      </c>
      <c r="L373" s="628">
        <f t="shared" si="515"/>
        <v>182688198.40999994</v>
      </c>
      <c r="M373" s="628">
        <f t="shared" si="515"/>
        <v>432316471.9599998</v>
      </c>
      <c r="N373" s="628">
        <f t="shared" si="515"/>
        <v>381725722.85000014</v>
      </c>
      <c r="O373" s="628"/>
      <c r="P373" s="628">
        <f>P11+P12+P65+P67+P68+P69+P70+P86+P87+P88+P89+P90+P91+P104+P105+P106+P107+P108+P109+P110+P111+P113+P114+P115+P116+P117+P118+P125+P126+P127+P128+P129+P130+P131+P132+P133+P134+P147+P148+P149+P150+P151+P152+P153+P154+P155+P157+P159+P161+P162+P163+P164+P165+P166+P167+P168+P169+P172+P173+P174+P178+P179+P186+P187+P188+P189+P190+P191+P192+P194+P196+P197+P198+P199+P206+P207+P208+P214+P217+P218+P219+P221+P223+P224+P226+P229+P233+P236+P263+P269</f>
        <v>602148676.56999981</v>
      </c>
      <c r="Q373" s="628">
        <f>Q11+Q12+Q65+Q67+Q68+Q69+Q70+Q86+Q87+Q88+Q89+Q90+Q91+Q104+Q105+Q106+Q107+Q108+Q109+Q110+Q111+Q113+Q114+Q115+Q116+Q117+Q118+Q125+Q126+Q127+Q128+Q129+Q130+Q131+Q132+Q133+Q134+Q147+Q148+Q149+Q150+Q151+Q152+Q153+Q154+Q155+Q157+Q159+Q161+Q162+Q163+Q164+Q165+Q166+Q167+Q168+Q169+Q172+Q173+Q174+Q178+Q179+Q186+Q187+Q188+Q189+Q190+Q191+Q192+Q194+Q196+Q197+Q198+Q199+Q206+Q207+Q208+Q214+Q217+Q218+Q219+Q221+Q223+Q224+Q226+Q229+Q233+Q236+Q263+Q269</f>
        <v>-12855993.799999997</v>
      </c>
      <c r="R373" s="628"/>
      <c r="S373" s="628">
        <f>S11+S12+S65+S67+S68+S69+S70+S86+S87+S88+S89+S90+S91+S104+S105+S106+S107+S108+S109+S110+S111+S113+S114+S115+S116+S117+S118+S125+S126+S127+S128+S129+S130+S131+S132+S133+S134+S147+S148+S149+S150+S151+S152+S153+S154+S155+S157+S159+S161+S162+S163+S164+S165+S166+S167+S168+S169+S172+S173+S174+S178+S179+S186+S187+S188+S189+S190+S191+S192+S194+S196+S197+S198+S199+S206+S207+S208+S214+S217+S218+S219+S221+S223+S224+S226+S229+S233+S236+S263+S269</f>
        <v>480579644.18171453</v>
      </c>
      <c r="T373" s="628"/>
      <c r="U373" s="628"/>
      <c r="V373" s="628"/>
      <c r="W373" s="628"/>
      <c r="X373" s="628"/>
      <c r="Y373" s="628"/>
      <c r="Z373" s="745"/>
      <c r="AA373" s="628"/>
      <c r="AB373" s="628"/>
      <c r="AC373" s="628"/>
      <c r="AD373" s="628"/>
      <c r="AE373" s="628"/>
      <c r="AF373" s="628"/>
      <c r="AG373" s="571"/>
      <c r="AH373" s="628"/>
      <c r="AI373" s="628"/>
      <c r="AJ373" s="628"/>
      <c r="AK373" s="628"/>
      <c r="AL373" s="628"/>
      <c r="AM373" s="628"/>
      <c r="AN373" s="628"/>
      <c r="AO373" s="628"/>
      <c r="AP373" s="628"/>
      <c r="AQ373" s="628"/>
      <c r="AR373" s="628"/>
      <c r="AS373" s="628"/>
      <c r="AT373" s="628"/>
      <c r="AU373" s="628"/>
      <c r="AV373" s="628"/>
      <c r="AW373" s="628"/>
      <c r="AX373" s="628"/>
      <c r="AY373" s="628"/>
      <c r="AZ373" s="628"/>
      <c r="BA373" s="628"/>
      <c r="BB373" s="628"/>
      <c r="BC373" s="746"/>
      <c r="BD373" s="746"/>
      <c r="BE373" s="746"/>
      <c r="BF373" s="746"/>
      <c r="BG373" s="746"/>
      <c r="BH373" s="571"/>
      <c r="BI373" s="571"/>
      <c r="BJ373" s="571"/>
      <c r="BK373" s="571"/>
      <c r="BL373" s="571"/>
      <c r="BM373" s="571"/>
      <c r="BN373" s="628"/>
      <c r="BO373" s="571"/>
      <c r="BP373" s="571"/>
      <c r="BQ373" s="571"/>
      <c r="BR373" s="571"/>
      <c r="BS373" s="628"/>
      <c r="BU373" s="569"/>
      <c r="BV373" s="569"/>
      <c r="BW373" s="569"/>
      <c r="BY373" s="569"/>
      <c r="BZ373" s="569"/>
      <c r="CA373" s="569"/>
      <c r="CB373" s="569"/>
      <c r="CC373" s="569"/>
      <c r="CD373" s="628"/>
      <c r="CE373" s="628"/>
      <c r="CF373" s="628"/>
      <c r="CG373" s="628"/>
      <c r="CH373" s="628"/>
      <c r="CI373" s="628"/>
      <c r="CJ373" s="628"/>
      <c r="DF373" s="569"/>
      <c r="DG373" s="569"/>
      <c r="DH373" s="569"/>
      <c r="DI373" s="569"/>
    </row>
    <row r="374" spans="1:123" outlineLevel="1">
      <c r="B374" s="534" t="s">
        <v>2021</v>
      </c>
      <c r="C374" s="628">
        <f t="shared" ref="C374:N374" si="516">C92+C94+C95+C96+C97+C99+C100+C101+C103+C142+C143+C144+C145+C158+C193+C209+C235+C264+C265+C297+C266+C60+C59+C58+C57+C298</f>
        <v>33807223.540000007</v>
      </c>
      <c r="D374" s="628">
        <f t="shared" si="516"/>
        <v>29330671.741998598</v>
      </c>
      <c r="E374" s="628">
        <f t="shared" si="516"/>
        <v>30309852.469999999</v>
      </c>
      <c r="F374" s="628">
        <f t="shared" si="516"/>
        <v>37457056.959999993</v>
      </c>
      <c r="G374" s="628">
        <f t="shared" si="516"/>
        <v>20563782.893428706</v>
      </c>
      <c r="H374" s="628">
        <f t="shared" si="516"/>
        <v>0</v>
      </c>
      <c r="I374" s="628">
        <f t="shared" si="516"/>
        <v>33309175.900000006</v>
      </c>
      <c r="J374" s="628">
        <f t="shared" si="516"/>
        <v>14495418.970000003</v>
      </c>
      <c r="K374" s="628">
        <f t="shared" si="516"/>
        <v>5984135.4299999997</v>
      </c>
      <c r="L374" s="628">
        <f t="shared" si="516"/>
        <v>12829621.5</v>
      </c>
      <c r="M374" s="628">
        <f t="shared" si="516"/>
        <v>20479554.400000002</v>
      </c>
      <c r="N374" s="628">
        <f t="shared" si="516"/>
        <v>20299101.489999998</v>
      </c>
      <c r="O374" s="628"/>
      <c r="P374" s="588" t="e">
        <f>#REF!-#REF!</f>
        <v>#REF!</v>
      </c>
      <c r="Q374" s="628">
        <f>Q92+Q94+Q95+Q96+Q97+Q99+Q100+Q101+Q103+Q142+Q143+Q144+Q145+Q158+Q193+Q209+Q235+Q264+Q265+Q297+Q266+Q60+Q59+Q58+Q57+Q298</f>
        <v>2224160.3599999994</v>
      </c>
      <c r="R374" s="628"/>
      <c r="S374" s="628">
        <f>S92+S94+S95+S96+S97+S99+S100+S101+S103+S142+S143+S144+S145+S158+S193+S209+S235+S264+S265+S297+S266+S60+S59+S58+S57+S298</f>
        <v>27159345.366630163</v>
      </c>
      <c r="T374" s="628"/>
      <c r="U374" s="628"/>
      <c r="V374" s="628"/>
      <c r="W374" s="628"/>
      <c r="X374" s="628"/>
      <c r="Y374" s="628"/>
      <c r="Z374" s="745"/>
      <c r="AA374" s="628"/>
      <c r="AB374" s="628"/>
      <c r="AC374" s="628"/>
      <c r="AD374" s="628"/>
      <c r="AE374" s="628"/>
      <c r="AF374" s="628"/>
      <c r="AG374" s="571"/>
      <c r="AH374" s="628"/>
      <c r="AI374" s="628"/>
      <c r="AJ374" s="628"/>
      <c r="AK374" s="628"/>
      <c r="AL374" s="628"/>
      <c r="AM374" s="628"/>
      <c r="AN374" s="628"/>
      <c r="AO374" s="628"/>
      <c r="AP374" s="628"/>
      <c r="AQ374" s="628"/>
      <c r="AR374" s="628"/>
      <c r="AS374" s="628"/>
      <c r="AT374" s="628"/>
      <c r="AU374" s="628"/>
      <c r="AV374" s="628"/>
      <c r="AW374" s="628"/>
      <c r="AX374" s="628"/>
      <c r="AY374" s="628"/>
      <c r="AZ374" s="628"/>
      <c r="BA374" s="628"/>
      <c r="BB374" s="628"/>
      <c r="BC374" s="746"/>
      <c r="BD374" s="746"/>
      <c r="BE374" s="746"/>
      <c r="BF374" s="746"/>
      <c r="BG374" s="746"/>
      <c r="BH374" s="571"/>
      <c r="BI374" s="571"/>
      <c r="BJ374" s="571"/>
      <c r="BK374" s="571"/>
      <c r="BL374" s="571"/>
      <c r="BM374" s="571"/>
      <c r="BN374" s="628"/>
      <c r="BO374" s="571"/>
      <c r="BP374" s="571"/>
      <c r="BQ374" s="571"/>
      <c r="BR374" s="571"/>
      <c r="BS374" s="628"/>
      <c r="BU374" s="569"/>
      <c r="BV374" s="569"/>
      <c r="BW374" s="569"/>
      <c r="BY374" s="569"/>
      <c r="BZ374" s="569"/>
      <c r="CA374" s="569"/>
      <c r="CB374" s="569"/>
      <c r="CC374" s="569"/>
      <c r="CD374" s="628"/>
      <c r="CE374" s="628"/>
      <c r="CF374" s="628"/>
      <c r="CG374" s="628"/>
      <c r="CH374" s="628"/>
      <c r="CI374" s="628"/>
      <c r="CJ374" s="628"/>
      <c r="DF374" s="569"/>
      <c r="DG374" s="569"/>
      <c r="DH374" s="569"/>
      <c r="DI374" s="569"/>
    </row>
    <row r="375" spans="1:123" outlineLevel="1">
      <c r="B375" s="534" t="s">
        <v>2022</v>
      </c>
      <c r="C375" s="628">
        <f t="shared" ref="C375:N375" si="517">C136+C137+C177</f>
        <v>20461641.66</v>
      </c>
      <c r="D375" s="628">
        <f t="shared" si="517"/>
        <v>17314724.030000001</v>
      </c>
      <c r="E375" s="628">
        <f t="shared" si="517"/>
        <v>22657000</v>
      </c>
      <c r="F375" s="628">
        <f t="shared" si="517"/>
        <v>21084032.25</v>
      </c>
      <c r="G375" s="628">
        <f t="shared" si="517"/>
        <v>17114927.888876371</v>
      </c>
      <c r="H375" s="628">
        <f t="shared" si="517"/>
        <v>0</v>
      </c>
      <c r="I375" s="628">
        <f t="shared" si="517"/>
        <v>24198538.84</v>
      </c>
      <c r="J375" s="628">
        <f t="shared" si="517"/>
        <v>10752756.42</v>
      </c>
      <c r="K375" s="628">
        <f t="shared" si="517"/>
        <v>6660488.5300000003</v>
      </c>
      <c r="L375" s="628">
        <f t="shared" si="517"/>
        <v>6785293.8899999997</v>
      </c>
      <c r="M375" s="628">
        <f t="shared" si="517"/>
        <v>17413244.949999999</v>
      </c>
      <c r="N375" s="628">
        <f t="shared" si="517"/>
        <v>17646166.140000001</v>
      </c>
      <c r="O375" s="628"/>
      <c r="P375" s="628">
        <f>P136+P137+P177</f>
        <v>22480210.900000002</v>
      </c>
      <c r="Q375" s="628">
        <f>Q136+Q137+Q177</f>
        <v>-1718327.9399999997</v>
      </c>
      <c r="R375" s="628"/>
      <c r="S375" s="628">
        <f>S136+S137+S177</f>
        <v>18056248.922764566</v>
      </c>
      <c r="T375" s="628"/>
      <c r="U375" s="628"/>
      <c r="V375" s="628"/>
      <c r="W375" s="628"/>
      <c r="X375" s="628"/>
      <c r="Y375" s="628"/>
      <c r="Z375" s="745"/>
      <c r="AA375" s="628"/>
      <c r="AB375" s="628"/>
      <c r="AC375" s="628"/>
      <c r="AD375" s="628"/>
      <c r="AE375" s="628"/>
      <c r="AF375" s="628"/>
      <c r="AG375" s="571"/>
      <c r="AH375" s="628"/>
      <c r="AI375" s="628"/>
      <c r="AJ375" s="628"/>
      <c r="AK375" s="628"/>
      <c r="AL375" s="628"/>
      <c r="AM375" s="628"/>
      <c r="AN375" s="628"/>
      <c r="AO375" s="628"/>
      <c r="AP375" s="628"/>
      <c r="AQ375" s="628"/>
      <c r="AR375" s="628"/>
      <c r="AS375" s="628"/>
      <c r="AT375" s="628"/>
      <c r="AU375" s="628"/>
      <c r="AV375" s="628"/>
      <c r="AW375" s="628"/>
      <c r="AX375" s="628"/>
      <c r="AY375" s="628"/>
      <c r="AZ375" s="628"/>
      <c r="BA375" s="628"/>
      <c r="BB375" s="628"/>
      <c r="BC375" s="746"/>
      <c r="BD375" s="746"/>
      <c r="BE375" s="746"/>
      <c r="BF375" s="746"/>
      <c r="BG375" s="746"/>
      <c r="BH375" s="571"/>
      <c r="BI375" s="571"/>
      <c r="BJ375" s="571"/>
      <c r="BK375" s="571"/>
      <c r="BL375" s="571"/>
      <c r="BM375" s="571"/>
      <c r="BN375" s="628"/>
      <c r="BO375" s="571"/>
      <c r="BP375" s="571"/>
      <c r="BQ375" s="571"/>
      <c r="BR375" s="571"/>
      <c r="BS375" s="628"/>
      <c r="BU375" s="569"/>
      <c r="BV375" s="569"/>
      <c r="BW375" s="569"/>
      <c r="BY375" s="569"/>
      <c r="BZ375" s="569"/>
      <c r="CA375" s="569"/>
      <c r="CB375" s="569"/>
      <c r="CC375" s="569"/>
      <c r="CD375" s="628"/>
      <c r="CE375" s="628"/>
      <c r="CF375" s="628"/>
      <c r="CG375" s="628"/>
      <c r="CH375" s="628"/>
      <c r="CI375" s="628"/>
      <c r="CJ375" s="628"/>
      <c r="DF375" s="569"/>
      <c r="DG375" s="569"/>
      <c r="DH375" s="569"/>
      <c r="DI375" s="569"/>
    </row>
    <row r="376" spans="1:123" outlineLevel="1">
      <c r="B376" s="534" t="s">
        <v>2023</v>
      </c>
      <c r="C376" s="628">
        <f t="shared" ref="C376:N376" si="518">C10+C15+C20+C22+C24+C25+C36+C37+C39+C40+C41+C42+C43+C44+C45+C46+C47+C48+C50+C51+C52+C53+C54+C63+C64+C66+C102+C112+C138+C183+C184+C211+C216+C231+C232+C234+C254+C256+C258+C259+C260+C261+C270+C271+C272+C274+C276+C277+C278+C279+C282+C283+C284+C285+C286+C288+C291+C292+C293+C295+C305+C306+C311+C312+C313+C314+C315+C317</f>
        <v>2434503585.1160002</v>
      </c>
      <c r="D376" s="628">
        <f t="shared" si="518"/>
        <v>1581167204.8000004</v>
      </c>
      <c r="E376" s="628">
        <f t="shared" si="518"/>
        <v>1926159320.3848941</v>
      </c>
      <c r="F376" s="628">
        <f t="shared" si="518"/>
        <v>2138199094.4899993</v>
      </c>
      <c r="G376" s="628">
        <f t="shared" si="518"/>
        <v>1423521265.1917386</v>
      </c>
      <c r="H376" s="628">
        <f t="shared" si="518"/>
        <v>0</v>
      </c>
      <c r="I376" s="628">
        <f t="shared" si="518"/>
        <v>2409388867.0345149</v>
      </c>
      <c r="J376" s="628">
        <f t="shared" si="518"/>
        <v>1363562708.7</v>
      </c>
      <c r="K376" s="628">
        <f t="shared" si="518"/>
        <v>542386394.08653557</v>
      </c>
      <c r="L376" s="628">
        <f t="shared" si="518"/>
        <v>503439764.24797916</v>
      </c>
      <c r="M376" s="628">
        <f t="shared" si="518"/>
        <v>1905949102.7865357</v>
      </c>
      <c r="N376" s="628">
        <f t="shared" si="518"/>
        <v>1869333455.9200001</v>
      </c>
      <c r="O376" s="628"/>
      <c r="P376" s="628">
        <f>P10+P15+P20+P22+P24+P25+P36+P37+P39+P40+P41+P42+P43+P44+P45+P46+P47+P48+P50+P51+P52+P53+P54+P63+P64+P66+P102+P112+P138+P183+P184+P211+P216+P231+P232+P234+P254+P256+P258+P259+P260+P261+P270+P271+P272+P274+P276+P277+P278+P279+P282+P283+P284+P285+P286+P288+P291+P292+P293+P295+P305+P306+P311+P312+P313+P314+P315+P317</f>
        <v>2758334352.9500008</v>
      </c>
      <c r="Q376" s="628">
        <f>Q10+Q15+Q20+Q22+Q24+Q25+Q36+Q37+Q39+Q40+Q41+Q42+Q43+Q44+Q45+Q46+Q47+Q48+Q50+Q51+Q52+Q53+Q54+Q63+Q64+Q66+Q102+Q112+Q138+Q183+Q184+Q211+Q216+Q231+Q232+Q234+Q254+Q256+Q258+Q259+Q260+Q261+Q270+Q271+Q272+Q274+Q276+Q277+Q278+Q279+Q282+Q283+Q284+Q285+Q286+Q288+Q291+Q292+Q293+Q295+Q305+Q306+Q311+Q312+Q313+Q314+Q315+Q317</f>
        <v>348945485.91548538</v>
      </c>
      <c r="R376" s="628"/>
      <c r="S376" s="628">
        <f>S10+S15+S20+S22+S24+S25+S36+S37+S39+S40+S41+S42+S43+S44+S45+S46+S47+S48+S50+S51+S52+S53+S54+S63+S64+S66+S102+S112+S138+S183+S184+S211+S216+S231+S232+S234+S254+S256+S258+S259+S260+S261+S270+S271+S272+S274+S276+S277+S278+S279+S282+S283+S284+S285+S286+S288+S291+S292+S293+S295+S305+S306+S311+S312+S313+S314+S315+S317</f>
        <v>1614621615.3828752</v>
      </c>
      <c r="T376" s="628"/>
      <c r="U376" s="628"/>
      <c r="V376" s="628"/>
      <c r="W376" s="628"/>
      <c r="X376" s="628"/>
      <c r="Y376" s="628"/>
      <c r="Z376" s="745"/>
      <c r="AA376" s="628"/>
      <c r="AB376" s="628"/>
      <c r="AC376" s="628"/>
      <c r="AD376" s="628"/>
      <c r="AE376" s="628"/>
      <c r="AF376" s="628"/>
      <c r="AG376" s="571"/>
      <c r="AH376" s="628"/>
      <c r="AI376" s="628"/>
      <c r="AJ376" s="628"/>
      <c r="AK376" s="628"/>
      <c r="AL376" s="628"/>
      <c r="AM376" s="628"/>
      <c r="AN376" s="628"/>
      <c r="AO376" s="628"/>
      <c r="AP376" s="628"/>
      <c r="AQ376" s="628"/>
      <c r="AR376" s="628"/>
      <c r="AS376" s="628"/>
      <c r="AT376" s="628"/>
      <c r="AU376" s="628"/>
      <c r="AV376" s="628"/>
      <c r="AW376" s="628"/>
      <c r="AX376" s="628"/>
      <c r="AY376" s="628"/>
      <c r="AZ376" s="628"/>
      <c r="BA376" s="628"/>
      <c r="BB376" s="628"/>
      <c r="BC376" s="746"/>
      <c r="BD376" s="746"/>
      <c r="BE376" s="746"/>
      <c r="BF376" s="746"/>
      <c r="BG376" s="746"/>
      <c r="BH376" s="571"/>
      <c r="BI376" s="571"/>
      <c r="BJ376" s="571"/>
      <c r="BK376" s="571"/>
      <c r="BL376" s="571"/>
      <c r="BM376" s="571"/>
      <c r="BN376" s="628"/>
      <c r="BO376" s="571"/>
      <c r="BP376" s="571"/>
      <c r="BQ376" s="571"/>
      <c r="BR376" s="571"/>
      <c r="BS376" s="628"/>
      <c r="BU376" s="569"/>
      <c r="BV376" s="569"/>
      <c r="BW376" s="569"/>
      <c r="BY376" s="569"/>
      <c r="BZ376" s="569"/>
      <c r="CA376" s="569"/>
      <c r="CB376" s="569"/>
      <c r="CC376" s="569"/>
      <c r="CD376" s="628"/>
      <c r="CE376" s="628"/>
      <c r="CF376" s="628"/>
      <c r="CG376" s="628"/>
      <c r="CH376" s="628"/>
      <c r="CI376" s="628"/>
      <c r="CJ376" s="628"/>
      <c r="DF376" s="569"/>
      <c r="DG376" s="569"/>
      <c r="DH376" s="569"/>
      <c r="DI376" s="569"/>
    </row>
    <row r="377" spans="1:123" ht="21.75" customHeight="1" outlineLevel="1">
      <c r="B377" s="534" t="s">
        <v>2024</v>
      </c>
      <c r="C377" s="628">
        <f t="shared" ref="C377:N377" si="519">C8+C135+C222</f>
        <v>372764595.19000006</v>
      </c>
      <c r="D377" s="628">
        <f t="shared" si="519"/>
        <v>0</v>
      </c>
      <c r="E377" s="628">
        <f t="shared" si="519"/>
        <v>562525501</v>
      </c>
      <c r="F377" s="628">
        <f t="shared" si="519"/>
        <v>221286840.26999998</v>
      </c>
      <c r="G377" s="628">
        <f t="shared" si="519"/>
        <v>0</v>
      </c>
      <c r="H377" s="628">
        <f t="shared" si="519"/>
        <v>0</v>
      </c>
      <c r="I377" s="628">
        <f t="shared" si="519"/>
        <v>448366938.16881406</v>
      </c>
      <c r="J377" s="628">
        <f t="shared" si="519"/>
        <v>75638327.359999999</v>
      </c>
      <c r="K377" s="628">
        <f t="shared" si="519"/>
        <v>139637003.160678</v>
      </c>
      <c r="L377" s="628">
        <f t="shared" si="519"/>
        <v>233091607.64813599</v>
      </c>
      <c r="M377" s="628">
        <f t="shared" si="519"/>
        <v>215275330.52067801</v>
      </c>
      <c r="N377" s="628">
        <f t="shared" si="519"/>
        <v>107900155.36</v>
      </c>
      <c r="O377" s="628"/>
      <c r="P377" s="588" t="e">
        <f>#REF!-#REF!</f>
        <v>#REF!</v>
      </c>
      <c r="Q377" s="628">
        <f>Q8+Q135+Q222</f>
        <v>-179217515.45881405</v>
      </c>
      <c r="R377" s="628"/>
      <c r="S377" s="628">
        <f>S8+S135+S222</f>
        <v>0</v>
      </c>
      <c r="T377" s="628"/>
      <c r="U377" s="628"/>
      <c r="V377" s="628"/>
      <c r="W377" s="628"/>
      <c r="X377" s="628"/>
      <c r="Y377" s="628"/>
      <c r="Z377" s="745"/>
      <c r="AA377" s="628"/>
      <c r="AB377" s="628"/>
      <c r="AC377" s="628"/>
      <c r="AD377" s="628"/>
      <c r="AE377" s="628"/>
      <c r="AF377" s="628"/>
      <c r="AG377" s="571"/>
      <c r="AH377" s="628"/>
      <c r="AI377" s="628"/>
      <c r="AJ377" s="628"/>
      <c r="AK377" s="628"/>
      <c r="AL377" s="628"/>
      <c r="AM377" s="628"/>
      <c r="AN377" s="628"/>
      <c r="AO377" s="628"/>
      <c r="AP377" s="628"/>
      <c r="AQ377" s="628"/>
      <c r="AR377" s="628"/>
      <c r="AS377" s="628"/>
      <c r="AT377" s="628"/>
      <c r="AU377" s="628"/>
      <c r="AV377" s="628"/>
      <c r="AW377" s="628"/>
      <c r="AX377" s="628"/>
      <c r="AY377" s="628"/>
      <c r="AZ377" s="628"/>
      <c r="BA377" s="628"/>
      <c r="BB377" s="628"/>
      <c r="BC377" s="746"/>
      <c r="BD377" s="746"/>
      <c r="BE377" s="746"/>
      <c r="BF377" s="746"/>
      <c r="BG377" s="746"/>
      <c r="BH377" s="571"/>
      <c r="BI377" s="571"/>
      <c r="BJ377" s="571"/>
      <c r="BK377" s="571"/>
      <c r="BL377" s="571"/>
      <c r="BM377" s="571"/>
      <c r="BN377" s="628"/>
      <c r="BO377" s="571"/>
      <c r="BP377" s="571"/>
      <c r="BQ377" s="571"/>
      <c r="BR377" s="571"/>
      <c r="BS377" s="628"/>
      <c r="BU377" s="569"/>
      <c r="BV377" s="569"/>
      <c r="BW377" s="569"/>
      <c r="BY377" s="569"/>
      <c r="BZ377" s="569"/>
      <c r="CA377" s="569"/>
      <c r="CB377" s="569"/>
      <c r="CC377" s="569"/>
      <c r="CD377" s="628"/>
      <c r="CE377" s="628"/>
      <c r="CF377" s="628"/>
      <c r="CG377" s="628"/>
      <c r="CH377" s="628"/>
      <c r="CI377" s="628"/>
      <c r="CJ377" s="628"/>
      <c r="DF377" s="569"/>
      <c r="DG377" s="569"/>
      <c r="DH377" s="569"/>
      <c r="DI377" s="569"/>
    </row>
    <row r="378" spans="1:123" outlineLevel="1">
      <c r="J378" s="628"/>
      <c r="K378" s="628"/>
      <c r="L378" s="628"/>
      <c r="BH378" s="738"/>
      <c r="BI378" s="738"/>
      <c r="BJ378" s="738"/>
      <c r="BK378" s="738"/>
      <c r="BO378" s="738"/>
      <c r="BP378" s="738"/>
      <c r="BU378" s="569"/>
      <c r="BV378" s="569"/>
      <c r="BW378" s="569"/>
      <c r="BY378" s="569"/>
      <c r="BZ378" s="569"/>
      <c r="CA378" s="569"/>
      <c r="CB378" s="569"/>
      <c r="CC378" s="569"/>
      <c r="DF378" s="569"/>
      <c r="DG378" s="569"/>
      <c r="DH378" s="569"/>
      <c r="DI378" s="569"/>
    </row>
    <row r="379" spans="1:123" s="772" customFormat="1" outlineLevel="1">
      <c r="A379" s="771"/>
      <c r="C379" s="773">
        <f>'[67]Гл бух'!C11+'[67]Дир_по фин'!C16+'[67]Дир_по корп'!C58+'[67]Дир_ по реал.услуг'!C46+'[67]Дир_ имущ'!C38+'[67]Гл инж_Тех дир'!C123+[67]Пом_ГД!C33+[67]СБ!C9+'[67]Дир_по экон'!C82+'[67]Дир_ по кап.стр.'!C16</f>
        <v>19171567497.826</v>
      </c>
      <c r="D379" s="773">
        <f>'[67]Гл бух'!D11+'[67]Дир_по фин'!D16+'[67]Дир_по корп'!D58+'[67]Дир_ по реал.услуг'!D46+'[67]Дир_ имущ'!D38+'[67]Гл инж_Тех дир'!D123+[67]Пом_ГД!D33+[67]СБ!D9+'[67]Дир_по экон'!D82+'[67]Дир_ по кап.стр.'!D16</f>
        <v>16332356527.82288</v>
      </c>
      <c r="E379" s="773">
        <f>'[67]Гл бух'!E11+'[67]Дир_по фин'!E16+'[67]Дир_по корп'!E58+'[67]Дир_ по реал.услуг'!E46+'[67]Дир_ имущ'!E38+'[67]Гл инж_Тех дир'!E123+[67]Пом_ГД!E33+[67]СБ!E9+'[67]Дир_по экон'!E82+'[67]Дир_ по кап.стр.'!E16</f>
        <v>18462825912.201183</v>
      </c>
      <c r="F379" s="773">
        <f>'[67]Гл бух'!F11+'[67]Дир_по фин'!F16+'[67]Дир_по корп'!F58+'[67]Дир_ по реал.услуг'!F46+'[67]Дир_ имущ'!F38+'[67]Гл инж_Тех дир'!F123+[67]Пом_ГД!F33+[67]СБ!F9+'[67]Дир_по экон'!F82+'[67]Дир_ по кап.стр.'!F16</f>
        <v>17905257241.539997</v>
      </c>
      <c r="G379" s="773">
        <f>'[67]Гл бух'!G11+'[67]Дир_по фин'!G16+'[67]Дир_по корп'!G58+'[67]Дир_ по реал.услуг'!G46+'[67]Дир_ имущ'!G38+'[67]Гл инж_Тех дир'!G123+[67]Пом_ГД!G33+[67]СБ!G9+'[67]Дир_по экон'!G82+'[67]Дир_ по кап.стр.'!G16</f>
        <v>12532243488.262714</v>
      </c>
      <c r="H379" s="773" t="e">
        <f>'[67]Гл бух'!#REF!+'[67]Дир_по фин'!#REF!+'[67]Дир_по корп'!H58+'[67]Дир_ по реал.услуг'!H46+'[67]Дир_ имущ'!H38+'[67]Гл инж_Тех дир'!H123+[67]Пом_ГД!H33+[67]СБ!H9+'[67]Дир_по экон'!H82+'[67]Дир_ по кап.стр.'!H16</f>
        <v>#REF!</v>
      </c>
      <c r="I379" s="773" t="e">
        <f>'[67]Гл бух'!#REF!+'[67]Дир_по фин'!H16+'[67]Дир_по корп'!J58+'[67]Дир_ по реал.услуг'!J46+'[67]Дир_ имущ'!J38+'[67]Гл инж_Тех дир'!J123+[67]Пом_ГД!J33+[67]СБ!J9+'[67]Дир_по экон'!J82+'[67]Дир_ по кап.стр.'!J16</f>
        <v>#REF!</v>
      </c>
      <c r="J379" s="773" t="e">
        <f>'[67]Гл бух'!L11+'[67]Дир_по фин'!#REF!+'[67]Дир_по корп'!N58+'[67]Дир_ по реал.услуг'!N46+'[67]Дир_ имущ'!N38+'[67]Гл инж_Тех дир'!N123+[67]Пом_ГД!N33+[67]СБ!N9+'[67]Дир_по экон'!N82+'[67]Дир_ по кап.стр.'!N16</f>
        <v>#REF!</v>
      </c>
      <c r="K379" s="773" t="e">
        <f>'[67]Гл бух'!AE11+'[67]Дир_по фин'!#REF!+'[67]Дир_по корп'!P58+'[67]Дир_ по реал.услуг'!P46+'[67]Дир_ имущ'!P38+'[67]Гл инж_Тех дир'!P123+[67]Пом_ГД!P33+[67]СБ!P9+'[67]Дир_по экон'!P82+'[67]Дир_ по кап.стр.'!P16</f>
        <v>#REF!</v>
      </c>
      <c r="L379" s="773" t="e">
        <f>'[67]Гл бух'!#REF!+'[67]Дир_по фин'!#REF!+'[67]Дир_по корп'!R58+'[67]Дир_ по реал.услуг'!R46+'[67]Дир_ имущ'!R38+'[67]Гл инж_Тех дир'!R123+[67]Пом_ГД!R33+[67]СБ!R9+'[67]Дир_по экон'!R82+'[67]Дир_ по кап.стр.'!R16</f>
        <v>#REF!</v>
      </c>
      <c r="M379" s="773" t="e">
        <f>'[67]Гл бух'!AM11+'[67]Дир_по фин'!#REF!+'[67]Дир_по корп'!T58+'[67]Дир_ по реал.услуг'!T46+'[67]Дир_ имущ'!T38+'[67]Гл инж_Тех дир'!T123+[67]Пом_ГД!T33+[67]СБ!T9+'[67]Дир_по экон'!T82+'[67]Дир_ по кап.стр.'!T16</f>
        <v>#REF!</v>
      </c>
      <c r="N379" s="773" t="e">
        <f>'[67]Гл бух'!AO11+'[67]Дир_по фин'!#REF!+'[67]Дир_по корп'!U58+'[67]Дир_ по реал.услуг'!U46+'[67]Дир_ имущ'!U38+'[67]Гл инж_Тех дир'!U123+[67]Пом_ГД!U33+[67]СБ!U9+'[67]Дир_по экон'!U82+'[67]Дир_ по кап.стр.'!U16</f>
        <v>#REF!</v>
      </c>
      <c r="O379" s="773"/>
      <c r="P379" s="773" t="e">
        <f>'[67]Гл бух'!#REF!+'[67]Дир_по фин'!J16+'[67]Дир_по корп'!AD58+'[67]Дир_ по реал.услуг'!AD46+'[67]Дир_ имущ'!#REF!+'[67]Гл инж_Тех дир'!AD123+[67]Пом_ГД!Y33+[67]СБ!Y9+'[67]Дир_по экон'!AD82+'[67]Дир_ по кап.стр.'!AD16</f>
        <v>#REF!</v>
      </c>
      <c r="Q379" s="773" t="e">
        <f>'[67]Гл бух'!#REF!+'[67]Дир_по фин'!K16+'[67]Дир_по корп'!AE58+'[67]Дир_ по реал.услуг'!AE46+'[67]Дир_ имущ'!#REF!+'[67]Гл инж_Тех дир'!AE123+[67]Пом_ГД!Z33+[67]СБ!Z9+'[67]Дир_по экон'!AE82+'[67]Дир_ по кап.стр.'!AE16</f>
        <v>#REF!</v>
      </c>
      <c r="R379" s="773"/>
      <c r="S379" s="773" t="e">
        <f>'[67]Гл бух'!#REF!+'[67]Дир_по фин'!L16+'[67]Дир_по корп'!AF58+'[67]Дир_ по реал.услуг'!AF46+'[67]Дир_ имущ'!#REF!+'[67]Гл инж_Тех дир'!AF123+[67]Пом_ГД!AA33+[67]СБ!AA9+'[67]Дир_по экон'!AF82+'[67]Дир_ по кап.стр.'!AF16</f>
        <v>#REF!</v>
      </c>
      <c r="T379" s="773"/>
      <c r="U379" s="773"/>
      <c r="V379" s="773"/>
      <c r="W379" s="773"/>
      <c r="X379" s="773"/>
      <c r="Y379" s="773"/>
      <c r="Z379" s="745"/>
      <c r="AA379" s="773"/>
      <c r="AB379" s="773"/>
      <c r="AC379" s="773"/>
      <c r="AD379" s="773"/>
      <c r="AE379" s="773"/>
      <c r="AF379" s="773"/>
      <c r="AG379" s="571"/>
      <c r="AH379" s="773"/>
      <c r="AI379" s="773"/>
      <c r="AJ379" s="773"/>
      <c r="AK379" s="773"/>
      <c r="AL379" s="773"/>
      <c r="AM379" s="773"/>
      <c r="AN379" s="773"/>
      <c r="AO379" s="773"/>
      <c r="AP379" s="773"/>
      <c r="AQ379" s="773"/>
      <c r="AR379" s="773"/>
      <c r="AS379" s="773"/>
      <c r="AT379" s="773"/>
      <c r="AU379" s="773"/>
      <c r="AV379" s="773"/>
      <c r="AW379" s="773"/>
      <c r="AX379" s="773"/>
      <c r="AY379" s="773"/>
      <c r="AZ379" s="773"/>
      <c r="BA379" s="773"/>
      <c r="BB379" s="773"/>
      <c r="BC379" s="746"/>
      <c r="BD379" s="746"/>
      <c r="BE379" s="746"/>
      <c r="BF379" s="746"/>
      <c r="BG379" s="746"/>
      <c r="BH379" s="571"/>
      <c r="BI379" s="571"/>
      <c r="BJ379" s="571"/>
      <c r="BK379" s="571"/>
      <c r="BL379" s="571"/>
      <c r="BM379" s="571"/>
      <c r="BN379" s="773"/>
      <c r="BO379" s="571"/>
      <c r="BP379" s="571"/>
      <c r="BQ379" s="571"/>
      <c r="BR379" s="571"/>
      <c r="BS379" s="773"/>
      <c r="BT379" s="774"/>
      <c r="BU379" s="569"/>
      <c r="BV379" s="569"/>
      <c r="BW379" s="569"/>
      <c r="BX379" s="465"/>
      <c r="BY379" s="569"/>
      <c r="BZ379" s="569"/>
      <c r="CA379" s="569"/>
      <c r="CB379" s="569"/>
      <c r="CC379" s="569"/>
      <c r="CD379" s="773"/>
      <c r="CE379" s="773"/>
      <c r="CF379" s="773"/>
      <c r="CG379" s="773"/>
      <c r="CH379" s="773"/>
      <c r="CI379" s="773"/>
      <c r="CJ379" s="773"/>
      <c r="CK379" s="776"/>
      <c r="CL379" s="776"/>
      <c r="CS379" s="774"/>
      <c r="CT379" s="774"/>
      <c r="CU379" s="774"/>
      <c r="CV379" s="774"/>
      <c r="CW379" s="774"/>
      <c r="DF379" s="569"/>
      <c r="DG379" s="569"/>
      <c r="DH379" s="569"/>
      <c r="DI379" s="569"/>
      <c r="DJ379" s="774"/>
      <c r="DK379" s="774"/>
      <c r="DL379" s="774"/>
      <c r="DM379" s="774"/>
      <c r="DN379" s="774"/>
      <c r="DO379" s="774"/>
      <c r="DP379" s="774"/>
      <c r="DQ379" s="774"/>
      <c r="DR379" s="774"/>
      <c r="DS379" s="774"/>
    </row>
    <row r="380" spans="1:123" outlineLevel="1">
      <c r="J380" s="628"/>
      <c r="K380" s="628"/>
      <c r="L380" s="628"/>
      <c r="BH380" s="738"/>
      <c r="BI380" s="738"/>
      <c r="BJ380" s="738"/>
      <c r="BK380" s="738"/>
      <c r="BO380" s="738"/>
      <c r="BP380" s="738"/>
      <c r="BU380" s="569"/>
      <c r="BV380" s="569"/>
      <c r="BW380" s="569"/>
      <c r="BY380" s="569"/>
      <c r="BZ380" s="569"/>
      <c r="CA380" s="569"/>
      <c r="CB380" s="569"/>
      <c r="CC380" s="569"/>
      <c r="DF380" s="569"/>
      <c r="DG380" s="569"/>
      <c r="DH380" s="569"/>
      <c r="DI380" s="569"/>
    </row>
    <row r="381" spans="1:123" outlineLevel="1">
      <c r="C381" s="628">
        <f>C366-C379</f>
        <v>22512470.799999237</v>
      </c>
      <c r="D381" s="628">
        <f t="shared" ref="D381:S381" si="520">D366-D379</f>
        <v>-9967578.4319972992</v>
      </c>
      <c r="E381" s="628">
        <f t="shared" si="520"/>
        <v>-3768420.4300003052</v>
      </c>
      <c r="F381" s="628">
        <f t="shared" si="520"/>
        <v>-7612409.8199996948</v>
      </c>
      <c r="G381" s="628">
        <f t="shared" si="520"/>
        <v>-5084667.96808815</v>
      </c>
      <c r="H381" s="628" t="e">
        <f t="shared" si="520"/>
        <v>#REF!</v>
      </c>
      <c r="I381" s="628" t="e">
        <f t="shared" si="520"/>
        <v>#REF!</v>
      </c>
      <c r="J381" s="628" t="e">
        <f t="shared" si="520"/>
        <v>#REF!</v>
      </c>
      <c r="K381" s="628" t="e">
        <f t="shared" si="520"/>
        <v>#REF!</v>
      </c>
      <c r="L381" s="628" t="e">
        <f t="shared" si="520"/>
        <v>#REF!</v>
      </c>
      <c r="M381" s="628" t="e">
        <f t="shared" si="520"/>
        <v>#REF!</v>
      </c>
      <c r="N381" s="628" t="e">
        <f t="shared" si="520"/>
        <v>#REF!</v>
      </c>
      <c r="O381" s="628"/>
      <c r="P381" s="628" t="e">
        <f t="shared" si="520"/>
        <v>#REF!</v>
      </c>
      <c r="Q381" s="628" t="e">
        <f t="shared" si="520"/>
        <v>#REF!</v>
      </c>
      <c r="R381" s="628"/>
      <c r="S381" s="628" t="e">
        <f t="shared" si="520"/>
        <v>#REF!</v>
      </c>
      <c r="T381" s="628"/>
      <c r="U381" s="628"/>
      <c r="V381" s="628"/>
      <c r="W381" s="628"/>
      <c r="X381" s="628"/>
      <c r="Y381" s="628"/>
      <c r="Z381" s="745"/>
      <c r="AA381" s="628"/>
      <c r="AB381" s="628"/>
      <c r="AC381" s="628"/>
      <c r="AD381" s="628"/>
      <c r="AE381" s="628"/>
      <c r="AF381" s="628"/>
      <c r="AG381" s="571"/>
      <c r="AH381" s="628"/>
      <c r="AI381" s="628"/>
      <c r="AJ381" s="628"/>
      <c r="AK381" s="628"/>
      <c r="AL381" s="628"/>
      <c r="AM381" s="628"/>
      <c r="AN381" s="628"/>
      <c r="AO381" s="628"/>
      <c r="AP381" s="628"/>
      <c r="AQ381" s="628"/>
      <c r="AR381" s="628"/>
      <c r="AS381" s="628"/>
      <c r="AT381" s="628"/>
      <c r="AU381" s="628"/>
      <c r="AV381" s="628"/>
      <c r="AW381" s="628"/>
      <c r="AX381" s="628"/>
      <c r="AY381" s="628"/>
      <c r="AZ381" s="628"/>
      <c r="BA381" s="628"/>
      <c r="BB381" s="628"/>
      <c r="BC381" s="746"/>
      <c r="BD381" s="746"/>
      <c r="BE381" s="746"/>
      <c r="BF381" s="746"/>
      <c r="BG381" s="746"/>
      <c r="BH381" s="571"/>
      <c r="BI381" s="571"/>
      <c r="BJ381" s="571"/>
      <c r="BK381" s="571"/>
      <c r="BL381" s="571"/>
      <c r="BM381" s="571"/>
      <c r="BN381" s="628"/>
      <c r="BO381" s="571"/>
      <c r="BP381" s="571"/>
      <c r="BQ381" s="571"/>
      <c r="BR381" s="571"/>
      <c r="BS381" s="628"/>
      <c r="BU381" s="569"/>
      <c r="BV381" s="569"/>
      <c r="BW381" s="569"/>
      <c r="BY381" s="569"/>
      <c r="BZ381" s="569"/>
      <c r="CA381" s="569"/>
      <c r="CB381" s="569"/>
      <c r="CC381" s="569"/>
      <c r="CD381" s="628"/>
      <c r="CE381" s="628"/>
      <c r="CF381" s="628"/>
      <c r="CG381" s="628"/>
      <c r="CH381" s="628"/>
      <c r="CI381" s="628"/>
      <c r="CJ381" s="628"/>
      <c r="DF381" s="569"/>
      <c r="DG381" s="569"/>
      <c r="DH381" s="569"/>
      <c r="DI381" s="569"/>
    </row>
    <row r="382" spans="1:123" outlineLevel="1">
      <c r="J382" s="628">
        <f>'[69]Гл бух'!M10</f>
        <v>29081741.670000002</v>
      </c>
      <c r="K382" s="628">
        <f>'[69]Гл бух'!O10</f>
        <v>31378651.670000002</v>
      </c>
      <c r="L382" s="628">
        <f>'[69]Гл бух'!Q10</f>
        <v>0</v>
      </c>
      <c r="BH382" s="738"/>
      <c r="BI382" s="738"/>
      <c r="BJ382" s="738"/>
      <c r="BK382" s="738"/>
      <c r="BO382" s="738"/>
      <c r="BP382" s="738"/>
      <c r="BU382" s="569"/>
      <c r="BV382" s="569"/>
      <c r="BW382" s="569"/>
      <c r="BX382" s="777"/>
      <c r="BY382" s="569"/>
      <c r="BZ382" s="569"/>
      <c r="CA382" s="569"/>
      <c r="CB382" s="569"/>
      <c r="CC382" s="569"/>
      <c r="DF382" s="569"/>
      <c r="DG382" s="569"/>
      <c r="DH382" s="569"/>
      <c r="DI382" s="569"/>
    </row>
    <row r="383" spans="1:123" outlineLevel="1">
      <c r="J383" s="628">
        <f>'[69]Дир_по фин'!M14</f>
        <v>-108792633.24000004</v>
      </c>
      <c r="K383" s="628">
        <f>'[69]Дир_по фин'!O14</f>
        <v>97257159.379999995</v>
      </c>
      <c r="L383" s="628">
        <f>'[69]Дир_по фин'!Q14</f>
        <v>0</v>
      </c>
      <c r="BH383" s="738"/>
      <c r="BI383" s="738"/>
      <c r="BJ383" s="738"/>
      <c r="BK383" s="738"/>
      <c r="BO383" s="738"/>
      <c r="BP383" s="738"/>
      <c r="BU383" s="752"/>
      <c r="BV383" s="752"/>
      <c r="BW383" s="752"/>
      <c r="BY383" s="752"/>
      <c r="BZ383" s="752"/>
      <c r="CA383" s="752"/>
      <c r="CB383" s="752"/>
      <c r="CC383" s="752"/>
      <c r="DF383" s="752"/>
      <c r="DG383" s="752"/>
      <c r="DH383" s="752"/>
      <c r="DI383" s="752"/>
    </row>
    <row r="384" spans="1:123" outlineLevel="1">
      <c r="J384" s="628">
        <f>'[69]Дир_по корп'!M51</f>
        <v>-172267882.61999997</v>
      </c>
      <c r="K384" s="628">
        <f>'[69]Дир_по корп'!O51</f>
        <v>4478237.7799999993</v>
      </c>
      <c r="L384" s="628">
        <f>'[69]Дир_по корп'!Q51</f>
        <v>0</v>
      </c>
      <c r="BH384" s="738"/>
      <c r="BI384" s="738"/>
      <c r="BJ384" s="738"/>
      <c r="BK384" s="738"/>
      <c r="BO384" s="738"/>
      <c r="BP384" s="738"/>
      <c r="BU384" s="778"/>
      <c r="BV384" s="778"/>
      <c r="BW384" s="778"/>
      <c r="BY384" s="778"/>
      <c r="BZ384" s="778"/>
      <c r="CA384" s="778"/>
      <c r="CB384" s="778"/>
      <c r="CC384" s="778"/>
      <c r="DF384" s="778"/>
      <c r="DG384" s="778"/>
      <c r="DH384" s="778"/>
      <c r="DI384" s="778"/>
    </row>
    <row r="385" spans="2:113" outlineLevel="1">
      <c r="J385" s="628">
        <f>'[69]Дир_ по реал.услуг'!M35</f>
        <v>-2169668830.8299999</v>
      </c>
      <c r="K385" s="628">
        <f>'[69]Дир_ по реал.услуг'!O35</f>
        <v>2473721486.0999994</v>
      </c>
      <c r="L385" s="628">
        <f>'[69]Дир_ по реал.услуг'!Q35</f>
        <v>0</v>
      </c>
      <c r="BH385" s="738"/>
      <c r="BI385" s="738"/>
      <c r="BJ385" s="738"/>
      <c r="BK385" s="738"/>
      <c r="BO385" s="738"/>
      <c r="BP385" s="738"/>
      <c r="BU385" s="752"/>
      <c r="BV385" s="752"/>
      <c r="BW385" s="752"/>
      <c r="BY385" s="752"/>
      <c r="BZ385" s="752"/>
      <c r="CA385" s="752"/>
      <c r="CB385" s="752"/>
      <c r="CC385" s="752"/>
      <c r="DF385" s="752"/>
      <c r="DG385" s="752"/>
      <c r="DH385" s="752"/>
      <c r="DI385" s="752"/>
    </row>
    <row r="386" spans="2:113" outlineLevel="1">
      <c r="J386" s="628">
        <f>'[69]Дир_ имущ'!M34</f>
        <v>-411248037.20000005</v>
      </c>
      <c r="K386" s="628">
        <f>'[69]Дир_ имущ'!O34</f>
        <v>313169089.36000007</v>
      </c>
      <c r="L386" s="628">
        <f>'[69]Дир_ имущ'!Q34</f>
        <v>0</v>
      </c>
      <c r="BH386" s="738"/>
      <c r="BI386" s="738"/>
      <c r="BJ386" s="738"/>
      <c r="BK386" s="738"/>
      <c r="BO386" s="738"/>
      <c r="BP386" s="738"/>
      <c r="BU386" s="569"/>
      <c r="BV386" s="569"/>
      <c r="BW386" s="569"/>
      <c r="BY386" s="569"/>
      <c r="BZ386" s="569"/>
      <c r="CA386" s="569"/>
      <c r="CB386" s="569"/>
      <c r="CC386" s="569"/>
      <c r="DF386" s="569"/>
      <c r="DG386" s="569"/>
      <c r="DH386" s="569"/>
      <c r="DI386" s="569"/>
    </row>
    <row r="387" spans="2:113" outlineLevel="1">
      <c r="J387" s="628">
        <f>'[69]Гл инж_Тех дир'!M122</f>
        <v>-153455474.56999996</v>
      </c>
      <c r="K387" s="628">
        <f>'[69]Гл инж_Тех дир'!O122</f>
        <v>106975169.75</v>
      </c>
      <c r="L387" s="628">
        <f>'[69]Гл инж_Тех дир'!Q122</f>
        <v>0</v>
      </c>
      <c r="BH387" s="738"/>
      <c r="BI387" s="738"/>
      <c r="BJ387" s="738"/>
      <c r="BK387" s="738"/>
      <c r="BO387" s="738"/>
      <c r="BP387" s="738"/>
      <c r="BU387" s="752"/>
      <c r="BV387" s="752"/>
      <c r="BW387" s="752"/>
      <c r="BY387" s="752"/>
      <c r="BZ387" s="752"/>
      <c r="CA387" s="752"/>
      <c r="CB387" s="752"/>
      <c r="CC387" s="752"/>
      <c r="DF387" s="752"/>
      <c r="DG387" s="752"/>
      <c r="DH387" s="752"/>
      <c r="DI387" s="752"/>
    </row>
    <row r="388" spans="2:113" outlineLevel="1">
      <c r="J388" s="628">
        <f>[69]Пом_ГД!M25</f>
        <v>-4098008.9700000007</v>
      </c>
      <c r="K388" s="628">
        <f>[69]Пом_ГД!O25</f>
        <v>7924068.7299999995</v>
      </c>
      <c r="L388" s="628">
        <f>[69]Пом_ГД!Q25</f>
        <v>0</v>
      </c>
      <c r="BH388" s="738"/>
      <c r="BI388" s="738"/>
      <c r="BJ388" s="738"/>
      <c r="BK388" s="738"/>
      <c r="BO388" s="738"/>
      <c r="BP388" s="738"/>
      <c r="BU388" s="752"/>
      <c r="BV388" s="752"/>
      <c r="BW388" s="752"/>
      <c r="BY388" s="752"/>
      <c r="BZ388" s="752"/>
      <c r="CA388" s="752"/>
      <c r="CB388" s="752"/>
      <c r="CC388" s="752"/>
      <c r="DF388" s="752"/>
      <c r="DG388" s="752"/>
      <c r="DH388" s="752"/>
      <c r="DI388" s="752"/>
    </row>
    <row r="389" spans="2:113" outlineLevel="1">
      <c r="J389" s="628">
        <f>[69]СБ!M9</f>
        <v>-5885741.79</v>
      </c>
      <c r="K389" s="628">
        <f>[69]СБ!O9</f>
        <v>5390346.3700000001</v>
      </c>
      <c r="L389" s="628">
        <f>[69]СБ!Q9</f>
        <v>0</v>
      </c>
      <c r="BH389" s="738"/>
      <c r="BI389" s="738"/>
      <c r="BJ389" s="738"/>
      <c r="BK389" s="738"/>
      <c r="BO389" s="738"/>
      <c r="BP389" s="738"/>
      <c r="BU389" s="752"/>
      <c r="BV389" s="752"/>
      <c r="BW389" s="752"/>
      <c r="BY389" s="752"/>
      <c r="BZ389" s="752"/>
      <c r="CA389" s="752"/>
      <c r="CB389" s="752"/>
      <c r="CC389" s="752"/>
      <c r="DF389" s="752"/>
      <c r="DG389" s="752"/>
      <c r="DH389" s="752"/>
      <c r="DI389" s="752"/>
    </row>
    <row r="390" spans="2:113" outlineLevel="1">
      <c r="J390" s="628">
        <f>'[69]Дир_по экон'!M79</f>
        <v>-500928660.76000011</v>
      </c>
      <c r="K390" s="628">
        <f>'[69]Дир_по экон'!O79</f>
        <v>620124739.53999996</v>
      </c>
      <c r="L390" s="628">
        <f>'[69]Дир_по экон'!Q79</f>
        <v>0</v>
      </c>
      <c r="BH390" s="738"/>
      <c r="BI390" s="738"/>
      <c r="BJ390" s="738"/>
      <c r="BK390" s="738"/>
      <c r="BO390" s="738"/>
      <c r="BP390" s="738"/>
      <c r="BU390" s="752"/>
      <c r="BV390" s="752"/>
      <c r="BW390" s="752"/>
      <c r="BY390" s="752"/>
      <c r="BZ390" s="752"/>
      <c r="CA390" s="752"/>
      <c r="CB390" s="752"/>
      <c r="CC390" s="752"/>
      <c r="DF390" s="752"/>
      <c r="DG390" s="752"/>
      <c r="DH390" s="752"/>
      <c r="DI390" s="752"/>
    </row>
    <row r="391" spans="2:113" outlineLevel="1">
      <c r="J391" s="628">
        <f>'[69]Дир_ по кап.стр.'!M9</f>
        <v>-110794773.58000001</v>
      </c>
      <c r="K391" s="628">
        <f>'[69]Дир_ по кап.стр.'!O9</f>
        <v>32961371.970000003</v>
      </c>
      <c r="L391" s="628">
        <f>'[69]Дир_ по кап.стр.'!Q9</f>
        <v>0</v>
      </c>
      <c r="BH391" s="738"/>
      <c r="BI391" s="738"/>
      <c r="BJ391" s="738"/>
      <c r="BK391" s="738"/>
      <c r="BO391" s="738"/>
      <c r="BP391" s="738"/>
      <c r="BU391" s="752"/>
      <c r="BV391" s="752"/>
      <c r="BW391" s="752"/>
      <c r="BY391" s="752"/>
      <c r="BZ391" s="752"/>
      <c r="CA391" s="752"/>
      <c r="CB391" s="752"/>
      <c r="CC391" s="752"/>
      <c r="DF391" s="752"/>
      <c r="DG391" s="752"/>
      <c r="DH391" s="752"/>
      <c r="DI391" s="752"/>
    </row>
    <row r="392" spans="2:113" outlineLevel="1">
      <c r="J392" s="736" t="e">
        <f>'[67]Гл бух'!L11+'[67]Дир_по фин'!#REF!+'[67]Дир_по корп'!N58+'[67]Дир_ по реал.услуг'!N46+'[67]Дир_ имущ'!N38+'[67]Гл инж_Тех дир'!N123+[67]Пом_ГД!N33+[67]СБ!N9+'[67]Дир_по экон'!N82+'[67]Дир_ по кап.стр.'!N16</f>
        <v>#REF!</v>
      </c>
      <c r="K392" s="736" t="e">
        <f>'[67]Гл бух'!AE11+'[67]Дир_по фин'!#REF!+'[67]Дир_по корп'!P58+'[67]Дир_ по реал.услуг'!P46+'[67]Дир_ имущ'!P38+'[67]Гл инж_Тех дир'!P123+[67]Пом_ГД!P33+[67]СБ!P9+'[67]Дир_по экон'!P82+'[67]Дир_ по кап.стр.'!P16</f>
        <v>#REF!</v>
      </c>
      <c r="L392" s="773">
        <f>SUM(L382:L391)</f>
        <v>0</v>
      </c>
      <c r="BH392" s="738"/>
      <c r="BI392" s="738"/>
      <c r="BJ392" s="738"/>
      <c r="BK392" s="738"/>
      <c r="BO392" s="738"/>
      <c r="BP392" s="738"/>
      <c r="BU392" s="752"/>
      <c r="BV392" s="752"/>
      <c r="BW392" s="752"/>
      <c r="BY392" s="752"/>
      <c r="BZ392" s="752"/>
      <c r="CA392" s="752"/>
      <c r="CB392" s="752"/>
      <c r="CC392" s="752"/>
      <c r="DF392" s="752"/>
      <c r="DG392" s="752"/>
      <c r="DH392" s="752"/>
      <c r="DI392" s="752"/>
    </row>
    <row r="393" spans="2:113" outlineLevel="1">
      <c r="J393" s="736" t="e">
        <f>J360-J392</f>
        <v>#REF!</v>
      </c>
      <c r="K393" s="736" t="e">
        <f>K360-K392</f>
        <v>#REF!</v>
      </c>
      <c r="L393" s="464"/>
      <c r="BH393" s="738"/>
      <c r="BI393" s="738"/>
      <c r="BJ393" s="738"/>
      <c r="BK393" s="738"/>
      <c r="BO393" s="738"/>
      <c r="BP393" s="738"/>
      <c r="BU393" s="752"/>
      <c r="BV393" s="752"/>
      <c r="BW393" s="752"/>
      <c r="BY393" s="752"/>
      <c r="BZ393" s="752"/>
      <c r="CA393" s="752"/>
      <c r="CB393" s="752"/>
      <c r="CC393" s="752"/>
      <c r="DF393" s="752"/>
      <c r="DG393" s="752"/>
      <c r="DH393" s="752"/>
      <c r="DI393" s="752"/>
    </row>
    <row r="394" spans="2:113" outlineLevel="1">
      <c r="J394" s="628" t="e">
        <f>J366-J392</f>
        <v>#REF!</v>
      </c>
      <c r="K394" s="628" t="e">
        <f>K366-K392</f>
        <v>#REF!</v>
      </c>
      <c r="L394" s="628">
        <f>L366-L392</f>
        <v>3994167108.0178752</v>
      </c>
      <c r="BH394" s="738"/>
      <c r="BI394" s="738"/>
      <c r="BJ394" s="738"/>
      <c r="BK394" s="738"/>
      <c r="BO394" s="738"/>
      <c r="BP394" s="738"/>
      <c r="BU394" s="752"/>
      <c r="BV394" s="752"/>
      <c r="BW394" s="752"/>
      <c r="BY394" s="752"/>
      <c r="BZ394" s="752"/>
      <c r="CA394" s="752"/>
      <c r="CB394" s="752"/>
      <c r="CC394" s="752"/>
      <c r="DF394" s="752"/>
      <c r="DG394" s="752"/>
      <c r="DH394" s="752"/>
      <c r="DI394" s="752"/>
    </row>
    <row r="395" spans="2:113" outlineLevel="1">
      <c r="J395" s="464"/>
      <c r="K395" s="464"/>
      <c r="L395" s="464"/>
      <c r="BH395" s="738"/>
      <c r="BI395" s="738"/>
      <c r="BJ395" s="738"/>
      <c r="BK395" s="738"/>
      <c r="BO395" s="738"/>
      <c r="BP395" s="738"/>
      <c r="BU395" s="752"/>
      <c r="BV395" s="752"/>
      <c r="BW395" s="752"/>
      <c r="BY395" s="752"/>
      <c r="BZ395" s="752"/>
      <c r="CA395" s="752"/>
      <c r="CB395" s="752"/>
      <c r="CC395" s="752"/>
      <c r="DF395" s="752"/>
      <c r="DG395" s="752"/>
      <c r="DH395" s="752"/>
      <c r="DI395" s="752"/>
    </row>
    <row r="396" spans="2:113" outlineLevel="1">
      <c r="J396" s="464"/>
      <c r="K396" s="464"/>
      <c r="L396" s="464"/>
      <c r="BH396" s="738"/>
      <c r="BI396" s="738"/>
      <c r="BJ396" s="738"/>
      <c r="BK396" s="738"/>
      <c r="BO396" s="738"/>
      <c r="BP396" s="738"/>
      <c r="BU396" s="752"/>
      <c r="BV396" s="752"/>
      <c r="BW396" s="752"/>
      <c r="BY396" s="752"/>
      <c r="BZ396" s="752"/>
      <c r="CA396" s="752"/>
      <c r="CB396" s="752"/>
      <c r="CC396" s="752"/>
      <c r="DF396" s="752"/>
      <c r="DG396" s="752"/>
      <c r="DH396" s="752"/>
      <c r="DI396" s="752"/>
    </row>
    <row r="397" spans="2:113" outlineLevel="1">
      <c r="J397" s="464"/>
      <c r="K397" s="464"/>
      <c r="L397" s="464"/>
      <c r="BH397" s="738"/>
      <c r="BI397" s="738"/>
      <c r="BJ397" s="738"/>
      <c r="BK397" s="738"/>
      <c r="BO397" s="738"/>
      <c r="BP397" s="738"/>
      <c r="BU397" s="752"/>
      <c r="BV397" s="752"/>
      <c r="BW397" s="752"/>
      <c r="BY397" s="752"/>
      <c r="BZ397" s="752"/>
      <c r="CA397" s="752"/>
      <c r="CB397" s="752"/>
      <c r="CC397" s="752"/>
      <c r="DF397" s="752"/>
      <c r="DG397" s="752"/>
      <c r="DH397" s="752"/>
      <c r="DI397" s="752"/>
    </row>
    <row r="398" spans="2:113" ht="30.6" outlineLevel="1">
      <c r="B398" s="779" t="s">
        <v>2025</v>
      </c>
      <c r="J398" s="464"/>
      <c r="K398" s="464"/>
      <c r="L398" s="464"/>
      <c r="BH398" s="738"/>
      <c r="BI398" s="738"/>
      <c r="BJ398" s="738"/>
      <c r="BK398" s="738"/>
      <c r="BO398" s="738"/>
      <c r="BP398" s="738"/>
      <c r="BU398" s="752"/>
      <c r="BV398" s="752"/>
      <c r="BW398" s="752"/>
      <c r="BY398" s="752"/>
      <c r="BZ398" s="752"/>
      <c r="CA398" s="752"/>
      <c r="CB398" s="752"/>
      <c r="CC398" s="752"/>
      <c r="DF398" s="752"/>
      <c r="DG398" s="752"/>
      <c r="DH398" s="752"/>
      <c r="DI398" s="752"/>
    </row>
    <row r="399" spans="2:113" outlineLevel="1">
      <c r="B399" s="780" t="s">
        <v>1907</v>
      </c>
      <c r="G399" s="736">
        <f>G87+G88+G91+G92+G93+G94+G95+G96+G97+G105+G106+G107+G108+G110+G111+G113+G114+G115+G120+G121+G122+G123+G126+G127+G128+G129+G130+G131+G132</f>
        <v>261876041.56162027</v>
      </c>
      <c r="I399" s="736">
        <f t="shared" ref="I399:Q399" si="521">I87+I88+I91+I92+I93+I94+I95+I96+I97+I105+I106+I107+I108+I110+I111+I113+I114+I115+I120+I121+I122+I123+I126+I127+I128+I129+I130+I131+I132+I116+I117</f>
        <v>295448050.49000001</v>
      </c>
      <c r="J399" s="736">
        <f t="shared" si="521"/>
        <v>112916491.22000001</v>
      </c>
      <c r="K399" s="736">
        <f t="shared" si="521"/>
        <v>92235030.430000007</v>
      </c>
      <c r="L399" s="736">
        <f t="shared" si="521"/>
        <v>90296528.840000018</v>
      </c>
      <c r="M399" s="736">
        <f t="shared" si="521"/>
        <v>205151521.64999998</v>
      </c>
      <c r="N399" s="736">
        <f t="shared" si="521"/>
        <v>183999159.31999999</v>
      </c>
      <c r="O399" s="736">
        <f t="shared" si="521"/>
        <v>103943773.97</v>
      </c>
      <c r="P399" s="736">
        <f t="shared" si="521"/>
        <v>287942933.29000008</v>
      </c>
      <c r="Q399" s="736">
        <f t="shared" si="521"/>
        <v>-7505117.1999999955</v>
      </c>
      <c r="S399" s="736">
        <f>S87+S88+S91+S92+S93+S94+S95+S96+S97+S105+S106+S107+S108+S110+S111+S113+S114+S115+S120+S121+S122+S123+S126+S127+S128+S129+S130+S131+S132+S116+S117</f>
        <v>234849897.05091721</v>
      </c>
      <c r="T399" s="736">
        <f>T87+T88+T91+T92+T93+T94+T95+T96+T97+T105+T106+T107+T108+T110+T111+T113+T114+T115+T120+T121+T122+T123+T126+T127+T128+T129+T130+T131+T132+T116+T117</f>
        <v>234849897.05091727</v>
      </c>
      <c r="U399" s="736">
        <f>U87+U88+U91+U92+U93+U94+U95+U96+U97+U105+U106+U107+U108+U110+U111+U113+U114+U115+U120+U121+U122+U123+U126+U127+U128+U129+U130+U131+U132+U116+U117</f>
        <v>254546157.56999999</v>
      </c>
      <c r="AQ399" s="736">
        <f>AQ87+AQ88+AQ91+AQ92+AQ93+AQ94+AQ95+AQ96+AQ97+AQ105+AQ106+AQ107+AQ108+AQ110+AQ111+AQ113+AQ114+AQ115+AQ120+AQ121+AQ122+AQ123+AQ126+AQ127+AQ128+AQ129+AQ130+AQ131+AQ132+AQ116+AQ117</f>
        <v>36151092.280000009</v>
      </c>
      <c r="AR399" s="736">
        <f>AR87+AR88+AR91+AR92+AR93+AR94+AR95+AR96+AR97+AR105+AR106+AR107+AR108+AR110+AR111+AR113+AR114+AR115+AR120+AR121+AR122+AR123+AR126+AR127+AR128+AR129+AR130+AR131+AR132+AR116+AR117</f>
        <v>53695512.689999998</v>
      </c>
      <c r="AS399" s="736">
        <f>AS87+AS88+AS91+AS92+AS93+AS94+AS95+AS96+AS97+AS105+AS106+AS107+AS108+AS110+AS111+AS113+AS114+AS115+AS120+AS121+AS122+AS123+AS126+AS127+AS128+AS129+AS130+AS131+AS132+AS116+AS117</f>
        <v>86005958.49000001</v>
      </c>
      <c r="AT399" s="736">
        <f>AT87+AT88+AT91+AT92+AT93+AT94+AT95+AT96+AT97+AT105+AT106+AT107+AT108+AT110+AT111+AT113+AT114+AT115+AT120+AT121+AT122+AT123+AT126+AT127+AT128+AT129+AT130+AT131+AT132+AT116+AT117</f>
        <v>71483157.899999976</v>
      </c>
      <c r="BB399" s="736">
        <f>BB87+BB88+BB91+BB92+BB93+BB94+BB95+BB96+BB97+BB105+BB106+BB107+BB108+BB110+BB111+BB113+BB114+BB115+BB120+BB121+BB122+BB123+BB126+BB127+BB128+BB129+BB130+BB131+BB132+BB116+BB117</f>
        <v>87122241.540000007</v>
      </c>
      <c r="BC399" s="739">
        <f>BC87+BC88+BC91+BC92+BC93+BC94+BC95+BC96+BC97+BC105+BC106+BC107+BC108+BC110+BC111+BC113+BC114+BC115+BC120+BC121+BC122+BC123+BC126+BC127+BC128+BC129+BC130+BC131+BC132+BC116+BC117</f>
        <v>78399988.785000026</v>
      </c>
      <c r="BD399" s="739">
        <f t="shared" ref="BD399:BI399" si="522">BD87+BD88+BD91+BD92+BD93+BD94+BD95+BD96+BD97+BD105+BD106+BD107+BD108+BD110+BD111+BD113+BD114+BD115+BD120+BD121+BD122+BD123+BD126+BD127+BD128+BD129+BD130+BD131+BD132+BD116+BD117</f>
        <v>77069962.939999983</v>
      </c>
      <c r="BG399" s="739">
        <f t="shared" ref="BG399" si="523">BG87+BG88+BG91+BG92+BG93+BG94+BG95+BG96+BG97+BG105+BG106+BG107+BG108+BG110+BG111+BG113+BG114+BG115+BG120+BG121+BG122+BG123+BG126+BG127+BG128+BG129+BG130+BG131+BG132+BG116+BG117</f>
        <v>209279292.31000003</v>
      </c>
      <c r="BH399" s="738">
        <f t="shared" si="522"/>
        <v>203578659.37500003</v>
      </c>
      <c r="BI399" s="738">
        <f t="shared" si="522"/>
        <v>202248633.53000003</v>
      </c>
      <c r="BJ399" s="738"/>
      <c r="BK399" s="738"/>
      <c r="BL399" s="738">
        <f>BL87+BL88+BL91+BL92+BL93+BL94+BL95+BL96+BL97+BL105+BL106+BL107+BL108+BL110+BL111+BL113+BL114+BL115+BL120+BL121+BL122+BL123+BL126+BL127+BL128+BL129+BL130+BL131+BL132+BL116+BL117</f>
        <v>45266865.259999998</v>
      </c>
      <c r="BM399" s="738">
        <f>BM87+BM88+BM91+BM92+BM93+BM94+BM95+BM96+BM97+BM105+BM106+BM107+BM108+BM110+BM111+BM113+BM114+BM115+BM120+BM121+BM122+BM123+BM126+BM127+BM128+BM129+BM130+BM131+BM132+BM116+BM117</f>
        <v>52602746.664999999</v>
      </c>
      <c r="BO399" s="738"/>
      <c r="BP399" s="738"/>
      <c r="BQ399" s="738">
        <f>BQ87+BQ88+BQ91+BQ92+BQ93+BQ94+BQ95+BQ96+BQ97+BQ105+BQ106+BQ107+BQ108+BQ110+BQ111+BQ113+BQ114+BQ115+BQ120+BQ121+BQ122+BQ123+BQ126+BQ127+BQ128+BQ129+BQ130+BQ131+BQ132+BQ116+BQ117</f>
        <v>45266865.259999998</v>
      </c>
      <c r="BR399" s="738">
        <f>BR87+BR88+BR91+BR92+BR93+BR94+BR95+BR96+BR97+BR105+BR106+BR107+BR108+BR110+BR111+BR113+BR114+BR115+BR120+BR121+BR122+BR123+BR126+BR127+BR128+BR129+BR130+BR131+BR132+BR116+BR117</f>
        <v>0</v>
      </c>
      <c r="BU399" s="752"/>
      <c r="BV399" s="752"/>
      <c r="BW399" s="752"/>
      <c r="BY399" s="752"/>
      <c r="BZ399" s="752"/>
      <c r="CA399" s="752"/>
      <c r="CB399" s="752"/>
      <c r="CC399" s="752"/>
      <c r="CK399" s="736" t="e">
        <f>CK87+CK88+CK91+CK92+CK93+CK94+CK95+CK96+CK97+CK105+CK106+CK107+CK108+CK110+CK111+CK113+CK114+CK115+CK120+CK121+CK122+CK123+CK126+CK127+CK128+CK129+CK130+CK131+CK132+CK116+CK117</f>
        <v>#VALUE!</v>
      </c>
      <c r="CL399" s="736" t="e">
        <f>CL87+CL88+CL91+CL92+CL93+CL94+CL95+CL96+CL97+CL105+CL106+CL107+CL108+CL110+CL111+CL113+CL114+CL115+CL120+CL121+CL122+CL123+CL126+CL127+CL128+CL129+CL130+CL131+CL132+CL116+CL117</f>
        <v>#VALUE!</v>
      </c>
      <c r="CM399" s="780" t="s">
        <v>1907</v>
      </c>
      <c r="DB399" s="736">
        <f>DB87+DB88+DB91+DB92+DB93+DB94+DB95+DB96+DB97+DB105+DB106+DB107+DB108+DB110+DB111+DB113+DB114+DB115+DB120+DB121+DB122+DB123+DB126+DB127+DB128+DB129+DB130+DB131+DB132+DB116+DB117</f>
        <v>53695512.689999998</v>
      </c>
      <c r="DF399" s="752"/>
      <c r="DG399" s="752"/>
      <c r="DH399" s="752"/>
      <c r="DI399" s="752"/>
    </row>
    <row r="400" spans="2:113" outlineLevel="1">
      <c r="B400" s="780" t="s">
        <v>1857</v>
      </c>
      <c r="G400" s="736">
        <f t="shared" ref="G400:Q400" si="524">G39+G40+G41+G42+G43+G44+G45+G46+G47+G48+G49+G50+G51+G53+G54+G55</f>
        <v>837905097.40024161</v>
      </c>
      <c r="H400" s="736">
        <f t="shared" si="524"/>
        <v>0</v>
      </c>
      <c r="I400" s="736">
        <f t="shared" si="524"/>
        <v>998439071.88</v>
      </c>
      <c r="J400" s="736">
        <f t="shared" si="524"/>
        <v>513603112.62000006</v>
      </c>
      <c r="K400" s="736">
        <f t="shared" si="524"/>
        <v>244908370.81</v>
      </c>
      <c r="L400" s="736">
        <f t="shared" si="524"/>
        <v>239927588.44999999</v>
      </c>
      <c r="M400" s="736">
        <f t="shared" si="524"/>
        <v>758511483.42999995</v>
      </c>
      <c r="N400" s="736">
        <f t="shared" si="524"/>
        <v>740561339.26999986</v>
      </c>
      <c r="O400" s="736">
        <f t="shared" si="524"/>
        <v>222914618.45000005</v>
      </c>
      <c r="P400" s="736">
        <f t="shared" si="524"/>
        <v>963475957.72000003</v>
      </c>
      <c r="Q400" s="736">
        <f t="shared" si="524"/>
        <v>-34963114.159999996</v>
      </c>
      <c r="S400" s="736">
        <f>S39+S40+S41+S42+S43+S44+S45+S46+S47+S48+S49+S50+S51+S53+S54+S55</f>
        <v>905435065.94999993</v>
      </c>
      <c r="T400" s="736">
        <f>T39+T40+T41+T42+T43+T44+T45+T46+T47+T48+T49+T50+T51+T53+T54+T55</f>
        <v>962477477.34777987</v>
      </c>
      <c r="U400" s="736">
        <f>U39+U40+U41+U42+U43+U44+U45+U46+U47+U48+U49+U50+U51+U53+U54+U55</f>
        <v>1004278742.2300633</v>
      </c>
      <c r="AQ400" s="736">
        <f>AQ39+AQ40+AQ41+AQ42+AQ43+AQ44+AQ45+AQ46+AQ47+AQ48+AQ49+AQ50+AQ51+AQ53+AQ54+AQ55</f>
        <v>229435564.82745656</v>
      </c>
      <c r="AR400" s="736">
        <f>AR39+AR40+AR41+AR42+AR43+AR44+AR45+AR46+AR47+AR48+AR49+AR50+AR51+AR53+AR54+AR55</f>
        <v>229030410.14999998</v>
      </c>
      <c r="AS400" s="736">
        <f>AS39+AS40+AS41+AS42+AS43+AS44+AS45+AS46+AS47+AS48+AS49+AS50+AS51+AS53+AS54+AS55</f>
        <v>308135470.20435649</v>
      </c>
      <c r="AT400" s="736">
        <f>AT39+AT40+AT41+AT42+AT43+AT44+AT45+AT46+AT47+AT48+AT49+AT50+AT51+AT53+AT54+AT55</f>
        <v>239993873.17000005</v>
      </c>
      <c r="BB400" s="736">
        <f>BB39+BB40+BB41+BB42+BB43+BB44+BB45+BB46+BB47+BB48+BB49+BB50+BB51+BB53+BB54+BB55</f>
        <v>239158936.62004516</v>
      </c>
      <c r="BC400" s="739">
        <f>BC39+BC40+BC41+BC42+BC43+BC44+BC45+BC46+BC47+BC48+BC49+BC50+BC51+BC53+BC54+BC55</f>
        <v>301655981.68983191</v>
      </c>
      <c r="BD400" s="739">
        <f t="shared" ref="BD400:BI400" si="525">BD39+BD40+BD41+BD42+BD43+BD44+BD45+BD46+BD47+BD48+BD49+BD50+BD51+BD53+BD54+BD55</f>
        <v>275614606.26999998</v>
      </c>
      <c r="BG400" s="739">
        <f t="shared" ref="BG400" si="526">BG39+BG40+BG41+BG42+BG43+BG44+BG45+BG46+BG47+BG48+BG49+BG50+BG51+BG53+BG54+BG55</f>
        <v>776729971.65185833</v>
      </c>
      <c r="BH400" s="738">
        <f t="shared" si="525"/>
        <v>770680265.00983179</v>
      </c>
      <c r="BI400" s="738">
        <f t="shared" si="525"/>
        <v>744638889.59000003</v>
      </c>
      <c r="BJ400" s="738"/>
      <c r="BK400" s="738"/>
      <c r="BL400" s="738">
        <f>BL39+BL40+BL41+BL42+BL43+BL44+BL45+BL46+BL47+BL48+BL49+BL50+BL51+BL53+BL54+BL55</f>
        <v>227548770.57820508</v>
      </c>
      <c r="BM400" s="738">
        <f>BM39+BM40+BM41+BM42+BM43+BM44+BM45+BM46+BM47+BM48+BM49+BM50+BM51+BM53+BM54+BM55</f>
        <v>250835011.81275603</v>
      </c>
      <c r="BO400" s="738"/>
      <c r="BP400" s="738"/>
      <c r="BQ400" s="738">
        <f>BQ39+BQ40+BQ41+BQ42+BQ43+BQ44+BQ45+BQ46+BQ47+BQ48+BQ49+BQ50+BQ51+BQ53+BQ54+BQ55</f>
        <v>227548770.57820508</v>
      </c>
      <c r="BR400" s="738">
        <f>BR39+BR40+BR41+BR42+BR43+BR44+BR45+BR46+BR47+BR48+BR49+BR50+BR51+BR53+BR54+BR55</f>
        <v>0</v>
      </c>
      <c r="BU400" s="752"/>
      <c r="BV400" s="752"/>
      <c r="BW400" s="752"/>
      <c r="BY400" s="752"/>
      <c r="BZ400" s="752"/>
      <c r="CA400" s="752"/>
      <c r="CB400" s="752"/>
      <c r="CC400" s="752"/>
      <c r="CK400" s="736" t="e">
        <f>CK39+CK40+CK41+CK42+CK43+CK44+CK45+CK46+CK47+CK48+CK49+CK50+CK51+CK53+CK54+CK55</f>
        <v>#VALUE!</v>
      </c>
      <c r="CL400" s="736" t="e">
        <f>CL39+CL40+CL41+CL42+CL43+CL44+CL45+CL46+CL47+CL48+CL49+CL50+CL51+CL53+CL54+CL55</f>
        <v>#VALUE!</v>
      </c>
      <c r="CM400" s="780" t="s">
        <v>1857</v>
      </c>
      <c r="DB400" s="736">
        <f>DB39+DB40+DB41+DB42+DB43+DB44+DB45+DB46+DB47+DB48+DB49+DB50+DB51+DB53+DB54+DB55</f>
        <v>229030410.14999998</v>
      </c>
      <c r="DF400" s="752"/>
      <c r="DG400" s="752"/>
      <c r="DH400" s="752"/>
      <c r="DI400" s="752"/>
    </row>
    <row r="401" spans="2:113" outlineLevel="1">
      <c r="B401" s="780" t="s">
        <v>2026</v>
      </c>
      <c r="G401" s="736">
        <f t="shared" ref="G401:Q401" si="527">G52</f>
        <v>267108127.23232195</v>
      </c>
      <c r="H401" s="736">
        <f t="shared" si="527"/>
        <v>0</v>
      </c>
      <c r="I401" s="736">
        <f t="shared" si="527"/>
        <v>260697228.85999995</v>
      </c>
      <c r="J401" s="736">
        <f t="shared" si="527"/>
        <v>132971035.08999997</v>
      </c>
      <c r="K401" s="736">
        <f t="shared" si="527"/>
        <v>64511253.159999996</v>
      </c>
      <c r="L401" s="736">
        <f t="shared" si="527"/>
        <v>63214940.609999999</v>
      </c>
      <c r="M401" s="736">
        <f t="shared" si="527"/>
        <v>197482288.24999997</v>
      </c>
      <c r="N401" s="736">
        <f t="shared" si="527"/>
        <v>188478901.86000001</v>
      </c>
      <c r="O401" s="736">
        <f t="shared" si="527"/>
        <v>56110121.400000006</v>
      </c>
      <c r="P401" s="736">
        <f t="shared" si="527"/>
        <v>244589023.26000002</v>
      </c>
      <c r="Q401" s="736">
        <f t="shared" si="527"/>
        <v>-16108205.599999934</v>
      </c>
      <c r="S401" s="736">
        <f>S52</f>
        <v>288318411.08880001</v>
      </c>
      <c r="T401" s="736">
        <f>T52</f>
        <v>305659304.15372509</v>
      </c>
      <c r="U401" s="736">
        <f>U52</f>
        <v>290236556.50448889</v>
      </c>
      <c r="AQ401" s="736">
        <f>AQ52</f>
        <v>66306878.235135093</v>
      </c>
      <c r="AR401" s="736">
        <f>AR52</f>
        <v>62954495.849999994</v>
      </c>
      <c r="AS401" s="736">
        <f>AS52</f>
        <v>89051150.889059201</v>
      </c>
      <c r="AT401" s="736">
        <f>AT52</f>
        <v>63854472.810000002</v>
      </c>
      <c r="BB401" s="736">
        <f>BB52</f>
        <v>69116932.683193192</v>
      </c>
      <c r="BC401" s="739">
        <f>BC52</f>
        <v>87178578.708361417</v>
      </c>
      <c r="BD401" s="739">
        <f t="shared" ref="BD401:BI401" si="528">BD52</f>
        <v>70689347.890000015</v>
      </c>
      <c r="BG401" s="739">
        <f t="shared" ref="BG401" si="529">BG52</f>
        <v>224474961.80738747</v>
      </c>
      <c r="BH401" s="738">
        <f t="shared" si="528"/>
        <v>213987547.36836141</v>
      </c>
      <c r="BI401" s="738">
        <f t="shared" si="528"/>
        <v>197498316.55000001</v>
      </c>
      <c r="BJ401" s="738"/>
      <c r="BK401" s="738"/>
      <c r="BL401" s="738">
        <f>BL52</f>
        <v>65761594.697101407</v>
      </c>
      <c r="BM401" s="738">
        <f>BM52</f>
        <v>72491318.413886473</v>
      </c>
      <c r="BO401" s="738"/>
      <c r="BP401" s="738"/>
      <c r="BQ401" s="738">
        <f>BQ52</f>
        <v>65761594.697101407</v>
      </c>
      <c r="BR401" s="738">
        <f>BR52</f>
        <v>0</v>
      </c>
      <c r="BU401" s="752"/>
      <c r="BV401" s="752"/>
      <c r="BW401" s="752"/>
      <c r="BY401" s="752"/>
      <c r="BZ401" s="752"/>
      <c r="CA401" s="752"/>
      <c r="CB401" s="752"/>
      <c r="CC401" s="752"/>
      <c r="CK401" s="736" t="str">
        <f>CK52</f>
        <v>Директор по экономике</v>
      </c>
      <c r="CL401" s="736" t="str">
        <f>CL52</f>
        <v>Начальник отдела труда и заработной платы</v>
      </c>
      <c r="CM401" s="780" t="s">
        <v>2026</v>
      </c>
      <c r="DB401" s="736">
        <f>DB52</f>
        <v>62954495.849999994</v>
      </c>
      <c r="DF401" s="752"/>
      <c r="DG401" s="752"/>
      <c r="DH401" s="752"/>
      <c r="DI401" s="752"/>
    </row>
    <row r="402" spans="2:113" outlineLevel="1">
      <c r="B402" s="780" t="s">
        <v>1925</v>
      </c>
      <c r="G402" s="736">
        <f>G141+G142+G143+G144+G145+G147+G149+G151+G153+G155+G156+G157+G159+G161+G162+G163+G164+G165+G166+G167+G168+G169+G171+G172+G174+G177+G178+G180+G185+G186+G187+G191+G194+G196+G197+G198+G201+G202+G203+G205+G208+G213+G214+G215+G218+G219+G220+G221+G222+G226+G228</f>
        <v>303686950.64258635</v>
      </c>
      <c r="I402" s="736">
        <f t="shared" ref="I402:Q402" si="530">I141+I142+I143+I144+I145+I147+I148+I149+I150+I151+I152+I153+I155+I156+I157+I159+I161+I162+I163+I164+I165+I166+I167+I168+I169+I171+I172+I174+I177+I178+I180+I185+I186+I187+I191+I194+I196+I197+I198+I201+I202+I203+I205+I208+I213+I214+I215+I218+I219+I220+I221+I222+I226+I228</f>
        <v>492143947.30999994</v>
      </c>
      <c r="J402" s="736">
        <f t="shared" si="530"/>
        <v>190321629.04000005</v>
      </c>
      <c r="K402" s="736">
        <f t="shared" si="530"/>
        <v>164593277.27999997</v>
      </c>
      <c r="L402" s="736">
        <f t="shared" si="530"/>
        <v>137229040.98999998</v>
      </c>
      <c r="M402" s="736">
        <f t="shared" si="530"/>
        <v>354914906.32000011</v>
      </c>
      <c r="N402" s="736">
        <f t="shared" si="530"/>
        <v>299705019.07000005</v>
      </c>
      <c r="O402" s="736">
        <f t="shared" si="530"/>
        <v>138928637.09999996</v>
      </c>
      <c r="P402" s="736">
        <f t="shared" si="530"/>
        <v>438633656.17000008</v>
      </c>
      <c r="Q402" s="736">
        <f t="shared" si="530"/>
        <v>-53510291.139999993</v>
      </c>
      <c r="S402" s="736">
        <f>S141+S142+S143+S144+S145+S147+S148+S149+S150+S151+S152+S153+S155+S156+S157+S159+S161+S162+S163+S164+S165+S166+S167+S168+S169+S171+S172+S174+S177+S178+S180+S185+S186+S187+S191+S194+S196+S197+S198+S201+S202+S203+S205+S208+S213+S214+S215+S218+S219+S220+S221+S222+S226+S228</f>
        <v>307860741.49740821</v>
      </c>
      <c r="T402" s="736">
        <f>T141+T142+T143+T144+T145+T147+T148+T149+T150+T151+T152+T153+T155+T156+T157+T159+T161+T162+T163+T164+T165+T166+T167+T168+T169+T171+T172+T174+T177+T178+T180+T185+T186+T187+T191+T194+T196+T197+T198+T201+T202+T203+T205+T208+T213+T214+T215+T218+T219+T220+T221+T222+T226+T228</f>
        <v>344959723.57876444</v>
      </c>
      <c r="U402" s="736">
        <f>U141+U142+U143+U144+U145+U147+U148+U149+U150+U151+U152+U153+U155+U156+U157+U159+U161+U162+U163+U164+U165+U166+U167+U168+U169+U171+U172+U174+U177+U178+U180+U185+U186+U187+U191+U194+U196+U197+U198+U201+U202+U203+U205+U208+U213+U214+U215+U218+U219+U220+U221+U222+U226+U228</f>
        <v>403628112.32000011</v>
      </c>
      <c r="AQ402" s="736">
        <f>AQ141+AQ142+AQ143+AQ144+AQ145+AQ147+AQ148+AQ149+AQ150+AQ151+AQ152+AQ153+AQ155+AQ156+AQ157+AQ159+AQ161+AQ162+AQ163+AQ164+AQ165+AQ166+AQ167+AQ168+AQ169+AQ171+AQ172+AQ174+AQ177+AQ178+AQ180+AQ185+AQ186+AQ187+AQ191+AQ194+AQ196+AQ197+AQ198+AQ201+AQ202+AQ203+AQ205+AQ208+AQ213+AQ214+AQ215+AQ218+AQ219+AQ220+AQ221+AQ222+AQ226+AQ228</f>
        <v>95957423.939999998</v>
      </c>
      <c r="AR402" s="736">
        <f>AR141+AR142+AR143+AR144+AR145+AR147+AR148+AR149+AR150+AR151+AR152+AR153+AR155+AR156+AR157+AR159+AR161+AR162+AR163+AR164+AR165+AR166+AR167+AR168+AR169+AR171+AR172+AR174+AR177+AR178+AR180+AR185+AR186+AR187+AR191+AR194+AR196+AR197+AR198+AR201+AR202+AR203+AR205+AR208+AR213+AR214+AR215+AR218+AR219+AR220+AR221+AR222+AR226+AR228</f>
        <v>97823859.730000019</v>
      </c>
      <c r="AS402" s="736">
        <f>AS141+AS142+AS143+AS144+AS145+AS147+AS148+AS149+AS150+AS151+AS152+AS153+AS155+AS156+AS157+AS159+AS161+AS162+AS163+AS164+AS165+AS166+AS167+AS168+AS169+AS171+AS172+AS174+AS177+AS178+AS180+AS185+AS186+AS187+AS191+AS194+AS196+AS197+AS198+AS201+AS202+AS203+AS205+AS208+AS213+AS214+AS215+AS218+AS219+AS220+AS221+AS222+AS226+AS228</f>
        <v>114210463.21999998</v>
      </c>
      <c r="AT402" s="736">
        <f>AT141+AT142+AT143+AT144+AT145+AT147+AT148+AT149+AT150+AT151+AT152+AT153+AT155+AT156+AT157+AT159+AT161+AT162+AT163+AT164+AT165+AT166+AT167+AT168+AT169+AT171+AT172+AT174+AT177+AT178+AT180+AT185+AT186+AT187+AT191+AT194+AT196+AT197+AT198+AT201+AT202+AT203+AT205+AT208+AT213+AT214+AT215+AT218+AT219+AT220+AT221+AT222+AT226+AT228</f>
        <v>104182244.82999998</v>
      </c>
      <c r="BB402" s="736">
        <f>BB141+BB142+BB143+BB144+BB145+BB147+BB148+BB149+BB150+BB151+BB152+BB153+BB155+BB156+BB157+BB159+BB161+BB162+BB163+BB164+BB165+BB166+BB167+BB168+BB169+BB171+BB172+BB174+BB177+BB178+BB180+BB185+BB186+BB187+BB191+BB194+BB196+BB197+BB198+BB201+BB202+BB203+BB205+BB208+BB213+BB214+BB215+BB218+BB219+BB220+BB221+BB222+BB226+BB228</f>
        <v>108035532.20999996</v>
      </c>
      <c r="BC402" s="739">
        <f>BC141+BC142+BC143+BC144+BC145+BC147+BC148+BC149+BC150+BC151+BC152+BC153+BC155+BC156+BC157+BC159+BC161+BC162+BC163+BC164+BC165+BC166+BC167+BC168+BC169+BC171+BC172+BC174+BC177+BC178+BC180+BC185+BC186+BC187+BC191+BC194+BC196+BC197+BC198+BC201+BC202+BC203+BC205+BC208+BC213+BC214+BC215+BC218+BC219+BC220+BC221+BC222+BC226+BC228</f>
        <v>123125178.27000001</v>
      </c>
      <c r="BD402" s="739">
        <f t="shared" ref="BD402:BI402" si="531">BD141+BD142+BD143+BD144+BD145+BD147+BD148+BD149+BD150+BD151+BD152+BD153+BD155+BD156+BD157+BD159+BD161+BD162+BD163+BD164+BD165+BD166+BD167+BD168+BD169+BD171+BD172+BD174+BD177+BD178+BD180+BD185+BD186+BD187+BD191+BD194+BD196+BD197+BD198+BD201+BD202+BD203+BD205+BD208+BD213+BD214+BD215+BD218+BD219+BD220+BD221+BD222+BD226+BD228</f>
        <v>110709799.33999999</v>
      </c>
      <c r="BG402" s="739">
        <f t="shared" ref="BG402" si="532">BG141+BG142+BG143+BG144+BG145+BG147+BG148+BG149+BG150+BG151+BG152+BG153+BG155+BG156+BG157+BG159+BG161+BG162+BG163+BG164+BG165+BG166+BG167+BG168+BG169+BG171+BG172+BG174+BG177+BG178+BG180+BG185+BG186+BG187+BG191+BG194+BG196+BG197+BG198+BG201+BG202+BG203+BG205+BG208+BG213+BG214+BG215+BG218+BG219+BG220+BG221+BG222+BG226+BG228</f>
        <v>318203419.37</v>
      </c>
      <c r="BH402" s="738">
        <f t="shared" si="531"/>
        <v>325131282.82999998</v>
      </c>
      <c r="BI402" s="738">
        <f t="shared" si="531"/>
        <v>312715903.90000004</v>
      </c>
      <c r="BJ402" s="738"/>
      <c r="BK402" s="738"/>
      <c r="BL402" s="738">
        <f>BL141+BL142+BL143+BL144+BL145+BL147+BL148+BL149+BL150+BL151+BL152+BL153+BL155+BL156+BL157+BL159+BL161+BL162+BL163+BL164+BL165+BL166+BL167+BL168+BL169+BL171+BL172+BL174+BL177+BL178+BL180+BL185+BL186+BL187+BL191+BL194+BL196+BL197+BL198+BL201+BL202+BL203+BL205+BL208+BL213+BL214+BL215+BL218+BL219+BL220+BL221+BL222+BL226+BL228</f>
        <v>85424692.950000003</v>
      </c>
      <c r="BM402" s="738">
        <f>BM141+BM142+BM143+BM144+BM145+BM147+BM148+BM149+BM150+BM151+BM152+BM153+BM155+BM156+BM157+BM159+BM161+BM162+BM163+BM164+BM165+BM166+BM167+BM168+BM169+BM171+BM172+BM174+BM177+BM178+BM180+BM185+BM186+BM187+BM191+BM194+BM196+BM197+BM198+BM201+BM202+BM203+BM205+BM208+BM213+BM214+BM215+BM218+BM219+BM220+BM221+BM222+BM226+BM228</f>
        <v>106089792.79000005</v>
      </c>
      <c r="BO402" s="738"/>
      <c r="BP402" s="738"/>
      <c r="BQ402" s="738">
        <f>BQ141+BQ142+BQ143+BQ144+BQ145+BQ147+BQ148+BQ149+BQ150+BQ151+BQ152+BQ153+BQ155+BQ156+BQ157+BQ159+BQ161+BQ162+BQ163+BQ164+BQ165+BQ166+BQ167+BQ168+BQ169+BQ171+BQ172+BQ174+BQ177+BQ178+BQ180+BQ185+BQ186+BQ187+BQ191+BQ194+BQ196+BQ197+BQ198+BQ201+BQ202+BQ203+BQ205+BQ208+BQ213+BQ214+BQ215+BQ218+BQ219+BQ220+BQ221+BQ222+BQ226+BQ228</f>
        <v>85424692.950000003</v>
      </c>
      <c r="BR402" s="738">
        <f>BR141+BR142+BR143+BR144+BR145+BR147+BR148+BR149+BR150+BR151+BR152+BR153+BR155+BR156+BR157+BR159+BR161+BR162+BR163+BR164+BR165+BR166+BR167+BR168+BR169+BR171+BR172+BR174+BR177+BR178+BR180+BR185+BR186+BR187+BR191+BR194+BR196+BR197+BR198+BR201+BR202+BR203+BR205+BR208+BR213+BR214+BR215+BR218+BR219+BR220+BR221+BR222+BR226+BR228</f>
        <v>0</v>
      </c>
      <c r="BU402" s="752"/>
      <c r="BV402" s="752"/>
      <c r="BW402" s="752"/>
      <c r="BY402" s="752"/>
      <c r="BZ402" s="752"/>
      <c r="CA402" s="752"/>
      <c r="CB402" s="752"/>
      <c r="CC402" s="752"/>
      <c r="CK402" s="736" t="e">
        <f>CK141+CK142+CK143+CK144+CK145+CK147+CK148+CK149+CK150+CK151+CK152+CK153+CK155+CK156+CK157+CK159+CK161+CK162+CK163+CK164+CK165+CK166+CK167+CK168+CK169+CK171+CK172+CK174+CK177+CK178+CK180+CK185+CK186+CK187+CK191+CK194+CK196+CK197+CK198+CK201+CK202+CK203+CK205+CK208+CK213+CK214+CK215+CK218+CK219+CK220+CK221+CK222+CK226+CK228</f>
        <v>#VALUE!</v>
      </c>
      <c r="CL402" s="736" t="e">
        <f>CL141+CL142+CL143+CL144+CL145+CL147+CL148+CL149+CL150+CL151+CL152+CL153+CL155+CL156+CL157+CL159+CL161+CL162+CL163+CL164+CL165+CL166+CL167+CL168+CL169+CL171+CL172+CL174+CL177+CL178+CL180+CL185+CL186+CL187+CL191+CL194+CL196+CL197+CL198+CL201+CL202+CL203+CL205+CL208+CL213+CL214+CL215+CL218+CL219+CL220+CL221+CL222+CL226+CL228</f>
        <v>#VALUE!</v>
      </c>
      <c r="CM402" s="780" t="s">
        <v>1925</v>
      </c>
      <c r="DB402" s="736">
        <f>DB141+DB142+DB143+DB144+DB145+DB147+DB148+DB149+DB150+DB151+DB152+DB153+DB155+DB156+DB157+DB159+DB161+DB162+DB163+DB164+DB165+DB166+DB167+DB168+DB169+DB171+DB172+DB174+DB177+DB178+DB180+DB185+DB186+DB187+DB191+DB194+DB196+DB197+DB198+DB201+DB202+DB203+DB205+DB208+DB213+DB214+DB215+DB218+DB219+DB220+DB221+DB222+DB226+DB228</f>
        <v>97823859.730000019</v>
      </c>
      <c r="DF402" s="752"/>
      <c r="DG402" s="752"/>
      <c r="DH402" s="752"/>
      <c r="DI402" s="752"/>
    </row>
    <row r="403" spans="2:113" outlineLevel="1">
      <c r="B403" s="780" t="s">
        <v>64</v>
      </c>
      <c r="G403" s="736">
        <f t="shared" ref="G403:Q403" si="533">G36+G37</f>
        <v>206057330</v>
      </c>
      <c r="H403" s="736">
        <f t="shared" si="533"/>
        <v>0</v>
      </c>
      <c r="I403" s="736">
        <f t="shared" si="533"/>
        <v>326412603.35000002</v>
      </c>
      <c r="J403" s="736">
        <f t="shared" si="533"/>
        <v>160609730.24000001</v>
      </c>
      <c r="K403" s="736">
        <f t="shared" si="533"/>
        <v>81931596.74000001</v>
      </c>
      <c r="L403" s="736">
        <f t="shared" si="533"/>
        <v>83871276.370000005</v>
      </c>
      <c r="M403" s="736">
        <f t="shared" si="533"/>
        <v>242541326.97999999</v>
      </c>
      <c r="N403" s="736">
        <f t="shared" si="533"/>
        <v>240976483.78</v>
      </c>
      <c r="O403" s="736">
        <f t="shared" si="533"/>
        <v>80852149.879999995</v>
      </c>
      <c r="P403" s="736">
        <f t="shared" si="533"/>
        <v>321828633.65999997</v>
      </c>
      <c r="Q403" s="736">
        <f t="shared" si="533"/>
        <v>-4583969.6900000237</v>
      </c>
      <c r="S403" s="736">
        <f>S36+S37</f>
        <v>297196020</v>
      </c>
      <c r="T403" s="736">
        <f>T36+T37</f>
        <v>297196020</v>
      </c>
      <c r="U403" s="736">
        <f>U36+U37</f>
        <v>319845333.33249998</v>
      </c>
      <c r="AQ403" s="736">
        <f>AQ36+AQ37</f>
        <v>79886000</v>
      </c>
      <c r="AR403" s="736">
        <f>AR36+AR37</f>
        <v>85984794.669999987</v>
      </c>
      <c r="AS403" s="736">
        <f>AS36+AS37</f>
        <v>79732000</v>
      </c>
      <c r="AT403" s="736">
        <f>AT36+AT37</f>
        <v>86590113.219999999</v>
      </c>
      <c r="BB403" s="736">
        <f>BB36+BB37</f>
        <v>80266000</v>
      </c>
      <c r="BC403" s="739">
        <f>BC36+BC37</f>
        <v>87319043.430000007</v>
      </c>
      <c r="BD403" s="739">
        <f t="shared" ref="BD403:BI403" si="534">BD36+BD37</f>
        <v>88544804.50000003</v>
      </c>
      <c r="BG403" s="739">
        <f t="shared" ref="BG403" si="535">BG36+BG37</f>
        <v>239884000</v>
      </c>
      <c r="BH403" s="738">
        <f t="shared" si="534"/>
        <v>259893951.31999999</v>
      </c>
      <c r="BI403" s="738">
        <f t="shared" si="534"/>
        <v>261119712.39000002</v>
      </c>
      <c r="BJ403" s="738"/>
      <c r="BK403" s="738"/>
      <c r="BL403" s="738">
        <f>BL36+BL37</f>
        <v>79961333.332499996</v>
      </c>
      <c r="BM403" s="738">
        <f>BM36+BM37</f>
        <v>87238111.129999995</v>
      </c>
      <c r="BO403" s="738"/>
      <c r="BP403" s="738"/>
      <c r="BQ403" s="738">
        <f>BQ36+BQ37</f>
        <v>79961333.332499996</v>
      </c>
      <c r="BR403" s="738">
        <f>BR36+BR37</f>
        <v>0</v>
      </c>
      <c r="BU403" s="752"/>
      <c r="BV403" s="752"/>
      <c r="BW403" s="752"/>
      <c r="BY403" s="752"/>
      <c r="BZ403" s="752"/>
      <c r="CA403" s="752"/>
      <c r="CB403" s="752"/>
      <c r="CC403" s="752"/>
      <c r="CK403" s="736" t="e">
        <f>CK36+CK37</f>
        <v>#VALUE!</v>
      </c>
      <c r="CL403" s="736" t="e">
        <f>CL36+CL37</f>
        <v>#VALUE!</v>
      </c>
      <c r="CM403" s="780" t="s">
        <v>64</v>
      </c>
      <c r="DB403" s="736">
        <f>DB36+DB37</f>
        <v>85984794.669999987</v>
      </c>
      <c r="DF403" s="752"/>
      <c r="DG403" s="752"/>
      <c r="DH403" s="752"/>
      <c r="DI403" s="752"/>
    </row>
    <row r="404" spans="2:113" outlineLevel="1">
      <c r="B404" s="780" t="s">
        <v>1905</v>
      </c>
      <c r="G404" s="736">
        <f t="shared" ref="G404:Q404" si="536">G73+G74+G75+G76+G77+G78+G79+G80+G81+G82+G83+G84</f>
        <v>1371851016.4803262</v>
      </c>
      <c r="H404" s="736">
        <f t="shared" si="536"/>
        <v>0</v>
      </c>
      <c r="I404" s="736">
        <f t="shared" si="536"/>
        <v>1370467635.5400002</v>
      </c>
      <c r="J404" s="736">
        <f t="shared" si="536"/>
        <v>707974624.26000011</v>
      </c>
      <c r="K404" s="736">
        <f t="shared" si="536"/>
        <v>334649870.25999999</v>
      </c>
      <c r="L404" s="736">
        <f t="shared" si="536"/>
        <v>327843141.02000004</v>
      </c>
      <c r="M404" s="736">
        <f t="shared" si="536"/>
        <v>1042624494.52</v>
      </c>
      <c r="N404" s="736">
        <f t="shared" si="536"/>
        <v>1038030065.6999999</v>
      </c>
      <c r="O404" s="736">
        <f t="shared" si="536"/>
        <v>326918135.42999995</v>
      </c>
      <c r="P404" s="736">
        <f t="shared" si="536"/>
        <v>1364948201.1300001</v>
      </c>
      <c r="Q404" s="736">
        <f t="shared" si="536"/>
        <v>-5519434.410000111</v>
      </c>
      <c r="S404" s="736">
        <f>S73+S74+S75+S76+S77+S78+S79+S80+S81+S82+S83+S84</f>
        <v>1412934144.9205999</v>
      </c>
      <c r="T404" s="736">
        <f>T73+T74+T75+T76+T77+T78+T79+T80+T81+T82+T83+T84</f>
        <v>1263084855.1806002</v>
      </c>
      <c r="U404" s="736">
        <f>U73+U74+U75+U76+U77+U78+U79+U80+U81+U82+U83+U84</f>
        <v>1304065106.77</v>
      </c>
      <c r="AQ404" s="736">
        <f>AQ73+AQ74+AQ75+AQ76+AQ77+AQ78+AQ79+AQ80+AQ81+AQ82+AQ83+AQ84</f>
        <v>333389904.99999994</v>
      </c>
      <c r="AR404" s="736">
        <f>AR73+AR74+AR75+AR76+AR77+AR78+AR79+AR80+AR81+AR82+AR83+AR84</f>
        <v>329818283.73000002</v>
      </c>
      <c r="AS404" s="736">
        <f>AS73+AS74+AS75+AS76+AS77+AS78+AS79+AS80+AS81+AS82+AS83+AS84</f>
        <v>345003446.88999999</v>
      </c>
      <c r="AT404" s="736">
        <f>AT73+AT74+AT75+AT76+AT77+AT78+AT79+AT80+AT81+AT82+AT83+AT84</f>
        <v>329421061.11000001</v>
      </c>
      <c r="BB404" s="736">
        <f>BB73+BB74+BB75+BB76+BB77+BB78+BB79+BB80+BB81+BB82+BB83+BB84</f>
        <v>324727501.71999997</v>
      </c>
      <c r="BC404" s="739">
        <f>BC73+BC74+BC75+BC76+BC77+BC78+BC79+BC80+BC81+BC82+BC83+BC84</f>
        <v>331368755.82999998</v>
      </c>
      <c r="BD404" s="739">
        <f t="shared" ref="BD404:BI404" si="537">BD73+BD74+BD75+BD76+BD77+BD78+BD79+BD80+BD81+BD82+BD83+BD84</f>
        <v>311777879.12999994</v>
      </c>
      <c r="BG404" s="739">
        <f t="shared" ref="BG404" si="538">BG73+BG74+BG75+BG76+BG77+BG78+BG79+BG80+BG81+BG82+BG83+BG84</f>
        <v>1003120853.6100003</v>
      </c>
      <c r="BH404" s="738">
        <f t="shared" si="537"/>
        <v>990608100.66999996</v>
      </c>
      <c r="BI404" s="738">
        <f t="shared" si="537"/>
        <v>971017223.97000003</v>
      </c>
      <c r="BJ404" s="738"/>
      <c r="BK404" s="738"/>
      <c r="BL404" s="738">
        <f>BL73+BL74+BL75+BL76+BL77+BL78+BL79+BL80+BL81+BL82+BL83+BL84</f>
        <v>300944253.16000003</v>
      </c>
      <c r="BM404" s="738">
        <f>BM73+BM74+BM75+BM76+BM77+BM78+BM79+BM80+BM81+BM82+BM83+BM84</f>
        <v>307563446.94999999</v>
      </c>
      <c r="BO404" s="738"/>
      <c r="BP404" s="738"/>
      <c r="BQ404" s="738">
        <f>BQ73+BQ74+BQ75+BQ76+BQ77+BQ78+BQ79+BQ80+BQ81+BQ82+BQ83+BQ84</f>
        <v>300944253.16000003</v>
      </c>
      <c r="BR404" s="738">
        <f>BR73+BR74+BR75+BR76+BR77+BR78+BR79+BR80+BR81+BR82+BR83+BR84</f>
        <v>0</v>
      </c>
      <c r="BU404" s="752"/>
      <c r="BV404" s="752"/>
      <c r="BW404" s="752"/>
      <c r="BY404" s="752"/>
      <c r="BZ404" s="752"/>
      <c r="CA404" s="752"/>
      <c r="CB404" s="752"/>
      <c r="CC404" s="752"/>
      <c r="CK404" s="736" t="e">
        <f>CK73+CK74+CK75+CK76+CK77+CK78+CK79+CK80+CK81+CK82+CK83+CK84</f>
        <v>#VALUE!</v>
      </c>
      <c r="CL404" s="736" t="e">
        <f>CL73+CL74+CL75+CL76+CL77+CL78+CL79+CL80+CL81+CL82+CL83+CL84</f>
        <v>#VALUE!</v>
      </c>
      <c r="CM404" s="780" t="s">
        <v>1905</v>
      </c>
      <c r="DB404" s="736">
        <f>DB73+DB74+DB75+DB76+DB77+DB78+DB79+DB80+DB81+DB82+DB83+DB84</f>
        <v>329818283.73000002</v>
      </c>
      <c r="DF404" s="752"/>
      <c r="DG404" s="752"/>
      <c r="DH404" s="752"/>
      <c r="DI404" s="752"/>
    </row>
    <row r="405" spans="2:113" ht="28.8" outlineLevel="1" thickBot="1">
      <c r="B405" s="781" t="s">
        <v>1305</v>
      </c>
      <c r="G405" s="736">
        <f>G57+G60+G61+G62+G65+G67+G68+G69+G231+G232+G233+G234</f>
        <v>41081441.806252494</v>
      </c>
      <c r="I405" s="736">
        <f t="shared" ref="I405:Q405" si="539">I57+I58+I59+I60+I61+I62+I65+I67+I68+I69+I231+I232+I233+I234</f>
        <v>49173394.930000007</v>
      </c>
      <c r="J405" s="736">
        <f t="shared" si="539"/>
        <v>21188133.300000001</v>
      </c>
      <c r="K405" s="736">
        <f t="shared" si="539"/>
        <v>13645852.289999999</v>
      </c>
      <c r="L405" s="736">
        <f t="shared" si="539"/>
        <v>14339409.34</v>
      </c>
      <c r="M405" s="736">
        <f t="shared" si="539"/>
        <v>34833985.590000004</v>
      </c>
      <c r="N405" s="736">
        <f t="shared" si="539"/>
        <v>32378896.48</v>
      </c>
      <c r="O405" s="736">
        <f t="shared" si="539"/>
        <v>21645726.710000001</v>
      </c>
      <c r="P405" s="736">
        <f t="shared" si="539"/>
        <v>54024623.189999998</v>
      </c>
      <c r="Q405" s="736">
        <f t="shared" si="539"/>
        <v>4851228.259999997</v>
      </c>
      <c r="S405" s="736">
        <f>S57+S58+S59+S60+S61+S62+S65+S67+S68+S69+S231+S232+S233+S234</f>
        <v>68044295.687608331</v>
      </c>
      <c r="T405" s="736">
        <f>T57+T58+T59+T60+T61+T62+T65+T67+T68+T69+T231+T232+T233+T234</f>
        <v>69035180.700108334</v>
      </c>
      <c r="U405" s="736">
        <f>U57+U58+U59+U60+U61+U62+U65+U67+U68+U69+U231+U232+U233+U234</f>
        <v>60448796.529999994</v>
      </c>
      <c r="AQ405" s="736">
        <f>AQ57+AQ58+AQ59+AQ60+AQ61+AQ62+AQ65+AQ67+AQ68+AQ69+AQ231+AQ232+AQ233+AQ234</f>
        <v>11710522.41</v>
      </c>
      <c r="AR405" s="736">
        <f>AR57+AR58+AR59+AR60+AR61+AR62+AR65+AR67+AR68+AR69+AR231+AR232+AR233+AR234</f>
        <v>11609278.959999999</v>
      </c>
      <c r="AS405" s="736">
        <f>AS57+AS58+AS59+AS60+AS61+AS62+AS65+AS67+AS68+AS69+AS231+AS232+AS233+AS234</f>
        <v>13019270.379999999</v>
      </c>
      <c r="AT405" s="736">
        <f>AT57+AT58+AT59+AT60+AT61+AT62+AT65+AT67+AT68+AT69+AT231+AT232+AT233+AT234</f>
        <v>13271689.279999999</v>
      </c>
      <c r="BB405" s="736">
        <f>BB57+BB58+BB59+BB60+BB61+BB62+BB65+BB67+BB68+BB69+BB231+BB232+BB233+BB234</f>
        <v>13032178.68</v>
      </c>
      <c r="BC405" s="739">
        <f>BC57+BC58+BC59+BC60+BC61+BC62+BC65+BC67+BC68+BC69+BC231+BC232+BC233+BC234</f>
        <v>13472047.129181087</v>
      </c>
      <c r="BD405" s="739">
        <f t="shared" ref="BD405:BI405" si="540">BD57+BD58+BD59+BD60+BD61+BD62+BD65+BD67+BD68+BD69+BD231+BD232+BD233+BD234</f>
        <v>13147244.639999999</v>
      </c>
      <c r="BG405" s="739">
        <f t="shared" ref="BG405" si="541">BG57+BG58+BG59+BG60+BG61+BG62+BG65+BG67+BG68+BG69+BG231+BG232+BG233+BG234</f>
        <v>37761971.469999999</v>
      </c>
      <c r="BH405" s="738">
        <f t="shared" si="540"/>
        <v>38353015.369181089</v>
      </c>
      <c r="BI405" s="738">
        <f t="shared" si="540"/>
        <v>38028212.879999995</v>
      </c>
      <c r="BJ405" s="738"/>
      <c r="BK405" s="738"/>
      <c r="BL405" s="738">
        <f>BL57+BL58+BL59+BL60+BL61+BL62+BL65+BL67+BL68+BL69+BL231+BL232+BL233+BL234</f>
        <v>22686825.059999999</v>
      </c>
      <c r="BM405" s="738">
        <f>BM57+BM58+BM59+BM60+BM61+BM62+BM65+BM67+BM68+BM69+BM231+BM232+BM233+BM234</f>
        <v>23342417.291471425</v>
      </c>
      <c r="BO405" s="738"/>
      <c r="BP405" s="738"/>
      <c r="BQ405" s="738">
        <f>BQ57+BQ58+BQ59+BQ60+BQ61+BQ62+BQ65+BQ67+BQ68+BQ69+BQ231+BQ232+BQ233+BQ234</f>
        <v>22686825.059999999</v>
      </c>
      <c r="BR405" s="738">
        <f>BR57+BR58+BR59+BR60+BR61+BR62+BR65+BR67+BR68+BR69+BR231+BR232+BR233+BR234</f>
        <v>0</v>
      </c>
      <c r="BU405" s="752"/>
      <c r="BV405" s="752"/>
      <c r="BW405" s="752"/>
      <c r="BY405" s="752"/>
      <c r="BZ405" s="752"/>
      <c r="CA405" s="752"/>
      <c r="CB405" s="752"/>
      <c r="CC405" s="752"/>
      <c r="CK405" s="736" t="e">
        <f>CK57+CK58+CK59+CK60+CK61+CK62+CK65+CK67+CK68+CK69+CK231+CK232+CK233+CK234</f>
        <v>#VALUE!</v>
      </c>
      <c r="CL405" s="736" t="e">
        <f>CL57+CL58+CL59+CL60+CL61+CL62+CL65+CL67+CL68+CL69+CL231+CL232+CL233+CL234</f>
        <v>#VALUE!</v>
      </c>
      <c r="CM405" s="781" t="s">
        <v>1305</v>
      </c>
      <c r="DB405" s="736">
        <f>DB57+DB58+DB59+DB60+DB61+DB62+DB65+DB67+DB68+DB69+DB231+DB232+DB233+DB234</f>
        <v>11609278.959999999</v>
      </c>
      <c r="DF405" s="752"/>
      <c r="DG405" s="752"/>
      <c r="DH405" s="752"/>
      <c r="DI405" s="752"/>
    </row>
    <row r="406" spans="2:113" outlineLevel="1">
      <c r="G406" s="736">
        <f>G36+G37+G39+G40+G41+G42+G43+G44+G45+G46+G47+G48+G49+G50+G51+G52+G53+G54+G55+G57+G60+G61+G62+G65+G67+G68+G69+G73+G74+G75+G76+G77+G78+G79+G80+G81+G82+G83+G84+G87+G88+G91+G92+G93+G94+G95+G96+G97+G105+G106+G107+G108+G110+G111+G113+G114+G115+G120+G121+G122+G123+G126+G127+G128+G129+G130+G131+G132+G141+G142+G143+G144+G145+G147+G149+G151+G153+G155+G156+G157+G159+G161+G162+G163+G164+G165+G166+G167+G168+G169+G171+G172+G174+G177+G178+G180+G185+G186+G187+G191+G194+G196+G197+G198+G201+G202+G203+G205+G208+G213+G214+G215+G218+G219+G220+G221+G222+G226+G228+G231+G232+G233+G234</f>
        <v>3289566005.1233473</v>
      </c>
      <c r="H406" s="736">
        <f>H36+H37+H39+H40+H41+H42+H43+H44+H45+H46+H47+H48+H49+H50+H51+H52+H53+H54+H55+H57+H60+H61+H62+H65+H67+H68+H69+H73+H74+H75+H76+H77+H78+H79+H80+H81+H82+H83+H84+H87+H88+H91+H92+H93+H94+H95+H96+H97+H105+H106+H107+H108+H110+H111+H113+H114+H115+H120+H121+H122+H123+H126+H127+H128+H129+H130+H131+H132+H141+H142+H143+H144+H145+H147+H149+H151+H153+H155+H156+H157+H159+H161+H162+H163+H164+H165+H166+H167+H168+H169+H171+H172+H174+H177+H178+H180+H185+H186+H187+H191+H194+H196+H197+H198+H201+H202+H203+H205+H208+H213+H214+H215+H218+H219+H220+H221+H222+H226+H228+H231+H232+H233+H234</f>
        <v>0</v>
      </c>
      <c r="BH406" s="738"/>
      <c r="BI406" s="738"/>
      <c r="BJ406" s="738"/>
      <c r="BK406" s="738"/>
      <c r="BO406" s="738"/>
      <c r="BP406" s="738"/>
      <c r="BU406" s="752"/>
      <c r="BV406" s="752"/>
      <c r="BW406" s="752"/>
      <c r="BY406" s="752"/>
      <c r="BZ406" s="752"/>
      <c r="CA406" s="752"/>
      <c r="CB406" s="752"/>
      <c r="CC406" s="752"/>
      <c r="CK406" s="736"/>
      <c r="CL406" s="736"/>
      <c r="DF406" s="752"/>
      <c r="DG406" s="752"/>
      <c r="DH406" s="752"/>
      <c r="DI406" s="752"/>
    </row>
    <row r="407" spans="2:113" outlineLevel="1">
      <c r="G407" s="736">
        <f>G399+G400+G401+G402+G403+G404+G405-G406</f>
        <v>0</v>
      </c>
      <c r="H407" s="736">
        <f>H399+H400+H401+H402+H403+H404+H405-H406</f>
        <v>0</v>
      </c>
      <c r="I407" s="736">
        <f t="shared" ref="I407:Q407" si="542">I36+I37+I39+I40+I41+I42+I43+I44+I45+I46+I47+I48+I49+I50+I51+I52+I53+I54+I55+I57+I58+I59+I60+I61+I62+I65+I67+I68+I69+I73+I74+I75+I76+I77+I78+I79+I80+I81+I82+I83+I84+I87+I88+I91+I92+I93+I94+I95+I96+I97+I105+I106+I107+I108+I110+I111+I113+I114+I115+I116+I117+I120+I121+I122+I123+I126+I127+I128+I129+I130+I131+I132+I141+I142+I143+I144+I145+I147+I148+I149+I150+I151+I152+I153+I155+I156+I157+I159+I161+I162+I163+I164+I165+I166+I167+I168+I169+I171+I172+I174+I177+I178+I180+I185+I186+I187+I191+I194+I196+I197+I198+I201+I202+I203+I205+I208+I213+I214+I215+I218+I219+I220+I221+I222+I226+I228+I231+I232+I233+I234</f>
        <v>3792781932.3599982</v>
      </c>
      <c r="J407" s="736">
        <f t="shared" si="542"/>
        <v>1839584755.7699997</v>
      </c>
      <c r="K407" s="736">
        <f t="shared" si="542"/>
        <v>996475250.97000027</v>
      </c>
      <c r="L407" s="736">
        <f t="shared" si="542"/>
        <v>956721925.61999965</v>
      </c>
      <c r="M407" s="736">
        <f t="shared" si="542"/>
        <v>2836060006.7399993</v>
      </c>
      <c r="N407" s="736">
        <f t="shared" si="542"/>
        <v>2724129865.4799972</v>
      </c>
      <c r="O407" s="736">
        <f t="shared" si="542"/>
        <v>951313162.94000018</v>
      </c>
      <c r="P407" s="736">
        <f t="shared" si="542"/>
        <v>3675443028.420002</v>
      </c>
      <c r="Q407" s="736">
        <f t="shared" si="542"/>
        <v>-117338903.94000004</v>
      </c>
      <c r="S407" s="736">
        <f>S36+S37+S39+S40+S41+S42+S43+S44+S45+S46+S47+S48+S49+S50+S51+S52+S53+S54+S55+S57+S58+S59+S60+S61+S62+S65+S67+S68+S69+S73+S74+S75+S76+S77+S78+S79+S80+S81+S82+S83+S84+S87+S88+S91+S92+S93+S94+S95+S96+S97+S105+S106+S107+S108+S110+S111+S113+S114+S115+S116+S117+S120+S121+S122+S123+S126+S127+S128+S129+S130+S131+S132+S141+S142+S143+S144+S145+S147+S148+S149+S150+S151+S152+S153+S155+S156+S157+S159+S161+S162+S163+S164+S165+S166+S167+S168+S169+S171+S172+S174+S177+S178+S180+S185+S186+S187+S191+S194+S196+S197+S198+S201+S202+S203+S205+S208+S213+S214+S215+S218+S219+S220+S221+S222+S226+S228+S231+S232+S233+S234</f>
        <v>3514638576.1953321</v>
      </c>
      <c r="T407" s="736">
        <f>T36+T37+T39+T40+T41+T42+T43+T44+T45+T46+T47+T48+T49+T50+T51+T52+T53+T54+T55+T57+T58+T59+T60+T61+T62+T65+T67+T68+T69+T73+T74+T75+T76+T77+T78+T79+T80+T81+T82+T83+T84+T87+T88+T91+T92+T93+T94+T95+T96+T97+T105+T106+T107+T108+T110+T111+T113+T114+T115+T116+T117+T120+T121+T122+T123+T126+T127+T128+T129+T130+T131+T132+T141+T142+T143+T144+T145+T147+T148+T149+T150+T151+T152+T153+T155+T156+T157+T159+T161+T162+T163+T164+T165+T166+T167+T168+T169+T171+T172+T174+T177+T178+T180+T185+T186+T187+T191+T194+T196+T197+T198+T201+T202+T203+T205+T208+T213+T214+T215+T218+T219+T220+T221+T222+T226+T228+T231+T232+T233+T234</f>
        <v>3477262458.0118933</v>
      </c>
      <c r="U407" s="736">
        <f>U36+U37+U39+U40+U41+U42+U43+U44+U45+U46+U47+U48+U49+U50+U51+U52+U53+U54+U55+U57+U58+U59+U60+U61+U62+U65+U67+U68+U69+U73+U74+U75+U76+U77+U78+U79+U80+U81+U82+U83+U84+U87+U88+U91+U92+U93+U94+U95+U96+U97+U105+U106+U107+U108+U110+U111+U113+U114+U115+U116+U117+U120+U121+U122+U123+U126+U127+U128+U129+U130+U131+U132+U141+U142+U143+U144+U145+U147+U148+U149+U150+U151+U152+U153+U155+U156+U157+U159+U161+U162+U163+U164+U165+U166+U167+U168+U169+U171+U172+U174+U177+U178+U180+U185+U186+U187+U191+U194+U196+U197+U198+U201+U202+U203+U205+U208+U213+U214+U215+U218+U219+U220+U221+U222+U226+U228+U231+U232+U233+U234</f>
        <v>3637048805.2570558</v>
      </c>
      <c r="AQ407" s="736">
        <f>AQ36+AQ37+AQ39+AQ40+AQ41+AQ42+AQ43+AQ44+AQ45+AQ46+AQ47+AQ48+AQ49+AQ50+AQ51+AQ52+AQ53+AQ54+AQ55+AQ57+AQ58+AQ59+AQ60+AQ61+AQ62+AQ65+AQ67+AQ68+AQ69+AQ73+AQ74+AQ75+AQ76+AQ77+AQ78+AQ79+AQ80+AQ81+AQ82+AQ83+AQ84+AQ87+AQ88+AQ91+AQ92+AQ93+AQ94+AQ95+AQ96+AQ97+AQ105+AQ106+AQ107+AQ108+AQ110+AQ111+AQ113+AQ114+AQ115+AQ116+AQ117+AQ120+AQ121+AQ122+AQ123+AQ126+AQ127+AQ128+AQ129+AQ130+AQ131+AQ132+AQ141+AQ142+AQ143+AQ144+AQ145+AQ147+AQ148+AQ149+AQ150+AQ151+AQ152+AQ153+AQ155+AQ156+AQ157+AQ159+AQ161+AQ162+AQ163+AQ164+AQ165+AQ166+AQ167+AQ168+AQ169+AQ171+AQ172+AQ174+AQ177+AQ178+AQ180+AQ185+AQ186+AQ187+AQ191+AQ194+AQ196+AQ197+AQ198+AQ201+AQ202+AQ203+AQ205+AQ208+AQ213+AQ214+AQ215+AQ218+AQ219+AQ220+AQ221+AQ222+AQ226+AQ228+AQ231+AQ232+AQ233+AQ234</f>
        <v>852837386.69259179</v>
      </c>
      <c r="AR407" s="736">
        <f>AR36+AR37+AR39+AR40+AR41+AR42+AR43+AR44+AR45+AR46+AR47+AR48+AR49+AR50+AR51+AR52+AR53+AR54+AR55+AR57+AR58+AR59+AR60+AR61+AR62+AR65+AR67+AR68+AR69+AR73+AR74+AR75+AR76+AR77+AR78+AR79+AR80+AR81+AR82+AR83+AR84+AR87+AR88+AR91+AR92+AR93+AR94+AR95+AR96+AR97+AR105+AR106+AR107+AR108+AR110+AR111+AR113+AR114+AR115+AR116+AR117+AR120+AR121+AR122+AR123+AR126+AR127+AR128+AR129+AR130+AR131+AR132+AR141+AR142+AR143+AR144+AR145+AR147+AR148+AR149+AR150+AR151+AR152+AR153+AR155+AR156+AR157+AR159+AR161+AR162+AR163+AR164+AR165+AR166+AR167+AR168+AR169+AR171+AR172+AR174+AR177+AR178+AR180+AR185+AR186+AR187+AR191+AR194+AR196+AR197+AR198+AR201+AR202+AR203+AR205+AR208+AR213+AR214+AR215+AR218+AR219+AR220+AR221+AR222+AR226+AR228+AR231+AR232+AR233+AR234</f>
        <v>870916635.77999985</v>
      </c>
      <c r="AS407" s="736">
        <f>AS36+AS37+AS39+AS40+AS41+AS42+AS43+AS44+AS45+AS46+AS47+AS48+AS49+AS50+AS51+AS52+AS53+AS54+AS55+AS57+AS58+AS59+AS60+AS61+AS62+AS65+AS67+AS68+AS69+AS73+AS74+AS75+AS76+AS77+AS78+AS79+AS80+AS81+AS82+AS83+AS84+AS87+AS88+AS91+AS92+AS93+AS94+AS95+AS96+AS97+AS105+AS106+AS107+AS108+AS110+AS111+AS113+AS114+AS115+AS116+AS117+AS120+AS121+AS122+AS123+AS126+AS127+AS128+AS129+AS130+AS131+AS132+AS141+AS142+AS143+AS144+AS145+AS147+AS148+AS149+AS150+AS151+AS152+AS153+AS155+AS156+AS157+AS159+AS161+AS162+AS163+AS164+AS165+AS166+AS167+AS168+AS169+AS171+AS172+AS174+AS177+AS178+AS180+AS185+AS186+AS187+AS191+AS194+AS196+AS197+AS198+AS201+AS202+AS203+AS205+AS208+AS213+AS214+AS215+AS218+AS219+AS220+AS221+AS222+AS226+AS228+AS231+AS232+AS233+AS234</f>
        <v>1035157760.073416</v>
      </c>
      <c r="AT407" s="736">
        <f>AT36+AT37+AT39+AT40+AT41+AT42+AT43+AT44+AT45+AT46+AT47+AT48+AT49+AT50+AT51+AT52+AT53+AT54+AT55+AT57+AT58+AT59+AT60+AT61+AT62+AT65+AT67+AT68+AT69+AT73+AT74+AT75+AT76+AT77+AT78+AT79+AT80+AT81+AT82+AT83+AT84+AT87+AT88+AT91+AT92+AT93+AT94+AT95+AT96+AT97+AT105+AT106+AT107+AT108+AT110+AT111+AT113+AT114+AT115+AT116+AT117+AT120+AT121+AT122+AT123+AT126+AT127+AT128+AT129+AT130+AT131+AT132+AT141+AT142+AT143+AT144+AT145+AT147+AT148+AT149+AT150+AT151+AT152+AT153+AT155+AT156+AT157+AT159+AT161+AT162+AT163+AT164+AT165+AT166+AT167+AT168+AT169+AT171+AT172+AT174+AT177+AT178+AT180+AT185+AT186+AT187+AT191+AT194+AT196+AT197+AT198+AT201+AT202+AT203+AT205+AT208+AT213+AT214+AT215+AT218+AT219+AT220+AT221+AT222+AT226+AT228+AT231+AT232+AT233+AT234</f>
        <v>908796612.32000065</v>
      </c>
      <c r="BB407" s="736">
        <f>BB36+BB37+BB39+BB40+BB41+BB42+BB43+BB44+BB45+BB46+BB47+BB48+BB49+BB50+BB51+BB52+BB53+BB54+BB55+BB57+BB58+BB59+BB60+BB61+BB62+BB65+BB67+BB68+BB69+BB73+BB74+BB75+BB76+BB77+BB78+BB79+BB80+BB81+BB82+BB83+BB84+BB87+BB88+BB91+BB92+BB93+BB94+BB95+BB96+BB97+BB105+BB106+BB107+BB108+BB110+BB111+BB113+BB114+BB115+BB116+BB117+BB120+BB121+BB122+BB123+BB126+BB127+BB128+BB129+BB130+BB131+BB132+BB141+BB142+BB143+BB144+BB145+BB147+BB148+BB149+BB150+BB151+BB152+BB153+BB155+BB156+BB157+BB159+BB161+BB162+BB163+BB164+BB165+BB166+BB167+BB168+BB169+BB171+BB172+BB174+BB177+BB178+BB180+BB185+BB186+BB187+BB191+BB194+BB196+BB197+BB198+BB201+BB202+BB203+BB205+BB208+BB213+BB214+BB215+BB218+BB219+BB220+BB221+BB222+BB226+BB228+BB231+BB232+BB233+BB234</f>
        <v>921459323.45323861</v>
      </c>
      <c r="BC407" s="739">
        <f>BC36+BC37+BC39+BC40+BC41+BC42+BC43+BC44+BC45+BC46+BC47+BC48+BC49+BC50+BC51+BC52+BC53+BC54+BC55+BC57+BC58+BC59+BC60+BC61+BC62+BC65+BC67+BC68+BC69+BC73+BC74+BC75+BC76+BC77+BC78+BC79+BC80+BC81+BC82+BC83+BC84+BC87+BC88+BC91+BC92+BC93+BC94+BC95+BC96+BC97+BC105+BC106+BC107+BC108+BC110+BC111+BC113+BC114+BC115+BC116+BC117+BC120+BC121+BC122+BC123+BC126+BC127+BC128+BC129+BC130+BC131+BC132+BC141+BC142+BC143+BC144+BC145+BC147+BC148+BC149+BC150+BC151+BC152+BC153+BC155+BC156+BC157+BC159+BC161+BC162+BC163+BC164+BC165+BC166+BC167+BC168+BC169+BC171+BC172+BC174+BC177+BC178+BC180+BC185+BC186+BC187+BC191+BC194+BC196+BC197+BC198+BC201+BC202+BC203+BC205+BC208+BC213+BC214+BC215+BC218+BC219+BC220+BC221+BC222+BC226+BC228+BC231+BC232+BC233+BC234</f>
        <v>1022519573.8423746</v>
      </c>
      <c r="BD407" s="739">
        <f t="shared" ref="BD407:BI407" si="543">BD36+BD37+BD39+BD40+BD41+BD42+BD43+BD44+BD45+BD46+BD47+BD48+BD49+BD50+BD51+BD52+BD53+BD54+BD55+BD57+BD58+BD59+BD60+BD61+BD62+BD65+BD67+BD68+BD69+BD73+BD74+BD75+BD76+BD77+BD78+BD79+BD80+BD81+BD82+BD83+BD84+BD87+BD88+BD91+BD92+BD93+BD94+BD95+BD96+BD97+BD105+BD106+BD107+BD108+BD110+BD111+BD113+BD114+BD115+BD116+BD117+BD120+BD121+BD122+BD123+BD126+BD127+BD128+BD129+BD130+BD131+BD132+BD141+BD142+BD143+BD144+BD145+BD147+BD148+BD149+BD150+BD151+BD152+BD153+BD155+BD156+BD157+BD159+BD161+BD162+BD163+BD164+BD165+BD166+BD167+BD168+BD169+BD171+BD172+BD174+BD177+BD178+BD180+BD185+BD186+BD187+BD191+BD194+BD196+BD197+BD198+BD201+BD202+BD203+BD205+BD208+BD213+BD214+BD215+BD218+BD219+BD220+BD221+BD222+BD226+BD228+BD231+BD232+BD233+BD234</f>
        <v>947553644.7099998</v>
      </c>
      <c r="BG407" s="739">
        <f t="shared" ref="BG407" si="544">BG36+BG37+BG39+BG40+BG41+BG42+BG43+BG44+BG45+BG46+BG47+BG48+BG49+BG50+BG51+BG52+BG53+BG54+BG55+BG57+BG58+BG59+BG60+BG61+BG62+BG65+BG67+BG68+BG69+BG73+BG74+BG75+BG76+BG77+BG78+BG79+BG80+BG81+BG82+BG83+BG84+BG87+BG88+BG91+BG92+BG93+BG94+BG95+BG96+BG97+BG105+BG106+BG107+BG108+BG110+BG111+BG113+BG114+BG115+BG116+BG117+BG120+BG121+BG122+BG123+BG126+BG127+BG128+BG129+BG130+BG131+BG132+BG141+BG142+BG143+BG144+BG145+BG147+BG148+BG149+BG150+BG151+BG152+BG153+BG155+BG156+BG157+BG159+BG161+BG162+BG163+BG164+BG165+BG166+BG167+BG168+BG169+BG171+BG172+BG174+BG177+BG178+BG180+BG185+BG186+BG187+BG191+BG194+BG196+BG197+BG198+BG201+BG202+BG203+BG205+BG208+BG213+BG214+BG215+BG218+BG219+BG220+BG221+BG222+BG226+BG228+BG231+BG232+BG233+BG234</f>
        <v>2809454470.2192488</v>
      </c>
      <c r="BH407" s="738">
        <f t="shared" si="543"/>
        <v>2802232821.9423742</v>
      </c>
      <c r="BI407" s="738">
        <f t="shared" si="543"/>
        <v>2727266892.809998</v>
      </c>
      <c r="BJ407" s="738"/>
      <c r="BK407" s="738"/>
      <c r="BL407" s="738">
        <f>BL36+BL37+BL39+BL40+BL41+BL42+BL43+BL44+BL45+BL46+BL47+BL48+BL49+BL50+BL51+BL52+BL53+BL54+BL55+BL57+BL58+BL59+BL60+BL61+BL62+BL65+BL67+BL68+BL69+BL73+BL74+BL75+BL76+BL77+BL78+BL79+BL80+BL81+BL82+BL83+BL84+BL87+BL88+BL91+BL92+BL93+BL94+BL95+BL96+BL97+BL105+BL106+BL107+BL108+BL110+BL111+BL113+BL114+BL115+BL116+BL117+BL120+BL121+BL122+BL123+BL126+BL127+BL128+BL129+BL130+BL131+BL132+BL141+BL142+BL143+BL144+BL145+BL147+BL148+BL149+BL150+BL151+BL152+BL153+BL155+BL156+BL157+BL159+BL161+BL162+BL163+BL164+BL165+BL166+BL167+BL168+BL169+BL171+BL172+BL174+BL177+BL178+BL180+BL185+BL186+BL187+BL191+BL194+BL196+BL197+BL198+BL201+BL202+BL203+BL205+BL208+BL213+BL214+BL215+BL218+BL219+BL220+BL221+BL222+BL226+BL228+BL231+BL232+BL233+BL234</f>
        <v>827594335.03780663</v>
      </c>
      <c r="BM407" s="738">
        <f>BM36+BM37+BM39+BM40+BM41+BM42+BM43+BM44+BM45+BM46+BM47+BM48+BM49+BM50+BM51+BM52+BM53+BM54+BM55+BM57+BM58+BM59+BM60+BM61+BM62+BM65+BM67+BM68+BM69+BM73+BM74+BM75+BM76+BM77+BM78+BM79+BM80+BM81+BM82+BM83+BM84+BM87+BM88+BM91+BM92+BM93+BM94+BM95+BM96+BM97+BM105+BM106+BM107+BM108+BM110+BM111+BM113+BM114+BM115+BM116+BM117+BM120+BM121+BM122+BM123+BM126+BM127+BM128+BM129+BM130+BM131+BM132+BM141+BM142+BM143+BM144+BM145+BM147+BM148+BM149+BM150+BM151+BM152+BM153+BM155+BM156+BM157+BM159+BM161+BM162+BM163+BM164+BM165+BM166+BM167+BM168+BM169+BM171+BM172+BM174+BM177+BM178+BM180+BM185+BM186+BM187+BM191+BM194+BM196+BM197+BM198+BM201+BM202+BM203+BM205+BM208+BM213+BM214+BM215+BM218+BM219+BM220+BM221+BM222+BM226+BM228+BM231+BM232+BM233+BM234</f>
        <v>900162845.05311406</v>
      </c>
      <c r="BO407" s="738"/>
      <c r="BP407" s="738"/>
      <c r="BQ407" s="738">
        <f>BQ36+BQ37+BQ39+BQ40+BQ41+BQ42+BQ43+BQ44+BQ45+BQ46+BQ47+BQ48+BQ49+BQ50+BQ51+BQ52+BQ53+BQ54+BQ55+BQ57+BQ58+BQ59+BQ60+BQ61+BQ62+BQ65+BQ67+BQ68+BQ69+BQ73+BQ74+BQ75+BQ76+BQ77+BQ78+BQ79+BQ80+BQ81+BQ82+BQ83+BQ84+BQ87+BQ88+BQ91+BQ92+BQ93+BQ94+BQ95+BQ96+BQ97+BQ105+BQ106+BQ107+BQ108+BQ110+BQ111+BQ113+BQ114+BQ115+BQ116+BQ117+BQ120+BQ121+BQ122+BQ123+BQ126+BQ127+BQ128+BQ129+BQ130+BQ131+BQ132+BQ141+BQ142+BQ143+BQ144+BQ145+BQ147+BQ148+BQ149+BQ150+BQ151+BQ152+BQ153+BQ155+BQ156+BQ157+BQ159+BQ161+BQ162+BQ163+BQ164+BQ165+BQ166+BQ167+BQ168+BQ169+BQ171+BQ172+BQ174+BQ177+BQ178+BQ180+BQ185+BQ186+BQ187+BQ191+BQ194+BQ196+BQ197+BQ198+BQ201+BQ202+BQ203+BQ205+BQ208+BQ213+BQ214+BQ215+BQ218+BQ219+BQ220+BQ221+BQ222+BQ226+BQ228+BQ231+BQ232+BQ233+BQ234</f>
        <v>827594335.03780663</v>
      </c>
      <c r="BR407" s="738">
        <f>BR36+BR37+BR39+BR40+BR41+BR42+BR43+BR44+BR45+BR46+BR47+BR48+BR49+BR50+BR51+BR52+BR53+BR54+BR55+BR57+BR58+BR59+BR60+BR61+BR62+BR65+BR67+BR68+BR69+BR73+BR74+BR75+BR76+BR77+BR78+BR79+BR80+BR81+BR82+BR83+BR84+BR87+BR88+BR91+BR92+BR93+BR94+BR95+BR96+BR97+BR105+BR106+BR107+BR108+BR110+BR111+BR113+BR114+BR115+BR116+BR117+BR120+BR121+BR122+BR123+BR126+BR127+BR128+BR129+BR130+BR131+BR132+BR141+BR142+BR143+BR144+BR145+BR147+BR148+BR149+BR150+BR151+BR152+BR153+BR155+BR156+BR157+BR159+BR161+BR162+BR163+BR164+BR165+BR166+BR167+BR168+BR169+BR171+BR172+BR174+BR177+BR178+BR180+BR185+BR186+BR187+BR191+BR194+BR196+BR197+BR198+BR201+BR202+BR203+BR205+BR208+BR213+BR214+BR215+BR218+BR219+BR220+BR221+BR222+BR226+BR228+BR231+BR232+BR233+BR234</f>
        <v>0</v>
      </c>
      <c r="BU407" s="752"/>
      <c r="BV407" s="752"/>
      <c r="BW407" s="752"/>
      <c r="BY407" s="752"/>
      <c r="BZ407" s="752"/>
      <c r="CA407" s="752"/>
      <c r="CB407" s="752"/>
      <c r="CC407" s="752"/>
      <c r="CK407" s="736" t="e">
        <f>CK36+CK37+CK39+CK40+CK41+CK42+CK43+CK44+CK45+CK46+CK47+CK48+CK49+CK50+CK51+CK52+CK53+CK54+CK55+CK57+CK58+CK59+CK60+CK61+CK62+CK65+CK67+CK68+CK69+CK73+CK74+CK75+CK76+CK77+CK78+CK79+CK80+CK81+CK82+CK83+CK84+CK87+CK88+CK91+CK92+CK93+CK94+CK95+CK96+CK97+CK105+CK106+CK107+CK108+CK110+CK111+CK113+CK114+CK115+CK116+CK117+CK120+CK121+CK122+CK123+CK126+CK127+CK128+CK129+CK130+CK131+CK132+CK141+CK142+CK143+CK144+CK145+CK147+CK148+CK149+CK150+CK151+CK152+CK153+CK155+CK156+CK157+CK159+CK161+CK162+CK163+CK164+CK165+CK166+CK167+CK168+CK169+CK171+CK172+CK174+CK177+CK178+CK180+CK185+CK186+CK187+CK191+CK194+CK196+CK197+CK198+CK201+CK202+CK203+CK205+CK208+CK213+CK214+CK215+CK218+CK219+CK220+CK221+CK222+CK226+CK228+CK231+CK232+CK233+CK234</f>
        <v>#VALUE!</v>
      </c>
      <c r="CL407" s="736" t="e">
        <f>CL36+CL37+CL39+CL40+CL41+CL42+CL43+CL44+CL45+CL46+CL47+CL48+CL49+CL50+CL51+CL52+CL53+CL54+CL55+CL57+CL58+CL59+CL60+CL61+CL62+CL65+CL67+CL68+CL69+CL73+CL74+CL75+CL76+CL77+CL78+CL79+CL80+CL81+CL82+CL83+CL84+CL87+CL88+CL91+CL92+CL93+CL94+CL95+CL96+CL97+CL105+CL106+CL107+CL108+CL110+CL111+CL113+CL114+CL115+CL116+CL117+CL120+CL121+CL122+CL123+CL126+CL127+CL128+CL129+CL130+CL131+CL132+CL141+CL142+CL143+CL144+CL145+CL147+CL148+CL149+CL150+CL151+CL152+CL153+CL155+CL156+CL157+CL159+CL161+CL162+CL163+CL164+CL165+CL166+CL167+CL168+CL169+CL171+CL172+CL174+CL177+CL178+CL180+CL185+CL186+CL187+CL191+CL194+CL196+CL197+CL198+CL201+CL202+CL203+CL205+CL208+CL213+CL214+CL215+CL218+CL219+CL220+CL221+CL222+CL226+CL228+CL231+CL232+CL233+CL234</f>
        <v>#VALUE!</v>
      </c>
      <c r="DB407" s="736">
        <f>DB36+DB37+DB39+DB40+DB41+DB42+DB43+DB44+DB45+DB46+DB47+DB48+DB49+DB50+DB51+DB52+DB53+DB54+DB55+DB57+DB58+DB59+DB60+DB61+DB62+DB65+DB67+DB68+DB69+DB73+DB74+DB75+DB76+DB77+DB78+DB79+DB80+DB81+DB82+DB83+DB84+DB87+DB88+DB91+DB92+DB93+DB94+DB95+DB96+DB97+DB105+DB106+DB107+DB108+DB110+DB111+DB113+DB114+DB115+DB116+DB117+DB120+DB121+DB122+DB123+DB126+DB127+DB128+DB129+DB130+DB131+DB132+DB141+DB142+DB143+DB144+DB145+DB147+DB148+DB149+DB150+DB151+DB152+DB153+DB155+DB156+DB157+DB159+DB161+DB162+DB163+DB164+DB165+DB166+DB167+DB168+DB169+DB171+DB172+DB174+DB177+DB178+DB180+DB185+DB186+DB187+DB191+DB194+DB196+DB197+DB198+DB201+DB202+DB203+DB205+DB208+DB213+DB214+DB215+DB218+DB219+DB220+DB221+DB222+DB226+DB228+DB231+DB232+DB233+DB234</f>
        <v>870916635.77999985</v>
      </c>
      <c r="DF407" s="752"/>
      <c r="DG407" s="752"/>
      <c r="DH407" s="752"/>
      <c r="DI407" s="752"/>
    </row>
    <row r="408" spans="2:113" outlineLevel="1">
      <c r="B408" s="782" t="s">
        <v>1305</v>
      </c>
      <c r="BH408" s="738"/>
      <c r="BI408" s="738"/>
      <c r="BJ408" s="738"/>
      <c r="BK408" s="738"/>
      <c r="BO408" s="738"/>
      <c r="BP408" s="738"/>
      <c r="BU408" s="752"/>
      <c r="BV408" s="752"/>
      <c r="BW408" s="752"/>
      <c r="BY408" s="752"/>
      <c r="BZ408" s="752"/>
      <c r="CA408" s="752"/>
      <c r="CB408" s="752"/>
      <c r="CC408" s="752"/>
      <c r="CK408" s="736"/>
      <c r="CL408" s="736"/>
      <c r="CM408" s="782"/>
      <c r="DF408" s="752"/>
      <c r="DG408" s="752"/>
      <c r="DH408" s="752"/>
      <c r="DI408" s="752"/>
    </row>
    <row r="409" spans="2:113" outlineLevel="1">
      <c r="B409" s="782" t="s">
        <v>1990</v>
      </c>
      <c r="BH409" s="738"/>
      <c r="BI409" s="738"/>
      <c r="BJ409" s="738"/>
      <c r="BK409" s="738"/>
      <c r="BO409" s="738"/>
      <c r="BP409" s="738"/>
      <c r="BU409" s="752"/>
      <c r="BV409" s="752"/>
      <c r="BW409" s="752"/>
      <c r="BY409" s="752"/>
      <c r="BZ409" s="752"/>
      <c r="CA409" s="752"/>
      <c r="CB409" s="752"/>
      <c r="CC409" s="752"/>
      <c r="CK409" s="736"/>
      <c r="CL409" s="736"/>
      <c r="DF409" s="752"/>
      <c r="DG409" s="752"/>
      <c r="DH409" s="752"/>
      <c r="DI409" s="752"/>
    </row>
    <row r="410" spans="2:113" outlineLevel="1">
      <c r="BH410" s="738"/>
      <c r="BI410" s="738"/>
      <c r="BJ410" s="738"/>
      <c r="BK410" s="738"/>
      <c r="BO410" s="738"/>
      <c r="BP410" s="738"/>
      <c r="BU410" s="752"/>
      <c r="BV410" s="752"/>
      <c r="BW410" s="752"/>
      <c r="BY410" s="752"/>
      <c r="BZ410" s="752"/>
      <c r="CA410" s="752"/>
      <c r="CB410" s="752"/>
      <c r="CC410" s="752"/>
      <c r="CK410" s="736"/>
      <c r="CL410" s="736"/>
      <c r="DF410" s="752"/>
      <c r="DG410" s="752"/>
      <c r="DH410" s="752"/>
      <c r="DI410" s="752"/>
    </row>
    <row r="411" spans="2:113" outlineLevel="1">
      <c r="BH411" s="738"/>
      <c r="BI411" s="738"/>
      <c r="BJ411" s="738"/>
      <c r="BK411" s="738"/>
      <c r="BO411" s="738"/>
      <c r="BP411" s="738"/>
      <c r="BU411" s="752"/>
      <c r="BV411" s="752"/>
      <c r="BW411" s="752"/>
      <c r="BY411" s="752"/>
      <c r="BZ411" s="752"/>
      <c r="CA411" s="752"/>
      <c r="CB411" s="752"/>
      <c r="CC411" s="752"/>
      <c r="CK411" s="736"/>
      <c r="CL411" s="736"/>
      <c r="DF411" s="752"/>
      <c r="DG411" s="752"/>
      <c r="DH411" s="752"/>
      <c r="DI411" s="752"/>
    </row>
    <row r="412" spans="2:113" outlineLevel="1">
      <c r="BH412" s="738"/>
      <c r="BI412" s="738"/>
      <c r="BJ412" s="738"/>
      <c r="BK412" s="738"/>
      <c r="BO412" s="738"/>
      <c r="BP412" s="738"/>
      <c r="BU412" s="752"/>
      <c r="BV412" s="752"/>
      <c r="BW412" s="752"/>
      <c r="BY412" s="752"/>
      <c r="BZ412" s="752"/>
      <c r="CA412" s="752"/>
      <c r="CB412" s="752"/>
      <c r="CC412" s="752"/>
      <c r="CK412" s="736"/>
      <c r="CL412" s="736"/>
      <c r="DF412" s="752"/>
      <c r="DG412" s="752"/>
      <c r="DH412" s="752"/>
      <c r="DI412" s="752"/>
    </row>
    <row r="413" spans="2:113" outlineLevel="1">
      <c r="B413" s="534" t="s">
        <v>2027</v>
      </c>
      <c r="I413" s="736">
        <f t="shared" ref="I413:Q413" si="545">I399+I400+I401+I402+I403+I404+I405-I407</f>
        <v>0</v>
      </c>
      <c r="J413" s="736">
        <f t="shared" si="545"/>
        <v>0</v>
      </c>
      <c r="K413" s="736">
        <f t="shared" si="545"/>
        <v>0</v>
      </c>
      <c r="L413" s="736">
        <f t="shared" si="545"/>
        <v>0</v>
      </c>
      <c r="M413" s="736">
        <f t="shared" si="545"/>
        <v>0</v>
      </c>
      <c r="N413" s="736">
        <f t="shared" si="545"/>
        <v>0</v>
      </c>
      <c r="O413" s="736">
        <f t="shared" si="545"/>
        <v>0</v>
      </c>
      <c r="P413" s="736">
        <f t="shared" si="545"/>
        <v>0</v>
      </c>
      <c r="Q413" s="736">
        <f t="shared" si="545"/>
        <v>0</v>
      </c>
      <c r="S413" s="736">
        <f>S399+S400+S401+S402+S403+S404+S405-S407</f>
        <v>0</v>
      </c>
      <c r="T413" s="736">
        <f>T399+T400+T401+T402+T403+T404+T405-T407</f>
        <v>0</v>
      </c>
      <c r="U413" s="736">
        <f>U399+U400+U401+U402+U403+U404+U405-U407</f>
        <v>0</v>
      </c>
      <c r="AQ413" s="736">
        <f>AQ399+AQ400+AQ401+AQ402+AQ403+AQ404+AQ405-AQ407</f>
        <v>0</v>
      </c>
      <c r="AR413" s="736">
        <f>AR399+AR400+AR401+AR402+AR403+AR404+AR405-AR407</f>
        <v>0</v>
      </c>
      <c r="AS413" s="736">
        <f>AS399+AS400+AS401+AS402+AS403+AS404+AS405-AS407</f>
        <v>0</v>
      </c>
      <c r="AT413" s="736">
        <f>AT399+AT400+AT401+AT402+AT403+AT404+AT405-AT407</f>
        <v>0</v>
      </c>
      <c r="BB413" s="736">
        <f>BB399+BB400+BB401+BB402+BB403+BB404+BB405-BB407</f>
        <v>0</v>
      </c>
      <c r="BC413" s="739">
        <f>BC399+BC400+BC401+BC402+BC403+BC404+BC405-BC407</f>
        <v>0</v>
      </c>
      <c r="BD413" s="739">
        <f t="shared" ref="BD413:BI413" si="546">BD399+BD400+BD401+BD402+BD403+BD404+BD405-BD407</f>
        <v>0</v>
      </c>
      <c r="BG413" s="739">
        <f t="shared" ref="BG413" si="547">BG399+BG400+BG401+BG402+BG403+BG404+BG405-BG407</f>
        <v>0</v>
      </c>
      <c r="BH413" s="738">
        <f t="shared" si="546"/>
        <v>0</v>
      </c>
      <c r="BI413" s="738">
        <f t="shared" si="546"/>
        <v>0</v>
      </c>
      <c r="BJ413" s="738"/>
      <c r="BK413" s="738"/>
      <c r="BL413" s="738">
        <f>BL399+BL400+BL401+BL402+BL403+BL404+BL405-BL407</f>
        <v>0</v>
      </c>
      <c r="BM413" s="738">
        <f>BM399+BM400+BM401+BM402+BM403+BM404+BM405-BM407</f>
        <v>0</v>
      </c>
      <c r="BO413" s="738"/>
      <c r="BP413" s="738"/>
      <c r="BQ413" s="738">
        <f>BQ399+BQ400+BQ401+BQ402+BQ403+BQ404+BQ405-BQ407</f>
        <v>0</v>
      </c>
      <c r="BR413" s="738">
        <f>BR399+BR400+BR401+BR402+BR403+BR404+BR405-BR407</f>
        <v>0</v>
      </c>
      <c r="BU413" s="752"/>
      <c r="BV413" s="752"/>
      <c r="BW413" s="752"/>
      <c r="BY413" s="752"/>
      <c r="BZ413" s="752"/>
      <c r="CA413" s="752"/>
      <c r="CB413" s="752"/>
      <c r="CC413" s="752"/>
      <c r="CK413" s="736" t="e">
        <f>CK399+CK400+CK401+CK402+CK403+CK404+CK405-CK407</f>
        <v>#VALUE!</v>
      </c>
      <c r="CL413" s="736" t="e">
        <f>CL399+CL400+CL401+CL402+CL403+CL404+CL405-CL407</f>
        <v>#VALUE!</v>
      </c>
      <c r="DB413" s="736">
        <f>DB399+DB400+DB401+DB402+DB403+DB404+DB405-DB407</f>
        <v>0</v>
      </c>
      <c r="DF413" s="752"/>
      <c r="DG413" s="752"/>
      <c r="DH413" s="752"/>
      <c r="DI413" s="752"/>
    </row>
    <row r="414" spans="2:113" outlineLevel="1">
      <c r="B414" s="780" t="s">
        <v>1907</v>
      </c>
      <c r="G414" s="736">
        <f>G91+G113+G114+G115+G121+G123</f>
        <v>187411515.28412318</v>
      </c>
      <c r="I414" s="736">
        <f t="shared" ref="I414:Q414" si="548">I91+I113+I114+I115+I116+I117+I121+I123</f>
        <v>202875510.36000004</v>
      </c>
      <c r="J414" s="736">
        <f t="shared" si="548"/>
        <v>70337567.210000008</v>
      </c>
      <c r="K414" s="736">
        <f t="shared" si="548"/>
        <v>68889121.549999997</v>
      </c>
      <c r="L414" s="736">
        <f t="shared" si="548"/>
        <v>63648821.600000009</v>
      </c>
      <c r="M414" s="736">
        <f t="shared" si="548"/>
        <v>139226688.75999999</v>
      </c>
      <c r="N414" s="736">
        <f t="shared" si="548"/>
        <v>117933144.95999999</v>
      </c>
      <c r="O414" s="736">
        <f t="shared" si="548"/>
        <v>73120667.450000003</v>
      </c>
      <c r="P414" s="736">
        <f t="shared" si="548"/>
        <v>191053812.41</v>
      </c>
      <c r="Q414" s="736">
        <f t="shared" si="548"/>
        <v>-11821697.950000003</v>
      </c>
      <c r="S414" s="736">
        <f>S91+S113+S114+S115+S116+S117+S121+S123</f>
        <v>147381073.20001602</v>
      </c>
      <c r="T414" s="736">
        <f>T91+T113+T114+T115+T116+T117+T121+T123</f>
        <v>147381073.20001602</v>
      </c>
      <c r="U414" s="736">
        <f>U91+U113+U114+U115+U116+U117+U121+U123</f>
        <v>166439252.02999997</v>
      </c>
      <c r="AQ414" s="736">
        <f>AQ91+AQ113+AQ114+AQ115+AQ116+AQ117+AQ121+AQ123</f>
        <v>14150020</v>
      </c>
      <c r="AR414" s="736">
        <f>AR91+AR113+AR114+AR115+AR116+AR117+AR121+AR123</f>
        <v>30825250.879999999</v>
      </c>
      <c r="AS414" s="736">
        <f>AS91+AS113+AS114+AS115+AS116+AS117+AS121+AS123</f>
        <v>60295939.57</v>
      </c>
      <c r="AT414" s="736">
        <f>AT91+AT113+AT114+AT115+AT116+AT117+AT121+AT123</f>
        <v>44260926.229999997</v>
      </c>
      <c r="BB414" s="736">
        <f>BB91+BB113+BB114+BB115+BB116+BB117+BB121+BB123</f>
        <v>61803813.359999992</v>
      </c>
      <c r="BC414" s="739">
        <f>BC91+BC113+BC114+BC115+BC116+BC117+BC121+BC123</f>
        <v>49830792.359999999</v>
      </c>
      <c r="BD414" s="739">
        <f t="shared" ref="BD414:BI414" si="549">BD91+BD113+BD114+BD115+BD116+BD117+BD121+BD123</f>
        <v>49640731.760000005</v>
      </c>
      <c r="BG414" s="739">
        <f t="shared" ref="BG414" si="550">BG91+BG113+BG114+BG115+BG116+BG117+BG121+BG123</f>
        <v>136249772.93000001</v>
      </c>
      <c r="BH414" s="738">
        <f t="shared" si="549"/>
        <v>124916969.47</v>
      </c>
      <c r="BI414" s="738">
        <f t="shared" si="549"/>
        <v>124726908.86999999</v>
      </c>
      <c r="BJ414" s="738"/>
      <c r="BK414" s="738"/>
      <c r="BL414" s="738">
        <f>BL91+BL113+BL114+BL115+BL116+BL117+BL121+BL123</f>
        <v>30189479.100000001</v>
      </c>
      <c r="BM414" s="738">
        <f>BM91+BM113+BM114+BM115+BM116+BM117+BM121+BM123</f>
        <v>25029136.330000002</v>
      </c>
      <c r="BO414" s="738"/>
      <c r="BP414" s="738"/>
      <c r="BQ414" s="738">
        <f>BQ91+BQ113+BQ114+BQ115+BQ116+BQ117+BQ121+BQ123</f>
        <v>30189479.100000001</v>
      </c>
      <c r="BR414" s="738">
        <f>BR91+BR113+BR114+BR115+BR116+BR117+BR121+BR123</f>
        <v>0</v>
      </c>
      <c r="BU414" s="752"/>
      <c r="BV414" s="752"/>
      <c r="BW414" s="752"/>
      <c r="BY414" s="752"/>
      <c r="BZ414" s="752"/>
      <c r="CA414" s="752"/>
      <c r="CB414" s="752"/>
      <c r="CC414" s="752"/>
      <c r="CK414" s="736" t="e">
        <f>CK91+CK113+CK114+CK115+CK116+CK117+CK121+CK123</f>
        <v>#VALUE!</v>
      </c>
      <c r="CL414" s="736" t="e">
        <f>CL91+CL113+CL114+CL115+CL116+CL117+CL121+CL123</f>
        <v>#VALUE!</v>
      </c>
      <c r="DB414" s="736">
        <f>DB91+DB113+DB114+DB115+DB116+DB117+DB121+DB123</f>
        <v>30825250.879999999</v>
      </c>
      <c r="DF414" s="752"/>
      <c r="DG414" s="752"/>
      <c r="DH414" s="752"/>
      <c r="DI414" s="752"/>
    </row>
    <row r="415" spans="2:113" outlineLevel="1">
      <c r="B415" s="780" t="s">
        <v>1857</v>
      </c>
      <c r="BH415" s="738"/>
      <c r="BI415" s="738"/>
      <c r="BJ415" s="738"/>
      <c r="BK415" s="738"/>
      <c r="BO415" s="738"/>
      <c r="BP415" s="738"/>
      <c r="BU415" s="752"/>
      <c r="BV415" s="752"/>
      <c r="BW415" s="752"/>
      <c r="BY415" s="752"/>
      <c r="BZ415" s="752"/>
      <c r="CA415" s="752"/>
      <c r="CB415" s="752"/>
      <c r="CC415" s="752"/>
      <c r="DB415" s="736"/>
      <c r="DF415" s="752"/>
      <c r="DG415" s="752"/>
      <c r="DH415" s="752"/>
      <c r="DI415" s="752"/>
    </row>
    <row r="416" spans="2:113" outlineLevel="1">
      <c r="B416" s="780" t="s">
        <v>2026</v>
      </c>
      <c r="BH416" s="738"/>
      <c r="BI416" s="738"/>
      <c r="BJ416" s="738"/>
      <c r="BK416" s="738"/>
      <c r="BO416" s="738"/>
      <c r="BP416" s="738"/>
      <c r="BU416" s="752"/>
      <c r="BV416" s="752"/>
      <c r="BW416" s="752"/>
      <c r="BY416" s="752"/>
      <c r="BZ416" s="752"/>
      <c r="CA416" s="752"/>
      <c r="CB416" s="752"/>
      <c r="CC416" s="752"/>
      <c r="DB416" s="736"/>
      <c r="DF416" s="752"/>
      <c r="DG416" s="752"/>
      <c r="DH416" s="752"/>
      <c r="DI416" s="752"/>
    </row>
    <row r="417" spans="1:123" outlineLevel="1">
      <c r="B417" s="780" t="s">
        <v>1925</v>
      </c>
      <c r="G417" s="736">
        <f>G147+G149+G151+G153+G155</f>
        <v>79818307.421773016</v>
      </c>
      <c r="I417" s="736">
        <f t="shared" ref="I417:Q417" si="551">I147+I148+I149+I150+I151+I153+I155</f>
        <v>113457807.37</v>
      </c>
      <c r="J417" s="736">
        <f t="shared" si="551"/>
        <v>18542631.100000001</v>
      </c>
      <c r="K417" s="736">
        <f t="shared" si="551"/>
        <v>58591381.469999999</v>
      </c>
      <c r="L417" s="736">
        <f t="shared" si="551"/>
        <v>36323794.800000004</v>
      </c>
      <c r="M417" s="736">
        <f t="shared" si="551"/>
        <v>77134012.569999993</v>
      </c>
      <c r="N417" s="736">
        <f t="shared" si="551"/>
        <v>52820594.910000004</v>
      </c>
      <c r="O417" s="736">
        <f t="shared" si="551"/>
        <v>66606812.400000006</v>
      </c>
      <c r="P417" s="736">
        <f t="shared" si="551"/>
        <v>119427407.31</v>
      </c>
      <c r="Q417" s="736">
        <f t="shared" si="551"/>
        <v>5969599.9400000004</v>
      </c>
      <c r="S417" s="736">
        <f>S147+S148+S149+S150+S151+S153+S155</f>
        <v>70369046.634844899</v>
      </c>
      <c r="T417" s="736">
        <f>T147+T148+T149+T150+T151+T153+T155</f>
        <v>70369046.634844899</v>
      </c>
      <c r="U417" s="736">
        <f>U147+U148+U149+U150+U151+U153+U155</f>
        <v>88685828.370000005</v>
      </c>
      <c r="AQ417" s="736">
        <f>AQ147+AQ148+AQ149+AQ150+AQ151+AQ153+AQ155</f>
        <v>7097237.7800000003</v>
      </c>
      <c r="AR417" s="736">
        <f>AR147+AR148+AR149+AR150+AR151+AR153+AR155</f>
        <v>16258392.219999999</v>
      </c>
      <c r="AS417" s="736">
        <f>AS147+AS148+AS149+AS150+AS151+AS153+AS155</f>
        <v>24557627.359999999</v>
      </c>
      <c r="AT417" s="736">
        <f>AT147+AT148+AT149+AT150+AT151+AT153+AT155</f>
        <v>32818768.449999999</v>
      </c>
      <c r="BB417" s="736">
        <f>BB147+BB148+BB149+BB150+BB151+BB153+BB155</f>
        <v>38465073.609999999</v>
      </c>
      <c r="BC417" s="739">
        <f>BC147+BC148+BC149+BC150+BC151+BC153+BC155</f>
        <v>54191883.50999999</v>
      </c>
      <c r="BD417" s="739">
        <f t="shared" ref="BD417:BI417" si="552">BD147+BD148+BD149+BD150+BD151+BD153+BD155</f>
        <v>49852511.809999995</v>
      </c>
      <c r="BG417" s="739">
        <f t="shared" ref="BG417" si="553">BG147+BG148+BG149+BG150+BG151+BG153+BG155</f>
        <v>70119938.75</v>
      </c>
      <c r="BH417" s="738">
        <f t="shared" si="552"/>
        <v>103269044.18000002</v>
      </c>
      <c r="BI417" s="738">
        <f t="shared" si="552"/>
        <v>98929672.479999989</v>
      </c>
      <c r="BJ417" s="738"/>
      <c r="BK417" s="738"/>
      <c r="BL417" s="738">
        <f>BL147+BL148+BL149+BL150+BL151+BL153+BL155</f>
        <v>18565889.620000005</v>
      </c>
      <c r="BM417" s="738">
        <f>BM147+BM148+BM149+BM150+BM151+BM153+BM155</f>
        <v>31700175.25</v>
      </c>
      <c r="BO417" s="738"/>
      <c r="BP417" s="738"/>
      <c r="BQ417" s="738">
        <f>BQ147+BQ148+BQ149+BQ150+BQ151+BQ153+BQ155</f>
        <v>18565889.620000005</v>
      </c>
      <c r="BR417" s="738">
        <f>BR147+BR148+BR149+BR150+BR151+BR153+BR155</f>
        <v>0</v>
      </c>
      <c r="BU417" s="752"/>
      <c r="BV417" s="752"/>
      <c r="BW417" s="752"/>
      <c r="BY417" s="752"/>
      <c r="BZ417" s="752"/>
      <c r="CA417" s="752"/>
      <c r="CB417" s="752"/>
      <c r="CC417" s="752"/>
      <c r="CK417" s="736" t="e">
        <f>CK147+CK148+CK149+CK150+CK151+CK153+CK155</f>
        <v>#VALUE!</v>
      </c>
      <c r="CL417" s="736" t="e">
        <f>CL147+CL148+CL149+CL150+CL151+CL153+CL155</f>
        <v>#VALUE!</v>
      </c>
      <c r="DB417" s="736">
        <f>DB147+DB148+DB149+DB150+DB151+DB153+DB155</f>
        <v>16258392.219999999</v>
      </c>
      <c r="DF417" s="752"/>
      <c r="DG417" s="752"/>
      <c r="DH417" s="752"/>
      <c r="DI417" s="752"/>
    </row>
    <row r="418" spans="1:123" outlineLevel="1">
      <c r="B418" s="780" t="s">
        <v>64</v>
      </c>
      <c r="BH418" s="738"/>
      <c r="BI418" s="738"/>
      <c r="BJ418" s="738"/>
      <c r="BK418" s="738"/>
      <c r="BO418" s="738"/>
      <c r="BP418" s="738"/>
      <c r="BU418" s="752"/>
      <c r="BV418" s="752"/>
      <c r="BW418" s="752"/>
      <c r="BY418" s="752"/>
      <c r="BZ418" s="752"/>
      <c r="CA418" s="752"/>
      <c r="CB418" s="752"/>
      <c r="CC418" s="752"/>
      <c r="DB418" s="736"/>
      <c r="DF418" s="752"/>
      <c r="DG418" s="752"/>
      <c r="DH418" s="752"/>
      <c r="DI418" s="752"/>
    </row>
    <row r="419" spans="1:123" outlineLevel="1">
      <c r="B419" s="780" t="s">
        <v>1905</v>
      </c>
      <c r="BH419" s="738"/>
      <c r="BI419" s="738"/>
      <c r="BJ419" s="738"/>
      <c r="BK419" s="738"/>
      <c r="BO419" s="738"/>
      <c r="BP419" s="738"/>
      <c r="BU419" s="752"/>
      <c r="BV419" s="752"/>
      <c r="BW419" s="752"/>
      <c r="BY419" s="752"/>
      <c r="BZ419" s="752"/>
      <c r="CA419" s="752"/>
      <c r="CB419" s="752"/>
      <c r="CC419" s="752"/>
      <c r="DB419" s="736"/>
      <c r="DF419" s="752"/>
      <c r="DG419" s="752"/>
      <c r="DH419" s="752"/>
      <c r="DI419" s="752"/>
    </row>
    <row r="420" spans="1:123" ht="28.8" outlineLevel="1" thickBot="1">
      <c r="B420" s="781" t="s">
        <v>1305</v>
      </c>
      <c r="BH420" s="738"/>
      <c r="BI420" s="738"/>
      <c r="BJ420" s="738"/>
      <c r="BK420" s="738"/>
      <c r="BO420" s="738"/>
      <c r="BP420" s="738"/>
      <c r="BU420" s="752"/>
      <c r="BV420" s="752"/>
      <c r="BW420" s="752"/>
      <c r="BY420" s="752"/>
      <c r="BZ420" s="752"/>
      <c r="CA420" s="752"/>
      <c r="CB420" s="752"/>
      <c r="CC420" s="752"/>
      <c r="DB420" s="736"/>
      <c r="DF420" s="752"/>
      <c r="DG420" s="752"/>
      <c r="DH420" s="752"/>
      <c r="DI420" s="752"/>
    </row>
    <row r="421" spans="1:123" outlineLevel="1">
      <c r="G421" s="736">
        <f t="shared" ref="G421:Q421" si="554">G414+G417</f>
        <v>267229822.7058962</v>
      </c>
      <c r="H421" s="736">
        <f t="shared" si="554"/>
        <v>0</v>
      </c>
      <c r="I421" s="736">
        <f t="shared" si="554"/>
        <v>316333317.73000002</v>
      </c>
      <c r="J421" s="736">
        <f t="shared" si="554"/>
        <v>88880198.310000002</v>
      </c>
      <c r="K421" s="736">
        <f t="shared" si="554"/>
        <v>127480503.02</v>
      </c>
      <c r="L421" s="736">
        <f t="shared" si="554"/>
        <v>99972616.400000006</v>
      </c>
      <c r="M421" s="736">
        <f t="shared" si="554"/>
        <v>216360701.32999998</v>
      </c>
      <c r="N421" s="736">
        <f t="shared" si="554"/>
        <v>170753739.87</v>
      </c>
      <c r="O421" s="736">
        <f t="shared" si="554"/>
        <v>139727479.85000002</v>
      </c>
      <c r="P421" s="736">
        <f t="shared" si="554"/>
        <v>310481219.72000003</v>
      </c>
      <c r="Q421" s="736">
        <f t="shared" si="554"/>
        <v>-5852098.0100000026</v>
      </c>
      <c r="S421" s="736">
        <f>S414+S417</f>
        <v>217750119.83486092</v>
      </c>
      <c r="T421" s="736">
        <f>T414+T417</f>
        <v>217750119.83486092</v>
      </c>
      <c r="U421" s="736">
        <f>U414+U417</f>
        <v>255125080.39999998</v>
      </c>
      <c r="AQ421" s="736">
        <f>AQ414+AQ417</f>
        <v>21247257.780000001</v>
      </c>
      <c r="AR421" s="736">
        <f>AR414+AR417</f>
        <v>47083643.099999994</v>
      </c>
      <c r="AS421" s="736">
        <f>AS414+AS417</f>
        <v>84853566.930000007</v>
      </c>
      <c r="AT421" s="736">
        <f>AT414+AT417</f>
        <v>77079694.679999992</v>
      </c>
      <c r="BB421" s="736">
        <f>BB414+BB417</f>
        <v>100268886.97</v>
      </c>
      <c r="BC421" s="739">
        <f>BC414+BC417</f>
        <v>104022675.86999999</v>
      </c>
      <c r="BD421" s="739">
        <f t="shared" ref="BD421:BI421" si="555">BD414+BD417</f>
        <v>99493243.569999993</v>
      </c>
      <c r="BG421" s="739">
        <f t="shared" ref="BG421" si="556">BG414+BG417</f>
        <v>206369711.68000001</v>
      </c>
      <c r="BH421" s="738">
        <f t="shared" si="555"/>
        <v>228186013.65000004</v>
      </c>
      <c r="BI421" s="738">
        <f t="shared" si="555"/>
        <v>223656581.34999996</v>
      </c>
      <c r="BJ421" s="738"/>
      <c r="BK421" s="738"/>
      <c r="BL421" s="738">
        <f>BL414+BL417</f>
        <v>48755368.720000006</v>
      </c>
      <c r="BM421" s="738">
        <f>BM414+BM417</f>
        <v>56729311.579999998</v>
      </c>
      <c r="BO421" s="738"/>
      <c r="BP421" s="738"/>
      <c r="BQ421" s="738">
        <f>BQ414+BQ417</f>
        <v>48755368.720000006</v>
      </c>
      <c r="BR421" s="738">
        <f>BR414+BR417</f>
        <v>0</v>
      </c>
      <c r="BU421" s="752"/>
      <c r="BV421" s="752"/>
      <c r="BW421" s="752"/>
      <c r="BY421" s="752"/>
      <c r="BZ421" s="752"/>
      <c r="CA421" s="752"/>
      <c r="CB421" s="752"/>
      <c r="CC421" s="752"/>
      <c r="CK421" s="736" t="e">
        <f>CK414+CK417</f>
        <v>#VALUE!</v>
      </c>
      <c r="CL421" s="736" t="e">
        <f>CL414+CL417</f>
        <v>#VALUE!</v>
      </c>
      <c r="DB421" s="736">
        <f>DB414+DB417</f>
        <v>47083643.099999994</v>
      </c>
      <c r="DF421" s="752"/>
      <c r="DG421" s="752"/>
      <c r="DH421" s="752"/>
      <c r="DI421" s="752"/>
    </row>
    <row r="422" spans="1:123" outlineLevel="1">
      <c r="BH422" s="738"/>
      <c r="BI422" s="738"/>
      <c r="BJ422" s="738"/>
      <c r="BK422" s="738"/>
      <c r="BO422" s="738"/>
      <c r="BP422" s="738"/>
      <c r="BU422" s="752"/>
      <c r="BV422" s="752"/>
      <c r="BW422" s="752"/>
      <c r="BY422" s="752"/>
      <c r="BZ422" s="752"/>
      <c r="CA422" s="752"/>
      <c r="CB422" s="752"/>
      <c r="CC422" s="752"/>
      <c r="DF422" s="752"/>
      <c r="DG422" s="752"/>
      <c r="DH422" s="752"/>
      <c r="DI422" s="752"/>
    </row>
    <row r="423" spans="1:123" outlineLevel="1">
      <c r="BH423" s="738"/>
      <c r="BI423" s="738"/>
      <c r="BJ423" s="738"/>
      <c r="BK423" s="738"/>
      <c r="BO423" s="738"/>
      <c r="BP423" s="738"/>
      <c r="BU423" s="752"/>
      <c r="BV423" s="752"/>
      <c r="BW423" s="752"/>
      <c r="BY423" s="752"/>
      <c r="BZ423" s="752"/>
      <c r="CA423" s="752"/>
      <c r="CB423" s="752"/>
      <c r="CC423" s="752"/>
      <c r="DF423" s="752"/>
      <c r="DG423" s="752"/>
      <c r="DH423" s="752"/>
      <c r="DI423" s="752"/>
    </row>
    <row r="424" spans="1:123" outlineLevel="1">
      <c r="BH424" s="738"/>
      <c r="BI424" s="738"/>
      <c r="BJ424" s="738"/>
      <c r="BK424" s="738"/>
      <c r="BO424" s="738"/>
      <c r="BP424" s="738"/>
      <c r="BU424" s="752"/>
      <c r="BV424" s="752"/>
      <c r="BW424" s="752"/>
      <c r="BY424" s="752"/>
      <c r="BZ424" s="752"/>
      <c r="CA424" s="752"/>
      <c r="CB424" s="752"/>
      <c r="CC424" s="752"/>
      <c r="DF424" s="752"/>
      <c r="DG424" s="752"/>
      <c r="DH424" s="752"/>
      <c r="DI424" s="752"/>
    </row>
    <row r="425" spans="1:123" outlineLevel="1">
      <c r="G425" s="736">
        <f>G36+G37+G39+G40+G41+G42+G43+G44+G45+G46+G47+G48+G49+G50+G51+G52+G53+G54+G55+G57+G60+G61+G62+G65+G67+G68+G69+G73+G74+G75+G76+G77+G78+G79+G80+G81+G82+G83+G84+G87+G88+G91+G92+G93+G94+G95+G96+G97+G105+G106+G107+G108+G110+G111+G113+G114+G115+G120+G121+G122+G123+G126+G127+G128+G129+G130+G131+G132+G141+G142+G143+G144+G145+G147+G149+G151+G153+G155+G156+G157+G159+G161+G162+G163+G164+G165+G166+G167+G168+G169+G171+G172+G174+G177+G178+G180+G185+G186+G187+G191+G194+G196+G197+G198+G201+G202+G203+G205+G208+G213+G214+G215+G218+G219+G220+G221+G222+G226+G228+G231+G232+G233+G234</f>
        <v>3289566005.1233473</v>
      </c>
      <c r="I425" s="736">
        <f t="shared" ref="I425:Q425" si="557">I36+I37+I39+I40+I41+I42+I43+I44+I45+I46+I47+I48+I49+I50+I51+I52+I53+I54+I55+I57+I58+I59+I60+I61+I62+I65+I67+I68+I69+I73+I74+I75+I76+I77+I78+I79+I80+I81+I82+I83+I84+I87+I88+I91+I92+I93+I94+I95+I96+I97+I105+I106+I107+I108+I110+I111+I113+I114+I115+I116+I117+I120+I121+I122+I123+I126+I127+I128+I129+I130+I131+I132+I141+I142+I143+I144+I145+I147+I148+I149+I150+I151+I152+I153+I155+I156+I157+I159+I161+I162+I163+I164+I165+I166+I167+I168+I169+I171+I172+I174+I177+I178+I180+I185+I186+I187+I191+I194+I196+I197+I198+I201+I202+I203+I205+I208+I213+I214+I215+I218+I219+I220+I221+I222+I226+I228+I231+I232+I233+I234</f>
        <v>3792781932.3599982</v>
      </c>
      <c r="J425" s="736">
        <f t="shared" si="557"/>
        <v>1839584755.7699997</v>
      </c>
      <c r="K425" s="736">
        <f t="shared" si="557"/>
        <v>996475250.97000027</v>
      </c>
      <c r="L425" s="736">
        <f t="shared" si="557"/>
        <v>956721925.61999965</v>
      </c>
      <c r="M425" s="736">
        <f t="shared" si="557"/>
        <v>2836060006.7399993</v>
      </c>
      <c r="N425" s="736">
        <f t="shared" si="557"/>
        <v>2724129865.4799972</v>
      </c>
      <c r="O425" s="736">
        <f t="shared" si="557"/>
        <v>951313162.94000018</v>
      </c>
      <c r="P425" s="736">
        <f t="shared" si="557"/>
        <v>3675443028.420002</v>
      </c>
      <c r="Q425" s="736">
        <f t="shared" si="557"/>
        <v>-117338903.94000004</v>
      </c>
      <c r="S425" s="736">
        <f>S36+S37+S39+S40+S41+S42+S43+S44+S45+S46+S47+S48+S49+S50+S51+S52+S53+S54+S55+S57+S58+S59+S60+S61+S62+S65+S67+S68+S69+S73+S74+S75+S76+S77+S78+S79+S80+S81+S82+S83+S84+S87+S88+S91+S92+S93+S94+S95+S96+S97+S105+S106+S107+S108+S110+S111+S113+S114+S115+S116+S117+S120+S121+S122+S123+S126+S127+S128+S129+S130+S131+S132+S141+S142+S143+S144+S145+S147+S148+S149+S150+S151+S152+S153+S155+S156+S157+S159+S161+S162+S163+S164+S165+S166+S167+S168+S169+S171+S172+S174+S177+S178+S180+S185+S186+S187+S191+S194+S196+S197+S198+S201+S202+S203+S205+S208+S213+S214+S215+S218+S219+S220+S221+S222+S226+S228+S231+S232+S233+S234</f>
        <v>3514638576.1953321</v>
      </c>
      <c r="T425" s="736">
        <f>T36+T37+T39+T40+T41+T42+T43+T44+T45+T46+T47+T48+T49+T50+T51+T52+T53+T54+T55+T57+T58+T59+T60+T61+T62+T65+T67+T68+T69+T73+T74+T75+T76+T77+T78+T79+T80+T81+T82+T83+T84+T87+T88+T91+T92+T93+T94+T95+T96+T97+T105+T106+T107+T108+T110+T111+T113+T114+T115+T116+T117+T120+T121+T122+T123+T126+T127+T128+T129+T130+T131+T132+T141+T142+T143+T144+T145+T147+T148+T149+T150+T151+T152+T153+T155+T156+T157+T159+T161+T162+T163+T164+T165+T166+T167+T168+T169+T171+T172+T174+T177+T178+T180+T185+T186+T187+T191+T194+T196+T197+T198+T201+T202+T203+T205+T208+T213+T214+T215+T218+T219+T220+T221+T222+T226+T228+T231+T232+T233+T234</f>
        <v>3477262458.0118933</v>
      </c>
      <c r="U425" s="736">
        <f>U36+U37+U39+U40+U41+U42+U43+U44+U45+U46+U47+U48+U49+U50+U51+U52+U53+U54+U55+U57+U58+U59+U60+U61+U62+U65+U67+U68+U69+U73+U74+U75+U76+U77+U78+U79+U80+U81+U82+U83+U84+U87+U88+U91+U92+U93+U94+U95+U96+U97+U105+U106+U107+U108+U110+U111+U113+U114+U115+U116+U117+U120+U121+U122+U123+U126+U127+U128+U129+U130+U131+U132+U141+U142+U143+U144+U145+U147+U148+U149+U150+U151+U152+U153+U155+U156+U157+U159+U161+U162+U163+U164+U165+U166+U167+U168+U169+U171+U172+U174+U177+U178+U180+U185+U186+U187+U191+U194+U196+U197+U198+U201+U202+U203+U205+U208+U213+U214+U215+U218+U219+U220+U221+U222+U226+U228+U231+U232+U233+U234</f>
        <v>3637048805.2570558</v>
      </c>
      <c r="BH425" s="738"/>
      <c r="BI425" s="738"/>
      <c r="BJ425" s="738"/>
      <c r="BK425" s="738"/>
      <c r="BO425" s="738"/>
      <c r="BP425" s="738"/>
      <c r="BU425" s="752"/>
      <c r="BV425" s="752"/>
      <c r="BW425" s="752"/>
      <c r="BY425" s="752"/>
      <c r="BZ425" s="752"/>
      <c r="CA425" s="752"/>
      <c r="CB425" s="752"/>
      <c r="CC425" s="752"/>
      <c r="CK425" s="736" t="e">
        <f>CK36+CK37+CK39+CK40+CK41+CK42+CK43+CK44+CK45+CK46+CK47+CK48+CK49+CK50+CK51+CK52+CK53+CK54+CK55+CK57+CK58+CK59+CK60+CK61+CK62+CK65+CK67+CK68+CK69+CK73+CK74+CK75+CK76+CK77+CK78+CK79+CK80+CK81+CK82+CK83+CK84+CK87+CK88+CK91+CK92+CK93+CK94+CK95+CK96+CK97+CK105+CK106+CK107+CK108+CK110+CK111+CK113+CK114+CK115+CK116+CK117+CK120+CK121+CK122+CK123+CK126+CK127+CK128+CK129+CK130+CK131+CK132+CK141+CK142+CK143+CK144+CK145+CK147+CK148+CK149+CK150+CK151+CK152+CK153+CK155+CK156+CK157+CK159+CK161+CK162+CK163+CK164+CK165+CK166+CK167+CK168+CK169+CK171+CK172+CK174+CK177+CK178+CK180+CK185+CK186+CK187+CK191+CK194+CK196+CK197+CK198+CK201+CK202+CK203+CK205+CK208+CK213+CK214+CK215+CK218+CK219+CK220+CK221+CK222+CK226+CK228+CK231+CK232+CK233+CK234</f>
        <v>#VALUE!</v>
      </c>
      <c r="CL425" s="736" t="e">
        <f>CL36+CL37+CL39+CL40+CL41+CL42+CL43+CL44+CL45+CL46+CL47+CL48+CL49+CL50+CL51+CL52+CL53+CL54+CL55+CL57+CL58+CL59+CL60+CL61+CL62+CL65+CL67+CL68+CL69+CL73+CL74+CL75+CL76+CL77+CL78+CL79+CL80+CL81+CL82+CL83+CL84+CL87+CL88+CL91+CL92+CL93+CL94+CL95+CL96+CL97+CL105+CL106+CL107+CL108+CL110+CL111+CL113+CL114+CL115+CL116+CL117+CL120+CL121+CL122+CL123+CL126+CL127+CL128+CL129+CL130+CL131+CL132+CL141+CL142+CL143+CL144+CL145+CL147+CL148+CL149+CL150+CL151+CL152+CL153+CL155+CL156+CL157+CL159+CL161+CL162+CL163+CL164+CL165+CL166+CL167+CL168+CL169+CL171+CL172+CL174+CL177+CL178+CL180+CL185+CL186+CL187+CL191+CL194+CL196+CL197+CL198+CL201+CL202+CL203+CL205+CL208+CL213+CL214+CL215+CL218+CL219+CL220+CL221+CL222+CL226+CL228+CL231+CL232+CL233+CL234</f>
        <v>#VALUE!</v>
      </c>
      <c r="DF425" s="752"/>
      <c r="DG425" s="752"/>
      <c r="DH425" s="752"/>
      <c r="DI425" s="752"/>
    </row>
    <row r="426" spans="1:123" outlineLevel="1">
      <c r="G426" s="736">
        <f>G91+G113+G114+G115+G121+G123+G147+G149+G151+G153+G155</f>
        <v>267229822.7058962</v>
      </c>
      <c r="I426" s="736">
        <f t="shared" ref="I426:Q426" si="558">I91+I113+I114+I115+I116+I117+I121+I123+I147+I148+I149+I150+I151+I153+I155</f>
        <v>316333317.72999996</v>
      </c>
      <c r="J426" s="736">
        <f t="shared" si="558"/>
        <v>88880198.310000032</v>
      </c>
      <c r="K426" s="736">
        <f t="shared" si="558"/>
        <v>127480503.02</v>
      </c>
      <c r="L426" s="736">
        <f t="shared" si="558"/>
        <v>99972616.400000006</v>
      </c>
      <c r="M426" s="736">
        <f t="shared" si="558"/>
        <v>216360701.32999998</v>
      </c>
      <c r="N426" s="736">
        <f t="shared" si="558"/>
        <v>170753739.87</v>
      </c>
      <c r="O426" s="736">
        <f t="shared" si="558"/>
        <v>139727479.84999999</v>
      </c>
      <c r="P426" s="736">
        <f t="shared" si="558"/>
        <v>310481219.72000003</v>
      </c>
      <c r="Q426" s="736">
        <f t="shared" si="558"/>
        <v>-5852098.0100000016</v>
      </c>
      <c r="S426" s="736">
        <f>S91+S113+S114+S115+S116+S117+S121+S123+S147+S148+S149+S150+S151+S153+S155</f>
        <v>217750119.83486089</v>
      </c>
      <c r="T426" s="736">
        <f>T91+T113+T114+T115+T116+T117+T121+T123+T147+T148+T149+T150+T151+T153+T155</f>
        <v>217750119.83486089</v>
      </c>
      <c r="U426" s="736">
        <f>U91+U113+U114+U115+U116+U117+U121+U123+U147+U148+U149+U150+U151+U153+U155</f>
        <v>255125080.39999998</v>
      </c>
      <c r="BH426" s="738"/>
      <c r="BI426" s="738"/>
      <c r="BJ426" s="738"/>
      <c r="BK426" s="738"/>
      <c r="BO426" s="738"/>
      <c r="BP426" s="738"/>
      <c r="BU426" s="752"/>
      <c r="BV426" s="752"/>
      <c r="BW426" s="752"/>
      <c r="BY426" s="752"/>
      <c r="BZ426" s="752"/>
      <c r="CA426" s="752"/>
      <c r="CB426" s="752"/>
      <c r="CC426" s="752"/>
      <c r="CK426" s="736" t="e">
        <f>CK91+CK113+CK114+CK115+CK116+CK117+CK121+CK123+CK147+CK148+CK149+CK150+CK151+CK153+CK155</f>
        <v>#VALUE!</v>
      </c>
      <c r="CL426" s="736" t="e">
        <f>CL91+CL113+CL114+CL115+CL116+CL117+CL121+CL123+CL147+CL148+CL149+CL150+CL151+CL153+CL155</f>
        <v>#VALUE!</v>
      </c>
      <c r="DF426" s="752"/>
      <c r="DG426" s="752"/>
      <c r="DH426" s="752"/>
      <c r="DI426" s="752"/>
    </row>
    <row r="427" spans="1:123" s="789" customFormat="1" outlineLevel="1">
      <c r="A427" s="783"/>
      <c r="B427" s="560" t="s">
        <v>1617</v>
      </c>
      <c r="C427" s="464"/>
      <c r="D427" s="736"/>
      <c r="E427" s="736"/>
      <c r="F427" s="736"/>
      <c r="G427" s="784">
        <f t="shared" ref="G427:Q427" si="559">G243+G244+G245+G246+G256+G267+G268+G277+G278+G279+G280+G281+G282+G283+G284+G285+G286+G287+G288+G289+G290+G291+G292+G293+G294+G295</f>
        <v>185162017.90706348</v>
      </c>
      <c r="H427" s="784">
        <f t="shared" si="559"/>
        <v>0</v>
      </c>
      <c r="I427" s="784">
        <f t="shared" si="559"/>
        <v>523168744.59000009</v>
      </c>
      <c r="J427" s="784">
        <f t="shared" si="559"/>
        <v>224245225.66999999</v>
      </c>
      <c r="K427" s="784">
        <f t="shared" si="559"/>
        <v>122935132.36</v>
      </c>
      <c r="L427" s="784">
        <f t="shared" si="559"/>
        <v>175988386.56</v>
      </c>
      <c r="M427" s="784">
        <f t="shared" si="559"/>
        <v>347180358.02999991</v>
      </c>
      <c r="N427" s="784">
        <f t="shared" si="559"/>
        <v>341994683.92999995</v>
      </c>
      <c r="O427" s="784">
        <f t="shared" si="559"/>
        <v>183897290.69000003</v>
      </c>
      <c r="P427" s="784">
        <f t="shared" si="559"/>
        <v>525891974.61999995</v>
      </c>
      <c r="Q427" s="784">
        <f t="shared" si="559"/>
        <v>2723230.0299999649</v>
      </c>
      <c r="R427" s="784"/>
      <c r="S427" s="784">
        <f>S243+S244+S245+S246+S256+S267+S268+S277+S278+S279+S280+S281+S282+S283+S284+S285+S286+S287+S288+S289+S290+S291+S292+S293+S294+S295</f>
        <v>193433217.09999999</v>
      </c>
      <c r="T427" s="784">
        <f>T243+T244+T245+T246+T256+T267+T268+T277+T278+T279+T280+T281+T282+T283+T284+T285+T286+T287+T288+T289+T290+T291+T292+T293+T294+T295</f>
        <v>193433217.09999999</v>
      </c>
      <c r="U427" s="784">
        <f>U243+U244+U245+U246+U256+U267+U268+U277+U278+U279+U280+U281+U282+U283+U284+U285+U286+U287+U288+U289+U290+U291+U292+U293+U294+U295</f>
        <v>782799547.78748775</v>
      </c>
      <c r="V427" s="784"/>
      <c r="W427" s="784"/>
      <c r="X427" s="784"/>
      <c r="Y427" s="784"/>
      <c r="Z427" s="785"/>
      <c r="AA427" s="784"/>
      <c r="AB427" s="784"/>
      <c r="AC427" s="784"/>
      <c r="AD427" s="784"/>
      <c r="AE427" s="784"/>
      <c r="AF427" s="784"/>
      <c r="AG427" s="786"/>
      <c r="AH427" s="784"/>
      <c r="AI427" s="784"/>
      <c r="AJ427" s="784"/>
      <c r="AK427" s="784"/>
      <c r="AL427" s="784"/>
      <c r="AM427" s="784"/>
      <c r="AN427" s="784"/>
      <c r="AO427" s="784"/>
      <c r="AP427" s="784"/>
      <c r="AQ427" s="784"/>
      <c r="AR427" s="784"/>
      <c r="AS427" s="784"/>
      <c r="AT427" s="784"/>
      <c r="AU427" s="784"/>
      <c r="AV427" s="784"/>
      <c r="AW427" s="784"/>
      <c r="AX427" s="784"/>
      <c r="AY427" s="784"/>
      <c r="AZ427" s="784"/>
      <c r="BA427" s="784"/>
      <c r="BB427" s="784"/>
      <c r="BC427" s="787"/>
      <c r="BD427" s="787"/>
      <c r="BE427" s="787"/>
      <c r="BF427" s="787"/>
      <c r="BG427" s="787"/>
      <c r="BH427" s="786"/>
      <c r="BI427" s="786"/>
      <c r="BJ427" s="786"/>
      <c r="BK427" s="786"/>
      <c r="BL427" s="786"/>
      <c r="BM427" s="786"/>
      <c r="BN427" s="784"/>
      <c r="BO427" s="786"/>
      <c r="BP427" s="786"/>
      <c r="BQ427" s="786"/>
      <c r="BR427" s="786"/>
      <c r="BS427" s="784"/>
      <c r="BT427" s="788"/>
      <c r="BU427" s="752"/>
      <c r="BV427" s="752"/>
      <c r="BW427" s="752"/>
      <c r="BX427" s="465"/>
      <c r="BY427" s="752"/>
      <c r="BZ427" s="752"/>
      <c r="CA427" s="752"/>
      <c r="CB427" s="752"/>
      <c r="CC427" s="752"/>
      <c r="CD427" s="784"/>
      <c r="CE427" s="784"/>
      <c r="CF427" s="784"/>
      <c r="CG427" s="784"/>
      <c r="CH427" s="784"/>
      <c r="CI427" s="784"/>
      <c r="CJ427" s="784"/>
      <c r="CK427" s="784" t="e">
        <f>CK243+CK244+CK245+CK246+CK256+CK267+CK268+CK277+CK278+CK279+CK280+CK281+CK282+CK283+CK284+CK285+CK286+CK287+CK288+CK289+CK290+CK291+CK292+CK293+CK294+CK295</f>
        <v>#VALUE!</v>
      </c>
      <c r="CL427" s="784" t="e">
        <f>CL243+CL244+CL245+CL246+CL256+CL267+CL268+CL277+CL278+CL279+CL280+CL281+CL282+CL283+CL284+CL285+CL286+CL287+CL288+CL289+CL290+CL291+CL292+CL293+CL294+CL295</f>
        <v>#VALUE!</v>
      </c>
      <c r="CM427" s="784"/>
      <c r="CN427" s="784"/>
      <c r="CS427" s="788"/>
      <c r="CT427" s="788"/>
      <c r="CU427" s="788"/>
      <c r="CV427" s="788"/>
      <c r="CW427" s="788"/>
      <c r="DF427" s="752"/>
      <c r="DG427" s="752"/>
      <c r="DH427" s="752"/>
      <c r="DI427" s="752"/>
      <c r="DJ427" s="788"/>
      <c r="DK427" s="788"/>
      <c r="DL427" s="788"/>
      <c r="DM427" s="788"/>
      <c r="DN427" s="788"/>
      <c r="DO427" s="788"/>
      <c r="DP427" s="788"/>
      <c r="DQ427" s="788"/>
      <c r="DR427" s="788"/>
      <c r="DS427" s="788"/>
    </row>
    <row r="428" spans="1:123" outlineLevel="1">
      <c r="BH428" s="738"/>
      <c r="BI428" s="738"/>
      <c r="BJ428" s="738"/>
      <c r="BK428" s="738"/>
      <c r="BO428" s="738"/>
      <c r="BP428" s="738"/>
      <c r="BU428" s="752"/>
      <c r="BV428" s="752"/>
      <c r="BW428" s="752"/>
      <c r="BY428" s="752"/>
      <c r="BZ428" s="752"/>
      <c r="CA428" s="752"/>
      <c r="CB428" s="752"/>
      <c r="CC428" s="752"/>
      <c r="DF428" s="752"/>
      <c r="DG428" s="752"/>
      <c r="DH428" s="752"/>
      <c r="DI428" s="752"/>
    </row>
    <row r="429" spans="1:123" outlineLevel="1">
      <c r="P429" s="739"/>
      <c r="Q429" s="790">
        <f>Q87+Q88+Q91+Q92+Q93+Q94+Q95+Q96+Q97+Q105+Q106+Q107+Q108+Q110+Q111+Q113+Q114+Q115+Q116+Q117+Q120+Q121+Q122+Q123+Q126+Q127+Q128+Q129+Q130+Q131+Q132</f>
        <v>-7505117.1999999946</v>
      </c>
      <c r="R429" s="790"/>
      <c r="S429" s="739"/>
      <c r="T429" s="739"/>
      <c r="U429" s="739"/>
      <c r="V429" s="739"/>
      <c r="W429" s="739"/>
      <c r="X429" s="739"/>
      <c r="Y429" s="739"/>
      <c r="AA429" s="739"/>
      <c r="AB429" s="739"/>
      <c r="AC429" s="739"/>
      <c r="AD429" s="739"/>
      <c r="AE429" s="739"/>
      <c r="AF429" s="739"/>
      <c r="AH429" s="739"/>
      <c r="AI429" s="739"/>
      <c r="AJ429" s="739"/>
      <c r="AK429" s="739"/>
      <c r="AL429" s="739"/>
      <c r="AM429" s="739"/>
      <c r="AN429" s="739"/>
      <c r="AO429" s="739"/>
      <c r="AP429" s="739"/>
      <c r="AQ429" s="739"/>
      <c r="AR429" s="739"/>
      <c r="AS429" s="739"/>
      <c r="AT429" s="739"/>
      <c r="AU429" s="739"/>
      <c r="AV429" s="739"/>
      <c r="AW429" s="739"/>
      <c r="AX429" s="739"/>
      <c r="AY429" s="739"/>
      <c r="AZ429" s="739"/>
      <c r="BA429" s="739"/>
      <c r="BB429" s="739"/>
      <c r="BH429" s="738"/>
      <c r="BI429" s="738"/>
      <c r="BJ429" s="738"/>
      <c r="BK429" s="738"/>
      <c r="BN429" s="739"/>
      <c r="BO429" s="738"/>
      <c r="BP429" s="738"/>
      <c r="BS429" s="739"/>
      <c r="BU429" s="752"/>
      <c r="BV429" s="752"/>
      <c r="BW429" s="752"/>
      <c r="BY429" s="752"/>
      <c r="BZ429" s="752"/>
      <c r="CA429" s="752"/>
      <c r="CB429" s="752"/>
      <c r="CC429" s="752"/>
      <c r="CD429" s="739"/>
      <c r="CE429" s="739"/>
      <c r="CF429" s="739"/>
      <c r="CG429" s="739"/>
      <c r="CH429" s="739"/>
      <c r="CI429" s="739"/>
      <c r="CJ429" s="739"/>
      <c r="DF429" s="752"/>
      <c r="DG429" s="752"/>
      <c r="DH429" s="752"/>
      <c r="DI429" s="752"/>
    </row>
    <row r="430" spans="1:123">
      <c r="S430" s="739"/>
      <c r="T430" s="739"/>
      <c r="U430" s="739"/>
      <c r="V430" s="739"/>
      <c r="W430" s="739"/>
      <c r="X430" s="739"/>
      <c r="Y430" s="739"/>
      <c r="AA430" s="739"/>
      <c r="AB430" s="739"/>
      <c r="AC430" s="739"/>
      <c r="AD430" s="739"/>
      <c r="AE430" s="739"/>
      <c r="AF430" s="739"/>
      <c r="AH430" s="739"/>
      <c r="AI430" s="739"/>
      <c r="AJ430" s="739"/>
      <c r="AK430" s="739"/>
      <c r="AL430" s="739"/>
      <c r="AM430" s="739"/>
      <c r="AN430" s="739"/>
      <c r="AO430" s="739"/>
      <c r="AP430" s="739"/>
      <c r="AQ430" s="739"/>
      <c r="AR430" s="739"/>
      <c r="AS430" s="739"/>
      <c r="AT430" s="739"/>
      <c r="AU430" s="739"/>
      <c r="AV430" s="739"/>
      <c r="AW430" s="739"/>
      <c r="AX430" s="739"/>
      <c r="AY430" s="739"/>
      <c r="AZ430" s="739"/>
      <c r="BA430" s="739"/>
      <c r="BB430" s="739"/>
      <c r="BH430" s="738"/>
      <c r="BI430" s="738"/>
      <c r="BJ430" s="738"/>
      <c r="BK430" s="738"/>
      <c r="BN430" s="739"/>
      <c r="BO430" s="738"/>
      <c r="BP430" s="738"/>
      <c r="BS430" s="739"/>
      <c r="BU430" s="752"/>
      <c r="BV430" s="752"/>
      <c r="BW430" s="752"/>
      <c r="BX430" s="791"/>
      <c r="BY430" s="752"/>
      <c r="BZ430" s="752"/>
      <c r="CA430" s="752"/>
      <c r="CB430" s="752"/>
      <c r="CC430" s="752"/>
      <c r="CD430" s="739"/>
      <c r="CE430" s="739"/>
      <c r="CF430" s="739"/>
      <c r="CG430" s="739"/>
      <c r="CH430" s="739"/>
      <c r="CI430" s="739"/>
      <c r="CJ430" s="739"/>
      <c r="CK430" s="736"/>
      <c r="CL430" s="736"/>
      <c r="DF430" s="752"/>
      <c r="DG430" s="752"/>
      <c r="DH430" s="752"/>
      <c r="DI430" s="752"/>
    </row>
    <row r="431" spans="1:123">
      <c r="A431" s="792" t="s">
        <v>30</v>
      </c>
      <c r="S431" s="739"/>
      <c r="T431" s="739"/>
      <c r="U431" s="739"/>
      <c r="V431" s="739"/>
      <c r="W431" s="739"/>
      <c r="X431" s="739"/>
      <c r="Y431" s="739"/>
      <c r="AA431" s="739"/>
      <c r="AB431" s="739"/>
      <c r="AC431" s="739"/>
      <c r="AD431" s="739"/>
      <c r="AE431" s="739"/>
      <c r="AF431" s="739"/>
      <c r="AH431" s="739"/>
      <c r="AI431" s="739"/>
      <c r="AJ431" s="739"/>
      <c r="AK431" s="739"/>
      <c r="AL431" s="739"/>
      <c r="AM431" s="739"/>
      <c r="AN431" s="739"/>
      <c r="AO431" s="739"/>
      <c r="AP431" s="739"/>
      <c r="AQ431" s="739"/>
      <c r="AR431" s="739"/>
      <c r="AS431" s="739"/>
      <c r="AT431" s="739"/>
      <c r="AU431" s="739"/>
      <c r="AV431" s="739"/>
      <c r="AW431" s="739"/>
      <c r="AX431" s="739"/>
      <c r="AY431" s="739"/>
      <c r="AZ431" s="739"/>
      <c r="BA431" s="739"/>
      <c r="BB431" s="739"/>
      <c r="BH431" s="738"/>
      <c r="BI431" s="738"/>
      <c r="BJ431" s="738"/>
      <c r="BK431" s="738"/>
      <c r="BN431" s="739"/>
      <c r="BO431" s="738"/>
      <c r="BP431" s="738"/>
      <c r="BS431" s="739"/>
      <c r="BU431" s="752"/>
      <c r="BV431" s="752"/>
      <c r="BW431" s="752"/>
      <c r="BY431" s="752"/>
      <c r="BZ431" s="752"/>
      <c r="CA431" s="752"/>
      <c r="CB431" s="752"/>
      <c r="CC431" s="752"/>
      <c r="CD431" s="739"/>
      <c r="CE431" s="739"/>
      <c r="CF431" s="739"/>
      <c r="CG431" s="739"/>
      <c r="CH431" s="739"/>
      <c r="CI431" s="739"/>
      <c r="CJ431" s="739"/>
      <c r="CK431" s="736"/>
      <c r="CL431" s="736"/>
      <c r="DF431" s="752"/>
      <c r="DG431" s="752"/>
      <c r="DH431" s="752"/>
      <c r="DI431" s="752"/>
    </row>
    <row r="432" spans="1:123" ht="8.25" customHeight="1" thickBot="1">
      <c r="S432" s="739"/>
      <c r="T432" s="739"/>
      <c r="U432" s="739"/>
      <c r="V432" s="739"/>
      <c r="W432" s="739"/>
      <c r="X432" s="739"/>
      <c r="Y432" s="739"/>
      <c r="AA432" s="739"/>
      <c r="AB432" s="739"/>
      <c r="AC432" s="739"/>
      <c r="AD432" s="739"/>
      <c r="AE432" s="739"/>
      <c r="AF432" s="739"/>
      <c r="AH432" s="739"/>
      <c r="AI432" s="739"/>
      <c r="AJ432" s="739"/>
      <c r="AK432" s="739"/>
      <c r="AL432" s="739"/>
      <c r="AM432" s="739"/>
      <c r="AN432" s="739"/>
      <c r="AO432" s="739"/>
      <c r="AP432" s="739"/>
      <c r="AQ432" s="739"/>
      <c r="AR432" s="739"/>
      <c r="AS432" s="739"/>
      <c r="AT432" s="739"/>
      <c r="AU432" s="739"/>
      <c r="AV432" s="739"/>
      <c r="AW432" s="739"/>
      <c r="AX432" s="739"/>
      <c r="AY432" s="739"/>
      <c r="AZ432" s="739"/>
      <c r="BA432" s="739"/>
      <c r="BB432" s="739"/>
      <c r="BH432" s="738"/>
      <c r="BI432" s="738"/>
      <c r="BJ432" s="738"/>
      <c r="BK432" s="738"/>
      <c r="BN432" s="739"/>
      <c r="BO432" s="738"/>
      <c r="BP432" s="738"/>
      <c r="BS432" s="739"/>
      <c r="BU432" s="755"/>
      <c r="BV432" s="755"/>
      <c r="BW432" s="755"/>
      <c r="BY432" s="755"/>
      <c r="BZ432" s="755"/>
      <c r="CA432" s="755"/>
      <c r="CB432" s="755"/>
      <c r="CC432" s="755"/>
      <c r="CD432" s="739"/>
      <c r="CE432" s="739"/>
      <c r="CF432" s="739"/>
      <c r="CG432" s="739"/>
      <c r="CH432" s="739"/>
      <c r="CI432" s="739"/>
      <c r="CJ432" s="739"/>
      <c r="DF432" s="755"/>
      <c r="DG432" s="755"/>
      <c r="DH432" s="755"/>
      <c r="DI432" s="755"/>
    </row>
    <row r="433" spans="1:123" ht="28.5" customHeight="1" thickBot="1">
      <c r="A433" s="1753" t="s">
        <v>110</v>
      </c>
      <c r="B433" s="1755" t="s">
        <v>2028</v>
      </c>
      <c r="C433" s="793"/>
      <c r="D433" s="794"/>
      <c r="E433" s="794"/>
      <c r="F433" s="794"/>
      <c r="G433" s="794"/>
      <c r="H433" s="794"/>
      <c r="I433" s="794"/>
      <c r="J433" s="794"/>
      <c r="K433" s="794"/>
      <c r="L433" s="794"/>
      <c r="M433" s="794"/>
      <c r="N433" s="794"/>
      <c r="O433" s="794"/>
      <c r="P433" s="794"/>
      <c r="Q433" s="794"/>
      <c r="R433" s="794"/>
      <c r="S433" s="795"/>
      <c r="T433" s="1764" t="s">
        <v>1713</v>
      </c>
      <c r="U433" s="1764" t="s">
        <v>2029</v>
      </c>
      <c r="V433" s="796"/>
      <c r="W433" s="796"/>
      <c r="X433" s="796"/>
      <c r="Y433" s="796"/>
      <c r="Z433" s="797"/>
      <c r="AA433" s="796"/>
      <c r="AB433" s="796"/>
      <c r="AC433" s="796"/>
      <c r="AD433" s="796"/>
      <c r="AE433" s="796"/>
      <c r="AF433" s="796"/>
      <c r="AG433" s="798"/>
      <c r="AH433" s="796"/>
      <c r="AI433" s="796"/>
      <c r="AJ433" s="796"/>
      <c r="AK433" s="796"/>
      <c r="AL433" s="796"/>
      <c r="AM433" s="796"/>
      <c r="AN433" s="796"/>
      <c r="AO433" s="796"/>
      <c r="AP433" s="796"/>
      <c r="AQ433" s="799">
        <f>AQ180+AQ262+AQ51+AQ54</f>
        <v>250000</v>
      </c>
      <c r="AR433" s="799"/>
      <c r="AS433" s="799">
        <f>AS180+AS262+AS51+AS54</f>
        <v>0</v>
      </c>
      <c r="AT433" s="799"/>
      <c r="AU433" s="799"/>
      <c r="AV433" s="799"/>
      <c r="AW433" s="799"/>
      <c r="AX433" s="799"/>
      <c r="AY433" s="799"/>
      <c r="AZ433" s="799"/>
      <c r="BA433" s="799"/>
      <c r="BB433" s="799">
        <f>BB180+BB262+BB51+BB54</f>
        <v>0</v>
      </c>
      <c r="BC433" s="800"/>
      <c r="BD433" s="800"/>
      <c r="BE433" s="800"/>
      <c r="BF433" s="800"/>
      <c r="BG433" s="800"/>
      <c r="BH433" s="801"/>
      <c r="BI433" s="801"/>
      <c r="BJ433" s="801"/>
      <c r="BK433" s="801"/>
      <c r="BL433" s="801">
        <f>BL180+BL262+BL51+BL54</f>
        <v>250000</v>
      </c>
      <c r="BM433" s="801"/>
      <c r="BN433" s="799"/>
      <c r="BO433" s="801"/>
      <c r="BP433" s="801"/>
      <c r="BQ433" s="801">
        <f>BQ180+BQ262+BQ51+BQ54</f>
        <v>250000</v>
      </c>
      <c r="BR433" s="801"/>
      <c r="BS433" s="799"/>
      <c r="BU433" s="752"/>
      <c r="BV433" s="752"/>
      <c r="BW433" s="752"/>
      <c r="BY433" s="752"/>
      <c r="BZ433" s="752"/>
      <c r="CA433" s="752"/>
      <c r="CB433" s="752"/>
      <c r="CC433" s="752"/>
      <c r="CD433" s="799"/>
      <c r="CE433" s="799"/>
      <c r="CF433" s="799"/>
      <c r="CG433" s="799"/>
      <c r="CH433" s="799"/>
      <c r="CI433" s="799"/>
      <c r="CJ433" s="799"/>
      <c r="CK433" s="799"/>
      <c r="CL433" s="799"/>
      <c r="CM433" s="799"/>
      <c r="CN433" s="799"/>
      <c r="CO433" s="799"/>
      <c r="CP433" s="1766" t="s">
        <v>2030</v>
      </c>
      <c r="CQ433" s="1767"/>
      <c r="CR433" s="1768"/>
      <c r="DF433" s="752"/>
      <c r="DG433" s="752"/>
      <c r="DH433" s="752"/>
      <c r="DI433" s="752"/>
    </row>
    <row r="434" spans="1:123" ht="24.75" customHeight="1" thickBot="1">
      <c r="A434" s="1754"/>
      <c r="B434" s="1756"/>
      <c r="C434" s="802"/>
      <c r="D434" s="803"/>
      <c r="E434" s="803"/>
      <c r="F434" s="803"/>
      <c r="G434" s="803"/>
      <c r="H434" s="803"/>
      <c r="I434" s="803"/>
      <c r="J434" s="803"/>
      <c r="K434" s="803"/>
      <c r="L434" s="803"/>
      <c r="M434" s="803"/>
      <c r="N434" s="803"/>
      <c r="O434" s="803"/>
      <c r="P434" s="803"/>
      <c r="Q434" s="803"/>
      <c r="R434" s="803"/>
      <c r="S434" s="804"/>
      <c r="T434" s="1765"/>
      <c r="U434" s="1765"/>
      <c r="V434" s="805"/>
      <c r="W434" s="805"/>
      <c r="X434" s="805"/>
      <c r="Y434" s="805"/>
      <c r="Z434" s="806"/>
      <c r="AA434" s="805"/>
      <c r="AB434" s="805"/>
      <c r="AC434" s="805"/>
      <c r="AD434" s="805"/>
      <c r="AE434" s="805"/>
      <c r="AF434" s="805"/>
      <c r="AG434" s="807"/>
      <c r="AH434" s="805"/>
      <c r="AI434" s="805"/>
      <c r="AJ434" s="805"/>
      <c r="AK434" s="805"/>
      <c r="AL434" s="805"/>
      <c r="AM434" s="805"/>
      <c r="AN434" s="805"/>
      <c r="AO434" s="805"/>
      <c r="AP434" s="805"/>
      <c r="AQ434" s="808"/>
      <c r="AR434" s="808"/>
      <c r="AS434" s="808"/>
      <c r="AT434" s="808"/>
      <c r="AU434" s="808"/>
      <c r="AV434" s="808"/>
      <c r="AW434" s="808"/>
      <c r="AX434" s="808"/>
      <c r="AY434" s="808"/>
      <c r="AZ434" s="808"/>
      <c r="BA434" s="808"/>
      <c r="BB434" s="808"/>
      <c r="BC434" s="809"/>
      <c r="BD434" s="809"/>
      <c r="BE434" s="809"/>
      <c r="BF434" s="809"/>
      <c r="BG434" s="809"/>
      <c r="BH434" s="810"/>
      <c r="BI434" s="810"/>
      <c r="BJ434" s="810"/>
      <c r="BK434" s="810"/>
      <c r="BL434" s="810"/>
      <c r="BM434" s="810"/>
      <c r="BN434" s="808"/>
      <c r="BO434" s="810"/>
      <c r="BP434" s="810"/>
      <c r="BQ434" s="810"/>
      <c r="BR434" s="810"/>
      <c r="BS434" s="808"/>
      <c r="BU434" s="811"/>
      <c r="BV434" s="811"/>
      <c r="BW434" s="811"/>
      <c r="BY434" s="811"/>
      <c r="BZ434" s="811"/>
      <c r="CA434" s="811"/>
      <c r="CB434" s="811"/>
      <c r="CC434" s="811"/>
      <c r="CD434" s="808"/>
      <c r="CE434" s="808"/>
      <c r="CF434" s="808"/>
      <c r="CG434" s="808"/>
      <c r="CH434" s="808"/>
      <c r="CI434" s="808"/>
      <c r="CJ434" s="808"/>
      <c r="CK434" s="808"/>
      <c r="CL434" s="808"/>
      <c r="CM434" s="808"/>
      <c r="CN434" s="808"/>
      <c r="CO434" s="808"/>
      <c r="CP434" s="812" t="s">
        <v>1764</v>
      </c>
      <c r="CQ434" s="812" t="s">
        <v>1765</v>
      </c>
      <c r="CR434" s="812" t="s">
        <v>1766</v>
      </c>
      <c r="DF434" s="811"/>
      <c r="DG434" s="811"/>
      <c r="DH434" s="811"/>
      <c r="DI434" s="811"/>
    </row>
    <row r="435" spans="1:123" s="821" customFormat="1" ht="18" customHeight="1">
      <c r="A435" s="813" t="s">
        <v>1824</v>
      </c>
      <c r="B435" s="814" t="s">
        <v>1825</v>
      </c>
      <c r="C435" s="815"/>
      <c r="D435" s="816"/>
      <c r="E435" s="816"/>
      <c r="F435" s="816"/>
      <c r="G435" s="816"/>
      <c r="H435" s="816"/>
      <c r="I435" s="816"/>
      <c r="J435" s="816"/>
      <c r="K435" s="816"/>
      <c r="L435" s="816"/>
      <c r="M435" s="816"/>
      <c r="N435" s="816"/>
      <c r="O435" s="816"/>
      <c r="P435" s="816"/>
      <c r="Q435" s="816"/>
      <c r="R435" s="816"/>
      <c r="S435" s="817"/>
      <c r="T435" s="817">
        <f>T20/1000</f>
        <v>0</v>
      </c>
      <c r="U435" s="817">
        <f>U20/1000</f>
        <v>156100</v>
      </c>
      <c r="V435" s="817"/>
      <c r="W435" s="817"/>
      <c r="X435" s="817"/>
      <c r="Y435" s="817"/>
      <c r="Z435" s="818"/>
      <c r="AA435" s="817"/>
      <c r="AB435" s="817"/>
      <c r="AC435" s="817"/>
      <c r="AD435" s="817"/>
      <c r="AE435" s="817"/>
      <c r="AF435" s="817"/>
      <c r="AG435" s="819"/>
      <c r="AH435" s="817"/>
      <c r="AI435" s="817"/>
      <c r="AJ435" s="817"/>
      <c r="AK435" s="817"/>
      <c r="AL435" s="817"/>
      <c r="AM435" s="817"/>
      <c r="AN435" s="817"/>
      <c r="AO435" s="817"/>
      <c r="AP435" s="817"/>
      <c r="AQ435" s="817">
        <f>AQ20/1000</f>
        <v>137400</v>
      </c>
      <c r="AR435" s="817"/>
      <c r="AS435" s="817">
        <f>AS20/1000</f>
        <v>6200</v>
      </c>
      <c r="AT435" s="817"/>
      <c r="AU435" s="817"/>
      <c r="AV435" s="817"/>
      <c r="AW435" s="817"/>
      <c r="AX435" s="817"/>
      <c r="AY435" s="817"/>
      <c r="AZ435" s="817"/>
      <c r="BA435" s="817"/>
      <c r="BB435" s="817">
        <f>BB20/1000</f>
        <v>7100</v>
      </c>
      <c r="BC435" s="817"/>
      <c r="BD435" s="817"/>
      <c r="BE435" s="817"/>
      <c r="BF435" s="817"/>
      <c r="BG435" s="817"/>
      <c r="BH435" s="819"/>
      <c r="BI435" s="819"/>
      <c r="BJ435" s="819"/>
      <c r="BK435" s="819"/>
      <c r="BL435" s="819">
        <f>BL20/1000</f>
        <v>5400</v>
      </c>
      <c r="BM435" s="819"/>
      <c r="BN435" s="817"/>
      <c r="BO435" s="819"/>
      <c r="BP435" s="819"/>
      <c r="BQ435" s="819">
        <f>BQ20/1000</f>
        <v>5400</v>
      </c>
      <c r="BR435" s="819"/>
      <c r="BS435" s="817"/>
      <c r="BT435" s="820"/>
      <c r="BU435" s="811"/>
      <c r="BV435" s="811"/>
      <c r="BW435" s="811"/>
      <c r="BX435" s="465"/>
      <c r="BY435" s="811"/>
      <c r="BZ435" s="811"/>
      <c r="CA435" s="811"/>
      <c r="CB435" s="811"/>
      <c r="CC435" s="811"/>
      <c r="CD435" s="817"/>
      <c r="CE435" s="817"/>
      <c r="CF435" s="817"/>
      <c r="CG435" s="817"/>
      <c r="CH435" s="817"/>
      <c r="CI435" s="817"/>
      <c r="CJ435" s="817"/>
      <c r="CK435" s="817" t="e">
        <f t="shared" ref="CK435:CR435" si="560">CK20/1000</f>
        <v>#VALUE!</v>
      </c>
      <c r="CL435" s="817" t="e">
        <f t="shared" si="560"/>
        <v>#VALUE!</v>
      </c>
      <c r="CM435" s="817">
        <f t="shared" si="560"/>
        <v>0</v>
      </c>
      <c r="CN435" s="817">
        <f t="shared" si="560"/>
        <v>0</v>
      </c>
      <c r="CO435" s="817">
        <f t="shared" si="560"/>
        <v>0</v>
      </c>
      <c r="CP435" s="817">
        <f t="shared" si="560"/>
        <v>144021.05228853872</v>
      </c>
      <c r="CQ435" s="817">
        <f t="shared" si="560"/>
        <v>10578.81614699157</v>
      </c>
      <c r="CR435" s="817">
        <f t="shared" si="560"/>
        <v>1500.1315644697097</v>
      </c>
      <c r="CS435" s="820"/>
      <c r="CT435" s="820"/>
      <c r="CU435" s="820"/>
      <c r="CV435" s="820"/>
      <c r="CW435" s="820"/>
      <c r="DF435" s="811"/>
      <c r="DG435" s="811"/>
      <c r="DH435" s="811"/>
      <c r="DI435" s="811"/>
      <c r="DJ435" s="820"/>
      <c r="DK435" s="820"/>
      <c r="DL435" s="820"/>
      <c r="DM435" s="820"/>
      <c r="DN435" s="820"/>
      <c r="DO435" s="820"/>
      <c r="DP435" s="820"/>
      <c r="DQ435" s="820"/>
      <c r="DR435" s="820"/>
      <c r="DS435" s="820"/>
    </row>
    <row r="436" spans="1:123" s="821" customFormat="1" ht="20.25" customHeight="1" thickBot="1">
      <c r="A436" s="822" t="s">
        <v>1969</v>
      </c>
      <c r="B436" s="823" t="s">
        <v>1294</v>
      </c>
      <c r="C436" s="824"/>
      <c r="D436" s="825"/>
      <c r="E436" s="825"/>
      <c r="F436" s="825"/>
      <c r="G436" s="825"/>
      <c r="H436" s="825"/>
      <c r="I436" s="825"/>
      <c r="J436" s="825"/>
      <c r="K436" s="825"/>
      <c r="L436" s="825"/>
      <c r="M436" s="825"/>
      <c r="N436" s="825"/>
      <c r="O436" s="825"/>
      <c r="P436" s="825"/>
      <c r="Q436" s="825"/>
      <c r="R436" s="825"/>
      <c r="S436" s="826"/>
      <c r="T436" s="826">
        <f>T272/1000</f>
        <v>0</v>
      </c>
      <c r="U436" s="826">
        <f>U272/1000</f>
        <v>119820</v>
      </c>
      <c r="V436" s="826"/>
      <c r="W436" s="826"/>
      <c r="X436" s="826"/>
      <c r="Y436" s="826"/>
      <c r="Z436" s="827"/>
      <c r="AA436" s="826"/>
      <c r="AB436" s="826"/>
      <c r="AC436" s="826"/>
      <c r="AD436" s="826"/>
      <c r="AE436" s="826"/>
      <c r="AF436" s="826"/>
      <c r="AG436" s="828"/>
      <c r="AH436" s="826"/>
      <c r="AI436" s="826"/>
      <c r="AJ436" s="826"/>
      <c r="AK436" s="826"/>
      <c r="AL436" s="826"/>
      <c r="AM436" s="826"/>
      <c r="AN436" s="826"/>
      <c r="AO436" s="826"/>
      <c r="AP436" s="826"/>
      <c r="AQ436" s="826">
        <f>AQ272/1000</f>
        <v>9720</v>
      </c>
      <c r="AR436" s="826"/>
      <c r="AS436" s="826">
        <f>AS272/1000</f>
        <v>9200</v>
      </c>
      <c r="AT436" s="826"/>
      <c r="AU436" s="826"/>
      <c r="AV436" s="826"/>
      <c r="AW436" s="826"/>
      <c r="AX436" s="826"/>
      <c r="AY436" s="826"/>
      <c r="AZ436" s="826"/>
      <c r="BA436" s="826"/>
      <c r="BB436" s="826">
        <f>BB272/1000</f>
        <v>77900</v>
      </c>
      <c r="BC436" s="826"/>
      <c r="BD436" s="826"/>
      <c r="BE436" s="826"/>
      <c r="BF436" s="826"/>
      <c r="BG436" s="826"/>
      <c r="BH436" s="828"/>
      <c r="BI436" s="828"/>
      <c r="BJ436" s="828"/>
      <c r="BK436" s="828"/>
      <c r="BL436" s="828">
        <f>BL272/1000</f>
        <v>23000</v>
      </c>
      <c r="BM436" s="828"/>
      <c r="BN436" s="826"/>
      <c r="BO436" s="828"/>
      <c r="BP436" s="828"/>
      <c r="BQ436" s="828">
        <f>BQ272/1000</f>
        <v>23000</v>
      </c>
      <c r="BR436" s="828"/>
      <c r="BS436" s="826"/>
      <c r="BT436" s="820"/>
      <c r="BU436" s="811"/>
      <c r="BV436" s="811"/>
      <c r="BW436" s="811"/>
      <c r="BX436" s="752"/>
      <c r="BY436" s="811"/>
      <c r="BZ436" s="811"/>
      <c r="CA436" s="811"/>
      <c r="CB436" s="811"/>
      <c r="CC436" s="811"/>
      <c r="CD436" s="826"/>
      <c r="CE436" s="826"/>
      <c r="CF436" s="826"/>
      <c r="CG436" s="826"/>
      <c r="CH436" s="826"/>
      <c r="CI436" s="826"/>
      <c r="CJ436" s="826"/>
      <c r="CK436" s="826" t="e">
        <f t="shared" ref="CK436:CR436" si="561">CK272/1000</f>
        <v>#VALUE!</v>
      </c>
      <c r="CL436" s="826" t="e">
        <f t="shared" si="561"/>
        <v>#VALUE!</v>
      </c>
      <c r="CM436" s="826" t="e">
        <f t="shared" si="561"/>
        <v>#VALUE!</v>
      </c>
      <c r="CN436" s="826">
        <f t="shared" si="561"/>
        <v>0</v>
      </c>
      <c r="CO436" s="826">
        <f t="shared" si="561"/>
        <v>0</v>
      </c>
      <c r="CP436" s="826">
        <f t="shared" si="561"/>
        <v>110548.38235241966</v>
      </c>
      <c r="CQ436" s="826">
        <f t="shared" si="561"/>
        <v>8120.1393384531066</v>
      </c>
      <c r="CR436" s="826">
        <f t="shared" si="561"/>
        <v>1151.47830912723</v>
      </c>
      <c r="CS436" s="820"/>
      <c r="CT436" s="820"/>
      <c r="CU436" s="820"/>
      <c r="CV436" s="820"/>
      <c r="CW436" s="820"/>
      <c r="DF436" s="811"/>
      <c r="DG436" s="811"/>
      <c r="DH436" s="811"/>
      <c r="DI436" s="811"/>
      <c r="DJ436" s="820"/>
      <c r="DK436" s="820"/>
      <c r="DL436" s="820"/>
      <c r="DM436" s="820"/>
      <c r="DN436" s="820"/>
      <c r="DO436" s="820"/>
      <c r="DP436" s="820"/>
      <c r="DQ436" s="820"/>
      <c r="DR436" s="820"/>
      <c r="DS436" s="820"/>
    </row>
    <row r="437" spans="1:123" ht="22.5" customHeight="1" thickBot="1">
      <c r="A437" s="1769" t="s">
        <v>2031</v>
      </c>
      <c r="B437" s="1770"/>
      <c r="C437" s="824"/>
      <c r="D437" s="825"/>
      <c r="E437" s="825"/>
      <c r="F437" s="825"/>
      <c r="G437" s="825"/>
      <c r="H437" s="825"/>
      <c r="I437" s="825"/>
      <c r="J437" s="825"/>
      <c r="K437" s="825"/>
      <c r="L437" s="825"/>
      <c r="M437" s="825"/>
      <c r="N437" s="825"/>
      <c r="O437" s="825"/>
      <c r="P437" s="825"/>
      <c r="Q437" s="825"/>
      <c r="R437" s="825"/>
      <c r="S437" s="826"/>
      <c r="T437" s="826">
        <f>T435-T436</f>
        <v>0</v>
      </c>
      <c r="U437" s="826">
        <f>U435-U436</f>
        <v>36280</v>
      </c>
      <c r="V437" s="826"/>
      <c r="W437" s="826"/>
      <c r="X437" s="826"/>
      <c r="Y437" s="826"/>
      <c r="Z437" s="827"/>
      <c r="AA437" s="826"/>
      <c r="AB437" s="826"/>
      <c r="AC437" s="826"/>
      <c r="AD437" s="826"/>
      <c r="AE437" s="826"/>
      <c r="AF437" s="826"/>
      <c r="AG437" s="828"/>
      <c r="AH437" s="826"/>
      <c r="AI437" s="826"/>
      <c r="AJ437" s="826"/>
      <c r="AK437" s="826"/>
      <c r="AL437" s="826"/>
      <c r="AM437" s="826"/>
      <c r="AN437" s="826"/>
      <c r="AO437" s="826"/>
      <c r="AP437" s="826"/>
      <c r="AQ437" s="826">
        <f t="shared" ref="AQ437:CR437" si="562">AQ435-AQ436</f>
        <v>127680</v>
      </c>
      <c r="AR437" s="826"/>
      <c r="AS437" s="826">
        <f t="shared" si="562"/>
        <v>-3000</v>
      </c>
      <c r="AT437" s="826"/>
      <c r="AU437" s="826"/>
      <c r="AV437" s="826"/>
      <c r="AW437" s="826"/>
      <c r="AX437" s="826"/>
      <c r="AY437" s="826"/>
      <c r="AZ437" s="826"/>
      <c r="BA437" s="826"/>
      <c r="BB437" s="826">
        <f t="shared" si="562"/>
        <v>-70800</v>
      </c>
      <c r="BC437" s="826"/>
      <c r="BD437" s="826"/>
      <c r="BE437" s="826"/>
      <c r="BF437" s="826"/>
      <c r="BG437" s="826"/>
      <c r="BH437" s="828"/>
      <c r="BI437" s="828"/>
      <c r="BJ437" s="828"/>
      <c r="BK437" s="828"/>
      <c r="BL437" s="828">
        <f t="shared" si="562"/>
        <v>-17600</v>
      </c>
      <c r="BM437" s="828"/>
      <c r="BN437" s="826"/>
      <c r="BO437" s="828"/>
      <c r="BP437" s="828"/>
      <c r="BQ437" s="828">
        <f t="shared" ref="BQ437" si="563">BQ435-BQ436</f>
        <v>-17600</v>
      </c>
      <c r="BR437" s="828"/>
      <c r="BS437" s="826"/>
      <c r="BU437" s="811"/>
      <c r="BV437" s="811"/>
      <c r="BW437" s="811"/>
      <c r="BX437" s="752"/>
      <c r="BY437" s="811"/>
      <c r="BZ437" s="811"/>
      <c r="CA437" s="811"/>
      <c r="CB437" s="811"/>
      <c r="CC437" s="811"/>
      <c r="CD437" s="826"/>
      <c r="CE437" s="826"/>
      <c r="CF437" s="826"/>
      <c r="CG437" s="826"/>
      <c r="CH437" s="826"/>
      <c r="CI437" s="826"/>
      <c r="CJ437" s="826"/>
      <c r="CK437" s="826" t="e">
        <f t="shared" si="562"/>
        <v>#VALUE!</v>
      </c>
      <c r="CL437" s="826" t="e">
        <f t="shared" si="562"/>
        <v>#VALUE!</v>
      </c>
      <c r="CM437" s="826" t="e">
        <f t="shared" si="562"/>
        <v>#VALUE!</v>
      </c>
      <c r="CN437" s="826">
        <f t="shared" si="562"/>
        <v>0</v>
      </c>
      <c r="CO437" s="826">
        <f t="shared" si="562"/>
        <v>0</v>
      </c>
      <c r="CP437" s="826">
        <f t="shared" si="562"/>
        <v>33472.669936119055</v>
      </c>
      <c r="CQ437" s="826">
        <f t="shared" si="562"/>
        <v>2458.6768085384638</v>
      </c>
      <c r="CR437" s="826">
        <f t="shared" si="562"/>
        <v>348.65325534247972</v>
      </c>
      <c r="DF437" s="811"/>
      <c r="DG437" s="811"/>
      <c r="DH437" s="811"/>
      <c r="DI437" s="811"/>
    </row>
    <row r="438" spans="1:123" ht="12.75" customHeight="1">
      <c r="A438" s="829"/>
      <c r="B438" s="830"/>
      <c r="C438" s="735"/>
      <c r="D438" s="831"/>
      <c r="E438" s="831"/>
      <c r="F438" s="831"/>
      <c r="G438" s="831"/>
      <c r="H438" s="831"/>
      <c r="I438" s="831"/>
      <c r="J438" s="831"/>
      <c r="K438" s="831"/>
      <c r="L438" s="831"/>
      <c r="M438" s="831"/>
      <c r="N438" s="831"/>
      <c r="O438" s="831"/>
      <c r="P438" s="831"/>
      <c r="Q438" s="831"/>
      <c r="R438" s="831"/>
      <c r="S438" s="832"/>
      <c r="T438" s="832"/>
      <c r="U438" s="832"/>
      <c r="V438" s="832"/>
      <c r="W438" s="832"/>
      <c r="X438" s="832"/>
      <c r="Y438" s="832"/>
      <c r="Z438" s="833"/>
      <c r="AA438" s="832"/>
      <c r="AB438" s="832"/>
      <c r="AC438" s="832"/>
      <c r="AD438" s="832"/>
      <c r="AE438" s="832"/>
      <c r="AF438" s="832"/>
      <c r="AG438" s="834"/>
      <c r="AH438" s="832"/>
      <c r="AI438" s="832"/>
      <c r="AJ438" s="832"/>
      <c r="AK438" s="832"/>
      <c r="AL438" s="832"/>
      <c r="AM438" s="832"/>
      <c r="AN438" s="832"/>
      <c r="AO438" s="832"/>
      <c r="AP438" s="832"/>
      <c r="AQ438" s="832"/>
      <c r="AR438" s="832"/>
      <c r="AS438" s="832"/>
      <c r="AT438" s="832"/>
      <c r="AU438" s="832"/>
      <c r="AV438" s="832"/>
      <c r="AW438" s="832"/>
      <c r="AX438" s="832"/>
      <c r="AY438" s="832"/>
      <c r="AZ438" s="832"/>
      <c r="BA438" s="832"/>
      <c r="BB438" s="832"/>
      <c r="BC438" s="832"/>
      <c r="BD438" s="832"/>
      <c r="BE438" s="832"/>
      <c r="BF438" s="832"/>
      <c r="BG438" s="832"/>
      <c r="BH438" s="834"/>
      <c r="BI438" s="834"/>
      <c r="BJ438" s="834"/>
      <c r="BK438" s="834"/>
      <c r="BL438" s="834"/>
      <c r="BM438" s="834"/>
      <c r="BN438" s="832"/>
      <c r="BO438" s="834"/>
      <c r="BP438" s="834"/>
      <c r="BQ438" s="834"/>
      <c r="BR438" s="834"/>
      <c r="BS438" s="832"/>
      <c r="BU438" s="752"/>
      <c r="BV438" s="752"/>
      <c r="BW438" s="752"/>
      <c r="BX438" s="752"/>
      <c r="BY438" s="752"/>
      <c r="BZ438" s="752"/>
      <c r="CA438" s="752"/>
      <c r="CB438" s="752"/>
      <c r="CC438" s="752"/>
      <c r="CD438" s="832"/>
      <c r="CE438" s="832"/>
      <c r="CF438" s="832"/>
      <c r="CG438" s="832"/>
      <c r="CH438" s="832"/>
      <c r="CI438" s="832"/>
      <c r="CJ438" s="832"/>
      <c r="CK438" s="832"/>
      <c r="CL438" s="832"/>
      <c r="CM438" s="832"/>
      <c r="CN438" s="832"/>
      <c r="CO438" s="832"/>
      <c r="CP438" s="832"/>
      <c r="CQ438" s="832"/>
      <c r="CR438" s="832"/>
      <c r="DF438" s="752"/>
      <c r="DG438" s="752"/>
      <c r="DH438" s="752"/>
      <c r="DI438" s="752"/>
    </row>
    <row r="439" spans="1:123" ht="21.75" customHeight="1">
      <c r="A439" s="835"/>
      <c r="B439" s="836" t="s">
        <v>2032</v>
      </c>
      <c r="BH439" s="738"/>
      <c r="BI439" s="738"/>
      <c r="BJ439" s="738"/>
      <c r="BK439" s="738"/>
      <c r="BO439" s="738"/>
      <c r="BP439" s="738"/>
      <c r="BU439" s="752"/>
      <c r="BV439" s="752"/>
      <c r="BW439" s="752"/>
      <c r="BX439" s="752"/>
      <c r="BY439" s="752"/>
      <c r="BZ439" s="752"/>
      <c r="CA439" s="752"/>
      <c r="CB439" s="752"/>
      <c r="CC439" s="752"/>
      <c r="CT439" s="1771" t="s">
        <v>2033</v>
      </c>
      <c r="CU439" s="1771"/>
      <c r="CV439" s="1771"/>
      <c r="CW439" s="1771"/>
      <c r="DF439" s="752"/>
      <c r="DG439" s="752"/>
      <c r="DH439" s="752"/>
      <c r="DI439" s="752"/>
    </row>
    <row r="440" spans="1:123" ht="8.25" customHeight="1" thickBot="1">
      <c r="A440" s="835"/>
      <c r="B440" s="836"/>
      <c r="BH440" s="738"/>
      <c r="BI440" s="738"/>
      <c r="BJ440" s="738"/>
      <c r="BK440" s="738"/>
      <c r="BO440" s="738"/>
      <c r="BP440" s="738"/>
      <c r="BU440" s="752"/>
      <c r="BV440" s="752"/>
      <c r="BW440" s="752"/>
      <c r="BX440" s="752"/>
      <c r="BY440" s="752"/>
      <c r="BZ440" s="752"/>
      <c r="CA440" s="752"/>
      <c r="CB440" s="752"/>
      <c r="CC440" s="752"/>
      <c r="DF440" s="752"/>
      <c r="DG440" s="752"/>
      <c r="DH440" s="752"/>
      <c r="DI440" s="752"/>
    </row>
    <row r="441" spans="1:123" ht="31.5" customHeight="1">
      <c r="A441" s="1772" t="s">
        <v>110</v>
      </c>
      <c r="B441" s="1775" t="s">
        <v>2028</v>
      </c>
      <c r="C441" s="837"/>
      <c r="D441" s="838"/>
      <c r="E441" s="838"/>
      <c r="F441" s="838"/>
      <c r="G441" s="838"/>
      <c r="H441" s="838"/>
      <c r="I441" s="838"/>
      <c r="J441" s="838"/>
      <c r="K441" s="838"/>
      <c r="L441" s="838"/>
      <c r="M441" s="838"/>
      <c r="N441" s="838"/>
      <c r="O441" s="838"/>
      <c r="P441" s="838"/>
      <c r="Q441" s="838"/>
      <c r="R441" s="838"/>
      <c r="S441" s="1775"/>
      <c r="T441" s="1775"/>
      <c r="U441" s="1775" t="s">
        <v>2034</v>
      </c>
      <c r="V441" s="839"/>
      <c r="W441" s="839"/>
      <c r="X441" s="839"/>
      <c r="Y441" s="839"/>
      <c r="Z441" s="840"/>
      <c r="AA441" s="839"/>
      <c r="AB441" s="839"/>
      <c r="AC441" s="839"/>
      <c r="AD441" s="839"/>
      <c r="AE441" s="839"/>
      <c r="AF441" s="839"/>
      <c r="AG441" s="841"/>
      <c r="AH441" s="839"/>
      <c r="AI441" s="839"/>
      <c r="AJ441" s="839"/>
      <c r="AK441" s="839"/>
      <c r="AL441" s="839"/>
      <c r="AM441" s="839"/>
      <c r="AN441" s="839"/>
      <c r="AO441" s="839"/>
      <c r="AP441" s="839"/>
      <c r="AQ441" s="1775"/>
      <c r="AR441" s="839"/>
      <c r="AS441" s="1775"/>
      <c r="AT441" s="839"/>
      <c r="AU441" s="839"/>
      <c r="AV441" s="839"/>
      <c r="AW441" s="839"/>
      <c r="AX441" s="839"/>
      <c r="AY441" s="839"/>
      <c r="AZ441" s="839"/>
      <c r="BA441" s="839"/>
      <c r="BB441" s="1775"/>
      <c r="BC441" s="842"/>
      <c r="BD441" s="842"/>
      <c r="BE441" s="842"/>
      <c r="BF441" s="842"/>
      <c r="BG441" s="842"/>
      <c r="BH441" s="841"/>
      <c r="BI441" s="841"/>
      <c r="BJ441" s="841"/>
      <c r="BK441" s="841"/>
      <c r="BL441" s="1785"/>
      <c r="BM441" s="841"/>
      <c r="BN441" s="839"/>
      <c r="BO441" s="841"/>
      <c r="BP441" s="841"/>
      <c r="BQ441" s="1785"/>
      <c r="BR441" s="841"/>
      <c r="BS441" s="839"/>
      <c r="BU441" s="752"/>
      <c r="BV441" s="752"/>
      <c r="BW441" s="752"/>
      <c r="BX441" s="752"/>
      <c r="BY441" s="752"/>
      <c r="BZ441" s="752"/>
      <c r="CA441" s="752"/>
      <c r="CB441" s="752"/>
      <c r="CC441" s="752"/>
      <c r="CD441" s="843"/>
      <c r="CE441" s="843"/>
      <c r="CF441" s="843"/>
      <c r="CG441" s="843"/>
      <c r="CH441" s="843"/>
      <c r="CI441" s="843"/>
      <c r="CJ441" s="843"/>
      <c r="CK441" s="844"/>
      <c r="CL441" s="844"/>
      <c r="CM441" s="837"/>
      <c r="CN441" s="837"/>
      <c r="CO441" s="837"/>
      <c r="CP441" s="1775" t="s">
        <v>1746</v>
      </c>
      <c r="CQ441" s="1788"/>
      <c r="CR441" s="1789"/>
      <c r="CT441" s="845" t="s">
        <v>2035</v>
      </c>
      <c r="CU441" s="845" t="s">
        <v>2036</v>
      </c>
      <c r="CV441" s="845" t="s">
        <v>2037</v>
      </c>
      <c r="CW441" s="845">
        <v>2015</v>
      </c>
      <c r="DF441" s="752"/>
      <c r="DG441" s="752"/>
      <c r="DH441" s="752"/>
      <c r="DI441" s="752"/>
    </row>
    <row r="442" spans="1:123" ht="32.25" customHeight="1">
      <c r="A442" s="1773"/>
      <c r="B442" s="1776"/>
      <c r="C442" s="837"/>
      <c r="D442" s="838"/>
      <c r="E442" s="838"/>
      <c r="F442" s="838"/>
      <c r="G442" s="838"/>
      <c r="H442" s="838"/>
      <c r="I442" s="838"/>
      <c r="J442" s="838"/>
      <c r="K442" s="838"/>
      <c r="L442" s="838"/>
      <c r="M442" s="838"/>
      <c r="N442" s="838"/>
      <c r="O442" s="838"/>
      <c r="P442" s="838"/>
      <c r="Q442" s="838"/>
      <c r="R442" s="838"/>
      <c r="S442" s="1776"/>
      <c r="T442" s="1776"/>
      <c r="U442" s="1776"/>
      <c r="V442" s="846"/>
      <c r="W442" s="846"/>
      <c r="X442" s="846"/>
      <c r="Y442" s="846"/>
      <c r="Z442" s="847"/>
      <c r="AA442" s="846"/>
      <c r="AB442" s="846"/>
      <c r="AC442" s="846"/>
      <c r="AD442" s="846"/>
      <c r="AE442" s="846"/>
      <c r="AF442" s="846"/>
      <c r="AG442" s="848"/>
      <c r="AH442" s="846"/>
      <c r="AI442" s="846"/>
      <c r="AJ442" s="846"/>
      <c r="AK442" s="846"/>
      <c r="AL442" s="846"/>
      <c r="AM442" s="846"/>
      <c r="AN442" s="846"/>
      <c r="AO442" s="846"/>
      <c r="AP442" s="846"/>
      <c r="AQ442" s="1776"/>
      <c r="AR442" s="846"/>
      <c r="AS442" s="1776"/>
      <c r="AT442" s="846"/>
      <c r="AU442" s="846"/>
      <c r="AV442" s="846"/>
      <c r="AW442" s="846"/>
      <c r="AX442" s="846"/>
      <c r="AY442" s="846"/>
      <c r="AZ442" s="846"/>
      <c r="BA442" s="846"/>
      <c r="BB442" s="1776"/>
      <c r="BC442" s="849"/>
      <c r="BD442" s="849"/>
      <c r="BE442" s="849"/>
      <c r="BF442" s="849"/>
      <c r="BG442" s="849"/>
      <c r="BH442" s="848"/>
      <c r="BI442" s="848"/>
      <c r="BJ442" s="848"/>
      <c r="BK442" s="848"/>
      <c r="BL442" s="1786"/>
      <c r="BM442" s="848"/>
      <c r="BN442" s="846"/>
      <c r="BO442" s="848"/>
      <c r="BP442" s="848"/>
      <c r="BQ442" s="1786"/>
      <c r="BR442" s="848"/>
      <c r="BS442" s="846"/>
      <c r="BU442" s="752"/>
      <c r="BV442" s="752"/>
      <c r="BW442" s="752"/>
      <c r="BX442" s="752"/>
      <c r="BY442" s="752"/>
      <c r="BZ442" s="752"/>
      <c r="CA442" s="752"/>
      <c r="CB442" s="752"/>
      <c r="CC442" s="752"/>
      <c r="CD442" s="843"/>
      <c r="CE442" s="843"/>
      <c r="CF442" s="843"/>
      <c r="CG442" s="843"/>
      <c r="CH442" s="843"/>
      <c r="CI442" s="843"/>
      <c r="CJ442" s="843"/>
      <c r="CK442" s="844"/>
      <c r="CL442" s="844"/>
      <c r="CM442" s="837"/>
      <c r="CN442" s="837"/>
      <c r="CO442" s="837"/>
      <c r="CP442" s="1776"/>
      <c r="CQ442" s="1790"/>
      <c r="CR442" s="1791"/>
      <c r="CT442" s="850" t="s">
        <v>1</v>
      </c>
      <c r="CU442" s="851" t="s">
        <v>2038</v>
      </c>
      <c r="CV442" s="850" t="s">
        <v>2039</v>
      </c>
      <c r="CW442" s="852">
        <v>6800371</v>
      </c>
      <c r="DF442" s="752"/>
      <c r="DG442" s="752"/>
      <c r="DH442" s="752"/>
      <c r="DI442" s="752"/>
    </row>
    <row r="443" spans="1:123" ht="169.8" thickBot="1">
      <c r="A443" s="1773"/>
      <c r="B443" s="1776"/>
      <c r="C443" s="837"/>
      <c r="D443" s="838"/>
      <c r="E443" s="838"/>
      <c r="F443" s="838"/>
      <c r="G443" s="838"/>
      <c r="H443" s="838"/>
      <c r="I443" s="838"/>
      <c r="J443" s="838"/>
      <c r="K443" s="838"/>
      <c r="L443" s="838"/>
      <c r="M443" s="838"/>
      <c r="N443" s="838"/>
      <c r="O443" s="838"/>
      <c r="P443" s="838"/>
      <c r="Q443" s="838"/>
      <c r="R443" s="838"/>
      <c r="S443" s="1776"/>
      <c r="T443" s="1776"/>
      <c r="U443" s="1776"/>
      <c r="V443" s="846"/>
      <c r="W443" s="846"/>
      <c r="X443" s="846"/>
      <c r="Y443" s="846"/>
      <c r="Z443" s="847"/>
      <c r="AA443" s="846"/>
      <c r="AB443" s="846"/>
      <c r="AC443" s="846"/>
      <c r="AD443" s="846"/>
      <c r="AE443" s="846"/>
      <c r="AF443" s="846"/>
      <c r="AG443" s="848"/>
      <c r="AH443" s="846"/>
      <c r="AI443" s="846"/>
      <c r="AJ443" s="846"/>
      <c r="AK443" s="846"/>
      <c r="AL443" s="846"/>
      <c r="AM443" s="846"/>
      <c r="AN443" s="846"/>
      <c r="AO443" s="846"/>
      <c r="AP443" s="846"/>
      <c r="AQ443" s="1776"/>
      <c r="AR443" s="846"/>
      <c r="AS443" s="1776"/>
      <c r="AT443" s="846"/>
      <c r="AU443" s="846"/>
      <c r="AV443" s="846"/>
      <c r="AW443" s="846"/>
      <c r="AX443" s="846"/>
      <c r="AY443" s="846"/>
      <c r="AZ443" s="846"/>
      <c r="BA443" s="846"/>
      <c r="BB443" s="1776"/>
      <c r="BC443" s="849"/>
      <c r="BD443" s="849"/>
      <c r="BE443" s="849"/>
      <c r="BF443" s="849"/>
      <c r="BG443" s="849"/>
      <c r="BH443" s="848"/>
      <c r="BI443" s="848"/>
      <c r="BJ443" s="848"/>
      <c r="BK443" s="848"/>
      <c r="BL443" s="1786"/>
      <c r="BM443" s="848"/>
      <c r="BN443" s="846"/>
      <c r="BO443" s="848"/>
      <c r="BP443" s="848"/>
      <c r="BQ443" s="1786"/>
      <c r="BR443" s="848"/>
      <c r="BS443" s="846"/>
      <c r="BU443" s="752"/>
      <c r="BV443" s="752"/>
      <c r="BW443" s="752"/>
      <c r="BX443" s="752"/>
      <c r="BY443" s="752"/>
      <c r="BZ443" s="752"/>
      <c r="CA443" s="752"/>
      <c r="CB443" s="752"/>
      <c r="CC443" s="752"/>
      <c r="CD443" s="843"/>
      <c r="CE443" s="843"/>
      <c r="CF443" s="843"/>
      <c r="CG443" s="843"/>
      <c r="CH443" s="843"/>
      <c r="CI443" s="843"/>
      <c r="CJ443" s="843"/>
      <c r="CK443" s="844"/>
      <c r="CL443" s="844"/>
      <c r="CM443" s="837"/>
      <c r="CN443" s="837"/>
      <c r="CO443" s="837"/>
      <c r="CP443" s="1777"/>
      <c r="CQ443" s="1792"/>
      <c r="CR443" s="1793"/>
      <c r="CT443" s="850" t="s">
        <v>6</v>
      </c>
      <c r="CU443" s="851" t="s">
        <v>2040</v>
      </c>
      <c r="CV443" s="850" t="s">
        <v>202</v>
      </c>
      <c r="CW443" s="853">
        <v>17.91</v>
      </c>
      <c r="DF443" s="752"/>
      <c r="DG443" s="752"/>
      <c r="DH443" s="752"/>
      <c r="DI443" s="752"/>
    </row>
    <row r="444" spans="1:123" ht="84.6">
      <c r="A444" s="1773"/>
      <c r="B444" s="1776"/>
      <c r="C444" s="837"/>
      <c r="D444" s="838"/>
      <c r="E444" s="838"/>
      <c r="F444" s="838"/>
      <c r="G444" s="838"/>
      <c r="H444" s="838"/>
      <c r="I444" s="838"/>
      <c r="J444" s="838"/>
      <c r="K444" s="838"/>
      <c r="L444" s="838"/>
      <c r="M444" s="838"/>
      <c r="N444" s="838"/>
      <c r="O444" s="838"/>
      <c r="P444" s="838"/>
      <c r="Q444" s="838"/>
      <c r="R444" s="838"/>
      <c r="S444" s="1776"/>
      <c r="T444" s="1776"/>
      <c r="U444" s="1776"/>
      <c r="V444" s="846"/>
      <c r="W444" s="846"/>
      <c r="X444" s="846"/>
      <c r="Y444" s="846"/>
      <c r="Z444" s="847"/>
      <c r="AA444" s="846"/>
      <c r="AB444" s="846"/>
      <c r="AC444" s="846"/>
      <c r="AD444" s="846"/>
      <c r="AE444" s="846"/>
      <c r="AF444" s="846"/>
      <c r="AG444" s="848"/>
      <c r="AH444" s="846"/>
      <c r="AI444" s="846"/>
      <c r="AJ444" s="846"/>
      <c r="AK444" s="846"/>
      <c r="AL444" s="846"/>
      <c r="AM444" s="846"/>
      <c r="AN444" s="846"/>
      <c r="AO444" s="846"/>
      <c r="AP444" s="846"/>
      <c r="AQ444" s="1776"/>
      <c r="AR444" s="846"/>
      <c r="AS444" s="1776"/>
      <c r="AT444" s="846"/>
      <c r="AU444" s="846"/>
      <c r="AV444" s="846"/>
      <c r="AW444" s="846"/>
      <c r="AX444" s="846"/>
      <c r="AY444" s="846"/>
      <c r="AZ444" s="846"/>
      <c r="BA444" s="846"/>
      <c r="BB444" s="1776"/>
      <c r="BC444" s="849"/>
      <c r="BD444" s="849"/>
      <c r="BE444" s="849"/>
      <c r="BF444" s="849"/>
      <c r="BG444" s="849"/>
      <c r="BH444" s="848"/>
      <c r="BI444" s="848"/>
      <c r="BJ444" s="848"/>
      <c r="BK444" s="848"/>
      <c r="BL444" s="1786"/>
      <c r="BM444" s="848"/>
      <c r="BN444" s="846"/>
      <c r="BO444" s="848"/>
      <c r="BP444" s="848"/>
      <c r="BQ444" s="1786"/>
      <c r="BR444" s="848"/>
      <c r="BS444" s="846"/>
      <c r="BU444" s="752"/>
      <c r="BV444" s="752"/>
      <c r="BW444" s="752"/>
      <c r="BX444" s="752"/>
      <c r="BY444" s="752"/>
      <c r="BZ444" s="752"/>
      <c r="CA444" s="752"/>
      <c r="CB444" s="752"/>
      <c r="CC444" s="752"/>
      <c r="CD444" s="843"/>
      <c r="CE444" s="843"/>
      <c r="CF444" s="843"/>
      <c r="CG444" s="843"/>
      <c r="CH444" s="843"/>
      <c r="CI444" s="843"/>
      <c r="CJ444" s="843"/>
      <c r="CK444" s="844"/>
      <c r="CL444" s="844"/>
      <c r="CM444" s="837"/>
      <c r="CN444" s="837"/>
      <c r="CO444" s="837"/>
      <c r="CP444" s="1794" t="s">
        <v>1764</v>
      </c>
      <c r="CQ444" s="1794" t="s">
        <v>1765</v>
      </c>
      <c r="CR444" s="1794" t="s">
        <v>1766</v>
      </c>
      <c r="CT444" s="850" t="s">
        <v>16</v>
      </c>
      <c r="CU444" s="851" t="s">
        <v>2041</v>
      </c>
      <c r="CV444" s="850" t="s">
        <v>2039</v>
      </c>
      <c r="CW444" s="852">
        <v>1218281</v>
      </c>
      <c r="DF444" s="752"/>
      <c r="DG444" s="752"/>
      <c r="DH444" s="752"/>
      <c r="DI444" s="752"/>
    </row>
    <row r="445" spans="1:123" ht="85.2" thickBot="1">
      <c r="A445" s="1774"/>
      <c r="B445" s="1777"/>
      <c r="C445" s="837"/>
      <c r="D445" s="838"/>
      <c r="E445" s="838"/>
      <c r="F445" s="838"/>
      <c r="G445" s="838"/>
      <c r="H445" s="838"/>
      <c r="I445" s="838"/>
      <c r="J445" s="838"/>
      <c r="K445" s="838"/>
      <c r="L445" s="838"/>
      <c r="M445" s="838"/>
      <c r="N445" s="838"/>
      <c r="O445" s="838"/>
      <c r="P445" s="838"/>
      <c r="Q445" s="838"/>
      <c r="R445" s="838"/>
      <c r="S445" s="1777"/>
      <c r="T445" s="1777"/>
      <c r="U445" s="1777"/>
      <c r="V445" s="854"/>
      <c r="W445" s="854"/>
      <c r="X445" s="854"/>
      <c r="Y445" s="854"/>
      <c r="Z445" s="855"/>
      <c r="AA445" s="854"/>
      <c r="AB445" s="854"/>
      <c r="AC445" s="854"/>
      <c r="AD445" s="854"/>
      <c r="AE445" s="854"/>
      <c r="AF445" s="854"/>
      <c r="AG445" s="856"/>
      <c r="AH445" s="854"/>
      <c r="AI445" s="854"/>
      <c r="AJ445" s="854"/>
      <c r="AK445" s="854"/>
      <c r="AL445" s="854"/>
      <c r="AM445" s="854"/>
      <c r="AN445" s="854"/>
      <c r="AO445" s="854"/>
      <c r="AP445" s="854"/>
      <c r="AQ445" s="1777"/>
      <c r="AR445" s="854"/>
      <c r="AS445" s="1777"/>
      <c r="AT445" s="854"/>
      <c r="AU445" s="854"/>
      <c r="AV445" s="854"/>
      <c r="AW445" s="854"/>
      <c r="AX445" s="854"/>
      <c r="AY445" s="854"/>
      <c r="AZ445" s="854"/>
      <c r="BA445" s="854"/>
      <c r="BB445" s="1777"/>
      <c r="BC445" s="857"/>
      <c r="BD445" s="857"/>
      <c r="BE445" s="857"/>
      <c r="BF445" s="857"/>
      <c r="BG445" s="857"/>
      <c r="BH445" s="856"/>
      <c r="BI445" s="856"/>
      <c r="BJ445" s="856"/>
      <c r="BK445" s="856"/>
      <c r="BL445" s="1787"/>
      <c r="BM445" s="856"/>
      <c r="BN445" s="854"/>
      <c r="BO445" s="856"/>
      <c r="BP445" s="856"/>
      <c r="BQ445" s="1787"/>
      <c r="BR445" s="856"/>
      <c r="BS445" s="854"/>
      <c r="BU445" s="752"/>
      <c r="BV445" s="752"/>
      <c r="BW445" s="752"/>
      <c r="BX445" s="752"/>
      <c r="BY445" s="752"/>
      <c r="BZ445" s="752"/>
      <c r="CA445" s="752"/>
      <c r="CB445" s="752"/>
      <c r="CC445" s="752"/>
      <c r="CD445" s="843"/>
      <c r="CE445" s="843"/>
      <c r="CF445" s="843"/>
      <c r="CG445" s="843"/>
      <c r="CH445" s="843"/>
      <c r="CI445" s="843"/>
      <c r="CJ445" s="843"/>
      <c r="CK445" s="844"/>
      <c r="CL445" s="844"/>
      <c r="CM445" s="837"/>
      <c r="CN445" s="837"/>
      <c r="CO445" s="837"/>
      <c r="CP445" s="1795"/>
      <c r="CQ445" s="1795"/>
      <c r="CR445" s="1795"/>
      <c r="CT445" s="850" t="s">
        <v>33</v>
      </c>
      <c r="CU445" s="851" t="s">
        <v>2042</v>
      </c>
      <c r="CV445" s="850" t="s">
        <v>2039</v>
      </c>
      <c r="CW445" s="852">
        <v>5575653</v>
      </c>
      <c r="DF445" s="752"/>
      <c r="DG445" s="752"/>
      <c r="DH445" s="752"/>
      <c r="DI445" s="752"/>
    </row>
    <row r="446" spans="1:123" ht="113.4" thickBot="1">
      <c r="A446" s="858" t="s">
        <v>242</v>
      </c>
      <c r="B446" s="859" t="s">
        <v>1770</v>
      </c>
      <c r="C446" s="837"/>
      <c r="D446" s="838"/>
      <c r="E446" s="838"/>
      <c r="F446" s="838"/>
      <c r="G446" s="838"/>
      <c r="H446" s="838"/>
      <c r="I446" s="838"/>
      <c r="J446" s="838"/>
      <c r="K446" s="838"/>
      <c r="L446" s="838"/>
      <c r="M446" s="838"/>
      <c r="N446" s="838"/>
      <c r="O446" s="838"/>
      <c r="P446" s="838"/>
      <c r="Q446" s="838"/>
      <c r="R446" s="838"/>
      <c r="S446" s="859"/>
      <c r="T446" s="859"/>
      <c r="U446" s="859"/>
      <c r="V446" s="859"/>
      <c r="W446" s="859"/>
      <c r="X446" s="859"/>
      <c r="Y446" s="859"/>
      <c r="Z446" s="860"/>
      <c r="AA446" s="859"/>
      <c r="AB446" s="859"/>
      <c r="AC446" s="859"/>
      <c r="AD446" s="859"/>
      <c r="AE446" s="859"/>
      <c r="AF446" s="859"/>
      <c r="AG446" s="861"/>
      <c r="AH446" s="859"/>
      <c r="AI446" s="859"/>
      <c r="AJ446" s="859"/>
      <c r="AK446" s="859"/>
      <c r="AL446" s="859"/>
      <c r="AM446" s="859"/>
      <c r="AN446" s="859"/>
      <c r="AO446" s="859"/>
      <c r="AP446" s="859"/>
      <c r="AQ446" s="859"/>
      <c r="AR446" s="859"/>
      <c r="AS446" s="859"/>
      <c r="AT446" s="859"/>
      <c r="AU446" s="859"/>
      <c r="AV446" s="859"/>
      <c r="AW446" s="859"/>
      <c r="AX446" s="859"/>
      <c r="AY446" s="859"/>
      <c r="AZ446" s="859"/>
      <c r="BA446" s="859"/>
      <c r="BB446" s="859"/>
      <c r="BC446" s="862"/>
      <c r="BD446" s="862"/>
      <c r="BE446" s="862"/>
      <c r="BF446" s="862"/>
      <c r="BG446" s="862"/>
      <c r="BH446" s="861"/>
      <c r="BI446" s="861"/>
      <c r="BJ446" s="861"/>
      <c r="BK446" s="861"/>
      <c r="BL446" s="861"/>
      <c r="BM446" s="861"/>
      <c r="BN446" s="859"/>
      <c r="BO446" s="861"/>
      <c r="BP446" s="861"/>
      <c r="BQ446" s="861"/>
      <c r="BR446" s="861"/>
      <c r="BS446" s="859"/>
      <c r="BU446" s="752"/>
      <c r="BV446" s="752"/>
      <c r="BW446" s="752"/>
      <c r="BX446" s="752"/>
      <c r="BY446" s="752"/>
      <c r="BZ446" s="752"/>
      <c r="CA446" s="752"/>
      <c r="CB446" s="752"/>
      <c r="CC446" s="752"/>
      <c r="CD446" s="863"/>
      <c r="CE446" s="863"/>
      <c r="CF446" s="863"/>
      <c r="CG446" s="863"/>
      <c r="CH446" s="863"/>
      <c r="CI446" s="863"/>
      <c r="CJ446" s="863"/>
      <c r="CK446" s="844"/>
      <c r="CL446" s="844"/>
      <c r="CM446" s="837"/>
      <c r="CN446" s="837"/>
      <c r="CO446" s="837"/>
      <c r="CP446" s="859"/>
      <c r="CQ446" s="859"/>
      <c r="CR446" s="859"/>
      <c r="CT446" s="850" t="s">
        <v>52</v>
      </c>
      <c r="CU446" s="851" t="s">
        <v>2043</v>
      </c>
      <c r="CV446" s="850" t="s">
        <v>24</v>
      </c>
      <c r="CW446" s="853">
        <v>1210.8399999999999</v>
      </c>
      <c r="DF446" s="752"/>
      <c r="DG446" s="752"/>
      <c r="DH446" s="752"/>
      <c r="DI446" s="752"/>
    </row>
    <row r="447" spans="1:123" ht="28.8" thickBot="1">
      <c r="A447" s="864" t="s">
        <v>1</v>
      </c>
      <c r="B447" s="865" t="s">
        <v>2044</v>
      </c>
      <c r="C447" s="866"/>
      <c r="D447" s="867"/>
      <c r="E447" s="867"/>
      <c r="F447" s="867"/>
      <c r="G447" s="867"/>
      <c r="H447" s="867"/>
      <c r="I447" s="867"/>
      <c r="J447" s="867"/>
      <c r="K447" s="867"/>
      <c r="L447" s="867"/>
      <c r="M447" s="867"/>
      <c r="N447" s="867"/>
      <c r="O447" s="867"/>
      <c r="P447" s="867"/>
      <c r="Q447" s="867"/>
      <c r="R447" s="867"/>
      <c r="S447" s="868">
        <f>SUM(S448,S452)</f>
        <v>0</v>
      </c>
      <c r="T447" s="868">
        <f>SUM(T448,T452)</f>
        <v>7483414.4476683699</v>
      </c>
      <c r="U447" s="868">
        <f>SUM(U448,U452)</f>
        <v>7861555.2234983696</v>
      </c>
      <c r="V447" s="868"/>
      <c r="W447" s="868"/>
      <c r="X447" s="868"/>
      <c r="Y447" s="868"/>
      <c r="Z447" s="869"/>
      <c r="AA447" s="868"/>
      <c r="AB447" s="868"/>
      <c r="AC447" s="868"/>
      <c r="AD447" s="868"/>
      <c r="AE447" s="868"/>
      <c r="AF447" s="868"/>
      <c r="AG447" s="801"/>
      <c r="AH447" s="868"/>
      <c r="AI447" s="868"/>
      <c r="AJ447" s="868"/>
      <c r="AK447" s="868"/>
      <c r="AL447" s="868"/>
      <c r="AM447" s="868"/>
      <c r="AN447" s="868"/>
      <c r="AO447" s="868"/>
      <c r="AP447" s="868"/>
      <c r="AQ447" s="868">
        <f>SUM(AQ448,AQ452)</f>
        <v>1951623.6224698198</v>
      </c>
      <c r="AR447" s="868"/>
      <c r="AS447" s="868">
        <f>SUM(AS448,AS452)</f>
        <v>1884489.8748842999</v>
      </c>
      <c r="AT447" s="868"/>
      <c r="AU447" s="868"/>
      <c r="AV447" s="868"/>
      <c r="AW447" s="868"/>
      <c r="AX447" s="868"/>
      <c r="AY447" s="868"/>
      <c r="AZ447" s="868"/>
      <c r="BA447" s="868"/>
      <c r="BB447" s="868">
        <f>SUM(BB448,BB452)</f>
        <v>1968613.70631949</v>
      </c>
      <c r="BC447" s="800"/>
      <c r="BD447" s="800"/>
      <c r="BE447" s="800"/>
      <c r="BF447" s="800"/>
      <c r="BG447" s="800"/>
      <c r="BH447" s="801"/>
      <c r="BI447" s="801"/>
      <c r="BJ447" s="801"/>
      <c r="BK447" s="801"/>
      <c r="BL447" s="801">
        <f>SUM(BL448,BL452)</f>
        <v>2056828.01982476</v>
      </c>
      <c r="BM447" s="801"/>
      <c r="BN447" s="868"/>
      <c r="BO447" s="801"/>
      <c r="BP447" s="801"/>
      <c r="BQ447" s="801">
        <f>SUM(BQ448,BQ452)</f>
        <v>2056828.01982476</v>
      </c>
      <c r="BR447" s="801"/>
      <c r="BS447" s="868"/>
      <c r="BU447" s="752"/>
      <c r="BV447" s="752"/>
      <c r="BW447" s="752"/>
      <c r="BX447" s="752"/>
      <c r="BY447" s="752"/>
      <c r="BZ447" s="752"/>
      <c r="CA447" s="752"/>
      <c r="CB447" s="752"/>
      <c r="CC447" s="752"/>
      <c r="CD447" s="870"/>
      <c r="CE447" s="870"/>
      <c r="CF447" s="870"/>
      <c r="CG447" s="870"/>
      <c r="CH447" s="870"/>
      <c r="CI447" s="870"/>
      <c r="CJ447" s="870"/>
      <c r="CP447" s="868">
        <f>SUM(CP448,CP452)</f>
        <v>7483414.4476683699</v>
      </c>
      <c r="CQ447" s="868">
        <f>SUM(CQ448,CQ452)</f>
        <v>331178</v>
      </c>
      <c r="CR447" s="868">
        <f>SUM(CR448,CR452)</f>
        <v>46962.775830000006</v>
      </c>
      <c r="CT447" s="871"/>
      <c r="CU447" s="872"/>
      <c r="CV447" s="871"/>
      <c r="CW447" s="871"/>
      <c r="DF447" s="752"/>
      <c r="DG447" s="752"/>
      <c r="DH447" s="752"/>
      <c r="DI447" s="752"/>
    </row>
    <row r="448" spans="1:123" ht="28.8" thickBot="1">
      <c r="A448" s="873" t="s">
        <v>294</v>
      </c>
      <c r="B448" s="874" t="s">
        <v>2045</v>
      </c>
      <c r="C448" s="866"/>
      <c r="D448" s="867"/>
      <c r="E448" s="867"/>
      <c r="F448" s="867"/>
      <c r="G448" s="867"/>
      <c r="H448" s="867"/>
      <c r="I448" s="867"/>
      <c r="J448" s="867"/>
      <c r="K448" s="867"/>
      <c r="L448" s="867"/>
      <c r="M448" s="867"/>
      <c r="N448" s="867"/>
      <c r="O448" s="867"/>
      <c r="P448" s="867"/>
      <c r="Q448" s="867"/>
      <c r="R448" s="867"/>
      <c r="S448" s="875">
        <f>SUM(S449:S451)</f>
        <v>0</v>
      </c>
      <c r="T448" s="875">
        <f>SUM(T449:T451)</f>
        <v>7483414.4476683699</v>
      </c>
      <c r="U448" s="875">
        <f>SUM(U449:U451)</f>
        <v>7861555.2234983696</v>
      </c>
      <c r="V448" s="875"/>
      <c r="W448" s="875"/>
      <c r="X448" s="875"/>
      <c r="Y448" s="875"/>
      <c r="Z448" s="876"/>
      <c r="AA448" s="875"/>
      <c r="AB448" s="875"/>
      <c r="AC448" s="875"/>
      <c r="AD448" s="875"/>
      <c r="AE448" s="875"/>
      <c r="AF448" s="875"/>
      <c r="AG448" s="877"/>
      <c r="AH448" s="875"/>
      <c r="AI448" s="875"/>
      <c r="AJ448" s="875"/>
      <c r="AK448" s="875"/>
      <c r="AL448" s="875"/>
      <c r="AM448" s="875"/>
      <c r="AN448" s="875"/>
      <c r="AO448" s="875"/>
      <c r="AP448" s="875"/>
      <c r="AQ448" s="875">
        <f>SUM(AQ449:AQ451)</f>
        <v>1951623.6224698198</v>
      </c>
      <c r="AR448" s="875"/>
      <c r="AS448" s="875">
        <f>SUM(AS449:AS451)</f>
        <v>1884489.8748842999</v>
      </c>
      <c r="AT448" s="875"/>
      <c r="AU448" s="875"/>
      <c r="AV448" s="875"/>
      <c r="AW448" s="875"/>
      <c r="AX448" s="875"/>
      <c r="AY448" s="875"/>
      <c r="AZ448" s="875"/>
      <c r="BA448" s="875"/>
      <c r="BB448" s="875">
        <f>SUM(BB449:BB451)</f>
        <v>1968613.70631949</v>
      </c>
      <c r="BC448" s="878"/>
      <c r="BD448" s="878"/>
      <c r="BE448" s="878"/>
      <c r="BF448" s="878"/>
      <c r="BG448" s="878"/>
      <c r="BH448" s="877"/>
      <c r="BI448" s="877"/>
      <c r="BJ448" s="877"/>
      <c r="BK448" s="877"/>
      <c r="BL448" s="877">
        <f>SUM(BL449:BL451)</f>
        <v>2056828.01982476</v>
      </c>
      <c r="BM448" s="877"/>
      <c r="BN448" s="875"/>
      <c r="BO448" s="877"/>
      <c r="BP448" s="877"/>
      <c r="BQ448" s="877">
        <f>SUM(BQ449:BQ451)</f>
        <v>2056828.01982476</v>
      </c>
      <c r="BR448" s="877"/>
      <c r="BS448" s="875"/>
      <c r="BU448" s="752"/>
      <c r="BV448" s="752"/>
      <c r="BW448" s="752"/>
      <c r="BX448" s="752"/>
      <c r="BY448" s="752"/>
      <c r="BZ448" s="752"/>
      <c r="CA448" s="752"/>
      <c r="CB448" s="752"/>
      <c r="CC448" s="752"/>
      <c r="CD448" s="879"/>
      <c r="CE448" s="879"/>
      <c r="CF448" s="879"/>
      <c r="CG448" s="879"/>
      <c r="CH448" s="879"/>
      <c r="CI448" s="879"/>
      <c r="CJ448" s="879"/>
      <c r="CP448" s="875">
        <f>SUM(CP449:CP451)</f>
        <v>7483414.4476683699</v>
      </c>
      <c r="CQ448" s="875">
        <f>SUM(CQ449:CQ451)</f>
        <v>331178</v>
      </c>
      <c r="CR448" s="875">
        <f>SUM(CR449:CR451)</f>
        <v>46962.775830000006</v>
      </c>
      <c r="CT448" s="1771" t="s">
        <v>2046</v>
      </c>
      <c r="CU448" s="1771"/>
      <c r="CV448" s="1771"/>
      <c r="CW448" s="1771"/>
      <c r="DF448" s="752"/>
      <c r="DG448" s="752"/>
      <c r="DH448" s="752"/>
      <c r="DI448" s="752"/>
    </row>
    <row r="449" spans="1:113">
      <c r="A449" s="880" t="s">
        <v>294</v>
      </c>
      <c r="B449" s="881" t="s">
        <v>2047</v>
      </c>
      <c r="S449" s="817">
        <f>'8.Бюджет на 2015'!N445/1000</f>
        <v>0</v>
      </c>
      <c r="T449" s="817">
        <f t="shared" ref="T449:U451" si="564">T7/1000</f>
        <v>7483414.4476683699</v>
      </c>
      <c r="U449" s="817">
        <f t="shared" si="564"/>
        <v>7483414.4476683699</v>
      </c>
      <c r="V449" s="817"/>
      <c r="W449" s="817"/>
      <c r="X449" s="817"/>
      <c r="Y449" s="817"/>
      <c r="Z449" s="818"/>
      <c r="AA449" s="817"/>
      <c r="AB449" s="817"/>
      <c r="AC449" s="817"/>
      <c r="AD449" s="817"/>
      <c r="AE449" s="817"/>
      <c r="AF449" s="817"/>
      <c r="AG449" s="819"/>
      <c r="AH449" s="817"/>
      <c r="AI449" s="817"/>
      <c r="AJ449" s="817"/>
      <c r="AK449" s="817"/>
      <c r="AL449" s="817"/>
      <c r="AM449" s="817"/>
      <c r="AN449" s="817"/>
      <c r="AO449" s="817"/>
      <c r="AP449" s="817"/>
      <c r="AQ449" s="817">
        <f>AQ7/1000</f>
        <v>1882703.7531998199</v>
      </c>
      <c r="AR449" s="817"/>
      <c r="AS449" s="817">
        <f>AS7/1000</f>
        <v>1799599.1087342999</v>
      </c>
      <c r="AT449" s="817"/>
      <c r="AU449" s="817"/>
      <c r="AV449" s="817"/>
      <c r="AW449" s="817"/>
      <c r="AX449" s="817"/>
      <c r="AY449" s="817"/>
      <c r="AZ449" s="817"/>
      <c r="BA449" s="817"/>
      <c r="BB449" s="817">
        <f>BB7/1000</f>
        <v>1882264.3815694901</v>
      </c>
      <c r="BC449" s="817"/>
      <c r="BD449" s="817"/>
      <c r="BE449" s="817"/>
      <c r="BF449" s="817"/>
      <c r="BG449" s="817"/>
      <c r="BH449" s="819"/>
      <c r="BI449" s="819"/>
      <c r="BJ449" s="819"/>
      <c r="BK449" s="819"/>
      <c r="BL449" s="819">
        <f>BL7/1000</f>
        <v>1918847.20416476</v>
      </c>
      <c r="BM449" s="819"/>
      <c r="BN449" s="817"/>
      <c r="BO449" s="819"/>
      <c r="BP449" s="819"/>
      <c r="BQ449" s="819">
        <f>BQ7/1000</f>
        <v>1918847.20416476</v>
      </c>
      <c r="BR449" s="819"/>
      <c r="BS449" s="817"/>
      <c r="BU449" s="752"/>
      <c r="BV449" s="752"/>
      <c r="BW449" s="752"/>
      <c r="BX449" s="752"/>
      <c r="BY449" s="752"/>
      <c r="BZ449" s="752"/>
      <c r="CA449" s="752"/>
      <c r="CB449" s="752"/>
      <c r="CC449" s="752"/>
      <c r="CD449" s="817"/>
      <c r="CE449" s="817"/>
      <c r="CF449" s="817"/>
      <c r="CG449" s="817"/>
      <c r="CH449" s="817"/>
      <c r="CI449" s="817"/>
      <c r="CJ449" s="817"/>
      <c r="CK449" s="817" t="e">
        <f t="shared" ref="CK449:CR451" si="565">CK7/1000</f>
        <v>#VALUE!</v>
      </c>
      <c r="CL449" s="817" t="e">
        <f t="shared" si="565"/>
        <v>#VALUE!</v>
      </c>
      <c r="CM449" s="817">
        <f t="shared" si="565"/>
        <v>0</v>
      </c>
      <c r="CN449" s="817">
        <f t="shared" si="565"/>
        <v>0</v>
      </c>
      <c r="CO449" s="817">
        <f t="shared" si="565"/>
        <v>0</v>
      </c>
      <c r="CP449" s="817">
        <f t="shared" si="565"/>
        <v>7483414.4476683699</v>
      </c>
      <c r="CQ449" s="817">
        <f t="shared" si="565"/>
        <v>0</v>
      </c>
      <c r="CR449" s="817">
        <f t="shared" si="565"/>
        <v>0</v>
      </c>
      <c r="CT449" s="871"/>
      <c r="CU449" s="871"/>
      <c r="CV449" s="871"/>
      <c r="CW449" s="871"/>
      <c r="DF449" s="752"/>
      <c r="DG449" s="752"/>
      <c r="DH449" s="752"/>
      <c r="DI449" s="752"/>
    </row>
    <row r="450" spans="1:113">
      <c r="A450" s="882" t="s">
        <v>75</v>
      </c>
      <c r="B450" s="883" t="s">
        <v>2048</v>
      </c>
      <c r="S450" s="884">
        <f>'8.Бюджет на 2015'!N446/1000</f>
        <v>0</v>
      </c>
      <c r="T450" s="884">
        <f t="shared" si="564"/>
        <v>0</v>
      </c>
      <c r="U450" s="884">
        <f t="shared" si="564"/>
        <v>331178</v>
      </c>
      <c r="V450" s="884"/>
      <c r="W450" s="884"/>
      <c r="X450" s="884"/>
      <c r="Y450" s="884"/>
      <c r="Z450" s="885"/>
      <c r="AA450" s="884"/>
      <c r="AB450" s="884"/>
      <c r="AC450" s="884"/>
      <c r="AD450" s="884"/>
      <c r="AE450" s="884"/>
      <c r="AF450" s="884"/>
      <c r="AG450" s="886"/>
      <c r="AH450" s="884"/>
      <c r="AI450" s="884"/>
      <c r="AJ450" s="884"/>
      <c r="AK450" s="884"/>
      <c r="AL450" s="884"/>
      <c r="AM450" s="884"/>
      <c r="AN450" s="884"/>
      <c r="AO450" s="884"/>
      <c r="AP450" s="884"/>
      <c r="AQ450" s="884">
        <f>AQ8/1000</f>
        <v>59893</v>
      </c>
      <c r="AR450" s="884"/>
      <c r="AS450" s="884">
        <f>AS8/1000</f>
        <v>72683</v>
      </c>
      <c r="AT450" s="884"/>
      <c r="AU450" s="884"/>
      <c r="AV450" s="884"/>
      <c r="AW450" s="884"/>
      <c r="AX450" s="884"/>
      <c r="AY450" s="884"/>
      <c r="AZ450" s="884"/>
      <c r="BA450" s="884"/>
      <c r="BB450" s="884">
        <f>BB8/1000</f>
        <v>73595</v>
      </c>
      <c r="BC450" s="884"/>
      <c r="BD450" s="884"/>
      <c r="BE450" s="884"/>
      <c r="BF450" s="884"/>
      <c r="BG450" s="884"/>
      <c r="BH450" s="886"/>
      <c r="BI450" s="886"/>
      <c r="BJ450" s="886"/>
      <c r="BK450" s="886"/>
      <c r="BL450" s="886">
        <f>BL8/1000</f>
        <v>125007</v>
      </c>
      <c r="BM450" s="886"/>
      <c r="BN450" s="884"/>
      <c r="BO450" s="886"/>
      <c r="BP450" s="886"/>
      <c r="BQ450" s="886">
        <f>BQ8/1000</f>
        <v>125007</v>
      </c>
      <c r="BR450" s="886"/>
      <c r="BS450" s="884"/>
      <c r="BU450" s="752"/>
      <c r="BV450" s="752"/>
      <c r="BW450" s="752"/>
      <c r="BX450" s="752"/>
      <c r="BY450" s="752"/>
      <c r="BZ450" s="752"/>
      <c r="CA450" s="752"/>
      <c r="CB450" s="752"/>
      <c r="CC450" s="752"/>
      <c r="CD450" s="884"/>
      <c r="CE450" s="884"/>
      <c r="CF450" s="884"/>
      <c r="CG450" s="884"/>
      <c r="CH450" s="884"/>
      <c r="CI450" s="884"/>
      <c r="CJ450" s="884"/>
      <c r="CK450" s="884" t="e">
        <f t="shared" si="565"/>
        <v>#VALUE!</v>
      </c>
      <c r="CL450" s="884" t="e">
        <f t="shared" si="565"/>
        <v>#VALUE!</v>
      </c>
      <c r="CM450" s="884">
        <f t="shared" si="565"/>
        <v>0</v>
      </c>
      <c r="CN450" s="884">
        <f t="shared" si="565"/>
        <v>0</v>
      </c>
      <c r="CO450" s="884">
        <f t="shared" si="565"/>
        <v>0</v>
      </c>
      <c r="CP450" s="884">
        <f t="shared" si="565"/>
        <v>0</v>
      </c>
      <c r="CQ450" s="884">
        <f t="shared" si="565"/>
        <v>331178</v>
      </c>
      <c r="CR450" s="884">
        <f t="shared" si="565"/>
        <v>0</v>
      </c>
      <c r="CT450" s="845" t="s">
        <v>2035</v>
      </c>
      <c r="CU450" s="845" t="s">
        <v>2036</v>
      </c>
      <c r="CV450" s="845" t="s">
        <v>2037</v>
      </c>
      <c r="CW450" s="845">
        <v>2015</v>
      </c>
      <c r="DF450" s="752"/>
      <c r="DG450" s="752"/>
      <c r="DH450" s="752"/>
      <c r="DI450" s="752"/>
    </row>
    <row r="451" spans="1:113" ht="141.6" thickBot="1">
      <c r="A451" s="887" t="s">
        <v>546</v>
      </c>
      <c r="B451" s="888" t="s">
        <v>2049</v>
      </c>
      <c r="S451" s="826">
        <f>'8.Бюджет на 2015'!N447/1000</f>
        <v>0</v>
      </c>
      <c r="T451" s="826">
        <f t="shared" si="564"/>
        <v>0</v>
      </c>
      <c r="U451" s="826">
        <f t="shared" si="564"/>
        <v>46962.775830000006</v>
      </c>
      <c r="V451" s="826"/>
      <c r="W451" s="826"/>
      <c r="X451" s="826"/>
      <c r="Y451" s="826"/>
      <c r="Z451" s="827"/>
      <c r="AA451" s="826"/>
      <c r="AB451" s="826"/>
      <c r="AC451" s="826"/>
      <c r="AD451" s="826"/>
      <c r="AE451" s="826"/>
      <c r="AF451" s="826"/>
      <c r="AG451" s="828"/>
      <c r="AH451" s="826"/>
      <c r="AI451" s="826"/>
      <c r="AJ451" s="826"/>
      <c r="AK451" s="826"/>
      <c r="AL451" s="826"/>
      <c r="AM451" s="826"/>
      <c r="AN451" s="826"/>
      <c r="AO451" s="826"/>
      <c r="AP451" s="826"/>
      <c r="AQ451" s="826">
        <f>AQ9/1000</f>
        <v>9026.8692700000011</v>
      </c>
      <c r="AR451" s="826"/>
      <c r="AS451" s="826">
        <f>AS9/1000</f>
        <v>12207.766150000003</v>
      </c>
      <c r="AT451" s="826"/>
      <c r="AU451" s="826"/>
      <c r="AV451" s="826"/>
      <c r="AW451" s="826"/>
      <c r="AX451" s="826"/>
      <c r="AY451" s="826"/>
      <c r="AZ451" s="826"/>
      <c r="BA451" s="826"/>
      <c r="BB451" s="826">
        <f>BB9/1000</f>
        <v>12754.32475</v>
      </c>
      <c r="BC451" s="826"/>
      <c r="BD451" s="826"/>
      <c r="BE451" s="826"/>
      <c r="BF451" s="826"/>
      <c r="BG451" s="826"/>
      <c r="BH451" s="828"/>
      <c r="BI451" s="828"/>
      <c r="BJ451" s="828"/>
      <c r="BK451" s="828"/>
      <c r="BL451" s="828">
        <f>BL9/1000</f>
        <v>12973.81566</v>
      </c>
      <c r="BM451" s="828"/>
      <c r="BN451" s="826"/>
      <c r="BO451" s="828"/>
      <c r="BP451" s="828"/>
      <c r="BQ451" s="828">
        <f>BQ9/1000</f>
        <v>12973.81566</v>
      </c>
      <c r="BR451" s="828"/>
      <c r="BS451" s="826"/>
      <c r="BU451" s="752"/>
      <c r="BV451" s="752"/>
      <c r="BW451" s="752"/>
      <c r="BX451" s="752"/>
      <c r="BY451" s="752"/>
      <c r="BZ451" s="752"/>
      <c r="CA451" s="752"/>
      <c r="CB451" s="752"/>
      <c r="CC451" s="752"/>
      <c r="CD451" s="826"/>
      <c r="CE451" s="826"/>
      <c r="CF451" s="826"/>
      <c r="CG451" s="826"/>
      <c r="CH451" s="826"/>
      <c r="CI451" s="826"/>
      <c r="CJ451" s="826"/>
      <c r="CK451" s="826">
        <f t="shared" si="565"/>
        <v>0</v>
      </c>
      <c r="CL451" s="826">
        <f t="shared" si="565"/>
        <v>0</v>
      </c>
      <c r="CM451" s="826">
        <f t="shared" si="565"/>
        <v>0</v>
      </c>
      <c r="CN451" s="826">
        <f t="shared" si="565"/>
        <v>0</v>
      </c>
      <c r="CO451" s="826">
        <f t="shared" si="565"/>
        <v>0</v>
      </c>
      <c r="CP451" s="826">
        <f t="shared" si="565"/>
        <v>0</v>
      </c>
      <c r="CQ451" s="826">
        <f t="shared" si="565"/>
        <v>0</v>
      </c>
      <c r="CR451" s="826">
        <f t="shared" si="565"/>
        <v>46962.775830000006</v>
      </c>
      <c r="CT451" s="850" t="s">
        <v>1</v>
      </c>
      <c r="CU451" s="889" t="s">
        <v>2050</v>
      </c>
      <c r="CV451" s="890" t="s">
        <v>2051</v>
      </c>
      <c r="CW451" s="891">
        <v>310.30043000000001</v>
      </c>
      <c r="DF451" s="752"/>
      <c r="DG451" s="752"/>
      <c r="DH451" s="752"/>
      <c r="DI451" s="752"/>
    </row>
    <row r="452" spans="1:113" ht="198" thickBot="1">
      <c r="A452" s="892" t="s">
        <v>75</v>
      </c>
      <c r="B452" s="893" t="s">
        <v>2052</v>
      </c>
      <c r="S452" s="894"/>
      <c r="T452" s="894"/>
      <c r="U452" s="894"/>
      <c r="V452" s="894"/>
      <c r="W452" s="894"/>
      <c r="X452" s="894"/>
      <c r="Y452" s="894"/>
      <c r="Z452" s="895"/>
      <c r="AA452" s="894"/>
      <c r="AB452" s="894"/>
      <c r="AC452" s="894"/>
      <c r="AD452" s="894"/>
      <c r="AE452" s="894"/>
      <c r="AF452" s="894"/>
      <c r="AG452" s="896"/>
      <c r="AH452" s="894"/>
      <c r="AI452" s="894"/>
      <c r="AJ452" s="894"/>
      <c r="AK452" s="894"/>
      <c r="AL452" s="894"/>
      <c r="AM452" s="894"/>
      <c r="AN452" s="894"/>
      <c r="AO452" s="894"/>
      <c r="AP452" s="894"/>
      <c r="AQ452" s="894"/>
      <c r="AR452" s="894"/>
      <c r="AS452" s="894"/>
      <c r="AT452" s="894"/>
      <c r="AU452" s="894"/>
      <c r="AV452" s="894"/>
      <c r="AW452" s="894"/>
      <c r="AX452" s="894"/>
      <c r="AY452" s="894"/>
      <c r="AZ452" s="894"/>
      <c r="BA452" s="894"/>
      <c r="BB452" s="894"/>
      <c r="BC452" s="894"/>
      <c r="BD452" s="894"/>
      <c r="BE452" s="894"/>
      <c r="BF452" s="894"/>
      <c r="BG452" s="894"/>
      <c r="BH452" s="896"/>
      <c r="BI452" s="896"/>
      <c r="BJ452" s="896"/>
      <c r="BK452" s="896"/>
      <c r="BL452" s="896"/>
      <c r="BM452" s="896"/>
      <c r="BN452" s="894"/>
      <c r="BO452" s="896"/>
      <c r="BP452" s="896"/>
      <c r="BQ452" s="896"/>
      <c r="BR452" s="896"/>
      <c r="BS452" s="894"/>
      <c r="BU452" s="752"/>
      <c r="BV452" s="752"/>
      <c r="BW452" s="752"/>
      <c r="BX452" s="752"/>
      <c r="BY452" s="752"/>
      <c r="BZ452" s="752"/>
      <c r="CA452" s="752"/>
      <c r="CB452" s="752"/>
      <c r="CC452" s="752"/>
      <c r="CD452" s="897"/>
      <c r="CE452" s="897"/>
      <c r="CF452" s="897"/>
      <c r="CG452" s="897"/>
      <c r="CH452" s="897"/>
      <c r="CI452" s="897"/>
      <c r="CJ452" s="897"/>
      <c r="CP452" s="894"/>
      <c r="CQ452" s="894"/>
      <c r="CR452" s="894"/>
      <c r="CT452" s="850" t="s">
        <v>6</v>
      </c>
      <c r="CU452" s="889" t="s">
        <v>2053</v>
      </c>
      <c r="CV452" s="850" t="s">
        <v>2054</v>
      </c>
      <c r="CW452" s="891">
        <v>0.53351999999999999</v>
      </c>
      <c r="DF452" s="752"/>
      <c r="DG452" s="752"/>
      <c r="DH452" s="752"/>
      <c r="DI452" s="752"/>
    </row>
    <row r="453" spans="1:113" ht="28.8" thickBot="1">
      <c r="A453" s="864" t="s">
        <v>6</v>
      </c>
      <c r="B453" s="865" t="s">
        <v>2055</v>
      </c>
      <c r="C453" s="866"/>
      <c r="D453" s="867"/>
      <c r="E453" s="867"/>
      <c r="F453" s="867"/>
      <c r="G453" s="867"/>
      <c r="H453" s="867"/>
      <c r="I453" s="867"/>
      <c r="J453" s="867"/>
      <c r="K453" s="867"/>
      <c r="L453" s="867"/>
      <c r="M453" s="867"/>
      <c r="N453" s="867"/>
      <c r="O453" s="867"/>
      <c r="P453" s="867"/>
      <c r="Q453" s="867"/>
      <c r="R453" s="867"/>
      <c r="S453" s="868">
        <f>'8.Бюджет на 2015'!N757/1000</f>
        <v>0</v>
      </c>
      <c r="T453" s="868">
        <f>T454+T462</f>
        <v>6513347.4430355262</v>
      </c>
      <c r="U453" s="868">
        <f>U454+U462</f>
        <v>6743181.1236267611</v>
      </c>
      <c r="V453" s="868"/>
      <c r="W453" s="868"/>
      <c r="X453" s="868"/>
      <c r="Y453" s="868"/>
      <c r="Z453" s="869"/>
      <c r="AA453" s="868"/>
      <c r="AB453" s="868"/>
      <c r="AC453" s="868"/>
      <c r="AD453" s="868"/>
      <c r="AE453" s="868"/>
      <c r="AF453" s="868"/>
      <c r="AG453" s="801"/>
      <c r="AH453" s="868"/>
      <c r="AI453" s="868"/>
      <c r="AJ453" s="868"/>
      <c r="AK453" s="868"/>
      <c r="AL453" s="868"/>
      <c r="AM453" s="868"/>
      <c r="AN453" s="868"/>
      <c r="AO453" s="868"/>
      <c r="AP453" s="868"/>
      <c r="AQ453" s="868">
        <f t="shared" ref="AQ453:CR453" si="566">AQ454+AQ462</f>
        <v>1845448.0814108406</v>
      </c>
      <c r="AR453" s="868"/>
      <c r="AS453" s="868">
        <f t="shared" si="566"/>
        <v>1547581.8187460515</v>
      </c>
      <c r="AT453" s="868"/>
      <c r="AU453" s="868"/>
      <c r="AV453" s="868"/>
      <c r="AW453" s="868"/>
      <c r="AX453" s="868"/>
      <c r="AY453" s="868"/>
      <c r="AZ453" s="868"/>
      <c r="BA453" s="868"/>
      <c r="BB453" s="868">
        <f t="shared" si="566"/>
        <v>1625020.8893096803</v>
      </c>
      <c r="BC453" s="800"/>
      <c r="BD453" s="800"/>
      <c r="BE453" s="800"/>
      <c r="BF453" s="800"/>
      <c r="BG453" s="800"/>
      <c r="BH453" s="801"/>
      <c r="BI453" s="801"/>
      <c r="BJ453" s="801"/>
      <c r="BK453" s="801"/>
      <c r="BL453" s="801">
        <f t="shared" si="566"/>
        <v>1725130.3341601896</v>
      </c>
      <c r="BM453" s="801"/>
      <c r="BN453" s="868"/>
      <c r="BO453" s="801"/>
      <c r="BP453" s="801"/>
      <c r="BQ453" s="801">
        <f t="shared" ref="BQ453" si="567">BQ454+BQ462</f>
        <v>1725130.3341601896</v>
      </c>
      <c r="BR453" s="801"/>
      <c r="BS453" s="868"/>
      <c r="BU453" s="752"/>
      <c r="BV453" s="752"/>
      <c r="BW453" s="752"/>
      <c r="BX453" s="752"/>
      <c r="BY453" s="752"/>
      <c r="BZ453" s="752"/>
      <c r="CA453" s="752"/>
      <c r="CB453" s="752"/>
      <c r="CC453" s="752"/>
      <c r="CD453" s="868"/>
      <c r="CE453" s="868"/>
      <c r="CF453" s="868"/>
      <c r="CG453" s="868"/>
      <c r="CH453" s="868"/>
      <c r="CI453" s="868"/>
      <c r="CJ453" s="868"/>
      <c r="CK453" s="868" t="e">
        <f t="shared" si="566"/>
        <v>#VALUE!</v>
      </c>
      <c r="CL453" s="868" t="e">
        <f t="shared" si="566"/>
        <v>#VALUE!</v>
      </c>
      <c r="CM453" s="868" t="e">
        <f t="shared" si="566"/>
        <v>#VALUE!</v>
      </c>
      <c r="CN453" s="868" t="e">
        <f t="shared" si="566"/>
        <v>#VALUE!</v>
      </c>
      <c r="CO453" s="868">
        <f t="shared" si="566"/>
        <v>0</v>
      </c>
      <c r="CP453" s="868">
        <f t="shared" si="566"/>
        <v>6555924.3214213578</v>
      </c>
      <c r="CQ453" s="868">
        <f t="shared" si="566"/>
        <v>160817.81179253248</v>
      </c>
      <c r="CR453" s="868">
        <f t="shared" si="566"/>
        <v>26438.990412871422</v>
      </c>
      <c r="CT453" s="850" t="s">
        <v>1144</v>
      </c>
      <c r="CU453" s="898" t="s">
        <v>2056</v>
      </c>
      <c r="CV453" s="850" t="s">
        <v>2054</v>
      </c>
      <c r="CW453" s="891">
        <v>0.47748000000000002</v>
      </c>
      <c r="DF453" s="752"/>
      <c r="DG453" s="752"/>
      <c r="DH453" s="752"/>
      <c r="DI453" s="752"/>
    </row>
    <row r="454" spans="1:113">
      <c r="A454" s="882" t="s">
        <v>7</v>
      </c>
      <c r="B454" s="883" t="s">
        <v>2057</v>
      </c>
      <c r="S454" s="884">
        <f>S453-S462</f>
        <v>0</v>
      </c>
      <c r="T454" s="884">
        <f>T455+T456+T457+T458+T459+T460+T461</f>
        <v>3538623.1441550665</v>
      </c>
      <c r="U454" s="884">
        <f>U455+U456+U457+U458+U459+U460+U461</f>
        <v>3768456.8247570517</v>
      </c>
      <c r="V454" s="884"/>
      <c r="W454" s="884"/>
      <c r="X454" s="884"/>
      <c r="Y454" s="884"/>
      <c r="Z454" s="885"/>
      <c r="AA454" s="884"/>
      <c r="AB454" s="884"/>
      <c r="AC454" s="884"/>
      <c r="AD454" s="884"/>
      <c r="AE454" s="884"/>
      <c r="AF454" s="884"/>
      <c r="AG454" s="886"/>
      <c r="AH454" s="884"/>
      <c r="AI454" s="884"/>
      <c r="AJ454" s="884"/>
      <c r="AK454" s="884"/>
      <c r="AL454" s="884"/>
      <c r="AM454" s="884"/>
      <c r="AN454" s="884"/>
      <c r="AO454" s="884"/>
      <c r="AP454" s="884"/>
      <c r="AQ454" s="884">
        <f t="shared" ref="AQ454:CR454" si="568">AQ455+AQ456+AQ457+AQ458+AQ459+AQ460+AQ461</f>
        <v>883768.73935259157</v>
      </c>
      <c r="AR454" s="884"/>
      <c r="AS454" s="884">
        <f t="shared" si="568"/>
        <v>1071427.0357534154</v>
      </c>
      <c r="AT454" s="884"/>
      <c r="AU454" s="884"/>
      <c r="AV454" s="884"/>
      <c r="AW454" s="884"/>
      <c r="AX454" s="884"/>
      <c r="AY454" s="884"/>
      <c r="AZ454" s="884"/>
      <c r="BA454" s="884"/>
      <c r="BB454" s="884">
        <f t="shared" si="568"/>
        <v>953444.84873323829</v>
      </c>
      <c r="BC454" s="884"/>
      <c r="BD454" s="884"/>
      <c r="BE454" s="884"/>
      <c r="BF454" s="884"/>
      <c r="BG454" s="884"/>
      <c r="BH454" s="886"/>
      <c r="BI454" s="886"/>
      <c r="BJ454" s="886"/>
      <c r="BK454" s="886"/>
      <c r="BL454" s="886">
        <f t="shared" si="568"/>
        <v>859816.20091780659</v>
      </c>
      <c r="BM454" s="886"/>
      <c r="BN454" s="884"/>
      <c r="BO454" s="886"/>
      <c r="BP454" s="886"/>
      <c r="BQ454" s="886">
        <f t="shared" ref="BQ454" si="569">BQ455+BQ456+BQ457+BQ458+BQ459+BQ460+BQ461</f>
        <v>859816.20091780659</v>
      </c>
      <c r="BR454" s="886"/>
      <c r="BS454" s="884"/>
      <c r="BU454" s="752"/>
      <c r="BV454" s="752"/>
      <c r="BW454" s="752"/>
      <c r="BX454" s="752"/>
      <c r="BY454" s="752"/>
      <c r="BZ454" s="752"/>
      <c r="CA454" s="752"/>
      <c r="CB454" s="752"/>
      <c r="CC454" s="752"/>
      <c r="CD454" s="884"/>
      <c r="CE454" s="884"/>
      <c r="CF454" s="884"/>
      <c r="CG454" s="884"/>
      <c r="CH454" s="884"/>
      <c r="CI454" s="884"/>
      <c r="CJ454" s="884"/>
      <c r="CK454" s="884" t="e">
        <f t="shared" si="568"/>
        <v>#VALUE!</v>
      </c>
      <c r="CL454" s="884" t="e">
        <f t="shared" si="568"/>
        <v>#VALUE!</v>
      </c>
      <c r="CM454" s="884" t="e">
        <f t="shared" si="568"/>
        <v>#VALUE!</v>
      </c>
      <c r="CN454" s="884" t="e">
        <f t="shared" si="568"/>
        <v>#VALUE!</v>
      </c>
      <c r="CO454" s="884">
        <f t="shared" si="568"/>
        <v>0</v>
      </c>
      <c r="CP454" s="884">
        <f t="shared" si="568"/>
        <v>3581200.0225516479</v>
      </c>
      <c r="CQ454" s="884">
        <f t="shared" si="568"/>
        <v>160817.81179253248</v>
      </c>
      <c r="CR454" s="884">
        <f t="shared" si="568"/>
        <v>26438.990412871422</v>
      </c>
      <c r="CT454" s="850" t="s">
        <v>1149</v>
      </c>
      <c r="CU454" s="898" t="s">
        <v>2058</v>
      </c>
      <c r="CV454" s="850" t="s">
        <v>2054</v>
      </c>
      <c r="CW454" s="891">
        <v>0.53881999999999997</v>
      </c>
      <c r="DF454" s="752"/>
      <c r="DG454" s="752"/>
      <c r="DH454" s="752"/>
      <c r="DI454" s="752"/>
    </row>
    <row r="455" spans="1:113" ht="225.6">
      <c r="A455" s="882" t="s">
        <v>2059</v>
      </c>
      <c r="B455" s="899" t="s">
        <v>1614</v>
      </c>
      <c r="S455" s="884">
        <f>'8.Бюджет на 2015'!N523/1000</f>
        <v>0</v>
      </c>
      <c r="T455" s="884">
        <f>T85/1000</f>
        <v>244570.80639018721</v>
      </c>
      <c r="U455" s="884">
        <f>U85/1000</f>
        <v>272063.17375999992</v>
      </c>
      <c r="V455" s="884"/>
      <c r="W455" s="884"/>
      <c r="X455" s="884"/>
      <c r="Y455" s="884"/>
      <c r="Z455" s="885"/>
      <c r="AA455" s="884"/>
      <c r="AB455" s="884"/>
      <c r="AC455" s="884"/>
      <c r="AD455" s="884"/>
      <c r="AE455" s="884"/>
      <c r="AF455" s="884"/>
      <c r="AG455" s="886"/>
      <c r="AH455" s="884"/>
      <c r="AI455" s="884"/>
      <c r="AJ455" s="884"/>
      <c r="AK455" s="884"/>
      <c r="AL455" s="884"/>
      <c r="AM455" s="884"/>
      <c r="AN455" s="884"/>
      <c r="AO455" s="884"/>
      <c r="AP455" s="884"/>
      <c r="AQ455" s="884">
        <f>AQ85/1000</f>
        <v>39297.597170000001</v>
      </c>
      <c r="AR455" s="884"/>
      <c r="AS455" s="884">
        <f>AS85/1000</f>
        <v>90654.800220000005</v>
      </c>
      <c r="AT455" s="884"/>
      <c r="AU455" s="884"/>
      <c r="AV455" s="884"/>
      <c r="AW455" s="884"/>
      <c r="AX455" s="884"/>
      <c r="AY455" s="884"/>
      <c r="AZ455" s="884"/>
      <c r="BA455" s="884"/>
      <c r="BB455" s="884">
        <f>BB85/1000</f>
        <v>91834.370370000033</v>
      </c>
      <c r="BC455" s="884"/>
      <c r="BD455" s="884"/>
      <c r="BE455" s="884"/>
      <c r="BF455" s="884"/>
      <c r="BG455" s="884"/>
      <c r="BH455" s="886"/>
      <c r="BI455" s="886"/>
      <c r="BJ455" s="886"/>
      <c r="BK455" s="886"/>
      <c r="BL455" s="886">
        <f>BL85/1000</f>
        <v>50276.405999999995</v>
      </c>
      <c r="BM455" s="886"/>
      <c r="BN455" s="884"/>
      <c r="BO455" s="886"/>
      <c r="BP455" s="886"/>
      <c r="BQ455" s="886">
        <f>BQ85/1000</f>
        <v>50276.405999999995</v>
      </c>
      <c r="BR455" s="886"/>
      <c r="BS455" s="884"/>
      <c r="BU455" s="752"/>
      <c r="BV455" s="752"/>
      <c r="BW455" s="752"/>
      <c r="BX455" s="752"/>
      <c r="BY455" s="752"/>
      <c r="BZ455" s="752"/>
      <c r="CA455" s="752"/>
      <c r="CB455" s="752"/>
      <c r="CC455" s="752"/>
      <c r="CD455" s="884"/>
      <c r="CE455" s="884"/>
      <c r="CF455" s="884"/>
      <c r="CG455" s="884"/>
      <c r="CH455" s="884"/>
      <c r="CI455" s="884"/>
      <c r="CJ455" s="884"/>
      <c r="CK455" s="884">
        <f t="shared" ref="CK455:CR455" si="570">CK85/1000</f>
        <v>0</v>
      </c>
      <c r="CL455" s="884">
        <f t="shared" si="570"/>
        <v>0</v>
      </c>
      <c r="CM455" s="884" t="e">
        <f t="shared" si="570"/>
        <v>#VALUE!</v>
      </c>
      <c r="CN455" s="884">
        <f t="shared" si="570"/>
        <v>0</v>
      </c>
      <c r="CO455" s="884">
        <f t="shared" si="570"/>
        <v>0</v>
      </c>
      <c r="CP455" s="884">
        <f t="shared" si="570"/>
        <v>258249.36509168695</v>
      </c>
      <c r="CQ455" s="884">
        <f t="shared" si="570"/>
        <v>8737.3853152064476</v>
      </c>
      <c r="CR455" s="884">
        <f t="shared" si="570"/>
        <v>5076.4233531065302</v>
      </c>
      <c r="CT455" s="850" t="s">
        <v>16</v>
      </c>
      <c r="CU455" s="889" t="s">
        <v>2060</v>
      </c>
      <c r="CV455" s="850" t="s">
        <v>2054</v>
      </c>
      <c r="CW455" s="891">
        <v>1.34216</v>
      </c>
      <c r="DF455" s="752"/>
      <c r="DG455" s="752"/>
      <c r="DH455" s="752"/>
      <c r="DI455" s="752"/>
    </row>
    <row r="456" spans="1:113">
      <c r="A456" s="882" t="s">
        <v>2061</v>
      </c>
      <c r="B456" s="899" t="s">
        <v>1857</v>
      </c>
      <c r="S456" s="884">
        <f>('8.Бюджет на 2015'!N477+'8.Бюджет на 2015'!N478+'8.Бюджет на 2015'!N479+'8.Бюджет на 2015'!N480+'8.Бюджет на 2015'!N481+'8.Бюджет на 2015'!N482+'8.Бюджет на 2015'!N483+'8.Бюджет на 2015'!N484+'8.Бюджет на 2015'!N485+'8.Бюджет на 2015'!N486+'8.Бюджет на 2015'!N487+'8.Бюджет на 2015'!N488+'8.Бюджет на 2015'!N489)/1000</f>
        <v>0</v>
      </c>
      <c r="T456" s="884">
        <f>(T38-T52)/1000</f>
        <v>962477.47734777979</v>
      </c>
      <c r="U456" s="884">
        <f>(U38-U52)/1000</f>
        <v>1004278.7422300632</v>
      </c>
      <c r="V456" s="884"/>
      <c r="W456" s="884"/>
      <c r="X456" s="884"/>
      <c r="Y456" s="884"/>
      <c r="Z456" s="885"/>
      <c r="AA456" s="884"/>
      <c r="AB456" s="884"/>
      <c r="AC456" s="884"/>
      <c r="AD456" s="884"/>
      <c r="AE456" s="884"/>
      <c r="AF456" s="884"/>
      <c r="AG456" s="886"/>
      <c r="AH456" s="884"/>
      <c r="AI456" s="884"/>
      <c r="AJ456" s="884"/>
      <c r="AK456" s="884"/>
      <c r="AL456" s="884"/>
      <c r="AM456" s="884"/>
      <c r="AN456" s="884"/>
      <c r="AO456" s="884"/>
      <c r="AP456" s="884"/>
      <c r="AQ456" s="884">
        <f>(AQ38-AQ52)/1000</f>
        <v>229435.5648274566</v>
      </c>
      <c r="AR456" s="884"/>
      <c r="AS456" s="884">
        <f>(AS38-AS52)/1000</f>
        <v>308135.47020435648</v>
      </c>
      <c r="AT456" s="884"/>
      <c r="AU456" s="884"/>
      <c r="AV456" s="884"/>
      <c r="AW456" s="884"/>
      <c r="AX456" s="884"/>
      <c r="AY456" s="884"/>
      <c r="AZ456" s="884"/>
      <c r="BA456" s="884"/>
      <c r="BB456" s="884">
        <f>(BB38-BB52)/1000</f>
        <v>239158.93662004513</v>
      </c>
      <c r="BC456" s="884"/>
      <c r="BD456" s="884"/>
      <c r="BE456" s="884"/>
      <c r="BF456" s="884"/>
      <c r="BG456" s="884"/>
      <c r="BH456" s="886"/>
      <c r="BI456" s="886"/>
      <c r="BJ456" s="886"/>
      <c r="BK456" s="886"/>
      <c r="BL456" s="886">
        <f>(BL38-BL52)/1000</f>
        <v>227548.77057820506</v>
      </c>
      <c r="BM456" s="886"/>
      <c r="BN456" s="884"/>
      <c r="BO456" s="886"/>
      <c r="BP456" s="886"/>
      <c r="BQ456" s="886">
        <f>(BQ38-BQ52)/1000</f>
        <v>227548.77057820506</v>
      </c>
      <c r="BR456" s="886"/>
      <c r="BS456" s="884"/>
      <c r="BU456" s="752"/>
      <c r="BV456" s="752"/>
      <c r="BW456" s="752"/>
      <c r="BX456" s="752"/>
      <c r="BY456" s="752"/>
      <c r="BZ456" s="752"/>
      <c r="CA456" s="752"/>
      <c r="CB456" s="752"/>
      <c r="CC456" s="752"/>
      <c r="CD456" s="884"/>
      <c r="CE456" s="884"/>
      <c r="CF456" s="884"/>
      <c r="CG456" s="884"/>
      <c r="CH456" s="884"/>
      <c r="CI456" s="884"/>
      <c r="CJ456" s="884"/>
      <c r="CK456" s="884" t="e">
        <f t="shared" ref="CK456:CR456" si="571">(CK38-CK52)/1000</f>
        <v>#VALUE!</v>
      </c>
      <c r="CL456" s="884" t="e">
        <f t="shared" si="571"/>
        <v>#VALUE!</v>
      </c>
      <c r="CM456" s="884" t="e">
        <f t="shared" si="571"/>
        <v>#VALUE!</v>
      </c>
      <c r="CN456" s="884" t="e">
        <f t="shared" si="571"/>
        <v>#VALUE!</v>
      </c>
      <c r="CO456" s="884">
        <f t="shared" si="571"/>
        <v>0</v>
      </c>
      <c r="CP456" s="884">
        <f t="shared" si="571"/>
        <v>926568.10536184406</v>
      </c>
      <c r="CQ456" s="884">
        <f t="shared" si="571"/>
        <v>68059.450188236908</v>
      </c>
      <c r="CR456" s="884">
        <f t="shared" si="571"/>
        <v>9651.1866799824311</v>
      </c>
      <c r="CT456" s="850" t="s">
        <v>2062</v>
      </c>
      <c r="CU456" s="898" t="s">
        <v>2056</v>
      </c>
      <c r="CV456" s="850" t="s">
        <v>2054</v>
      </c>
      <c r="CW456" s="891">
        <v>1.2861199999999999</v>
      </c>
      <c r="DF456" s="752"/>
      <c r="DG456" s="752"/>
      <c r="DH456" s="752"/>
      <c r="DI456" s="752"/>
    </row>
    <row r="457" spans="1:113">
      <c r="A457" s="882" t="s">
        <v>2063</v>
      </c>
      <c r="B457" s="899" t="s">
        <v>2064</v>
      </c>
      <c r="S457" s="884">
        <f>'8.Бюджет на 2015'!N490/1000</f>
        <v>0</v>
      </c>
      <c r="T457" s="884">
        <f>T52/1000</f>
        <v>305659.3041537251</v>
      </c>
      <c r="U457" s="884">
        <f>U52/1000</f>
        <v>290236.55650448886</v>
      </c>
      <c r="V457" s="884"/>
      <c r="W457" s="884"/>
      <c r="X457" s="884"/>
      <c r="Y457" s="884"/>
      <c r="Z457" s="885"/>
      <c r="AA457" s="884"/>
      <c r="AB457" s="884"/>
      <c r="AC457" s="884"/>
      <c r="AD457" s="884"/>
      <c r="AE457" s="884"/>
      <c r="AF457" s="884"/>
      <c r="AG457" s="886"/>
      <c r="AH457" s="884"/>
      <c r="AI457" s="884"/>
      <c r="AJ457" s="884"/>
      <c r="AK457" s="884"/>
      <c r="AL457" s="884"/>
      <c r="AM457" s="884"/>
      <c r="AN457" s="884"/>
      <c r="AO457" s="884"/>
      <c r="AP457" s="884"/>
      <c r="AQ457" s="884">
        <f>AQ52/1000</f>
        <v>66306.878235135096</v>
      </c>
      <c r="AR457" s="884"/>
      <c r="AS457" s="884">
        <f>AS52/1000</f>
        <v>89051.150889059194</v>
      </c>
      <c r="AT457" s="884"/>
      <c r="AU457" s="884"/>
      <c r="AV457" s="884"/>
      <c r="AW457" s="884"/>
      <c r="AX457" s="884"/>
      <c r="AY457" s="884"/>
      <c r="AZ457" s="884"/>
      <c r="BA457" s="884"/>
      <c r="BB457" s="884">
        <f>BB52/1000</f>
        <v>69116.932683193198</v>
      </c>
      <c r="BC457" s="884"/>
      <c r="BD457" s="884"/>
      <c r="BE457" s="884"/>
      <c r="BF457" s="884"/>
      <c r="BG457" s="884"/>
      <c r="BH457" s="886"/>
      <c r="BI457" s="886"/>
      <c r="BJ457" s="886"/>
      <c r="BK457" s="886"/>
      <c r="BL457" s="886">
        <f>BL52/1000</f>
        <v>65761.594697101405</v>
      </c>
      <c r="BM457" s="886"/>
      <c r="BN457" s="884"/>
      <c r="BO457" s="886"/>
      <c r="BP457" s="886"/>
      <c r="BQ457" s="886">
        <f>BQ52/1000</f>
        <v>65761.594697101405</v>
      </c>
      <c r="BR457" s="886"/>
      <c r="BS457" s="884"/>
      <c r="BU457" s="752"/>
      <c r="BV457" s="752"/>
      <c r="BW457" s="752"/>
      <c r="BX457" s="752"/>
      <c r="BY457" s="752"/>
      <c r="BZ457" s="752"/>
      <c r="CA457" s="752"/>
      <c r="CB457" s="752"/>
      <c r="CC457" s="752"/>
      <c r="CD457" s="884"/>
      <c r="CE457" s="884"/>
      <c r="CF457" s="884"/>
      <c r="CG457" s="884"/>
      <c r="CH457" s="884"/>
      <c r="CI457" s="884"/>
      <c r="CJ457" s="884"/>
      <c r="CK457" s="884" t="e">
        <f t="shared" ref="CK457:CR457" si="572">CK52/1000</f>
        <v>#VALUE!</v>
      </c>
      <c r="CL457" s="884" t="e">
        <f t="shared" si="572"/>
        <v>#VALUE!</v>
      </c>
      <c r="CM457" s="884" t="e">
        <f t="shared" si="572"/>
        <v>#VALUE!</v>
      </c>
      <c r="CN457" s="884" t="e">
        <f t="shared" si="572"/>
        <v>#VALUE!</v>
      </c>
      <c r="CO457" s="884">
        <f t="shared" si="572"/>
        <v>0</v>
      </c>
      <c r="CP457" s="884">
        <f t="shared" si="572"/>
        <v>267778.18244957348</v>
      </c>
      <c r="CQ457" s="884">
        <f t="shared" si="572"/>
        <v>19669.181104400501</v>
      </c>
      <c r="CR457" s="884">
        <f t="shared" si="572"/>
        <v>2789.1929505149274</v>
      </c>
      <c r="CT457" s="900" t="s">
        <v>2065</v>
      </c>
      <c r="CU457" s="898" t="s">
        <v>2058</v>
      </c>
      <c r="CV457" s="850" t="s">
        <v>2054</v>
      </c>
      <c r="CW457" s="891">
        <v>1.3474600000000001</v>
      </c>
      <c r="DF457" s="752"/>
      <c r="DG457" s="752"/>
      <c r="DH457" s="752"/>
      <c r="DI457" s="752"/>
    </row>
    <row r="458" spans="1:113">
      <c r="A458" s="882" t="s">
        <v>2066</v>
      </c>
      <c r="B458" s="899" t="s">
        <v>2067</v>
      </c>
      <c r="S458" s="884">
        <f>'8.Бюджет на 2015'!N577/1000</f>
        <v>0</v>
      </c>
      <c r="T458" s="884">
        <f>T139/1000</f>
        <v>394375.43193641584</v>
      </c>
      <c r="U458" s="884">
        <f>U139/1000</f>
        <v>510056.97868999996</v>
      </c>
      <c r="V458" s="884"/>
      <c r="W458" s="884"/>
      <c r="X458" s="884"/>
      <c r="Y458" s="884"/>
      <c r="Z458" s="885"/>
      <c r="AA458" s="884"/>
      <c r="AB458" s="884"/>
      <c r="AC458" s="884"/>
      <c r="AD458" s="884"/>
      <c r="AE458" s="884"/>
      <c r="AF458" s="884"/>
      <c r="AG458" s="886"/>
      <c r="AH458" s="884"/>
      <c r="AI458" s="884"/>
      <c r="AJ458" s="884"/>
      <c r="AK458" s="884"/>
      <c r="AL458" s="884"/>
      <c r="AM458" s="884"/>
      <c r="AN458" s="884"/>
      <c r="AO458" s="884"/>
      <c r="AP458" s="884"/>
      <c r="AQ458" s="884">
        <f>AQ139/1000</f>
        <v>122753.20886</v>
      </c>
      <c r="AR458" s="884"/>
      <c r="AS458" s="884">
        <f>AS139/1000</f>
        <v>143115.02745999998</v>
      </c>
      <c r="AT458" s="884"/>
      <c r="AU458" s="884"/>
      <c r="AV458" s="884"/>
      <c r="AW458" s="884"/>
      <c r="AX458" s="884"/>
      <c r="AY458" s="884"/>
      <c r="AZ458" s="884"/>
      <c r="BA458" s="884"/>
      <c r="BB458" s="884">
        <f>BB139/1000</f>
        <v>133707.77206999998</v>
      </c>
      <c r="BC458" s="884"/>
      <c r="BD458" s="884"/>
      <c r="BE458" s="884"/>
      <c r="BF458" s="884"/>
      <c r="BG458" s="884"/>
      <c r="BH458" s="886"/>
      <c r="BI458" s="886"/>
      <c r="BJ458" s="886"/>
      <c r="BK458" s="886"/>
      <c r="BL458" s="886">
        <f>BL139/1000</f>
        <v>110480.97030000002</v>
      </c>
      <c r="BM458" s="886"/>
      <c r="BN458" s="884"/>
      <c r="BO458" s="886"/>
      <c r="BP458" s="886"/>
      <c r="BQ458" s="886">
        <f>BQ139/1000</f>
        <v>110480.97030000002</v>
      </c>
      <c r="BR458" s="886"/>
      <c r="BS458" s="884"/>
      <c r="BU458" s="752"/>
      <c r="BV458" s="752"/>
      <c r="BW458" s="752"/>
      <c r="BX458" s="752"/>
      <c r="BY458" s="752"/>
      <c r="BZ458" s="752"/>
      <c r="CA458" s="752"/>
      <c r="CB458" s="752"/>
      <c r="CC458" s="752"/>
      <c r="CD458" s="884"/>
      <c r="CE458" s="884"/>
      <c r="CF458" s="884"/>
      <c r="CG458" s="884"/>
      <c r="CH458" s="884"/>
      <c r="CI458" s="884"/>
      <c r="CJ458" s="884"/>
      <c r="CK458" s="884">
        <f t="shared" ref="CK458:CR458" si="573">CK139/1000</f>
        <v>0</v>
      </c>
      <c r="CL458" s="884">
        <f t="shared" si="573"/>
        <v>0</v>
      </c>
      <c r="CM458" s="884" t="e">
        <f t="shared" si="573"/>
        <v>#VALUE!</v>
      </c>
      <c r="CN458" s="884">
        <f t="shared" si="573"/>
        <v>0</v>
      </c>
      <c r="CO458" s="884">
        <f t="shared" si="573"/>
        <v>0</v>
      </c>
      <c r="CP458" s="884">
        <f t="shared" si="573"/>
        <v>477813.42231795774</v>
      </c>
      <c r="CQ458" s="884">
        <f t="shared" si="573"/>
        <v>28239.103515725732</v>
      </c>
      <c r="CR458" s="884">
        <f t="shared" si="573"/>
        <v>4004.45285631652</v>
      </c>
      <c r="CT458" s="871"/>
      <c r="CU458" s="901"/>
      <c r="CV458" s="871"/>
      <c r="CW458" s="871"/>
      <c r="DF458" s="752"/>
      <c r="DG458" s="752"/>
      <c r="DH458" s="752"/>
      <c r="DI458" s="752"/>
    </row>
    <row r="459" spans="1:113">
      <c r="A459" s="882" t="s">
        <v>2068</v>
      </c>
      <c r="B459" s="899" t="s">
        <v>67</v>
      </c>
      <c r="S459" s="884">
        <f>'8.Бюджет на 2015'!N473/1000</f>
        <v>0</v>
      </c>
      <c r="T459" s="884">
        <f>T35/1000</f>
        <v>297196.02</v>
      </c>
      <c r="U459" s="884">
        <f>U35/1000</f>
        <v>319845.33333249995</v>
      </c>
      <c r="V459" s="884"/>
      <c r="W459" s="884"/>
      <c r="X459" s="884"/>
      <c r="Y459" s="884"/>
      <c r="Z459" s="885"/>
      <c r="AA459" s="884"/>
      <c r="AB459" s="884"/>
      <c r="AC459" s="884"/>
      <c r="AD459" s="884"/>
      <c r="AE459" s="884"/>
      <c r="AF459" s="884"/>
      <c r="AG459" s="886"/>
      <c r="AH459" s="884"/>
      <c r="AI459" s="884"/>
      <c r="AJ459" s="884"/>
      <c r="AK459" s="884"/>
      <c r="AL459" s="884"/>
      <c r="AM459" s="884"/>
      <c r="AN459" s="884"/>
      <c r="AO459" s="884"/>
      <c r="AP459" s="884"/>
      <c r="AQ459" s="884">
        <f>AQ35/1000</f>
        <v>79886</v>
      </c>
      <c r="AR459" s="884"/>
      <c r="AS459" s="884">
        <f>AS35/1000</f>
        <v>79732</v>
      </c>
      <c r="AT459" s="884"/>
      <c r="AU459" s="884"/>
      <c r="AV459" s="884"/>
      <c r="AW459" s="884"/>
      <c r="AX459" s="884"/>
      <c r="AY459" s="884"/>
      <c r="AZ459" s="884"/>
      <c r="BA459" s="884"/>
      <c r="BB459" s="884">
        <f>BB35/1000</f>
        <v>80266</v>
      </c>
      <c r="BC459" s="884"/>
      <c r="BD459" s="884"/>
      <c r="BE459" s="884"/>
      <c r="BF459" s="884"/>
      <c r="BG459" s="884"/>
      <c r="BH459" s="886"/>
      <c r="BI459" s="886"/>
      <c r="BJ459" s="886"/>
      <c r="BK459" s="886"/>
      <c r="BL459" s="886">
        <f>BL35/1000</f>
        <v>79961.333332499999</v>
      </c>
      <c r="BM459" s="886"/>
      <c r="BN459" s="884"/>
      <c r="BO459" s="886"/>
      <c r="BP459" s="886"/>
      <c r="BQ459" s="886">
        <f>BQ35/1000</f>
        <v>79961.333332499999</v>
      </c>
      <c r="BR459" s="886"/>
      <c r="BS459" s="884"/>
      <c r="BU459" s="752"/>
      <c r="BV459" s="752"/>
      <c r="BW459" s="752"/>
      <c r="BX459" s="752"/>
      <c r="BY459" s="752"/>
      <c r="BZ459" s="752"/>
      <c r="CA459" s="752"/>
      <c r="CB459" s="752"/>
      <c r="CC459" s="752"/>
      <c r="CD459" s="884"/>
      <c r="CE459" s="884"/>
      <c r="CF459" s="884"/>
      <c r="CG459" s="884"/>
      <c r="CH459" s="884"/>
      <c r="CI459" s="884"/>
      <c r="CJ459" s="884"/>
      <c r="CK459" s="884">
        <f t="shared" ref="CK459:CR459" si="574">CK35/1000</f>
        <v>0</v>
      </c>
      <c r="CL459" s="884">
        <f t="shared" si="574"/>
        <v>0</v>
      </c>
      <c r="CM459" s="884">
        <f t="shared" si="574"/>
        <v>0</v>
      </c>
      <c r="CN459" s="884">
        <f t="shared" si="574"/>
        <v>0</v>
      </c>
      <c r="CO459" s="884">
        <f t="shared" si="574"/>
        <v>0</v>
      </c>
      <c r="CP459" s="884">
        <f t="shared" si="574"/>
        <v>295095.84545884095</v>
      </c>
      <c r="CQ459" s="884">
        <f t="shared" si="574"/>
        <v>21675.752573976632</v>
      </c>
      <c r="CR459" s="884">
        <f t="shared" si="574"/>
        <v>3073.7352996823765</v>
      </c>
      <c r="CT459" s="1771" t="s">
        <v>2069</v>
      </c>
      <c r="CU459" s="1771"/>
      <c r="CV459" s="1771"/>
      <c r="CW459" s="1771"/>
      <c r="DF459" s="752"/>
      <c r="DG459" s="752"/>
      <c r="DH459" s="752"/>
      <c r="DI459" s="752"/>
    </row>
    <row r="460" spans="1:113">
      <c r="A460" s="882" t="s">
        <v>2070</v>
      </c>
      <c r="B460" s="899" t="s">
        <v>2071</v>
      </c>
      <c r="S460" s="884">
        <f>'8.Бюджет на 2015'!N510/1000</f>
        <v>0</v>
      </c>
      <c r="T460" s="884">
        <f>T72/1000</f>
        <v>1263084.8551806002</v>
      </c>
      <c r="U460" s="884">
        <f>U72/1000</f>
        <v>1304065.10677</v>
      </c>
      <c r="V460" s="884"/>
      <c r="W460" s="884"/>
      <c r="X460" s="884"/>
      <c r="Y460" s="884"/>
      <c r="Z460" s="885"/>
      <c r="AA460" s="884"/>
      <c r="AB460" s="884"/>
      <c r="AC460" s="884"/>
      <c r="AD460" s="884"/>
      <c r="AE460" s="884"/>
      <c r="AF460" s="884"/>
      <c r="AG460" s="886"/>
      <c r="AH460" s="884"/>
      <c r="AI460" s="884"/>
      <c r="AJ460" s="884"/>
      <c r="AK460" s="884"/>
      <c r="AL460" s="884"/>
      <c r="AM460" s="884"/>
      <c r="AN460" s="884"/>
      <c r="AO460" s="884"/>
      <c r="AP460" s="884"/>
      <c r="AQ460" s="884">
        <f>AQ72/1000</f>
        <v>333389.90499999991</v>
      </c>
      <c r="AR460" s="884"/>
      <c r="AS460" s="884">
        <f>AS72/1000</f>
        <v>345003.44688999996</v>
      </c>
      <c r="AT460" s="884"/>
      <c r="AU460" s="884"/>
      <c r="AV460" s="884"/>
      <c r="AW460" s="884"/>
      <c r="AX460" s="884"/>
      <c r="AY460" s="884"/>
      <c r="AZ460" s="884"/>
      <c r="BA460" s="884"/>
      <c r="BB460" s="884">
        <f>BB72/1000</f>
        <v>324727.50171999994</v>
      </c>
      <c r="BC460" s="884"/>
      <c r="BD460" s="884"/>
      <c r="BE460" s="884"/>
      <c r="BF460" s="884"/>
      <c r="BG460" s="884"/>
      <c r="BH460" s="886"/>
      <c r="BI460" s="886"/>
      <c r="BJ460" s="886"/>
      <c r="BK460" s="886"/>
      <c r="BL460" s="886">
        <f>BL72/1000</f>
        <v>300944.25316000002</v>
      </c>
      <c r="BM460" s="886"/>
      <c r="BN460" s="884"/>
      <c r="BO460" s="886"/>
      <c r="BP460" s="886"/>
      <c r="BQ460" s="886">
        <f>BQ72/1000</f>
        <v>300944.25316000002</v>
      </c>
      <c r="BR460" s="886"/>
      <c r="BS460" s="884"/>
      <c r="BU460" s="752"/>
      <c r="BV460" s="752"/>
      <c r="BW460" s="752"/>
      <c r="BX460" s="752"/>
      <c r="BY460" s="752"/>
      <c r="BZ460" s="752"/>
      <c r="CA460" s="752"/>
      <c r="CB460" s="752"/>
      <c r="CC460" s="752"/>
      <c r="CD460" s="884"/>
      <c r="CE460" s="884"/>
      <c r="CF460" s="884"/>
      <c r="CG460" s="884"/>
      <c r="CH460" s="884"/>
      <c r="CI460" s="884"/>
      <c r="CJ460" s="884"/>
      <c r="CK460" s="884">
        <f t="shared" ref="CK460:CR460" si="575">CK72/1000</f>
        <v>0</v>
      </c>
      <c r="CL460" s="884">
        <f t="shared" si="575"/>
        <v>0</v>
      </c>
      <c r="CM460" s="884" t="e">
        <f t="shared" si="575"/>
        <v>#VALUE!</v>
      </c>
      <c r="CN460" s="884">
        <f t="shared" si="575"/>
        <v>0</v>
      </c>
      <c r="CO460" s="884">
        <f t="shared" si="575"/>
        <v>0</v>
      </c>
      <c r="CP460" s="884">
        <f t="shared" si="575"/>
        <v>1292851.577694241</v>
      </c>
      <c r="CQ460" s="884">
        <f t="shared" si="575"/>
        <v>9820.8772225113789</v>
      </c>
      <c r="CR460" s="884">
        <f t="shared" si="575"/>
        <v>1392.6518532473622</v>
      </c>
      <c r="CU460" s="902"/>
      <c r="DF460" s="752"/>
      <c r="DG460" s="752"/>
      <c r="DH460" s="752"/>
      <c r="DI460" s="752"/>
    </row>
    <row r="461" spans="1:113">
      <c r="A461" s="882" t="s">
        <v>2072</v>
      </c>
      <c r="B461" s="899" t="s">
        <v>1617</v>
      </c>
      <c r="S461" s="884">
        <f>S454-S455-S458-S459-S460-S456-S457</f>
        <v>0</v>
      </c>
      <c r="T461" s="884">
        <f>(T56+T230)/1000</f>
        <v>71259.249146358343</v>
      </c>
      <c r="U461" s="884">
        <f>(U56+U230)/1000</f>
        <v>67910.933470000004</v>
      </c>
      <c r="V461" s="884"/>
      <c r="W461" s="884"/>
      <c r="X461" s="884"/>
      <c r="Y461" s="884"/>
      <c r="Z461" s="885"/>
      <c r="AA461" s="884"/>
      <c r="AB461" s="884"/>
      <c r="AC461" s="884"/>
      <c r="AD461" s="884"/>
      <c r="AE461" s="884"/>
      <c r="AF461" s="884"/>
      <c r="AG461" s="886"/>
      <c r="AH461" s="884"/>
      <c r="AI461" s="884"/>
      <c r="AJ461" s="884"/>
      <c r="AK461" s="884"/>
      <c r="AL461" s="884"/>
      <c r="AM461" s="884"/>
      <c r="AN461" s="884"/>
      <c r="AO461" s="884"/>
      <c r="AP461" s="884"/>
      <c r="AQ461" s="884">
        <f>(AQ56+AQ230)/1000</f>
        <v>12699.585259999998</v>
      </c>
      <c r="AR461" s="884"/>
      <c r="AS461" s="884">
        <f>(AS56+AS230)/1000</f>
        <v>15735.140089999997</v>
      </c>
      <c r="AT461" s="884"/>
      <c r="AU461" s="884"/>
      <c r="AV461" s="884"/>
      <c r="AW461" s="884"/>
      <c r="AX461" s="884"/>
      <c r="AY461" s="884"/>
      <c r="AZ461" s="884"/>
      <c r="BA461" s="884"/>
      <c r="BB461" s="884">
        <f>(BB56+BB230)/1000</f>
        <v>14633.335269999998</v>
      </c>
      <c r="BC461" s="884"/>
      <c r="BD461" s="884"/>
      <c r="BE461" s="884"/>
      <c r="BF461" s="884"/>
      <c r="BG461" s="884"/>
      <c r="BH461" s="886"/>
      <c r="BI461" s="886"/>
      <c r="BJ461" s="886"/>
      <c r="BK461" s="886"/>
      <c r="BL461" s="886">
        <f>(BL56+BL230)/1000</f>
        <v>24842.87285</v>
      </c>
      <c r="BM461" s="886"/>
      <c r="BN461" s="884"/>
      <c r="BO461" s="886"/>
      <c r="BP461" s="886"/>
      <c r="BQ461" s="886">
        <f>(BQ56+BQ230)/1000</f>
        <v>24842.87285</v>
      </c>
      <c r="BR461" s="886"/>
      <c r="BS461" s="884"/>
      <c r="BU461" s="752"/>
      <c r="BV461" s="752"/>
      <c r="BW461" s="752"/>
      <c r="BX461" s="752"/>
      <c r="BY461" s="752"/>
      <c r="BZ461" s="752"/>
      <c r="CA461" s="752"/>
      <c r="CB461" s="752"/>
      <c r="CC461" s="752"/>
      <c r="CD461" s="884"/>
      <c r="CE461" s="884"/>
      <c r="CF461" s="884"/>
      <c r="CG461" s="884"/>
      <c r="CH461" s="884"/>
      <c r="CI461" s="884"/>
      <c r="CJ461" s="884"/>
      <c r="CK461" s="884">
        <f t="shared" ref="CK461:CR461" si="576">(CK56+CK230)/1000</f>
        <v>0</v>
      </c>
      <c r="CL461" s="884">
        <f t="shared" si="576"/>
        <v>0</v>
      </c>
      <c r="CM461" s="884">
        <f t="shared" si="576"/>
        <v>0</v>
      </c>
      <c r="CN461" s="884">
        <f t="shared" si="576"/>
        <v>0</v>
      </c>
      <c r="CO461" s="884">
        <f t="shared" si="576"/>
        <v>0</v>
      </c>
      <c r="CP461" s="884">
        <f t="shared" si="576"/>
        <v>62843.524177503859</v>
      </c>
      <c r="CQ461" s="884">
        <f t="shared" si="576"/>
        <v>4616.0618724748674</v>
      </c>
      <c r="CR461" s="884">
        <f t="shared" si="576"/>
        <v>451.34742002127524</v>
      </c>
      <c r="CT461" s="845" t="s">
        <v>2035</v>
      </c>
      <c r="CU461" s="845" t="s">
        <v>2036</v>
      </c>
      <c r="CV461" s="845" t="s">
        <v>2037</v>
      </c>
      <c r="CW461" s="845">
        <v>2015</v>
      </c>
      <c r="DF461" s="752"/>
      <c r="DG461" s="752"/>
      <c r="DH461" s="752"/>
      <c r="DI461" s="752"/>
    </row>
    <row r="462" spans="1:113" ht="85.2" thickBot="1">
      <c r="A462" s="882" t="s">
        <v>2073</v>
      </c>
      <c r="B462" s="883" t="s">
        <v>2074</v>
      </c>
      <c r="S462" s="884">
        <f>'8.Бюджет на 2015'!N468/1000</f>
        <v>0</v>
      </c>
      <c r="T462" s="884">
        <f>T28/1000</f>
        <v>2974724.2988804602</v>
      </c>
      <c r="U462" s="884">
        <f>U28/1000</f>
        <v>2974724.2988697099</v>
      </c>
      <c r="V462" s="884"/>
      <c r="W462" s="884"/>
      <c r="X462" s="884"/>
      <c r="Y462" s="884"/>
      <c r="Z462" s="885"/>
      <c r="AA462" s="884"/>
      <c r="AB462" s="884"/>
      <c r="AC462" s="884"/>
      <c r="AD462" s="884"/>
      <c r="AE462" s="884"/>
      <c r="AF462" s="884"/>
      <c r="AG462" s="886"/>
      <c r="AH462" s="884"/>
      <c r="AI462" s="884"/>
      <c r="AJ462" s="884"/>
      <c r="AK462" s="884"/>
      <c r="AL462" s="884"/>
      <c r="AM462" s="884"/>
      <c r="AN462" s="884"/>
      <c r="AO462" s="884"/>
      <c r="AP462" s="884"/>
      <c r="AQ462" s="884">
        <f>AQ28/1000</f>
        <v>961679.34205824905</v>
      </c>
      <c r="AR462" s="884"/>
      <c r="AS462" s="884">
        <f>AS28/1000</f>
        <v>476154.78299263603</v>
      </c>
      <c r="AT462" s="884"/>
      <c r="AU462" s="884"/>
      <c r="AV462" s="884"/>
      <c r="AW462" s="884"/>
      <c r="AX462" s="884"/>
      <c r="AY462" s="884"/>
      <c r="AZ462" s="884"/>
      <c r="BA462" s="884"/>
      <c r="BB462" s="884">
        <f>BB28/1000</f>
        <v>671576.04057644203</v>
      </c>
      <c r="BC462" s="884"/>
      <c r="BD462" s="884"/>
      <c r="BE462" s="884"/>
      <c r="BF462" s="884"/>
      <c r="BG462" s="884"/>
      <c r="BH462" s="886"/>
      <c r="BI462" s="886"/>
      <c r="BJ462" s="886"/>
      <c r="BK462" s="886"/>
      <c r="BL462" s="886">
        <f>BL28/1000</f>
        <v>865314.13324238302</v>
      </c>
      <c r="BM462" s="886"/>
      <c r="BN462" s="884"/>
      <c r="BO462" s="886"/>
      <c r="BP462" s="886"/>
      <c r="BQ462" s="886">
        <f>BQ28/1000</f>
        <v>865314.13324238302</v>
      </c>
      <c r="BR462" s="886"/>
      <c r="BS462" s="884"/>
      <c r="BU462" s="752"/>
      <c r="BV462" s="752"/>
      <c r="BW462" s="752"/>
      <c r="BX462" s="752"/>
      <c r="BY462" s="752"/>
      <c r="BZ462" s="752"/>
      <c r="CA462" s="752"/>
      <c r="CB462" s="752"/>
      <c r="CC462" s="752"/>
      <c r="CD462" s="884"/>
      <c r="CE462" s="884"/>
      <c r="CF462" s="884"/>
      <c r="CG462" s="884"/>
      <c r="CH462" s="884"/>
      <c r="CI462" s="884"/>
      <c r="CJ462" s="884"/>
      <c r="CK462" s="884">
        <f t="shared" ref="CK462:CR462" si="577">CK28/1000</f>
        <v>0</v>
      </c>
      <c r="CL462" s="884">
        <f t="shared" si="577"/>
        <v>0</v>
      </c>
      <c r="CM462" s="884">
        <f t="shared" si="577"/>
        <v>0</v>
      </c>
      <c r="CN462" s="884">
        <f t="shared" si="577"/>
        <v>0</v>
      </c>
      <c r="CO462" s="884">
        <f t="shared" si="577"/>
        <v>0</v>
      </c>
      <c r="CP462" s="884">
        <f t="shared" si="577"/>
        <v>2974724.2988697099</v>
      </c>
      <c r="CQ462" s="884">
        <f t="shared" si="577"/>
        <v>0</v>
      </c>
      <c r="CR462" s="884">
        <f t="shared" si="577"/>
        <v>0</v>
      </c>
      <c r="CT462" s="900" t="s">
        <v>1</v>
      </c>
      <c r="CU462" s="889" t="s">
        <v>2075</v>
      </c>
      <c r="CV462" s="903"/>
      <c r="CW462" s="852"/>
      <c r="DF462" s="752"/>
      <c r="DG462" s="752"/>
      <c r="DH462" s="752"/>
      <c r="DI462" s="752"/>
    </row>
    <row r="463" spans="1:113" ht="28.8" thickBot="1">
      <c r="A463" s="864" t="s">
        <v>16</v>
      </c>
      <c r="B463" s="865" t="s">
        <v>2076</v>
      </c>
      <c r="C463" s="866"/>
      <c r="D463" s="867"/>
      <c r="E463" s="867"/>
      <c r="F463" s="867"/>
      <c r="G463" s="867"/>
      <c r="H463" s="867"/>
      <c r="I463" s="867"/>
      <c r="J463" s="867"/>
      <c r="K463" s="867"/>
      <c r="L463" s="867"/>
      <c r="M463" s="867"/>
      <c r="N463" s="867"/>
      <c r="O463" s="867"/>
      <c r="P463" s="867"/>
      <c r="Q463" s="867"/>
      <c r="R463" s="867"/>
      <c r="S463" s="868">
        <f>SUM(S447,-S453)</f>
        <v>0</v>
      </c>
      <c r="T463" s="868">
        <f>SUM(T447,-T453)</f>
        <v>970067.00463284366</v>
      </c>
      <c r="U463" s="868">
        <f>SUM(U447,-U453)</f>
        <v>1118374.0998716084</v>
      </c>
      <c r="V463" s="868"/>
      <c r="W463" s="868"/>
      <c r="X463" s="868"/>
      <c r="Y463" s="868"/>
      <c r="Z463" s="869"/>
      <c r="AA463" s="868"/>
      <c r="AB463" s="868"/>
      <c r="AC463" s="868"/>
      <c r="AD463" s="868"/>
      <c r="AE463" s="868"/>
      <c r="AF463" s="868"/>
      <c r="AG463" s="801"/>
      <c r="AH463" s="868"/>
      <c r="AI463" s="868"/>
      <c r="AJ463" s="868"/>
      <c r="AK463" s="868"/>
      <c r="AL463" s="868"/>
      <c r="AM463" s="868"/>
      <c r="AN463" s="868"/>
      <c r="AO463" s="868"/>
      <c r="AP463" s="868"/>
      <c r="AQ463" s="868">
        <f>SUM(AQ447,-AQ453)</f>
        <v>106175.54105897923</v>
      </c>
      <c r="AR463" s="868"/>
      <c r="AS463" s="868">
        <f>SUM(AS447,-AS453)</f>
        <v>336908.05613824842</v>
      </c>
      <c r="AT463" s="868"/>
      <c r="AU463" s="868"/>
      <c r="AV463" s="868"/>
      <c r="AW463" s="868"/>
      <c r="AX463" s="868"/>
      <c r="AY463" s="868"/>
      <c r="AZ463" s="868"/>
      <c r="BA463" s="868"/>
      <c r="BB463" s="868">
        <f>SUM(BB447,-BB453)</f>
        <v>343592.81700980966</v>
      </c>
      <c r="BC463" s="800"/>
      <c r="BD463" s="800"/>
      <c r="BE463" s="800"/>
      <c r="BF463" s="800"/>
      <c r="BG463" s="800"/>
      <c r="BH463" s="801"/>
      <c r="BI463" s="801"/>
      <c r="BJ463" s="801"/>
      <c r="BK463" s="801"/>
      <c r="BL463" s="801">
        <f>SUM(BL447,-BL453)</f>
        <v>331697.68566457042</v>
      </c>
      <c r="BM463" s="801"/>
      <c r="BN463" s="868"/>
      <c r="BO463" s="801"/>
      <c r="BP463" s="801"/>
      <c r="BQ463" s="801">
        <f>SUM(BQ447,-BQ453)</f>
        <v>331697.68566457042</v>
      </c>
      <c r="BR463" s="801"/>
      <c r="BS463" s="868"/>
      <c r="BU463" s="752"/>
      <c r="BV463" s="752"/>
      <c r="BW463" s="752"/>
      <c r="BX463" s="752"/>
      <c r="BY463" s="752"/>
      <c r="BZ463" s="752"/>
      <c r="CA463" s="752"/>
      <c r="CB463" s="752"/>
      <c r="CC463" s="752"/>
      <c r="CD463" s="870"/>
      <c r="CE463" s="870"/>
      <c r="CF463" s="870"/>
      <c r="CG463" s="870"/>
      <c r="CH463" s="870"/>
      <c r="CI463" s="870"/>
      <c r="CJ463" s="870"/>
      <c r="CP463" s="868">
        <f>SUM(CP447,-CP453)</f>
        <v>927490.12624701206</v>
      </c>
      <c r="CQ463" s="868">
        <f>SUM(CQ447,-CQ453)</f>
        <v>170360.18820746752</v>
      </c>
      <c r="CR463" s="868">
        <f>SUM(CR447,-CR453)</f>
        <v>20523.785417128584</v>
      </c>
      <c r="CT463" s="904" t="s">
        <v>294</v>
      </c>
      <c r="CU463" s="889" t="s">
        <v>2077</v>
      </c>
      <c r="CV463" s="850" t="s">
        <v>187</v>
      </c>
      <c r="CW463" s="852">
        <v>18236</v>
      </c>
      <c r="DF463" s="752"/>
      <c r="DG463" s="752"/>
      <c r="DH463" s="752"/>
      <c r="DI463" s="752"/>
    </row>
    <row r="464" spans="1:113" ht="141">
      <c r="A464" s="905" t="s">
        <v>33</v>
      </c>
      <c r="B464" s="906" t="s">
        <v>1671</v>
      </c>
      <c r="S464" s="884"/>
      <c r="T464" s="884"/>
      <c r="U464" s="884"/>
      <c r="V464" s="884"/>
      <c r="W464" s="884"/>
      <c r="X464" s="884"/>
      <c r="Y464" s="884"/>
      <c r="Z464" s="885"/>
      <c r="AA464" s="884"/>
      <c r="AB464" s="884"/>
      <c r="AC464" s="884"/>
      <c r="AD464" s="884"/>
      <c r="AE464" s="884"/>
      <c r="AF464" s="884"/>
      <c r="AG464" s="886"/>
      <c r="AH464" s="884"/>
      <c r="AI464" s="884"/>
      <c r="AJ464" s="884"/>
      <c r="AK464" s="884"/>
      <c r="AL464" s="884"/>
      <c r="AM464" s="884"/>
      <c r="AN464" s="884"/>
      <c r="AO464" s="884"/>
      <c r="AP464" s="884"/>
      <c r="AQ464" s="884"/>
      <c r="AR464" s="884"/>
      <c r="AS464" s="884"/>
      <c r="AT464" s="884"/>
      <c r="AU464" s="884"/>
      <c r="AV464" s="884"/>
      <c r="AW464" s="884"/>
      <c r="AX464" s="884"/>
      <c r="AY464" s="884"/>
      <c r="AZ464" s="884"/>
      <c r="BA464" s="884"/>
      <c r="BB464" s="884"/>
      <c r="BC464" s="884"/>
      <c r="BD464" s="884"/>
      <c r="BE464" s="884"/>
      <c r="BF464" s="884"/>
      <c r="BG464" s="884"/>
      <c r="BH464" s="886"/>
      <c r="BI464" s="886"/>
      <c r="BJ464" s="886"/>
      <c r="BK464" s="886"/>
      <c r="BL464" s="886"/>
      <c r="BM464" s="886"/>
      <c r="BN464" s="884"/>
      <c r="BO464" s="886"/>
      <c r="BP464" s="886"/>
      <c r="BQ464" s="886"/>
      <c r="BR464" s="886"/>
      <c r="BS464" s="884"/>
      <c r="BU464" s="752"/>
      <c r="BV464" s="752"/>
      <c r="BW464" s="752"/>
      <c r="BX464" s="752"/>
      <c r="BY464" s="752"/>
      <c r="BZ464" s="752"/>
      <c r="CA464" s="752"/>
      <c r="CB464" s="752"/>
      <c r="CC464" s="752"/>
      <c r="CD464" s="832"/>
      <c r="CE464" s="832"/>
      <c r="CF464" s="832"/>
      <c r="CG464" s="832"/>
      <c r="CH464" s="832"/>
      <c r="CI464" s="832"/>
      <c r="CJ464" s="832"/>
      <c r="CP464" s="884"/>
      <c r="CQ464" s="884"/>
      <c r="CR464" s="884"/>
      <c r="CT464" s="900" t="s">
        <v>75</v>
      </c>
      <c r="CU464" s="889" t="s">
        <v>2078</v>
      </c>
      <c r="CV464" s="850" t="s">
        <v>2079</v>
      </c>
      <c r="CW464" s="852">
        <v>132999</v>
      </c>
      <c r="DF464" s="752"/>
      <c r="DG464" s="752"/>
      <c r="DH464" s="752"/>
      <c r="DI464" s="752"/>
    </row>
    <row r="465" spans="1:113" ht="28.8" thickBot="1">
      <c r="A465" s="905" t="s">
        <v>52</v>
      </c>
      <c r="B465" s="906" t="s">
        <v>1673</v>
      </c>
      <c r="S465" s="907"/>
      <c r="T465" s="907"/>
      <c r="U465" s="907"/>
      <c r="V465" s="907"/>
      <c r="W465" s="907"/>
      <c r="X465" s="907"/>
      <c r="Y465" s="907"/>
      <c r="Z465" s="908"/>
      <c r="AA465" s="907"/>
      <c r="AB465" s="907"/>
      <c r="AC465" s="907"/>
      <c r="AD465" s="907"/>
      <c r="AE465" s="907"/>
      <c r="AF465" s="907"/>
      <c r="AG465" s="909"/>
      <c r="AH465" s="907"/>
      <c r="AI465" s="907"/>
      <c r="AJ465" s="907"/>
      <c r="AK465" s="907"/>
      <c r="AL465" s="907"/>
      <c r="AM465" s="907"/>
      <c r="AN465" s="907"/>
      <c r="AO465" s="907"/>
      <c r="AP465" s="907"/>
      <c r="AQ465" s="907"/>
      <c r="AR465" s="907"/>
      <c r="AS465" s="907"/>
      <c r="AT465" s="907"/>
      <c r="AU465" s="907"/>
      <c r="AV465" s="907"/>
      <c r="AW465" s="907"/>
      <c r="AX465" s="907"/>
      <c r="AY465" s="907"/>
      <c r="AZ465" s="907"/>
      <c r="BA465" s="907"/>
      <c r="BB465" s="907"/>
      <c r="BC465" s="907"/>
      <c r="BD465" s="907"/>
      <c r="BE465" s="907"/>
      <c r="BF465" s="907"/>
      <c r="BG465" s="907"/>
      <c r="BH465" s="909"/>
      <c r="BI465" s="909"/>
      <c r="BJ465" s="909"/>
      <c r="BK465" s="909"/>
      <c r="BL465" s="909"/>
      <c r="BM465" s="909"/>
      <c r="BN465" s="907"/>
      <c r="BO465" s="909"/>
      <c r="BP465" s="909"/>
      <c r="BQ465" s="909"/>
      <c r="BR465" s="909"/>
      <c r="BS465" s="907"/>
      <c r="BU465" s="752"/>
      <c r="BV465" s="752"/>
      <c r="BW465" s="752"/>
      <c r="BX465" s="752"/>
      <c r="BY465" s="752"/>
      <c r="BZ465" s="752"/>
      <c r="CA465" s="752"/>
      <c r="CB465" s="752"/>
      <c r="CC465" s="752"/>
      <c r="CD465" s="832"/>
      <c r="CE465" s="832"/>
      <c r="CF465" s="832"/>
      <c r="CG465" s="832"/>
      <c r="CH465" s="832"/>
      <c r="CI465" s="832"/>
      <c r="CJ465" s="832"/>
      <c r="CP465" s="907"/>
      <c r="CQ465" s="907"/>
      <c r="CR465" s="907"/>
      <c r="CT465" s="900" t="s">
        <v>2080</v>
      </c>
      <c r="CU465" s="898" t="s">
        <v>2081</v>
      </c>
      <c r="CV465" s="850" t="s">
        <v>2079</v>
      </c>
      <c r="CW465" s="852">
        <v>32500</v>
      </c>
      <c r="DF465" s="752"/>
      <c r="DG465" s="752"/>
      <c r="DH465" s="752"/>
      <c r="DI465" s="752"/>
    </row>
    <row r="466" spans="1:113" ht="57" thickBot="1">
      <c r="A466" s="864" t="s">
        <v>1470</v>
      </c>
      <c r="B466" s="865" t="s">
        <v>2082</v>
      </c>
      <c r="C466" s="866"/>
      <c r="D466" s="867"/>
      <c r="E466" s="867"/>
      <c r="F466" s="867"/>
      <c r="G466" s="867"/>
      <c r="H466" s="867"/>
      <c r="I466" s="867"/>
      <c r="J466" s="867"/>
      <c r="K466" s="867"/>
      <c r="L466" s="867"/>
      <c r="M466" s="867"/>
      <c r="N466" s="867"/>
      <c r="O466" s="867"/>
      <c r="P466" s="867"/>
      <c r="Q466" s="867"/>
      <c r="R466" s="867"/>
      <c r="S466" s="868">
        <f>SUM(S463,-S464,-S465)</f>
        <v>0</v>
      </c>
      <c r="T466" s="868">
        <f>SUM(T463,-T464,-T465)</f>
        <v>970067.00463284366</v>
      </c>
      <c r="U466" s="868">
        <f>SUM(U463,-U464,-U465)</f>
        <v>1118374.0998716084</v>
      </c>
      <c r="V466" s="868"/>
      <c r="W466" s="868"/>
      <c r="X466" s="868"/>
      <c r="Y466" s="868"/>
      <c r="Z466" s="869"/>
      <c r="AA466" s="868"/>
      <c r="AB466" s="868"/>
      <c r="AC466" s="868"/>
      <c r="AD466" s="868"/>
      <c r="AE466" s="868"/>
      <c r="AF466" s="868"/>
      <c r="AG466" s="801"/>
      <c r="AH466" s="868"/>
      <c r="AI466" s="868"/>
      <c r="AJ466" s="868"/>
      <c r="AK466" s="868"/>
      <c r="AL466" s="868"/>
      <c r="AM466" s="868"/>
      <c r="AN466" s="868"/>
      <c r="AO466" s="868"/>
      <c r="AP466" s="868"/>
      <c r="AQ466" s="868">
        <f>SUM(AQ463,-AQ464,-AQ465)</f>
        <v>106175.54105897923</v>
      </c>
      <c r="AR466" s="868"/>
      <c r="AS466" s="868">
        <f>SUM(AS463,-AS464,-AS465)</f>
        <v>336908.05613824842</v>
      </c>
      <c r="AT466" s="868"/>
      <c r="AU466" s="868"/>
      <c r="AV466" s="868"/>
      <c r="AW466" s="868"/>
      <c r="AX466" s="868"/>
      <c r="AY466" s="868"/>
      <c r="AZ466" s="868"/>
      <c r="BA466" s="868"/>
      <c r="BB466" s="868">
        <f>SUM(BB463,-BB464,-BB465)</f>
        <v>343592.81700980966</v>
      </c>
      <c r="BC466" s="800"/>
      <c r="BD466" s="800"/>
      <c r="BE466" s="800"/>
      <c r="BF466" s="800"/>
      <c r="BG466" s="800"/>
      <c r="BH466" s="801"/>
      <c r="BI466" s="801"/>
      <c r="BJ466" s="801"/>
      <c r="BK466" s="801"/>
      <c r="BL466" s="801">
        <f>SUM(BL463,-BL464,-BL465)</f>
        <v>331697.68566457042</v>
      </c>
      <c r="BM466" s="801"/>
      <c r="BN466" s="868"/>
      <c r="BO466" s="801"/>
      <c r="BP466" s="801"/>
      <c r="BQ466" s="801">
        <f>SUM(BQ463,-BQ464,-BQ465)</f>
        <v>331697.68566457042</v>
      </c>
      <c r="BR466" s="801"/>
      <c r="BS466" s="868"/>
      <c r="BU466" s="752"/>
      <c r="BV466" s="752"/>
      <c r="BW466" s="752"/>
      <c r="BX466" s="752"/>
      <c r="BY466" s="752"/>
      <c r="BZ466" s="752"/>
      <c r="CA466" s="752"/>
      <c r="CB466" s="752"/>
      <c r="CC466" s="752"/>
      <c r="CD466" s="870"/>
      <c r="CE466" s="870"/>
      <c r="CF466" s="870"/>
      <c r="CG466" s="870"/>
      <c r="CH466" s="870"/>
      <c r="CI466" s="870"/>
      <c r="CJ466" s="870"/>
      <c r="CP466" s="868">
        <f>SUM(CP463,-CP464,-CP465)</f>
        <v>927490.12624701206</v>
      </c>
      <c r="CQ466" s="868">
        <f>SUM(CQ463,-CQ464,-CQ465)</f>
        <v>170360.18820746752</v>
      </c>
      <c r="CR466" s="868">
        <f>SUM(CR463,-CR464,-CR465)</f>
        <v>20523.785417128584</v>
      </c>
      <c r="CT466" s="900" t="s">
        <v>2083</v>
      </c>
      <c r="CU466" s="898" t="s">
        <v>2084</v>
      </c>
      <c r="CV466" s="850" t="s">
        <v>2079</v>
      </c>
      <c r="CW466" s="852">
        <v>68525</v>
      </c>
      <c r="DF466" s="752"/>
      <c r="DG466" s="752"/>
      <c r="DH466" s="752"/>
      <c r="DI466" s="752"/>
    </row>
    <row r="467" spans="1:113">
      <c r="A467" s="905" t="s">
        <v>2085</v>
      </c>
      <c r="B467" s="906" t="s">
        <v>1678</v>
      </c>
      <c r="S467" s="910">
        <f>'8.Бюджет на 2015'!N452/1000</f>
        <v>0</v>
      </c>
      <c r="T467" s="910">
        <f>T14/1000</f>
        <v>0</v>
      </c>
      <c r="U467" s="910">
        <f>U14/1000</f>
        <v>0</v>
      </c>
      <c r="V467" s="910"/>
      <c r="W467" s="910"/>
      <c r="X467" s="910"/>
      <c r="Y467" s="910"/>
      <c r="Z467" s="911"/>
      <c r="AA467" s="910"/>
      <c r="AB467" s="910"/>
      <c r="AC467" s="910"/>
      <c r="AD467" s="910"/>
      <c r="AE467" s="910"/>
      <c r="AF467" s="910"/>
      <c r="AG467" s="912"/>
      <c r="AH467" s="910"/>
      <c r="AI467" s="910"/>
      <c r="AJ467" s="910"/>
      <c r="AK467" s="910"/>
      <c r="AL467" s="910"/>
      <c r="AM467" s="910"/>
      <c r="AN467" s="910"/>
      <c r="AO467" s="910"/>
      <c r="AP467" s="910"/>
      <c r="AQ467" s="910">
        <f>AQ14/1000</f>
        <v>0</v>
      </c>
      <c r="AR467" s="910"/>
      <c r="AS467" s="910">
        <f>AS14/1000</f>
        <v>0</v>
      </c>
      <c r="AT467" s="910"/>
      <c r="AU467" s="910"/>
      <c r="AV467" s="910"/>
      <c r="AW467" s="910"/>
      <c r="AX467" s="910"/>
      <c r="AY467" s="910"/>
      <c r="AZ467" s="910"/>
      <c r="BA467" s="910"/>
      <c r="BB467" s="910">
        <f>BB14/1000</f>
        <v>0</v>
      </c>
      <c r="BC467" s="910"/>
      <c r="BD467" s="910"/>
      <c r="BE467" s="910"/>
      <c r="BF467" s="910"/>
      <c r="BG467" s="910"/>
      <c r="BH467" s="912"/>
      <c r="BI467" s="912"/>
      <c r="BJ467" s="912"/>
      <c r="BK467" s="912"/>
      <c r="BL467" s="912">
        <f>BL14/1000</f>
        <v>0</v>
      </c>
      <c r="BM467" s="912"/>
      <c r="BN467" s="910"/>
      <c r="BO467" s="912"/>
      <c r="BP467" s="912"/>
      <c r="BQ467" s="912">
        <f>BQ14/1000</f>
        <v>0</v>
      </c>
      <c r="BR467" s="912"/>
      <c r="BS467" s="910"/>
      <c r="BU467" s="752"/>
      <c r="BV467" s="752"/>
      <c r="BW467" s="752"/>
      <c r="BX467" s="752"/>
      <c r="BY467" s="752"/>
      <c r="BZ467" s="752"/>
      <c r="CA467" s="752"/>
      <c r="CB467" s="752"/>
      <c r="CC467" s="752"/>
      <c r="CD467" s="910"/>
      <c r="CE467" s="910"/>
      <c r="CF467" s="910"/>
      <c r="CG467" s="910"/>
      <c r="CH467" s="910"/>
      <c r="CI467" s="910"/>
      <c r="CJ467" s="910"/>
      <c r="CK467" s="910" t="e">
        <f t="shared" ref="CK467:CR467" si="578">CK14/1000</f>
        <v>#VALUE!</v>
      </c>
      <c r="CL467" s="910" t="e">
        <f t="shared" si="578"/>
        <v>#VALUE!</v>
      </c>
      <c r="CM467" s="910">
        <f t="shared" si="578"/>
        <v>0</v>
      </c>
      <c r="CN467" s="910">
        <f t="shared" si="578"/>
        <v>0</v>
      </c>
      <c r="CO467" s="910">
        <f t="shared" si="578"/>
        <v>0</v>
      </c>
      <c r="CP467" s="910">
        <f t="shared" si="578"/>
        <v>0</v>
      </c>
      <c r="CQ467" s="910">
        <f t="shared" si="578"/>
        <v>0</v>
      </c>
      <c r="CR467" s="910">
        <f t="shared" si="578"/>
        <v>0</v>
      </c>
      <c r="CT467" s="900" t="s">
        <v>2086</v>
      </c>
      <c r="CU467" s="898" t="s">
        <v>2087</v>
      </c>
      <c r="CV467" s="850" t="s">
        <v>2079</v>
      </c>
      <c r="CW467" s="852">
        <v>31974</v>
      </c>
      <c r="DF467" s="752"/>
      <c r="DG467" s="752"/>
      <c r="DH467" s="752"/>
      <c r="DI467" s="752"/>
    </row>
    <row r="468" spans="1:113" ht="197.4">
      <c r="A468" s="905" t="s">
        <v>2088</v>
      </c>
      <c r="B468" s="906" t="s">
        <v>1680</v>
      </c>
      <c r="S468" s="884">
        <f>('8.Бюджет на 2015'!N680+'8.Бюджет на 2015'!N681)/1000</f>
        <v>0</v>
      </c>
      <c r="T468" s="884">
        <f>(T243+T244)/1000</f>
        <v>147355.24710000001</v>
      </c>
      <c r="U468" s="884">
        <f>(U243+U244)/1000</f>
        <v>685737.68066187121</v>
      </c>
      <c r="V468" s="884"/>
      <c r="W468" s="884"/>
      <c r="X468" s="884"/>
      <c r="Y468" s="884"/>
      <c r="Z468" s="885"/>
      <c r="AA468" s="884"/>
      <c r="AB468" s="884"/>
      <c r="AC468" s="884"/>
      <c r="AD468" s="884"/>
      <c r="AE468" s="884"/>
      <c r="AF468" s="884"/>
      <c r="AG468" s="886"/>
      <c r="AH468" s="884"/>
      <c r="AI468" s="884"/>
      <c r="AJ468" s="884"/>
      <c r="AK468" s="884"/>
      <c r="AL468" s="884"/>
      <c r="AM468" s="884"/>
      <c r="AN468" s="884"/>
      <c r="AO468" s="884"/>
      <c r="AP468" s="884"/>
      <c r="AQ468" s="884">
        <f>(AQ243+AQ244)/1000</f>
        <v>153583.52997693949</v>
      </c>
      <c r="AR468" s="884"/>
      <c r="AS468" s="884">
        <f>(AS243+AS244)/1000</f>
        <v>174129.47123287671</v>
      </c>
      <c r="AT468" s="884"/>
      <c r="AU468" s="884"/>
      <c r="AV468" s="884"/>
      <c r="AW468" s="884"/>
      <c r="AX468" s="884"/>
      <c r="AY468" s="884"/>
      <c r="AZ468" s="884"/>
      <c r="BA468" s="884"/>
      <c r="BB468" s="884">
        <f>(BB243+BB244)/1000</f>
        <v>179012.33972602748</v>
      </c>
      <c r="BC468" s="884"/>
      <c r="BD468" s="884"/>
      <c r="BE468" s="884"/>
      <c r="BF468" s="884"/>
      <c r="BG468" s="884"/>
      <c r="BH468" s="886"/>
      <c r="BI468" s="886"/>
      <c r="BJ468" s="886"/>
      <c r="BK468" s="886"/>
      <c r="BL468" s="886">
        <f>(BL243+BL244)/1000</f>
        <v>179012.33972602748</v>
      </c>
      <c r="BM468" s="886"/>
      <c r="BN468" s="884"/>
      <c r="BO468" s="886"/>
      <c r="BP468" s="886"/>
      <c r="BQ468" s="886">
        <f>(BQ243+BQ244)/1000</f>
        <v>179012.33972602748</v>
      </c>
      <c r="BR468" s="886"/>
      <c r="BS468" s="884"/>
      <c r="BU468" s="752"/>
      <c r="BV468" s="752"/>
      <c r="BW468" s="752"/>
      <c r="BX468" s="752"/>
      <c r="BY468" s="752"/>
      <c r="BZ468" s="752"/>
      <c r="CA468" s="752"/>
      <c r="CB468" s="752"/>
      <c r="CC468" s="752"/>
      <c r="CD468" s="884"/>
      <c r="CE468" s="884"/>
      <c r="CF468" s="884"/>
      <c r="CG468" s="884"/>
      <c r="CH468" s="884"/>
      <c r="CI468" s="884"/>
      <c r="CJ468" s="884"/>
      <c r="CK468" s="884" t="e">
        <f t="shared" ref="CK468:CR468" si="579">(CK243+CK244)/1000</f>
        <v>#VALUE!</v>
      </c>
      <c r="CL468" s="884" t="e">
        <f t="shared" si="579"/>
        <v>#VALUE!</v>
      </c>
      <c r="CM468" s="884" t="e">
        <f t="shared" si="579"/>
        <v>#VALUE!</v>
      </c>
      <c r="CN468" s="884" t="e">
        <f t="shared" si="579"/>
        <v>#VALUE!</v>
      </c>
      <c r="CO468" s="884">
        <f t="shared" si="579"/>
        <v>0</v>
      </c>
      <c r="CP468" s="884">
        <f t="shared" si="579"/>
        <v>638814.65981977095</v>
      </c>
      <c r="CQ468" s="884">
        <f t="shared" si="579"/>
        <v>46923.02084210029</v>
      </c>
      <c r="CR468" s="884">
        <f t="shared" si="579"/>
        <v>0</v>
      </c>
      <c r="CT468" s="900" t="s">
        <v>6</v>
      </c>
      <c r="CU468" s="889" t="s">
        <v>2089</v>
      </c>
      <c r="CV468" s="850" t="s">
        <v>552</v>
      </c>
      <c r="CW468" s="852">
        <v>331178</v>
      </c>
      <c r="DF468" s="752"/>
      <c r="DG468" s="752"/>
      <c r="DH468" s="752"/>
      <c r="DI468" s="752"/>
    </row>
    <row r="469" spans="1:113" ht="84.6">
      <c r="A469" s="905" t="s">
        <v>2090</v>
      </c>
      <c r="B469" s="906" t="s">
        <v>1682</v>
      </c>
      <c r="S469" s="884">
        <f>('8.Бюджет на 2015'!N451-'8.Бюджет на 2015'!N452)/1000</f>
        <v>0</v>
      </c>
      <c r="T469" s="884">
        <f>(T13-T14)/1000</f>
        <v>0</v>
      </c>
      <c r="U469" s="884">
        <f>(U13-U14)/1000</f>
        <v>306447.21135</v>
      </c>
      <c r="V469" s="884"/>
      <c r="W469" s="884"/>
      <c r="X469" s="884"/>
      <c r="Y469" s="884"/>
      <c r="Z469" s="885"/>
      <c r="AA469" s="884"/>
      <c r="AB469" s="884"/>
      <c r="AC469" s="884"/>
      <c r="AD469" s="884"/>
      <c r="AE469" s="884"/>
      <c r="AF469" s="884"/>
      <c r="AG469" s="886"/>
      <c r="AH469" s="884"/>
      <c r="AI469" s="884"/>
      <c r="AJ469" s="884"/>
      <c r="AK469" s="884"/>
      <c r="AL469" s="884"/>
      <c r="AM469" s="884"/>
      <c r="AN469" s="884"/>
      <c r="AO469" s="884"/>
      <c r="AP469" s="884"/>
      <c r="AQ469" s="884">
        <f>(AQ13-AQ14)/1000</f>
        <v>181210.90559000001</v>
      </c>
      <c r="AR469" s="884"/>
      <c r="AS469" s="884">
        <f>(AS13-AS14)/1000</f>
        <v>42523.110240000002</v>
      </c>
      <c r="AT469" s="884"/>
      <c r="AU469" s="884"/>
      <c r="AV469" s="884"/>
      <c r="AW469" s="884"/>
      <c r="AX469" s="884"/>
      <c r="AY469" s="884"/>
      <c r="AZ469" s="884"/>
      <c r="BA469" s="884"/>
      <c r="BB469" s="884">
        <f>(BB13-BB14)/1000</f>
        <v>43463.787579999997</v>
      </c>
      <c r="BC469" s="884"/>
      <c r="BD469" s="884"/>
      <c r="BE469" s="884"/>
      <c r="BF469" s="884"/>
      <c r="BG469" s="884"/>
      <c r="BH469" s="886"/>
      <c r="BI469" s="886"/>
      <c r="BJ469" s="886"/>
      <c r="BK469" s="886"/>
      <c r="BL469" s="886">
        <f>(BL13-BL14)/1000</f>
        <v>39249.407939999997</v>
      </c>
      <c r="BM469" s="886"/>
      <c r="BN469" s="884"/>
      <c r="BO469" s="886"/>
      <c r="BP469" s="886"/>
      <c r="BQ469" s="886">
        <f>(BQ13-BQ14)/1000</f>
        <v>39249.407939999997</v>
      </c>
      <c r="BR469" s="886"/>
      <c r="BS469" s="884"/>
      <c r="BU469" s="752"/>
      <c r="BV469" s="752"/>
      <c r="BW469" s="752"/>
      <c r="BX469" s="752"/>
      <c r="BY469" s="752"/>
      <c r="BZ469" s="752"/>
      <c r="CA469" s="752"/>
      <c r="CB469" s="752"/>
      <c r="CC469" s="752"/>
      <c r="CD469" s="884"/>
      <c r="CE469" s="884"/>
      <c r="CF469" s="884"/>
      <c r="CG469" s="884"/>
      <c r="CH469" s="884"/>
      <c r="CI469" s="884"/>
      <c r="CJ469" s="884"/>
      <c r="CK469" s="884" t="e">
        <f t="shared" ref="CK469:CR469" si="580">(CK13-CK14)/1000</f>
        <v>#VALUE!</v>
      </c>
      <c r="CL469" s="884" t="e">
        <f t="shared" si="580"/>
        <v>#VALUE!</v>
      </c>
      <c r="CM469" s="884">
        <f t="shared" si="580"/>
        <v>0</v>
      </c>
      <c r="CN469" s="884">
        <f t="shared" si="580"/>
        <v>0</v>
      </c>
      <c r="CO469" s="884">
        <f t="shared" si="580"/>
        <v>0</v>
      </c>
      <c r="CP469" s="884">
        <f t="shared" si="580"/>
        <v>255932.60912853872</v>
      </c>
      <c r="CQ469" s="884">
        <f t="shared" si="580"/>
        <v>10578.81614699157</v>
      </c>
      <c r="CR469" s="884">
        <f t="shared" si="580"/>
        <v>39935.78607446971</v>
      </c>
      <c r="CT469" s="900" t="s">
        <v>1144</v>
      </c>
      <c r="CU469" s="898" t="s">
        <v>2091</v>
      </c>
      <c r="CV469" s="850" t="s">
        <v>552</v>
      </c>
      <c r="CW469" s="852">
        <v>8500</v>
      </c>
      <c r="DF469" s="752"/>
      <c r="DG469" s="752"/>
      <c r="DH469" s="752"/>
      <c r="DI469" s="752"/>
    </row>
    <row r="470" spans="1:113" ht="226.2" thickBot="1">
      <c r="A470" s="905" t="s">
        <v>2092</v>
      </c>
      <c r="B470" s="906" t="s">
        <v>1305</v>
      </c>
      <c r="S470" s="884">
        <f>('8.Бюджет на 2015'!N679-'8.Бюджет на 2015'!N680-'8.Бюджет на 2015'!N681)/1000</f>
        <v>0</v>
      </c>
      <c r="T470" s="884">
        <f>(T241-T243-T244)/1000</f>
        <v>46077.97</v>
      </c>
      <c r="U470" s="884">
        <f>(U241-U243-U244)/1000</f>
        <v>296097.35105261637</v>
      </c>
      <c r="V470" s="884"/>
      <c r="W470" s="884"/>
      <c r="X470" s="884"/>
      <c r="Y470" s="884"/>
      <c r="Z470" s="885"/>
      <c r="AA470" s="884"/>
      <c r="AB470" s="884"/>
      <c r="AC470" s="884"/>
      <c r="AD470" s="884"/>
      <c r="AE470" s="884"/>
      <c r="AF470" s="884"/>
      <c r="AG470" s="886"/>
      <c r="AH470" s="884"/>
      <c r="AI470" s="884"/>
      <c r="AJ470" s="884"/>
      <c r="AK470" s="884"/>
      <c r="AL470" s="884"/>
      <c r="AM470" s="884"/>
      <c r="AN470" s="884"/>
      <c r="AO470" s="884"/>
      <c r="AP470" s="884"/>
      <c r="AQ470" s="884">
        <f>(AQ241-AQ243-AQ244)/1000</f>
        <v>26036.825651600004</v>
      </c>
      <c r="AR470" s="884"/>
      <c r="AS470" s="884">
        <f>(AS241-AS243-AS244)/1000</f>
        <v>44302.136331810012</v>
      </c>
      <c r="AT470" s="884"/>
      <c r="AU470" s="884"/>
      <c r="AV470" s="884"/>
      <c r="AW470" s="884"/>
      <c r="AX470" s="884"/>
      <c r="AY470" s="884"/>
      <c r="AZ470" s="884"/>
      <c r="BA470" s="884"/>
      <c r="BB470" s="884">
        <f>(BB241-BB243-BB244)/1000</f>
        <v>118200.50588150007</v>
      </c>
      <c r="BC470" s="884"/>
      <c r="BD470" s="884"/>
      <c r="BE470" s="884"/>
      <c r="BF470" s="884"/>
      <c r="BG470" s="884"/>
      <c r="BH470" s="886"/>
      <c r="BI470" s="886"/>
      <c r="BJ470" s="886"/>
      <c r="BK470" s="886"/>
      <c r="BL470" s="886">
        <f>(BL241-BL243-BL244)/1000</f>
        <v>107557.88318770652</v>
      </c>
      <c r="BM470" s="886"/>
      <c r="BN470" s="884"/>
      <c r="BO470" s="886"/>
      <c r="BP470" s="886"/>
      <c r="BQ470" s="886">
        <f>(BQ241-BQ243-BQ244)/1000</f>
        <v>107557.88318770652</v>
      </c>
      <c r="BR470" s="886"/>
      <c r="BS470" s="884"/>
      <c r="BU470" s="752"/>
      <c r="BV470" s="752"/>
      <c r="BW470" s="752"/>
      <c r="BX470" s="752"/>
      <c r="BY470" s="752"/>
      <c r="BZ470" s="752"/>
      <c r="CA470" s="752"/>
      <c r="CB470" s="752"/>
      <c r="CC470" s="752"/>
      <c r="CD470" s="884"/>
      <c r="CE470" s="884"/>
      <c r="CF470" s="884"/>
      <c r="CG470" s="884"/>
      <c r="CH470" s="884"/>
      <c r="CI470" s="884"/>
      <c r="CJ470" s="884"/>
      <c r="CK470" s="884" t="e">
        <f t="shared" ref="CK470:CR470" si="581">(CK241-CK243-CK244)/1000</f>
        <v>#VALUE!</v>
      </c>
      <c r="CL470" s="884" t="e">
        <f t="shared" si="581"/>
        <v>#VALUE!</v>
      </c>
      <c r="CM470" s="884" t="e">
        <f t="shared" si="581"/>
        <v>#VALUE!</v>
      </c>
      <c r="CN470" s="884" t="e">
        <f t="shared" si="581"/>
        <v>#VALUE!</v>
      </c>
      <c r="CO470" s="884">
        <f t="shared" si="581"/>
        <v>0</v>
      </c>
      <c r="CP470" s="884">
        <f t="shared" si="581"/>
        <v>261822.80498437607</v>
      </c>
      <c r="CQ470" s="884">
        <f t="shared" si="581"/>
        <v>18631.088221955233</v>
      </c>
      <c r="CR470" s="884">
        <f t="shared" si="581"/>
        <v>15643.457846284993</v>
      </c>
      <c r="CT470" s="900" t="s">
        <v>1149</v>
      </c>
      <c r="CU470" s="898" t="s">
        <v>2093</v>
      </c>
      <c r="CV470" s="850" t="s">
        <v>552</v>
      </c>
      <c r="CW470" s="852">
        <v>322678</v>
      </c>
      <c r="DF470" s="752"/>
      <c r="DG470" s="752"/>
      <c r="DH470" s="752"/>
      <c r="DI470" s="752"/>
    </row>
    <row r="471" spans="1:113" ht="28.8" thickBot="1">
      <c r="A471" s="864" t="s">
        <v>2094</v>
      </c>
      <c r="B471" s="865" t="s">
        <v>2095</v>
      </c>
      <c r="C471" s="866"/>
      <c r="D471" s="867"/>
      <c r="E471" s="867"/>
      <c r="F471" s="867"/>
      <c r="G471" s="867"/>
      <c r="H471" s="867"/>
      <c r="I471" s="867"/>
      <c r="J471" s="867"/>
      <c r="K471" s="867"/>
      <c r="L471" s="867"/>
      <c r="M471" s="867"/>
      <c r="N471" s="867"/>
      <c r="O471" s="867"/>
      <c r="P471" s="867"/>
      <c r="Q471" s="867"/>
      <c r="R471" s="867"/>
      <c r="S471" s="868">
        <f>SUM(S466,S467,S469,-S468,-S470)</f>
        <v>0</v>
      </c>
      <c r="T471" s="868">
        <f>SUM(T466,T467,T469,-T468,-T470)</f>
        <v>776633.78753284365</v>
      </c>
      <c r="U471" s="868">
        <f>SUM(U466,U467,U469,-U468,-U470)</f>
        <v>442986.27950712084</v>
      </c>
      <c r="V471" s="868"/>
      <c r="W471" s="868"/>
      <c r="X471" s="868"/>
      <c r="Y471" s="868"/>
      <c r="Z471" s="869"/>
      <c r="AA471" s="868"/>
      <c r="AB471" s="868"/>
      <c r="AC471" s="868"/>
      <c r="AD471" s="868"/>
      <c r="AE471" s="868"/>
      <c r="AF471" s="868"/>
      <c r="AG471" s="801"/>
      <c r="AH471" s="868"/>
      <c r="AI471" s="868"/>
      <c r="AJ471" s="868"/>
      <c r="AK471" s="868"/>
      <c r="AL471" s="868"/>
      <c r="AM471" s="868"/>
      <c r="AN471" s="868"/>
      <c r="AO471" s="868"/>
      <c r="AP471" s="868"/>
      <c r="AQ471" s="868">
        <f>SUM(AQ466,AQ467,AQ469,-AQ468,-AQ470)</f>
        <v>107766.09102043972</v>
      </c>
      <c r="AR471" s="868"/>
      <c r="AS471" s="868">
        <f>SUM(AS466,AS467,AS469,-AS468,-AS470)</f>
        <v>160999.55881356171</v>
      </c>
      <c r="AT471" s="868"/>
      <c r="AU471" s="868"/>
      <c r="AV471" s="868"/>
      <c r="AW471" s="868"/>
      <c r="AX471" s="868"/>
      <c r="AY471" s="868"/>
      <c r="AZ471" s="868"/>
      <c r="BA471" s="868"/>
      <c r="BB471" s="868">
        <f>SUM(BB466,BB467,BB469,-BB468,-BB470)</f>
        <v>89843.758982282117</v>
      </c>
      <c r="BC471" s="800"/>
      <c r="BD471" s="800"/>
      <c r="BE471" s="800"/>
      <c r="BF471" s="800"/>
      <c r="BG471" s="800"/>
      <c r="BH471" s="801"/>
      <c r="BI471" s="801"/>
      <c r="BJ471" s="801"/>
      <c r="BK471" s="801"/>
      <c r="BL471" s="801">
        <f>SUM(BL466,BL467,BL469,-BL468,-BL470)</f>
        <v>84376.870690836426</v>
      </c>
      <c r="BM471" s="801"/>
      <c r="BN471" s="868"/>
      <c r="BO471" s="801"/>
      <c r="BP471" s="801"/>
      <c r="BQ471" s="801">
        <f>SUM(BQ466,BQ467,BQ469,-BQ468,-BQ470)</f>
        <v>84376.870690836426</v>
      </c>
      <c r="BR471" s="801"/>
      <c r="BS471" s="868"/>
      <c r="BU471" s="752"/>
      <c r="BV471" s="752"/>
      <c r="BW471" s="752"/>
      <c r="BX471" s="752"/>
      <c r="BY471" s="752"/>
      <c r="BZ471" s="752"/>
      <c r="CA471" s="752"/>
      <c r="CB471" s="752"/>
      <c r="CC471" s="752"/>
      <c r="CD471" s="870"/>
      <c r="CE471" s="870"/>
      <c r="CF471" s="870"/>
      <c r="CG471" s="870"/>
      <c r="CH471" s="870"/>
      <c r="CI471" s="870"/>
      <c r="CJ471" s="870"/>
      <c r="CP471" s="868">
        <f>SUM(CP466,CP467,CP469,-CP468,-CP470)</f>
        <v>282785.27057140379</v>
      </c>
      <c r="CQ471" s="868">
        <f>SUM(CQ466,CQ467,CQ469,-CQ468,-CQ470)</f>
        <v>115384.89529040357</v>
      </c>
      <c r="CR471" s="868">
        <f>SUM(CR466,CR467,CR469,-CR468,-CR470)</f>
        <v>44816.113645313308</v>
      </c>
      <c r="CT471" s="871"/>
      <c r="CU471" s="871"/>
      <c r="CV471" s="871"/>
      <c r="CW471" s="871"/>
      <c r="DF471" s="752"/>
      <c r="DG471" s="752"/>
      <c r="DH471" s="752"/>
      <c r="DI471" s="752"/>
    </row>
    <row r="472" spans="1:113">
      <c r="A472" s="905" t="s">
        <v>2096</v>
      </c>
      <c r="B472" s="906" t="s">
        <v>2097</v>
      </c>
      <c r="S472" s="910">
        <f>-'8.Бюджет на 2015'!N749/1000</f>
        <v>0</v>
      </c>
      <c r="T472" s="910">
        <f>T313/1000</f>
        <v>0</v>
      </c>
      <c r="U472" s="910">
        <f>U313/1000</f>
        <v>0</v>
      </c>
      <c r="V472" s="910"/>
      <c r="W472" s="910"/>
      <c r="X472" s="910"/>
      <c r="Y472" s="910"/>
      <c r="Z472" s="911"/>
      <c r="AA472" s="910"/>
      <c r="AB472" s="910"/>
      <c r="AC472" s="910"/>
      <c r="AD472" s="910"/>
      <c r="AE472" s="910"/>
      <c r="AF472" s="910"/>
      <c r="AG472" s="912"/>
      <c r="AH472" s="910"/>
      <c r="AI472" s="910"/>
      <c r="AJ472" s="910"/>
      <c r="AK472" s="910"/>
      <c r="AL472" s="910"/>
      <c r="AM472" s="910"/>
      <c r="AN472" s="910"/>
      <c r="AO472" s="910"/>
      <c r="AP472" s="910"/>
      <c r="AQ472" s="910">
        <f t="shared" ref="AQ472:CR472" si="582">AQ313/1000</f>
        <v>0</v>
      </c>
      <c r="AR472" s="910"/>
      <c r="AS472" s="910">
        <f t="shared" si="582"/>
        <v>0</v>
      </c>
      <c r="AT472" s="910"/>
      <c r="AU472" s="910"/>
      <c r="AV472" s="910"/>
      <c r="AW472" s="910"/>
      <c r="AX472" s="910"/>
      <c r="AY472" s="910"/>
      <c r="AZ472" s="910"/>
      <c r="BA472" s="910"/>
      <c r="BB472" s="910">
        <f t="shared" si="582"/>
        <v>0</v>
      </c>
      <c r="BC472" s="910"/>
      <c r="BD472" s="910"/>
      <c r="BE472" s="910"/>
      <c r="BF472" s="910"/>
      <c r="BG472" s="910"/>
      <c r="BH472" s="912"/>
      <c r="BI472" s="912"/>
      <c r="BJ472" s="912"/>
      <c r="BK472" s="912"/>
      <c r="BL472" s="912">
        <f t="shared" si="582"/>
        <v>0</v>
      </c>
      <c r="BM472" s="912"/>
      <c r="BN472" s="910"/>
      <c r="BO472" s="912"/>
      <c r="BP472" s="912"/>
      <c r="BQ472" s="912">
        <f t="shared" ref="BQ472" si="583">BQ313/1000</f>
        <v>0</v>
      </c>
      <c r="BR472" s="912"/>
      <c r="BS472" s="910"/>
      <c r="BU472" s="752"/>
      <c r="BV472" s="752"/>
      <c r="BW472" s="752"/>
      <c r="BX472" s="752"/>
      <c r="BY472" s="752"/>
      <c r="BZ472" s="752"/>
      <c r="CA472" s="752"/>
      <c r="CB472" s="752"/>
      <c r="CC472" s="752"/>
      <c r="CD472" s="910"/>
      <c r="CE472" s="910"/>
      <c r="CF472" s="910"/>
      <c r="CG472" s="910"/>
      <c r="CH472" s="910"/>
      <c r="CI472" s="910"/>
      <c r="CJ472" s="910"/>
      <c r="CK472" s="910" t="e">
        <f t="shared" si="582"/>
        <v>#VALUE!</v>
      </c>
      <c r="CL472" s="910" t="e">
        <f t="shared" si="582"/>
        <v>#VALUE!</v>
      </c>
      <c r="CM472" s="910" t="e">
        <f t="shared" si="582"/>
        <v>#VALUE!</v>
      </c>
      <c r="CN472" s="910" t="e">
        <f t="shared" si="582"/>
        <v>#VALUE!</v>
      </c>
      <c r="CO472" s="910">
        <f t="shared" si="582"/>
        <v>0</v>
      </c>
      <c r="CP472" s="910">
        <f t="shared" si="582"/>
        <v>0</v>
      </c>
      <c r="CQ472" s="910">
        <f t="shared" si="582"/>
        <v>0</v>
      </c>
      <c r="CR472" s="910">
        <f t="shared" si="582"/>
        <v>0</v>
      </c>
      <c r="CT472" s="871"/>
      <c r="CU472" s="913"/>
      <c r="CV472" s="871"/>
      <c r="CW472" s="914"/>
      <c r="DF472" s="752"/>
      <c r="DG472" s="752"/>
      <c r="DH472" s="752"/>
      <c r="DI472" s="752"/>
    </row>
    <row r="473" spans="1:113" ht="26.25" customHeight="1">
      <c r="A473" s="905" t="s">
        <v>2098</v>
      </c>
      <c r="B473" s="906" t="s">
        <v>2099</v>
      </c>
      <c r="S473" s="910">
        <f>'8.Бюджет на 2015'!N748/1000</f>
        <v>0</v>
      </c>
      <c r="T473" s="910">
        <f>T312/1000</f>
        <v>0</v>
      </c>
      <c r="U473" s="910">
        <f>U312/1000</f>
        <v>0</v>
      </c>
      <c r="V473" s="910"/>
      <c r="W473" s="910"/>
      <c r="X473" s="910"/>
      <c r="Y473" s="910"/>
      <c r="Z473" s="911"/>
      <c r="AA473" s="910"/>
      <c r="AB473" s="910"/>
      <c r="AC473" s="910"/>
      <c r="AD473" s="910"/>
      <c r="AE473" s="910"/>
      <c r="AF473" s="910"/>
      <c r="AG473" s="912"/>
      <c r="AH473" s="910"/>
      <c r="AI473" s="910"/>
      <c r="AJ473" s="910"/>
      <c r="AK473" s="910"/>
      <c r="AL473" s="910"/>
      <c r="AM473" s="910"/>
      <c r="AN473" s="910"/>
      <c r="AO473" s="910"/>
      <c r="AP473" s="910"/>
      <c r="AQ473" s="910">
        <f t="shared" ref="AQ473:CR473" si="584">AQ312/1000</f>
        <v>0</v>
      </c>
      <c r="AR473" s="910"/>
      <c r="AS473" s="910">
        <f t="shared" si="584"/>
        <v>0</v>
      </c>
      <c r="AT473" s="910"/>
      <c r="AU473" s="910"/>
      <c r="AV473" s="910"/>
      <c r="AW473" s="910"/>
      <c r="AX473" s="910"/>
      <c r="AY473" s="910"/>
      <c r="AZ473" s="910"/>
      <c r="BA473" s="910"/>
      <c r="BB473" s="910">
        <f t="shared" si="584"/>
        <v>0</v>
      </c>
      <c r="BC473" s="910"/>
      <c r="BD473" s="910"/>
      <c r="BE473" s="910"/>
      <c r="BF473" s="910"/>
      <c r="BG473" s="910"/>
      <c r="BH473" s="912"/>
      <c r="BI473" s="912"/>
      <c r="BJ473" s="912"/>
      <c r="BK473" s="912"/>
      <c r="BL473" s="912">
        <f t="shared" si="584"/>
        <v>0</v>
      </c>
      <c r="BM473" s="912"/>
      <c r="BN473" s="910"/>
      <c r="BO473" s="912"/>
      <c r="BP473" s="912"/>
      <c r="BQ473" s="912">
        <f t="shared" ref="BQ473" si="585">BQ312/1000</f>
        <v>0</v>
      </c>
      <c r="BR473" s="912"/>
      <c r="BS473" s="910"/>
      <c r="BU473" s="752"/>
      <c r="BV473" s="752"/>
      <c r="BW473" s="752"/>
      <c r="BX473" s="752"/>
      <c r="BY473" s="752"/>
      <c r="BZ473" s="752"/>
      <c r="CA473" s="752"/>
      <c r="CB473" s="752"/>
      <c r="CC473" s="752"/>
      <c r="CD473" s="910"/>
      <c r="CE473" s="910"/>
      <c r="CF473" s="910"/>
      <c r="CG473" s="910"/>
      <c r="CH473" s="910"/>
      <c r="CI473" s="910"/>
      <c r="CJ473" s="910"/>
      <c r="CK473" s="910" t="e">
        <f t="shared" si="584"/>
        <v>#VALUE!</v>
      </c>
      <c r="CL473" s="910" t="e">
        <f t="shared" si="584"/>
        <v>#VALUE!</v>
      </c>
      <c r="CM473" s="910" t="e">
        <f t="shared" si="584"/>
        <v>#VALUE!</v>
      </c>
      <c r="CN473" s="910" t="e">
        <f t="shared" si="584"/>
        <v>#VALUE!</v>
      </c>
      <c r="CO473" s="910">
        <f t="shared" si="584"/>
        <v>0</v>
      </c>
      <c r="CP473" s="910">
        <f t="shared" si="584"/>
        <v>0</v>
      </c>
      <c r="CQ473" s="910">
        <f t="shared" si="584"/>
        <v>0</v>
      </c>
      <c r="CR473" s="910">
        <f t="shared" si="584"/>
        <v>0</v>
      </c>
      <c r="CT473" s="1778" t="s">
        <v>2100</v>
      </c>
      <c r="CU473" s="1778"/>
      <c r="CV473" s="1778"/>
      <c r="CW473" s="1778"/>
      <c r="CX473" s="1778"/>
      <c r="CY473" s="1778"/>
      <c r="CZ473" s="1778"/>
      <c r="DA473" s="1778"/>
      <c r="DB473" s="1778"/>
      <c r="DF473" s="752"/>
      <c r="DG473" s="752"/>
      <c r="DH473" s="752"/>
      <c r="DI473" s="752"/>
    </row>
    <row r="474" spans="1:113" ht="22.5" customHeight="1">
      <c r="A474" s="905" t="s">
        <v>2101</v>
      </c>
      <c r="B474" s="906" t="s">
        <v>2102</v>
      </c>
      <c r="S474" s="910">
        <f>'8.Бюджет на 2015'!N747/1000</f>
        <v>0</v>
      </c>
      <c r="T474" s="910">
        <f>T311/1000</f>
        <v>94894.848929851971</v>
      </c>
      <c r="U474" s="910">
        <f>U311/1000</f>
        <v>88597.255901424229</v>
      </c>
      <c r="V474" s="910"/>
      <c r="W474" s="910"/>
      <c r="X474" s="910"/>
      <c r="Y474" s="910"/>
      <c r="Z474" s="911"/>
      <c r="AA474" s="910"/>
      <c r="AB474" s="910"/>
      <c r="AC474" s="910"/>
      <c r="AD474" s="910"/>
      <c r="AE474" s="910"/>
      <c r="AF474" s="910"/>
      <c r="AG474" s="912"/>
      <c r="AH474" s="910"/>
      <c r="AI474" s="910"/>
      <c r="AJ474" s="910"/>
      <c r="AK474" s="910"/>
      <c r="AL474" s="910"/>
      <c r="AM474" s="910"/>
      <c r="AN474" s="910"/>
      <c r="AO474" s="910"/>
      <c r="AP474" s="910"/>
      <c r="AQ474" s="910">
        <f t="shared" ref="AQ474:CR474" si="586">AQ311/1000</f>
        <v>21553.218204087989</v>
      </c>
      <c r="AR474" s="910"/>
      <c r="AS474" s="910">
        <f t="shared" si="586"/>
        <v>32199.911762712301</v>
      </c>
      <c r="AT474" s="910"/>
      <c r="AU474" s="910"/>
      <c r="AV474" s="910"/>
      <c r="AW474" s="910"/>
      <c r="AX474" s="910"/>
      <c r="AY474" s="910"/>
      <c r="AZ474" s="910"/>
      <c r="BA474" s="910"/>
      <c r="BB474" s="910">
        <f t="shared" si="586"/>
        <v>17968.751796456421</v>
      </c>
      <c r="BC474" s="910"/>
      <c r="BD474" s="910"/>
      <c r="BE474" s="910"/>
      <c r="BF474" s="910"/>
      <c r="BG474" s="910"/>
      <c r="BH474" s="912"/>
      <c r="BI474" s="912"/>
      <c r="BJ474" s="912"/>
      <c r="BK474" s="912"/>
      <c r="BL474" s="912">
        <f t="shared" si="586"/>
        <v>16875.374138167299</v>
      </c>
      <c r="BM474" s="912"/>
      <c r="BN474" s="910"/>
      <c r="BO474" s="912"/>
      <c r="BP474" s="912"/>
      <c r="BQ474" s="912">
        <f t="shared" ref="BQ474" si="587">BQ311/1000</f>
        <v>16875.374138167299</v>
      </c>
      <c r="BR474" s="912"/>
      <c r="BS474" s="910"/>
      <c r="BU474" s="752"/>
      <c r="BV474" s="752"/>
      <c r="BW474" s="752"/>
      <c r="BX474" s="752"/>
      <c r="BY474" s="752"/>
      <c r="BZ474" s="752"/>
      <c r="CA474" s="752"/>
      <c r="CB474" s="752"/>
      <c r="CC474" s="752"/>
      <c r="CD474" s="910"/>
      <c r="CE474" s="910"/>
      <c r="CF474" s="910"/>
      <c r="CG474" s="910"/>
      <c r="CH474" s="910"/>
      <c r="CI474" s="910"/>
      <c r="CJ474" s="910"/>
      <c r="CK474" s="910" t="e">
        <f t="shared" si="586"/>
        <v>#VALUE!</v>
      </c>
      <c r="CL474" s="910" t="e">
        <f t="shared" si="586"/>
        <v>#VALUE!</v>
      </c>
      <c r="CM474" s="910" t="e">
        <f t="shared" si="586"/>
        <v>#VALUE!</v>
      </c>
      <c r="CN474" s="910" t="e">
        <f t="shared" si="586"/>
        <v>#VALUE!</v>
      </c>
      <c r="CO474" s="910">
        <f t="shared" si="586"/>
        <v>0</v>
      </c>
      <c r="CP474" s="910">
        <f t="shared" si="586"/>
        <v>56557.054114280756</v>
      </c>
      <c r="CQ474" s="910" t="e">
        <f t="shared" si="586"/>
        <v>#REF!</v>
      </c>
      <c r="CR474" s="910" t="e">
        <f t="shared" si="586"/>
        <v>#REF!</v>
      </c>
      <c r="CT474" s="1778"/>
      <c r="CU474" s="1778"/>
      <c r="CV474" s="1778"/>
      <c r="CW474" s="1778"/>
      <c r="CX474" s="1778"/>
      <c r="CY474" s="1778"/>
      <c r="CZ474" s="1778"/>
      <c r="DA474" s="1778"/>
      <c r="DB474" s="1778"/>
      <c r="DF474" s="752"/>
      <c r="DG474" s="752"/>
      <c r="DH474" s="752"/>
      <c r="DI474" s="752"/>
    </row>
    <row r="475" spans="1:113" ht="30.75" customHeight="1" thickBot="1">
      <c r="A475" s="915" t="s">
        <v>2103</v>
      </c>
      <c r="B475" s="916" t="s">
        <v>2104</v>
      </c>
      <c r="S475" s="917">
        <f>'8.Бюджет на 2015'!N750/1000</f>
        <v>0</v>
      </c>
      <c r="T475" s="917">
        <f>(T314+T315+T317)/1000</f>
        <v>0</v>
      </c>
      <c r="U475" s="917">
        <f>(U314+U315+U317)/1000</f>
        <v>139462.50759052328</v>
      </c>
      <c r="V475" s="917"/>
      <c r="W475" s="917"/>
      <c r="X475" s="917"/>
      <c r="Y475" s="917"/>
      <c r="Z475" s="918"/>
      <c r="AA475" s="917"/>
      <c r="AB475" s="917"/>
      <c r="AC475" s="917"/>
      <c r="AD475" s="917"/>
      <c r="AE475" s="917"/>
      <c r="AF475" s="917"/>
      <c r="AG475" s="919"/>
      <c r="AH475" s="917"/>
      <c r="AI475" s="917"/>
      <c r="AJ475" s="917"/>
      <c r="AK475" s="917"/>
      <c r="AL475" s="917"/>
      <c r="AM475" s="917"/>
      <c r="AN475" s="917"/>
      <c r="AO475" s="917"/>
      <c r="AP475" s="917"/>
      <c r="AQ475" s="917">
        <f>(AQ314+AQ315+AQ317)/1000</f>
        <v>85952.604656320007</v>
      </c>
      <c r="AR475" s="917"/>
      <c r="AS475" s="917">
        <f>(AS314+AS315+AS317)/1000</f>
        <v>8685.0001443620022</v>
      </c>
      <c r="AT475" s="917"/>
      <c r="AU475" s="917"/>
      <c r="AV475" s="917"/>
      <c r="AW475" s="917"/>
      <c r="AX475" s="917"/>
      <c r="AY475" s="917"/>
      <c r="AZ475" s="917"/>
      <c r="BA475" s="917"/>
      <c r="BB475" s="917">
        <f>(BB314+BB315+BB317)/1000</f>
        <v>23465.377012300014</v>
      </c>
      <c r="BC475" s="917"/>
      <c r="BD475" s="917"/>
      <c r="BE475" s="917"/>
      <c r="BF475" s="917"/>
      <c r="BG475" s="917"/>
      <c r="BH475" s="919"/>
      <c r="BI475" s="919"/>
      <c r="BJ475" s="919"/>
      <c r="BK475" s="919"/>
      <c r="BL475" s="919">
        <f>(BL314+BL315+BL317)/1000</f>
        <v>21359.525777541305</v>
      </c>
      <c r="BM475" s="919"/>
      <c r="BN475" s="917"/>
      <c r="BO475" s="919"/>
      <c r="BP475" s="919"/>
      <c r="BQ475" s="919">
        <f>(BQ314+BQ315+BQ317)/1000</f>
        <v>21359.525777541305</v>
      </c>
      <c r="BR475" s="919"/>
      <c r="BS475" s="917"/>
      <c r="BU475" s="752"/>
      <c r="BV475" s="752"/>
      <c r="BW475" s="752"/>
      <c r="BX475" s="752"/>
      <c r="BY475" s="752"/>
      <c r="BZ475" s="752"/>
      <c r="CA475" s="752"/>
      <c r="CB475" s="752"/>
      <c r="CC475" s="752"/>
      <c r="CD475" s="917"/>
      <c r="CE475" s="917"/>
      <c r="CF475" s="917"/>
      <c r="CG475" s="917"/>
      <c r="CH475" s="917"/>
      <c r="CI475" s="917"/>
      <c r="CJ475" s="917"/>
      <c r="CK475" s="917" t="e">
        <f t="shared" ref="CK475:CR475" si="588">(CK314+CK315+CK317)/1000</f>
        <v>#VALUE!</v>
      </c>
      <c r="CL475" s="917" t="e">
        <f t="shared" si="588"/>
        <v>#VALUE!</v>
      </c>
      <c r="CM475" s="917" t="e">
        <f t="shared" si="588"/>
        <v>#VALUE!</v>
      </c>
      <c r="CN475" s="917" t="e">
        <f t="shared" si="588"/>
        <v>#VALUE!</v>
      </c>
      <c r="CO475" s="917">
        <f t="shared" si="588"/>
        <v>0</v>
      </c>
      <c r="CP475" s="917">
        <f t="shared" si="588"/>
        <v>126398.42827615869</v>
      </c>
      <c r="CQ475" s="917">
        <f t="shared" si="588"/>
        <v>9164.2467252314837</v>
      </c>
      <c r="CR475" s="917">
        <f t="shared" si="588"/>
        <v>3899.8325891331087</v>
      </c>
      <c r="CT475" s="1778"/>
      <c r="CU475" s="1778"/>
      <c r="CV475" s="1778"/>
      <c r="CW475" s="1778"/>
      <c r="CX475" s="1778"/>
      <c r="CY475" s="1778"/>
      <c r="CZ475" s="1778"/>
      <c r="DA475" s="1778"/>
      <c r="DB475" s="1778"/>
      <c r="DC475" s="920"/>
      <c r="DF475" s="752"/>
      <c r="DG475" s="752"/>
      <c r="DH475" s="752"/>
      <c r="DI475" s="752"/>
    </row>
    <row r="476" spans="1:113" ht="28.8" thickBot="1">
      <c r="A476" s="1779" t="s">
        <v>1270</v>
      </c>
      <c r="B476" s="1780"/>
      <c r="S476" s="894"/>
      <c r="T476" s="894">
        <f>T320/1000</f>
        <v>345140.29777159984</v>
      </c>
      <c r="U476" s="894"/>
      <c r="V476" s="894"/>
      <c r="W476" s="894"/>
      <c r="X476" s="894"/>
      <c r="Y476" s="894"/>
      <c r="Z476" s="895"/>
      <c r="AA476" s="894"/>
      <c r="AB476" s="894"/>
      <c r="AC476" s="894"/>
      <c r="AD476" s="894"/>
      <c r="AE476" s="894"/>
      <c r="AF476" s="894"/>
      <c r="AG476" s="896"/>
      <c r="AH476" s="894"/>
      <c r="AI476" s="894"/>
      <c r="AJ476" s="894"/>
      <c r="AK476" s="894"/>
      <c r="AL476" s="894"/>
      <c r="AM476" s="894"/>
      <c r="AN476" s="894"/>
      <c r="AO476" s="894"/>
      <c r="AP476" s="894"/>
      <c r="AQ476" s="894"/>
      <c r="AR476" s="894"/>
      <c r="AS476" s="894"/>
      <c r="AT476" s="894"/>
      <c r="AU476" s="894"/>
      <c r="AV476" s="894"/>
      <c r="AW476" s="894"/>
      <c r="AX476" s="894"/>
      <c r="AY476" s="894"/>
      <c r="AZ476" s="894"/>
      <c r="BA476" s="894"/>
      <c r="BB476" s="894"/>
      <c r="BC476" s="894"/>
      <c r="BD476" s="894"/>
      <c r="BE476" s="894"/>
      <c r="BF476" s="894"/>
      <c r="BG476" s="894"/>
      <c r="BH476" s="896"/>
      <c r="BI476" s="896"/>
      <c r="BJ476" s="896"/>
      <c r="BK476" s="896"/>
      <c r="BL476" s="896"/>
      <c r="BM476" s="896"/>
      <c r="BN476" s="894"/>
      <c r="BO476" s="896"/>
      <c r="BP476" s="896"/>
      <c r="BQ476" s="896"/>
      <c r="BR476" s="896"/>
      <c r="BS476" s="894"/>
      <c r="BU476" s="752"/>
      <c r="BV476" s="752"/>
      <c r="BW476" s="752"/>
      <c r="BX476" s="752"/>
      <c r="BY476" s="752"/>
      <c r="BZ476" s="752"/>
      <c r="CA476" s="752"/>
      <c r="CB476" s="752"/>
      <c r="CC476" s="752"/>
      <c r="CD476" s="897"/>
      <c r="CE476" s="897"/>
      <c r="CF476" s="897"/>
      <c r="CG476" s="897"/>
      <c r="CH476" s="897"/>
      <c r="CI476" s="897"/>
      <c r="CJ476" s="897"/>
      <c r="CP476" s="894"/>
      <c r="CQ476" s="894"/>
      <c r="CR476" s="894"/>
      <c r="CT476" s="921"/>
      <c r="CU476" s="922"/>
      <c r="CV476" s="923"/>
      <c r="CW476" s="914"/>
      <c r="CX476" s="735"/>
      <c r="CY476" s="735"/>
      <c r="CZ476" s="735"/>
      <c r="DA476" s="735"/>
      <c r="DB476" s="924"/>
      <c r="DC476" s="920"/>
      <c r="DF476" s="752"/>
      <c r="DG476" s="752"/>
      <c r="DH476" s="752"/>
      <c r="DI476" s="752"/>
    </row>
    <row r="477" spans="1:113" ht="28.8" thickBot="1">
      <c r="A477" s="864" t="s">
        <v>2105</v>
      </c>
      <c r="B477" s="925" t="s">
        <v>1685</v>
      </c>
      <c r="C477" s="866"/>
      <c r="D477" s="867"/>
      <c r="E477" s="867"/>
      <c r="F477" s="867"/>
      <c r="G477" s="867"/>
      <c r="H477" s="867"/>
      <c r="I477" s="867"/>
      <c r="J477" s="867"/>
      <c r="K477" s="867"/>
      <c r="L477" s="867"/>
      <c r="M477" s="867"/>
      <c r="N477" s="867"/>
      <c r="O477" s="867"/>
      <c r="P477" s="867"/>
      <c r="Q477" s="867"/>
      <c r="R477" s="867"/>
      <c r="S477" s="868">
        <f>'8.Бюджет на 2015'!N761/1000</f>
        <v>0</v>
      </c>
      <c r="T477" s="868">
        <f>T447-T453+T467-T468+T469-T470-T474-T475-T476</f>
        <v>336598.64083139179</v>
      </c>
      <c r="U477" s="868">
        <f>U447-U453+U467-U468+U469-U470-U474-U475</f>
        <v>214926.51601517334</v>
      </c>
      <c r="V477" s="868"/>
      <c r="W477" s="868"/>
      <c r="X477" s="868"/>
      <c r="Y477" s="868"/>
      <c r="Z477" s="869"/>
      <c r="AA477" s="868"/>
      <c r="AB477" s="868"/>
      <c r="AC477" s="868"/>
      <c r="AD477" s="868"/>
      <c r="AE477" s="868"/>
      <c r="AF477" s="868"/>
      <c r="AG477" s="801"/>
      <c r="AH477" s="868"/>
      <c r="AI477" s="868"/>
      <c r="AJ477" s="868"/>
      <c r="AK477" s="868"/>
      <c r="AL477" s="868"/>
      <c r="AM477" s="868"/>
      <c r="AN477" s="868"/>
      <c r="AO477" s="868"/>
      <c r="AP477" s="868"/>
      <c r="AQ477" s="868">
        <f t="shared" ref="AQ477:CR477" si="589">AQ447-AQ453+AQ467-AQ468+AQ469-AQ470-AQ474-AQ475</f>
        <v>260.26816003175918</v>
      </c>
      <c r="AR477" s="868"/>
      <c r="AS477" s="868">
        <f t="shared" si="589"/>
        <v>120114.64690648741</v>
      </c>
      <c r="AT477" s="868"/>
      <c r="AU477" s="868"/>
      <c r="AV477" s="868"/>
      <c r="AW477" s="868"/>
      <c r="AX477" s="868"/>
      <c r="AY477" s="868"/>
      <c r="AZ477" s="868"/>
      <c r="BA477" s="868"/>
      <c r="BB477" s="868">
        <f t="shared" si="589"/>
        <v>48409.630173525686</v>
      </c>
      <c r="BC477" s="800"/>
      <c r="BD477" s="800"/>
      <c r="BE477" s="800"/>
      <c r="BF477" s="800"/>
      <c r="BG477" s="800"/>
      <c r="BH477" s="801"/>
      <c r="BI477" s="801"/>
      <c r="BJ477" s="801"/>
      <c r="BK477" s="801"/>
      <c r="BL477" s="801">
        <f t="shared" si="589"/>
        <v>46141.970775127818</v>
      </c>
      <c r="BM477" s="801"/>
      <c r="BN477" s="868"/>
      <c r="BO477" s="801"/>
      <c r="BP477" s="801"/>
      <c r="BQ477" s="801">
        <f t="shared" ref="BQ477" si="590">BQ447-BQ453+BQ467-BQ468+BQ469-BQ470-BQ474-BQ475</f>
        <v>46141.970775127818</v>
      </c>
      <c r="BR477" s="801"/>
      <c r="BS477" s="868"/>
      <c r="BU477" s="752"/>
      <c r="BV477" s="752"/>
      <c r="BW477" s="752"/>
      <c r="BX477" s="752"/>
      <c r="BY477" s="752"/>
      <c r="BZ477" s="752"/>
      <c r="CA477" s="752"/>
      <c r="CB477" s="752"/>
      <c r="CC477" s="752"/>
      <c r="CD477" s="868"/>
      <c r="CE477" s="868"/>
      <c r="CF477" s="868"/>
      <c r="CG477" s="868"/>
      <c r="CH477" s="868"/>
      <c r="CI477" s="868"/>
      <c r="CJ477" s="868"/>
      <c r="CK477" s="868" t="e">
        <f t="shared" si="589"/>
        <v>#VALUE!</v>
      </c>
      <c r="CL477" s="868" t="e">
        <f t="shared" si="589"/>
        <v>#VALUE!</v>
      </c>
      <c r="CM477" s="868" t="e">
        <f t="shared" si="589"/>
        <v>#VALUE!</v>
      </c>
      <c r="CN477" s="868" t="e">
        <f t="shared" si="589"/>
        <v>#VALUE!</v>
      </c>
      <c r="CO477" s="868">
        <f t="shared" si="589"/>
        <v>0</v>
      </c>
      <c r="CP477" s="868">
        <f t="shared" si="589"/>
        <v>99829.78818096433</v>
      </c>
      <c r="CQ477" s="868" t="e">
        <f t="shared" si="589"/>
        <v>#REF!</v>
      </c>
      <c r="CR477" s="868" t="e">
        <f t="shared" si="589"/>
        <v>#REF!</v>
      </c>
      <c r="CT477" s="1781" t="s">
        <v>2035</v>
      </c>
      <c r="CU477" s="1781" t="s">
        <v>2036</v>
      </c>
      <c r="CV477" s="891"/>
      <c r="CW477" s="1782">
        <v>2015</v>
      </c>
      <c r="CX477" s="1782"/>
      <c r="CY477" s="1782"/>
      <c r="CZ477" s="1782"/>
      <c r="DA477" s="1782"/>
      <c r="DB477" s="1782"/>
      <c r="DC477" s="920"/>
      <c r="DF477" s="752"/>
      <c r="DG477" s="752"/>
      <c r="DH477" s="752"/>
      <c r="DI477" s="752"/>
    </row>
    <row r="478" spans="1:113" ht="23.25" customHeight="1" thickBot="1">
      <c r="A478" s="926" t="s">
        <v>2106</v>
      </c>
      <c r="B478" s="927" t="s">
        <v>2107</v>
      </c>
      <c r="C478" s="928"/>
      <c r="D478" s="929"/>
      <c r="E478" s="929"/>
      <c r="F478" s="929"/>
      <c r="G478" s="929"/>
      <c r="H478" s="929"/>
      <c r="I478" s="929"/>
      <c r="J478" s="929"/>
      <c r="K478" s="929"/>
      <c r="L478" s="929"/>
      <c r="M478" s="929"/>
      <c r="N478" s="929"/>
      <c r="O478" s="929"/>
      <c r="P478" s="929"/>
      <c r="Q478" s="929"/>
      <c r="R478" s="929"/>
      <c r="S478" s="930"/>
      <c r="T478" s="1783">
        <f>T477-U477</f>
        <v>121672.12481621845</v>
      </c>
      <c r="U478" s="1784"/>
      <c r="V478" s="931"/>
      <c r="W478" s="931"/>
      <c r="X478" s="931"/>
      <c r="Y478" s="931"/>
      <c r="Z478" s="932"/>
      <c r="AA478" s="931"/>
      <c r="AB478" s="931"/>
      <c r="AC478" s="931"/>
      <c r="AD478" s="931"/>
      <c r="AE478" s="931"/>
      <c r="AF478" s="931"/>
      <c r="AG478" s="933"/>
      <c r="AH478" s="931"/>
      <c r="AI478" s="931"/>
      <c r="AJ478" s="931"/>
      <c r="AK478" s="931"/>
      <c r="AL478" s="931"/>
      <c r="AM478" s="931"/>
      <c r="AN478" s="931"/>
      <c r="AO478" s="931"/>
      <c r="AP478" s="931"/>
      <c r="AQ478" s="930"/>
      <c r="AR478" s="930"/>
      <c r="AS478" s="930"/>
      <c r="AT478" s="930"/>
      <c r="AU478" s="930"/>
      <c r="AV478" s="930"/>
      <c r="AW478" s="930"/>
      <c r="AX478" s="930"/>
      <c r="AY478" s="930"/>
      <c r="AZ478" s="930"/>
      <c r="BA478" s="930"/>
      <c r="BB478" s="930"/>
      <c r="BC478" s="800"/>
      <c r="BD478" s="800"/>
      <c r="BE478" s="800"/>
      <c r="BF478" s="800"/>
      <c r="BG478" s="800"/>
      <c r="BH478" s="801"/>
      <c r="BI478" s="801"/>
      <c r="BJ478" s="801"/>
      <c r="BK478" s="801"/>
      <c r="BL478" s="801"/>
      <c r="BM478" s="801"/>
      <c r="BN478" s="930"/>
      <c r="BO478" s="801"/>
      <c r="BP478" s="801"/>
      <c r="BQ478" s="801"/>
      <c r="BR478" s="801"/>
      <c r="BS478" s="930"/>
      <c r="BU478" s="752"/>
      <c r="BV478" s="752"/>
      <c r="BW478" s="752"/>
      <c r="BX478" s="752"/>
      <c r="BY478" s="752"/>
      <c r="BZ478" s="752"/>
      <c r="CA478" s="752"/>
      <c r="CB478" s="752"/>
      <c r="CC478" s="752"/>
      <c r="CD478" s="930"/>
      <c r="CE478" s="930"/>
      <c r="CF478" s="930"/>
      <c r="CG478" s="930"/>
      <c r="CH478" s="930"/>
      <c r="CI478" s="930"/>
      <c r="CJ478" s="930"/>
      <c r="CK478" s="930"/>
      <c r="CL478" s="930"/>
      <c r="CM478" s="930"/>
      <c r="CN478" s="930"/>
      <c r="CO478" s="930"/>
      <c r="CP478" s="930"/>
      <c r="CQ478" s="930"/>
      <c r="CR478" s="930"/>
      <c r="CT478" s="1781"/>
      <c r="CU478" s="1781"/>
      <c r="CV478" s="845" t="s">
        <v>2037</v>
      </c>
      <c r="CW478" s="845" t="s">
        <v>2108</v>
      </c>
      <c r="CX478" s="510"/>
      <c r="CY478" s="510"/>
      <c r="CZ478" s="510"/>
      <c r="DA478" s="510"/>
      <c r="DB478" s="934" t="s">
        <v>2109</v>
      </c>
      <c r="DC478" s="920"/>
      <c r="DF478" s="752"/>
      <c r="DG478" s="752"/>
      <c r="DH478" s="752"/>
      <c r="DI478" s="752"/>
    </row>
    <row r="479" spans="1:113" ht="141">
      <c r="BH479" s="738"/>
      <c r="BI479" s="738"/>
      <c r="BJ479" s="738"/>
      <c r="BK479" s="738"/>
      <c r="BO479" s="738"/>
      <c r="BP479" s="738"/>
      <c r="BU479" s="752"/>
      <c r="BV479" s="752"/>
      <c r="BW479" s="752"/>
      <c r="BX479" s="752"/>
      <c r="BY479" s="752"/>
      <c r="BZ479" s="752"/>
      <c r="CA479" s="752"/>
      <c r="CB479" s="752"/>
      <c r="CC479" s="752"/>
      <c r="CT479" s="935" t="s">
        <v>1</v>
      </c>
      <c r="CU479" s="936" t="s">
        <v>2110</v>
      </c>
      <c r="CV479" s="937" t="s">
        <v>2111</v>
      </c>
      <c r="CW479" s="938">
        <f>CW480+CW481+CW482</f>
        <v>1488392.19</v>
      </c>
      <c r="DB479" s="939">
        <f>DB480+DB481+DB482</f>
        <v>1440231.3969999999</v>
      </c>
      <c r="DF479" s="752"/>
      <c r="DG479" s="752"/>
      <c r="DH479" s="752"/>
      <c r="DI479" s="752"/>
    </row>
    <row r="480" spans="1:113" ht="56.4">
      <c r="A480" s="835"/>
      <c r="B480" s="836" t="s">
        <v>2112</v>
      </c>
      <c r="BH480" s="738"/>
      <c r="BI480" s="738"/>
      <c r="BJ480" s="738"/>
      <c r="BK480" s="738"/>
      <c r="BO480" s="738"/>
      <c r="BP480" s="738"/>
      <c r="BU480" s="752"/>
      <c r="BV480" s="752"/>
      <c r="BW480" s="752"/>
      <c r="BX480" s="752"/>
      <c r="BY480" s="752"/>
      <c r="BZ480" s="752"/>
      <c r="CA480" s="752"/>
      <c r="CB480" s="752"/>
      <c r="CC480" s="752"/>
      <c r="CT480" s="850" t="s">
        <v>294</v>
      </c>
      <c r="CU480" s="851" t="s">
        <v>1462</v>
      </c>
      <c r="CV480" s="890" t="s">
        <v>2111</v>
      </c>
      <c r="CW480" s="852">
        <v>297196</v>
      </c>
      <c r="DB480" s="940">
        <v>319845.33299999998</v>
      </c>
      <c r="DF480" s="752"/>
      <c r="DG480" s="752"/>
      <c r="DH480" s="752"/>
      <c r="DI480" s="752"/>
    </row>
    <row r="481" spans="1:113" ht="141.6" thickBot="1">
      <c r="A481" s="835"/>
      <c r="B481" s="836"/>
      <c r="BH481" s="738"/>
      <c r="BI481" s="738"/>
      <c r="BJ481" s="738"/>
      <c r="BK481" s="738"/>
      <c r="BO481" s="738"/>
      <c r="BP481" s="738"/>
      <c r="BU481" s="752"/>
      <c r="BV481" s="752"/>
      <c r="BW481" s="752"/>
      <c r="BX481" s="752"/>
      <c r="BY481" s="752"/>
      <c r="BZ481" s="752"/>
      <c r="CA481" s="752"/>
      <c r="CB481" s="752"/>
      <c r="CC481" s="752"/>
      <c r="CT481" s="850" t="s">
        <v>75</v>
      </c>
      <c r="CU481" s="851" t="s">
        <v>2113</v>
      </c>
      <c r="CV481" s="890" t="s">
        <v>2111</v>
      </c>
      <c r="CW481" s="852">
        <v>336599</v>
      </c>
      <c r="DB481" s="940">
        <v>214926.516</v>
      </c>
      <c r="DF481" s="752"/>
      <c r="DG481" s="752"/>
      <c r="DH481" s="752"/>
      <c r="DI481" s="752"/>
    </row>
    <row r="482" spans="1:113" ht="112.8">
      <c r="A482" s="1772" t="s">
        <v>110</v>
      </c>
      <c r="B482" s="1775" t="s">
        <v>2028</v>
      </c>
      <c r="C482" s="837"/>
      <c r="D482" s="838"/>
      <c r="E482" s="838"/>
      <c r="F482" s="838"/>
      <c r="G482" s="838"/>
      <c r="H482" s="838"/>
      <c r="I482" s="838"/>
      <c r="J482" s="838"/>
      <c r="K482" s="838"/>
      <c r="L482" s="838"/>
      <c r="M482" s="838"/>
      <c r="N482" s="838"/>
      <c r="O482" s="838"/>
      <c r="P482" s="838"/>
      <c r="Q482" s="838"/>
      <c r="R482" s="838"/>
      <c r="S482" s="1775"/>
      <c r="T482" s="1775"/>
      <c r="U482" s="1775" t="s">
        <v>2034</v>
      </c>
      <c r="V482" s="839"/>
      <c r="W482" s="839"/>
      <c r="X482" s="839"/>
      <c r="Y482" s="839"/>
      <c r="Z482" s="840"/>
      <c r="AA482" s="839"/>
      <c r="AB482" s="839"/>
      <c r="AC482" s="839"/>
      <c r="AD482" s="839"/>
      <c r="AE482" s="839"/>
      <c r="AF482" s="839"/>
      <c r="AG482" s="841"/>
      <c r="AH482" s="839"/>
      <c r="AI482" s="839"/>
      <c r="AJ482" s="839"/>
      <c r="AK482" s="839"/>
      <c r="AL482" s="839"/>
      <c r="AM482" s="839"/>
      <c r="AN482" s="839"/>
      <c r="AO482" s="839"/>
      <c r="AP482" s="839"/>
      <c r="AQ482" s="1775"/>
      <c r="AR482" s="839"/>
      <c r="AS482" s="1775"/>
      <c r="AT482" s="839"/>
      <c r="AU482" s="839"/>
      <c r="AV482" s="839"/>
      <c r="AW482" s="839"/>
      <c r="AX482" s="839"/>
      <c r="AY482" s="839"/>
      <c r="AZ482" s="839"/>
      <c r="BA482" s="839"/>
      <c r="BB482" s="1775"/>
      <c r="BC482" s="842"/>
      <c r="BD482" s="842"/>
      <c r="BE482" s="842"/>
      <c r="BF482" s="842"/>
      <c r="BG482" s="842"/>
      <c r="BH482" s="841"/>
      <c r="BI482" s="841"/>
      <c r="BJ482" s="841"/>
      <c r="BK482" s="841"/>
      <c r="BL482" s="1785"/>
      <c r="BM482" s="841"/>
      <c r="BN482" s="839"/>
      <c r="BO482" s="841"/>
      <c r="BP482" s="841"/>
      <c r="BQ482" s="1785"/>
      <c r="BR482" s="841"/>
      <c r="BS482" s="839"/>
      <c r="BU482" s="752"/>
      <c r="BV482" s="752"/>
      <c r="BW482" s="752"/>
      <c r="BX482" s="752"/>
      <c r="BY482" s="752"/>
      <c r="BZ482" s="752"/>
      <c r="CA482" s="752"/>
      <c r="CB482" s="752"/>
      <c r="CC482" s="752"/>
      <c r="CD482" s="843"/>
      <c r="CE482" s="843"/>
      <c r="CF482" s="843"/>
      <c r="CG482" s="843"/>
      <c r="CH482" s="843"/>
      <c r="CI482" s="843"/>
      <c r="CJ482" s="843"/>
      <c r="CK482" s="844"/>
      <c r="CL482" s="844"/>
      <c r="CM482" s="837"/>
      <c r="CN482" s="837"/>
      <c r="CO482" s="837"/>
      <c r="CP482" s="1775" t="s">
        <v>1746</v>
      </c>
      <c r="CQ482" s="1788"/>
      <c r="CR482" s="1789"/>
      <c r="CT482" s="850" t="s">
        <v>546</v>
      </c>
      <c r="CU482" s="851" t="s">
        <v>2114</v>
      </c>
      <c r="CV482" s="890" t="s">
        <v>2111</v>
      </c>
      <c r="CW482" s="852">
        <f>CW483+CW484+CW485+CW486</f>
        <v>854597.19000000006</v>
      </c>
      <c r="DB482" s="940">
        <f>DB483+DB484+DB485+DB486</f>
        <v>905459.54799999995</v>
      </c>
      <c r="DF482" s="752"/>
      <c r="DG482" s="752"/>
      <c r="DH482" s="752"/>
      <c r="DI482" s="752"/>
    </row>
    <row r="483" spans="1:113" ht="56.4">
      <c r="A483" s="1773"/>
      <c r="B483" s="1776"/>
      <c r="C483" s="837"/>
      <c r="D483" s="838"/>
      <c r="E483" s="838"/>
      <c r="F483" s="838"/>
      <c r="G483" s="838"/>
      <c r="H483" s="838"/>
      <c r="I483" s="838"/>
      <c r="J483" s="838"/>
      <c r="K483" s="838"/>
      <c r="L483" s="838"/>
      <c r="M483" s="838"/>
      <c r="N483" s="838"/>
      <c r="O483" s="838"/>
      <c r="P483" s="838"/>
      <c r="Q483" s="838"/>
      <c r="R483" s="838"/>
      <c r="S483" s="1776"/>
      <c r="T483" s="1776"/>
      <c r="U483" s="1776"/>
      <c r="V483" s="846"/>
      <c r="W483" s="846"/>
      <c r="X483" s="846"/>
      <c r="Y483" s="846"/>
      <c r="Z483" s="847"/>
      <c r="AA483" s="846"/>
      <c r="AB483" s="846"/>
      <c r="AC483" s="846"/>
      <c r="AD483" s="846"/>
      <c r="AE483" s="846"/>
      <c r="AF483" s="846"/>
      <c r="AG483" s="848"/>
      <c r="AH483" s="846"/>
      <c r="AI483" s="846"/>
      <c r="AJ483" s="846"/>
      <c r="AK483" s="846"/>
      <c r="AL483" s="846"/>
      <c r="AM483" s="846"/>
      <c r="AN483" s="846"/>
      <c r="AO483" s="846"/>
      <c r="AP483" s="846"/>
      <c r="AQ483" s="1776"/>
      <c r="AR483" s="846"/>
      <c r="AS483" s="1776"/>
      <c r="AT483" s="846"/>
      <c r="AU483" s="846"/>
      <c r="AV483" s="846"/>
      <c r="AW483" s="846"/>
      <c r="AX483" s="846"/>
      <c r="AY483" s="846"/>
      <c r="AZ483" s="846"/>
      <c r="BA483" s="846"/>
      <c r="BB483" s="1776"/>
      <c r="BC483" s="849"/>
      <c r="BD483" s="849"/>
      <c r="BE483" s="849"/>
      <c r="BF483" s="849"/>
      <c r="BG483" s="849"/>
      <c r="BH483" s="848"/>
      <c r="BI483" s="848"/>
      <c r="BJ483" s="848"/>
      <c r="BK483" s="848"/>
      <c r="BL483" s="1786"/>
      <c r="BM483" s="848"/>
      <c r="BN483" s="846"/>
      <c r="BO483" s="848"/>
      <c r="BP483" s="848"/>
      <c r="BQ483" s="1786"/>
      <c r="BR483" s="848"/>
      <c r="BS483" s="846"/>
      <c r="BU483" s="752"/>
      <c r="BV483" s="752"/>
      <c r="BW483" s="752"/>
      <c r="BX483" s="752"/>
      <c r="BY483" s="752"/>
      <c r="BZ483" s="752"/>
      <c r="CA483" s="752"/>
      <c r="CB483" s="752"/>
      <c r="CC483" s="752"/>
      <c r="CD483" s="843"/>
      <c r="CE483" s="843"/>
      <c r="CF483" s="843"/>
      <c r="CG483" s="843"/>
      <c r="CH483" s="843"/>
      <c r="CI483" s="843"/>
      <c r="CJ483" s="843"/>
      <c r="CK483" s="844"/>
      <c r="CL483" s="844"/>
      <c r="CM483" s="837"/>
      <c r="CN483" s="837"/>
      <c r="CO483" s="837"/>
      <c r="CP483" s="1776"/>
      <c r="CQ483" s="1790"/>
      <c r="CR483" s="1791"/>
      <c r="CT483" s="850" t="s">
        <v>2115</v>
      </c>
      <c r="CU483" s="941" t="s">
        <v>2116</v>
      </c>
      <c r="CV483" s="890" t="s">
        <v>2111</v>
      </c>
      <c r="CW483" s="852">
        <v>57418.25</v>
      </c>
      <c r="DB483" s="940">
        <v>57418.245000000003</v>
      </c>
      <c r="DF483" s="752"/>
      <c r="DG483" s="752"/>
      <c r="DH483" s="752"/>
      <c r="DI483" s="752"/>
    </row>
    <row r="484" spans="1:113" ht="27.75" customHeight="1" thickBot="1">
      <c r="A484" s="1773"/>
      <c r="B484" s="1776"/>
      <c r="C484" s="837"/>
      <c r="D484" s="838"/>
      <c r="E484" s="838"/>
      <c r="F484" s="838"/>
      <c r="G484" s="838"/>
      <c r="H484" s="838"/>
      <c r="I484" s="838"/>
      <c r="J484" s="838"/>
      <c r="K484" s="838"/>
      <c r="L484" s="838"/>
      <c r="M484" s="838"/>
      <c r="N484" s="838"/>
      <c r="O484" s="838"/>
      <c r="P484" s="838"/>
      <c r="Q484" s="838"/>
      <c r="R484" s="838"/>
      <c r="S484" s="1776"/>
      <c r="T484" s="1776"/>
      <c r="U484" s="1776"/>
      <c r="V484" s="846"/>
      <c r="W484" s="846"/>
      <c r="X484" s="846"/>
      <c r="Y484" s="846"/>
      <c r="Z484" s="847"/>
      <c r="AA484" s="846"/>
      <c r="AB484" s="846"/>
      <c r="AC484" s="846"/>
      <c r="AD484" s="846"/>
      <c r="AE484" s="846"/>
      <c r="AF484" s="846"/>
      <c r="AG484" s="848"/>
      <c r="AH484" s="846"/>
      <c r="AI484" s="846"/>
      <c r="AJ484" s="846"/>
      <c r="AK484" s="846"/>
      <c r="AL484" s="846"/>
      <c r="AM484" s="846"/>
      <c r="AN484" s="846"/>
      <c r="AO484" s="846"/>
      <c r="AP484" s="846"/>
      <c r="AQ484" s="1776"/>
      <c r="AR484" s="846"/>
      <c r="AS484" s="1776"/>
      <c r="AT484" s="846"/>
      <c r="AU484" s="846"/>
      <c r="AV484" s="846"/>
      <c r="AW484" s="846"/>
      <c r="AX484" s="846"/>
      <c r="AY484" s="846"/>
      <c r="AZ484" s="846"/>
      <c r="BA484" s="846"/>
      <c r="BB484" s="1776"/>
      <c r="BC484" s="849"/>
      <c r="BD484" s="849"/>
      <c r="BE484" s="849"/>
      <c r="BF484" s="849"/>
      <c r="BG484" s="849"/>
      <c r="BH484" s="848"/>
      <c r="BI484" s="848"/>
      <c r="BJ484" s="848"/>
      <c r="BK484" s="848"/>
      <c r="BL484" s="1786"/>
      <c r="BM484" s="848"/>
      <c r="BN484" s="846"/>
      <c r="BO484" s="848"/>
      <c r="BP484" s="848"/>
      <c r="BQ484" s="1786"/>
      <c r="BR484" s="848"/>
      <c r="BS484" s="846"/>
      <c r="BU484" s="752"/>
      <c r="BV484" s="752"/>
      <c r="BW484" s="752"/>
      <c r="BX484" s="752"/>
      <c r="BY484" s="752"/>
      <c r="BZ484" s="752"/>
      <c r="CA484" s="752"/>
      <c r="CB484" s="752"/>
      <c r="CC484" s="752"/>
      <c r="CD484" s="843"/>
      <c r="CE484" s="843"/>
      <c r="CF484" s="843"/>
      <c r="CG484" s="843"/>
      <c r="CH484" s="843"/>
      <c r="CI484" s="843"/>
      <c r="CJ484" s="843"/>
      <c r="CK484" s="844"/>
      <c r="CL484" s="844"/>
      <c r="CM484" s="837"/>
      <c r="CN484" s="837"/>
      <c r="CO484" s="837"/>
      <c r="CP484" s="1777"/>
      <c r="CQ484" s="1792"/>
      <c r="CR484" s="1793"/>
      <c r="CT484" s="850" t="s">
        <v>2117</v>
      </c>
      <c r="CU484" s="941" t="s">
        <v>1164</v>
      </c>
      <c r="CV484" s="890" t="s">
        <v>2111</v>
      </c>
      <c r="CW484" s="852">
        <v>144204.48000000001</v>
      </c>
      <c r="DB484" s="940">
        <v>169988.2</v>
      </c>
      <c r="DF484" s="752"/>
      <c r="DG484" s="752"/>
      <c r="DH484" s="752"/>
      <c r="DI484" s="752"/>
    </row>
    <row r="485" spans="1:113" ht="84.6">
      <c r="A485" s="1773"/>
      <c r="B485" s="1776"/>
      <c r="C485" s="837"/>
      <c r="D485" s="838"/>
      <c r="E485" s="838"/>
      <c r="F485" s="838"/>
      <c r="G485" s="838"/>
      <c r="H485" s="838"/>
      <c r="I485" s="838"/>
      <c r="J485" s="838"/>
      <c r="K485" s="838"/>
      <c r="L485" s="838"/>
      <c r="M485" s="838"/>
      <c r="N485" s="838"/>
      <c r="O485" s="838"/>
      <c r="P485" s="838"/>
      <c r="Q485" s="838"/>
      <c r="R485" s="838"/>
      <c r="S485" s="1776"/>
      <c r="T485" s="1776"/>
      <c r="U485" s="1776"/>
      <c r="V485" s="846"/>
      <c r="W485" s="846"/>
      <c r="X485" s="846"/>
      <c r="Y485" s="846"/>
      <c r="Z485" s="847"/>
      <c r="AA485" s="846"/>
      <c r="AB485" s="846"/>
      <c r="AC485" s="846"/>
      <c r="AD485" s="846"/>
      <c r="AE485" s="846"/>
      <c r="AF485" s="846"/>
      <c r="AG485" s="848"/>
      <c r="AH485" s="846"/>
      <c r="AI485" s="846"/>
      <c r="AJ485" s="846"/>
      <c r="AK485" s="846"/>
      <c r="AL485" s="846"/>
      <c r="AM485" s="846"/>
      <c r="AN485" s="846"/>
      <c r="AO485" s="846"/>
      <c r="AP485" s="846"/>
      <c r="AQ485" s="1776"/>
      <c r="AR485" s="846"/>
      <c r="AS485" s="1776"/>
      <c r="AT485" s="846"/>
      <c r="AU485" s="846"/>
      <c r="AV485" s="846"/>
      <c r="AW485" s="846"/>
      <c r="AX485" s="846"/>
      <c r="AY485" s="846"/>
      <c r="AZ485" s="846"/>
      <c r="BA485" s="846"/>
      <c r="BB485" s="1776"/>
      <c r="BC485" s="849"/>
      <c r="BD485" s="849"/>
      <c r="BE485" s="849"/>
      <c r="BF485" s="849"/>
      <c r="BG485" s="849"/>
      <c r="BH485" s="848"/>
      <c r="BI485" s="848"/>
      <c r="BJ485" s="848"/>
      <c r="BK485" s="848"/>
      <c r="BL485" s="1786"/>
      <c r="BM485" s="848"/>
      <c r="BN485" s="846"/>
      <c r="BO485" s="848"/>
      <c r="BP485" s="848"/>
      <c r="BQ485" s="1786"/>
      <c r="BR485" s="848"/>
      <c r="BS485" s="846"/>
      <c r="BX485" s="752"/>
      <c r="CD485" s="843"/>
      <c r="CE485" s="843"/>
      <c r="CF485" s="843"/>
      <c r="CG485" s="843"/>
      <c r="CH485" s="843"/>
      <c r="CI485" s="843"/>
      <c r="CJ485" s="843"/>
      <c r="CK485" s="844"/>
      <c r="CL485" s="844"/>
      <c r="CM485" s="837"/>
      <c r="CN485" s="837"/>
      <c r="CO485" s="837"/>
      <c r="CP485" s="1794" t="s">
        <v>1764</v>
      </c>
      <c r="CQ485" s="1794" t="s">
        <v>1765</v>
      </c>
      <c r="CR485" s="1794" t="s">
        <v>1766</v>
      </c>
      <c r="CT485" s="850" t="s">
        <v>2118</v>
      </c>
      <c r="CU485" s="941" t="s">
        <v>1169</v>
      </c>
      <c r="CV485" s="890" t="s">
        <v>2111</v>
      </c>
      <c r="CW485" s="852">
        <v>88888.55</v>
      </c>
      <c r="DB485" s="940">
        <v>96586.418999999994</v>
      </c>
    </row>
    <row r="486" spans="1:113" ht="28.8" thickBot="1">
      <c r="A486" s="1774"/>
      <c r="B486" s="1777"/>
      <c r="C486" s="837"/>
      <c r="D486" s="838"/>
      <c r="E486" s="838"/>
      <c r="F486" s="838"/>
      <c r="G486" s="838"/>
      <c r="H486" s="838"/>
      <c r="I486" s="838"/>
      <c r="J486" s="838"/>
      <c r="K486" s="838"/>
      <c r="L486" s="838"/>
      <c r="M486" s="838"/>
      <c r="N486" s="838"/>
      <c r="O486" s="838"/>
      <c r="P486" s="838"/>
      <c r="Q486" s="838"/>
      <c r="R486" s="838"/>
      <c r="S486" s="1777"/>
      <c r="T486" s="1777"/>
      <c r="U486" s="1777"/>
      <c r="V486" s="854"/>
      <c r="W486" s="854"/>
      <c r="X486" s="854"/>
      <c r="Y486" s="854"/>
      <c r="Z486" s="855"/>
      <c r="AA486" s="854"/>
      <c r="AB486" s="854"/>
      <c r="AC486" s="854"/>
      <c r="AD486" s="854"/>
      <c r="AE486" s="854"/>
      <c r="AF486" s="854"/>
      <c r="AG486" s="856"/>
      <c r="AH486" s="854"/>
      <c r="AI486" s="854"/>
      <c r="AJ486" s="854"/>
      <c r="AK486" s="854"/>
      <c r="AL486" s="854"/>
      <c r="AM486" s="854"/>
      <c r="AN486" s="854"/>
      <c r="AO486" s="854"/>
      <c r="AP486" s="854"/>
      <c r="AQ486" s="1777"/>
      <c r="AR486" s="854"/>
      <c r="AS486" s="1777"/>
      <c r="AT486" s="854"/>
      <c r="AU486" s="854"/>
      <c r="AV486" s="854"/>
      <c r="AW486" s="854"/>
      <c r="AX486" s="854"/>
      <c r="AY486" s="854"/>
      <c r="AZ486" s="854"/>
      <c r="BA486" s="854"/>
      <c r="BB486" s="1777"/>
      <c r="BC486" s="857"/>
      <c r="BD486" s="857"/>
      <c r="BE486" s="857"/>
      <c r="BF486" s="857"/>
      <c r="BG486" s="857"/>
      <c r="BH486" s="856"/>
      <c r="BI486" s="856"/>
      <c r="BJ486" s="856"/>
      <c r="BK486" s="856"/>
      <c r="BL486" s="1787"/>
      <c r="BM486" s="856"/>
      <c r="BN486" s="854"/>
      <c r="BO486" s="856"/>
      <c r="BP486" s="856"/>
      <c r="BQ486" s="1787"/>
      <c r="BR486" s="856"/>
      <c r="BS486" s="854"/>
      <c r="BX486" s="752"/>
      <c r="CD486" s="843"/>
      <c r="CE486" s="843"/>
      <c r="CF486" s="843"/>
      <c r="CG486" s="843"/>
      <c r="CH486" s="843"/>
      <c r="CI486" s="843"/>
      <c r="CJ486" s="843"/>
      <c r="CK486" s="844"/>
      <c r="CL486" s="844"/>
      <c r="CM486" s="837"/>
      <c r="CN486" s="837"/>
      <c r="CO486" s="837"/>
      <c r="CP486" s="1795"/>
      <c r="CQ486" s="1795"/>
      <c r="CR486" s="1795"/>
      <c r="CT486" s="850" t="s">
        <v>2119</v>
      </c>
      <c r="CU486" s="941" t="s">
        <v>2120</v>
      </c>
      <c r="CV486" s="890" t="s">
        <v>2111</v>
      </c>
      <c r="CW486" s="852">
        <v>564085.91</v>
      </c>
      <c r="DB486" s="940">
        <v>581466.68400000001</v>
      </c>
    </row>
    <row r="487" spans="1:113" ht="198" thickBot="1">
      <c r="A487" s="858" t="s">
        <v>242</v>
      </c>
      <c r="B487" s="859" t="s">
        <v>1770</v>
      </c>
      <c r="C487" s="837"/>
      <c r="D487" s="838"/>
      <c r="E487" s="838"/>
      <c r="F487" s="838"/>
      <c r="G487" s="838"/>
      <c r="H487" s="838"/>
      <c r="I487" s="838"/>
      <c r="J487" s="838"/>
      <c r="K487" s="838"/>
      <c r="L487" s="838"/>
      <c r="M487" s="838"/>
      <c r="N487" s="838"/>
      <c r="O487" s="838"/>
      <c r="P487" s="838"/>
      <c r="Q487" s="838"/>
      <c r="R487" s="838"/>
      <c r="S487" s="859"/>
      <c r="T487" s="859"/>
      <c r="U487" s="859"/>
      <c r="V487" s="859"/>
      <c r="W487" s="859"/>
      <c r="X487" s="859"/>
      <c r="Y487" s="859"/>
      <c r="Z487" s="860"/>
      <c r="AA487" s="859"/>
      <c r="AB487" s="859"/>
      <c r="AC487" s="859"/>
      <c r="AD487" s="859"/>
      <c r="AE487" s="859"/>
      <c r="AF487" s="859"/>
      <c r="AG487" s="861"/>
      <c r="AH487" s="859"/>
      <c r="AI487" s="859"/>
      <c r="AJ487" s="859"/>
      <c r="AK487" s="859"/>
      <c r="AL487" s="859"/>
      <c r="AM487" s="859"/>
      <c r="AN487" s="859"/>
      <c r="AO487" s="859"/>
      <c r="AP487" s="859"/>
      <c r="AQ487" s="859"/>
      <c r="AR487" s="859"/>
      <c r="AS487" s="859"/>
      <c r="AT487" s="859"/>
      <c r="AU487" s="859"/>
      <c r="AV487" s="859"/>
      <c r="AW487" s="859"/>
      <c r="AX487" s="859"/>
      <c r="AY487" s="859"/>
      <c r="AZ487" s="859"/>
      <c r="BA487" s="859"/>
      <c r="BB487" s="859"/>
      <c r="BC487" s="862"/>
      <c r="BD487" s="862"/>
      <c r="BE487" s="862"/>
      <c r="BF487" s="862"/>
      <c r="BG487" s="862"/>
      <c r="BH487" s="861"/>
      <c r="BI487" s="861"/>
      <c r="BJ487" s="861"/>
      <c r="BK487" s="861"/>
      <c r="BL487" s="861"/>
      <c r="BM487" s="861"/>
      <c r="BN487" s="859"/>
      <c r="BO487" s="861"/>
      <c r="BP487" s="861"/>
      <c r="BQ487" s="861"/>
      <c r="BR487" s="861"/>
      <c r="BS487" s="859"/>
      <c r="BX487" s="752"/>
      <c r="CD487" s="863"/>
      <c r="CE487" s="863"/>
      <c r="CF487" s="863"/>
      <c r="CG487" s="863"/>
      <c r="CH487" s="863"/>
      <c r="CI487" s="863"/>
      <c r="CJ487" s="863"/>
      <c r="CK487" s="844"/>
      <c r="CL487" s="844"/>
      <c r="CM487" s="837"/>
      <c r="CN487" s="837"/>
      <c r="CO487" s="837"/>
      <c r="CP487" s="859"/>
      <c r="CQ487" s="859"/>
      <c r="CR487" s="859"/>
      <c r="CT487" s="850" t="s">
        <v>597</v>
      </c>
      <c r="CU487" s="851" t="s">
        <v>2121</v>
      </c>
      <c r="CV487" s="890" t="s">
        <v>2111</v>
      </c>
      <c r="CW487" s="852">
        <f>CW479-CW482</f>
        <v>633794.99999999988</v>
      </c>
      <c r="DB487" s="940">
        <f>DB479-DB482</f>
        <v>534771.84899999993</v>
      </c>
    </row>
    <row r="488" spans="1:113" ht="28.8" thickBot="1">
      <c r="A488" s="864" t="s">
        <v>1</v>
      </c>
      <c r="B488" s="865" t="s">
        <v>2044</v>
      </c>
      <c r="C488" s="866"/>
      <c r="D488" s="867"/>
      <c r="E488" s="867"/>
      <c r="F488" s="867"/>
      <c r="G488" s="867"/>
      <c r="H488" s="867"/>
      <c r="I488" s="867"/>
      <c r="J488" s="867"/>
      <c r="K488" s="867"/>
      <c r="L488" s="867"/>
      <c r="M488" s="867"/>
      <c r="N488" s="867"/>
      <c r="O488" s="867"/>
      <c r="P488" s="867"/>
      <c r="Q488" s="867"/>
      <c r="R488" s="867"/>
      <c r="S488" s="868">
        <f>SUM(S489,S493)</f>
        <v>0</v>
      </c>
      <c r="T488" s="868">
        <f>SUM(T489,T493)</f>
        <v>7483414.4476683699</v>
      </c>
      <c r="U488" s="868">
        <f>SUM(U489,U493)</f>
        <v>7516414.9257267695</v>
      </c>
      <c r="V488" s="868"/>
      <c r="W488" s="868"/>
      <c r="X488" s="868"/>
      <c r="Y488" s="868"/>
      <c r="Z488" s="869"/>
      <c r="AA488" s="868"/>
      <c r="AB488" s="868"/>
      <c r="AC488" s="868"/>
      <c r="AD488" s="868"/>
      <c r="AE488" s="868"/>
      <c r="AF488" s="868"/>
      <c r="AG488" s="801"/>
      <c r="AH488" s="868"/>
      <c r="AI488" s="868"/>
      <c r="AJ488" s="868"/>
      <c r="AK488" s="868"/>
      <c r="AL488" s="868"/>
      <c r="AM488" s="868"/>
      <c r="AN488" s="868"/>
      <c r="AO488" s="868"/>
      <c r="AP488" s="868"/>
      <c r="AQ488" s="868" t="e">
        <f>SUM(AQ489,AQ493)</f>
        <v>#REF!</v>
      </c>
      <c r="AR488" s="868"/>
      <c r="AS488" s="868" t="e">
        <f>SUM(AS489,AS493)</f>
        <v>#REF!</v>
      </c>
      <c r="AT488" s="868"/>
      <c r="AU488" s="868"/>
      <c r="AV488" s="868"/>
      <c r="AW488" s="868"/>
      <c r="AX488" s="868"/>
      <c r="AY488" s="868"/>
      <c r="AZ488" s="868"/>
      <c r="BA488" s="868"/>
      <c r="BB488" s="868" t="e">
        <f>SUM(BB489,BB493)</f>
        <v>#REF!</v>
      </c>
      <c r="BC488" s="800"/>
      <c r="BD488" s="800"/>
      <c r="BE488" s="800"/>
      <c r="BF488" s="800"/>
      <c r="BG488" s="800"/>
      <c r="BH488" s="801"/>
      <c r="BI488" s="801"/>
      <c r="BJ488" s="801"/>
      <c r="BK488" s="801"/>
      <c r="BL488" s="801" t="e">
        <f>SUM(BL489,BL493)</f>
        <v>#REF!</v>
      </c>
      <c r="BM488" s="801"/>
      <c r="BN488" s="868"/>
      <c r="BO488" s="801"/>
      <c r="BP488" s="801"/>
      <c r="BQ488" s="801" t="e">
        <f>SUM(BQ489,BQ493)</f>
        <v>#REF!</v>
      </c>
      <c r="BR488" s="801"/>
      <c r="BS488" s="868"/>
      <c r="BX488" s="752"/>
      <c r="CD488" s="870"/>
      <c r="CE488" s="870"/>
      <c r="CF488" s="870"/>
      <c r="CG488" s="870"/>
      <c r="CH488" s="870"/>
      <c r="CI488" s="870"/>
      <c r="CJ488" s="870"/>
      <c r="CP488" s="868">
        <f>SUM(CP489,CP493)</f>
        <v>7138274.1498967698</v>
      </c>
      <c r="CQ488" s="868">
        <f>SUM(CQ489,CQ493)</f>
        <v>331178</v>
      </c>
      <c r="CR488" s="868">
        <f>SUM(CR489,CR493)</f>
        <v>46962.775830000006</v>
      </c>
    </row>
    <row r="489" spans="1:113" ht="28.8" thickBot="1">
      <c r="A489" s="873" t="s">
        <v>294</v>
      </c>
      <c r="B489" s="874" t="s">
        <v>2045</v>
      </c>
      <c r="C489" s="866"/>
      <c r="D489" s="867"/>
      <c r="E489" s="867"/>
      <c r="F489" s="867"/>
      <c r="G489" s="867"/>
      <c r="H489" s="867"/>
      <c r="I489" s="867"/>
      <c r="J489" s="867"/>
      <c r="K489" s="867"/>
      <c r="L489" s="867"/>
      <c r="M489" s="867"/>
      <c r="N489" s="867"/>
      <c r="O489" s="867"/>
      <c r="P489" s="867"/>
      <c r="Q489" s="867"/>
      <c r="R489" s="867"/>
      <c r="S489" s="875">
        <f>SUM(S490:S492)</f>
        <v>0</v>
      </c>
      <c r="T489" s="875">
        <f>SUM(T490:T492)</f>
        <v>7483414.4476683699</v>
      </c>
      <c r="U489" s="875">
        <f>SUM(U490:U492)</f>
        <v>7516414.9257267695</v>
      </c>
      <c r="V489" s="875"/>
      <c r="W489" s="875"/>
      <c r="X489" s="875"/>
      <c r="Y489" s="875"/>
      <c r="Z489" s="876"/>
      <c r="AA489" s="875"/>
      <c r="AB489" s="875"/>
      <c r="AC489" s="875"/>
      <c r="AD489" s="875"/>
      <c r="AE489" s="875"/>
      <c r="AF489" s="875"/>
      <c r="AG489" s="877"/>
      <c r="AH489" s="875"/>
      <c r="AI489" s="875"/>
      <c r="AJ489" s="875"/>
      <c r="AK489" s="875"/>
      <c r="AL489" s="875"/>
      <c r="AM489" s="875"/>
      <c r="AN489" s="875"/>
      <c r="AO489" s="875"/>
      <c r="AP489" s="875"/>
      <c r="AQ489" s="875" t="e">
        <f>SUM(AQ490:AQ492)</f>
        <v>#REF!</v>
      </c>
      <c r="AR489" s="875"/>
      <c r="AS489" s="875" t="e">
        <f>SUM(AS490:AS492)</f>
        <v>#REF!</v>
      </c>
      <c r="AT489" s="875"/>
      <c r="AU489" s="875"/>
      <c r="AV489" s="875"/>
      <c r="AW489" s="875"/>
      <c r="AX489" s="875"/>
      <c r="AY489" s="875"/>
      <c r="AZ489" s="875"/>
      <c r="BA489" s="875"/>
      <c r="BB489" s="875" t="e">
        <f>SUM(BB490:BB492)</f>
        <v>#REF!</v>
      </c>
      <c r="BC489" s="878"/>
      <c r="BD489" s="878"/>
      <c r="BE489" s="878"/>
      <c r="BF489" s="878"/>
      <c r="BG489" s="878"/>
      <c r="BH489" s="877"/>
      <c r="BI489" s="877"/>
      <c r="BJ489" s="877"/>
      <c r="BK489" s="877"/>
      <c r="BL489" s="877" t="e">
        <f>SUM(BL490:BL492)</f>
        <v>#REF!</v>
      </c>
      <c r="BM489" s="877"/>
      <c r="BN489" s="875"/>
      <c r="BO489" s="877"/>
      <c r="BP489" s="877"/>
      <c r="BQ489" s="877" t="e">
        <f>SUM(BQ490:BQ492)</f>
        <v>#REF!</v>
      </c>
      <c r="BR489" s="877"/>
      <c r="BS489" s="875"/>
      <c r="BX489" s="752"/>
      <c r="CD489" s="879"/>
      <c r="CE489" s="879"/>
      <c r="CF489" s="879"/>
      <c r="CG489" s="879"/>
      <c r="CH489" s="879"/>
      <c r="CI489" s="879"/>
      <c r="CJ489" s="879"/>
      <c r="CP489" s="875">
        <f>SUM(CP490:CP492)</f>
        <v>7138274.1498967698</v>
      </c>
      <c r="CQ489" s="875">
        <f>SUM(CQ490:CQ492)</f>
        <v>331178</v>
      </c>
      <c r="CR489" s="875">
        <f>SUM(CR490:CR492)</f>
        <v>46962.775830000006</v>
      </c>
    </row>
    <row r="490" spans="1:113">
      <c r="A490" s="880" t="s">
        <v>294</v>
      </c>
      <c r="B490" s="881" t="s">
        <v>2047</v>
      </c>
      <c r="S490" s="817">
        <f>'8.Бюджет на 2015'!N486/1000</f>
        <v>0</v>
      </c>
      <c r="T490" s="817">
        <f>T449-'[67]1.БДР_свернутый'!X38</f>
        <v>7483414.4476683699</v>
      </c>
      <c r="U490" s="817">
        <f>U449-'[67]1.БДР_свернутый'!AI38</f>
        <v>7138274.1498967698</v>
      </c>
      <c r="V490" s="817"/>
      <c r="W490" s="817"/>
      <c r="X490" s="817"/>
      <c r="Y490" s="817"/>
      <c r="Z490" s="818"/>
      <c r="AA490" s="817"/>
      <c r="AB490" s="817"/>
      <c r="AC490" s="817"/>
      <c r="AD490" s="817"/>
      <c r="AE490" s="817"/>
      <c r="AF490" s="817"/>
      <c r="AG490" s="819"/>
      <c r="AH490" s="817"/>
      <c r="AI490" s="817"/>
      <c r="AJ490" s="817"/>
      <c r="AK490" s="817"/>
      <c r="AL490" s="817"/>
      <c r="AM490" s="817"/>
      <c r="AN490" s="817"/>
      <c r="AO490" s="817"/>
      <c r="AP490" s="817"/>
      <c r="AQ490" s="817" t="e">
        <f>AQ449-'[67]1.БДР_свернутый'!#REF!</f>
        <v>#REF!</v>
      </c>
      <c r="AR490" s="817"/>
      <c r="AS490" s="817" t="e">
        <f>AS449-'[67]1.БДР_свернутый'!#REF!</f>
        <v>#REF!</v>
      </c>
      <c r="AT490" s="817"/>
      <c r="AU490" s="817"/>
      <c r="AV490" s="817"/>
      <c r="AW490" s="817"/>
      <c r="AX490" s="817"/>
      <c r="AY490" s="817"/>
      <c r="AZ490" s="817"/>
      <c r="BA490" s="817"/>
      <c r="BB490" s="817" t="e">
        <f>BB449-'[67]1.БДР_свернутый'!#REF!</f>
        <v>#REF!</v>
      </c>
      <c r="BC490" s="817"/>
      <c r="BD490" s="817"/>
      <c r="BE490" s="817"/>
      <c r="BF490" s="817"/>
      <c r="BG490" s="817"/>
      <c r="BH490" s="819"/>
      <c r="BI490" s="819"/>
      <c r="BJ490" s="819"/>
      <c r="BK490" s="819"/>
      <c r="BL490" s="819" t="e">
        <f>BL449-'[67]1.БДР_свернутый'!#REF!</f>
        <v>#REF!</v>
      </c>
      <c r="BM490" s="819"/>
      <c r="BN490" s="817"/>
      <c r="BO490" s="819"/>
      <c r="BP490" s="819"/>
      <c r="BQ490" s="819" t="e">
        <f>BQ449-'[67]1.БДР_свернутый'!#REF!</f>
        <v>#REF!</v>
      </c>
      <c r="BR490" s="819"/>
      <c r="BS490" s="817"/>
      <c r="BX490" s="752"/>
      <c r="CD490" s="817"/>
      <c r="CE490" s="817"/>
      <c r="CF490" s="817"/>
      <c r="CG490" s="817"/>
      <c r="CH490" s="817"/>
      <c r="CI490" s="817"/>
      <c r="CJ490" s="817"/>
      <c r="CK490" s="817" t="e">
        <f>CK449-'[67]1.БДР_свернутый'!#REF!</f>
        <v>#VALUE!</v>
      </c>
      <c r="CL490" s="817" t="e">
        <f>CL449-'[67]1.БДР_свернутый'!#REF!</f>
        <v>#VALUE!</v>
      </c>
      <c r="CM490" s="817" t="e">
        <f>CM449-'[67]1.БДР_свернутый'!#REF!</f>
        <v>#REF!</v>
      </c>
      <c r="CN490" s="817" t="e">
        <f>CN449-'[67]1.БДР_свернутый'!#REF!</f>
        <v>#REF!</v>
      </c>
      <c r="CO490" s="817" t="e">
        <f>CO449-'[67]1.БДР_свернутый'!#REF!</f>
        <v>#REF!</v>
      </c>
      <c r="CP490" s="817">
        <f>U490</f>
        <v>7138274.1498967698</v>
      </c>
      <c r="CQ490" s="817">
        <f>CQ449</f>
        <v>0</v>
      </c>
      <c r="CR490" s="817">
        <f>CR449</f>
        <v>0</v>
      </c>
      <c r="CT490" s="1796"/>
      <c r="CU490" s="1796"/>
      <c r="CV490" s="871"/>
      <c r="CW490" s="1797"/>
      <c r="CX490" s="1797"/>
      <c r="CY490" s="1797"/>
      <c r="CZ490" s="1797"/>
      <c r="DA490" s="1797"/>
      <c r="DB490" s="1797"/>
    </row>
    <row r="491" spans="1:113">
      <c r="A491" s="882" t="s">
        <v>75</v>
      </c>
      <c r="B491" s="883" t="s">
        <v>2048</v>
      </c>
      <c r="S491" s="884">
        <f>'8.Бюджет на 2015'!N487/1000</f>
        <v>0</v>
      </c>
      <c r="T491" s="884">
        <f>T450</f>
        <v>0</v>
      </c>
      <c r="U491" s="884">
        <f>U450</f>
        <v>331178</v>
      </c>
      <c r="V491" s="884"/>
      <c r="W491" s="884"/>
      <c r="X491" s="884"/>
      <c r="Y491" s="884"/>
      <c r="Z491" s="885"/>
      <c r="AA491" s="884"/>
      <c r="AB491" s="884"/>
      <c r="AC491" s="884"/>
      <c r="AD491" s="884"/>
      <c r="AE491" s="884"/>
      <c r="AF491" s="884"/>
      <c r="AG491" s="886"/>
      <c r="AH491" s="884"/>
      <c r="AI491" s="884"/>
      <c r="AJ491" s="884"/>
      <c r="AK491" s="884"/>
      <c r="AL491" s="884"/>
      <c r="AM491" s="884"/>
      <c r="AN491" s="884"/>
      <c r="AO491" s="884"/>
      <c r="AP491" s="884"/>
      <c r="AQ491" s="884">
        <f t="shared" ref="AQ491:CR492" si="591">AQ450</f>
        <v>59893</v>
      </c>
      <c r="AR491" s="884"/>
      <c r="AS491" s="884">
        <f t="shared" si="591"/>
        <v>72683</v>
      </c>
      <c r="AT491" s="884"/>
      <c r="AU491" s="884"/>
      <c r="AV491" s="884"/>
      <c r="AW491" s="884"/>
      <c r="AX491" s="884"/>
      <c r="AY491" s="884"/>
      <c r="AZ491" s="884"/>
      <c r="BA491" s="884"/>
      <c r="BB491" s="884">
        <f t="shared" si="591"/>
        <v>73595</v>
      </c>
      <c r="BC491" s="884"/>
      <c r="BD491" s="884"/>
      <c r="BE491" s="884"/>
      <c r="BF491" s="884"/>
      <c r="BG491" s="884"/>
      <c r="BH491" s="886"/>
      <c r="BI491" s="886"/>
      <c r="BJ491" s="886"/>
      <c r="BK491" s="886"/>
      <c r="BL491" s="886">
        <f t="shared" si="591"/>
        <v>125007</v>
      </c>
      <c r="BM491" s="886"/>
      <c r="BN491" s="884"/>
      <c r="BO491" s="886"/>
      <c r="BP491" s="886"/>
      <c r="BQ491" s="886">
        <f t="shared" ref="BQ491:BQ492" si="592">BQ450</f>
        <v>125007</v>
      </c>
      <c r="BR491" s="886"/>
      <c r="BS491" s="884"/>
      <c r="BX491" s="752"/>
      <c r="CD491" s="884"/>
      <c r="CE491" s="884"/>
      <c r="CF491" s="884"/>
      <c r="CG491" s="884"/>
      <c r="CH491" s="884"/>
      <c r="CI491" s="884"/>
      <c r="CJ491" s="884"/>
      <c r="CK491" s="884" t="e">
        <f t="shared" si="591"/>
        <v>#VALUE!</v>
      </c>
      <c r="CL491" s="884" t="e">
        <f t="shared" si="591"/>
        <v>#VALUE!</v>
      </c>
      <c r="CM491" s="884">
        <f t="shared" si="591"/>
        <v>0</v>
      </c>
      <c r="CN491" s="884">
        <f t="shared" si="591"/>
        <v>0</v>
      </c>
      <c r="CO491" s="884">
        <f t="shared" si="591"/>
        <v>0</v>
      </c>
      <c r="CP491" s="884">
        <f t="shared" si="591"/>
        <v>0</v>
      </c>
      <c r="CQ491" s="884">
        <f t="shared" si="591"/>
        <v>331178</v>
      </c>
      <c r="CR491" s="884">
        <f t="shared" si="591"/>
        <v>0</v>
      </c>
      <c r="CT491" s="1796"/>
      <c r="CU491" s="1796"/>
      <c r="CV491" s="942"/>
      <c r="CW491" s="942"/>
      <c r="CX491" s="735"/>
      <c r="CY491" s="735"/>
      <c r="CZ491" s="735"/>
      <c r="DA491" s="735"/>
      <c r="DB491" s="943"/>
    </row>
    <row r="492" spans="1:113" ht="28.8" thickBot="1">
      <c r="A492" s="887" t="s">
        <v>546</v>
      </c>
      <c r="B492" s="888" t="s">
        <v>2049</v>
      </c>
      <c r="S492" s="826">
        <f>'8.Бюджет на 2015'!N488/1000</f>
        <v>0</v>
      </c>
      <c r="T492" s="826">
        <f>T451</f>
        <v>0</v>
      </c>
      <c r="U492" s="826">
        <f>U451</f>
        <v>46962.775830000006</v>
      </c>
      <c r="V492" s="826"/>
      <c r="W492" s="826"/>
      <c r="X492" s="826"/>
      <c r="Y492" s="826"/>
      <c r="Z492" s="827"/>
      <c r="AA492" s="826"/>
      <c r="AB492" s="826"/>
      <c r="AC492" s="826"/>
      <c r="AD492" s="826"/>
      <c r="AE492" s="826"/>
      <c r="AF492" s="826"/>
      <c r="AG492" s="828"/>
      <c r="AH492" s="826"/>
      <c r="AI492" s="826"/>
      <c r="AJ492" s="826"/>
      <c r="AK492" s="826"/>
      <c r="AL492" s="826"/>
      <c r="AM492" s="826"/>
      <c r="AN492" s="826"/>
      <c r="AO492" s="826"/>
      <c r="AP492" s="826"/>
      <c r="AQ492" s="826">
        <f t="shared" si="591"/>
        <v>9026.8692700000011</v>
      </c>
      <c r="AR492" s="826"/>
      <c r="AS492" s="826">
        <f t="shared" si="591"/>
        <v>12207.766150000003</v>
      </c>
      <c r="AT492" s="826"/>
      <c r="AU492" s="826"/>
      <c r="AV492" s="826"/>
      <c r="AW492" s="826"/>
      <c r="AX492" s="826"/>
      <c r="AY492" s="826"/>
      <c r="AZ492" s="826"/>
      <c r="BA492" s="826"/>
      <c r="BB492" s="826">
        <f t="shared" si="591"/>
        <v>12754.32475</v>
      </c>
      <c r="BC492" s="826"/>
      <c r="BD492" s="826"/>
      <c r="BE492" s="826"/>
      <c r="BF492" s="826"/>
      <c r="BG492" s="826"/>
      <c r="BH492" s="828"/>
      <c r="BI492" s="828"/>
      <c r="BJ492" s="828"/>
      <c r="BK492" s="828"/>
      <c r="BL492" s="828">
        <f t="shared" si="591"/>
        <v>12973.81566</v>
      </c>
      <c r="BM492" s="828"/>
      <c r="BN492" s="826"/>
      <c r="BO492" s="828"/>
      <c r="BP492" s="828"/>
      <c r="BQ492" s="828">
        <f t="shared" si="592"/>
        <v>12973.81566</v>
      </c>
      <c r="BR492" s="828"/>
      <c r="BS492" s="826"/>
      <c r="BX492" s="752"/>
      <c r="CD492" s="826"/>
      <c r="CE492" s="826"/>
      <c r="CF492" s="826"/>
      <c r="CG492" s="826"/>
      <c r="CH492" s="826"/>
      <c r="CI492" s="826"/>
      <c r="CJ492" s="826"/>
      <c r="CK492" s="826">
        <f t="shared" si="591"/>
        <v>0</v>
      </c>
      <c r="CL492" s="826">
        <f t="shared" si="591"/>
        <v>0</v>
      </c>
      <c r="CM492" s="826">
        <f t="shared" si="591"/>
        <v>0</v>
      </c>
      <c r="CN492" s="826">
        <f t="shared" si="591"/>
        <v>0</v>
      </c>
      <c r="CO492" s="826">
        <f t="shared" si="591"/>
        <v>0</v>
      </c>
      <c r="CP492" s="826">
        <f t="shared" si="591"/>
        <v>0</v>
      </c>
      <c r="CQ492" s="826">
        <f t="shared" si="591"/>
        <v>0</v>
      </c>
      <c r="CR492" s="826">
        <f t="shared" si="591"/>
        <v>46962.775830000006</v>
      </c>
      <c r="CT492" s="921"/>
      <c r="CU492" s="922"/>
      <c r="CV492" s="923"/>
      <c r="CW492" s="914"/>
      <c r="CX492" s="735"/>
      <c r="CY492" s="735"/>
      <c r="CZ492" s="735"/>
      <c r="DA492" s="735"/>
      <c r="DB492" s="924"/>
    </row>
    <row r="493" spans="1:113" ht="28.8" thickBot="1">
      <c r="A493" s="892" t="s">
        <v>75</v>
      </c>
      <c r="B493" s="893" t="s">
        <v>2052</v>
      </c>
      <c r="S493" s="894"/>
      <c r="T493" s="894"/>
      <c r="U493" s="894"/>
      <c r="V493" s="894"/>
      <c r="W493" s="894"/>
      <c r="X493" s="894"/>
      <c r="Y493" s="894"/>
      <c r="Z493" s="895"/>
      <c r="AA493" s="894"/>
      <c r="AB493" s="894"/>
      <c r="AC493" s="894"/>
      <c r="AD493" s="894"/>
      <c r="AE493" s="894"/>
      <c r="AF493" s="894"/>
      <c r="AG493" s="896"/>
      <c r="AH493" s="894"/>
      <c r="AI493" s="894"/>
      <c r="AJ493" s="894"/>
      <c r="AK493" s="894"/>
      <c r="AL493" s="894"/>
      <c r="AM493" s="894"/>
      <c r="AN493" s="894"/>
      <c r="AO493" s="894"/>
      <c r="AP493" s="894"/>
      <c r="AQ493" s="894"/>
      <c r="AR493" s="894"/>
      <c r="AS493" s="894"/>
      <c r="AT493" s="894"/>
      <c r="AU493" s="894"/>
      <c r="AV493" s="894"/>
      <c r="AW493" s="894"/>
      <c r="AX493" s="894"/>
      <c r="AY493" s="894"/>
      <c r="AZ493" s="894"/>
      <c r="BA493" s="894"/>
      <c r="BB493" s="894"/>
      <c r="BC493" s="894"/>
      <c r="BD493" s="894"/>
      <c r="BE493" s="894"/>
      <c r="BF493" s="894"/>
      <c r="BG493" s="894"/>
      <c r="BH493" s="896"/>
      <c r="BI493" s="896"/>
      <c r="BJ493" s="896"/>
      <c r="BK493" s="896"/>
      <c r="BL493" s="896"/>
      <c r="BM493" s="896"/>
      <c r="BN493" s="894"/>
      <c r="BO493" s="896"/>
      <c r="BP493" s="896"/>
      <c r="BQ493" s="896"/>
      <c r="BR493" s="896"/>
      <c r="BS493" s="894"/>
      <c r="BX493" s="752"/>
      <c r="CD493" s="897"/>
      <c r="CE493" s="897"/>
      <c r="CF493" s="897"/>
      <c r="CG493" s="897"/>
      <c r="CH493" s="897"/>
      <c r="CI493" s="897"/>
      <c r="CJ493" s="897"/>
      <c r="CP493" s="894"/>
      <c r="CQ493" s="894"/>
      <c r="CR493" s="894"/>
      <c r="CT493" s="921"/>
      <c r="CU493" s="922"/>
      <c r="CV493" s="923"/>
      <c r="CW493" s="914"/>
      <c r="CX493" s="735"/>
      <c r="CY493" s="735"/>
      <c r="CZ493" s="735"/>
      <c r="DA493" s="735"/>
      <c r="DB493" s="924"/>
    </row>
    <row r="494" spans="1:113" ht="28.8" thickBot="1">
      <c r="A494" s="864" t="s">
        <v>6</v>
      </c>
      <c r="B494" s="865" t="s">
        <v>2055</v>
      </c>
      <c r="C494" s="866"/>
      <c r="D494" s="867"/>
      <c r="E494" s="867"/>
      <c r="F494" s="867"/>
      <c r="G494" s="867"/>
      <c r="H494" s="867"/>
      <c r="I494" s="867"/>
      <c r="J494" s="867"/>
      <c r="K494" s="867"/>
      <c r="L494" s="867"/>
      <c r="M494" s="867"/>
      <c r="N494" s="867"/>
      <c r="O494" s="867"/>
      <c r="P494" s="867"/>
      <c r="Q494" s="867"/>
      <c r="R494" s="867"/>
      <c r="S494" s="868">
        <f>'8.Бюджет на 2015'!N798/1000</f>
        <v>0</v>
      </c>
      <c r="T494" s="868">
        <f>T495+T503</f>
        <v>6513347.4430355262</v>
      </c>
      <c r="U494" s="868">
        <f>U495+U503</f>
        <v>6743181.1236267611</v>
      </c>
      <c r="V494" s="868">
        <f>V495+V503</f>
        <v>0</v>
      </c>
      <c r="W494" s="868"/>
      <c r="X494" s="868"/>
      <c r="Y494" s="868"/>
      <c r="Z494" s="869"/>
      <c r="AA494" s="868"/>
      <c r="AB494" s="868"/>
      <c r="AC494" s="868"/>
      <c r="AD494" s="868"/>
      <c r="AE494" s="868"/>
      <c r="AF494" s="868"/>
      <c r="AG494" s="801"/>
      <c r="AH494" s="868"/>
      <c r="AI494" s="868"/>
      <c r="AJ494" s="868"/>
      <c r="AK494" s="868"/>
      <c r="AL494" s="868"/>
      <c r="AM494" s="868"/>
      <c r="AN494" s="868"/>
      <c r="AO494" s="868"/>
      <c r="AP494" s="868"/>
      <c r="AQ494" s="868">
        <f>AQ495+AQ503</f>
        <v>1845448.0814108406</v>
      </c>
      <c r="AR494" s="868"/>
      <c r="AS494" s="868">
        <f>AS495+AS503</f>
        <v>1547581.8187460515</v>
      </c>
      <c r="AT494" s="868"/>
      <c r="AU494" s="868"/>
      <c r="AV494" s="868"/>
      <c r="AW494" s="868"/>
      <c r="AX494" s="868"/>
      <c r="AY494" s="868"/>
      <c r="AZ494" s="868"/>
      <c r="BA494" s="868"/>
      <c r="BB494" s="868">
        <f>BB495+BB503</f>
        <v>1625020.8893096803</v>
      </c>
      <c r="BC494" s="800"/>
      <c r="BD494" s="800"/>
      <c r="BE494" s="800"/>
      <c r="BF494" s="800"/>
      <c r="BG494" s="800"/>
      <c r="BH494" s="801"/>
      <c r="BI494" s="801"/>
      <c r="BJ494" s="801"/>
      <c r="BK494" s="801"/>
      <c r="BL494" s="801">
        <f>BL495+BL503</f>
        <v>1725130.3341601896</v>
      </c>
      <c r="BM494" s="801"/>
      <c r="BN494" s="868"/>
      <c r="BO494" s="801"/>
      <c r="BP494" s="801"/>
      <c r="BQ494" s="801">
        <f>BQ495+BQ503</f>
        <v>1725130.3341601896</v>
      </c>
      <c r="BR494" s="801"/>
      <c r="BS494" s="868"/>
      <c r="BX494" s="752"/>
      <c r="CD494" s="868"/>
      <c r="CE494" s="868"/>
      <c r="CF494" s="868"/>
      <c r="CG494" s="868"/>
      <c r="CH494" s="868"/>
      <c r="CI494" s="868"/>
      <c r="CJ494" s="868"/>
      <c r="CK494" s="868" t="e">
        <f t="shared" ref="CK494:CR494" si="593">CK495+CK503</f>
        <v>#VALUE!</v>
      </c>
      <c r="CL494" s="868" t="e">
        <f t="shared" si="593"/>
        <v>#VALUE!</v>
      </c>
      <c r="CM494" s="868" t="e">
        <f t="shared" si="593"/>
        <v>#VALUE!</v>
      </c>
      <c r="CN494" s="868" t="e">
        <f t="shared" si="593"/>
        <v>#VALUE!</v>
      </c>
      <c r="CO494" s="868">
        <f t="shared" si="593"/>
        <v>0</v>
      </c>
      <c r="CP494" s="868">
        <f t="shared" si="593"/>
        <v>6555924.3214213578</v>
      </c>
      <c r="CQ494" s="868">
        <f t="shared" si="593"/>
        <v>160817.81179253248</v>
      </c>
      <c r="CR494" s="868">
        <f t="shared" si="593"/>
        <v>26438.990412871422</v>
      </c>
      <c r="CT494" s="921"/>
      <c r="CU494" s="922"/>
      <c r="CV494" s="923"/>
      <c r="CW494" s="914"/>
      <c r="CX494" s="735"/>
      <c r="CY494" s="735"/>
      <c r="CZ494" s="735"/>
      <c r="DA494" s="735"/>
      <c r="DB494" s="924"/>
    </row>
    <row r="495" spans="1:113">
      <c r="A495" s="882" t="s">
        <v>7</v>
      </c>
      <c r="B495" s="883" t="s">
        <v>2057</v>
      </c>
      <c r="S495" s="884">
        <f>S494-S503</f>
        <v>0</v>
      </c>
      <c r="T495" s="884">
        <f t="shared" ref="T495:V503" si="594">T454</f>
        <v>3538623.1441550665</v>
      </c>
      <c r="U495" s="884">
        <f t="shared" si="594"/>
        <v>3768456.8247570517</v>
      </c>
      <c r="V495" s="884">
        <f t="shared" si="594"/>
        <v>0</v>
      </c>
      <c r="W495" s="884"/>
      <c r="X495" s="884"/>
      <c r="Y495" s="884"/>
      <c r="Z495" s="885"/>
      <c r="AA495" s="884"/>
      <c r="AB495" s="884"/>
      <c r="AC495" s="884"/>
      <c r="AD495" s="884"/>
      <c r="AE495" s="884"/>
      <c r="AF495" s="884"/>
      <c r="AG495" s="886"/>
      <c r="AH495" s="884"/>
      <c r="AI495" s="884"/>
      <c r="AJ495" s="884"/>
      <c r="AK495" s="884"/>
      <c r="AL495" s="884"/>
      <c r="AM495" s="884"/>
      <c r="AN495" s="884"/>
      <c r="AO495" s="884"/>
      <c r="AP495" s="884"/>
      <c r="AQ495" s="884">
        <f t="shared" ref="AQ495:CR503" si="595">AQ454</f>
        <v>883768.73935259157</v>
      </c>
      <c r="AR495" s="884"/>
      <c r="AS495" s="884">
        <f t="shared" si="595"/>
        <v>1071427.0357534154</v>
      </c>
      <c r="AT495" s="884"/>
      <c r="AU495" s="884"/>
      <c r="AV495" s="884"/>
      <c r="AW495" s="884"/>
      <c r="AX495" s="884"/>
      <c r="AY495" s="884"/>
      <c r="AZ495" s="884"/>
      <c r="BA495" s="884"/>
      <c r="BB495" s="884">
        <f t="shared" si="595"/>
        <v>953444.84873323829</v>
      </c>
      <c r="BC495" s="884"/>
      <c r="BD495" s="884"/>
      <c r="BE495" s="884"/>
      <c r="BF495" s="884"/>
      <c r="BG495" s="884"/>
      <c r="BH495" s="886"/>
      <c r="BI495" s="886"/>
      <c r="BJ495" s="886"/>
      <c r="BK495" s="886"/>
      <c r="BL495" s="886">
        <f t="shared" si="595"/>
        <v>859816.20091780659</v>
      </c>
      <c r="BM495" s="886"/>
      <c r="BN495" s="884"/>
      <c r="BO495" s="886"/>
      <c r="BP495" s="886"/>
      <c r="BQ495" s="886">
        <f t="shared" ref="BQ495:BQ503" si="596">BQ454</f>
        <v>859816.20091780659</v>
      </c>
      <c r="BR495" s="886"/>
      <c r="BS495" s="884"/>
      <c r="BX495" s="752"/>
      <c r="CD495" s="884"/>
      <c r="CE495" s="884"/>
      <c r="CF495" s="884"/>
      <c r="CG495" s="884"/>
      <c r="CH495" s="884"/>
      <c r="CI495" s="884"/>
      <c r="CJ495" s="884"/>
      <c r="CK495" s="884" t="e">
        <f t="shared" si="595"/>
        <v>#VALUE!</v>
      </c>
      <c r="CL495" s="884" t="e">
        <f t="shared" si="595"/>
        <v>#VALUE!</v>
      </c>
      <c r="CM495" s="884" t="e">
        <f t="shared" si="595"/>
        <v>#VALUE!</v>
      </c>
      <c r="CN495" s="884" t="e">
        <f t="shared" si="595"/>
        <v>#VALUE!</v>
      </c>
      <c r="CO495" s="884">
        <f t="shared" si="595"/>
        <v>0</v>
      </c>
      <c r="CP495" s="884">
        <f t="shared" si="595"/>
        <v>3581200.0225516479</v>
      </c>
      <c r="CQ495" s="884">
        <f t="shared" si="595"/>
        <v>160817.81179253248</v>
      </c>
      <c r="CR495" s="884">
        <f t="shared" si="595"/>
        <v>26438.990412871422</v>
      </c>
      <c r="CT495" s="921"/>
      <c r="CU495" s="922"/>
      <c r="CV495" s="923"/>
      <c r="CW495" s="914"/>
      <c r="CX495" s="735"/>
      <c r="CY495" s="735"/>
      <c r="CZ495" s="735"/>
      <c r="DA495" s="735"/>
      <c r="DB495" s="924"/>
    </row>
    <row r="496" spans="1:113">
      <c r="A496" s="882" t="s">
        <v>2059</v>
      </c>
      <c r="B496" s="899" t="s">
        <v>1614</v>
      </c>
      <c r="S496" s="884">
        <f>'8.Бюджет на 2015'!N564/1000</f>
        <v>0</v>
      </c>
      <c r="T496" s="884">
        <f t="shared" si="594"/>
        <v>244570.80639018721</v>
      </c>
      <c r="U496" s="884">
        <f t="shared" si="594"/>
        <v>272063.17375999992</v>
      </c>
      <c r="V496" s="884">
        <f t="shared" si="594"/>
        <v>0</v>
      </c>
      <c r="W496" s="884"/>
      <c r="X496" s="884"/>
      <c r="Y496" s="884"/>
      <c r="Z496" s="885"/>
      <c r="AA496" s="884"/>
      <c r="AB496" s="884"/>
      <c r="AC496" s="884"/>
      <c r="AD496" s="884"/>
      <c r="AE496" s="884"/>
      <c r="AF496" s="884"/>
      <c r="AG496" s="886"/>
      <c r="AH496" s="884"/>
      <c r="AI496" s="884"/>
      <c r="AJ496" s="884"/>
      <c r="AK496" s="884"/>
      <c r="AL496" s="884"/>
      <c r="AM496" s="884"/>
      <c r="AN496" s="884"/>
      <c r="AO496" s="884"/>
      <c r="AP496" s="884"/>
      <c r="AQ496" s="884">
        <f t="shared" si="595"/>
        <v>39297.597170000001</v>
      </c>
      <c r="AR496" s="884"/>
      <c r="AS496" s="884">
        <f t="shared" si="595"/>
        <v>90654.800220000005</v>
      </c>
      <c r="AT496" s="884"/>
      <c r="AU496" s="884"/>
      <c r="AV496" s="884"/>
      <c r="AW496" s="884"/>
      <c r="AX496" s="884"/>
      <c r="AY496" s="884"/>
      <c r="AZ496" s="884"/>
      <c r="BA496" s="884"/>
      <c r="BB496" s="884">
        <f t="shared" si="595"/>
        <v>91834.370370000033</v>
      </c>
      <c r="BC496" s="884"/>
      <c r="BD496" s="884"/>
      <c r="BE496" s="884"/>
      <c r="BF496" s="884"/>
      <c r="BG496" s="884"/>
      <c r="BH496" s="886"/>
      <c r="BI496" s="886"/>
      <c r="BJ496" s="886"/>
      <c r="BK496" s="886"/>
      <c r="BL496" s="886">
        <f t="shared" si="595"/>
        <v>50276.405999999995</v>
      </c>
      <c r="BM496" s="886"/>
      <c r="BN496" s="884"/>
      <c r="BO496" s="886"/>
      <c r="BP496" s="886"/>
      <c r="BQ496" s="886">
        <f t="shared" si="596"/>
        <v>50276.405999999995</v>
      </c>
      <c r="BR496" s="886"/>
      <c r="BS496" s="884"/>
      <c r="BX496" s="752"/>
      <c r="CD496" s="884"/>
      <c r="CE496" s="884"/>
      <c r="CF496" s="884"/>
      <c r="CG496" s="884"/>
      <c r="CH496" s="884"/>
      <c r="CI496" s="884"/>
      <c r="CJ496" s="884"/>
      <c r="CK496" s="884">
        <f t="shared" si="595"/>
        <v>0</v>
      </c>
      <c r="CL496" s="884">
        <f t="shared" si="595"/>
        <v>0</v>
      </c>
      <c r="CM496" s="884" t="e">
        <f t="shared" si="595"/>
        <v>#VALUE!</v>
      </c>
      <c r="CN496" s="884">
        <f t="shared" si="595"/>
        <v>0</v>
      </c>
      <c r="CO496" s="884">
        <f t="shared" si="595"/>
        <v>0</v>
      </c>
      <c r="CP496" s="884">
        <f t="shared" si="595"/>
        <v>258249.36509168695</v>
      </c>
      <c r="CQ496" s="884">
        <f t="shared" si="595"/>
        <v>8737.3853152064476</v>
      </c>
      <c r="CR496" s="884">
        <f t="shared" si="595"/>
        <v>5076.4233531065302</v>
      </c>
      <c r="CT496" s="921"/>
      <c r="CU496" s="944"/>
      <c r="CV496" s="923"/>
      <c r="CW496" s="914"/>
      <c r="CX496" s="735"/>
      <c r="CY496" s="735"/>
      <c r="CZ496" s="735"/>
      <c r="DA496" s="735"/>
      <c r="DB496" s="924"/>
    </row>
    <row r="497" spans="1:106">
      <c r="A497" s="882" t="s">
        <v>2061</v>
      </c>
      <c r="B497" s="899" t="s">
        <v>1857</v>
      </c>
      <c r="S497" s="884">
        <f>('8.Бюджет на 2015'!N518+'8.Бюджет на 2015'!N519+'8.Бюджет на 2015'!N520+'8.Бюджет на 2015'!N521+'8.Бюджет на 2015'!N522+'8.Бюджет на 2015'!N523+'8.Бюджет на 2015'!N524+'8.Бюджет на 2015'!N525+'8.Бюджет на 2015'!N526+'8.Бюджет на 2015'!N527+'8.Бюджет на 2015'!N528+'8.Бюджет на 2015'!N529+'8.Бюджет на 2015'!N530)/1000</f>
        <v>0</v>
      </c>
      <c r="T497" s="884">
        <f t="shared" si="594"/>
        <v>962477.47734777979</v>
      </c>
      <c r="U497" s="884">
        <f t="shared" si="594"/>
        <v>1004278.7422300632</v>
      </c>
      <c r="V497" s="884">
        <f t="shared" si="594"/>
        <v>0</v>
      </c>
      <c r="W497" s="884"/>
      <c r="X497" s="884"/>
      <c r="Y497" s="884"/>
      <c r="Z497" s="885"/>
      <c r="AA497" s="884"/>
      <c r="AB497" s="884"/>
      <c r="AC497" s="884"/>
      <c r="AD497" s="884"/>
      <c r="AE497" s="884"/>
      <c r="AF497" s="884"/>
      <c r="AG497" s="886"/>
      <c r="AH497" s="884"/>
      <c r="AI497" s="884"/>
      <c r="AJ497" s="884"/>
      <c r="AK497" s="884"/>
      <c r="AL497" s="884"/>
      <c r="AM497" s="884"/>
      <c r="AN497" s="884"/>
      <c r="AO497" s="884"/>
      <c r="AP497" s="884"/>
      <c r="AQ497" s="884">
        <f t="shared" si="595"/>
        <v>229435.5648274566</v>
      </c>
      <c r="AR497" s="884"/>
      <c r="AS497" s="884">
        <f t="shared" si="595"/>
        <v>308135.47020435648</v>
      </c>
      <c r="AT497" s="884"/>
      <c r="AU497" s="884"/>
      <c r="AV497" s="884"/>
      <c r="AW497" s="884"/>
      <c r="AX497" s="884"/>
      <c r="AY497" s="884"/>
      <c r="AZ497" s="884"/>
      <c r="BA497" s="884"/>
      <c r="BB497" s="884">
        <f t="shared" si="595"/>
        <v>239158.93662004513</v>
      </c>
      <c r="BC497" s="884"/>
      <c r="BD497" s="884"/>
      <c r="BE497" s="884"/>
      <c r="BF497" s="884"/>
      <c r="BG497" s="884"/>
      <c r="BH497" s="886"/>
      <c r="BI497" s="886"/>
      <c r="BJ497" s="886"/>
      <c r="BK497" s="886"/>
      <c r="BL497" s="886">
        <f t="shared" si="595"/>
        <v>227548.77057820506</v>
      </c>
      <c r="BM497" s="886"/>
      <c r="BN497" s="884"/>
      <c r="BO497" s="886"/>
      <c r="BP497" s="886"/>
      <c r="BQ497" s="886">
        <f t="shared" si="596"/>
        <v>227548.77057820506</v>
      </c>
      <c r="BR497" s="886"/>
      <c r="BS497" s="884"/>
      <c r="BX497" s="752"/>
      <c r="CD497" s="884"/>
      <c r="CE497" s="884"/>
      <c r="CF497" s="884"/>
      <c r="CG497" s="884"/>
      <c r="CH497" s="884"/>
      <c r="CI497" s="884"/>
      <c r="CJ497" s="884"/>
      <c r="CK497" s="884" t="e">
        <f t="shared" si="595"/>
        <v>#VALUE!</v>
      </c>
      <c r="CL497" s="884" t="e">
        <f t="shared" si="595"/>
        <v>#VALUE!</v>
      </c>
      <c r="CM497" s="884" t="e">
        <f t="shared" si="595"/>
        <v>#VALUE!</v>
      </c>
      <c r="CN497" s="884" t="e">
        <f t="shared" si="595"/>
        <v>#VALUE!</v>
      </c>
      <c r="CO497" s="884">
        <f t="shared" si="595"/>
        <v>0</v>
      </c>
      <c r="CP497" s="884">
        <f t="shared" si="595"/>
        <v>926568.10536184406</v>
      </c>
      <c r="CQ497" s="884">
        <f t="shared" si="595"/>
        <v>68059.450188236908</v>
      </c>
      <c r="CR497" s="884">
        <f t="shared" si="595"/>
        <v>9651.1866799824311</v>
      </c>
      <c r="CT497" s="921"/>
      <c r="CU497" s="944"/>
      <c r="CV497" s="923"/>
      <c r="CW497" s="914"/>
      <c r="CX497" s="735"/>
      <c r="CY497" s="735"/>
      <c r="CZ497" s="735"/>
      <c r="DA497" s="735"/>
      <c r="DB497" s="924"/>
    </row>
    <row r="498" spans="1:106">
      <c r="A498" s="882" t="s">
        <v>2063</v>
      </c>
      <c r="B498" s="899" t="s">
        <v>2064</v>
      </c>
      <c r="S498" s="884">
        <f>'8.Бюджет на 2015'!N531/1000</f>
        <v>0</v>
      </c>
      <c r="T498" s="884">
        <f t="shared" si="594"/>
        <v>305659.3041537251</v>
      </c>
      <c r="U498" s="884">
        <f t="shared" si="594"/>
        <v>290236.55650448886</v>
      </c>
      <c r="V498" s="884">
        <f t="shared" si="594"/>
        <v>0</v>
      </c>
      <c r="W498" s="884"/>
      <c r="X498" s="884"/>
      <c r="Y498" s="884"/>
      <c r="Z498" s="885"/>
      <c r="AA498" s="884"/>
      <c r="AB498" s="884"/>
      <c r="AC498" s="884"/>
      <c r="AD498" s="884"/>
      <c r="AE498" s="884"/>
      <c r="AF498" s="884"/>
      <c r="AG498" s="886"/>
      <c r="AH498" s="884"/>
      <c r="AI498" s="884"/>
      <c r="AJ498" s="884"/>
      <c r="AK498" s="884"/>
      <c r="AL498" s="884"/>
      <c r="AM498" s="884"/>
      <c r="AN498" s="884"/>
      <c r="AO498" s="884"/>
      <c r="AP498" s="884"/>
      <c r="AQ498" s="884">
        <f t="shared" si="595"/>
        <v>66306.878235135096</v>
      </c>
      <c r="AR498" s="884"/>
      <c r="AS498" s="884">
        <f t="shared" si="595"/>
        <v>89051.150889059194</v>
      </c>
      <c r="AT498" s="884"/>
      <c r="AU498" s="884"/>
      <c r="AV498" s="884"/>
      <c r="AW498" s="884"/>
      <c r="AX498" s="884"/>
      <c r="AY498" s="884"/>
      <c r="AZ498" s="884"/>
      <c r="BA498" s="884"/>
      <c r="BB498" s="884">
        <f t="shared" si="595"/>
        <v>69116.932683193198</v>
      </c>
      <c r="BC498" s="884"/>
      <c r="BD498" s="884"/>
      <c r="BE498" s="884"/>
      <c r="BF498" s="884"/>
      <c r="BG498" s="884"/>
      <c r="BH498" s="886"/>
      <c r="BI498" s="886"/>
      <c r="BJ498" s="886"/>
      <c r="BK498" s="886"/>
      <c r="BL498" s="886">
        <f t="shared" si="595"/>
        <v>65761.594697101405</v>
      </c>
      <c r="BM498" s="886"/>
      <c r="BN498" s="884"/>
      <c r="BO498" s="886"/>
      <c r="BP498" s="886"/>
      <c r="BQ498" s="886">
        <f t="shared" si="596"/>
        <v>65761.594697101405</v>
      </c>
      <c r="BR498" s="886"/>
      <c r="BS498" s="884"/>
      <c r="BX498" s="752"/>
      <c r="CD498" s="884"/>
      <c r="CE498" s="884"/>
      <c r="CF498" s="884"/>
      <c r="CG498" s="884"/>
      <c r="CH498" s="884"/>
      <c r="CI498" s="884"/>
      <c r="CJ498" s="884"/>
      <c r="CK498" s="884" t="e">
        <f t="shared" si="595"/>
        <v>#VALUE!</v>
      </c>
      <c r="CL498" s="884" t="e">
        <f t="shared" si="595"/>
        <v>#VALUE!</v>
      </c>
      <c r="CM498" s="884" t="e">
        <f t="shared" si="595"/>
        <v>#VALUE!</v>
      </c>
      <c r="CN498" s="884" t="e">
        <f t="shared" si="595"/>
        <v>#VALUE!</v>
      </c>
      <c r="CO498" s="884">
        <f t="shared" si="595"/>
        <v>0</v>
      </c>
      <c r="CP498" s="884">
        <f t="shared" si="595"/>
        <v>267778.18244957348</v>
      </c>
      <c r="CQ498" s="884">
        <f t="shared" si="595"/>
        <v>19669.181104400501</v>
      </c>
      <c r="CR498" s="884">
        <f t="shared" si="595"/>
        <v>2789.1929505149274</v>
      </c>
      <c r="CT498" s="921"/>
      <c r="CU498" s="944"/>
      <c r="CV498" s="923"/>
      <c r="CW498" s="914"/>
      <c r="CX498" s="735"/>
      <c r="CY498" s="735"/>
      <c r="CZ498" s="735"/>
      <c r="DA498" s="735"/>
      <c r="DB498" s="924"/>
    </row>
    <row r="499" spans="1:106">
      <c r="A499" s="882" t="s">
        <v>2066</v>
      </c>
      <c r="B499" s="899" t="s">
        <v>2067</v>
      </c>
      <c r="S499" s="884">
        <f>'8.Бюджет на 2015'!N618/1000</f>
        <v>0</v>
      </c>
      <c r="T499" s="884">
        <f t="shared" si="594"/>
        <v>394375.43193641584</v>
      </c>
      <c r="U499" s="884">
        <f t="shared" si="594"/>
        <v>510056.97868999996</v>
      </c>
      <c r="V499" s="884">
        <f t="shared" si="594"/>
        <v>0</v>
      </c>
      <c r="W499" s="884"/>
      <c r="X499" s="884"/>
      <c r="Y499" s="884"/>
      <c r="Z499" s="885"/>
      <c r="AA499" s="884"/>
      <c r="AB499" s="884"/>
      <c r="AC499" s="884"/>
      <c r="AD499" s="884"/>
      <c r="AE499" s="884"/>
      <c r="AF499" s="884"/>
      <c r="AG499" s="886"/>
      <c r="AH499" s="884"/>
      <c r="AI499" s="884"/>
      <c r="AJ499" s="884"/>
      <c r="AK499" s="884"/>
      <c r="AL499" s="884"/>
      <c r="AM499" s="884"/>
      <c r="AN499" s="884"/>
      <c r="AO499" s="884"/>
      <c r="AP499" s="884"/>
      <c r="AQ499" s="884">
        <f t="shared" si="595"/>
        <v>122753.20886</v>
      </c>
      <c r="AR499" s="884"/>
      <c r="AS499" s="884">
        <f t="shared" si="595"/>
        <v>143115.02745999998</v>
      </c>
      <c r="AT499" s="884"/>
      <c r="AU499" s="884"/>
      <c r="AV499" s="884"/>
      <c r="AW499" s="884"/>
      <c r="AX499" s="884"/>
      <c r="AY499" s="884"/>
      <c r="AZ499" s="884"/>
      <c r="BA499" s="884"/>
      <c r="BB499" s="884">
        <f t="shared" si="595"/>
        <v>133707.77206999998</v>
      </c>
      <c r="BC499" s="884"/>
      <c r="BD499" s="884"/>
      <c r="BE499" s="884"/>
      <c r="BF499" s="884"/>
      <c r="BG499" s="884"/>
      <c r="BH499" s="886"/>
      <c r="BI499" s="886"/>
      <c r="BJ499" s="886"/>
      <c r="BK499" s="886"/>
      <c r="BL499" s="886">
        <f t="shared" si="595"/>
        <v>110480.97030000002</v>
      </c>
      <c r="BM499" s="886"/>
      <c r="BN499" s="884"/>
      <c r="BO499" s="886"/>
      <c r="BP499" s="886"/>
      <c r="BQ499" s="886">
        <f t="shared" si="596"/>
        <v>110480.97030000002</v>
      </c>
      <c r="BR499" s="886"/>
      <c r="BS499" s="884"/>
      <c r="BX499" s="752"/>
      <c r="CD499" s="884"/>
      <c r="CE499" s="884"/>
      <c r="CF499" s="884"/>
      <c r="CG499" s="884"/>
      <c r="CH499" s="884"/>
      <c r="CI499" s="884"/>
      <c r="CJ499" s="884"/>
      <c r="CK499" s="884">
        <f t="shared" si="595"/>
        <v>0</v>
      </c>
      <c r="CL499" s="884">
        <f t="shared" si="595"/>
        <v>0</v>
      </c>
      <c r="CM499" s="884" t="e">
        <f t="shared" si="595"/>
        <v>#VALUE!</v>
      </c>
      <c r="CN499" s="884">
        <f t="shared" si="595"/>
        <v>0</v>
      </c>
      <c r="CO499" s="884">
        <f t="shared" si="595"/>
        <v>0</v>
      </c>
      <c r="CP499" s="884">
        <f t="shared" si="595"/>
        <v>477813.42231795774</v>
      </c>
      <c r="CQ499" s="884">
        <f t="shared" si="595"/>
        <v>28239.103515725732</v>
      </c>
      <c r="CR499" s="884">
        <f t="shared" si="595"/>
        <v>4004.45285631652</v>
      </c>
      <c r="CT499" s="921"/>
      <c r="CU499" s="944"/>
      <c r="CV499" s="923"/>
      <c r="CW499" s="914"/>
      <c r="CX499" s="735"/>
      <c r="CY499" s="735"/>
      <c r="CZ499" s="735"/>
      <c r="DA499" s="735"/>
      <c r="DB499" s="924"/>
    </row>
    <row r="500" spans="1:106">
      <c r="A500" s="882" t="s">
        <v>2068</v>
      </c>
      <c r="B500" s="899" t="s">
        <v>67</v>
      </c>
      <c r="S500" s="884">
        <f>'8.Бюджет на 2015'!N514/1000</f>
        <v>0</v>
      </c>
      <c r="T500" s="884">
        <f t="shared" si="594"/>
        <v>297196.02</v>
      </c>
      <c r="U500" s="884">
        <f t="shared" si="594"/>
        <v>319845.33333249995</v>
      </c>
      <c r="V500" s="884">
        <f t="shared" si="594"/>
        <v>0</v>
      </c>
      <c r="W500" s="884"/>
      <c r="X500" s="884"/>
      <c r="Y500" s="884"/>
      <c r="Z500" s="885"/>
      <c r="AA500" s="884"/>
      <c r="AB500" s="884"/>
      <c r="AC500" s="884"/>
      <c r="AD500" s="884"/>
      <c r="AE500" s="884"/>
      <c r="AF500" s="884"/>
      <c r="AG500" s="886"/>
      <c r="AH500" s="884"/>
      <c r="AI500" s="884"/>
      <c r="AJ500" s="884"/>
      <c r="AK500" s="884"/>
      <c r="AL500" s="884"/>
      <c r="AM500" s="884"/>
      <c r="AN500" s="884"/>
      <c r="AO500" s="884"/>
      <c r="AP500" s="884"/>
      <c r="AQ500" s="884">
        <f t="shared" si="595"/>
        <v>79886</v>
      </c>
      <c r="AR500" s="884"/>
      <c r="AS500" s="884">
        <f t="shared" si="595"/>
        <v>79732</v>
      </c>
      <c r="AT500" s="884"/>
      <c r="AU500" s="884"/>
      <c r="AV500" s="884"/>
      <c r="AW500" s="884"/>
      <c r="AX500" s="884"/>
      <c r="AY500" s="884"/>
      <c r="AZ500" s="884"/>
      <c r="BA500" s="884"/>
      <c r="BB500" s="884">
        <f t="shared" si="595"/>
        <v>80266</v>
      </c>
      <c r="BC500" s="884"/>
      <c r="BD500" s="884"/>
      <c r="BE500" s="884"/>
      <c r="BF500" s="884"/>
      <c r="BG500" s="884"/>
      <c r="BH500" s="886"/>
      <c r="BI500" s="886"/>
      <c r="BJ500" s="886"/>
      <c r="BK500" s="886"/>
      <c r="BL500" s="886">
        <f t="shared" si="595"/>
        <v>79961.333332499999</v>
      </c>
      <c r="BM500" s="886"/>
      <c r="BN500" s="884"/>
      <c r="BO500" s="886"/>
      <c r="BP500" s="886"/>
      <c r="BQ500" s="886">
        <f t="shared" si="596"/>
        <v>79961.333332499999</v>
      </c>
      <c r="BR500" s="886"/>
      <c r="BS500" s="884"/>
      <c r="BX500" s="752"/>
      <c r="CD500" s="884"/>
      <c r="CE500" s="884"/>
      <c r="CF500" s="884"/>
      <c r="CG500" s="884"/>
      <c r="CH500" s="884"/>
      <c r="CI500" s="884"/>
      <c r="CJ500" s="884"/>
      <c r="CK500" s="884">
        <f t="shared" si="595"/>
        <v>0</v>
      </c>
      <c r="CL500" s="884">
        <f t="shared" si="595"/>
        <v>0</v>
      </c>
      <c r="CM500" s="884">
        <f t="shared" si="595"/>
        <v>0</v>
      </c>
      <c r="CN500" s="884">
        <f t="shared" si="595"/>
        <v>0</v>
      </c>
      <c r="CO500" s="884">
        <f t="shared" si="595"/>
        <v>0</v>
      </c>
      <c r="CP500" s="884">
        <f t="shared" si="595"/>
        <v>295095.84545884095</v>
      </c>
      <c r="CQ500" s="884">
        <f t="shared" si="595"/>
        <v>21675.752573976632</v>
      </c>
      <c r="CR500" s="884">
        <f t="shared" si="595"/>
        <v>3073.7352996823765</v>
      </c>
      <c r="CT500" s="921"/>
      <c r="CU500" s="922"/>
      <c r="CV500" s="923"/>
      <c r="CW500" s="914"/>
      <c r="CX500" s="735"/>
      <c r="CY500" s="735"/>
      <c r="CZ500" s="735"/>
      <c r="DA500" s="735"/>
      <c r="DB500" s="924"/>
    </row>
    <row r="501" spans="1:106">
      <c r="A501" s="882" t="s">
        <v>2070</v>
      </c>
      <c r="B501" s="899" t="s">
        <v>2071</v>
      </c>
      <c r="S501" s="884">
        <f>'8.Бюджет на 2015'!N551/1000</f>
        <v>0</v>
      </c>
      <c r="T501" s="884">
        <f t="shared" si="594"/>
        <v>1263084.8551806002</v>
      </c>
      <c r="U501" s="884">
        <f t="shared" si="594"/>
        <v>1304065.10677</v>
      </c>
      <c r="V501" s="884">
        <f t="shared" si="594"/>
        <v>0</v>
      </c>
      <c r="W501" s="884"/>
      <c r="X501" s="884"/>
      <c r="Y501" s="884"/>
      <c r="Z501" s="885"/>
      <c r="AA501" s="884"/>
      <c r="AB501" s="884"/>
      <c r="AC501" s="884"/>
      <c r="AD501" s="884"/>
      <c r="AE501" s="884"/>
      <c r="AF501" s="884"/>
      <c r="AG501" s="886"/>
      <c r="AH501" s="884"/>
      <c r="AI501" s="884"/>
      <c r="AJ501" s="884"/>
      <c r="AK501" s="884"/>
      <c r="AL501" s="884"/>
      <c r="AM501" s="884"/>
      <c r="AN501" s="884"/>
      <c r="AO501" s="884"/>
      <c r="AP501" s="884"/>
      <c r="AQ501" s="884">
        <f t="shared" si="595"/>
        <v>333389.90499999991</v>
      </c>
      <c r="AR501" s="884"/>
      <c r="AS501" s="884">
        <f t="shared" si="595"/>
        <v>345003.44688999996</v>
      </c>
      <c r="AT501" s="884"/>
      <c r="AU501" s="884"/>
      <c r="AV501" s="884"/>
      <c r="AW501" s="884"/>
      <c r="AX501" s="884"/>
      <c r="AY501" s="884"/>
      <c r="AZ501" s="884"/>
      <c r="BA501" s="884"/>
      <c r="BB501" s="884">
        <f t="shared" si="595"/>
        <v>324727.50171999994</v>
      </c>
      <c r="BC501" s="884"/>
      <c r="BD501" s="884"/>
      <c r="BE501" s="884"/>
      <c r="BF501" s="884"/>
      <c r="BG501" s="884"/>
      <c r="BH501" s="886"/>
      <c r="BI501" s="886"/>
      <c r="BJ501" s="886"/>
      <c r="BK501" s="886"/>
      <c r="BL501" s="886">
        <f t="shared" si="595"/>
        <v>300944.25316000002</v>
      </c>
      <c r="BM501" s="886"/>
      <c r="BN501" s="884"/>
      <c r="BO501" s="886"/>
      <c r="BP501" s="886"/>
      <c r="BQ501" s="886">
        <f t="shared" si="596"/>
        <v>300944.25316000002</v>
      </c>
      <c r="BR501" s="886"/>
      <c r="BS501" s="884"/>
      <c r="BX501" s="752"/>
      <c r="CD501" s="884"/>
      <c r="CE501" s="884"/>
      <c r="CF501" s="884"/>
      <c r="CG501" s="884"/>
      <c r="CH501" s="884"/>
      <c r="CI501" s="884"/>
      <c r="CJ501" s="884"/>
      <c r="CK501" s="884">
        <f t="shared" si="595"/>
        <v>0</v>
      </c>
      <c r="CL501" s="884">
        <f t="shared" si="595"/>
        <v>0</v>
      </c>
      <c r="CM501" s="884" t="e">
        <f t="shared" si="595"/>
        <v>#VALUE!</v>
      </c>
      <c r="CN501" s="884">
        <f t="shared" si="595"/>
        <v>0</v>
      </c>
      <c r="CO501" s="884">
        <f t="shared" si="595"/>
        <v>0</v>
      </c>
      <c r="CP501" s="884">
        <f t="shared" si="595"/>
        <v>1292851.577694241</v>
      </c>
      <c r="CQ501" s="884">
        <f t="shared" si="595"/>
        <v>9820.8772225113789</v>
      </c>
      <c r="CR501" s="884">
        <f t="shared" si="595"/>
        <v>1392.6518532473622</v>
      </c>
      <c r="CT501" s="871"/>
      <c r="CU501" s="871"/>
      <c r="CV501" s="871"/>
      <c r="CW501" s="871"/>
      <c r="CX501" s="735"/>
      <c r="CY501" s="735"/>
      <c r="CZ501" s="735"/>
      <c r="DA501" s="735"/>
      <c r="DB501" s="735"/>
    </row>
    <row r="502" spans="1:106">
      <c r="A502" s="882" t="s">
        <v>2072</v>
      </c>
      <c r="B502" s="899" t="s">
        <v>1617</v>
      </c>
      <c r="S502" s="884">
        <f>S495-S496-S499-S500-S501-S497-S498</f>
        <v>0</v>
      </c>
      <c r="T502" s="884">
        <f t="shared" si="594"/>
        <v>71259.249146358343</v>
      </c>
      <c r="U502" s="884">
        <f t="shared" si="594"/>
        <v>67910.933470000004</v>
      </c>
      <c r="V502" s="884">
        <f t="shared" si="594"/>
        <v>0</v>
      </c>
      <c r="W502" s="884"/>
      <c r="X502" s="884"/>
      <c r="Y502" s="884"/>
      <c r="Z502" s="885"/>
      <c r="AA502" s="884"/>
      <c r="AB502" s="884"/>
      <c r="AC502" s="884"/>
      <c r="AD502" s="884"/>
      <c r="AE502" s="884"/>
      <c r="AF502" s="884"/>
      <c r="AG502" s="886"/>
      <c r="AH502" s="884"/>
      <c r="AI502" s="884"/>
      <c r="AJ502" s="884"/>
      <c r="AK502" s="884"/>
      <c r="AL502" s="884"/>
      <c r="AM502" s="884"/>
      <c r="AN502" s="884"/>
      <c r="AO502" s="884"/>
      <c r="AP502" s="884"/>
      <c r="AQ502" s="884">
        <f t="shared" si="595"/>
        <v>12699.585259999998</v>
      </c>
      <c r="AR502" s="884"/>
      <c r="AS502" s="884">
        <f t="shared" si="595"/>
        <v>15735.140089999997</v>
      </c>
      <c r="AT502" s="884"/>
      <c r="AU502" s="884"/>
      <c r="AV502" s="884"/>
      <c r="AW502" s="884"/>
      <c r="AX502" s="884"/>
      <c r="AY502" s="884"/>
      <c r="AZ502" s="884"/>
      <c r="BA502" s="884"/>
      <c r="BB502" s="884">
        <f t="shared" si="595"/>
        <v>14633.335269999998</v>
      </c>
      <c r="BC502" s="884"/>
      <c r="BD502" s="884"/>
      <c r="BE502" s="884"/>
      <c r="BF502" s="884"/>
      <c r="BG502" s="884"/>
      <c r="BH502" s="886"/>
      <c r="BI502" s="886"/>
      <c r="BJ502" s="886"/>
      <c r="BK502" s="886"/>
      <c r="BL502" s="886">
        <f t="shared" si="595"/>
        <v>24842.87285</v>
      </c>
      <c r="BM502" s="886"/>
      <c r="BN502" s="884"/>
      <c r="BO502" s="886"/>
      <c r="BP502" s="886"/>
      <c r="BQ502" s="886">
        <f t="shared" si="596"/>
        <v>24842.87285</v>
      </c>
      <c r="BR502" s="886"/>
      <c r="BS502" s="884"/>
      <c r="BX502" s="752"/>
      <c r="CD502" s="884"/>
      <c r="CE502" s="884"/>
      <c r="CF502" s="884"/>
      <c r="CG502" s="884"/>
      <c r="CH502" s="884"/>
      <c r="CI502" s="884"/>
      <c r="CJ502" s="884"/>
      <c r="CK502" s="884">
        <f t="shared" si="595"/>
        <v>0</v>
      </c>
      <c r="CL502" s="884">
        <f t="shared" si="595"/>
        <v>0</v>
      </c>
      <c r="CM502" s="884">
        <f t="shared" si="595"/>
        <v>0</v>
      </c>
      <c r="CN502" s="884">
        <f t="shared" si="595"/>
        <v>0</v>
      </c>
      <c r="CO502" s="884">
        <f t="shared" si="595"/>
        <v>0</v>
      </c>
      <c r="CP502" s="884">
        <f t="shared" si="595"/>
        <v>62843.524177503859</v>
      </c>
      <c r="CQ502" s="884">
        <f t="shared" si="595"/>
        <v>4616.0618724748674</v>
      </c>
      <c r="CR502" s="884">
        <f t="shared" si="595"/>
        <v>451.34742002127524</v>
      </c>
    </row>
    <row r="503" spans="1:106" ht="28.8" thickBot="1">
      <c r="A503" s="882" t="s">
        <v>2073</v>
      </c>
      <c r="B503" s="883" t="s">
        <v>2074</v>
      </c>
      <c r="S503" s="884">
        <f>'8.Бюджет на 2015'!N509/1000</f>
        <v>0</v>
      </c>
      <c r="T503" s="884">
        <f t="shared" si="594"/>
        <v>2974724.2988804602</v>
      </c>
      <c r="U503" s="884">
        <f t="shared" si="594"/>
        <v>2974724.2988697099</v>
      </c>
      <c r="V503" s="884">
        <f t="shared" si="594"/>
        <v>0</v>
      </c>
      <c r="W503" s="884"/>
      <c r="X503" s="884"/>
      <c r="Y503" s="884"/>
      <c r="Z503" s="885"/>
      <c r="AA503" s="884"/>
      <c r="AB503" s="884"/>
      <c r="AC503" s="884"/>
      <c r="AD503" s="884"/>
      <c r="AE503" s="884"/>
      <c r="AF503" s="884"/>
      <c r="AG503" s="886"/>
      <c r="AH503" s="884"/>
      <c r="AI503" s="884"/>
      <c r="AJ503" s="884"/>
      <c r="AK503" s="884"/>
      <c r="AL503" s="884"/>
      <c r="AM503" s="884"/>
      <c r="AN503" s="884"/>
      <c r="AO503" s="884"/>
      <c r="AP503" s="884"/>
      <c r="AQ503" s="884">
        <f t="shared" si="595"/>
        <v>961679.34205824905</v>
      </c>
      <c r="AR503" s="884"/>
      <c r="AS503" s="884">
        <f t="shared" si="595"/>
        <v>476154.78299263603</v>
      </c>
      <c r="AT503" s="884"/>
      <c r="AU503" s="884"/>
      <c r="AV503" s="884"/>
      <c r="AW503" s="884"/>
      <c r="AX503" s="884"/>
      <c r="AY503" s="884"/>
      <c r="AZ503" s="884"/>
      <c r="BA503" s="884"/>
      <c r="BB503" s="884">
        <f t="shared" si="595"/>
        <v>671576.04057644203</v>
      </c>
      <c r="BC503" s="884"/>
      <c r="BD503" s="884"/>
      <c r="BE503" s="884"/>
      <c r="BF503" s="884"/>
      <c r="BG503" s="884"/>
      <c r="BH503" s="886"/>
      <c r="BI503" s="886"/>
      <c r="BJ503" s="886"/>
      <c r="BK503" s="886"/>
      <c r="BL503" s="886">
        <f t="shared" si="595"/>
        <v>865314.13324238302</v>
      </c>
      <c r="BM503" s="886"/>
      <c r="BN503" s="884"/>
      <c r="BO503" s="886"/>
      <c r="BP503" s="886"/>
      <c r="BQ503" s="886">
        <f t="shared" si="596"/>
        <v>865314.13324238302</v>
      </c>
      <c r="BR503" s="886"/>
      <c r="BS503" s="884"/>
      <c r="BX503" s="752"/>
      <c r="CD503" s="884"/>
      <c r="CE503" s="884"/>
      <c r="CF503" s="884"/>
      <c r="CG503" s="884"/>
      <c r="CH503" s="884"/>
      <c r="CI503" s="884"/>
      <c r="CJ503" s="884"/>
      <c r="CK503" s="884">
        <f t="shared" si="595"/>
        <v>0</v>
      </c>
      <c r="CL503" s="884">
        <f t="shared" si="595"/>
        <v>0</v>
      </c>
      <c r="CM503" s="884">
        <f t="shared" si="595"/>
        <v>0</v>
      </c>
      <c r="CN503" s="884">
        <f t="shared" si="595"/>
        <v>0</v>
      </c>
      <c r="CO503" s="884">
        <f t="shared" si="595"/>
        <v>0</v>
      </c>
      <c r="CP503" s="884">
        <f t="shared" si="595"/>
        <v>2974724.2988697099</v>
      </c>
      <c r="CQ503" s="884">
        <f t="shared" si="595"/>
        <v>0</v>
      </c>
      <c r="CR503" s="884">
        <f t="shared" si="595"/>
        <v>0</v>
      </c>
    </row>
    <row r="504" spans="1:106" ht="28.8" thickBot="1">
      <c r="A504" s="864" t="s">
        <v>16</v>
      </c>
      <c r="B504" s="865" t="s">
        <v>2076</v>
      </c>
      <c r="C504" s="866"/>
      <c r="D504" s="867"/>
      <c r="E504" s="867"/>
      <c r="F504" s="867"/>
      <c r="G504" s="867"/>
      <c r="H504" s="867"/>
      <c r="I504" s="867"/>
      <c r="J504" s="867"/>
      <c r="K504" s="867"/>
      <c r="L504" s="867"/>
      <c r="M504" s="867"/>
      <c r="N504" s="867"/>
      <c r="O504" s="867"/>
      <c r="P504" s="867"/>
      <c r="Q504" s="867"/>
      <c r="R504" s="867"/>
      <c r="S504" s="868">
        <f>SUM(S488,-S494)</f>
        <v>0</v>
      </c>
      <c r="T504" s="868">
        <f>SUM(T488,-T494)</f>
        <v>970067.00463284366</v>
      </c>
      <c r="U504" s="868">
        <f>SUM(U488,-U494)</f>
        <v>773233.80210000835</v>
      </c>
      <c r="V504" s="868">
        <f>SUM(V488,-V494)</f>
        <v>0</v>
      </c>
      <c r="W504" s="868"/>
      <c r="X504" s="868"/>
      <c r="Y504" s="868"/>
      <c r="Z504" s="869"/>
      <c r="AA504" s="868"/>
      <c r="AB504" s="868"/>
      <c r="AC504" s="868"/>
      <c r="AD504" s="868"/>
      <c r="AE504" s="868"/>
      <c r="AF504" s="868"/>
      <c r="AG504" s="801"/>
      <c r="AH504" s="868"/>
      <c r="AI504" s="868"/>
      <c r="AJ504" s="868"/>
      <c r="AK504" s="868"/>
      <c r="AL504" s="868"/>
      <c r="AM504" s="868"/>
      <c r="AN504" s="868"/>
      <c r="AO504" s="868"/>
      <c r="AP504" s="868"/>
      <c r="AQ504" s="868" t="e">
        <f>SUM(AQ488,-AQ494)</f>
        <v>#REF!</v>
      </c>
      <c r="AR504" s="868"/>
      <c r="AS504" s="868" t="e">
        <f>SUM(AS488,-AS494)</f>
        <v>#REF!</v>
      </c>
      <c r="AT504" s="868"/>
      <c r="AU504" s="868"/>
      <c r="AV504" s="868"/>
      <c r="AW504" s="868"/>
      <c r="AX504" s="868"/>
      <c r="AY504" s="868"/>
      <c r="AZ504" s="868"/>
      <c r="BA504" s="868"/>
      <c r="BB504" s="868" t="e">
        <f>SUM(BB488,-BB494)</f>
        <v>#REF!</v>
      </c>
      <c r="BC504" s="800"/>
      <c r="BD504" s="800"/>
      <c r="BE504" s="800"/>
      <c r="BF504" s="800"/>
      <c r="BG504" s="800"/>
      <c r="BH504" s="801"/>
      <c r="BI504" s="801"/>
      <c r="BJ504" s="801"/>
      <c r="BK504" s="801"/>
      <c r="BL504" s="801" t="e">
        <f>SUM(BL488,-BL494)</f>
        <v>#REF!</v>
      </c>
      <c r="BM504" s="801"/>
      <c r="BN504" s="868"/>
      <c r="BO504" s="801"/>
      <c r="BP504" s="801"/>
      <c r="BQ504" s="801" t="e">
        <f>SUM(BQ488,-BQ494)</f>
        <v>#REF!</v>
      </c>
      <c r="BR504" s="801"/>
      <c r="BS504" s="868"/>
      <c r="BX504" s="752"/>
      <c r="CD504" s="870"/>
      <c r="CE504" s="870"/>
      <c r="CF504" s="870"/>
      <c r="CG504" s="870"/>
      <c r="CH504" s="870"/>
      <c r="CI504" s="870"/>
      <c r="CJ504" s="870"/>
      <c r="CP504" s="868">
        <f>SUM(CP488,-CP494)</f>
        <v>582349.82847541198</v>
      </c>
      <c r="CQ504" s="868">
        <f>SUM(CQ488,-CQ494)</f>
        <v>170360.18820746752</v>
      </c>
      <c r="CR504" s="868">
        <f>SUM(CR488,-CR494)</f>
        <v>20523.785417128584</v>
      </c>
    </row>
    <row r="505" spans="1:106">
      <c r="A505" s="905" t="s">
        <v>33</v>
      </c>
      <c r="B505" s="906" t="s">
        <v>1671</v>
      </c>
      <c r="S505" s="884"/>
      <c r="T505" s="884"/>
      <c r="U505" s="884"/>
      <c r="V505" s="884"/>
      <c r="W505" s="884"/>
      <c r="X505" s="884"/>
      <c r="Y505" s="884"/>
      <c r="Z505" s="885"/>
      <c r="AA505" s="884"/>
      <c r="AB505" s="884"/>
      <c r="AC505" s="884"/>
      <c r="AD505" s="884"/>
      <c r="AE505" s="884"/>
      <c r="AF505" s="884"/>
      <c r="AG505" s="886"/>
      <c r="AH505" s="884"/>
      <c r="AI505" s="884"/>
      <c r="AJ505" s="884"/>
      <c r="AK505" s="884"/>
      <c r="AL505" s="884"/>
      <c r="AM505" s="884"/>
      <c r="AN505" s="884"/>
      <c r="AO505" s="884"/>
      <c r="AP505" s="884"/>
      <c r="AQ505" s="884"/>
      <c r="AR505" s="884"/>
      <c r="AS505" s="884"/>
      <c r="AT505" s="884"/>
      <c r="AU505" s="884"/>
      <c r="AV505" s="884"/>
      <c r="AW505" s="884"/>
      <c r="AX505" s="884"/>
      <c r="AY505" s="884"/>
      <c r="AZ505" s="884"/>
      <c r="BA505" s="884"/>
      <c r="BB505" s="884"/>
      <c r="BC505" s="884"/>
      <c r="BD505" s="884"/>
      <c r="BE505" s="884"/>
      <c r="BF505" s="884"/>
      <c r="BG505" s="884"/>
      <c r="BH505" s="886"/>
      <c r="BI505" s="886"/>
      <c r="BJ505" s="886"/>
      <c r="BK505" s="886"/>
      <c r="BL505" s="886"/>
      <c r="BM505" s="886"/>
      <c r="BN505" s="884"/>
      <c r="BO505" s="886"/>
      <c r="BP505" s="886"/>
      <c r="BQ505" s="886"/>
      <c r="BR505" s="886"/>
      <c r="BS505" s="884"/>
      <c r="BX505" s="752"/>
      <c r="CD505" s="832"/>
      <c r="CE505" s="832"/>
      <c r="CF505" s="832"/>
      <c r="CG505" s="832"/>
      <c r="CH505" s="832"/>
      <c r="CI505" s="832"/>
      <c r="CJ505" s="832"/>
      <c r="CP505" s="884"/>
      <c r="CQ505" s="884"/>
      <c r="CR505" s="884"/>
    </row>
    <row r="506" spans="1:106" ht="28.8" thickBot="1">
      <c r="A506" s="905" t="s">
        <v>52</v>
      </c>
      <c r="B506" s="906" t="s">
        <v>1673</v>
      </c>
      <c r="S506" s="907"/>
      <c r="T506" s="907"/>
      <c r="U506" s="907"/>
      <c r="V506" s="907"/>
      <c r="W506" s="907"/>
      <c r="X506" s="907"/>
      <c r="Y506" s="907"/>
      <c r="Z506" s="908"/>
      <c r="AA506" s="907"/>
      <c r="AB506" s="907"/>
      <c r="AC506" s="907"/>
      <c r="AD506" s="907"/>
      <c r="AE506" s="907"/>
      <c r="AF506" s="907"/>
      <c r="AG506" s="909"/>
      <c r="AH506" s="907"/>
      <c r="AI506" s="907"/>
      <c r="AJ506" s="907"/>
      <c r="AK506" s="907"/>
      <c r="AL506" s="907"/>
      <c r="AM506" s="907"/>
      <c r="AN506" s="907"/>
      <c r="AO506" s="907"/>
      <c r="AP506" s="907"/>
      <c r="AQ506" s="907"/>
      <c r="AR506" s="907"/>
      <c r="AS506" s="907"/>
      <c r="AT506" s="907"/>
      <c r="AU506" s="907"/>
      <c r="AV506" s="907"/>
      <c r="AW506" s="907"/>
      <c r="AX506" s="907"/>
      <c r="AY506" s="907"/>
      <c r="AZ506" s="907"/>
      <c r="BA506" s="907"/>
      <c r="BB506" s="907"/>
      <c r="BC506" s="907"/>
      <c r="BD506" s="907"/>
      <c r="BE506" s="907"/>
      <c r="BF506" s="907"/>
      <c r="BG506" s="907"/>
      <c r="BH506" s="909"/>
      <c r="BI506" s="909"/>
      <c r="BJ506" s="909"/>
      <c r="BK506" s="909"/>
      <c r="BL506" s="909"/>
      <c r="BM506" s="909"/>
      <c r="BN506" s="907"/>
      <c r="BO506" s="909"/>
      <c r="BP506" s="909"/>
      <c r="BQ506" s="909"/>
      <c r="BR506" s="909"/>
      <c r="BS506" s="907"/>
      <c r="BX506" s="752"/>
      <c r="CD506" s="832"/>
      <c r="CE506" s="832"/>
      <c r="CF506" s="832"/>
      <c r="CG506" s="832"/>
      <c r="CH506" s="832"/>
      <c r="CI506" s="832"/>
      <c r="CJ506" s="832"/>
      <c r="CP506" s="907"/>
      <c r="CQ506" s="907"/>
      <c r="CR506" s="907"/>
    </row>
    <row r="507" spans="1:106" ht="28.8" thickBot="1">
      <c r="A507" s="864" t="s">
        <v>1470</v>
      </c>
      <c r="B507" s="865" t="s">
        <v>2082</v>
      </c>
      <c r="C507" s="866"/>
      <c r="D507" s="867"/>
      <c r="E507" s="867"/>
      <c r="F507" s="867"/>
      <c r="G507" s="867"/>
      <c r="H507" s="867"/>
      <c r="I507" s="867"/>
      <c r="J507" s="867"/>
      <c r="K507" s="867"/>
      <c r="L507" s="867"/>
      <c r="M507" s="867"/>
      <c r="N507" s="867"/>
      <c r="O507" s="867"/>
      <c r="P507" s="867"/>
      <c r="Q507" s="867"/>
      <c r="R507" s="867"/>
      <c r="S507" s="868">
        <f>SUM(S504,-S505,-S506)</f>
        <v>0</v>
      </c>
      <c r="T507" s="868">
        <f>SUM(T504,-T505,-T506)</f>
        <v>970067.00463284366</v>
      </c>
      <c r="U507" s="868">
        <f>SUM(U504,-U505,-U506)</f>
        <v>773233.80210000835</v>
      </c>
      <c r="V507" s="868">
        <f>SUM(V504,-V505,-V506)</f>
        <v>0</v>
      </c>
      <c r="W507" s="868"/>
      <c r="X507" s="868"/>
      <c r="Y507" s="868"/>
      <c r="Z507" s="869"/>
      <c r="AA507" s="868"/>
      <c r="AB507" s="868"/>
      <c r="AC507" s="868"/>
      <c r="AD507" s="868"/>
      <c r="AE507" s="868"/>
      <c r="AF507" s="868"/>
      <c r="AG507" s="801"/>
      <c r="AH507" s="868"/>
      <c r="AI507" s="868"/>
      <c r="AJ507" s="868"/>
      <c r="AK507" s="868"/>
      <c r="AL507" s="868"/>
      <c r="AM507" s="868"/>
      <c r="AN507" s="868"/>
      <c r="AO507" s="868"/>
      <c r="AP507" s="868"/>
      <c r="AQ507" s="868" t="e">
        <f>SUM(AQ504,-AQ505,-AQ506)</f>
        <v>#REF!</v>
      </c>
      <c r="AR507" s="868"/>
      <c r="AS507" s="868" t="e">
        <f>SUM(AS504,-AS505,-AS506)</f>
        <v>#REF!</v>
      </c>
      <c r="AT507" s="868"/>
      <c r="AU507" s="868"/>
      <c r="AV507" s="868"/>
      <c r="AW507" s="868"/>
      <c r="AX507" s="868"/>
      <c r="AY507" s="868"/>
      <c r="AZ507" s="868"/>
      <c r="BA507" s="868"/>
      <c r="BB507" s="868" t="e">
        <f>SUM(BB504,-BB505,-BB506)</f>
        <v>#REF!</v>
      </c>
      <c r="BC507" s="800"/>
      <c r="BD507" s="800"/>
      <c r="BE507" s="800"/>
      <c r="BF507" s="800"/>
      <c r="BG507" s="800"/>
      <c r="BH507" s="801"/>
      <c r="BI507" s="801"/>
      <c r="BJ507" s="801"/>
      <c r="BK507" s="801"/>
      <c r="BL507" s="801" t="e">
        <f>SUM(BL504,-BL505,-BL506)</f>
        <v>#REF!</v>
      </c>
      <c r="BM507" s="801"/>
      <c r="BN507" s="868"/>
      <c r="BO507" s="801"/>
      <c r="BP507" s="801"/>
      <c r="BQ507" s="801" t="e">
        <f>SUM(BQ504,-BQ505,-BQ506)</f>
        <v>#REF!</v>
      </c>
      <c r="BR507" s="801"/>
      <c r="BS507" s="868"/>
      <c r="BX507" s="752"/>
      <c r="CD507" s="870"/>
      <c r="CE507" s="870"/>
      <c r="CF507" s="870"/>
      <c r="CG507" s="870"/>
      <c r="CH507" s="870"/>
      <c r="CI507" s="870"/>
      <c r="CJ507" s="870"/>
      <c r="CP507" s="868">
        <f>SUM(CP504,-CP505,-CP506)</f>
        <v>582349.82847541198</v>
      </c>
      <c r="CQ507" s="868">
        <f>SUM(CQ504,-CQ505,-CQ506)</f>
        <v>170360.18820746752</v>
      </c>
      <c r="CR507" s="868">
        <f>SUM(CR504,-CR505,-CR506)</f>
        <v>20523.785417128584</v>
      </c>
    </row>
    <row r="508" spans="1:106">
      <c r="A508" s="905" t="s">
        <v>2085</v>
      </c>
      <c r="B508" s="906" t="s">
        <v>1678</v>
      </c>
      <c r="S508" s="910">
        <f>'8.Бюджет на 2015'!N493/1000</f>
        <v>0</v>
      </c>
      <c r="T508" s="910">
        <f t="shared" ref="T508:V511" si="597">T467</f>
        <v>0</v>
      </c>
      <c r="U508" s="910">
        <f t="shared" si="597"/>
        <v>0</v>
      </c>
      <c r="V508" s="910">
        <f t="shared" si="597"/>
        <v>0</v>
      </c>
      <c r="W508" s="910"/>
      <c r="X508" s="910"/>
      <c r="Y508" s="910"/>
      <c r="Z508" s="911"/>
      <c r="AA508" s="910"/>
      <c r="AB508" s="910"/>
      <c r="AC508" s="910"/>
      <c r="AD508" s="910"/>
      <c r="AE508" s="910"/>
      <c r="AF508" s="910"/>
      <c r="AG508" s="912"/>
      <c r="AH508" s="910"/>
      <c r="AI508" s="910"/>
      <c r="AJ508" s="910"/>
      <c r="AK508" s="910"/>
      <c r="AL508" s="910"/>
      <c r="AM508" s="910"/>
      <c r="AN508" s="910"/>
      <c r="AO508" s="910"/>
      <c r="AP508" s="910"/>
      <c r="AQ508" s="910">
        <f t="shared" ref="AQ508:CR511" si="598">AQ467</f>
        <v>0</v>
      </c>
      <c r="AR508" s="910"/>
      <c r="AS508" s="910">
        <f t="shared" si="598"/>
        <v>0</v>
      </c>
      <c r="AT508" s="910"/>
      <c r="AU508" s="910"/>
      <c r="AV508" s="910"/>
      <c r="AW508" s="910"/>
      <c r="AX508" s="910"/>
      <c r="AY508" s="910"/>
      <c r="AZ508" s="910"/>
      <c r="BA508" s="910"/>
      <c r="BB508" s="910">
        <f t="shared" si="598"/>
        <v>0</v>
      </c>
      <c r="BC508" s="910"/>
      <c r="BD508" s="910"/>
      <c r="BE508" s="910"/>
      <c r="BF508" s="910"/>
      <c r="BG508" s="910"/>
      <c r="BH508" s="912"/>
      <c r="BI508" s="912"/>
      <c r="BJ508" s="912"/>
      <c r="BK508" s="912"/>
      <c r="BL508" s="912">
        <f t="shared" si="598"/>
        <v>0</v>
      </c>
      <c r="BM508" s="912"/>
      <c r="BN508" s="910"/>
      <c r="BO508" s="912"/>
      <c r="BP508" s="912"/>
      <c r="BQ508" s="912">
        <f t="shared" ref="BQ508" si="599">BQ467</f>
        <v>0</v>
      </c>
      <c r="BR508" s="912"/>
      <c r="BS508" s="910"/>
      <c r="BX508" s="752"/>
      <c r="CD508" s="910"/>
      <c r="CE508" s="910"/>
      <c r="CF508" s="910"/>
      <c r="CG508" s="910"/>
      <c r="CH508" s="910"/>
      <c r="CI508" s="910"/>
      <c r="CJ508" s="910"/>
      <c r="CK508" s="910" t="e">
        <f t="shared" si="598"/>
        <v>#VALUE!</v>
      </c>
      <c r="CL508" s="910" t="e">
        <f t="shared" si="598"/>
        <v>#VALUE!</v>
      </c>
      <c r="CM508" s="910">
        <f t="shared" si="598"/>
        <v>0</v>
      </c>
      <c r="CN508" s="910">
        <f t="shared" si="598"/>
        <v>0</v>
      </c>
      <c r="CO508" s="910">
        <f t="shared" si="598"/>
        <v>0</v>
      </c>
      <c r="CP508" s="910">
        <f t="shared" si="598"/>
        <v>0</v>
      </c>
      <c r="CQ508" s="910">
        <f t="shared" si="598"/>
        <v>0</v>
      </c>
      <c r="CR508" s="910">
        <f t="shared" si="598"/>
        <v>0</v>
      </c>
    </row>
    <row r="509" spans="1:106">
      <c r="A509" s="905" t="s">
        <v>2088</v>
      </c>
      <c r="B509" s="906" t="s">
        <v>1680</v>
      </c>
      <c r="S509" s="884">
        <f>('8.Бюджет на 2015'!N721+'8.Бюджет на 2015'!N722)/1000</f>
        <v>0</v>
      </c>
      <c r="T509" s="910">
        <f t="shared" si="597"/>
        <v>147355.24710000001</v>
      </c>
      <c r="U509" s="910">
        <f t="shared" si="597"/>
        <v>685737.68066187121</v>
      </c>
      <c r="V509" s="910">
        <f t="shared" si="597"/>
        <v>0</v>
      </c>
      <c r="W509" s="910"/>
      <c r="X509" s="910"/>
      <c r="Y509" s="910"/>
      <c r="Z509" s="911"/>
      <c r="AA509" s="910"/>
      <c r="AB509" s="910"/>
      <c r="AC509" s="910"/>
      <c r="AD509" s="910"/>
      <c r="AE509" s="910"/>
      <c r="AF509" s="910"/>
      <c r="AG509" s="912"/>
      <c r="AH509" s="910"/>
      <c r="AI509" s="910"/>
      <c r="AJ509" s="910"/>
      <c r="AK509" s="910"/>
      <c r="AL509" s="910"/>
      <c r="AM509" s="910"/>
      <c r="AN509" s="910"/>
      <c r="AO509" s="910"/>
      <c r="AP509" s="910"/>
      <c r="AQ509" s="910">
        <f>AQ468</f>
        <v>153583.52997693949</v>
      </c>
      <c r="AR509" s="910"/>
      <c r="AS509" s="910">
        <f>AS468</f>
        <v>174129.47123287671</v>
      </c>
      <c r="AT509" s="910"/>
      <c r="AU509" s="910"/>
      <c r="AV509" s="910"/>
      <c r="AW509" s="910"/>
      <c r="AX509" s="910"/>
      <c r="AY509" s="910"/>
      <c r="AZ509" s="910"/>
      <c r="BA509" s="910"/>
      <c r="BB509" s="910">
        <f>BB468</f>
        <v>179012.33972602748</v>
      </c>
      <c r="BC509" s="910"/>
      <c r="BD509" s="910"/>
      <c r="BE509" s="910"/>
      <c r="BF509" s="910"/>
      <c r="BG509" s="910"/>
      <c r="BH509" s="912"/>
      <c r="BI509" s="912"/>
      <c r="BJ509" s="912"/>
      <c r="BK509" s="912"/>
      <c r="BL509" s="912">
        <f>BL468</f>
        <v>179012.33972602748</v>
      </c>
      <c r="BM509" s="912"/>
      <c r="BN509" s="910"/>
      <c r="BO509" s="912"/>
      <c r="BP509" s="912"/>
      <c r="BQ509" s="912">
        <f>BQ468</f>
        <v>179012.33972602748</v>
      </c>
      <c r="BR509" s="912"/>
      <c r="BS509" s="910"/>
      <c r="BX509" s="752"/>
      <c r="CD509" s="910"/>
      <c r="CE509" s="910"/>
      <c r="CF509" s="910"/>
      <c r="CG509" s="910"/>
      <c r="CH509" s="910"/>
      <c r="CI509" s="910"/>
      <c r="CJ509" s="910"/>
      <c r="CK509" s="910" t="e">
        <f t="shared" si="598"/>
        <v>#VALUE!</v>
      </c>
      <c r="CL509" s="910" t="e">
        <f t="shared" si="598"/>
        <v>#VALUE!</v>
      </c>
      <c r="CM509" s="910" t="e">
        <f t="shared" si="598"/>
        <v>#VALUE!</v>
      </c>
      <c r="CN509" s="910" t="e">
        <f t="shared" si="598"/>
        <v>#VALUE!</v>
      </c>
      <c r="CO509" s="910">
        <f t="shared" si="598"/>
        <v>0</v>
      </c>
      <c r="CP509" s="910">
        <f t="shared" si="598"/>
        <v>638814.65981977095</v>
      </c>
      <c r="CQ509" s="910">
        <f t="shared" si="598"/>
        <v>46923.02084210029</v>
      </c>
      <c r="CR509" s="910">
        <f t="shared" si="598"/>
        <v>0</v>
      </c>
    </row>
    <row r="510" spans="1:106">
      <c r="A510" s="905" t="s">
        <v>2090</v>
      </c>
      <c r="B510" s="906" t="s">
        <v>1682</v>
      </c>
      <c r="S510" s="884">
        <f>('8.Бюджет на 2015'!N492-'8.Бюджет на 2015'!N493)/1000</f>
        <v>0</v>
      </c>
      <c r="T510" s="910">
        <f t="shared" si="597"/>
        <v>0</v>
      </c>
      <c r="U510" s="910">
        <f t="shared" si="597"/>
        <v>306447.21135</v>
      </c>
      <c r="V510" s="910">
        <f t="shared" si="597"/>
        <v>0</v>
      </c>
      <c r="W510" s="910"/>
      <c r="X510" s="910"/>
      <c r="Y510" s="910"/>
      <c r="Z510" s="911"/>
      <c r="AA510" s="910"/>
      <c r="AB510" s="910"/>
      <c r="AC510" s="910"/>
      <c r="AD510" s="910"/>
      <c r="AE510" s="910"/>
      <c r="AF510" s="910"/>
      <c r="AG510" s="912"/>
      <c r="AH510" s="910"/>
      <c r="AI510" s="910"/>
      <c r="AJ510" s="910"/>
      <c r="AK510" s="910"/>
      <c r="AL510" s="910"/>
      <c r="AM510" s="910"/>
      <c r="AN510" s="910"/>
      <c r="AO510" s="910"/>
      <c r="AP510" s="910"/>
      <c r="AQ510" s="910">
        <f>AQ469</f>
        <v>181210.90559000001</v>
      </c>
      <c r="AR510" s="910"/>
      <c r="AS510" s="910">
        <f>AS469</f>
        <v>42523.110240000002</v>
      </c>
      <c r="AT510" s="910"/>
      <c r="AU510" s="910"/>
      <c r="AV510" s="910"/>
      <c r="AW510" s="910"/>
      <c r="AX510" s="910"/>
      <c r="AY510" s="910"/>
      <c r="AZ510" s="910"/>
      <c r="BA510" s="910"/>
      <c r="BB510" s="910">
        <f>BB469</f>
        <v>43463.787579999997</v>
      </c>
      <c r="BC510" s="910"/>
      <c r="BD510" s="910"/>
      <c r="BE510" s="910"/>
      <c r="BF510" s="910"/>
      <c r="BG510" s="910"/>
      <c r="BH510" s="912"/>
      <c r="BI510" s="912"/>
      <c r="BJ510" s="912"/>
      <c r="BK510" s="912"/>
      <c r="BL510" s="912">
        <f>BL469</f>
        <v>39249.407939999997</v>
      </c>
      <c r="BM510" s="912"/>
      <c r="BN510" s="910"/>
      <c r="BO510" s="912"/>
      <c r="BP510" s="912"/>
      <c r="BQ510" s="912">
        <f>BQ469</f>
        <v>39249.407939999997</v>
      </c>
      <c r="BR510" s="912"/>
      <c r="BS510" s="910"/>
      <c r="BX510" s="752"/>
      <c r="CD510" s="910"/>
      <c r="CE510" s="910"/>
      <c r="CF510" s="910"/>
      <c r="CG510" s="910"/>
      <c r="CH510" s="910"/>
      <c r="CI510" s="910"/>
      <c r="CJ510" s="910"/>
      <c r="CK510" s="910" t="e">
        <f t="shared" si="598"/>
        <v>#VALUE!</v>
      </c>
      <c r="CL510" s="910" t="e">
        <f t="shared" si="598"/>
        <v>#VALUE!</v>
      </c>
      <c r="CM510" s="910">
        <f t="shared" si="598"/>
        <v>0</v>
      </c>
      <c r="CN510" s="910">
        <f t="shared" si="598"/>
        <v>0</v>
      </c>
      <c r="CO510" s="910">
        <f t="shared" si="598"/>
        <v>0</v>
      </c>
      <c r="CP510" s="910">
        <f t="shared" si="598"/>
        <v>255932.60912853872</v>
      </c>
      <c r="CQ510" s="910">
        <f t="shared" si="598"/>
        <v>10578.81614699157</v>
      </c>
      <c r="CR510" s="910">
        <f t="shared" si="598"/>
        <v>39935.78607446971</v>
      </c>
    </row>
    <row r="511" spans="1:106" ht="28.8" thickBot="1">
      <c r="A511" s="905" t="s">
        <v>2092</v>
      </c>
      <c r="B511" s="906" t="s">
        <v>1305</v>
      </c>
      <c r="S511" s="884">
        <f>('8.Бюджет на 2015'!N720-'8.Бюджет на 2015'!N721-'8.Бюджет на 2015'!N722)/1000</f>
        <v>0</v>
      </c>
      <c r="T511" s="910">
        <f t="shared" si="597"/>
        <v>46077.97</v>
      </c>
      <c r="U511" s="910">
        <f t="shared" si="597"/>
        <v>296097.35105261637</v>
      </c>
      <c r="V511" s="910">
        <f t="shared" si="597"/>
        <v>0</v>
      </c>
      <c r="W511" s="910"/>
      <c r="X511" s="910"/>
      <c r="Y511" s="910"/>
      <c r="Z511" s="911"/>
      <c r="AA511" s="910"/>
      <c r="AB511" s="910"/>
      <c r="AC511" s="910"/>
      <c r="AD511" s="910"/>
      <c r="AE511" s="910"/>
      <c r="AF511" s="910"/>
      <c r="AG511" s="912"/>
      <c r="AH511" s="910"/>
      <c r="AI511" s="910"/>
      <c r="AJ511" s="910"/>
      <c r="AK511" s="910"/>
      <c r="AL511" s="910"/>
      <c r="AM511" s="910"/>
      <c r="AN511" s="910"/>
      <c r="AO511" s="910"/>
      <c r="AP511" s="910"/>
      <c r="AQ511" s="910">
        <f>AQ470</f>
        <v>26036.825651600004</v>
      </c>
      <c r="AR511" s="910"/>
      <c r="AS511" s="910">
        <f>AS470</f>
        <v>44302.136331810012</v>
      </c>
      <c r="AT511" s="910"/>
      <c r="AU511" s="910"/>
      <c r="AV511" s="910"/>
      <c r="AW511" s="910"/>
      <c r="AX511" s="910"/>
      <c r="AY511" s="910"/>
      <c r="AZ511" s="910"/>
      <c r="BA511" s="910"/>
      <c r="BB511" s="910">
        <f>BB470</f>
        <v>118200.50588150007</v>
      </c>
      <c r="BC511" s="910"/>
      <c r="BD511" s="910"/>
      <c r="BE511" s="910"/>
      <c r="BF511" s="910"/>
      <c r="BG511" s="910"/>
      <c r="BH511" s="912"/>
      <c r="BI511" s="912"/>
      <c r="BJ511" s="912"/>
      <c r="BK511" s="912"/>
      <c r="BL511" s="912">
        <f>BL470</f>
        <v>107557.88318770652</v>
      </c>
      <c r="BM511" s="912"/>
      <c r="BN511" s="910"/>
      <c r="BO511" s="912"/>
      <c r="BP511" s="912"/>
      <c r="BQ511" s="912">
        <f>BQ470</f>
        <v>107557.88318770652</v>
      </c>
      <c r="BR511" s="912"/>
      <c r="BS511" s="910"/>
      <c r="BX511" s="752"/>
      <c r="CD511" s="910"/>
      <c r="CE511" s="910"/>
      <c r="CF511" s="910"/>
      <c r="CG511" s="910"/>
      <c r="CH511" s="910"/>
      <c r="CI511" s="910"/>
      <c r="CJ511" s="910"/>
      <c r="CK511" s="910" t="e">
        <f t="shared" si="598"/>
        <v>#VALUE!</v>
      </c>
      <c r="CL511" s="910" t="e">
        <f t="shared" si="598"/>
        <v>#VALUE!</v>
      </c>
      <c r="CM511" s="910" t="e">
        <f t="shared" si="598"/>
        <v>#VALUE!</v>
      </c>
      <c r="CN511" s="910" t="e">
        <f t="shared" si="598"/>
        <v>#VALUE!</v>
      </c>
      <c r="CO511" s="910">
        <f t="shared" si="598"/>
        <v>0</v>
      </c>
      <c r="CP511" s="910">
        <f t="shared" si="598"/>
        <v>261822.80498437607</v>
      </c>
      <c r="CQ511" s="910">
        <f t="shared" si="598"/>
        <v>18631.088221955233</v>
      </c>
      <c r="CR511" s="910">
        <f t="shared" si="598"/>
        <v>15643.457846284993</v>
      </c>
    </row>
    <row r="512" spans="1:106" ht="28.8" thickBot="1">
      <c r="A512" s="864" t="s">
        <v>2094</v>
      </c>
      <c r="B512" s="865" t="s">
        <v>2095</v>
      </c>
      <c r="C512" s="866"/>
      <c r="D512" s="867"/>
      <c r="E512" s="867"/>
      <c r="F512" s="867"/>
      <c r="G512" s="867"/>
      <c r="H512" s="867"/>
      <c r="I512" s="867"/>
      <c r="J512" s="867"/>
      <c r="K512" s="867"/>
      <c r="L512" s="867"/>
      <c r="M512" s="867"/>
      <c r="N512" s="867"/>
      <c r="O512" s="867"/>
      <c r="P512" s="867"/>
      <c r="Q512" s="867"/>
      <c r="R512" s="867"/>
      <c r="S512" s="868">
        <f>SUM(S507,S508,S510,-S509,-S511)</f>
        <v>0</v>
      </c>
      <c r="T512" s="868">
        <f>SUM(T507,T508,T510,-T509,-T511)</f>
        <v>776633.78753284365</v>
      </c>
      <c r="U512" s="868">
        <f>SUM(U507,U508,U510,-U509,-U511)</f>
        <v>97845.981735520763</v>
      </c>
      <c r="V512" s="868">
        <f>SUM(V507,V508,V510,-V509,-V511)</f>
        <v>0</v>
      </c>
      <c r="W512" s="868"/>
      <c r="X512" s="868"/>
      <c r="Y512" s="868"/>
      <c r="Z512" s="869"/>
      <c r="AA512" s="868"/>
      <c r="AB512" s="868"/>
      <c r="AC512" s="868"/>
      <c r="AD512" s="868"/>
      <c r="AE512" s="868"/>
      <c r="AF512" s="868"/>
      <c r="AG512" s="801"/>
      <c r="AH512" s="868"/>
      <c r="AI512" s="868"/>
      <c r="AJ512" s="868"/>
      <c r="AK512" s="868"/>
      <c r="AL512" s="868"/>
      <c r="AM512" s="868"/>
      <c r="AN512" s="868"/>
      <c r="AO512" s="868"/>
      <c r="AP512" s="868"/>
      <c r="AQ512" s="868" t="e">
        <f>SUM(AQ507,AQ508,AQ510,-AQ509,-AQ511)</f>
        <v>#REF!</v>
      </c>
      <c r="AR512" s="868"/>
      <c r="AS512" s="868" t="e">
        <f>SUM(AS507,AS508,AS510,-AS509,-AS511)</f>
        <v>#REF!</v>
      </c>
      <c r="AT512" s="868"/>
      <c r="AU512" s="868"/>
      <c r="AV512" s="868"/>
      <c r="AW512" s="868"/>
      <c r="AX512" s="868"/>
      <c r="AY512" s="868"/>
      <c r="AZ512" s="868"/>
      <c r="BA512" s="868"/>
      <c r="BB512" s="868" t="e">
        <f>SUM(BB507,BB508,BB510,-BB509,-BB511)</f>
        <v>#REF!</v>
      </c>
      <c r="BC512" s="800"/>
      <c r="BD512" s="800"/>
      <c r="BE512" s="800"/>
      <c r="BF512" s="800"/>
      <c r="BG512" s="800"/>
      <c r="BH512" s="801"/>
      <c r="BI512" s="801"/>
      <c r="BJ512" s="801"/>
      <c r="BK512" s="801"/>
      <c r="BL512" s="801" t="e">
        <f>SUM(BL507,BL508,BL510,-BL509,-BL511)</f>
        <v>#REF!</v>
      </c>
      <c r="BM512" s="801"/>
      <c r="BN512" s="868"/>
      <c r="BO512" s="801"/>
      <c r="BP512" s="801"/>
      <c r="BQ512" s="801" t="e">
        <f>SUM(BQ507,BQ508,BQ510,-BQ509,-BQ511)</f>
        <v>#REF!</v>
      </c>
      <c r="BR512" s="801"/>
      <c r="BS512" s="868"/>
      <c r="BX512" s="752"/>
      <c r="CD512" s="870"/>
      <c r="CE512" s="870"/>
      <c r="CF512" s="870"/>
      <c r="CG512" s="870"/>
      <c r="CH512" s="870"/>
      <c r="CI512" s="870"/>
      <c r="CJ512" s="870"/>
      <c r="CP512" s="868">
        <f>SUM(CP507,CP508,CP510,-CP509,-CP511)</f>
        <v>-62355.027200196288</v>
      </c>
      <c r="CQ512" s="868">
        <f>SUM(CQ507,CQ508,CQ510,-CQ509,-CQ511)</f>
        <v>115384.89529040357</v>
      </c>
      <c r="CR512" s="868">
        <f>SUM(CR507,CR508,CR510,-CR509,-CR511)</f>
        <v>44816.113645313308</v>
      </c>
    </row>
    <row r="513" spans="1:113">
      <c r="A513" s="905" t="s">
        <v>2096</v>
      </c>
      <c r="B513" s="906" t="s">
        <v>2097</v>
      </c>
      <c r="S513" s="910">
        <f>-'8.Бюджет на 2015'!N790/1000</f>
        <v>0</v>
      </c>
      <c r="T513" s="910">
        <f t="shared" ref="T513:V516" si="600">T472</f>
        <v>0</v>
      </c>
      <c r="U513" s="910">
        <f t="shared" si="600"/>
        <v>0</v>
      </c>
      <c r="V513" s="910">
        <f t="shared" si="600"/>
        <v>0</v>
      </c>
      <c r="W513" s="910"/>
      <c r="X513" s="910"/>
      <c r="Y513" s="910"/>
      <c r="Z513" s="911"/>
      <c r="AA513" s="910"/>
      <c r="AB513" s="910"/>
      <c r="AC513" s="910"/>
      <c r="AD513" s="910"/>
      <c r="AE513" s="910"/>
      <c r="AF513" s="910"/>
      <c r="AG513" s="912"/>
      <c r="AH513" s="910"/>
      <c r="AI513" s="910"/>
      <c r="AJ513" s="910"/>
      <c r="AK513" s="910"/>
      <c r="AL513" s="910"/>
      <c r="AM513" s="910"/>
      <c r="AN513" s="910"/>
      <c r="AO513" s="910"/>
      <c r="AP513" s="910"/>
      <c r="AQ513" s="910">
        <f t="shared" ref="AQ513:CR516" si="601">AQ472</f>
        <v>0</v>
      </c>
      <c r="AR513" s="910"/>
      <c r="AS513" s="910">
        <f t="shared" si="601"/>
        <v>0</v>
      </c>
      <c r="AT513" s="910"/>
      <c r="AU513" s="910"/>
      <c r="AV513" s="910"/>
      <c r="AW513" s="910"/>
      <c r="AX513" s="910"/>
      <c r="AY513" s="910"/>
      <c r="AZ513" s="910"/>
      <c r="BA513" s="910"/>
      <c r="BB513" s="910">
        <f t="shared" si="601"/>
        <v>0</v>
      </c>
      <c r="BC513" s="910"/>
      <c r="BD513" s="910"/>
      <c r="BE513" s="910"/>
      <c r="BF513" s="910"/>
      <c r="BG513" s="910"/>
      <c r="BH513" s="912"/>
      <c r="BI513" s="912"/>
      <c r="BJ513" s="912"/>
      <c r="BK513" s="912"/>
      <c r="BL513" s="912">
        <f t="shared" si="601"/>
        <v>0</v>
      </c>
      <c r="BM513" s="912"/>
      <c r="BN513" s="910"/>
      <c r="BO513" s="912"/>
      <c r="BP513" s="912"/>
      <c r="BQ513" s="912">
        <f t="shared" ref="BQ513" si="602">BQ472</f>
        <v>0</v>
      </c>
      <c r="BR513" s="912"/>
      <c r="BS513" s="910"/>
      <c r="BX513" s="752"/>
      <c r="CD513" s="910"/>
      <c r="CE513" s="910"/>
      <c r="CF513" s="910"/>
      <c r="CG513" s="910"/>
      <c r="CH513" s="910"/>
      <c r="CI513" s="910"/>
      <c r="CJ513" s="910"/>
      <c r="CK513" s="910" t="e">
        <f t="shared" si="601"/>
        <v>#VALUE!</v>
      </c>
      <c r="CL513" s="910" t="e">
        <f t="shared" si="601"/>
        <v>#VALUE!</v>
      </c>
      <c r="CM513" s="910" t="e">
        <f t="shared" si="601"/>
        <v>#VALUE!</v>
      </c>
      <c r="CN513" s="910" t="e">
        <f t="shared" si="601"/>
        <v>#VALUE!</v>
      </c>
      <c r="CO513" s="910">
        <f t="shared" si="601"/>
        <v>0</v>
      </c>
      <c r="CP513" s="910">
        <f t="shared" si="601"/>
        <v>0</v>
      </c>
      <c r="CQ513" s="910">
        <f t="shared" si="601"/>
        <v>0</v>
      </c>
      <c r="CR513" s="910">
        <f t="shared" si="601"/>
        <v>0</v>
      </c>
    </row>
    <row r="514" spans="1:113">
      <c r="A514" s="905" t="s">
        <v>2098</v>
      </c>
      <c r="B514" s="906" t="s">
        <v>2099</v>
      </c>
      <c r="S514" s="910">
        <f>'8.Бюджет на 2015'!N789/1000</f>
        <v>0</v>
      </c>
      <c r="T514" s="910">
        <f t="shared" si="600"/>
        <v>0</v>
      </c>
      <c r="U514" s="910">
        <f t="shared" si="600"/>
        <v>0</v>
      </c>
      <c r="V514" s="910">
        <f t="shared" si="600"/>
        <v>0</v>
      </c>
      <c r="W514" s="910"/>
      <c r="X514" s="910"/>
      <c r="Y514" s="910"/>
      <c r="Z514" s="911"/>
      <c r="AA514" s="910"/>
      <c r="AB514" s="910"/>
      <c r="AC514" s="910"/>
      <c r="AD514" s="910"/>
      <c r="AE514" s="910"/>
      <c r="AF514" s="910"/>
      <c r="AG514" s="912"/>
      <c r="AH514" s="910"/>
      <c r="AI514" s="910"/>
      <c r="AJ514" s="910"/>
      <c r="AK514" s="910"/>
      <c r="AL514" s="910"/>
      <c r="AM514" s="910"/>
      <c r="AN514" s="910"/>
      <c r="AO514" s="910"/>
      <c r="AP514" s="910"/>
      <c r="AQ514" s="910">
        <f>AQ473</f>
        <v>0</v>
      </c>
      <c r="AR514" s="910"/>
      <c r="AS514" s="910">
        <f>AS473</f>
        <v>0</v>
      </c>
      <c r="AT514" s="910"/>
      <c r="AU514" s="910"/>
      <c r="AV514" s="910"/>
      <c r="AW514" s="910"/>
      <c r="AX514" s="910"/>
      <c r="AY514" s="910"/>
      <c r="AZ514" s="910"/>
      <c r="BA514" s="910"/>
      <c r="BB514" s="910">
        <f>BB473</f>
        <v>0</v>
      </c>
      <c r="BC514" s="910"/>
      <c r="BD514" s="910"/>
      <c r="BE514" s="910"/>
      <c r="BF514" s="910"/>
      <c r="BG514" s="910"/>
      <c r="BH514" s="912"/>
      <c r="BI514" s="912"/>
      <c r="BJ514" s="912"/>
      <c r="BK514" s="912"/>
      <c r="BL514" s="912">
        <f>BL473</f>
        <v>0</v>
      </c>
      <c r="BM514" s="912"/>
      <c r="BN514" s="910"/>
      <c r="BO514" s="912"/>
      <c r="BP514" s="912"/>
      <c r="BQ514" s="912">
        <f>BQ473</f>
        <v>0</v>
      </c>
      <c r="BR514" s="912"/>
      <c r="BS514" s="910"/>
      <c r="BX514" s="752"/>
      <c r="CD514" s="910"/>
      <c r="CE514" s="910"/>
      <c r="CF514" s="910"/>
      <c r="CG514" s="910"/>
      <c r="CH514" s="910"/>
      <c r="CI514" s="910"/>
      <c r="CJ514" s="910"/>
      <c r="CK514" s="910" t="e">
        <f t="shared" si="601"/>
        <v>#VALUE!</v>
      </c>
      <c r="CL514" s="910" t="e">
        <f t="shared" si="601"/>
        <v>#VALUE!</v>
      </c>
      <c r="CM514" s="910" t="e">
        <f t="shared" si="601"/>
        <v>#VALUE!</v>
      </c>
      <c r="CN514" s="910" t="e">
        <f t="shared" si="601"/>
        <v>#VALUE!</v>
      </c>
      <c r="CO514" s="910">
        <f t="shared" si="601"/>
        <v>0</v>
      </c>
      <c r="CP514" s="910">
        <f t="shared" si="601"/>
        <v>0</v>
      </c>
      <c r="CQ514" s="910">
        <f t="shared" si="601"/>
        <v>0</v>
      </c>
      <c r="CR514" s="910">
        <f t="shared" si="601"/>
        <v>0</v>
      </c>
    </row>
    <row r="515" spans="1:113">
      <c r="A515" s="905" t="s">
        <v>2101</v>
      </c>
      <c r="B515" s="906" t="s">
        <v>2102</v>
      </c>
      <c r="S515" s="910">
        <f>'8.Бюджет на 2015'!N788/1000</f>
        <v>0</v>
      </c>
      <c r="T515" s="910">
        <f t="shared" si="600"/>
        <v>94894.848929851971</v>
      </c>
      <c r="U515" s="910">
        <f t="shared" si="600"/>
        <v>88597.255901424229</v>
      </c>
      <c r="V515" s="910">
        <f t="shared" si="600"/>
        <v>0</v>
      </c>
      <c r="W515" s="910"/>
      <c r="X515" s="910"/>
      <c r="Y515" s="910"/>
      <c r="Z515" s="911"/>
      <c r="AA515" s="910"/>
      <c r="AB515" s="910"/>
      <c r="AC515" s="910"/>
      <c r="AD515" s="910"/>
      <c r="AE515" s="910"/>
      <c r="AF515" s="910"/>
      <c r="AG515" s="912"/>
      <c r="AH515" s="910"/>
      <c r="AI515" s="910"/>
      <c r="AJ515" s="910"/>
      <c r="AK515" s="910"/>
      <c r="AL515" s="910"/>
      <c r="AM515" s="910"/>
      <c r="AN515" s="910"/>
      <c r="AO515" s="910"/>
      <c r="AP515" s="910"/>
      <c r="AQ515" s="910">
        <f>AQ474</f>
        <v>21553.218204087989</v>
      </c>
      <c r="AR515" s="910"/>
      <c r="AS515" s="910">
        <f>AS474</f>
        <v>32199.911762712301</v>
      </c>
      <c r="AT515" s="910"/>
      <c r="AU515" s="910"/>
      <c r="AV515" s="910"/>
      <c r="AW515" s="910"/>
      <c r="AX515" s="910"/>
      <c r="AY515" s="910"/>
      <c r="AZ515" s="910"/>
      <c r="BA515" s="910"/>
      <c r="BB515" s="910">
        <f>BB474</f>
        <v>17968.751796456421</v>
      </c>
      <c r="BC515" s="910"/>
      <c r="BD515" s="910"/>
      <c r="BE515" s="910"/>
      <c r="BF515" s="910"/>
      <c r="BG515" s="910"/>
      <c r="BH515" s="912"/>
      <c r="BI515" s="912"/>
      <c r="BJ515" s="912"/>
      <c r="BK515" s="912"/>
      <c r="BL515" s="912">
        <f>BL474</f>
        <v>16875.374138167299</v>
      </c>
      <c r="BM515" s="912"/>
      <c r="BN515" s="910"/>
      <c r="BO515" s="912"/>
      <c r="BP515" s="912"/>
      <c r="BQ515" s="912">
        <f>BQ474</f>
        <v>16875.374138167299</v>
      </c>
      <c r="BR515" s="912"/>
      <c r="BS515" s="910"/>
      <c r="BX515" s="752"/>
      <c r="CD515" s="910"/>
      <c r="CE515" s="910"/>
      <c r="CF515" s="910"/>
      <c r="CG515" s="910"/>
      <c r="CH515" s="910"/>
      <c r="CI515" s="910"/>
      <c r="CJ515" s="910"/>
      <c r="CK515" s="910" t="e">
        <f t="shared" si="601"/>
        <v>#VALUE!</v>
      </c>
      <c r="CL515" s="910" t="e">
        <f t="shared" si="601"/>
        <v>#VALUE!</v>
      </c>
      <c r="CM515" s="910" t="e">
        <f t="shared" si="601"/>
        <v>#VALUE!</v>
      </c>
      <c r="CN515" s="910" t="e">
        <f t="shared" si="601"/>
        <v>#VALUE!</v>
      </c>
      <c r="CO515" s="910">
        <f t="shared" si="601"/>
        <v>0</v>
      </c>
      <c r="CP515" s="910">
        <f t="shared" si="601"/>
        <v>56557.054114280756</v>
      </c>
      <c r="CQ515" s="910" t="e">
        <f t="shared" si="601"/>
        <v>#REF!</v>
      </c>
      <c r="CR515" s="910" t="e">
        <f t="shared" si="601"/>
        <v>#REF!</v>
      </c>
    </row>
    <row r="516" spans="1:113" ht="28.8" thickBot="1">
      <c r="A516" s="915" t="s">
        <v>2103</v>
      </c>
      <c r="B516" s="916" t="s">
        <v>2104</v>
      </c>
      <c r="S516" s="917">
        <f>'8.Бюджет на 2015'!N791/1000</f>
        <v>0</v>
      </c>
      <c r="T516" s="910">
        <f t="shared" si="600"/>
        <v>0</v>
      </c>
      <c r="U516" s="910">
        <f t="shared" si="600"/>
        <v>139462.50759052328</v>
      </c>
      <c r="V516" s="910">
        <f t="shared" si="600"/>
        <v>0</v>
      </c>
      <c r="W516" s="910"/>
      <c r="X516" s="910"/>
      <c r="Y516" s="910"/>
      <c r="Z516" s="911"/>
      <c r="AA516" s="910"/>
      <c r="AB516" s="910"/>
      <c r="AC516" s="910"/>
      <c r="AD516" s="910"/>
      <c r="AE516" s="910"/>
      <c r="AF516" s="910"/>
      <c r="AG516" s="912"/>
      <c r="AH516" s="910"/>
      <c r="AI516" s="910"/>
      <c r="AJ516" s="910"/>
      <c r="AK516" s="910"/>
      <c r="AL516" s="910"/>
      <c r="AM516" s="910"/>
      <c r="AN516" s="910"/>
      <c r="AO516" s="910"/>
      <c r="AP516" s="910"/>
      <c r="AQ516" s="910">
        <f>AQ475</f>
        <v>85952.604656320007</v>
      </c>
      <c r="AR516" s="910"/>
      <c r="AS516" s="910">
        <f>AS475</f>
        <v>8685.0001443620022</v>
      </c>
      <c r="AT516" s="910"/>
      <c r="AU516" s="910"/>
      <c r="AV516" s="910"/>
      <c r="AW516" s="910"/>
      <c r="AX516" s="910"/>
      <c r="AY516" s="910"/>
      <c r="AZ516" s="910"/>
      <c r="BA516" s="910"/>
      <c r="BB516" s="910">
        <f>BB475</f>
        <v>23465.377012300014</v>
      </c>
      <c r="BC516" s="910"/>
      <c r="BD516" s="910"/>
      <c r="BE516" s="910"/>
      <c r="BF516" s="910"/>
      <c r="BG516" s="910"/>
      <c r="BH516" s="912"/>
      <c r="BI516" s="912"/>
      <c r="BJ516" s="912"/>
      <c r="BK516" s="912"/>
      <c r="BL516" s="912">
        <f>BL475</f>
        <v>21359.525777541305</v>
      </c>
      <c r="BM516" s="912"/>
      <c r="BN516" s="910"/>
      <c r="BO516" s="912"/>
      <c r="BP516" s="912"/>
      <c r="BQ516" s="912">
        <f>BQ475</f>
        <v>21359.525777541305</v>
      </c>
      <c r="BR516" s="912"/>
      <c r="BS516" s="910"/>
      <c r="BX516" s="752"/>
      <c r="CD516" s="910"/>
      <c r="CE516" s="910"/>
      <c r="CF516" s="910"/>
      <c r="CG516" s="910"/>
      <c r="CH516" s="910"/>
      <c r="CI516" s="910"/>
      <c r="CJ516" s="910"/>
      <c r="CK516" s="910" t="e">
        <f t="shared" si="601"/>
        <v>#VALUE!</v>
      </c>
      <c r="CL516" s="910" t="e">
        <f t="shared" si="601"/>
        <v>#VALUE!</v>
      </c>
      <c r="CM516" s="910" t="e">
        <f t="shared" si="601"/>
        <v>#VALUE!</v>
      </c>
      <c r="CN516" s="910" t="e">
        <f t="shared" si="601"/>
        <v>#VALUE!</v>
      </c>
      <c r="CO516" s="910">
        <f t="shared" si="601"/>
        <v>0</v>
      </c>
      <c r="CP516" s="910">
        <f t="shared" si="601"/>
        <v>126398.42827615869</v>
      </c>
      <c r="CQ516" s="910">
        <f t="shared" si="601"/>
        <v>9164.2467252314837</v>
      </c>
      <c r="CR516" s="910">
        <f t="shared" si="601"/>
        <v>3899.8325891331087</v>
      </c>
    </row>
    <row r="517" spans="1:113" ht="28.8" thickBot="1">
      <c r="A517" s="1779" t="s">
        <v>1270</v>
      </c>
      <c r="B517" s="1780"/>
      <c r="S517" s="894"/>
      <c r="T517" s="894">
        <f>T320/1000</f>
        <v>345140.29777159984</v>
      </c>
      <c r="U517" s="894"/>
      <c r="V517" s="894"/>
      <c r="W517" s="894"/>
      <c r="X517" s="894"/>
      <c r="Y517" s="894"/>
      <c r="Z517" s="895"/>
      <c r="AA517" s="894"/>
      <c r="AB517" s="894"/>
      <c r="AC517" s="894"/>
      <c r="AD517" s="894"/>
      <c r="AE517" s="894"/>
      <c r="AF517" s="894"/>
      <c r="AG517" s="896"/>
      <c r="AH517" s="894"/>
      <c r="AI517" s="894"/>
      <c r="AJ517" s="894"/>
      <c r="AK517" s="894"/>
      <c r="AL517" s="894"/>
      <c r="AM517" s="894"/>
      <c r="AN517" s="894"/>
      <c r="AO517" s="894"/>
      <c r="AP517" s="894"/>
      <c r="AQ517" s="894"/>
      <c r="AR517" s="894"/>
      <c r="AS517" s="894"/>
      <c r="AT517" s="894"/>
      <c r="AU517" s="894"/>
      <c r="AV517" s="894"/>
      <c r="AW517" s="894"/>
      <c r="AX517" s="894"/>
      <c r="AY517" s="894"/>
      <c r="AZ517" s="894"/>
      <c r="BA517" s="894"/>
      <c r="BB517" s="894"/>
      <c r="BC517" s="894"/>
      <c r="BD517" s="894"/>
      <c r="BE517" s="894"/>
      <c r="BF517" s="894"/>
      <c r="BG517" s="894"/>
      <c r="BH517" s="896"/>
      <c r="BI517" s="896"/>
      <c r="BJ517" s="896"/>
      <c r="BK517" s="896"/>
      <c r="BL517" s="896"/>
      <c r="BM517" s="896"/>
      <c r="BN517" s="894"/>
      <c r="BO517" s="896"/>
      <c r="BP517" s="896"/>
      <c r="BQ517" s="896"/>
      <c r="BR517" s="896"/>
      <c r="BS517" s="894"/>
      <c r="BX517" s="752"/>
      <c r="CD517" s="897"/>
      <c r="CE517" s="897"/>
      <c r="CF517" s="897"/>
      <c r="CG517" s="897"/>
      <c r="CH517" s="897"/>
      <c r="CI517" s="897"/>
      <c r="CJ517" s="897"/>
      <c r="CP517" s="894"/>
      <c r="CQ517" s="894"/>
      <c r="CR517" s="894"/>
    </row>
    <row r="518" spans="1:113" ht="28.8" thickBot="1">
      <c r="A518" s="864" t="s">
        <v>2105</v>
      </c>
      <c r="B518" s="925" t="s">
        <v>1685</v>
      </c>
      <c r="C518" s="866"/>
      <c r="D518" s="867"/>
      <c r="E518" s="867"/>
      <c r="F518" s="867"/>
      <c r="G518" s="867"/>
      <c r="H518" s="867"/>
      <c r="I518" s="867"/>
      <c r="J518" s="867"/>
      <c r="K518" s="867"/>
      <c r="L518" s="867"/>
      <c r="M518" s="867"/>
      <c r="N518" s="867"/>
      <c r="O518" s="867"/>
      <c r="P518" s="867"/>
      <c r="Q518" s="867"/>
      <c r="R518" s="867"/>
      <c r="S518" s="868">
        <f>'8.Бюджет на 2015'!N802/1000</f>
        <v>0</v>
      </c>
      <c r="T518" s="868">
        <f>T488-T494+T508-T509+T510-T511-T515-T516-T517</f>
        <v>336598.64083139179</v>
      </c>
      <c r="U518" s="868">
        <f>U488-U494+U508-U509+U510-U511-U515-U516</f>
        <v>-130213.78175642675</v>
      </c>
      <c r="V518" s="868">
        <f>V488-V494+V508-V509+V510-V511-V515-V516</f>
        <v>0</v>
      </c>
      <c r="W518" s="868"/>
      <c r="X518" s="868"/>
      <c r="Y518" s="868"/>
      <c r="Z518" s="869"/>
      <c r="AA518" s="868"/>
      <c r="AB518" s="868"/>
      <c r="AC518" s="868"/>
      <c r="AD518" s="868"/>
      <c r="AE518" s="868"/>
      <c r="AF518" s="868"/>
      <c r="AG518" s="801"/>
      <c r="AH518" s="868"/>
      <c r="AI518" s="868"/>
      <c r="AJ518" s="868"/>
      <c r="AK518" s="868"/>
      <c r="AL518" s="868"/>
      <c r="AM518" s="868"/>
      <c r="AN518" s="868"/>
      <c r="AO518" s="868"/>
      <c r="AP518" s="868"/>
      <c r="AQ518" s="868" t="e">
        <f t="shared" ref="AQ518:CR518" si="603">AQ488-AQ494+AQ508-AQ509+AQ510-AQ511-AQ515-AQ516</f>
        <v>#REF!</v>
      </c>
      <c r="AR518" s="868"/>
      <c r="AS518" s="868" t="e">
        <f t="shared" si="603"/>
        <v>#REF!</v>
      </c>
      <c r="AT518" s="868"/>
      <c r="AU518" s="868"/>
      <c r="AV518" s="868"/>
      <c r="AW518" s="868"/>
      <c r="AX518" s="868"/>
      <c r="AY518" s="868"/>
      <c r="AZ518" s="868"/>
      <c r="BA518" s="868"/>
      <c r="BB518" s="868" t="e">
        <f t="shared" si="603"/>
        <v>#REF!</v>
      </c>
      <c r="BC518" s="800"/>
      <c r="BD518" s="800"/>
      <c r="BE518" s="800"/>
      <c r="BF518" s="800"/>
      <c r="BG518" s="800"/>
      <c r="BH518" s="801"/>
      <c r="BI518" s="801"/>
      <c r="BJ518" s="801"/>
      <c r="BK518" s="801"/>
      <c r="BL518" s="801" t="e">
        <f t="shared" si="603"/>
        <v>#REF!</v>
      </c>
      <c r="BM518" s="801"/>
      <c r="BN518" s="868"/>
      <c r="BO518" s="801"/>
      <c r="BP518" s="801"/>
      <c r="BQ518" s="801" t="e">
        <f t="shared" ref="BQ518" si="604">BQ488-BQ494+BQ508-BQ509+BQ510-BQ511-BQ515-BQ516</f>
        <v>#REF!</v>
      </c>
      <c r="BR518" s="801"/>
      <c r="BS518" s="868"/>
      <c r="BX518" s="752"/>
      <c r="CD518" s="868"/>
      <c r="CE518" s="868"/>
      <c r="CF518" s="868"/>
      <c r="CG518" s="868"/>
      <c r="CH518" s="868"/>
      <c r="CI518" s="868"/>
      <c r="CJ518" s="868"/>
      <c r="CK518" s="868" t="e">
        <f t="shared" si="603"/>
        <v>#VALUE!</v>
      </c>
      <c r="CL518" s="868" t="e">
        <f t="shared" si="603"/>
        <v>#VALUE!</v>
      </c>
      <c r="CM518" s="868" t="e">
        <f t="shared" si="603"/>
        <v>#VALUE!</v>
      </c>
      <c r="CN518" s="868" t="e">
        <f t="shared" si="603"/>
        <v>#VALUE!</v>
      </c>
      <c r="CO518" s="868">
        <f t="shared" si="603"/>
        <v>0</v>
      </c>
      <c r="CP518" s="868">
        <f t="shared" si="603"/>
        <v>-245310.50959063577</v>
      </c>
      <c r="CQ518" s="868" t="e">
        <f t="shared" si="603"/>
        <v>#REF!</v>
      </c>
      <c r="CR518" s="868" t="e">
        <f t="shared" si="603"/>
        <v>#REF!</v>
      </c>
    </row>
    <row r="519" spans="1:113" ht="28.8" thickBot="1">
      <c r="A519" s="926" t="s">
        <v>2106</v>
      </c>
      <c r="B519" s="927" t="s">
        <v>2107</v>
      </c>
      <c r="C519" s="928"/>
      <c r="D519" s="929"/>
      <c r="E519" s="929"/>
      <c r="F519" s="929"/>
      <c r="G519" s="929"/>
      <c r="H519" s="929"/>
      <c r="I519" s="929"/>
      <c r="J519" s="929"/>
      <c r="K519" s="929"/>
      <c r="L519" s="929"/>
      <c r="M519" s="929"/>
      <c r="N519" s="929"/>
      <c r="O519" s="929"/>
      <c r="P519" s="929"/>
      <c r="Q519" s="929"/>
      <c r="R519" s="929"/>
      <c r="S519" s="930"/>
      <c r="T519" s="1783">
        <f>T518-U518</f>
        <v>466812.42258781852</v>
      </c>
      <c r="U519" s="1784"/>
      <c r="V519" s="931"/>
      <c r="W519" s="931"/>
      <c r="X519" s="931"/>
      <c r="Y519" s="931"/>
      <c r="Z519" s="932"/>
      <c r="AA519" s="931"/>
      <c r="AB519" s="931"/>
      <c r="AC519" s="931"/>
      <c r="AD519" s="931"/>
      <c r="AE519" s="931"/>
      <c r="AF519" s="931"/>
      <c r="AG519" s="933"/>
      <c r="AH519" s="931"/>
      <c r="AI519" s="931"/>
      <c r="AJ519" s="931"/>
      <c r="AK519" s="931"/>
      <c r="AL519" s="931"/>
      <c r="AM519" s="931"/>
      <c r="AN519" s="931"/>
      <c r="AO519" s="931"/>
      <c r="AP519" s="931"/>
      <c r="AQ519" s="930"/>
      <c r="AR519" s="930"/>
      <c r="AS519" s="930"/>
      <c r="AT519" s="930"/>
      <c r="AU519" s="930"/>
      <c r="AV519" s="930"/>
      <c r="AW519" s="930"/>
      <c r="AX519" s="930"/>
      <c r="AY519" s="930"/>
      <c r="AZ519" s="930"/>
      <c r="BA519" s="930"/>
      <c r="BB519" s="930"/>
      <c r="BC519" s="800"/>
      <c r="BD519" s="800"/>
      <c r="BE519" s="800"/>
      <c r="BF519" s="800"/>
      <c r="BG519" s="800"/>
      <c r="BH519" s="801"/>
      <c r="BI519" s="801"/>
      <c r="BJ519" s="801"/>
      <c r="BK519" s="801"/>
      <c r="BL519" s="801"/>
      <c r="BM519" s="801"/>
      <c r="BN519" s="930"/>
      <c r="BO519" s="801"/>
      <c r="BP519" s="801"/>
      <c r="BQ519" s="801"/>
      <c r="BR519" s="801"/>
      <c r="BS519" s="930"/>
      <c r="BX519" s="752"/>
      <c r="CD519" s="930"/>
      <c r="CE519" s="930"/>
      <c r="CF519" s="930"/>
      <c r="CG519" s="930"/>
      <c r="CH519" s="930"/>
      <c r="CI519" s="930"/>
      <c r="CJ519" s="930"/>
      <c r="CK519" s="930"/>
      <c r="CL519" s="930"/>
      <c r="CM519" s="930"/>
      <c r="CN519" s="930"/>
      <c r="CO519" s="930"/>
      <c r="CP519" s="930"/>
      <c r="CQ519" s="930"/>
      <c r="CR519" s="930"/>
    </row>
    <row r="520" spans="1:113">
      <c r="BX520" s="752"/>
    </row>
    <row r="521" spans="1:113">
      <c r="BX521" s="752"/>
    </row>
    <row r="522" spans="1:113">
      <c r="BX522" s="752"/>
    </row>
    <row r="523" spans="1:113">
      <c r="BX523" s="752"/>
    </row>
    <row r="524" spans="1:113">
      <c r="BX524" s="752"/>
    </row>
    <row r="525" spans="1:113">
      <c r="BX525" s="752"/>
    </row>
    <row r="526" spans="1:113">
      <c r="BX526" s="752"/>
    </row>
    <row r="527" spans="1:113">
      <c r="BX527" s="752"/>
    </row>
    <row r="528" spans="1:113">
      <c r="BU528" s="784"/>
      <c r="BV528" s="784"/>
      <c r="BW528" s="784"/>
      <c r="BX528" s="755"/>
      <c r="BY528" s="784"/>
      <c r="BZ528" s="784"/>
      <c r="CA528" s="784"/>
      <c r="CB528" s="784"/>
      <c r="CC528" s="784"/>
      <c r="DF528" s="784"/>
      <c r="DG528" s="784"/>
      <c r="DH528" s="784"/>
      <c r="DI528" s="784"/>
    </row>
    <row r="529" spans="73:113">
      <c r="BU529" s="784"/>
      <c r="BV529" s="784"/>
      <c r="BW529" s="784"/>
      <c r="BX529" s="755"/>
      <c r="BY529" s="784"/>
      <c r="BZ529" s="784"/>
      <c r="CA529" s="784"/>
      <c r="CB529" s="784"/>
      <c r="CC529" s="784"/>
      <c r="DF529" s="784"/>
      <c r="DG529" s="784"/>
      <c r="DH529" s="784"/>
      <c r="DI529" s="784"/>
    </row>
    <row r="530" spans="73:113">
      <c r="BX530" s="752"/>
    </row>
    <row r="531" spans="73:113">
      <c r="BX531" s="752"/>
    </row>
    <row r="532" spans="73:113">
      <c r="BX532" s="752"/>
    </row>
    <row r="533" spans="73:113">
      <c r="BX533" s="752"/>
    </row>
    <row r="534" spans="73:113">
      <c r="BX534" s="752"/>
    </row>
    <row r="535" spans="73:113">
      <c r="BX535" s="752"/>
    </row>
    <row r="536" spans="73:113">
      <c r="BX536" s="752"/>
    </row>
    <row r="537" spans="73:113">
      <c r="BU537" s="752"/>
      <c r="BV537" s="752"/>
      <c r="BW537" s="752"/>
      <c r="BX537" s="752"/>
      <c r="BY537" s="752"/>
      <c r="BZ537" s="752"/>
      <c r="CA537" s="752"/>
      <c r="CB537" s="752"/>
      <c r="CC537" s="752"/>
      <c r="DF537" s="752"/>
      <c r="DG537" s="752"/>
      <c r="DH537" s="752"/>
      <c r="DI537" s="752"/>
    </row>
    <row r="538" spans="73:113">
      <c r="BU538" s="752"/>
      <c r="BV538" s="752"/>
      <c r="BW538" s="752"/>
      <c r="BX538" s="752"/>
      <c r="BY538" s="752"/>
      <c r="BZ538" s="752"/>
      <c r="CA538" s="752"/>
      <c r="CB538" s="752"/>
      <c r="CC538" s="752"/>
      <c r="DF538" s="752"/>
      <c r="DG538" s="752"/>
      <c r="DH538" s="752"/>
      <c r="DI538" s="752"/>
    </row>
    <row r="539" spans="73:113">
      <c r="BU539" s="752"/>
      <c r="BV539" s="752"/>
      <c r="BW539" s="752"/>
      <c r="BX539" s="752"/>
      <c r="BY539" s="752"/>
      <c r="BZ539" s="752"/>
      <c r="CA539" s="752"/>
      <c r="CB539" s="752"/>
      <c r="CC539" s="752"/>
      <c r="DF539" s="752"/>
      <c r="DG539" s="752"/>
      <c r="DH539" s="752"/>
      <c r="DI539" s="752"/>
    </row>
    <row r="540" spans="73:113">
      <c r="BU540" s="752"/>
      <c r="BV540" s="752"/>
      <c r="BW540" s="752"/>
      <c r="BX540" s="752"/>
      <c r="BY540" s="752"/>
      <c r="BZ540" s="752"/>
      <c r="CA540" s="752"/>
      <c r="CB540" s="752"/>
      <c r="CC540" s="752"/>
      <c r="DF540" s="752"/>
      <c r="DG540" s="752"/>
      <c r="DH540" s="752"/>
      <c r="DI540" s="752"/>
    </row>
    <row r="541" spans="73:113">
      <c r="BU541" s="946"/>
      <c r="BV541" s="946"/>
      <c r="BW541" s="946"/>
      <c r="BX541" s="946"/>
      <c r="BY541" s="946"/>
      <c r="BZ541" s="946"/>
      <c r="CA541" s="946"/>
      <c r="CB541" s="946"/>
      <c r="CC541" s="946"/>
      <c r="DF541" s="946"/>
      <c r="DG541" s="946"/>
      <c r="DH541" s="946"/>
      <c r="DI541" s="946"/>
    </row>
    <row r="542" spans="73:113">
      <c r="BU542" s="755"/>
      <c r="BV542" s="755"/>
      <c r="BW542" s="755"/>
      <c r="BX542" s="755"/>
      <c r="BY542" s="755"/>
      <c r="BZ542" s="755"/>
      <c r="CA542" s="755"/>
      <c r="CB542" s="755"/>
      <c r="CC542" s="755"/>
      <c r="DF542" s="755"/>
      <c r="DG542" s="755"/>
      <c r="DH542" s="755"/>
      <c r="DI542" s="755"/>
    </row>
    <row r="543" spans="73:113">
      <c r="BU543" s="755"/>
      <c r="BV543" s="755"/>
      <c r="BW543" s="755"/>
      <c r="BX543" s="755"/>
      <c r="BY543" s="755"/>
      <c r="BZ543" s="755"/>
      <c r="CA543" s="755"/>
      <c r="CB543" s="755"/>
      <c r="CC543" s="755"/>
      <c r="DF543" s="755"/>
      <c r="DG543" s="755"/>
      <c r="DH543" s="755"/>
      <c r="DI543" s="755"/>
    </row>
    <row r="544" spans="73:113">
      <c r="BU544" s="752"/>
      <c r="BV544" s="752"/>
      <c r="BW544" s="752"/>
      <c r="BX544" s="752"/>
      <c r="BY544" s="752"/>
      <c r="BZ544" s="752"/>
      <c r="CA544" s="752"/>
      <c r="CB544" s="752"/>
      <c r="CC544" s="752"/>
      <c r="DF544" s="752"/>
      <c r="DG544" s="752"/>
      <c r="DH544" s="752"/>
      <c r="DI544" s="752"/>
    </row>
    <row r="545" spans="73:113">
      <c r="BU545" s="752"/>
      <c r="BV545" s="752"/>
      <c r="BW545" s="752"/>
      <c r="BX545" s="752"/>
      <c r="BY545" s="752"/>
      <c r="BZ545" s="752"/>
      <c r="CA545" s="752"/>
      <c r="CB545" s="752"/>
      <c r="CC545" s="752"/>
      <c r="DF545" s="752"/>
      <c r="DG545" s="752"/>
      <c r="DH545" s="752"/>
      <c r="DI545" s="752"/>
    </row>
    <row r="546" spans="73:113">
      <c r="BU546" s="752"/>
      <c r="BV546" s="752"/>
      <c r="BW546" s="752"/>
      <c r="BX546" s="752"/>
      <c r="BY546" s="752"/>
      <c r="BZ546" s="752"/>
      <c r="CA546" s="752"/>
      <c r="CB546" s="752"/>
      <c r="CC546" s="752"/>
      <c r="DF546" s="752"/>
      <c r="DG546" s="752"/>
      <c r="DH546" s="752"/>
      <c r="DI546" s="752"/>
    </row>
    <row r="547" spans="73:113">
      <c r="BU547" s="752"/>
      <c r="BV547" s="752"/>
      <c r="BW547" s="752"/>
      <c r="BX547" s="752"/>
      <c r="BY547" s="752"/>
      <c r="BZ547" s="752"/>
      <c r="CA547" s="752"/>
      <c r="CB547" s="752"/>
      <c r="CC547" s="752"/>
      <c r="DF547" s="752"/>
      <c r="DG547" s="752"/>
      <c r="DH547" s="752"/>
      <c r="DI547" s="752"/>
    </row>
    <row r="548" spans="73:113">
      <c r="BU548" s="752"/>
      <c r="BV548" s="752"/>
      <c r="BW548" s="752"/>
      <c r="BX548" s="752"/>
      <c r="BY548" s="752"/>
      <c r="BZ548" s="752"/>
      <c r="CA548" s="752"/>
      <c r="CB548" s="752"/>
      <c r="CC548" s="752"/>
      <c r="DF548" s="752"/>
      <c r="DG548" s="752"/>
      <c r="DH548" s="752"/>
      <c r="DI548" s="752"/>
    </row>
    <row r="549" spans="73:113">
      <c r="BU549" s="752"/>
      <c r="BV549" s="752"/>
      <c r="BW549" s="752"/>
      <c r="BX549" s="752"/>
      <c r="BY549" s="752"/>
      <c r="BZ549" s="752"/>
      <c r="CA549" s="752"/>
      <c r="CB549" s="752"/>
      <c r="CC549" s="752"/>
      <c r="DF549" s="752"/>
      <c r="DG549" s="752"/>
      <c r="DH549" s="752"/>
      <c r="DI549" s="752"/>
    </row>
    <row r="550" spans="73:113">
      <c r="BU550" s="752"/>
      <c r="BV550" s="752"/>
      <c r="BW550" s="752"/>
      <c r="BX550" s="752"/>
      <c r="BY550" s="752"/>
      <c r="BZ550" s="752"/>
      <c r="CA550" s="752"/>
      <c r="CB550" s="752"/>
      <c r="CC550" s="752"/>
      <c r="DF550" s="752"/>
      <c r="DG550" s="752"/>
      <c r="DH550" s="752"/>
      <c r="DI550" s="752"/>
    </row>
    <row r="551" spans="73:113">
      <c r="BU551" s="752"/>
      <c r="BV551" s="752"/>
      <c r="BW551" s="752"/>
      <c r="BX551" s="752"/>
      <c r="BY551" s="752"/>
      <c r="BZ551" s="752"/>
      <c r="CA551" s="752"/>
      <c r="CB551" s="752"/>
      <c r="CC551" s="752"/>
      <c r="DF551" s="752"/>
      <c r="DG551" s="752"/>
      <c r="DH551" s="752"/>
      <c r="DI551" s="752"/>
    </row>
    <row r="552" spans="73:113">
      <c r="BU552" s="752"/>
      <c r="BV552" s="752"/>
      <c r="BW552" s="752"/>
      <c r="BX552" s="752"/>
      <c r="BY552" s="752"/>
      <c r="BZ552" s="752"/>
      <c r="CA552" s="752"/>
      <c r="CB552" s="752"/>
      <c r="CC552" s="752"/>
      <c r="DF552" s="752"/>
      <c r="DG552" s="752"/>
      <c r="DH552" s="752"/>
      <c r="DI552" s="752"/>
    </row>
    <row r="553" spans="73:113">
      <c r="BU553" s="752"/>
      <c r="BV553" s="752"/>
      <c r="BW553" s="752"/>
      <c r="BY553" s="752"/>
      <c r="BZ553" s="752"/>
      <c r="CA553" s="752"/>
      <c r="CB553" s="752"/>
      <c r="CC553" s="752"/>
      <c r="DF553" s="752"/>
      <c r="DG553" s="752"/>
      <c r="DH553" s="752"/>
      <c r="DI553" s="752"/>
    </row>
    <row r="554" spans="73:113">
      <c r="BU554" s="752"/>
      <c r="BV554" s="752"/>
      <c r="BW554" s="752"/>
      <c r="BY554" s="752"/>
      <c r="BZ554" s="752"/>
      <c r="CA554" s="752"/>
      <c r="CB554" s="752"/>
      <c r="CC554" s="752"/>
      <c r="DF554" s="752"/>
      <c r="DG554" s="752"/>
      <c r="DH554" s="752"/>
      <c r="DI554" s="752"/>
    </row>
    <row r="560" spans="73:113">
      <c r="BU560" s="947"/>
      <c r="BV560" s="947"/>
      <c r="BW560" s="947"/>
      <c r="BX560" s="948"/>
      <c r="BY560" s="947"/>
      <c r="BZ560" s="947"/>
      <c r="CA560" s="947"/>
      <c r="CB560" s="947"/>
      <c r="CC560" s="947"/>
      <c r="DF560" s="947"/>
      <c r="DG560" s="947"/>
      <c r="DH560" s="947"/>
      <c r="DI560" s="947"/>
    </row>
    <row r="561" spans="73:113">
      <c r="BU561" s="947"/>
      <c r="BV561" s="947"/>
      <c r="BW561" s="947"/>
      <c r="BX561" s="948"/>
      <c r="BY561" s="947"/>
      <c r="BZ561" s="947"/>
      <c r="CA561" s="947"/>
      <c r="CB561" s="947"/>
      <c r="CC561" s="947"/>
      <c r="DF561" s="947"/>
      <c r="DG561" s="947"/>
      <c r="DH561" s="947"/>
      <c r="DI561" s="947"/>
    </row>
    <row r="562" spans="73:113">
      <c r="BU562" s="784"/>
      <c r="BV562" s="784"/>
      <c r="BW562" s="784"/>
      <c r="BX562" s="791"/>
      <c r="BY562" s="784"/>
      <c r="BZ562" s="784"/>
      <c r="CA562" s="784"/>
      <c r="CB562" s="784"/>
      <c r="CC562" s="784"/>
      <c r="DF562" s="784"/>
      <c r="DG562" s="784"/>
      <c r="DH562" s="784"/>
      <c r="DI562" s="784"/>
    </row>
  </sheetData>
  <mergeCells count="445">
    <mergeCell ref="CT490:CT491"/>
    <mergeCell ref="CU490:CU491"/>
    <mergeCell ref="CW490:DB490"/>
    <mergeCell ref="A517:B517"/>
    <mergeCell ref="T519:U519"/>
    <mergeCell ref="AS482:AS486"/>
    <mergeCell ref="BB482:BB486"/>
    <mergeCell ref="BL482:BL486"/>
    <mergeCell ref="BQ482:BQ486"/>
    <mergeCell ref="CP482:CR484"/>
    <mergeCell ref="CP485:CP486"/>
    <mergeCell ref="CQ485:CQ486"/>
    <mergeCell ref="CR485:CR486"/>
    <mergeCell ref="A482:A486"/>
    <mergeCell ref="B482:B486"/>
    <mergeCell ref="S482:S486"/>
    <mergeCell ref="T482:T486"/>
    <mergeCell ref="U482:U486"/>
    <mergeCell ref="AQ482:AQ486"/>
    <mergeCell ref="CT473:DB475"/>
    <mergeCell ref="A476:B476"/>
    <mergeCell ref="CT477:CT478"/>
    <mergeCell ref="CU477:CU478"/>
    <mergeCell ref="CW477:DB477"/>
    <mergeCell ref="T478:U478"/>
    <mergeCell ref="AQ441:AQ445"/>
    <mergeCell ref="AS441:AS445"/>
    <mergeCell ref="BB441:BB445"/>
    <mergeCell ref="BL441:BL445"/>
    <mergeCell ref="BQ441:BQ445"/>
    <mergeCell ref="CP441:CR443"/>
    <mergeCell ref="CP444:CP445"/>
    <mergeCell ref="CQ444:CQ445"/>
    <mergeCell ref="CR444:CR445"/>
    <mergeCell ref="A437:B437"/>
    <mergeCell ref="CT439:CW439"/>
    <mergeCell ref="A441:A445"/>
    <mergeCell ref="B441:B445"/>
    <mergeCell ref="S441:S445"/>
    <mergeCell ref="T441:T445"/>
    <mergeCell ref="U441:U445"/>
    <mergeCell ref="CT448:CW448"/>
    <mergeCell ref="CT459:CW459"/>
    <mergeCell ref="A332:B332"/>
    <mergeCell ref="A333:B333"/>
    <mergeCell ref="A334:B334"/>
    <mergeCell ref="A335:B335"/>
    <mergeCell ref="A433:A434"/>
    <mergeCell ref="B433:B434"/>
    <mergeCell ref="A325:B325"/>
    <mergeCell ref="CS325:CW325"/>
    <mergeCell ref="A327:B327"/>
    <mergeCell ref="A329:B329"/>
    <mergeCell ref="A330:B330"/>
    <mergeCell ref="A331:B331"/>
    <mergeCell ref="T433:T434"/>
    <mergeCell ref="U433:U434"/>
    <mergeCell ref="CP433:CR433"/>
    <mergeCell ref="A321:B321"/>
    <mergeCell ref="CS321:CW321"/>
    <mergeCell ref="CS322:CW322"/>
    <mergeCell ref="A323:B323"/>
    <mergeCell ref="CS323:CW323"/>
    <mergeCell ref="CS324:CW324"/>
    <mergeCell ref="CS316:CW316"/>
    <mergeCell ref="CS317:CW317"/>
    <mergeCell ref="CS318:CW318"/>
    <mergeCell ref="A319:B319"/>
    <mergeCell ref="CS319:CW319"/>
    <mergeCell ref="CS320:CW320"/>
    <mergeCell ref="CS310:CW310"/>
    <mergeCell ref="CS311:CW311"/>
    <mergeCell ref="CS312:CW312"/>
    <mergeCell ref="CS313:CW313"/>
    <mergeCell ref="CS314:CW314"/>
    <mergeCell ref="CS315:CW315"/>
    <mergeCell ref="CS305:CW305"/>
    <mergeCell ref="CS306:CW306"/>
    <mergeCell ref="A307:B307"/>
    <mergeCell ref="CS307:CW307"/>
    <mergeCell ref="CS308:CW308"/>
    <mergeCell ref="CS309:CW309"/>
    <mergeCell ref="CS299:CW299"/>
    <mergeCell ref="A301:B301"/>
    <mergeCell ref="CS301:CW301"/>
    <mergeCell ref="CS302:CW302"/>
    <mergeCell ref="CS303:CW303"/>
    <mergeCell ref="CS304:CW304"/>
    <mergeCell ref="CS293:CW293"/>
    <mergeCell ref="CS294:CW294"/>
    <mergeCell ref="CS295:CW295"/>
    <mergeCell ref="CS296:CW296"/>
    <mergeCell ref="CS297:CW297"/>
    <mergeCell ref="CS298:CW298"/>
    <mergeCell ref="CS287:CW287"/>
    <mergeCell ref="CS288:CW288"/>
    <mergeCell ref="CS289:CW289"/>
    <mergeCell ref="CS290:CW290"/>
    <mergeCell ref="CS291:CW291"/>
    <mergeCell ref="CS292:CW292"/>
    <mergeCell ref="CS281:CW281"/>
    <mergeCell ref="CS282:CW282"/>
    <mergeCell ref="CS283:CW283"/>
    <mergeCell ref="CS284:CW284"/>
    <mergeCell ref="CS285:CW285"/>
    <mergeCell ref="CS286:CW286"/>
    <mergeCell ref="CS275:CW275"/>
    <mergeCell ref="CS276:CW276"/>
    <mergeCell ref="CS277:CW277"/>
    <mergeCell ref="CS278:CW278"/>
    <mergeCell ref="CS279:CW279"/>
    <mergeCell ref="CS280:CW280"/>
    <mergeCell ref="CS269:CW269"/>
    <mergeCell ref="CS270:CW270"/>
    <mergeCell ref="CS271:CW271"/>
    <mergeCell ref="CS272:CW272"/>
    <mergeCell ref="CS273:CW273"/>
    <mergeCell ref="CS274:CW274"/>
    <mergeCell ref="CS263:CW263"/>
    <mergeCell ref="CS264:CW264"/>
    <mergeCell ref="CS265:CW265"/>
    <mergeCell ref="CS266:CW266"/>
    <mergeCell ref="CS267:CW267"/>
    <mergeCell ref="CS268:CW268"/>
    <mergeCell ref="CS257:CW257"/>
    <mergeCell ref="CS258:CW258"/>
    <mergeCell ref="CS259:CW259"/>
    <mergeCell ref="CS260:CW260"/>
    <mergeCell ref="CS261:CW261"/>
    <mergeCell ref="CS262:CW262"/>
    <mergeCell ref="CS251:CW251"/>
    <mergeCell ref="CS252:CW252"/>
    <mergeCell ref="CS253:CW253"/>
    <mergeCell ref="CS254:CW254"/>
    <mergeCell ref="CS255:CW255"/>
    <mergeCell ref="CS256:CW256"/>
    <mergeCell ref="CS245:CW245"/>
    <mergeCell ref="CS246:CW246"/>
    <mergeCell ref="CS247:CW247"/>
    <mergeCell ref="CS248:CW248"/>
    <mergeCell ref="CS249:CW249"/>
    <mergeCell ref="CS250:CW250"/>
    <mergeCell ref="CS240:CW240"/>
    <mergeCell ref="CS241:CW241"/>
    <mergeCell ref="CS242:CW242"/>
    <mergeCell ref="S243:S244"/>
    <mergeCell ref="T243:T244"/>
    <mergeCell ref="CS243:CW243"/>
    <mergeCell ref="CS244:CW244"/>
    <mergeCell ref="CS234:CW234"/>
    <mergeCell ref="CS235:CW235"/>
    <mergeCell ref="CS236:CW236"/>
    <mergeCell ref="CS237:CW237"/>
    <mergeCell ref="A239:B239"/>
    <mergeCell ref="CS239:CW239"/>
    <mergeCell ref="CS228:CW228"/>
    <mergeCell ref="CS229:CW229"/>
    <mergeCell ref="CS230:CW230"/>
    <mergeCell ref="CS231:CW231"/>
    <mergeCell ref="CS232:CW232"/>
    <mergeCell ref="CS233:CW233"/>
    <mergeCell ref="CS222:CW222"/>
    <mergeCell ref="CS223:CW223"/>
    <mergeCell ref="CS224:CW224"/>
    <mergeCell ref="CS225:CW225"/>
    <mergeCell ref="CS226:CW226"/>
    <mergeCell ref="CS227:CW227"/>
    <mergeCell ref="CS216:CW216"/>
    <mergeCell ref="CS217:CW217"/>
    <mergeCell ref="CS218:CW218"/>
    <mergeCell ref="CS219:CW219"/>
    <mergeCell ref="CS220:CW220"/>
    <mergeCell ref="CS221:CW221"/>
    <mergeCell ref="CS210:CW210"/>
    <mergeCell ref="CS211:CW211"/>
    <mergeCell ref="CS212:CW212"/>
    <mergeCell ref="CS213:CW213"/>
    <mergeCell ref="CS214:CW214"/>
    <mergeCell ref="CS215:CW215"/>
    <mergeCell ref="CS204:CW204"/>
    <mergeCell ref="CS205:CW205"/>
    <mergeCell ref="CS206:CW206"/>
    <mergeCell ref="CS207:CW207"/>
    <mergeCell ref="CS208:CW208"/>
    <mergeCell ref="CS209:CW209"/>
    <mergeCell ref="CS198:CW198"/>
    <mergeCell ref="CS199:CW199"/>
    <mergeCell ref="CS200:CW200"/>
    <mergeCell ref="CS201:CW201"/>
    <mergeCell ref="CS202:CW202"/>
    <mergeCell ref="CS203:CW203"/>
    <mergeCell ref="CS192:CW192"/>
    <mergeCell ref="CS193:CW193"/>
    <mergeCell ref="CS194:CW194"/>
    <mergeCell ref="CS195:CW195"/>
    <mergeCell ref="CS196:CW196"/>
    <mergeCell ref="CS197:CW197"/>
    <mergeCell ref="CS186:CW186"/>
    <mergeCell ref="CS187:CW187"/>
    <mergeCell ref="CS188:CW188"/>
    <mergeCell ref="CS189:CW189"/>
    <mergeCell ref="CS190:CW190"/>
    <mergeCell ref="CS191:CW191"/>
    <mergeCell ref="CS180:CW180"/>
    <mergeCell ref="CS181:CW181"/>
    <mergeCell ref="CS182:CW182"/>
    <mergeCell ref="CS183:CW183"/>
    <mergeCell ref="CS184:CW184"/>
    <mergeCell ref="CS185:CW185"/>
    <mergeCell ref="CS174:CW174"/>
    <mergeCell ref="CS175:CW175"/>
    <mergeCell ref="CS176:CW176"/>
    <mergeCell ref="CS177:CW177"/>
    <mergeCell ref="CS178:CW178"/>
    <mergeCell ref="CS179:CW179"/>
    <mergeCell ref="CS168:CW168"/>
    <mergeCell ref="CS169:CW169"/>
    <mergeCell ref="CS170:CW170"/>
    <mergeCell ref="CS171:CW171"/>
    <mergeCell ref="CS172:CW172"/>
    <mergeCell ref="CS173:CW173"/>
    <mergeCell ref="CS162:CW162"/>
    <mergeCell ref="CS163:CW163"/>
    <mergeCell ref="CS164:CW164"/>
    <mergeCell ref="CS165:CW165"/>
    <mergeCell ref="CS166:CW166"/>
    <mergeCell ref="CS167:CW167"/>
    <mergeCell ref="CS156:CW156"/>
    <mergeCell ref="CS157:CW157"/>
    <mergeCell ref="CS158:CW158"/>
    <mergeCell ref="CS159:CW159"/>
    <mergeCell ref="CS160:CW160"/>
    <mergeCell ref="CS161:CW161"/>
    <mergeCell ref="H151:H152"/>
    <mergeCell ref="CS151:CW151"/>
    <mergeCell ref="CS152:CW152"/>
    <mergeCell ref="CS153:CW153"/>
    <mergeCell ref="CS154:CW154"/>
    <mergeCell ref="CS155:CW155"/>
    <mergeCell ref="CS145:CW145"/>
    <mergeCell ref="CS146:CW146"/>
    <mergeCell ref="CS147:CW147"/>
    <mergeCell ref="CS148:CW148"/>
    <mergeCell ref="CS149:CW149"/>
    <mergeCell ref="CS150:CW150"/>
    <mergeCell ref="CS139:CW139"/>
    <mergeCell ref="CS140:CW140"/>
    <mergeCell ref="CS141:CW141"/>
    <mergeCell ref="CS142:CW142"/>
    <mergeCell ref="CS143:CW143"/>
    <mergeCell ref="CS144:CW144"/>
    <mergeCell ref="CS132:CW132"/>
    <mergeCell ref="CS133:CW133"/>
    <mergeCell ref="CS134:CW134"/>
    <mergeCell ref="CS135:CW135"/>
    <mergeCell ref="CS136:CW136"/>
    <mergeCell ref="CS137:CW137"/>
    <mergeCell ref="CS126:CW126"/>
    <mergeCell ref="CS127:CW127"/>
    <mergeCell ref="CS128:CW128"/>
    <mergeCell ref="CS129:CW129"/>
    <mergeCell ref="CS130:CW130"/>
    <mergeCell ref="CS131:CW131"/>
    <mergeCell ref="CS120:CW120"/>
    <mergeCell ref="CS121:CW121"/>
    <mergeCell ref="CS122:CW122"/>
    <mergeCell ref="CS123:CW123"/>
    <mergeCell ref="CS124:CW124"/>
    <mergeCell ref="CS125:CW125"/>
    <mergeCell ref="CS114:CW114"/>
    <mergeCell ref="CS115:CW115"/>
    <mergeCell ref="CS116:CW116"/>
    <mergeCell ref="CS117:CW117"/>
    <mergeCell ref="CS118:CW118"/>
    <mergeCell ref="CS119:CW119"/>
    <mergeCell ref="CS108:CW108"/>
    <mergeCell ref="CS109:CW109"/>
    <mergeCell ref="CS110:CW110"/>
    <mergeCell ref="CS111:CW111"/>
    <mergeCell ref="CS112:CW112"/>
    <mergeCell ref="CS113:CW113"/>
    <mergeCell ref="CS102:CW102"/>
    <mergeCell ref="CS103:CW103"/>
    <mergeCell ref="CS104:CW104"/>
    <mergeCell ref="CS105:CW105"/>
    <mergeCell ref="CS106:CW106"/>
    <mergeCell ref="CS107:CW107"/>
    <mergeCell ref="CS96:CW96"/>
    <mergeCell ref="CS97:CW97"/>
    <mergeCell ref="CS98:CW98"/>
    <mergeCell ref="CS99:CW99"/>
    <mergeCell ref="CS100:CW100"/>
    <mergeCell ref="CS101:CW101"/>
    <mergeCell ref="CS90:CW90"/>
    <mergeCell ref="CS91:CW91"/>
    <mergeCell ref="CS92:CW92"/>
    <mergeCell ref="CS93:CW93"/>
    <mergeCell ref="CS94:CW94"/>
    <mergeCell ref="CS95:CW95"/>
    <mergeCell ref="CS84:CW84"/>
    <mergeCell ref="CS85:CW85"/>
    <mergeCell ref="CS86:CW86"/>
    <mergeCell ref="CS87:CW87"/>
    <mergeCell ref="CS88:CW88"/>
    <mergeCell ref="CS89:CW89"/>
    <mergeCell ref="CS78:CW78"/>
    <mergeCell ref="CS79:CW79"/>
    <mergeCell ref="CS80:CW80"/>
    <mergeCell ref="CS81:CW81"/>
    <mergeCell ref="CS82:CW82"/>
    <mergeCell ref="CS83:CW83"/>
    <mergeCell ref="CS72:CW72"/>
    <mergeCell ref="CS73:CW73"/>
    <mergeCell ref="CS74:CW74"/>
    <mergeCell ref="CS75:CW75"/>
    <mergeCell ref="CS76:CW76"/>
    <mergeCell ref="CS77:CW77"/>
    <mergeCell ref="CS66:CW66"/>
    <mergeCell ref="CS67:CW67"/>
    <mergeCell ref="CS68:CW68"/>
    <mergeCell ref="CS69:CW69"/>
    <mergeCell ref="CS70:CW70"/>
    <mergeCell ref="CS71:CW71"/>
    <mergeCell ref="CS60:CW60"/>
    <mergeCell ref="CS61:CW61"/>
    <mergeCell ref="CS62:CW62"/>
    <mergeCell ref="CS63:CW63"/>
    <mergeCell ref="CS64:CW64"/>
    <mergeCell ref="CS65:CW65"/>
    <mergeCell ref="CS52:CW52"/>
    <mergeCell ref="CS53:CW53"/>
    <mergeCell ref="CS54:CW54"/>
    <mergeCell ref="CS55:CW55"/>
    <mergeCell ref="CS56:CW56"/>
    <mergeCell ref="H57:H59"/>
    <mergeCell ref="CS57:CW57"/>
    <mergeCell ref="CS58:CW58"/>
    <mergeCell ref="CS59:CW59"/>
    <mergeCell ref="CS46:CW46"/>
    <mergeCell ref="CS47:CW47"/>
    <mergeCell ref="CS48:CW48"/>
    <mergeCell ref="CS49:CW49"/>
    <mergeCell ref="CS50:CW50"/>
    <mergeCell ref="CS51:CW51"/>
    <mergeCell ref="CS40:CW40"/>
    <mergeCell ref="CS41:CW41"/>
    <mergeCell ref="CS42:CW42"/>
    <mergeCell ref="CS43:CW43"/>
    <mergeCell ref="CS44:CW44"/>
    <mergeCell ref="CS45:CW45"/>
    <mergeCell ref="CS34:CW34"/>
    <mergeCell ref="CS35:CW35"/>
    <mergeCell ref="CS36:CW36"/>
    <mergeCell ref="CS37:CW37"/>
    <mergeCell ref="CS38:CW38"/>
    <mergeCell ref="CS39:CW39"/>
    <mergeCell ref="CS29:CW29"/>
    <mergeCell ref="CS30:CW30"/>
    <mergeCell ref="A31:B31"/>
    <mergeCell ref="CS31:CW31"/>
    <mergeCell ref="CS32:CW32"/>
    <mergeCell ref="CS33:CW33"/>
    <mergeCell ref="CS24:CW24"/>
    <mergeCell ref="CS25:CW25"/>
    <mergeCell ref="A26:B26"/>
    <mergeCell ref="CS26:CW26"/>
    <mergeCell ref="CS27:CW27"/>
    <mergeCell ref="CS28:CW28"/>
    <mergeCell ref="CS18:CW18"/>
    <mergeCell ref="CS19:CW19"/>
    <mergeCell ref="CS20:CW20"/>
    <mergeCell ref="CS21:CW21"/>
    <mergeCell ref="CS22:CW22"/>
    <mergeCell ref="CS23:CW23"/>
    <mergeCell ref="CS12:CW12"/>
    <mergeCell ref="CS13:CW13"/>
    <mergeCell ref="CS14:CW14"/>
    <mergeCell ref="CS15:CW15"/>
    <mergeCell ref="CS16:CW16"/>
    <mergeCell ref="CS17:CW17"/>
    <mergeCell ref="AY2:AY3"/>
    <mergeCell ref="CX6:CZ7"/>
    <mergeCell ref="DA6:DA7"/>
    <mergeCell ref="CX8:CZ10"/>
    <mergeCell ref="DA8:DA10"/>
    <mergeCell ref="CS10:CW10"/>
    <mergeCell ref="CS11:CW11"/>
    <mergeCell ref="CO2:CO3"/>
    <mergeCell ref="CP2:CR3"/>
    <mergeCell ref="CS2:CW4"/>
    <mergeCell ref="CX2:CZ3"/>
    <mergeCell ref="DA2:DA4"/>
    <mergeCell ref="DF2:DI2"/>
    <mergeCell ref="CX4:CZ4"/>
    <mergeCell ref="BY2:CB2"/>
    <mergeCell ref="CC2:CC3"/>
    <mergeCell ref="CK2:CK3"/>
    <mergeCell ref="CL2:CL3"/>
    <mergeCell ref="CM2:CM3"/>
    <mergeCell ref="CN2:CN3"/>
    <mergeCell ref="AZ2:BA2"/>
    <mergeCell ref="BB2:BF2"/>
    <mergeCell ref="BG2:BK2"/>
    <mergeCell ref="BL2:BP2"/>
    <mergeCell ref="BQ2:BS2"/>
    <mergeCell ref="BU2:BX2"/>
    <mergeCell ref="A1:A3"/>
    <mergeCell ref="B1:B3"/>
    <mergeCell ref="D1:F1"/>
    <mergeCell ref="G1:R1"/>
    <mergeCell ref="V2:W2"/>
    <mergeCell ref="X2:Y2"/>
    <mergeCell ref="Z2:Z3"/>
    <mergeCell ref="AA2:AB2"/>
    <mergeCell ref="AC2:AD2"/>
    <mergeCell ref="O2:O3"/>
    <mergeCell ref="P2:P3"/>
    <mergeCell ref="Q2:R2"/>
    <mergeCell ref="S2:S3"/>
    <mergeCell ref="T2:T3"/>
    <mergeCell ref="U2:U3"/>
    <mergeCell ref="S1:BP1"/>
    <mergeCell ref="C2:C3"/>
    <mergeCell ref="D2:D3"/>
    <mergeCell ref="E2:E3"/>
    <mergeCell ref="F2:F3"/>
    <mergeCell ref="G2:G3"/>
    <mergeCell ref="I2:I3"/>
    <mergeCell ref="J2:J3"/>
    <mergeCell ref="K2:K3"/>
    <mergeCell ref="L2:L3"/>
    <mergeCell ref="M2:M3"/>
    <mergeCell ref="N2:N3"/>
    <mergeCell ref="AE2:AF2"/>
    <mergeCell ref="AQ2:AR2"/>
    <mergeCell ref="AS2:AT2"/>
    <mergeCell ref="AU2:AU3"/>
    <mergeCell ref="AV2:AV3"/>
    <mergeCell ref="AW2:AX2"/>
    <mergeCell ref="AG2:AG3"/>
    <mergeCell ref="AH2:AI2"/>
    <mergeCell ref="AJ2:AK2"/>
    <mergeCell ref="AL2:AL3"/>
    <mergeCell ref="AM2:AN2"/>
    <mergeCell ref="AO2:AP2"/>
  </mergeCells>
  <pageMargins left="0" right="0" top="0" bottom="0" header="0" footer="0"/>
  <pageSetup paperSize="9" scale="15" fitToHeight="0" orientation="portrait" r:id="rId1"/>
  <rowBreaks count="3" manualBreakCount="3">
    <brk id="50" max="111" man="1"/>
    <brk id="325" max="104" man="1"/>
    <brk id="437" max="104" man="1"/>
  </rowBreaks>
  <colBreaks count="1" manualBreakCount="1">
    <brk id="107" max="518"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15</vt:i4>
      </vt:variant>
    </vt:vector>
  </HeadingPairs>
  <TitlesOfParts>
    <vt:vector size="25" baseType="lpstr">
      <vt:lpstr>Приложение № 1</vt:lpstr>
      <vt:lpstr>Приложение № 2</vt:lpstr>
      <vt:lpstr>Приложение № 5</vt:lpstr>
      <vt:lpstr>Приложение № 8</vt:lpstr>
      <vt:lpstr>5. подк.неподк.план</vt:lpstr>
      <vt:lpstr>1.6.</vt:lpstr>
      <vt:lpstr>1.6</vt:lpstr>
      <vt:lpstr>1.3</vt:lpstr>
      <vt:lpstr>8.Бюджет на 2015</vt:lpstr>
      <vt:lpstr>1. подк.неподк. факт</vt:lpstr>
      <vt:lpstr>'1. подк.неподк. факт'!Заголовки_для_печати</vt:lpstr>
      <vt:lpstr>'1.6'!Заголовки_для_печати</vt:lpstr>
      <vt:lpstr>'5. подк.неподк.план'!Заголовки_для_печати</vt:lpstr>
      <vt:lpstr>'8.Бюджет на 2015'!Заголовки_для_печати</vt:lpstr>
      <vt:lpstr>'Приложение № 2'!Заголовки_для_печати</vt:lpstr>
      <vt:lpstr>'Приложение № 8'!Заголовки_для_печати</vt:lpstr>
      <vt:lpstr>'1. подк.неподк. факт'!Область_печати</vt:lpstr>
      <vt:lpstr>'1.3'!Область_печати</vt:lpstr>
      <vt:lpstr>'1.6'!Область_печати</vt:lpstr>
      <vt:lpstr>'1.6.'!Область_печати</vt:lpstr>
      <vt:lpstr>'5. подк.неподк.план'!Область_печати</vt:lpstr>
      <vt:lpstr>'8.Бюджет на 2015'!Область_печати</vt:lpstr>
      <vt:lpstr>'Приложение № 1'!Область_печати</vt:lpstr>
      <vt:lpstr>'Приложение № 2'!Область_печати</vt:lpstr>
      <vt:lpstr>'Приложение № 8'!Область_печати</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terms:created xsi:type="dcterms:W3CDTF">2006-09-16T00:00:00Z</dcterms:created>
  <dcterms:modified xsi:type="dcterms:W3CDTF">2016-11-21T07:29:13Z</dcterms:modified>
</cp:coreProperties>
</file>